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0.xml" ContentType="application/vnd.openxmlformats-officedocument.drawing+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omments4.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https://d.docs.live.net/ba435d2efc651e74/MobileH2O_PC/TU Pilot/Data-Analysis/"/>
    </mc:Choice>
  </mc:AlternateContent>
  <xr:revisionPtr revIDLastSave="9" documentId="8_{C3613DD1-311C-4FFF-BADF-0023B84624BF}" xr6:coauthVersionLast="47" xr6:coauthVersionMax="47" xr10:uidLastSave="{2F02F48F-4833-480F-A166-6808F71CA968}"/>
  <bookViews>
    <workbookView xWindow="-120" yWindow="-120" windowWidth="38640" windowHeight="21120" tabRatio="728" xr2:uid="{7516F488-99F6-4289-97D4-E4B179EB0937}"/>
  </bookViews>
  <sheets>
    <sheet name="TUDB" sheetId="1" r:id="rId1"/>
    <sheet name="Use" sheetId="18" r:id="rId2"/>
    <sheet name="ALK" sheetId="3" r:id="rId3"/>
    <sheet name="HRD" sheetId="45" r:id="rId4"/>
    <sheet name="pH" sheetId="46" r:id="rId5"/>
    <sheet name="NO2" sheetId="47" r:id="rId6"/>
    <sheet name="NO3" sheetId="49" r:id="rId7"/>
    <sheet name="OPhos" sheetId="50" r:id="rId8"/>
    <sheet name="Water Temp" sheetId="11" r:id="rId9"/>
    <sheet name="Disturbances" sheetId="27" r:id="rId10"/>
    <sheet name="Scorecard" sheetId="31" state="hidden" r:id="rId11"/>
    <sheet name="Metadata" sheetId="12" r:id="rId12"/>
  </sheets>
  <externalReferences>
    <externalReference r:id="rId13"/>
  </externalReferences>
  <definedNames>
    <definedName name="_xlnm._FilterDatabase" localSheetId="0" hidden="1">TUDB!$A$7:$BH$2326</definedName>
    <definedName name="_Order1" hidden="1">255</definedName>
    <definedName name="_Regression_Out" hidden="1">[1]A!#REF!</definedName>
    <definedName name="_xlcn.WorksheetConnection_PerformanceB36B5351" hidden="1">Use!$B$49:$B$171</definedName>
    <definedName name="_xlcn.WorksheetConnection_PerformanceB36B6201" hidden="1">Use!$B$49:$B$171</definedName>
    <definedName name="_xlcn.WorksheetConnection_PerformanceB36C6431" hidden="1">Use!$B$49:$D$171</definedName>
    <definedName name="_xlcn.WorksheetConnection_PerformanceJ36J1001" hidden="1">Use!$AF$45:$AF$71</definedName>
    <definedName name="_xlcn.WorksheetConnection_PerformanceJ36J1231" hidden="1">Use!$AF$45:$AF$114</definedName>
    <definedName name="solver_adj" hidden="1">#REF!,#REF!,#REF!,#REF!,#REF!</definedName>
    <definedName name="solver_lhs10" hidden="1">#REF!</definedName>
    <definedName name="solver_lhs11" hidden="1">#REF!</definedName>
    <definedName name="solver_lhs12" hidden="1">#REF!</definedName>
    <definedName name="solver_lhs9" hidden="1">#REF!</definedName>
    <definedName name="solver_opt" hidden="1">#REF!</definedName>
    <definedName name="solver_rel10" hidden="1">1</definedName>
    <definedName name="solver_rel11" hidden="1">3</definedName>
    <definedName name="solver_rel12" hidden="1">1</definedName>
    <definedName name="solver_rel9" hidden="1">3</definedName>
    <definedName name="solver_rhs10" hidden="1">#REF!</definedName>
    <definedName name="solver_rhs11" hidden="1">#REF!</definedName>
    <definedName name="solver_rhs12" hidden="1">#REF!</definedName>
    <definedName name="solver_rhs9" hidden="1">#REF!</definedName>
    <definedName name="Solver2" hidden="1">#REF!</definedName>
    <definedName name="ssss" hidden="1">#REF!,#REF!,#REF!,#REF!,#REF!</definedName>
    <definedName name="UUUU" hidden="1">#REF!,#REF!,#REF!,#REF!,#REF!</definedName>
    <definedName name="x" hidden="1">[1]A!#REF!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3" name="Range 3" connection="WorksheetConnection_Performance!$J$36:$J$123"/>
          <x15:modelTable id="Range 2" name="Range 2" connection="WorksheetConnection_Performance!$J$36:$J$100"/>
          <x15:modelTable id="Range 5" name="Range 5" connection="WorksheetConnection_Performance!$B$36:$C$643"/>
          <x15:modelTable id="Range" name="Range" connection="WorksheetConnection_Performance!$B$36:$B$620"/>
          <x15:modelTable id="Range 1" name="Range 1" connection="WorksheetConnection_Performance!$B$36:$B$535"/>
          <x15:modelTable id="TU_DB" name="TU_DB" connection="Connection1"/>
          <x15:modelTable id="Table7  ObserverID   Year" name="Table7  ObserverID   Year"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8" l="1" a="1"/>
  <c r="B50" i="18" l="1"/>
  <c r="J50" i="18" l="1"/>
  <c r="AC83" i="18" l="1"/>
  <c r="AB83" i="18"/>
  <c r="AC91" i="18"/>
  <c r="AB91" i="18"/>
  <c r="AC90" i="18"/>
  <c r="AC77" i="18"/>
  <c r="AB77" i="18"/>
  <c r="AB90" i="18"/>
  <c r="AC76" i="18"/>
  <c r="AB76" i="18"/>
  <c r="AC88" i="18"/>
  <c r="AB88" i="18"/>
  <c r="AC79" i="18"/>
  <c r="AB79" i="18"/>
  <c r="E182" i="18"/>
  <c r="F182" i="18"/>
  <c r="G182" i="18"/>
  <c r="H182" i="18"/>
  <c r="I182" i="18"/>
  <c r="J182" i="18"/>
  <c r="E183" i="18"/>
  <c r="F183" i="18"/>
  <c r="G183" i="18"/>
  <c r="H183" i="18"/>
  <c r="I183" i="18"/>
  <c r="J183" i="18"/>
  <c r="E184" i="18"/>
  <c r="F184" i="18"/>
  <c r="G184" i="18"/>
  <c r="H184" i="18"/>
  <c r="I184" i="18"/>
  <c r="J184" i="18"/>
  <c r="E185" i="18"/>
  <c r="D185" i="18" s="1"/>
  <c r="F185" i="18"/>
  <c r="G185" i="18"/>
  <c r="H185" i="18"/>
  <c r="I185" i="18"/>
  <c r="J185" i="18"/>
  <c r="E186" i="18"/>
  <c r="F186" i="18"/>
  <c r="G186" i="18"/>
  <c r="H186" i="18"/>
  <c r="I186" i="18"/>
  <c r="J186" i="18"/>
  <c r="E187" i="18"/>
  <c r="F187" i="18"/>
  <c r="G187" i="18"/>
  <c r="H187" i="18"/>
  <c r="I187" i="18"/>
  <c r="J187" i="18"/>
  <c r="E188" i="18"/>
  <c r="F188" i="18"/>
  <c r="G188" i="18"/>
  <c r="H188" i="18"/>
  <c r="I188" i="18"/>
  <c r="J188" i="18"/>
  <c r="E189" i="18"/>
  <c r="F189" i="18"/>
  <c r="G189" i="18"/>
  <c r="H189" i="18"/>
  <c r="I189" i="18"/>
  <c r="J189" i="18"/>
  <c r="E190" i="18"/>
  <c r="F190" i="18"/>
  <c r="G190" i="18"/>
  <c r="H190" i="18"/>
  <c r="I190" i="18"/>
  <c r="J190" i="18"/>
  <c r="E191" i="18"/>
  <c r="F191" i="18"/>
  <c r="G191" i="18"/>
  <c r="H191" i="18"/>
  <c r="I191" i="18"/>
  <c r="J191" i="18"/>
  <c r="E192" i="18"/>
  <c r="F192" i="18"/>
  <c r="G192" i="18"/>
  <c r="H192" i="18"/>
  <c r="I192" i="18"/>
  <c r="J192" i="18"/>
  <c r="E193" i="18"/>
  <c r="F193" i="18"/>
  <c r="G193" i="18"/>
  <c r="H193" i="18"/>
  <c r="I193" i="18"/>
  <c r="J193" i="18"/>
  <c r="E194" i="18"/>
  <c r="F194" i="18"/>
  <c r="G194" i="18"/>
  <c r="H194" i="18"/>
  <c r="I194" i="18"/>
  <c r="J194" i="18"/>
  <c r="E195" i="18"/>
  <c r="D195" i="18" s="1"/>
  <c r="F195" i="18"/>
  <c r="G195" i="18"/>
  <c r="H195" i="18"/>
  <c r="I195" i="18"/>
  <c r="J195" i="18"/>
  <c r="E196" i="18"/>
  <c r="F196" i="18"/>
  <c r="G196" i="18"/>
  <c r="H196" i="18"/>
  <c r="I196" i="18"/>
  <c r="J196" i="18"/>
  <c r="E197" i="18"/>
  <c r="F197" i="18"/>
  <c r="G197" i="18"/>
  <c r="H197" i="18"/>
  <c r="I197" i="18"/>
  <c r="J197" i="18"/>
  <c r="E198" i="18"/>
  <c r="F198" i="18"/>
  <c r="G198" i="18"/>
  <c r="H198" i="18"/>
  <c r="I198" i="18"/>
  <c r="J198" i="18"/>
  <c r="E199" i="18"/>
  <c r="F199" i="18"/>
  <c r="G199" i="18"/>
  <c r="H199" i="18"/>
  <c r="I199" i="18"/>
  <c r="J199" i="18"/>
  <c r="E200" i="18"/>
  <c r="F200" i="18"/>
  <c r="G200" i="18"/>
  <c r="H200" i="18"/>
  <c r="I200" i="18"/>
  <c r="J200" i="18"/>
  <c r="E201" i="18"/>
  <c r="F201" i="18"/>
  <c r="G201" i="18"/>
  <c r="H201" i="18"/>
  <c r="I201" i="18"/>
  <c r="J201" i="18"/>
  <c r="E202" i="18"/>
  <c r="F202" i="18"/>
  <c r="G202" i="18"/>
  <c r="H202" i="18"/>
  <c r="I202" i="18"/>
  <c r="J202" i="18"/>
  <c r="E203" i="18"/>
  <c r="F203" i="18"/>
  <c r="G203" i="18"/>
  <c r="H203" i="18"/>
  <c r="I203" i="18"/>
  <c r="J203" i="18"/>
  <c r="E204" i="18"/>
  <c r="F204" i="18"/>
  <c r="G204" i="18"/>
  <c r="H204" i="18"/>
  <c r="I204" i="18"/>
  <c r="J204" i="18"/>
  <c r="E205" i="18"/>
  <c r="D205" i="18" s="1"/>
  <c r="F205" i="18"/>
  <c r="G205" i="18"/>
  <c r="H205" i="18"/>
  <c r="I205" i="18"/>
  <c r="J205" i="18"/>
  <c r="E206" i="18"/>
  <c r="F206" i="18"/>
  <c r="G206" i="18"/>
  <c r="H206" i="18"/>
  <c r="I206" i="18"/>
  <c r="J206" i="18"/>
  <c r="E207" i="18"/>
  <c r="F207" i="18"/>
  <c r="G207" i="18"/>
  <c r="H207" i="18"/>
  <c r="I207" i="18"/>
  <c r="J207" i="18"/>
  <c r="E208" i="18"/>
  <c r="F208" i="18"/>
  <c r="G208" i="18"/>
  <c r="H208" i="18"/>
  <c r="I208" i="18"/>
  <c r="J208" i="18"/>
  <c r="E209" i="18"/>
  <c r="F209" i="18"/>
  <c r="G209" i="18"/>
  <c r="H209" i="18"/>
  <c r="I209" i="18"/>
  <c r="J209" i="18"/>
  <c r="E210" i="18"/>
  <c r="F210" i="18"/>
  <c r="G210" i="18"/>
  <c r="H210" i="18"/>
  <c r="I210" i="18"/>
  <c r="J210" i="18"/>
  <c r="E211" i="18"/>
  <c r="F211" i="18"/>
  <c r="G211" i="18"/>
  <c r="H211" i="18"/>
  <c r="I211" i="18"/>
  <c r="J211" i="18"/>
  <c r="E212" i="18"/>
  <c r="F212" i="18"/>
  <c r="G212" i="18"/>
  <c r="H212" i="18"/>
  <c r="I212" i="18"/>
  <c r="J212" i="18"/>
  <c r="E213" i="18"/>
  <c r="F213" i="18"/>
  <c r="G213" i="18"/>
  <c r="H213" i="18"/>
  <c r="I213" i="18"/>
  <c r="J213" i="18"/>
  <c r="E214" i="18"/>
  <c r="F214" i="18"/>
  <c r="G214" i="18"/>
  <c r="H214" i="18"/>
  <c r="I214" i="18"/>
  <c r="J214" i="18"/>
  <c r="E215" i="18"/>
  <c r="D215" i="18" s="1"/>
  <c r="F215" i="18"/>
  <c r="G215" i="18"/>
  <c r="H215" i="18"/>
  <c r="I215" i="18"/>
  <c r="J215" i="18"/>
  <c r="E216" i="18"/>
  <c r="F216" i="18"/>
  <c r="G216" i="18"/>
  <c r="H216" i="18"/>
  <c r="I216" i="18"/>
  <c r="J216" i="18"/>
  <c r="E217" i="18"/>
  <c r="F217" i="18"/>
  <c r="G217" i="18"/>
  <c r="H217" i="18"/>
  <c r="I217" i="18"/>
  <c r="J217" i="18"/>
  <c r="E218" i="18"/>
  <c r="F218" i="18"/>
  <c r="G218" i="18"/>
  <c r="H218" i="18"/>
  <c r="I218" i="18"/>
  <c r="J218" i="18"/>
  <c r="E219" i="18"/>
  <c r="F219" i="18"/>
  <c r="G219" i="18"/>
  <c r="H219" i="18"/>
  <c r="I219" i="18"/>
  <c r="J219" i="18"/>
  <c r="E220" i="18"/>
  <c r="F220" i="18"/>
  <c r="G220" i="18"/>
  <c r="H220" i="18"/>
  <c r="I220" i="18"/>
  <c r="J220" i="18"/>
  <c r="E221" i="18"/>
  <c r="F221" i="18"/>
  <c r="G221" i="18"/>
  <c r="H221" i="18"/>
  <c r="I221" i="18"/>
  <c r="J221" i="18"/>
  <c r="E222" i="18"/>
  <c r="F222" i="18"/>
  <c r="G222" i="18"/>
  <c r="H222" i="18"/>
  <c r="I222" i="18"/>
  <c r="J222" i="18"/>
  <c r="E223" i="18"/>
  <c r="F223" i="18"/>
  <c r="G223" i="18"/>
  <c r="H223" i="18"/>
  <c r="I223" i="18"/>
  <c r="J223" i="18"/>
  <c r="AH6" i="18"/>
  <c r="U26" i="31"/>
  <c r="U25" i="31"/>
  <c r="U24" i="31"/>
  <c r="U64" i="31"/>
  <c r="AJ6" i="31"/>
  <c r="AI6" i="31"/>
  <c r="AH6" i="31"/>
  <c r="AG6" i="31"/>
  <c r="AF6" i="31"/>
  <c r="AE6" i="31"/>
  <c r="AD6" i="31"/>
  <c r="AC6" i="31"/>
  <c r="AB6" i="31"/>
  <c r="AA6" i="31"/>
  <c r="Z6" i="31"/>
  <c r="Y6" i="31"/>
  <c r="X6" i="31"/>
  <c r="W6" i="31"/>
  <c r="V6" i="31"/>
  <c r="F51" i="31"/>
  <c r="W53" i="31" s="1"/>
  <c r="W25" i="31" s="1"/>
  <c r="G51" i="31"/>
  <c r="H51" i="31"/>
  <c r="I51" i="31"/>
  <c r="J51" i="31"/>
  <c r="AA53" i="31" s="1"/>
  <c r="AA25" i="31" s="1"/>
  <c r="K51" i="31"/>
  <c r="L51" i="31"/>
  <c r="M51" i="31"/>
  <c r="AD53" i="31" s="1"/>
  <c r="AD25" i="31" s="1"/>
  <c r="N51" i="31"/>
  <c r="O51" i="31"/>
  <c r="P51" i="31"/>
  <c r="Q51" i="31"/>
  <c r="R51" i="31"/>
  <c r="S51" i="31"/>
  <c r="E51" i="31"/>
  <c r="U52" i="31"/>
  <c r="U44" i="31"/>
  <c r="U39" i="31"/>
  <c r="C3" i="12"/>
  <c r="U34" i="31"/>
  <c r="I65" i="50"/>
  <c r="H65" i="50"/>
  <c r="G65" i="50"/>
  <c r="F65" i="50"/>
  <c r="E65" i="50"/>
  <c r="D65" i="50"/>
  <c r="C65" i="50"/>
  <c r="D48" i="50"/>
  <c r="B83" i="50"/>
  <c r="D83" i="50" s="1"/>
  <c r="B82" i="50"/>
  <c r="C82" i="50" s="1"/>
  <c r="B81" i="50"/>
  <c r="B80" i="50"/>
  <c r="G80" i="50" s="1"/>
  <c r="B79" i="50"/>
  <c r="G79" i="50" s="1"/>
  <c r="B78" i="50"/>
  <c r="B77" i="50"/>
  <c r="C77" i="50" s="1"/>
  <c r="B76" i="50"/>
  <c r="E76" i="50" s="1"/>
  <c r="B74" i="50"/>
  <c r="F74" i="50" s="1"/>
  <c r="B73" i="50"/>
  <c r="F73" i="50" s="1"/>
  <c r="B72" i="50"/>
  <c r="F72" i="50" s="1"/>
  <c r="B71" i="50"/>
  <c r="I71" i="50" s="1"/>
  <c r="B70" i="50"/>
  <c r="I70" i="50" s="1"/>
  <c r="B69" i="50"/>
  <c r="G69" i="50" s="1"/>
  <c r="B68" i="50"/>
  <c r="H68" i="50" s="1"/>
  <c r="B67" i="50"/>
  <c r="H67" i="50" s="1"/>
  <c r="B66" i="50"/>
  <c r="I66" i="50" s="1"/>
  <c r="B83" i="49"/>
  <c r="B82" i="49"/>
  <c r="B81" i="49"/>
  <c r="B80" i="49"/>
  <c r="B79" i="49"/>
  <c r="B78" i="49"/>
  <c r="B77" i="49"/>
  <c r="B76" i="49"/>
  <c r="B74" i="49"/>
  <c r="B73" i="49"/>
  <c r="B72" i="49"/>
  <c r="B71" i="49"/>
  <c r="B70" i="49"/>
  <c r="B69" i="49"/>
  <c r="B68" i="49"/>
  <c r="B67" i="49"/>
  <c r="B66" i="49"/>
  <c r="B83" i="47"/>
  <c r="B82" i="47"/>
  <c r="B81" i="47"/>
  <c r="B80" i="47"/>
  <c r="B79" i="47"/>
  <c r="B78" i="47"/>
  <c r="B77" i="47"/>
  <c r="B76" i="47"/>
  <c r="B74" i="47"/>
  <c r="B73" i="47"/>
  <c r="B72" i="47"/>
  <c r="B71" i="47"/>
  <c r="B70" i="47"/>
  <c r="B69" i="47"/>
  <c r="H69" i="47" s="1"/>
  <c r="B68" i="47"/>
  <c r="B67" i="47"/>
  <c r="G67" i="47" s="1"/>
  <c r="B66" i="47"/>
  <c r="I65" i="46"/>
  <c r="H65" i="46"/>
  <c r="G65" i="46"/>
  <c r="F65" i="46"/>
  <c r="E65" i="46"/>
  <c r="D65" i="46"/>
  <c r="C65" i="46"/>
  <c r="B83" i="46"/>
  <c r="D83" i="46" s="1"/>
  <c r="B82" i="46"/>
  <c r="F82" i="46" s="1"/>
  <c r="B81" i="46"/>
  <c r="F81" i="46" s="1"/>
  <c r="B80" i="46"/>
  <c r="F80" i="46" s="1"/>
  <c r="B79" i="46"/>
  <c r="D79" i="46" s="1"/>
  <c r="B78" i="46"/>
  <c r="F78" i="46" s="1"/>
  <c r="B77" i="46"/>
  <c r="I77" i="46" s="1"/>
  <c r="B76" i="46"/>
  <c r="I76" i="46" s="1"/>
  <c r="B74" i="46"/>
  <c r="H74" i="46" s="1"/>
  <c r="B73" i="46"/>
  <c r="D73" i="46" s="1"/>
  <c r="B72" i="46"/>
  <c r="I72" i="46" s="1"/>
  <c r="B71" i="46"/>
  <c r="G71" i="46" s="1"/>
  <c r="B70" i="46"/>
  <c r="I70" i="46" s="1"/>
  <c r="B69" i="46"/>
  <c r="H69" i="46" s="1"/>
  <c r="B68" i="46"/>
  <c r="I68" i="46" s="1"/>
  <c r="B67" i="46"/>
  <c r="I67" i="46" s="1"/>
  <c r="B66" i="46"/>
  <c r="H66" i="46" s="1"/>
  <c r="Q86" i="45"/>
  <c r="G65" i="45"/>
  <c r="F65" i="45"/>
  <c r="E65" i="45"/>
  <c r="D65" i="45"/>
  <c r="C65" i="45"/>
  <c r="B83" i="45"/>
  <c r="G83" i="45" s="1"/>
  <c r="B82" i="45"/>
  <c r="B81" i="45"/>
  <c r="E81" i="45" s="1"/>
  <c r="B80" i="45"/>
  <c r="F80" i="45" s="1"/>
  <c r="B79" i="45"/>
  <c r="B78" i="45"/>
  <c r="B77" i="45"/>
  <c r="D77" i="45" s="1"/>
  <c r="B76" i="45"/>
  <c r="D76" i="45" s="1"/>
  <c r="B74" i="45"/>
  <c r="G74" i="45" s="1"/>
  <c r="B73" i="45"/>
  <c r="B72" i="45"/>
  <c r="F72" i="45" s="1"/>
  <c r="B71" i="45"/>
  <c r="E71" i="45" s="1"/>
  <c r="B70" i="45"/>
  <c r="F70" i="45" s="1"/>
  <c r="B69" i="45"/>
  <c r="G69" i="45" s="1"/>
  <c r="B68" i="45"/>
  <c r="E68" i="45" s="1"/>
  <c r="B67" i="45"/>
  <c r="D67" i="45" s="1"/>
  <c r="B66" i="45"/>
  <c r="F66" i="45" s="1"/>
  <c r="B81" i="3"/>
  <c r="B82" i="3"/>
  <c r="B83" i="3"/>
  <c r="B66" i="3"/>
  <c r="B67" i="3"/>
  <c r="B68" i="3"/>
  <c r="B69" i="3"/>
  <c r="B70" i="3"/>
  <c r="B71" i="3"/>
  <c r="B72" i="3"/>
  <c r="B73" i="3"/>
  <c r="B74" i="3"/>
  <c r="B76" i="3"/>
  <c r="B77" i="3"/>
  <c r="B78" i="3"/>
  <c r="B79" i="3"/>
  <c r="B80" i="3"/>
  <c r="D208" i="18" l="1"/>
  <c r="D221" i="18"/>
  <c r="D211" i="18"/>
  <c r="D204" i="18"/>
  <c r="D194" i="18"/>
  <c r="D184" i="18"/>
  <c r="D191" i="18"/>
  <c r="D220" i="18"/>
  <c r="D210" i="18"/>
  <c r="D200" i="18"/>
  <c r="D190" i="18"/>
  <c r="D188" i="18"/>
  <c r="D223" i="18"/>
  <c r="D213" i="18"/>
  <c r="D203" i="18"/>
  <c r="D193" i="18"/>
  <c r="D183" i="18"/>
  <c r="D207" i="18"/>
  <c r="D187" i="18"/>
  <c r="D218" i="18"/>
  <c r="D198" i="18"/>
  <c r="D214" i="18"/>
  <c r="D197" i="18"/>
  <c r="D216" i="18"/>
  <c r="D201" i="18"/>
  <c r="D217" i="18"/>
  <c r="D219" i="18"/>
  <c r="D209" i="18"/>
  <c r="D199" i="18"/>
  <c r="D189" i="18"/>
  <c r="D206" i="18"/>
  <c r="D186" i="18"/>
  <c r="D196" i="18"/>
  <c r="D222" i="18"/>
  <c r="D212" i="18"/>
  <c r="D202" i="18"/>
  <c r="D192" i="18"/>
  <c r="D182" i="18"/>
  <c r="E26" i="18"/>
  <c r="Y111" i="18"/>
  <c r="Y109" i="18"/>
  <c r="Y108" i="18"/>
  <c r="E27" i="18"/>
  <c r="I72" i="50"/>
  <c r="C73" i="50"/>
  <c r="F79" i="50"/>
  <c r="I79" i="50"/>
  <c r="E80" i="50"/>
  <c r="Y114" i="18"/>
  <c r="E65" i="3"/>
  <c r="D65" i="3"/>
  <c r="H65" i="3"/>
  <c r="G65" i="3"/>
  <c r="F83" i="3"/>
  <c r="C65" i="3"/>
  <c r="F65" i="3"/>
  <c r="E78" i="47"/>
  <c r="D65" i="47"/>
  <c r="H65" i="47"/>
  <c r="G65" i="47"/>
  <c r="E65" i="47"/>
  <c r="C65" i="47"/>
  <c r="K8" i="47"/>
  <c r="C74" i="49"/>
  <c r="G81" i="47"/>
  <c r="C47" i="47"/>
  <c r="D31" i="47"/>
  <c r="E65" i="49"/>
  <c r="F66" i="47"/>
  <c r="H68" i="47"/>
  <c r="F65" i="47"/>
  <c r="E71" i="47"/>
  <c r="I65" i="49"/>
  <c r="H72" i="47"/>
  <c r="S87" i="47" s="1"/>
  <c r="D73" i="47"/>
  <c r="K12" i="47"/>
  <c r="F74" i="47"/>
  <c r="G70" i="47"/>
  <c r="C76" i="47"/>
  <c r="K9" i="47"/>
  <c r="G77" i="47"/>
  <c r="C79" i="47"/>
  <c r="H82" i="47"/>
  <c r="M33" i="31"/>
  <c r="AD33" i="31" s="1"/>
  <c r="K11" i="47"/>
  <c r="D65" i="49"/>
  <c r="I66" i="49"/>
  <c r="I71" i="49"/>
  <c r="G76" i="49"/>
  <c r="C65" i="49"/>
  <c r="H49" i="49"/>
  <c r="C79" i="49"/>
  <c r="H80" i="49"/>
  <c r="I78" i="49"/>
  <c r="I72" i="49"/>
  <c r="E81" i="49"/>
  <c r="G38" i="31"/>
  <c r="X38" i="31" s="1"/>
  <c r="I82" i="49"/>
  <c r="G83" i="49"/>
  <c r="D67" i="49"/>
  <c r="F65" i="49"/>
  <c r="F68" i="49"/>
  <c r="G65" i="49"/>
  <c r="F69" i="49"/>
  <c r="H65" i="49"/>
  <c r="D71" i="45"/>
  <c r="C69" i="45"/>
  <c r="C71" i="45"/>
  <c r="G77" i="50"/>
  <c r="T86" i="50" s="1"/>
  <c r="C72" i="46"/>
  <c r="I77" i="50"/>
  <c r="V86" i="50" s="1"/>
  <c r="E79" i="50"/>
  <c r="C67" i="47"/>
  <c r="D67" i="47"/>
  <c r="C82" i="46"/>
  <c r="G68" i="47"/>
  <c r="G82" i="46"/>
  <c r="H70" i="47"/>
  <c r="H82" i="46"/>
  <c r="D82" i="50"/>
  <c r="E67" i="47"/>
  <c r="F67" i="47"/>
  <c r="D68" i="47"/>
  <c r="F68" i="47"/>
  <c r="C83" i="46"/>
  <c r="E82" i="50"/>
  <c r="H83" i="46"/>
  <c r="E83" i="46"/>
  <c r="F83" i="46"/>
  <c r="G83" i="46"/>
  <c r="D78" i="49"/>
  <c r="E78" i="49"/>
  <c r="E72" i="46"/>
  <c r="F72" i="46"/>
  <c r="F79" i="49"/>
  <c r="G72" i="46"/>
  <c r="F71" i="45"/>
  <c r="G71" i="45"/>
  <c r="D73" i="50"/>
  <c r="G72" i="45"/>
  <c r="I82" i="46"/>
  <c r="H74" i="50"/>
  <c r="C81" i="45"/>
  <c r="I66" i="46"/>
  <c r="E66" i="49"/>
  <c r="I74" i="50"/>
  <c r="F66" i="49"/>
  <c r="D77" i="50"/>
  <c r="Q86" i="50" s="1"/>
  <c r="G66" i="49"/>
  <c r="E77" i="50"/>
  <c r="R86" i="50" s="1"/>
  <c r="H66" i="49"/>
  <c r="F77" i="50"/>
  <c r="S86" i="50" s="1"/>
  <c r="I80" i="49"/>
  <c r="E67" i="49"/>
  <c r="G69" i="46"/>
  <c r="F67" i="49"/>
  <c r="H77" i="50"/>
  <c r="U86" i="50" s="1"/>
  <c r="C72" i="45"/>
  <c r="H71" i="46"/>
  <c r="G76" i="45"/>
  <c r="D76" i="46"/>
  <c r="I83" i="46"/>
  <c r="C71" i="47"/>
  <c r="G67" i="49"/>
  <c r="D68" i="50"/>
  <c r="H79" i="50"/>
  <c r="F76" i="45"/>
  <c r="C77" i="45"/>
  <c r="F73" i="47"/>
  <c r="H67" i="49"/>
  <c r="E68" i="50"/>
  <c r="C83" i="3"/>
  <c r="E73" i="46"/>
  <c r="C76" i="46"/>
  <c r="C68" i="50"/>
  <c r="E76" i="46"/>
  <c r="G80" i="45"/>
  <c r="F76" i="46"/>
  <c r="I81" i="46"/>
  <c r="G73" i="47"/>
  <c r="I67" i="49"/>
  <c r="H72" i="50"/>
  <c r="D80" i="50"/>
  <c r="D69" i="49"/>
  <c r="G74" i="47"/>
  <c r="D83" i="3"/>
  <c r="G76" i="46"/>
  <c r="F79" i="46"/>
  <c r="G79" i="46"/>
  <c r="E69" i="49"/>
  <c r="H79" i="46"/>
  <c r="H77" i="47"/>
  <c r="E73" i="50"/>
  <c r="F82" i="50"/>
  <c r="V86" i="46"/>
  <c r="F68" i="45"/>
  <c r="C80" i="46"/>
  <c r="G78" i="47"/>
  <c r="C76" i="49"/>
  <c r="G74" i="50"/>
  <c r="G82" i="50"/>
  <c r="G68" i="45"/>
  <c r="F69" i="46"/>
  <c r="D80" i="46"/>
  <c r="H78" i="47"/>
  <c r="D76" i="49"/>
  <c r="H74" i="47"/>
  <c r="E80" i="46"/>
  <c r="G66" i="47"/>
  <c r="F76" i="50"/>
  <c r="E83" i="3"/>
  <c r="C70" i="45"/>
  <c r="C70" i="46"/>
  <c r="G81" i="46"/>
  <c r="G70" i="45"/>
  <c r="H81" i="46"/>
  <c r="H66" i="47"/>
  <c r="Q38" i="31"/>
  <c r="AH38" i="31" s="1"/>
  <c r="P33" i="31"/>
  <c r="AG33" i="31" s="1"/>
  <c r="J33" i="31"/>
  <c r="AA33" i="31" s="1"/>
  <c r="L38" i="31"/>
  <c r="AC38" i="31" s="1"/>
  <c r="AA138" i="18"/>
  <c r="K12" i="50"/>
  <c r="K12" i="49"/>
  <c r="Y117" i="18"/>
  <c r="E33" i="31"/>
  <c r="V33" i="31" s="1"/>
  <c r="S33" i="31"/>
  <c r="AJ33" i="31" s="1"/>
  <c r="R38" i="31"/>
  <c r="AI38" i="31" s="1"/>
  <c r="R33" i="31"/>
  <c r="AI33" i="31" s="1"/>
  <c r="Q33" i="31"/>
  <c r="AH33" i="31" s="1"/>
  <c r="F38" i="31"/>
  <c r="W38" i="31" s="1"/>
  <c r="I33" i="31"/>
  <c r="Z33" i="31" s="1"/>
  <c r="H38" i="31"/>
  <c r="Y38" i="31" s="1"/>
  <c r="J38" i="31"/>
  <c r="AA38" i="31" s="1"/>
  <c r="L33" i="31"/>
  <c r="AC33" i="31" s="1"/>
  <c r="K38" i="31"/>
  <c r="AB38" i="31" s="1"/>
  <c r="O38" i="31"/>
  <c r="AF38" i="31" s="1"/>
  <c r="I38" i="31"/>
  <c r="Z38" i="31" s="1"/>
  <c r="E38" i="31"/>
  <c r="V38" i="31" s="1"/>
  <c r="M38" i="31"/>
  <c r="AD38" i="31" s="1"/>
  <c r="F33" i="31"/>
  <c r="W33" i="31" s="1"/>
  <c r="G33" i="31"/>
  <c r="X33" i="31" s="1"/>
  <c r="H33" i="31"/>
  <c r="Y33" i="31" s="1"/>
  <c r="K33" i="31"/>
  <c r="AB33" i="31" s="1"/>
  <c r="N33" i="31"/>
  <c r="AE33" i="31" s="1"/>
  <c r="O33" i="31"/>
  <c r="AF33" i="31" s="1"/>
  <c r="N38" i="31"/>
  <c r="AE38" i="31" s="1"/>
  <c r="P38" i="31"/>
  <c r="AG38" i="31" s="1"/>
  <c r="S38" i="31"/>
  <c r="AJ38" i="31" s="1"/>
  <c r="V51" i="31"/>
  <c r="AI51" i="31"/>
  <c r="AJ51" i="31"/>
  <c r="Y51" i="31"/>
  <c r="AH53" i="31"/>
  <c r="AH25" i="31" s="1"/>
  <c r="AH51" i="31"/>
  <c r="AG53" i="31"/>
  <c r="AG25" i="31" s="1"/>
  <c r="AG51" i="31"/>
  <c r="AF53" i="31"/>
  <c r="AF25" i="31" s="1"/>
  <c r="AF51" i="31"/>
  <c r="AC53" i="31"/>
  <c r="AC25" i="31" s="1"/>
  <c r="AC51" i="31"/>
  <c r="AB51" i="31"/>
  <c r="X51" i="31"/>
  <c r="AA51" i="31"/>
  <c r="Z51" i="31"/>
  <c r="W51" i="31"/>
  <c r="F62" i="31"/>
  <c r="K62" i="31"/>
  <c r="AE51" i="31"/>
  <c r="AD51" i="31"/>
  <c r="Q30" i="31"/>
  <c r="AH30" i="31" s="1"/>
  <c r="L31" i="31"/>
  <c r="AC31" i="31" s="1"/>
  <c r="S63" i="31"/>
  <c r="K30" i="31"/>
  <c r="AB30" i="31" s="1"/>
  <c r="L32" i="31"/>
  <c r="AC32" i="31" s="1"/>
  <c r="E63" i="31"/>
  <c r="F63" i="31"/>
  <c r="G63" i="31"/>
  <c r="H63" i="31"/>
  <c r="I63" i="31"/>
  <c r="J63" i="31"/>
  <c r="K63" i="31"/>
  <c r="L63" i="31"/>
  <c r="M63" i="31"/>
  <c r="N63" i="31"/>
  <c r="O63" i="31"/>
  <c r="P63" i="31"/>
  <c r="Q63" i="31"/>
  <c r="R63" i="31"/>
  <c r="X53" i="31"/>
  <c r="X25" i="31" s="1"/>
  <c r="Z53" i="31"/>
  <c r="Z25" i="31" s="1"/>
  <c r="Y53" i="31"/>
  <c r="Y25" i="31" s="1"/>
  <c r="V53" i="31"/>
  <c r="V25" i="31" s="1"/>
  <c r="AI53" i="31"/>
  <c r="AI25" i="31" s="1"/>
  <c r="AE53" i="31"/>
  <c r="AE25" i="31" s="1"/>
  <c r="AJ53" i="31"/>
  <c r="AJ25" i="31" s="1"/>
  <c r="AB53" i="31"/>
  <c r="AB25" i="31" s="1"/>
  <c r="E31" i="31"/>
  <c r="V31" i="31" s="1"/>
  <c r="O31" i="31"/>
  <c r="AF31" i="31" s="1"/>
  <c r="S43" i="31"/>
  <c r="AJ43" i="31" s="1"/>
  <c r="R43" i="31"/>
  <c r="AI43" i="31" s="1"/>
  <c r="N43" i="31"/>
  <c r="AE43" i="31" s="1"/>
  <c r="M43" i="31"/>
  <c r="AD43" i="31" s="1"/>
  <c r="L43" i="31"/>
  <c r="AC43" i="31" s="1"/>
  <c r="K43" i="31"/>
  <c r="AB43" i="31" s="1"/>
  <c r="J43" i="31"/>
  <c r="AA43" i="31" s="1"/>
  <c r="H43" i="31"/>
  <c r="Y43" i="31" s="1"/>
  <c r="G43" i="31"/>
  <c r="X43" i="31" s="1"/>
  <c r="E43" i="31"/>
  <c r="V43" i="31" s="1"/>
  <c r="P43" i="31"/>
  <c r="AG43" i="31" s="1"/>
  <c r="Q43" i="31"/>
  <c r="AH43" i="31" s="1"/>
  <c r="O43" i="31"/>
  <c r="AF43" i="31" s="1"/>
  <c r="I43" i="31"/>
  <c r="Z43" i="31" s="1"/>
  <c r="F43" i="31"/>
  <c r="W43" i="31" s="1"/>
  <c r="F37" i="31"/>
  <c r="W37" i="31" s="1"/>
  <c r="G37" i="31"/>
  <c r="X37" i="31" s="1"/>
  <c r="H37" i="31"/>
  <c r="Y37" i="31" s="1"/>
  <c r="I37" i="31"/>
  <c r="Z37" i="31" s="1"/>
  <c r="K37" i="31"/>
  <c r="AB37" i="31" s="1"/>
  <c r="L37" i="31"/>
  <c r="AC37" i="31" s="1"/>
  <c r="P37" i="31"/>
  <c r="AG37" i="31" s="1"/>
  <c r="Q37" i="31"/>
  <c r="AH37" i="31" s="1"/>
  <c r="R37" i="31"/>
  <c r="AI37" i="31" s="1"/>
  <c r="S37" i="31"/>
  <c r="AJ37" i="31" s="1"/>
  <c r="E37" i="31"/>
  <c r="V37" i="31" s="1"/>
  <c r="J37" i="31"/>
  <c r="AA37" i="31" s="1"/>
  <c r="M37" i="31"/>
  <c r="AD37" i="31" s="1"/>
  <c r="N37" i="31"/>
  <c r="AE37" i="31" s="1"/>
  <c r="O37" i="31"/>
  <c r="AF37" i="31" s="1"/>
  <c r="M57" i="31"/>
  <c r="L57" i="31"/>
  <c r="K57" i="31"/>
  <c r="J57" i="31"/>
  <c r="I57" i="31"/>
  <c r="H57" i="31"/>
  <c r="G57" i="31"/>
  <c r="S57" i="31"/>
  <c r="Q57" i="31"/>
  <c r="P57" i="31"/>
  <c r="N57" i="31"/>
  <c r="F57" i="31"/>
  <c r="E57" i="31"/>
  <c r="R57" i="31"/>
  <c r="O57" i="31"/>
  <c r="H56" i="31"/>
  <c r="G56" i="31"/>
  <c r="F56" i="31"/>
  <c r="E56" i="31"/>
  <c r="R56" i="31"/>
  <c r="Q56" i="31"/>
  <c r="P56" i="31"/>
  <c r="O56" i="31"/>
  <c r="N56" i="31"/>
  <c r="L56" i="31"/>
  <c r="K56" i="31"/>
  <c r="S56" i="31"/>
  <c r="M56" i="31"/>
  <c r="I56" i="31"/>
  <c r="J56" i="31"/>
  <c r="I32" i="31"/>
  <c r="Z32" i="31" s="1"/>
  <c r="N41" i="31"/>
  <c r="AE41" i="31" s="1"/>
  <c r="M35" i="31"/>
  <c r="AD35" i="31" s="1"/>
  <c r="M41" i="31"/>
  <c r="AD41" i="31" s="1"/>
  <c r="L35" i="31"/>
  <c r="AC35" i="31" s="1"/>
  <c r="E48" i="31"/>
  <c r="V48" i="31" s="1"/>
  <c r="L41" i="31"/>
  <c r="AC41" i="31" s="1"/>
  <c r="K35" i="31"/>
  <c r="AB35" i="31" s="1"/>
  <c r="K41" i="31"/>
  <c r="AB41" i="31" s="1"/>
  <c r="J35" i="31"/>
  <c r="AA35" i="31" s="1"/>
  <c r="E41" i="31"/>
  <c r="V41" i="31" s="1"/>
  <c r="I41" i="31"/>
  <c r="Z41" i="31" s="1"/>
  <c r="H35" i="31"/>
  <c r="Y35" i="31" s="1"/>
  <c r="G30" i="31"/>
  <c r="X30" i="31" s="1"/>
  <c r="H48" i="31"/>
  <c r="Y48" i="31" s="1"/>
  <c r="H41" i="31"/>
  <c r="Y41" i="31" s="1"/>
  <c r="G35" i="31"/>
  <c r="X35" i="31" s="1"/>
  <c r="H30" i="31"/>
  <c r="Y30" i="31" s="1"/>
  <c r="I48" i="31"/>
  <c r="Z48" i="31" s="1"/>
  <c r="AA112" i="18"/>
  <c r="L30" i="31"/>
  <c r="AC30" i="31" s="1"/>
  <c r="M48" i="31"/>
  <c r="AD48" i="31" s="1"/>
  <c r="M30" i="31"/>
  <c r="AD30" i="31" s="1"/>
  <c r="N30" i="31"/>
  <c r="AE30" i="31" s="1"/>
  <c r="P48" i="31"/>
  <c r="AG48" i="31" s="1"/>
  <c r="O30" i="31"/>
  <c r="AF30" i="31" s="1"/>
  <c r="O48" i="31"/>
  <c r="AF48" i="31" s="1"/>
  <c r="Z109" i="18"/>
  <c r="S35" i="31"/>
  <c r="AJ35" i="31" s="1"/>
  <c r="P30" i="31"/>
  <c r="AG30" i="31" s="1"/>
  <c r="F48" i="31"/>
  <c r="W48" i="31" s="1"/>
  <c r="AA109" i="18"/>
  <c r="R41" i="31"/>
  <c r="AI41" i="31" s="1"/>
  <c r="Q35" i="31"/>
  <c r="AH35" i="31" s="1"/>
  <c r="R30" i="31"/>
  <c r="AI30" i="31" s="1"/>
  <c r="AC109" i="18"/>
  <c r="Q41" i="31"/>
  <c r="AH41" i="31" s="1"/>
  <c r="P35" i="31"/>
  <c r="AG35" i="31" s="1"/>
  <c r="S30" i="31"/>
  <c r="AJ30" i="31" s="1"/>
  <c r="G48" i="31"/>
  <c r="X48" i="31" s="1"/>
  <c r="J48" i="31"/>
  <c r="AA48" i="31" s="1"/>
  <c r="K48" i="31"/>
  <c r="AB48" i="31" s="1"/>
  <c r="L48" i="31"/>
  <c r="AC48" i="31" s="1"/>
  <c r="G41" i="31"/>
  <c r="X41" i="31" s="1"/>
  <c r="AC116" i="18"/>
  <c r="F41" i="31"/>
  <c r="W41" i="31" s="1"/>
  <c r="Z111" i="18"/>
  <c r="AA111" i="18"/>
  <c r="AB111" i="18"/>
  <c r="N35" i="31"/>
  <c r="AE35" i="31" s="1"/>
  <c r="AC112" i="18"/>
  <c r="S48" i="31"/>
  <c r="AJ48" i="31" s="1"/>
  <c r="R48" i="31"/>
  <c r="AI48" i="31" s="1"/>
  <c r="Q48" i="31"/>
  <c r="AH48" i="31" s="1"/>
  <c r="AB109" i="18"/>
  <c r="S41" i="31"/>
  <c r="AJ41" i="31" s="1"/>
  <c r="P41" i="31"/>
  <c r="AG41" i="31" s="1"/>
  <c r="R35" i="31"/>
  <c r="AI35" i="31" s="1"/>
  <c r="AC111" i="18"/>
  <c r="J41" i="31"/>
  <c r="AA41" i="31" s="1"/>
  <c r="I35" i="31"/>
  <c r="Z35" i="31" s="1"/>
  <c r="E35" i="31"/>
  <c r="V35" i="31" s="1"/>
  <c r="F30" i="31"/>
  <c r="W30" i="31" s="1"/>
  <c r="AA116" i="18"/>
  <c r="E30" i="31"/>
  <c r="V30" i="31" s="1"/>
  <c r="O35" i="31"/>
  <c r="AF35" i="31" s="1"/>
  <c r="F35" i="31"/>
  <c r="W35" i="31" s="1"/>
  <c r="O41" i="31"/>
  <c r="AF41" i="31" s="1"/>
  <c r="J30" i="31"/>
  <c r="AA30" i="31" s="1"/>
  <c r="N48" i="31"/>
  <c r="AE48" i="31" s="1"/>
  <c r="I30" i="31"/>
  <c r="Z30" i="31" s="1"/>
  <c r="Q59" i="31"/>
  <c r="E59" i="31"/>
  <c r="K59" i="31"/>
  <c r="I59" i="31"/>
  <c r="J59" i="31"/>
  <c r="J58" i="31"/>
  <c r="I58" i="31"/>
  <c r="H40" i="31"/>
  <c r="Y40" i="31" s="1"/>
  <c r="G40" i="31"/>
  <c r="X40" i="31" s="1"/>
  <c r="F40" i="31"/>
  <c r="W40" i="31" s="1"/>
  <c r="E40" i="31"/>
  <c r="V40" i="31" s="1"/>
  <c r="R40" i="31"/>
  <c r="AI40" i="31" s="1"/>
  <c r="Q40" i="31"/>
  <c r="AH40" i="31" s="1"/>
  <c r="P40" i="31"/>
  <c r="AG40" i="31" s="1"/>
  <c r="O40" i="31"/>
  <c r="AF40" i="31" s="1"/>
  <c r="N40" i="31"/>
  <c r="AE40" i="31" s="1"/>
  <c r="L40" i="31"/>
  <c r="AC40" i="31" s="1"/>
  <c r="K40" i="31"/>
  <c r="AB40" i="31" s="1"/>
  <c r="S40" i="31"/>
  <c r="AJ40" i="31" s="1"/>
  <c r="M40" i="31"/>
  <c r="AD40" i="31" s="1"/>
  <c r="J40" i="31"/>
  <c r="AA40" i="31" s="1"/>
  <c r="I40" i="31"/>
  <c r="Z40" i="31" s="1"/>
  <c r="M61" i="31"/>
  <c r="L61" i="31"/>
  <c r="K61" i="31"/>
  <c r="J61" i="31"/>
  <c r="I61" i="31"/>
  <c r="H61" i="31"/>
  <c r="G61" i="31"/>
  <c r="S61" i="31"/>
  <c r="R61" i="31"/>
  <c r="Q61" i="31"/>
  <c r="P61" i="31"/>
  <c r="O61" i="31"/>
  <c r="N61" i="31"/>
  <c r="F61" i="31"/>
  <c r="E61" i="31"/>
  <c r="M60" i="31"/>
  <c r="J60" i="31"/>
  <c r="S60" i="31"/>
  <c r="O32" i="31"/>
  <c r="AF32" i="31" s="1"/>
  <c r="E32" i="31"/>
  <c r="V32" i="31" s="1"/>
  <c r="P32" i="31"/>
  <c r="AG32" i="31" s="1"/>
  <c r="S32" i="31"/>
  <c r="AJ32" i="31" s="1"/>
  <c r="F32" i="31"/>
  <c r="W32" i="31" s="1"/>
  <c r="G32" i="31"/>
  <c r="X32" i="31" s="1"/>
  <c r="H32" i="31"/>
  <c r="Y32" i="31" s="1"/>
  <c r="J32" i="31"/>
  <c r="AA32" i="31" s="1"/>
  <c r="K32" i="31"/>
  <c r="AB32" i="31" s="1"/>
  <c r="N32" i="31"/>
  <c r="AE32" i="31" s="1"/>
  <c r="Q32" i="31"/>
  <c r="AH32" i="31" s="1"/>
  <c r="R32" i="31"/>
  <c r="AI32" i="31" s="1"/>
  <c r="M32" i="31"/>
  <c r="AD32" i="31" s="1"/>
  <c r="H36" i="31"/>
  <c r="Y36" i="31" s="1"/>
  <c r="G36" i="31"/>
  <c r="X36" i="31" s="1"/>
  <c r="I31" i="31"/>
  <c r="Z31" i="31" s="1"/>
  <c r="F36" i="31"/>
  <c r="W36" i="31" s="1"/>
  <c r="J31" i="31"/>
  <c r="AA31" i="31" s="1"/>
  <c r="E36" i="31"/>
  <c r="V36" i="31" s="1"/>
  <c r="M31" i="31"/>
  <c r="AD31" i="31" s="1"/>
  <c r="N31" i="31"/>
  <c r="AE31" i="31" s="1"/>
  <c r="R36" i="31"/>
  <c r="AI36" i="31" s="1"/>
  <c r="R31" i="31"/>
  <c r="AI31" i="31" s="1"/>
  <c r="Q36" i="31"/>
  <c r="AH36" i="31" s="1"/>
  <c r="S31" i="31"/>
  <c r="AJ31" i="31" s="1"/>
  <c r="P36" i="31"/>
  <c r="AG36" i="31" s="1"/>
  <c r="O36" i="31"/>
  <c r="AF36" i="31" s="1"/>
  <c r="N36" i="31"/>
  <c r="AE36" i="31" s="1"/>
  <c r="L36" i="31"/>
  <c r="AC36" i="31" s="1"/>
  <c r="K36" i="31"/>
  <c r="AB36" i="31" s="1"/>
  <c r="S36" i="31"/>
  <c r="AJ36" i="31" s="1"/>
  <c r="M36" i="31"/>
  <c r="AD36" i="31" s="1"/>
  <c r="J36" i="31"/>
  <c r="AA36" i="31" s="1"/>
  <c r="I36" i="31"/>
  <c r="Z36" i="31" s="1"/>
  <c r="F31" i="31"/>
  <c r="W31" i="31" s="1"/>
  <c r="G31" i="31"/>
  <c r="X31" i="31" s="1"/>
  <c r="H31" i="31"/>
  <c r="Y31" i="31" s="1"/>
  <c r="K31" i="31"/>
  <c r="AB31" i="31" s="1"/>
  <c r="Q31" i="31"/>
  <c r="AH31" i="31" s="1"/>
  <c r="P31" i="31"/>
  <c r="AG31" i="31" s="1"/>
  <c r="I60" i="31"/>
  <c r="R58" i="31"/>
  <c r="Q58" i="31"/>
  <c r="P58" i="31"/>
  <c r="O58" i="31"/>
  <c r="N58" i="31"/>
  <c r="M58" i="31"/>
  <c r="L58" i="31"/>
  <c r="H58" i="31"/>
  <c r="G58" i="31"/>
  <c r="F58" i="31"/>
  <c r="E58" i="31"/>
  <c r="S58" i="31"/>
  <c r="K58" i="31"/>
  <c r="C18" i="27"/>
  <c r="S62" i="31"/>
  <c r="R62" i="31"/>
  <c r="Q62" i="31"/>
  <c r="P62" i="31"/>
  <c r="O62" i="31"/>
  <c r="N62" i="31"/>
  <c r="M62" i="31"/>
  <c r="L62" i="31"/>
  <c r="H62" i="31"/>
  <c r="G62" i="31"/>
  <c r="E62" i="31"/>
  <c r="H60" i="31"/>
  <c r="G60" i="31"/>
  <c r="F60" i="31"/>
  <c r="E60" i="31"/>
  <c r="R60" i="31"/>
  <c r="Q60" i="31"/>
  <c r="P60" i="31"/>
  <c r="O60" i="31"/>
  <c r="N60" i="31"/>
  <c r="L60" i="31"/>
  <c r="K60" i="31"/>
  <c r="I62" i="31"/>
  <c r="S42" i="31"/>
  <c r="AJ42" i="31" s="1"/>
  <c r="R42" i="31"/>
  <c r="AI42" i="31" s="1"/>
  <c r="Q42" i="31"/>
  <c r="AH42" i="31" s="1"/>
  <c r="P42" i="31"/>
  <c r="AG42" i="31" s="1"/>
  <c r="O42" i="31"/>
  <c r="AF42" i="31" s="1"/>
  <c r="N42" i="31"/>
  <c r="AE42" i="31" s="1"/>
  <c r="M42" i="31"/>
  <c r="AD42" i="31" s="1"/>
  <c r="I42" i="31"/>
  <c r="Z42" i="31" s="1"/>
  <c r="H42" i="31"/>
  <c r="Y42" i="31" s="1"/>
  <c r="G42" i="31"/>
  <c r="X42" i="31" s="1"/>
  <c r="F42" i="31"/>
  <c r="W42" i="31" s="1"/>
  <c r="E42" i="31"/>
  <c r="V42" i="31" s="1"/>
  <c r="F59" i="31"/>
  <c r="J62" i="31"/>
  <c r="J42" i="31"/>
  <c r="AA42" i="31" s="1"/>
  <c r="K42" i="31"/>
  <c r="AB42" i="31" s="1"/>
  <c r="L42" i="31"/>
  <c r="AC42" i="31" s="1"/>
  <c r="S59" i="31"/>
  <c r="R59" i="31"/>
  <c r="P59" i="31"/>
  <c r="O59" i="31"/>
  <c r="N59" i="31"/>
  <c r="M59" i="31"/>
  <c r="L59" i="31"/>
  <c r="H59" i="31"/>
  <c r="G59" i="31"/>
  <c r="AL5" i="1"/>
  <c r="F71" i="47"/>
  <c r="C67" i="45"/>
  <c r="H69" i="50"/>
  <c r="G73" i="50"/>
  <c r="E67" i="45"/>
  <c r="G80" i="46"/>
  <c r="I80" i="46"/>
  <c r="H73" i="50"/>
  <c r="D72" i="45"/>
  <c r="D72" i="47"/>
  <c r="O87" i="47" s="1"/>
  <c r="G67" i="45"/>
  <c r="E72" i="45"/>
  <c r="H68" i="46"/>
  <c r="C81" i="46"/>
  <c r="I78" i="46"/>
  <c r="H67" i="47"/>
  <c r="E72" i="47"/>
  <c r="P87" i="47" s="1"/>
  <c r="F74" i="49"/>
  <c r="I81" i="49"/>
  <c r="E70" i="50"/>
  <c r="C74" i="50"/>
  <c r="D71" i="47"/>
  <c r="C81" i="49"/>
  <c r="D81" i="49"/>
  <c r="G71" i="47"/>
  <c r="H71" i="47"/>
  <c r="F81" i="49"/>
  <c r="F68" i="46"/>
  <c r="C72" i="47"/>
  <c r="N87" i="47" s="1"/>
  <c r="G81" i="49"/>
  <c r="F67" i="45"/>
  <c r="G68" i="46"/>
  <c r="H80" i="46"/>
  <c r="I79" i="46"/>
  <c r="H81" i="49"/>
  <c r="D70" i="50"/>
  <c r="I73" i="50"/>
  <c r="H83" i="3"/>
  <c r="C68" i="45"/>
  <c r="C69" i="46"/>
  <c r="H76" i="46"/>
  <c r="D81" i="46"/>
  <c r="C68" i="47"/>
  <c r="F72" i="47"/>
  <c r="Q87" i="47" s="1"/>
  <c r="G74" i="49"/>
  <c r="C82" i="49"/>
  <c r="F70" i="50"/>
  <c r="D74" i="50"/>
  <c r="J65" i="46"/>
  <c r="G66" i="45"/>
  <c r="E68" i="46"/>
  <c r="I69" i="50"/>
  <c r="C70" i="50"/>
  <c r="G83" i="3"/>
  <c r="D68" i="45"/>
  <c r="D69" i="46"/>
  <c r="C77" i="46"/>
  <c r="E81" i="46"/>
  <c r="I69" i="46"/>
  <c r="G72" i="47"/>
  <c r="R87" i="47" s="1"/>
  <c r="C66" i="49"/>
  <c r="H74" i="49"/>
  <c r="D82" i="49"/>
  <c r="G70" i="50"/>
  <c r="E74" i="50"/>
  <c r="E76" i="45"/>
  <c r="E69" i="46"/>
  <c r="D77" i="46"/>
  <c r="Q86" i="46" s="1"/>
  <c r="E68" i="47"/>
  <c r="E73" i="47"/>
  <c r="D66" i="49"/>
  <c r="I74" i="49"/>
  <c r="E82" i="49"/>
  <c r="H70" i="50"/>
  <c r="C80" i="50"/>
  <c r="E77" i="46"/>
  <c r="F82" i="49"/>
  <c r="F77" i="46"/>
  <c r="S86" i="46" s="1"/>
  <c r="G82" i="49"/>
  <c r="C71" i="50"/>
  <c r="G77" i="46"/>
  <c r="T86" i="46" s="1"/>
  <c r="C70" i="47"/>
  <c r="H73" i="47"/>
  <c r="H83" i="49"/>
  <c r="D71" i="50"/>
  <c r="D69" i="45"/>
  <c r="C80" i="45"/>
  <c r="H77" i="46"/>
  <c r="U86" i="46" s="1"/>
  <c r="D70" i="47"/>
  <c r="C74" i="47"/>
  <c r="I83" i="49"/>
  <c r="E71" i="50"/>
  <c r="E69" i="45"/>
  <c r="D80" i="45"/>
  <c r="C78" i="46"/>
  <c r="E70" i="47"/>
  <c r="D74" i="47"/>
  <c r="F78" i="49"/>
  <c r="F71" i="50"/>
  <c r="G76" i="50"/>
  <c r="F69" i="45"/>
  <c r="E80" i="45"/>
  <c r="D78" i="46"/>
  <c r="F70" i="47"/>
  <c r="E74" i="47"/>
  <c r="C67" i="49"/>
  <c r="G78" i="49"/>
  <c r="G71" i="50"/>
  <c r="H76" i="50"/>
  <c r="H65" i="45"/>
  <c r="D72" i="46"/>
  <c r="E79" i="46"/>
  <c r="H78" i="49"/>
  <c r="G72" i="50"/>
  <c r="I76" i="50"/>
  <c r="H82" i="50"/>
  <c r="F78" i="47"/>
  <c r="C69" i="49"/>
  <c r="J65" i="50"/>
  <c r="G69" i="49"/>
  <c r="G78" i="45"/>
  <c r="D78" i="45"/>
  <c r="C78" i="45"/>
  <c r="F78" i="45"/>
  <c r="E78" i="45"/>
  <c r="F81" i="45"/>
  <c r="D81" i="47"/>
  <c r="I77" i="49"/>
  <c r="V86" i="49" s="1"/>
  <c r="H77" i="49"/>
  <c r="U86" i="49" s="1"/>
  <c r="G77" i="49"/>
  <c r="T86" i="49" s="1"/>
  <c r="D77" i="49"/>
  <c r="Q86" i="49" s="1"/>
  <c r="C77" i="49"/>
  <c r="P86" i="49" s="1"/>
  <c r="F77" i="49"/>
  <c r="S86" i="49" s="1"/>
  <c r="E77" i="49"/>
  <c r="R86" i="49" s="1"/>
  <c r="E71" i="49"/>
  <c r="F76" i="49"/>
  <c r="F74" i="45"/>
  <c r="E74" i="45"/>
  <c r="D74" i="45"/>
  <c r="C74" i="45"/>
  <c r="D79" i="47"/>
  <c r="C73" i="49"/>
  <c r="I73" i="49"/>
  <c r="F73" i="49"/>
  <c r="H73" i="49"/>
  <c r="E73" i="49"/>
  <c r="D73" i="49"/>
  <c r="G73" i="49"/>
  <c r="F79" i="45"/>
  <c r="E79" i="45"/>
  <c r="D79" i="45"/>
  <c r="C79" i="45"/>
  <c r="C76" i="45"/>
  <c r="G81" i="45"/>
  <c r="E81" i="47"/>
  <c r="F71" i="49"/>
  <c r="C67" i="50"/>
  <c r="F80" i="50"/>
  <c r="D81" i="45"/>
  <c r="E83" i="47"/>
  <c r="D83" i="47"/>
  <c r="H83" i="47"/>
  <c r="F83" i="47"/>
  <c r="C83" i="47"/>
  <c r="G83" i="47"/>
  <c r="E79" i="47"/>
  <c r="H69" i="49"/>
  <c r="C81" i="47"/>
  <c r="I76" i="49"/>
  <c r="H76" i="49"/>
  <c r="I69" i="49"/>
  <c r="E76" i="49"/>
  <c r="F81" i="47"/>
  <c r="H79" i="49"/>
  <c r="I79" i="49"/>
  <c r="G79" i="49"/>
  <c r="G71" i="49"/>
  <c r="C78" i="49"/>
  <c r="D67" i="50"/>
  <c r="D70" i="49"/>
  <c r="I70" i="49"/>
  <c r="G70" i="49"/>
  <c r="F70" i="49"/>
  <c r="E70" i="49"/>
  <c r="C70" i="49"/>
  <c r="H70" i="49"/>
  <c r="H80" i="47"/>
  <c r="G80" i="47"/>
  <c r="F80" i="47"/>
  <c r="D80" i="47"/>
  <c r="C80" i="47"/>
  <c r="E80" i="47"/>
  <c r="H71" i="49"/>
  <c r="H81" i="47"/>
  <c r="F67" i="50"/>
  <c r="D72" i="49"/>
  <c r="I67" i="50"/>
  <c r="E77" i="45"/>
  <c r="C66" i="46"/>
  <c r="F82" i="47"/>
  <c r="F72" i="49"/>
  <c r="I80" i="50"/>
  <c r="H80" i="50"/>
  <c r="I82" i="50"/>
  <c r="D71" i="49"/>
  <c r="C71" i="49"/>
  <c r="H66" i="50"/>
  <c r="G66" i="50"/>
  <c r="P86" i="50"/>
  <c r="F66" i="50"/>
  <c r="C66" i="50"/>
  <c r="E66" i="50"/>
  <c r="D66" i="50"/>
  <c r="D73" i="45"/>
  <c r="C73" i="45"/>
  <c r="F73" i="45"/>
  <c r="E73" i="45"/>
  <c r="G73" i="45"/>
  <c r="E67" i="50"/>
  <c r="F78" i="50"/>
  <c r="E78" i="50"/>
  <c r="D78" i="50"/>
  <c r="I78" i="50"/>
  <c r="H78" i="50"/>
  <c r="G78" i="50"/>
  <c r="C78" i="50"/>
  <c r="F77" i="45"/>
  <c r="H70" i="46"/>
  <c r="E70" i="46"/>
  <c r="D70" i="46"/>
  <c r="G70" i="46"/>
  <c r="F70" i="46"/>
  <c r="D66" i="46"/>
  <c r="G82" i="47"/>
  <c r="G72" i="49"/>
  <c r="C81" i="50"/>
  <c r="I81" i="50"/>
  <c r="F81" i="50"/>
  <c r="E81" i="50"/>
  <c r="H81" i="50"/>
  <c r="D81" i="50"/>
  <c r="G81" i="50"/>
  <c r="C83" i="50"/>
  <c r="C82" i="47"/>
  <c r="C72" i="49"/>
  <c r="G67" i="50"/>
  <c r="F67" i="46"/>
  <c r="C67" i="46"/>
  <c r="H67" i="46"/>
  <c r="E67" i="46"/>
  <c r="D67" i="46"/>
  <c r="G67" i="46"/>
  <c r="D82" i="47"/>
  <c r="D68" i="46"/>
  <c r="C68" i="46"/>
  <c r="G77" i="45"/>
  <c r="I71" i="46"/>
  <c r="F71" i="46"/>
  <c r="E71" i="46"/>
  <c r="D71" i="46"/>
  <c r="C71" i="46"/>
  <c r="E66" i="46"/>
  <c r="C78" i="47"/>
  <c r="G68" i="49"/>
  <c r="H72" i="49"/>
  <c r="D79" i="49"/>
  <c r="H79" i="47"/>
  <c r="G79" i="47"/>
  <c r="F79" i="47"/>
  <c r="G82" i="45"/>
  <c r="D82" i="45"/>
  <c r="F82" i="45"/>
  <c r="C82" i="45"/>
  <c r="E82" i="45"/>
  <c r="F83" i="45"/>
  <c r="E83" i="45"/>
  <c r="D83" i="45"/>
  <c r="C83" i="45"/>
  <c r="G79" i="45"/>
  <c r="F66" i="46"/>
  <c r="H72" i="46"/>
  <c r="G76" i="47"/>
  <c r="F76" i="47"/>
  <c r="H76" i="47"/>
  <c r="E76" i="47"/>
  <c r="D76" i="47"/>
  <c r="D78" i="47"/>
  <c r="H68" i="49"/>
  <c r="D74" i="49"/>
  <c r="E79" i="49"/>
  <c r="I83" i="50"/>
  <c r="H83" i="50"/>
  <c r="G83" i="50"/>
  <c r="E83" i="50"/>
  <c r="E82" i="47"/>
  <c r="E72" i="49"/>
  <c r="D79" i="50"/>
  <c r="C79" i="50"/>
  <c r="G73" i="46"/>
  <c r="F73" i="46"/>
  <c r="I73" i="46"/>
  <c r="H73" i="46"/>
  <c r="G66" i="46"/>
  <c r="C73" i="46"/>
  <c r="F77" i="47"/>
  <c r="E77" i="47"/>
  <c r="D77" i="47"/>
  <c r="C77" i="47"/>
  <c r="E68" i="49"/>
  <c r="D68" i="49"/>
  <c r="C68" i="49"/>
  <c r="I68" i="49"/>
  <c r="E74" i="49"/>
  <c r="F83" i="50"/>
  <c r="D80" i="49"/>
  <c r="C83" i="49"/>
  <c r="C69" i="50"/>
  <c r="C66" i="45"/>
  <c r="E74" i="46"/>
  <c r="G78" i="46"/>
  <c r="I74" i="46"/>
  <c r="C66" i="47"/>
  <c r="E69" i="47"/>
  <c r="E80" i="49"/>
  <c r="D83" i="49"/>
  <c r="D69" i="50"/>
  <c r="C72" i="50"/>
  <c r="F68" i="50"/>
  <c r="G68" i="50"/>
  <c r="H82" i="49"/>
  <c r="C74" i="46"/>
  <c r="E78" i="46"/>
  <c r="C80" i="49"/>
  <c r="I68" i="50"/>
  <c r="H71" i="50"/>
  <c r="D66" i="45"/>
  <c r="D70" i="45"/>
  <c r="F74" i="46"/>
  <c r="H78" i="46"/>
  <c r="D82" i="46"/>
  <c r="D66" i="47"/>
  <c r="F69" i="47"/>
  <c r="F80" i="49"/>
  <c r="E83" i="49"/>
  <c r="E69" i="50"/>
  <c r="D72" i="50"/>
  <c r="C76" i="50"/>
  <c r="E66" i="45"/>
  <c r="E70" i="45"/>
  <c r="G74" i="46"/>
  <c r="C79" i="46"/>
  <c r="E82" i="46"/>
  <c r="E66" i="47"/>
  <c r="G69" i="47"/>
  <c r="C73" i="47"/>
  <c r="G80" i="49"/>
  <c r="F83" i="49"/>
  <c r="F69" i="50"/>
  <c r="E72" i="50"/>
  <c r="D76" i="50"/>
  <c r="C69" i="47"/>
  <c r="D74" i="46"/>
  <c r="D69" i="47"/>
  <c r="K7" i="45" l="1"/>
  <c r="K13" i="49"/>
  <c r="J15" i="27"/>
  <c r="K8" i="45"/>
  <c r="Y115" i="18"/>
  <c r="K12" i="3"/>
  <c r="K7" i="49"/>
  <c r="K10" i="49"/>
  <c r="K9" i="3"/>
  <c r="Y102" i="18"/>
  <c r="K12" i="46"/>
  <c r="K7" i="50"/>
  <c r="Y116" i="18"/>
  <c r="J16" i="27"/>
  <c r="K8" i="46"/>
  <c r="K11" i="49"/>
  <c r="Y107" i="18"/>
  <c r="K9" i="46"/>
  <c r="K8" i="3"/>
  <c r="Y110" i="18"/>
  <c r="Y103" i="18"/>
  <c r="J10" i="27"/>
  <c r="Y112" i="18"/>
  <c r="K10" i="47"/>
  <c r="Y113" i="18"/>
  <c r="K13" i="50"/>
  <c r="K9" i="45"/>
  <c r="K10" i="45"/>
  <c r="K7" i="47"/>
  <c r="K10" i="3"/>
  <c r="K8" i="49"/>
  <c r="K7" i="3"/>
  <c r="J13" i="27"/>
  <c r="J12" i="27"/>
  <c r="K13" i="46"/>
  <c r="K9" i="50"/>
  <c r="J11" i="27"/>
  <c r="J14" i="27"/>
  <c r="Y104" i="18"/>
  <c r="Y105" i="18"/>
  <c r="Y106" i="18"/>
  <c r="K10" i="50"/>
  <c r="K9" i="49"/>
  <c r="W55" i="18"/>
  <c r="K11" i="46"/>
  <c r="J18" i="27"/>
  <c r="U56" i="18"/>
  <c r="V56" i="18"/>
  <c r="K8" i="50"/>
  <c r="W56" i="18"/>
  <c r="V57" i="18"/>
  <c r="X57" i="18"/>
  <c r="Y57" i="18"/>
  <c r="Z57" i="18"/>
  <c r="X55" i="18"/>
  <c r="T56" i="18"/>
  <c r="T55" i="18"/>
  <c r="AA56" i="18"/>
  <c r="T57" i="18"/>
  <c r="U55" i="18"/>
  <c r="U64" i="18" s="1"/>
  <c r="Y55" i="18"/>
  <c r="AA55" i="18"/>
  <c r="X56" i="18"/>
  <c r="Y56" i="18"/>
  <c r="Z56" i="18"/>
  <c r="W57" i="18"/>
  <c r="AA57" i="18"/>
  <c r="K11" i="45"/>
  <c r="U57" i="18"/>
  <c r="K10" i="46"/>
  <c r="K11" i="50"/>
  <c r="K11" i="3"/>
  <c r="V55" i="18"/>
  <c r="K7" i="46"/>
  <c r="I65" i="47"/>
  <c r="J65" i="49"/>
  <c r="H71" i="45"/>
  <c r="Z55" i="18"/>
  <c r="Z64" i="18" s="1"/>
  <c r="J83" i="46"/>
  <c r="I67" i="47"/>
  <c r="J76" i="46"/>
  <c r="AA127" i="18"/>
  <c r="Z127" i="18"/>
  <c r="AB127" i="18"/>
  <c r="AC127" i="18"/>
  <c r="AA103" i="18"/>
  <c r="S64" i="31"/>
  <c r="AJ64" i="31" s="1"/>
  <c r="R64" i="31"/>
  <c r="AI64" i="31" s="1"/>
  <c r="Q64" i="31"/>
  <c r="AH64" i="31" s="1"/>
  <c r="P64" i="31"/>
  <c r="AG64" i="31" s="1"/>
  <c r="O64" i="31"/>
  <c r="AF64" i="31" s="1"/>
  <c r="N64" i="31"/>
  <c r="AE64" i="31" s="1"/>
  <c r="M64" i="31"/>
  <c r="AD64" i="31" s="1"/>
  <c r="L64" i="31"/>
  <c r="AC64" i="31" s="1"/>
  <c r="K64" i="31"/>
  <c r="AB64" i="31" s="1"/>
  <c r="J64" i="31"/>
  <c r="AA64" i="31" s="1"/>
  <c r="I64" i="31"/>
  <c r="Z64" i="31" s="1"/>
  <c r="H64" i="31"/>
  <c r="Y64" i="31" s="1"/>
  <c r="G64" i="31"/>
  <c r="X64" i="31" s="1"/>
  <c r="F64" i="31"/>
  <c r="W64" i="31" s="1"/>
  <c r="E64" i="31"/>
  <c r="V64" i="31" s="1"/>
  <c r="AB45" i="31"/>
  <c r="AB24" i="31" s="1"/>
  <c r="AA115" i="18"/>
  <c r="AA45" i="31"/>
  <c r="AA24" i="31" s="1"/>
  <c r="AC45" i="31"/>
  <c r="AC24" i="31" s="1"/>
  <c r="AB117" i="18"/>
  <c r="AD45" i="31"/>
  <c r="AD24" i="31" s="1"/>
  <c r="AA114" i="18"/>
  <c r="U108" i="18"/>
  <c r="AE45" i="31"/>
  <c r="AE24" i="31" s="1"/>
  <c r="AC108" i="18"/>
  <c r="Z45" i="31"/>
  <c r="Z24" i="31" s="1"/>
  <c r="AF45" i="31"/>
  <c r="AF24" i="31" s="1"/>
  <c r="AG45" i="31"/>
  <c r="AG24" i="31" s="1"/>
  <c r="AH45" i="31"/>
  <c r="AH24" i="31" s="1"/>
  <c r="AI45" i="31"/>
  <c r="AI24" i="31" s="1"/>
  <c r="AJ45" i="31"/>
  <c r="AJ24" i="31" s="1"/>
  <c r="W45" i="31"/>
  <c r="W24" i="31" s="1"/>
  <c r="V45" i="31"/>
  <c r="V24" i="31" s="1"/>
  <c r="Y45" i="31"/>
  <c r="Y24" i="31" s="1"/>
  <c r="X45" i="31"/>
  <c r="X24" i="31" s="1"/>
  <c r="J82" i="50"/>
  <c r="AC114" i="18"/>
  <c r="AB142" i="18"/>
  <c r="AA108" i="18"/>
  <c r="AC115" i="18"/>
  <c r="X65" i="31"/>
  <c r="X26" i="31" s="1"/>
  <c r="W65" i="31"/>
  <c r="W26" i="31" s="1"/>
  <c r="L34" i="31"/>
  <c r="AC34" i="31" s="1"/>
  <c r="AB114" i="18"/>
  <c r="AC113" i="18"/>
  <c r="H72" i="45"/>
  <c r="AB103" i="18"/>
  <c r="AB112" i="18"/>
  <c r="Z131" i="18"/>
  <c r="Z114" i="18"/>
  <c r="AB105" i="18"/>
  <c r="AC142" i="18"/>
  <c r="AB110" i="18"/>
  <c r="Z108" i="18"/>
  <c r="Z107" i="18"/>
  <c r="AB115" i="18"/>
  <c r="Z136" i="18"/>
  <c r="AA102" i="18"/>
  <c r="AA104" i="18"/>
  <c r="Z125" i="18"/>
  <c r="Z126" i="18"/>
  <c r="Z116" i="18"/>
  <c r="AB107" i="18"/>
  <c r="AC65" i="31"/>
  <c r="AC26" i="31" s="1"/>
  <c r="F49" i="31"/>
  <c r="AD65" i="31"/>
  <c r="AD26" i="31" s="1"/>
  <c r="V65" i="31"/>
  <c r="V26" i="31" s="1"/>
  <c r="AF65" i="31"/>
  <c r="AF26" i="31" s="1"/>
  <c r="H49" i="31"/>
  <c r="AH65" i="31"/>
  <c r="AH26" i="31" s="1"/>
  <c r="L49" i="31"/>
  <c r="AI65" i="31"/>
  <c r="AI26" i="31" s="1"/>
  <c r="E49" i="31"/>
  <c r="K49" i="31"/>
  <c r="P49" i="31"/>
  <c r="AB65" i="31"/>
  <c r="AB26" i="31" s="1"/>
  <c r="AJ65" i="31"/>
  <c r="AJ26" i="31" s="1"/>
  <c r="J49" i="31"/>
  <c r="G49" i="31"/>
  <c r="O49" i="31"/>
  <c r="M49" i="31"/>
  <c r="Z65" i="31"/>
  <c r="Z26" i="31" s="1"/>
  <c r="Q49" i="31"/>
  <c r="AH49" i="31" s="1"/>
  <c r="R49" i="31"/>
  <c r="Y65" i="31"/>
  <c r="Y26" i="31" s="1"/>
  <c r="I49" i="31"/>
  <c r="S49" i="31"/>
  <c r="AE65" i="31"/>
  <c r="AE26" i="31" s="1"/>
  <c r="AA65" i="31"/>
  <c r="AA26" i="31" s="1"/>
  <c r="AG65" i="31"/>
  <c r="AG26" i="31" s="1"/>
  <c r="O34" i="31"/>
  <c r="AF34" i="31" s="1"/>
  <c r="I34" i="31"/>
  <c r="Z34" i="31" s="1"/>
  <c r="J34" i="31"/>
  <c r="AA34" i="31" s="1"/>
  <c r="G39" i="31"/>
  <c r="X39" i="31" s="1"/>
  <c r="H44" i="31"/>
  <c r="Y44" i="31" s="1"/>
  <c r="Q34" i="31"/>
  <c r="AH34" i="31" s="1"/>
  <c r="I39" i="31"/>
  <c r="Z39" i="31" s="1"/>
  <c r="N34" i="31"/>
  <c r="AE34" i="31" s="1"/>
  <c r="N44" i="31"/>
  <c r="AE44" i="31" s="1"/>
  <c r="P34" i="31"/>
  <c r="AG34" i="31" s="1"/>
  <c r="M44" i="31"/>
  <c r="AD44" i="31" s="1"/>
  <c r="M34" i="31"/>
  <c r="AD34" i="31" s="1"/>
  <c r="S44" i="31"/>
  <c r="AJ44" i="31" s="1"/>
  <c r="Q39" i="31"/>
  <c r="AH39" i="31" s="1"/>
  <c r="J44" i="31"/>
  <c r="AA44" i="31" s="1"/>
  <c r="R34" i="31"/>
  <c r="AI34" i="31" s="1"/>
  <c r="S34" i="31"/>
  <c r="AJ34" i="31" s="1"/>
  <c r="P39" i="31"/>
  <c r="AG39" i="31" s="1"/>
  <c r="G34" i="31"/>
  <c r="X34" i="31" s="1"/>
  <c r="Q44" i="31"/>
  <c r="AH44" i="31" s="1"/>
  <c r="E34" i="31"/>
  <c r="V34" i="31" s="1"/>
  <c r="V19" i="31" s="1"/>
  <c r="M39" i="31"/>
  <c r="AD39" i="31" s="1"/>
  <c r="N39" i="31"/>
  <c r="AE39" i="31" s="1"/>
  <c r="K34" i="31"/>
  <c r="AB34" i="31" s="1"/>
  <c r="O44" i="31"/>
  <c r="AF44" i="31" s="1"/>
  <c r="R39" i="31"/>
  <c r="AI39" i="31" s="1"/>
  <c r="S39" i="31"/>
  <c r="AJ39" i="31" s="1"/>
  <c r="J39" i="31"/>
  <c r="AA39" i="31" s="1"/>
  <c r="H34" i="31"/>
  <c r="Y34" i="31" s="1"/>
  <c r="L44" i="31"/>
  <c r="AC44" i="31" s="1"/>
  <c r="G44" i="31"/>
  <c r="X44" i="31" s="1"/>
  <c r="F39" i="31"/>
  <c r="W39" i="31" s="1"/>
  <c r="K44" i="31"/>
  <c r="AB44" i="31" s="1"/>
  <c r="O39" i="31"/>
  <c r="AF39" i="31" s="1"/>
  <c r="R44" i="31"/>
  <c r="AI44" i="31" s="1"/>
  <c r="H39" i="31"/>
  <c r="Y39" i="31" s="1"/>
  <c r="I44" i="31"/>
  <c r="Z44" i="31" s="1"/>
  <c r="AA124" i="18"/>
  <c r="Z124" i="18"/>
  <c r="AC124" i="18"/>
  <c r="AB124" i="18"/>
  <c r="AA142" i="18"/>
  <c r="Z112" i="18"/>
  <c r="AA110" i="18"/>
  <c r="Z117" i="18"/>
  <c r="I18" i="27"/>
  <c r="H18" i="27"/>
  <c r="G18" i="27"/>
  <c r="F18" i="27"/>
  <c r="E18" i="27"/>
  <c r="L39" i="31"/>
  <c r="AC39" i="31" s="1"/>
  <c r="X136" i="18"/>
  <c r="Z142" i="18"/>
  <c r="AA106" i="18"/>
  <c r="AC110" i="18"/>
  <c r="Z115" i="18"/>
  <c r="Z104" i="18"/>
  <c r="K39" i="31"/>
  <c r="AB39" i="31" s="1"/>
  <c r="W136" i="18"/>
  <c r="AC105" i="18"/>
  <c r="Z103" i="18"/>
  <c r="Z110" i="18"/>
  <c r="AA132" i="18"/>
  <c r="Z132" i="18"/>
  <c r="AC132" i="18"/>
  <c r="AB132" i="18"/>
  <c r="P44" i="31"/>
  <c r="AG44" i="31" s="1"/>
  <c r="AC136" i="18"/>
  <c r="AA105" i="18"/>
  <c r="Z105" i="18"/>
  <c r="AA136" i="18"/>
  <c r="AB106" i="18"/>
  <c r="AB108" i="18"/>
  <c r="H77" i="45"/>
  <c r="AC103" i="18"/>
  <c r="Y136" i="18"/>
  <c r="Z138" i="18"/>
  <c r="AB138" i="18"/>
  <c r="AC138" i="18"/>
  <c r="V136" i="18"/>
  <c r="AC102" i="18"/>
  <c r="I68" i="47"/>
  <c r="Z141" i="18"/>
  <c r="AA141" i="18"/>
  <c r="AC141" i="18"/>
  <c r="AB141" i="18"/>
  <c r="AA126" i="18"/>
  <c r="Z102" i="18"/>
  <c r="AC106" i="18"/>
  <c r="AC126" i="18"/>
  <c r="AC104" i="18"/>
  <c r="AA128" i="18"/>
  <c r="AB128" i="18"/>
  <c r="AC128" i="18"/>
  <c r="Z128" i="18"/>
  <c r="AB126" i="18"/>
  <c r="AB102" i="18"/>
  <c r="AB113" i="18"/>
  <c r="Z106" i="18"/>
  <c r="AA117" i="18"/>
  <c r="N49" i="31"/>
  <c r="AA113" i="18"/>
  <c r="AB125" i="18"/>
  <c r="AA133" i="18"/>
  <c r="AB133" i="18"/>
  <c r="AC133" i="18"/>
  <c r="Z133" i="18"/>
  <c r="AC131" i="18"/>
  <c r="AB116" i="18"/>
  <c r="AB104" i="18"/>
  <c r="AC107" i="18"/>
  <c r="AA107" i="18"/>
  <c r="AC125" i="18"/>
  <c r="AC140" i="18"/>
  <c r="Z140" i="18"/>
  <c r="AB140" i="18"/>
  <c r="AA140" i="18"/>
  <c r="AC117" i="18"/>
  <c r="AA125" i="18"/>
  <c r="Z135" i="18"/>
  <c r="AA135" i="18"/>
  <c r="AB135" i="18"/>
  <c r="AC135" i="18"/>
  <c r="Z130" i="18"/>
  <c r="AA130" i="18"/>
  <c r="AC130" i="18"/>
  <c r="AB130" i="18"/>
  <c r="AB131" i="18"/>
  <c r="Y137" i="18"/>
  <c r="Z137" i="18"/>
  <c r="AB137" i="18"/>
  <c r="AC137" i="18"/>
  <c r="AA137" i="18"/>
  <c r="V137" i="18"/>
  <c r="W137" i="18"/>
  <c r="X137" i="18"/>
  <c r="AA129" i="18"/>
  <c r="X129" i="18"/>
  <c r="AB129" i="18"/>
  <c r="Y129" i="18"/>
  <c r="AC129" i="18"/>
  <c r="Z129" i="18"/>
  <c r="U129" i="18"/>
  <c r="V129" i="18"/>
  <c r="W129" i="18"/>
  <c r="AB136" i="18"/>
  <c r="AA131" i="18"/>
  <c r="AA139" i="18"/>
  <c r="AC139" i="18"/>
  <c r="Z139" i="18"/>
  <c r="AB139" i="18"/>
  <c r="Z113" i="18"/>
  <c r="J70" i="46"/>
  <c r="J73" i="50"/>
  <c r="H80" i="45"/>
  <c r="I83" i="3"/>
  <c r="I73" i="47"/>
  <c r="G64" i="47"/>
  <c r="I79" i="47"/>
  <c r="H74" i="45"/>
  <c r="E75" i="46"/>
  <c r="I69" i="47"/>
  <c r="I66" i="47"/>
  <c r="J81" i="46"/>
  <c r="I74" i="47"/>
  <c r="I75" i="46"/>
  <c r="H75" i="47"/>
  <c r="J80" i="46"/>
  <c r="J79" i="46"/>
  <c r="I81" i="47"/>
  <c r="G64" i="45"/>
  <c r="P86" i="45" s="1"/>
  <c r="J78" i="46"/>
  <c r="I64" i="46"/>
  <c r="H64" i="47"/>
  <c r="H70" i="45"/>
  <c r="J68" i="46"/>
  <c r="H78" i="45"/>
  <c r="I70" i="47"/>
  <c r="G75" i="46"/>
  <c r="H64" i="46"/>
  <c r="H68" i="45"/>
  <c r="J77" i="46"/>
  <c r="R86" i="46"/>
  <c r="I64" i="49"/>
  <c r="H82" i="45"/>
  <c r="G75" i="47"/>
  <c r="I83" i="47"/>
  <c r="J68" i="49"/>
  <c r="I82" i="47"/>
  <c r="J66" i="46"/>
  <c r="H75" i="49"/>
  <c r="G64" i="46"/>
  <c r="E75" i="49"/>
  <c r="F64" i="47"/>
  <c r="I77" i="47"/>
  <c r="J70" i="49"/>
  <c r="J74" i="46"/>
  <c r="H75" i="46"/>
  <c r="F75" i="47"/>
  <c r="P86" i="46"/>
  <c r="E64" i="49"/>
  <c r="J73" i="46"/>
  <c r="J78" i="50"/>
  <c r="G64" i="49"/>
  <c r="J83" i="50"/>
  <c r="E75" i="50"/>
  <c r="E64" i="47"/>
  <c r="J71" i="50"/>
  <c r="J72" i="46"/>
  <c r="J69" i="46"/>
  <c r="G75" i="45"/>
  <c r="F75" i="50"/>
  <c r="J82" i="46"/>
  <c r="J67" i="46"/>
  <c r="J71" i="46"/>
  <c r="H83" i="45"/>
  <c r="J67" i="50"/>
  <c r="G64" i="50"/>
  <c r="J80" i="50"/>
  <c r="H64" i="50"/>
  <c r="I64" i="50"/>
  <c r="E64" i="50"/>
  <c r="J70" i="50"/>
  <c r="J66" i="50"/>
  <c r="C64" i="50"/>
  <c r="D64" i="50"/>
  <c r="F64" i="50"/>
  <c r="J74" i="50"/>
  <c r="J68" i="50"/>
  <c r="G75" i="50"/>
  <c r="H75" i="50"/>
  <c r="J69" i="50"/>
  <c r="J81" i="50"/>
  <c r="J79" i="50"/>
  <c r="J77" i="50"/>
  <c r="C75" i="50"/>
  <c r="J76" i="50"/>
  <c r="I75" i="50"/>
  <c r="J72" i="50"/>
  <c r="D75" i="50"/>
  <c r="C64" i="49"/>
  <c r="J66" i="49"/>
  <c r="J82" i="49"/>
  <c r="I75" i="49"/>
  <c r="J83" i="49"/>
  <c r="D64" i="49"/>
  <c r="J81" i="49"/>
  <c r="C75" i="49"/>
  <c r="J76" i="49"/>
  <c r="J79" i="49"/>
  <c r="J77" i="49"/>
  <c r="F75" i="49"/>
  <c r="F64" i="49"/>
  <c r="J80" i="49"/>
  <c r="D75" i="49"/>
  <c r="G75" i="49"/>
  <c r="H64" i="49"/>
  <c r="J78" i="49"/>
  <c r="J73" i="49"/>
  <c r="J71" i="49"/>
  <c r="J74" i="49"/>
  <c r="J69" i="49"/>
  <c r="J72" i="49"/>
  <c r="J67" i="49"/>
  <c r="D64" i="47"/>
  <c r="I80" i="47"/>
  <c r="C75" i="47"/>
  <c r="I76" i="47"/>
  <c r="I72" i="47"/>
  <c r="E75" i="47"/>
  <c r="C64" i="47"/>
  <c r="I78" i="47"/>
  <c r="D75" i="47"/>
  <c r="I71" i="47"/>
  <c r="C75" i="46"/>
  <c r="E64" i="46"/>
  <c r="C64" i="46"/>
  <c r="D64" i="46"/>
  <c r="F75" i="46"/>
  <c r="D75" i="46"/>
  <c r="F64" i="46"/>
  <c r="D75" i="45"/>
  <c r="E64" i="45"/>
  <c r="N86" i="45" s="1"/>
  <c r="C64" i="45"/>
  <c r="L86" i="45" s="1"/>
  <c r="H66" i="45"/>
  <c r="F64" i="45"/>
  <c r="O86" i="45" s="1"/>
  <c r="H69" i="45"/>
  <c r="H79" i="45"/>
  <c r="F75" i="45"/>
  <c r="C75" i="45"/>
  <c r="H76" i="45"/>
  <c r="H81" i="45"/>
  <c r="H67" i="45"/>
  <c r="H73" i="45"/>
  <c r="E75" i="45"/>
  <c r="D64" i="45"/>
  <c r="M86" i="45" s="1"/>
  <c r="Y64" i="18" l="1"/>
  <c r="K13" i="47"/>
  <c r="X64" i="18"/>
  <c r="AA64" i="18"/>
  <c r="K14" i="46"/>
  <c r="K13" i="3"/>
  <c r="K12" i="45"/>
  <c r="K14" i="49"/>
  <c r="J17" i="27"/>
  <c r="U65" i="18"/>
  <c r="W65" i="18"/>
  <c r="K14" i="50"/>
  <c r="W66" i="18"/>
  <c r="AA65" i="18"/>
  <c r="Z66" i="18"/>
  <c r="V64" i="18"/>
  <c r="Y66" i="18"/>
  <c r="X66" i="18"/>
  <c r="V66" i="18"/>
  <c r="U66" i="18"/>
  <c r="V65" i="18"/>
  <c r="AA66" i="18"/>
  <c r="Z65" i="18"/>
  <c r="Y65" i="18"/>
  <c r="W64" i="18"/>
  <c r="X65" i="18"/>
  <c r="W58" i="31"/>
  <c r="AA58" i="31"/>
  <c r="X63" i="31"/>
  <c r="W60" i="31"/>
  <c r="Z63" i="31"/>
  <c r="Z60" i="31"/>
  <c r="AD59" i="31"/>
  <c r="W56" i="31"/>
  <c r="AD60" i="31"/>
  <c r="Y59" i="31"/>
  <c r="AA59" i="31"/>
  <c r="X61" i="31"/>
  <c r="X62" i="31"/>
  <c r="X59" i="31"/>
  <c r="Y57" i="31"/>
  <c r="Y60" i="31"/>
  <c r="W63" i="31"/>
  <c r="AI60" i="31"/>
  <c r="X57" i="31"/>
  <c r="AA63" i="31"/>
  <c r="AG61" i="31"/>
  <c r="AI62" i="31"/>
  <c r="V58" i="31"/>
  <c r="Z56" i="31"/>
  <c r="AI56" i="31"/>
  <c r="W59" i="31"/>
  <c r="W61" i="31"/>
  <c r="Y56" i="31"/>
  <c r="V61" i="31"/>
  <c r="W62" i="31"/>
  <c r="X56" i="31"/>
  <c r="W57" i="31"/>
  <c r="V57" i="31"/>
  <c r="AF59" i="31"/>
  <c r="AH59" i="31"/>
  <c r="Z59" i="31"/>
  <c r="Z57" i="31"/>
  <c r="AF61" i="31"/>
  <c r="Y58" i="31"/>
  <c r="AB63" i="31"/>
  <c r="Z58" i="31"/>
  <c r="Y61" i="31"/>
  <c r="AE56" i="31"/>
  <c r="AG58" i="31"/>
  <c r="AB61" i="31"/>
  <c r="AA60" i="31"/>
  <c r="AI61" i="31"/>
  <c r="X60" i="31"/>
  <c r="Y63" i="31"/>
  <c r="AD61" i="31"/>
  <c r="AE62" i="31"/>
  <c r="Y62" i="31"/>
  <c r="V63" i="31"/>
  <c r="AH57" i="31"/>
  <c r="Y23" i="31"/>
  <c r="AI57" i="31"/>
  <c r="AJ58" i="31"/>
  <c r="AE60" i="31"/>
  <c r="Z62" i="31"/>
  <c r="AF63" i="31"/>
  <c r="AD56" i="31"/>
  <c r="X58" i="31"/>
  <c r="AG62" i="31"/>
  <c r="AC59" i="31"/>
  <c r="AE61" i="31"/>
  <c r="AJ62" i="31"/>
  <c r="AG60" i="31"/>
  <c r="V56" i="31"/>
  <c r="AC63" i="31"/>
  <c r="AC56" i="31"/>
  <c r="AF58" i="31"/>
  <c r="V60" i="31"/>
  <c r="AA62" i="31"/>
  <c r="V59" i="31"/>
  <c r="AB57" i="31"/>
  <c r="AH61" i="31"/>
  <c r="AG63" i="31"/>
  <c r="AE59" i="31"/>
  <c r="AA61" i="31"/>
  <c r="AG56" i="31"/>
  <c r="AI58" i="31"/>
  <c r="AG57" i="31"/>
  <c r="AD62" i="31"/>
  <c r="AJ59" i="31"/>
  <c r="AF57" i="31"/>
  <c r="AC60" i="31"/>
  <c r="AD57" i="31"/>
  <c r="AE58" i="31"/>
  <c r="AC61" i="31"/>
  <c r="AB56" i="31"/>
  <c r="AH63" i="31"/>
  <c r="AB59" i="31"/>
  <c r="AD63" i="31"/>
  <c r="AE57" i="31"/>
  <c r="AG59" i="31"/>
  <c r="AB58" i="31"/>
  <c r="Z61" i="31"/>
  <c r="AA57" i="31"/>
  <c r="AH58" i="31"/>
  <c r="AA56" i="31"/>
  <c r="AF62" i="31"/>
  <c r="AF56" i="31"/>
  <c r="AC58" i="31"/>
  <c r="AF60" i="31"/>
  <c r="AC62" i="31"/>
  <c r="AJ61" i="31"/>
  <c r="AI59" i="31"/>
  <c r="AD58" i="31"/>
  <c r="AH62" i="31"/>
  <c r="AB60" i="31"/>
  <c r="AJ60" i="31"/>
  <c r="AJ63" i="31"/>
  <c r="AH60" i="31"/>
  <c r="AB62" i="31"/>
  <c r="AC57" i="31"/>
  <c r="V62" i="31"/>
  <c r="AJ57" i="31"/>
  <c r="AI63" i="31"/>
  <c r="AH56" i="31"/>
  <c r="AE63" i="31"/>
  <c r="AJ56" i="31"/>
  <c r="AA12" i="31"/>
  <c r="AA16" i="31"/>
  <c r="AE12" i="31"/>
  <c r="AE16" i="31"/>
  <c r="AF12" i="31"/>
  <c r="AF16" i="31"/>
  <c r="AG12" i="31"/>
  <c r="AG16" i="31"/>
  <c r="AH12" i="31"/>
  <c r="AH16" i="31"/>
  <c r="AI12" i="31"/>
  <c r="AI16" i="31"/>
  <c r="AJ12" i="31"/>
  <c r="AJ16" i="31"/>
  <c r="AD12" i="31"/>
  <c r="AD16" i="31"/>
  <c r="AB12" i="31"/>
  <c r="AB16" i="31"/>
  <c r="V12" i="31"/>
  <c r="V16" i="31"/>
  <c r="X12" i="31"/>
  <c r="X16" i="31"/>
  <c r="Y12" i="31"/>
  <c r="Y16" i="31"/>
  <c r="AC12" i="31"/>
  <c r="AC16" i="31"/>
  <c r="W12" i="31"/>
  <c r="W16" i="31"/>
  <c r="Z12" i="31"/>
  <c r="Z16" i="31"/>
  <c r="AB23" i="31"/>
  <c r="AF23" i="31"/>
  <c r="AE23" i="31"/>
  <c r="AI23" i="31"/>
  <c r="AH23" i="31"/>
  <c r="AG23" i="31"/>
  <c r="AA23" i="31"/>
  <c r="Z23" i="31"/>
  <c r="AD23" i="31"/>
  <c r="X23" i="31"/>
  <c r="V23" i="31"/>
  <c r="AC23" i="31"/>
  <c r="W23" i="31"/>
  <c r="AJ23" i="31"/>
  <c r="G50" i="31"/>
  <c r="X49" i="31"/>
  <c r="F50" i="31"/>
  <c r="W49" i="31"/>
  <c r="N50" i="31"/>
  <c r="AE50" i="31" s="1"/>
  <c r="AE49" i="31"/>
  <c r="M50" i="31"/>
  <c r="AD49" i="31"/>
  <c r="J50" i="31"/>
  <c r="AA50" i="31" s="1"/>
  <c r="AA49" i="31"/>
  <c r="K50" i="31"/>
  <c r="AB50" i="31" s="1"/>
  <c r="AB49" i="31"/>
  <c r="E50" i="31"/>
  <c r="V49" i="31"/>
  <c r="S50" i="31"/>
  <c r="AJ49" i="31"/>
  <c r="O50" i="31"/>
  <c r="AF49" i="31"/>
  <c r="I50" i="31"/>
  <c r="Z50" i="31" s="1"/>
  <c r="Z49" i="31"/>
  <c r="L50" i="31"/>
  <c r="AC50" i="31" s="1"/>
  <c r="AC49" i="31"/>
  <c r="P50" i="31"/>
  <c r="AG49" i="31"/>
  <c r="R50" i="31"/>
  <c r="AI50" i="31" s="1"/>
  <c r="AI49" i="31"/>
  <c r="H50" i="31"/>
  <c r="Y50" i="31" s="1"/>
  <c r="Y49" i="31"/>
  <c r="T136" i="18"/>
  <c r="Q50" i="31"/>
  <c r="AH50" i="31" s="1"/>
  <c r="T129" i="18"/>
  <c r="AB143" i="18"/>
  <c r="AC143" i="18"/>
  <c r="Z143" i="18"/>
  <c r="AA143" i="18"/>
  <c r="T137" i="18"/>
  <c r="J64" i="50"/>
  <c r="J75" i="50"/>
  <c r="J75" i="49"/>
  <c r="J64" i="49"/>
  <c r="I64" i="47"/>
  <c r="J65" i="47" s="1"/>
  <c r="I75" i="47"/>
  <c r="J82" i="47" s="1"/>
  <c r="J64" i="46"/>
  <c r="J75" i="46"/>
  <c r="H75" i="45"/>
  <c r="H64" i="45"/>
  <c r="J50" i="11"/>
  <c r="K50" i="11"/>
  <c r="L50" i="11"/>
  <c r="J51" i="11"/>
  <c r="K51" i="11"/>
  <c r="L51" i="11"/>
  <c r="J52" i="11"/>
  <c r="J54" i="11"/>
  <c r="L54" i="11"/>
  <c r="J55" i="11"/>
  <c r="K55" i="11"/>
  <c r="J56" i="11"/>
  <c r="K56" i="11"/>
  <c r="J57" i="11"/>
  <c r="K57" i="11"/>
  <c r="J58" i="11"/>
  <c r="I59" i="11"/>
  <c r="J60" i="11"/>
  <c r="L60" i="11"/>
  <c r="J61" i="11"/>
  <c r="K61" i="11"/>
  <c r="J62" i="11"/>
  <c r="K62" i="11"/>
  <c r="J63" i="11"/>
  <c r="J64" i="11"/>
  <c r="L64" i="11"/>
  <c r="J65" i="11"/>
  <c r="J66" i="11"/>
  <c r="J67" i="11"/>
  <c r="K67" i="11"/>
  <c r="J68" i="11"/>
  <c r="J69" i="11"/>
  <c r="J70" i="11"/>
  <c r="K70" i="11"/>
  <c r="L70" i="11"/>
  <c r="J71" i="11"/>
  <c r="J72" i="11"/>
  <c r="J74" i="11"/>
  <c r="J75" i="11"/>
  <c r="K75" i="11"/>
  <c r="J76" i="11"/>
  <c r="K76" i="11"/>
  <c r="J77" i="11"/>
  <c r="J79" i="11"/>
  <c r="L79" i="11"/>
  <c r="J80" i="11"/>
  <c r="K80" i="11"/>
  <c r="J81" i="11"/>
  <c r="K81" i="11"/>
  <c r="J82" i="11"/>
  <c r="K82" i="11"/>
  <c r="J83" i="11"/>
  <c r="I84" i="11"/>
  <c r="J85" i="11"/>
  <c r="J86" i="11"/>
  <c r="K86" i="11"/>
  <c r="J87" i="11"/>
  <c r="K87" i="11"/>
  <c r="J88" i="11"/>
  <c r="J89" i="11"/>
  <c r="L89" i="11"/>
  <c r="J90" i="11"/>
  <c r="J91" i="11"/>
  <c r="J92" i="11"/>
  <c r="K92" i="11"/>
  <c r="J93" i="11"/>
  <c r="J94" i="11"/>
  <c r="L94" i="11"/>
  <c r="J95" i="11"/>
  <c r="K95" i="11"/>
  <c r="J96" i="11"/>
  <c r="J97" i="11"/>
  <c r="J99" i="11"/>
  <c r="J100" i="11"/>
  <c r="K100" i="11"/>
  <c r="L100" i="11"/>
  <c r="J101" i="11"/>
  <c r="K101" i="11"/>
  <c r="J102" i="11"/>
  <c r="J104" i="11"/>
  <c r="L104" i="11"/>
  <c r="J105" i="11"/>
  <c r="K105" i="11"/>
  <c r="J106" i="11"/>
  <c r="K106" i="11"/>
  <c r="J107" i="11"/>
  <c r="K107" i="11"/>
  <c r="J48" i="11"/>
  <c r="Z13" i="11"/>
  <c r="Z14" i="11" s="1"/>
  <c r="Z15" i="11" s="1"/>
  <c r="Z16" i="11" s="1"/>
  <c r="Z17" i="11" s="1"/>
  <c r="Z18" i="11" s="1"/>
  <c r="Z19" i="11" s="1"/>
  <c r="Z20" i="11" s="1"/>
  <c r="Z21" i="11" s="1"/>
  <c r="Z22" i="11" s="1"/>
  <c r="AB11" i="11"/>
  <c r="L52" i="11" s="1"/>
  <c r="AA11" i="11"/>
  <c r="K48" i="11" s="1"/>
  <c r="Z12" i="11"/>
  <c r="Z11" i="11"/>
  <c r="J59" i="11" s="1"/>
  <c r="Y12" i="11"/>
  <c r="Y13" i="11"/>
  <c r="Y14" i="11"/>
  <c r="Y15" i="11"/>
  <c r="Y16" i="11"/>
  <c r="Y17" i="11"/>
  <c r="Y18" i="11"/>
  <c r="Y19" i="11"/>
  <c r="Y20" i="11"/>
  <c r="Y21" i="11"/>
  <c r="Y22" i="11"/>
  <c r="Y11" i="11"/>
  <c r="I49" i="11" s="1"/>
  <c r="S143" i="18"/>
  <c r="C49" i="11"/>
  <c r="D49" i="11"/>
  <c r="C50" i="11"/>
  <c r="D50" i="11"/>
  <c r="C51" i="11"/>
  <c r="D51" i="11"/>
  <c r="C52" i="11"/>
  <c r="D52" i="11"/>
  <c r="C53" i="11"/>
  <c r="D53" i="11"/>
  <c r="C54" i="11"/>
  <c r="D54" i="11"/>
  <c r="C55" i="11"/>
  <c r="D55" i="11"/>
  <c r="C56" i="11"/>
  <c r="D56" i="11"/>
  <c r="C57" i="11"/>
  <c r="D57" i="11"/>
  <c r="C58" i="11"/>
  <c r="D58" i="11"/>
  <c r="C59" i="11"/>
  <c r="D59" i="11"/>
  <c r="C60" i="11"/>
  <c r="D60" i="11"/>
  <c r="C61" i="11"/>
  <c r="D61" i="11"/>
  <c r="C62" i="11"/>
  <c r="D62" i="11"/>
  <c r="C63" i="11"/>
  <c r="D63" i="11"/>
  <c r="C64" i="11"/>
  <c r="D64" i="11"/>
  <c r="C65" i="11"/>
  <c r="D65" i="11"/>
  <c r="C66" i="11"/>
  <c r="D66" i="11"/>
  <c r="C67" i="11"/>
  <c r="D67" i="11"/>
  <c r="C68" i="11"/>
  <c r="D68" i="11"/>
  <c r="C69" i="11"/>
  <c r="D69" i="11"/>
  <c r="C70" i="11"/>
  <c r="D70" i="11"/>
  <c r="C71" i="11"/>
  <c r="D71" i="11"/>
  <c r="C72" i="11"/>
  <c r="D72" i="11"/>
  <c r="C73" i="11"/>
  <c r="D73" i="11"/>
  <c r="C74" i="11"/>
  <c r="D74" i="11"/>
  <c r="C75" i="11"/>
  <c r="D75" i="11"/>
  <c r="C76" i="11"/>
  <c r="D76" i="11"/>
  <c r="C77" i="11"/>
  <c r="D77" i="11"/>
  <c r="C78" i="11"/>
  <c r="D78" i="11"/>
  <c r="C79" i="11"/>
  <c r="D79" i="11"/>
  <c r="C80" i="11"/>
  <c r="D80" i="11"/>
  <c r="C81" i="11"/>
  <c r="D81" i="11"/>
  <c r="C82" i="11"/>
  <c r="D82" i="11"/>
  <c r="C83" i="11"/>
  <c r="D83" i="11"/>
  <c r="C84" i="11"/>
  <c r="D84" i="11"/>
  <c r="C85" i="11"/>
  <c r="D85" i="11"/>
  <c r="C86" i="11"/>
  <c r="D86" i="11"/>
  <c r="C87" i="11"/>
  <c r="D87" i="11"/>
  <c r="C88" i="11"/>
  <c r="D88" i="11"/>
  <c r="C89" i="11"/>
  <c r="D89" i="11"/>
  <c r="C90" i="11"/>
  <c r="D90" i="11"/>
  <c r="C91" i="11"/>
  <c r="D91" i="11"/>
  <c r="C92" i="11"/>
  <c r="D92" i="11"/>
  <c r="C93" i="11"/>
  <c r="D93" i="11"/>
  <c r="C94" i="11"/>
  <c r="D94" i="11"/>
  <c r="C95" i="11"/>
  <c r="D95" i="11"/>
  <c r="C96" i="11"/>
  <c r="D96" i="11"/>
  <c r="C97" i="11"/>
  <c r="D97" i="11"/>
  <c r="C98" i="11"/>
  <c r="D98" i="11"/>
  <c r="C99" i="11"/>
  <c r="D99" i="11"/>
  <c r="C100" i="11"/>
  <c r="D100" i="11"/>
  <c r="C101" i="11"/>
  <c r="D101" i="11"/>
  <c r="C102" i="11"/>
  <c r="D102" i="11"/>
  <c r="C103" i="11"/>
  <c r="D103" i="11"/>
  <c r="C104" i="11"/>
  <c r="D104" i="11"/>
  <c r="C105" i="11"/>
  <c r="D105" i="11"/>
  <c r="C106" i="11"/>
  <c r="D106" i="11"/>
  <c r="C107" i="11"/>
  <c r="D107" i="11"/>
  <c r="D48" i="11"/>
  <c r="C48" i="11"/>
  <c r="C20" i="50"/>
  <c r="C21" i="50"/>
  <c r="C22" i="50"/>
  <c r="C23" i="50"/>
  <c r="C24" i="50"/>
  <c r="C25" i="50"/>
  <c r="I49" i="50"/>
  <c r="H49" i="50"/>
  <c r="G49" i="50"/>
  <c r="F49" i="50"/>
  <c r="E49" i="50"/>
  <c r="D49" i="50"/>
  <c r="C49" i="50"/>
  <c r="I48" i="50"/>
  <c r="H48" i="50"/>
  <c r="G48" i="50"/>
  <c r="F48" i="50"/>
  <c r="E48" i="50"/>
  <c r="C48" i="50"/>
  <c r="I47" i="50"/>
  <c r="H47" i="50"/>
  <c r="G47" i="50"/>
  <c r="F47" i="50"/>
  <c r="E47" i="50"/>
  <c r="D47" i="50"/>
  <c r="C47" i="50"/>
  <c r="I33" i="50"/>
  <c r="H33" i="50"/>
  <c r="G33" i="50"/>
  <c r="F33" i="50"/>
  <c r="E33" i="50"/>
  <c r="D33" i="50"/>
  <c r="C33" i="50"/>
  <c r="I32" i="50"/>
  <c r="H32" i="50"/>
  <c r="G32" i="50"/>
  <c r="F32" i="50"/>
  <c r="E32" i="50"/>
  <c r="D32" i="50"/>
  <c r="C32" i="50"/>
  <c r="I31" i="50"/>
  <c r="H31" i="50"/>
  <c r="G31" i="50"/>
  <c r="F31" i="50"/>
  <c r="E31" i="50"/>
  <c r="D31" i="50"/>
  <c r="C31" i="50"/>
  <c r="I25" i="50"/>
  <c r="H25" i="50"/>
  <c r="G25" i="50"/>
  <c r="F25" i="50"/>
  <c r="E25" i="50"/>
  <c r="D25" i="50"/>
  <c r="I24" i="50"/>
  <c r="H24" i="50"/>
  <c r="G24" i="50"/>
  <c r="F24" i="50"/>
  <c r="E24" i="50"/>
  <c r="D24" i="50"/>
  <c r="I23" i="50"/>
  <c r="H23" i="50"/>
  <c r="G23" i="50"/>
  <c r="F23" i="50"/>
  <c r="E23" i="50"/>
  <c r="D23" i="50"/>
  <c r="I22" i="50"/>
  <c r="H22" i="50"/>
  <c r="G22" i="50"/>
  <c r="F22" i="50"/>
  <c r="E22" i="50"/>
  <c r="D22" i="50"/>
  <c r="I21" i="50"/>
  <c r="H21" i="50"/>
  <c r="G21" i="50"/>
  <c r="F21" i="50"/>
  <c r="E21" i="50"/>
  <c r="D21" i="50"/>
  <c r="I20" i="50"/>
  <c r="H20" i="50"/>
  <c r="G20" i="50"/>
  <c r="F20" i="50"/>
  <c r="E20" i="50"/>
  <c r="D20" i="50"/>
  <c r="C13" i="50"/>
  <c r="C12" i="50"/>
  <c r="C11" i="50"/>
  <c r="C10" i="50"/>
  <c r="C9" i="50"/>
  <c r="C8" i="50"/>
  <c r="C7" i="50"/>
  <c r="G25" i="49"/>
  <c r="C3" i="50"/>
  <c r="I25" i="49"/>
  <c r="H22" i="49"/>
  <c r="F20" i="49"/>
  <c r="D20" i="49"/>
  <c r="C3" i="49"/>
  <c r="C25" i="47"/>
  <c r="F24" i="47"/>
  <c r="E24" i="47"/>
  <c r="D24" i="47"/>
  <c r="C3" i="47"/>
  <c r="I49" i="46"/>
  <c r="H49" i="46"/>
  <c r="G49" i="46"/>
  <c r="F49" i="46"/>
  <c r="E49" i="46"/>
  <c r="D49" i="46"/>
  <c r="C49" i="46"/>
  <c r="I48" i="46"/>
  <c r="H48" i="46"/>
  <c r="G48" i="46"/>
  <c r="F48" i="46"/>
  <c r="E48" i="46"/>
  <c r="D48" i="46"/>
  <c r="C48" i="46"/>
  <c r="I47" i="46"/>
  <c r="H47" i="46"/>
  <c r="G47" i="46"/>
  <c r="F47" i="46"/>
  <c r="E47" i="46"/>
  <c r="D47" i="46"/>
  <c r="C47" i="46"/>
  <c r="I33" i="46"/>
  <c r="H33" i="46"/>
  <c r="G33" i="46"/>
  <c r="F33" i="46"/>
  <c r="E33" i="46"/>
  <c r="D33" i="46"/>
  <c r="C33" i="46"/>
  <c r="I32" i="46"/>
  <c r="H32" i="46"/>
  <c r="G32" i="46"/>
  <c r="F32" i="46"/>
  <c r="E32" i="46"/>
  <c r="D32" i="46"/>
  <c r="C32" i="46"/>
  <c r="I31" i="46"/>
  <c r="H31" i="46"/>
  <c r="G31" i="46"/>
  <c r="F31" i="46"/>
  <c r="E31" i="46"/>
  <c r="D31" i="46"/>
  <c r="C31" i="46"/>
  <c r="I25" i="46"/>
  <c r="H25" i="46"/>
  <c r="G25" i="46"/>
  <c r="F25" i="46"/>
  <c r="E25" i="46"/>
  <c r="D25" i="46"/>
  <c r="C25" i="46"/>
  <c r="I24" i="46"/>
  <c r="H24" i="46"/>
  <c r="G24" i="46"/>
  <c r="F24" i="46"/>
  <c r="E24" i="46"/>
  <c r="D24" i="46"/>
  <c r="C24" i="46"/>
  <c r="I23" i="46"/>
  <c r="H23" i="46"/>
  <c r="G23" i="46"/>
  <c r="F23" i="46"/>
  <c r="E23" i="46"/>
  <c r="D23" i="46"/>
  <c r="C23" i="46"/>
  <c r="I22" i="46"/>
  <c r="H22" i="46"/>
  <c r="G22" i="46"/>
  <c r="F22" i="46"/>
  <c r="E22" i="46"/>
  <c r="D22" i="46"/>
  <c r="C22" i="46"/>
  <c r="I21" i="46"/>
  <c r="H21" i="46"/>
  <c r="G21" i="46"/>
  <c r="F21" i="46"/>
  <c r="E21" i="46"/>
  <c r="D21" i="46"/>
  <c r="C21" i="46"/>
  <c r="I20" i="46"/>
  <c r="H20" i="46"/>
  <c r="G20" i="46"/>
  <c r="F20" i="46"/>
  <c r="E20" i="46"/>
  <c r="D20" i="46"/>
  <c r="C20" i="46"/>
  <c r="C13" i="46"/>
  <c r="C12" i="46"/>
  <c r="C11" i="46"/>
  <c r="C10" i="46"/>
  <c r="C9" i="46"/>
  <c r="C8" i="46"/>
  <c r="C7" i="46"/>
  <c r="C3" i="46"/>
  <c r="D48" i="45"/>
  <c r="G49" i="45"/>
  <c r="F49" i="45"/>
  <c r="E49" i="45"/>
  <c r="D49" i="45"/>
  <c r="C49" i="45"/>
  <c r="G48" i="45"/>
  <c r="F48" i="45"/>
  <c r="E48" i="45"/>
  <c r="C48" i="45"/>
  <c r="G47" i="45"/>
  <c r="F47" i="45"/>
  <c r="E47" i="45"/>
  <c r="D47" i="45"/>
  <c r="C47" i="45"/>
  <c r="G33" i="45"/>
  <c r="F33" i="45"/>
  <c r="E33" i="45"/>
  <c r="D33" i="45"/>
  <c r="C33" i="45"/>
  <c r="G32" i="45"/>
  <c r="F32" i="45"/>
  <c r="E32" i="45"/>
  <c r="D32" i="45"/>
  <c r="C32" i="45"/>
  <c r="G31" i="45"/>
  <c r="F31" i="45"/>
  <c r="E31" i="45"/>
  <c r="D31" i="45"/>
  <c r="C31" i="45"/>
  <c r="G25" i="45"/>
  <c r="F25" i="45"/>
  <c r="E25" i="45"/>
  <c r="D25" i="45"/>
  <c r="C25" i="45"/>
  <c r="G24" i="45"/>
  <c r="F24" i="45"/>
  <c r="E24" i="45"/>
  <c r="D24" i="45"/>
  <c r="C24" i="45"/>
  <c r="G23" i="45"/>
  <c r="F23" i="45"/>
  <c r="E23" i="45"/>
  <c r="D23" i="45"/>
  <c r="C23" i="45"/>
  <c r="G22" i="45"/>
  <c r="F22" i="45"/>
  <c r="E22" i="45"/>
  <c r="D22" i="45"/>
  <c r="C22" i="45"/>
  <c r="G21" i="45"/>
  <c r="F21" i="45"/>
  <c r="E21" i="45"/>
  <c r="D21" i="45"/>
  <c r="C21" i="45"/>
  <c r="G20" i="45"/>
  <c r="F20" i="45"/>
  <c r="E20" i="45"/>
  <c r="D20" i="45"/>
  <c r="C20" i="45"/>
  <c r="C11" i="45"/>
  <c r="C10" i="45"/>
  <c r="C9" i="45"/>
  <c r="C8" i="45"/>
  <c r="C7" i="45"/>
  <c r="C3" i="45"/>
  <c r="J78" i="47" l="1"/>
  <c r="J76" i="47"/>
  <c r="L52" i="31"/>
  <c r="AC52" i="31" s="1"/>
  <c r="AC11" i="31" s="1"/>
  <c r="N52" i="31"/>
  <c r="AE52" i="31" s="1"/>
  <c r="AE11" i="31" s="1"/>
  <c r="P52" i="31"/>
  <c r="AG50" i="31"/>
  <c r="E52" i="31"/>
  <c r="V50" i="31"/>
  <c r="S52" i="31"/>
  <c r="AJ50" i="31"/>
  <c r="F52" i="31"/>
  <c r="W50" i="31"/>
  <c r="H52" i="31"/>
  <c r="Y52" i="31" s="1"/>
  <c r="Y11" i="31" s="1"/>
  <c r="O52" i="31"/>
  <c r="AF50" i="31"/>
  <c r="K52" i="31"/>
  <c r="AB52" i="31" s="1"/>
  <c r="AB11" i="31" s="1"/>
  <c r="G52" i="31"/>
  <c r="X50" i="31"/>
  <c r="M52" i="31"/>
  <c r="AD50" i="31"/>
  <c r="I52" i="31"/>
  <c r="Z52" i="31" s="1"/>
  <c r="Z11" i="31" s="1"/>
  <c r="J52" i="31"/>
  <c r="AA52" i="31" s="1"/>
  <c r="AA11" i="31" s="1"/>
  <c r="R52" i="31"/>
  <c r="AI52" i="31" s="1"/>
  <c r="AC19" i="31"/>
  <c r="J83" i="47"/>
  <c r="Z19" i="31"/>
  <c r="J68" i="47"/>
  <c r="J70" i="47"/>
  <c r="AA19" i="31"/>
  <c r="AF19" i="31"/>
  <c r="Q52" i="31"/>
  <c r="AH52" i="31" s="1"/>
  <c r="X20" i="31"/>
  <c r="AE19" i="31"/>
  <c r="AH19" i="31"/>
  <c r="AE21" i="31"/>
  <c r="X19" i="31"/>
  <c r="Y21" i="31"/>
  <c r="AD19" i="31"/>
  <c r="AJ21" i="31"/>
  <c r="Z21" i="31"/>
  <c r="AH20" i="31"/>
  <c r="Z20" i="31"/>
  <c r="AC21" i="31"/>
  <c r="AJ19" i="31"/>
  <c r="AG19" i="31"/>
  <c r="AD21" i="31"/>
  <c r="AH21" i="31"/>
  <c r="AI19" i="31"/>
  <c r="AB19" i="31"/>
  <c r="AB20" i="31"/>
  <c r="AG20" i="31"/>
  <c r="AE20" i="31"/>
  <c r="Y19" i="31"/>
  <c r="AA21" i="31"/>
  <c r="AA20" i="31"/>
  <c r="AI20" i="31"/>
  <c r="AD20" i="31"/>
  <c r="AJ20" i="31"/>
  <c r="AF21" i="31"/>
  <c r="W20" i="31"/>
  <c r="AB21" i="31"/>
  <c r="AI21" i="31"/>
  <c r="AF20" i="31"/>
  <c r="AG21" i="31"/>
  <c r="Y20" i="31"/>
  <c r="AC20" i="31"/>
  <c r="X21" i="31"/>
  <c r="J72" i="47"/>
  <c r="J69" i="47"/>
  <c r="J74" i="47"/>
  <c r="L81" i="11"/>
  <c r="L69" i="11"/>
  <c r="L91" i="11"/>
  <c r="L66" i="11"/>
  <c r="L95" i="11"/>
  <c r="L76" i="11"/>
  <c r="L75" i="11"/>
  <c r="L85" i="11"/>
  <c r="L101" i="11"/>
  <c r="L106" i="11"/>
  <c r="L56" i="11"/>
  <c r="J67" i="47"/>
  <c r="J80" i="47"/>
  <c r="J66" i="47"/>
  <c r="J73" i="47"/>
  <c r="J71" i="47"/>
  <c r="J81" i="47"/>
  <c r="J79" i="47"/>
  <c r="J77" i="47"/>
  <c r="I102" i="11"/>
  <c r="I107" i="11"/>
  <c r="I70" i="11"/>
  <c r="I94" i="11"/>
  <c r="I69" i="11"/>
  <c r="I106" i="11"/>
  <c r="I100" i="11"/>
  <c r="I87" i="11"/>
  <c r="I81" i="11"/>
  <c r="I75" i="11"/>
  <c r="I62" i="11"/>
  <c r="I56" i="11"/>
  <c r="I50" i="11"/>
  <c r="L105" i="11"/>
  <c r="L99" i="11"/>
  <c r="I93" i="11"/>
  <c r="L86" i="11"/>
  <c r="L80" i="11"/>
  <c r="L74" i="11"/>
  <c r="I68" i="11"/>
  <c r="L61" i="11"/>
  <c r="L55" i="11"/>
  <c r="J49" i="11"/>
  <c r="I96" i="11"/>
  <c r="I65" i="11"/>
  <c r="I76" i="11"/>
  <c r="I88" i="11"/>
  <c r="I99" i="11"/>
  <c r="I74" i="11"/>
  <c r="I105" i="11"/>
  <c r="J98" i="11"/>
  <c r="I92" i="11"/>
  <c r="I86" i="11"/>
  <c r="I80" i="11"/>
  <c r="J73" i="11"/>
  <c r="I67" i="11"/>
  <c r="I61" i="11"/>
  <c r="I55" i="11"/>
  <c r="I48" i="11"/>
  <c r="I89" i="11"/>
  <c r="I95" i="11"/>
  <c r="I57" i="11"/>
  <c r="I98" i="11"/>
  <c r="I73" i="11"/>
  <c r="K97" i="11"/>
  <c r="K91" i="11"/>
  <c r="K72" i="11"/>
  <c r="K66" i="11"/>
  <c r="I104" i="11"/>
  <c r="I79" i="11"/>
  <c r="I54" i="11"/>
  <c r="I90" i="11"/>
  <c r="I77" i="11"/>
  <c r="I58" i="11"/>
  <c r="I101" i="11"/>
  <c r="AB12" i="11"/>
  <c r="AB13" i="11" s="1"/>
  <c r="AB14" i="11" s="1"/>
  <c r="AB15" i="11" s="1"/>
  <c r="AB16" i="11" s="1"/>
  <c r="AB17" i="11" s="1"/>
  <c r="AB18" i="11" s="1"/>
  <c r="AB19" i="11" s="1"/>
  <c r="AB20" i="11" s="1"/>
  <c r="AB21" i="11" s="1"/>
  <c r="AB22" i="11" s="1"/>
  <c r="J103" i="11"/>
  <c r="I97" i="11"/>
  <c r="I91" i="11"/>
  <c r="I85" i="11"/>
  <c r="J78" i="11"/>
  <c r="I72" i="11"/>
  <c r="I66" i="11"/>
  <c r="I60" i="11"/>
  <c r="J53" i="11"/>
  <c r="I52" i="11"/>
  <c r="I51" i="11"/>
  <c r="AA12" i="11"/>
  <c r="AA13" i="11" s="1"/>
  <c r="AA14" i="11" s="1"/>
  <c r="AA15" i="11" s="1"/>
  <c r="AA16" i="11" s="1"/>
  <c r="AA17" i="11" s="1"/>
  <c r="AA18" i="11" s="1"/>
  <c r="AA19" i="11" s="1"/>
  <c r="AA20" i="11" s="1"/>
  <c r="AA21" i="11" s="1"/>
  <c r="AA22" i="11" s="1"/>
  <c r="I103" i="11"/>
  <c r="L96" i="11"/>
  <c r="L90" i="11"/>
  <c r="L84" i="11"/>
  <c r="I78" i="11"/>
  <c r="L71" i="11"/>
  <c r="L65" i="11"/>
  <c r="L59" i="11"/>
  <c r="I53" i="11"/>
  <c r="I71" i="11"/>
  <c r="I83" i="11"/>
  <c r="I64" i="11"/>
  <c r="I82" i="11"/>
  <c r="I63" i="11"/>
  <c r="K85" i="11"/>
  <c r="K60" i="11"/>
  <c r="K102" i="11"/>
  <c r="K96" i="11"/>
  <c r="K90" i="11"/>
  <c r="J84" i="11"/>
  <c r="K77" i="11"/>
  <c r="K71" i="11"/>
  <c r="K65" i="11"/>
  <c r="K52" i="11"/>
  <c r="K83" i="50"/>
  <c r="K81" i="50"/>
  <c r="K79" i="50"/>
  <c r="K77" i="50"/>
  <c r="K82" i="50"/>
  <c r="K80" i="50"/>
  <c r="K78" i="50"/>
  <c r="K76" i="50"/>
  <c r="K74" i="50"/>
  <c r="K72" i="50"/>
  <c r="K70" i="50"/>
  <c r="K68" i="50"/>
  <c r="K66" i="50"/>
  <c r="K73" i="50"/>
  <c r="K65" i="50"/>
  <c r="K69" i="50"/>
  <c r="K67" i="50"/>
  <c r="K71" i="50"/>
  <c r="K71" i="49"/>
  <c r="K69" i="49"/>
  <c r="K67" i="49"/>
  <c r="K65" i="49"/>
  <c r="K74" i="49"/>
  <c r="K72" i="49"/>
  <c r="K70" i="49"/>
  <c r="K68" i="49"/>
  <c r="K66" i="49"/>
  <c r="K73" i="49"/>
  <c r="K83" i="49"/>
  <c r="K81" i="49"/>
  <c r="K79" i="49"/>
  <c r="K77" i="49"/>
  <c r="K78" i="49"/>
  <c r="K82" i="49"/>
  <c r="K80" i="49"/>
  <c r="K76" i="49"/>
  <c r="K83" i="46"/>
  <c r="K76" i="46"/>
  <c r="K78" i="46"/>
  <c r="K80" i="46"/>
  <c r="K77" i="46"/>
  <c r="K79" i="46"/>
  <c r="K81" i="46"/>
  <c r="K82" i="46"/>
  <c r="K65" i="46"/>
  <c r="K71" i="46"/>
  <c r="K67" i="46"/>
  <c r="K69" i="46"/>
  <c r="K74" i="46"/>
  <c r="K73" i="46"/>
  <c r="K66" i="46"/>
  <c r="K68" i="46"/>
  <c r="K70" i="46"/>
  <c r="K72" i="46"/>
  <c r="I65" i="45"/>
  <c r="I67" i="45"/>
  <c r="I68" i="45"/>
  <c r="I69" i="45"/>
  <c r="I72" i="45"/>
  <c r="I71" i="45"/>
  <c r="I74" i="45"/>
  <c r="I70" i="45"/>
  <c r="I73" i="45"/>
  <c r="I66" i="45"/>
  <c r="I83" i="45"/>
  <c r="I77" i="45"/>
  <c r="I79" i="45"/>
  <c r="I81" i="45"/>
  <c r="I76" i="45"/>
  <c r="I78" i="45"/>
  <c r="I80" i="45"/>
  <c r="I82" i="45"/>
  <c r="C12" i="45"/>
  <c r="D7" i="45" s="1"/>
  <c r="O86" i="49"/>
  <c r="J32" i="50"/>
  <c r="J24" i="50"/>
  <c r="L49" i="11"/>
  <c r="K104" i="11"/>
  <c r="K99" i="11"/>
  <c r="K94" i="11"/>
  <c r="K89" i="11"/>
  <c r="K84" i="11"/>
  <c r="K79" i="11"/>
  <c r="K74" i="11"/>
  <c r="K69" i="11"/>
  <c r="K64" i="11"/>
  <c r="K59" i="11"/>
  <c r="K54" i="11"/>
  <c r="K49" i="11"/>
  <c r="L103" i="11"/>
  <c r="L98" i="11"/>
  <c r="L93" i="11"/>
  <c r="L88" i="11"/>
  <c r="L83" i="11"/>
  <c r="L78" i="11"/>
  <c r="L73" i="11"/>
  <c r="L68" i="11"/>
  <c r="L63" i="11"/>
  <c r="L58" i="11"/>
  <c r="L53" i="11"/>
  <c r="L48" i="11"/>
  <c r="K103" i="11"/>
  <c r="K98" i="11"/>
  <c r="K93" i="11"/>
  <c r="K88" i="11"/>
  <c r="K83" i="11"/>
  <c r="K78" i="11"/>
  <c r="K73" i="11"/>
  <c r="K68" i="11"/>
  <c r="K63" i="11"/>
  <c r="K58" i="11"/>
  <c r="K53" i="11"/>
  <c r="L107" i="11"/>
  <c r="L102" i="11"/>
  <c r="L97" i="11"/>
  <c r="L92" i="11"/>
  <c r="L87" i="11"/>
  <c r="L82" i="11"/>
  <c r="L77" i="11"/>
  <c r="L72" i="11"/>
  <c r="L67" i="11"/>
  <c r="L62" i="11"/>
  <c r="L57" i="11"/>
  <c r="J48" i="50"/>
  <c r="C14" i="46"/>
  <c r="D12" i="46" s="1"/>
  <c r="O86" i="50"/>
  <c r="M87" i="47"/>
  <c r="O86" i="46"/>
  <c r="C26" i="50"/>
  <c r="J21" i="50"/>
  <c r="J22" i="50"/>
  <c r="G35" i="46"/>
  <c r="D35" i="50"/>
  <c r="J23" i="50"/>
  <c r="E35" i="50"/>
  <c r="D50" i="50"/>
  <c r="F35" i="50"/>
  <c r="E50" i="50"/>
  <c r="G35" i="50"/>
  <c r="F50" i="50"/>
  <c r="G50" i="50"/>
  <c r="J33" i="50"/>
  <c r="H50" i="50"/>
  <c r="H35" i="50"/>
  <c r="D35" i="46"/>
  <c r="D26" i="50"/>
  <c r="J25" i="50"/>
  <c r="C50" i="50"/>
  <c r="F26" i="50"/>
  <c r="E26" i="50"/>
  <c r="G26" i="50"/>
  <c r="H26" i="50"/>
  <c r="C35" i="50"/>
  <c r="C14" i="50"/>
  <c r="D9" i="50" s="1"/>
  <c r="J49" i="50"/>
  <c r="J47" i="50"/>
  <c r="J31" i="50"/>
  <c r="J20" i="50"/>
  <c r="J47" i="46"/>
  <c r="J21" i="46"/>
  <c r="J20" i="46"/>
  <c r="F35" i="45"/>
  <c r="H35" i="46"/>
  <c r="D50" i="46"/>
  <c r="G50" i="46"/>
  <c r="J31" i="46"/>
  <c r="E35" i="46"/>
  <c r="J23" i="46"/>
  <c r="E50" i="46"/>
  <c r="F35" i="46"/>
  <c r="F50" i="46"/>
  <c r="J48" i="46"/>
  <c r="G26" i="46"/>
  <c r="J25" i="46"/>
  <c r="H26" i="46"/>
  <c r="D26" i="46"/>
  <c r="J33" i="46"/>
  <c r="F26" i="46"/>
  <c r="J49" i="46"/>
  <c r="H50" i="46"/>
  <c r="J24" i="46"/>
  <c r="E26" i="46"/>
  <c r="J22" i="46"/>
  <c r="C26" i="46"/>
  <c r="J32" i="46"/>
  <c r="C35" i="46"/>
  <c r="C50" i="46"/>
  <c r="G26" i="45"/>
  <c r="G50" i="45"/>
  <c r="C35" i="45"/>
  <c r="D35" i="45"/>
  <c r="D26" i="45"/>
  <c r="F50" i="45"/>
  <c r="E35" i="45"/>
  <c r="G35" i="45"/>
  <c r="F26" i="45"/>
  <c r="C26" i="45"/>
  <c r="E26" i="45"/>
  <c r="H25" i="45"/>
  <c r="E50" i="45"/>
  <c r="H24" i="45"/>
  <c r="H47" i="45"/>
  <c r="D50" i="45"/>
  <c r="H22" i="45"/>
  <c r="H23" i="45"/>
  <c r="H48" i="45"/>
  <c r="H33" i="45"/>
  <c r="H49" i="45"/>
  <c r="H21" i="45"/>
  <c r="H32" i="45"/>
  <c r="C50" i="45"/>
  <c r="H20" i="45"/>
  <c r="H31" i="45"/>
  <c r="J61" i="18" l="1"/>
  <c r="J81" i="18"/>
  <c r="J101" i="18"/>
  <c r="J121" i="18"/>
  <c r="J141" i="18"/>
  <c r="J161" i="18"/>
  <c r="J181" i="18"/>
  <c r="J84" i="18"/>
  <c r="J104" i="18"/>
  <c r="J124" i="18"/>
  <c r="J144" i="18"/>
  <c r="J164" i="18"/>
  <c r="J65" i="18"/>
  <c r="J85" i="18"/>
  <c r="J105" i="18"/>
  <c r="J125" i="18"/>
  <c r="J145" i="18"/>
  <c r="J165" i="18"/>
  <c r="J66" i="18"/>
  <c r="AC94" i="18" s="1"/>
  <c r="J134" i="18"/>
  <c r="J56" i="18"/>
  <c r="J97" i="18"/>
  <c r="J98" i="18"/>
  <c r="J59" i="18"/>
  <c r="J80" i="18"/>
  <c r="J62" i="18"/>
  <c r="J82" i="18"/>
  <c r="J102" i="18"/>
  <c r="J122" i="18"/>
  <c r="J142" i="18"/>
  <c r="AB89" i="18" s="1"/>
  <c r="J162" i="18"/>
  <c r="J64" i="18"/>
  <c r="J94" i="18"/>
  <c r="J63" i="18"/>
  <c r="J83" i="18"/>
  <c r="J103" i="18"/>
  <c r="J123" i="18"/>
  <c r="J143" i="18"/>
  <c r="AC89" i="18" s="1"/>
  <c r="J163" i="18"/>
  <c r="J86" i="18"/>
  <c r="J106" i="18"/>
  <c r="J126" i="18"/>
  <c r="J146" i="18"/>
  <c r="J166" i="18"/>
  <c r="J114" i="18"/>
  <c r="J136" i="18"/>
  <c r="J58" i="18"/>
  <c r="J159" i="18"/>
  <c r="J115" i="18"/>
  <c r="J139" i="18"/>
  <c r="J67" i="18"/>
  <c r="J87" i="18"/>
  <c r="J107" i="18"/>
  <c r="J127" i="18"/>
  <c r="J147" i="18"/>
  <c r="J167" i="18"/>
  <c r="J90" i="18"/>
  <c r="J110" i="18"/>
  <c r="J130" i="18"/>
  <c r="J150" i="18"/>
  <c r="J170" i="18"/>
  <c r="J72" i="18"/>
  <c r="J92" i="18"/>
  <c r="J112" i="18"/>
  <c r="J132" i="18"/>
  <c r="J152" i="18"/>
  <c r="J172" i="18"/>
  <c r="J73" i="18"/>
  <c r="J93" i="18"/>
  <c r="J113" i="18"/>
  <c r="J133" i="18"/>
  <c r="J153" i="18"/>
  <c r="J173" i="18"/>
  <c r="AB86" i="18" s="1"/>
  <c r="J154" i="18"/>
  <c r="J174" i="18"/>
  <c r="AC86" i="18" s="1"/>
  <c r="J135" i="18"/>
  <c r="J155" i="18"/>
  <c r="J175" i="18"/>
  <c r="O195" i="18"/>
  <c r="J116" i="18"/>
  <c r="J57" i="18"/>
  <c r="AB87" i="18" s="1"/>
  <c r="J78" i="18"/>
  <c r="J179" i="18"/>
  <c r="J140" i="18"/>
  <c r="J160" i="18"/>
  <c r="J180" i="18"/>
  <c r="J68" i="18"/>
  <c r="J88" i="18"/>
  <c r="J108" i="18"/>
  <c r="J128" i="18"/>
  <c r="J148" i="18"/>
  <c r="J168" i="18"/>
  <c r="J51" i="18"/>
  <c r="J52" i="18"/>
  <c r="J74" i="18"/>
  <c r="J75" i="18"/>
  <c r="J77" i="18"/>
  <c r="J118" i="18"/>
  <c r="J99" i="18"/>
  <c r="J100" i="18"/>
  <c r="J69" i="18"/>
  <c r="AB84" i="18" s="1"/>
  <c r="J89" i="18"/>
  <c r="J109" i="18"/>
  <c r="J129" i="18"/>
  <c r="J149" i="18"/>
  <c r="J169" i="18"/>
  <c r="J70" i="18"/>
  <c r="J71" i="18"/>
  <c r="AC78" i="18" s="1"/>
  <c r="J91" i="18"/>
  <c r="J111" i="18"/>
  <c r="J131" i="18"/>
  <c r="J151" i="18"/>
  <c r="J171" i="18"/>
  <c r="J53" i="18"/>
  <c r="J54" i="18"/>
  <c r="J95" i="18"/>
  <c r="J76" i="18"/>
  <c r="J156" i="18"/>
  <c r="J176" i="18"/>
  <c r="J137" i="18"/>
  <c r="J157" i="18"/>
  <c r="J177" i="18"/>
  <c r="J158" i="18"/>
  <c r="J178" i="18"/>
  <c r="J79" i="18"/>
  <c r="J60" i="18"/>
  <c r="J55" i="18"/>
  <c r="J96" i="18"/>
  <c r="J117" i="18"/>
  <c r="J138" i="18"/>
  <c r="J119" i="18"/>
  <c r="J120" i="18"/>
  <c r="H171" i="18"/>
  <c r="H132" i="18"/>
  <c r="H79" i="18"/>
  <c r="G177" i="18"/>
  <c r="H81" i="18"/>
  <c r="G90" i="18"/>
  <c r="F116" i="18"/>
  <c r="I69" i="18"/>
  <c r="G150" i="18"/>
  <c r="G163" i="18"/>
  <c r="E72" i="18"/>
  <c r="I74" i="18"/>
  <c r="E158" i="18"/>
  <c r="H154" i="18"/>
  <c r="I78" i="18"/>
  <c r="E181" i="18"/>
  <c r="E52" i="18"/>
  <c r="G74" i="18"/>
  <c r="G117" i="18"/>
  <c r="E155" i="18"/>
  <c r="I145" i="18"/>
  <c r="F98" i="18"/>
  <c r="F154" i="18"/>
  <c r="E130" i="18"/>
  <c r="E156" i="18"/>
  <c r="I161" i="18"/>
  <c r="F145" i="18"/>
  <c r="E163" i="18"/>
  <c r="I61" i="18"/>
  <c r="F115" i="18"/>
  <c r="F66" i="18"/>
  <c r="F53" i="18"/>
  <c r="G63" i="18"/>
  <c r="F164" i="18"/>
  <c r="H109" i="18"/>
  <c r="F177" i="18"/>
  <c r="E123" i="18"/>
  <c r="E104" i="18"/>
  <c r="H161" i="18"/>
  <c r="H150" i="18"/>
  <c r="H54" i="18"/>
  <c r="H108" i="18"/>
  <c r="E103" i="18"/>
  <c r="F75" i="18"/>
  <c r="G142" i="18"/>
  <c r="G176" i="18"/>
  <c r="H99" i="18"/>
  <c r="G151" i="18"/>
  <c r="F72" i="18"/>
  <c r="H76" i="18"/>
  <c r="I179" i="18"/>
  <c r="G98" i="18"/>
  <c r="E105" i="18"/>
  <c r="G122" i="18"/>
  <c r="E84" i="18"/>
  <c r="H153" i="18"/>
  <c r="I110" i="18"/>
  <c r="G126" i="18"/>
  <c r="E90" i="18"/>
  <c r="F60" i="18"/>
  <c r="F84" i="18"/>
  <c r="I76" i="18"/>
  <c r="G136" i="18"/>
  <c r="G80" i="18"/>
  <c r="G169" i="18"/>
  <c r="I171" i="18"/>
  <c r="E66" i="18"/>
  <c r="D66" i="18" s="1"/>
  <c r="H115" i="18"/>
  <c r="H175" i="18"/>
  <c r="I77" i="18"/>
  <c r="I154" i="18"/>
  <c r="H181" i="18"/>
  <c r="G138" i="18"/>
  <c r="I172" i="18"/>
  <c r="H102" i="18"/>
  <c r="G81" i="18"/>
  <c r="E92" i="18"/>
  <c r="H116" i="18"/>
  <c r="I79" i="18"/>
  <c r="H166" i="18"/>
  <c r="G64" i="18"/>
  <c r="H144" i="18"/>
  <c r="I148" i="18"/>
  <c r="H136" i="18"/>
  <c r="H112" i="18"/>
  <c r="E108" i="18"/>
  <c r="D108" i="18" s="1"/>
  <c r="G84" i="18"/>
  <c r="I87" i="18"/>
  <c r="F160" i="18"/>
  <c r="F158" i="18"/>
  <c r="F77" i="18"/>
  <c r="G135" i="18"/>
  <c r="G128" i="18"/>
  <c r="F140" i="18"/>
  <c r="E109" i="18"/>
  <c r="E73" i="18"/>
  <c r="F64" i="18"/>
  <c r="F166" i="18"/>
  <c r="E143" i="18"/>
  <c r="E115" i="18"/>
  <c r="I109" i="18"/>
  <c r="H90" i="18"/>
  <c r="F148" i="18"/>
  <c r="E112" i="18"/>
  <c r="H145" i="18"/>
  <c r="I67" i="18"/>
  <c r="I156" i="18"/>
  <c r="F155" i="18"/>
  <c r="F104" i="18"/>
  <c r="I104" i="18"/>
  <c r="E144" i="18"/>
  <c r="F99" i="18"/>
  <c r="E117" i="18"/>
  <c r="F103" i="18"/>
  <c r="H103" i="18"/>
  <c r="F123" i="18"/>
  <c r="I105" i="18"/>
  <c r="E91" i="18"/>
  <c r="I180" i="18"/>
  <c r="G68" i="18"/>
  <c r="G168" i="18"/>
  <c r="F89" i="18"/>
  <c r="E180" i="18"/>
  <c r="D180" i="18" s="1"/>
  <c r="F132" i="18"/>
  <c r="E79" i="18"/>
  <c r="F112" i="18"/>
  <c r="F171" i="18"/>
  <c r="F152" i="18"/>
  <c r="F85" i="18"/>
  <c r="H149" i="18"/>
  <c r="G159" i="18"/>
  <c r="I133" i="18"/>
  <c r="F136" i="18"/>
  <c r="F73" i="18"/>
  <c r="G141" i="18"/>
  <c r="E65" i="18"/>
  <c r="F157" i="18"/>
  <c r="H66" i="18"/>
  <c r="E62" i="18"/>
  <c r="I125" i="18"/>
  <c r="H170" i="18"/>
  <c r="H55" i="18"/>
  <c r="G115" i="18"/>
  <c r="I170" i="18"/>
  <c r="I140" i="18"/>
  <c r="E127" i="18"/>
  <c r="H61" i="18"/>
  <c r="F90" i="18"/>
  <c r="E116" i="18"/>
  <c r="H173" i="18"/>
  <c r="E152" i="18"/>
  <c r="H160" i="18"/>
  <c r="I112" i="18"/>
  <c r="G59" i="18"/>
  <c r="H58" i="18"/>
  <c r="G152" i="18"/>
  <c r="H78" i="18"/>
  <c r="G86" i="18"/>
  <c r="F114" i="18"/>
  <c r="E110" i="18"/>
  <c r="H92" i="18"/>
  <c r="I131" i="18"/>
  <c r="E141" i="18"/>
  <c r="I169" i="18"/>
  <c r="I155" i="18"/>
  <c r="G73" i="18"/>
  <c r="H105" i="18"/>
  <c r="F56" i="18"/>
  <c r="E81" i="18"/>
  <c r="G82" i="18"/>
  <c r="I158" i="18"/>
  <c r="F172" i="18"/>
  <c r="I53" i="18"/>
  <c r="G91" i="18"/>
  <c r="E147" i="18"/>
  <c r="H101" i="18"/>
  <c r="E111" i="18"/>
  <c r="H124" i="18"/>
  <c r="E60" i="18"/>
  <c r="I137" i="18"/>
  <c r="I147" i="18"/>
  <c r="G174" i="18"/>
  <c r="E97" i="18"/>
  <c r="D97" i="18" s="1"/>
  <c r="E151" i="18"/>
  <c r="E175" i="18"/>
  <c r="G101" i="18"/>
  <c r="I122" i="18"/>
  <c r="F144" i="18"/>
  <c r="F170" i="18"/>
  <c r="G171" i="18"/>
  <c r="I152" i="18"/>
  <c r="H125" i="18"/>
  <c r="H169" i="18"/>
  <c r="G97" i="18"/>
  <c r="F141" i="18"/>
  <c r="H80" i="18"/>
  <c r="H135" i="18"/>
  <c r="E154" i="18"/>
  <c r="E177" i="18"/>
  <c r="F165" i="18"/>
  <c r="E133" i="18"/>
  <c r="G145" i="18"/>
  <c r="I71" i="18"/>
  <c r="H63" i="18"/>
  <c r="E179" i="18"/>
  <c r="D179" i="18" s="1"/>
  <c r="H141" i="18"/>
  <c r="F63" i="18"/>
  <c r="H122" i="18"/>
  <c r="F96" i="18"/>
  <c r="E150" i="18"/>
  <c r="G72" i="18"/>
  <c r="E88" i="18"/>
  <c r="H64" i="18"/>
  <c r="I118" i="18"/>
  <c r="H127" i="18"/>
  <c r="I80" i="18"/>
  <c r="H178" i="18"/>
  <c r="E68" i="18"/>
  <c r="I63" i="18"/>
  <c r="E168" i="18"/>
  <c r="H164" i="18"/>
  <c r="H147" i="18"/>
  <c r="H165" i="18"/>
  <c r="I164" i="18"/>
  <c r="F119" i="18"/>
  <c r="F65" i="18"/>
  <c r="F161" i="18"/>
  <c r="I101" i="18"/>
  <c r="E174" i="18"/>
  <c r="F167" i="18"/>
  <c r="G85" i="18"/>
  <c r="F86" i="18"/>
  <c r="E113" i="18"/>
  <c r="I129" i="18"/>
  <c r="H158" i="18"/>
  <c r="H74" i="18"/>
  <c r="F57" i="18"/>
  <c r="E126" i="18"/>
  <c r="H138" i="18"/>
  <c r="F142" i="18"/>
  <c r="I126" i="18"/>
  <c r="F107" i="18"/>
  <c r="F100" i="18"/>
  <c r="F122" i="18"/>
  <c r="I58" i="18"/>
  <c r="H106" i="18"/>
  <c r="E94" i="18"/>
  <c r="E86" i="18"/>
  <c r="D86" i="18" s="1"/>
  <c r="I92" i="18"/>
  <c r="F118" i="18"/>
  <c r="H137" i="18"/>
  <c r="F159" i="18"/>
  <c r="G109" i="18"/>
  <c r="E142" i="18"/>
  <c r="E119" i="18"/>
  <c r="G124" i="18"/>
  <c r="E74" i="18"/>
  <c r="F80" i="18"/>
  <c r="G58" i="18"/>
  <c r="G133" i="18"/>
  <c r="G70" i="18"/>
  <c r="I89" i="18"/>
  <c r="F133" i="18"/>
  <c r="I162" i="18"/>
  <c r="E138" i="18"/>
  <c r="D138" i="18" s="1"/>
  <c r="H82" i="18"/>
  <c r="H59" i="18"/>
  <c r="F74" i="18"/>
  <c r="I88" i="18"/>
  <c r="G155" i="18"/>
  <c r="E124" i="18"/>
  <c r="G100" i="18"/>
  <c r="E118" i="18"/>
  <c r="H174" i="18"/>
  <c r="F111" i="18"/>
  <c r="I150" i="18"/>
  <c r="H56" i="18"/>
  <c r="F78" i="18"/>
  <c r="G75" i="18"/>
  <c r="H69" i="18"/>
  <c r="I120" i="18"/>
  <c r="H98" i="18"/>
  <c r="H104" i="18"/>
  <c r="G116" i="18"/>
  <c r="H75" i="18"/>
  <c r="F71" i="18"/>
  <c r="E101" i="18"/>
  <c r="I167" i="18"/>
  <c r="F129" i="18"/>
  <c r="I166" i="18"/>
  <c r="H95" i="18"/>
  <c r="G69" i="18"/>
  <c r="G105" i="18"/>
  <c r="H131" i="18"/>
  <c r="E106" i="18"/>
  <c r="F87" i="18"/>
  <c r="H86" i="18"/>
  <c r="I144" i="18"/>
  <c r="F108" i="18"/>
  <c r="I113" i="18"/>
  <c r="H148" i="18"/>
  <c r="F70" i="18"/>
  <c r="I130" i="18"/>
  <c r="F105" i="18"/>
  <c r="I143" i="18"/>
  <c r="H119" i="18"/>
  <c r="I65" i="18"/>
  <c r="I72" i="18"/>
  <c r="H152" i="18"/>
  <c r="F83" i="18"/>
  <c r="H113" i="18"/>
  <c r="E89" i="18"/>
  <c r="G53" i="18"/>
  <c r="H139" i="18"/>
  <c r="I86" i="18"/>
  <c r="H93" i="18"/>
  <c r="H128" i="18"/>
  <c r="F68" i="18"/>
  <c r="G66" i="18"/>
  <c r="G143" i="18"/>
  <c r="H51" i="18"/>
  <c r="I75" i="18"/>
  <c r="G104" i="18"/>
  <c r="H89" i="18"/>
  <c r="E161" i="18"/>
  <c r="I94" i="18"/>
  <c r="G54" i="18"/>
  <c r="H130" i="18"/>
  <c r="I123" i="18"/>
  <c r="F62" i="18"/>
  <c r="G106" i="18"/>
  <c r="E129" i="18"/>
  <c r="E85" i="18"/>
  <c r="H167" i="18"/>
  <c r="G89" i="18"/>
  <c r="E57" i="18"/>
  <c r="G77" i="18"/>
  <c r="G67" i="18"/>
  <c r="G110" i="18"/>
  <c r="E67" i="18"/>
  <c r="F117" i="18"/>
  <c r="G153" i="18"/>
  <c r="F58" i="18"/>
  <c r="I56" i="18"/>
  <c r="G157" i="18"/>
  <c r="I91" i="18"/>
  <c r="G71" i="18"/>
  <c r="H133" i="18"/>
  <c r="I141" i="18"/>
  <c r="I142" i="18"/>
  <c r="E83" i="18"/>
  <c r="E166" i="18"/>
  <c r="F179" i="18"/>
  <c r="G76" i="18"/>
  <c r="I97" i="18"/>
  <c r="G61" i="18"/>
  <c r="H72" i="18"/>
  <c r="G137" i="18"/>
  <c r="E162" i="18"/>
  <c r="H177" i="18"/>
  <c r="F163" i="18"/>
  <c r="H87" i="18"/>
  <c r="F127" i="18"/>
  <c r="I62" i="18"/>
  <c r="H172" i="18"/>
  <c r="E176" i="18"/>
  <c r="I96" i="18"/>
  <c r="E107" i="18"/>
  <c r="D107" i="18" s="1"/>
  <c r="H179" i="18"/>
  <c r="G160" i="18"/>
  <c r="E75" i="18"/>
  <c r="I59" i="18"/>
  <c r="E76" i="18"/>
  <c r="I178" i="18"/>
  <c r="E136" i="18"/>
  <c r="I176" i="18"/>
  <c r="E128" i="18"/>
  <c r="G57" i="18"/>
  <c r="I68" i="18"/>
  <c r="I81" i="18"/>
  <c r="G127" i="18"/>
  <c r="E164" i="18"/>
  <c r="G87" i="18"/>
  <c r="H120" i="18"/>
  <c r="H155" i="18"/>
  <c r="E139" i="18"/>
  <c r="F82" i="18"/>
  <c r="H62" i="18"/>
  <c r="F76" i="18"/>
  <c r="F113" i="18"/>
  <c r="F101" i="18"/>
  <c r="G107" i="18"/>
  <c r="G123" i="18"/>
  <c r="F102" i="18"/>
  <c r="E135" i="18"/>
  <c r="I106" i="18"/>
  <c r="F126" i="18"/>
  <c r="G129" i="18"/>
  <c r="G118" i="18"/>
  <c r="G146" i="18"/>
  <c r="G62" i="18"/>
  <c r="H97" i="18"/>
  <c r="H156" i="18"/>
  <c r="I85" i="18"/>
  <c r="H123" i="18"/>
  <c r="F178" i="18"/>
  <c r="I60" i="18"/>
  <c r="H143" i="18"/>
  <c r="H110" i="18"/>
  <c r="I73" i="18"/>
  <c r="G95" i="18"/>
  <c r="I132" i="18"/>
  <c r="G112" i="18"/>
  <c r="I134" i="18"/>
  <c r="I149" i="18"/>
  <c r="F69" i="18"/>
  <c r="F143" i="18"/>
  <c r="G148" i="18"/>
  <c r="I160" i="18"/>
  <c r="F180" i="18"/>
  <c r="G60" i="18"/>
  <c r="H168" i="18"/>
  <c r="I90" i="18"/>
  <c r="F147" i="18"/>
  <c r="I93" i="18"/>
  <c r="F153" i="18"/>
  <c r="I98" i="18"/>
  <c r="H157" i="18"/>
  <c r="E58" i="18"/>
  <c r="E69" i="18"/>
  <c r="E77" i="18"/>
  <c r="I100" i="18"/>
  <c r="H71" i="18"/>
  <c r="G158" i="18"/>
  <c r="F52" i="18"/>
  <c r="H162" i="18"/>
  <c r="I64" i="18"/>
  <c r="H111" i="18"/>
  <c r="I54" i="18"/>
  <c r="G172" i="18"/>
  <c r="E160" i="18"/>
  <c r="D160" i="18" s="1"/>
  <c r="G140" i="18"/>
  <c r="I108" i="18"/>
  <c r="G166" i="18"/>
  <c r="H65" i="18"/>
  <c r="I116" i="18"/>
  <c r="G88" i="18"/>
  <c r="G102" i="18"/>
  <c r="E70" i="18"/>
  <c r="I138" i="18"/>
  <c r="F156" i="18"/>
  <c r="G114" i="18"/>
  <c r="H68" i="18"/>
  <c r="H140" i="18"/>
  <c r="E125" i="18"/>
  <c r="G149" i="18"/>
  <c r="E53" i="18"/>
  <c r="G175" i="18"/>
  <c r="I136" i="18"/>
  <c r="I57" i="18"/>
  <c r="H84" i="18"/>
  <c r="G55" i="18"/>
  <c r="F91" i="18"/>
  <c r="F125" i="18"/>
  <c r="E137" i="18"/>
  <c r="H146" i="18"/>
  <c r="H121" i="18"/>
  <c r="F88" i="18"/>
  <c r="E145" i="18"/>
  <c r="G119" i="18"/>
  <c r="G173" i="18"/>
  <c r="E165" i="18"/>
  <c r="G78" i="18"/>
  <c r="I83" i="18"/>
  <c r="E93" i="18"/>
  <c r="G134" i="18"/>
  <c r="F135" i="18"/>
  <c r="I159" i="18"/>
  <c r="F110" i="18"/>
  <c r="G79" i="18"/>
  <c r="G120" i="18"/>
  <c r="E98" i="18"/>
  <c r="E169" i="18"/>
  <c r="G154" i="18"/>
  <c r="I128" i="18"/>
  <c r="I175" i="18"/>
  <c r="H52" i="18"/>
  <c r="E56" i="18"/>
  <c r="D56" i="18" s="1"/>
  <c r="E71" i="18"/>
  <c r="F168" i="18"/>
  <c r="F94" i="18"/>
  <c r="F175" i="18"/>
  <c r="G170" i="18"/>
  <c r="G99" i="18"/>
  <c r="E153" i="18"/>
  <c r="G181" i="18"/>
  <c r="I107" i="18"/>
  <c r="E100" i="18"/>
  <c r="E132" i="18"/>
  <c r="H53" i="18"/>
  <c r="E78" i="18"/>
  <c r="D78" i="18" s="1"/>
  <c r="E99" i="18"/>
  <c r="H126" i="18"/>
  <c r="F59" i="18"/>
  <c r="I181" i="18"/>
  <c r="E59" i="18"/>
  <c r="E54" i="18"/>
  <c r="H163" i="18"/>
  <c r="F120" i="18"/>
  <c r="G165" i="18"/>
  <c r="I165" i="18"/>
  <c r="E146" i="18"/>
  <c r="E172" i="18"/>
  <c r="E80" i="18"/>
  <c r="E51" i="18"/>
  <c r="G108" i="18"/>
  <c r="E64" i="18"/>
  <c r="F150" i="18"/>
  <c r="H142" i="18"/>
  <c r="H151" i="18"/>
  <c r="G179" i="18"/>
  <c r="F134" i="18"/>
  <c r="F128" i="18"/>
  <c r="F151" i="18"/>
  <c r="E159" i="18"/>
  <c r="D159" i="18" s="1"/>
  <c r="G131" i="18"/>
  <c r="H77" i="18"/>
  <c r="F139" i="18"/>
  <c r="G132" i="18"/>
  <c r="E131" i="18"/>
  <c r="G178" i="18"/>
  <c r="I55" i="18"/>
  <c r="F95" i="18"/>
  <c r="G162" i="18"/>
  <c r="E167" i="18"/>
  <c r="G147" i="18"/>
  <c r="I82" i="18"/>
  <c r="F130" i="18"/>
  <c r="F109" i="18"/>
  <c r="E96" i="18"/>
  <c r="H67" i="18"/>
  <c r="G161" i="18"/>
  <c r="H114" i="18"/>
  <c r="I139" i="18"/>
  <c r="F174" i="18"/>
  <c r="F181" i="18"/>
  <c r="G164" i="18"/>
  <c r="H94" i="18"/>
  <c r="H88" i="18"/>
  <c r="E134" i="18"/>
  <c r="E95" i="18"/>
  <c r="E170" i="18"/>
  <c r="H60" i="18"/>
  <c r="E173" i="18"/>
  <c r="F124" i="18"/>
  <c r="H100" i="18"/>
  <c r="F55" i="18"/>
  <c r="H57" i="18"/>
  <c r="F121" i="18"/>
  <c r="G125" i="18"/>
  <c r="F173" i="18"/>
  <c r="G180" i="18"/>
  <c r="G65" i="18"/>
  <c r="G92" i="18"/>
  <c r="F61" i="18"/>
  <c r="F79" i="18"/>
  <c r="F131" i="18"/>
  <c r="F162" i="18"/>
  <c r="I146" i="18"/>
  <c r="F92" i="18"/>
  <c r="E140" i="18"/>
  <c r="E122" i="18"/>
  <c r="I66" i="18"/>
  <c r="E61" i="18"/>
  <c r="E149" i="18"/>
  <c r="G94" i="18"/>
  <c r="I99" i="18"/>
  <c r="I173" i="18"/>
  <c r="G121" i="18"/>
  <c r="F138" i="18"/>
  <c r="I153" i="18"/>
  <c r="E157" i="18"/>
  <c r="F149" i="18"/>
  <c r="G96" i="18"/>
  <c r="F169" i="18"/>
  <c r="I95" i="18"/>
  <c r="E148" i="18"/>
  <c r="D148" i="18" s="1"/>
  <c r="H85" i="18"/>
  <c r="I163" i="18"/>
  <c r="F137" i="18"/>
  <c r="I119" i="18"/>
  <c r="F146" i="18"/>
  <c r="I117" i="18"/>
  <c r="G113" i="18"/>
  <c r="H134" i="18"/>
  <c r="F176" i="18"/>
  <c r="H107" i="18"/>
  <c r="I111" i="18"/>
  <c r="E82" i="18"/>
  <c r="I121" i="18"/>
  <c r="H180" i="18"/>
  <c r="G111" i="18"/>
  <c r="E55" i="18"/>
  <c r="D55" i="18" s="1"/>
  <c r="I177" i="18"/>
  <c r="I174" i="18"/>
  <c r="I114" i="18"/>
  <c r="G93" i="18"/>
  <c r="E102" i="18"/>
  <c r="D102" i="18" s="1"/>
  <c r="E171" i="18"/>
  <c r="I84" i="18"/>
  <c r="I70" i="18"/>
  <c r="H176" i="18"/>
  <c r="G52" i="18"/>
  <c r="H118" i="18"/>
  <c r="I151" i="18"/>
  <c r="F93" i="18"/>
  <c r="H159" i="18"/>
  <c r="F97" i="18"/>
  <c r="H96" i="18"/>
  <c r="F51" i="18"/>
  <c r="G56" i="18"/>
  <c r="H91" i="18"/>
  <c r="H83" i="18"/>
  <c r="G51" i="18"/>
  <c r="H73" i="18"/>
  <c r="I127" i="18"/>
  <c r="I102" i="18"/>
  <c r="I52" i="18"/>
  <c r="I157" i="18"/>
  <c r="G156" i="18"/>
  <c r="E114" i="18"/>
  <c r="E121" i="18"/>
  <c r="I51" i="18"/>
  <c r="E178" i="18"/>
  <c r="I168" i="18"/>
  <c r="F81" i="18"/>
  <c r="G130" i="18"/>
  <c r="G167" i="18"/>
  <c r="I135" i="18"/>
  <c r="E87" i="18"/>
  <c r="I115" i="18"/>
  <c r="H129" i="18"/>
  <c r="H70" i="18"/>
  <c r="H117" i="18"/>
  <c r="F67" i="18"/>
  <c r="G139" i="18"/>
  <c r="G144" i="18"/>
  <c r="F54" i="18"/>
  <c r="E120" i="18"/>
  <c r="E63" i="18"/>
  <c r="I124" i="18"/>
  <c r="G83" i="18"/>
  <c r="G103" i="18"/>
  <c r="F106" i="18"/>
  <c r="I103" i="18"/>
  <c r="AJ52" i="31"/>
  <c r="AG52" i="31"/>
  <c r="AG11" i="31" s="1"/>
  <c r="V52" i="31"/>
  <c r="V11" i="31" s="1"/>
  <c r="X52" i="31"/>
  <c r="X11" i="31" s="1"/>
  <c r="AF52" i="31"/>
  <c r="W52" i="31"/>
  <c r="AD52" i="31"/>
  <c r="AD11" i="31" s="1"/>
  <c r="AH11" i="31"/>
  <c r="Z18" i="31"/>
  <c r="Y18" i="31"/>
  <c r="AE18" i="31"/>
  <c r="AC18" i="31"/>
  <c r="AJ18" i="31"/>
  <c r="AJ10" i="31" s="1"/>
  <c r="X18" i="31"/>
  <c r="AH18" i="31"/>
  <c r="AG18" i="31"/>
  <c r="AA18" i="31"/>
  <c r="AB18" i="31"/>
  <c r="AD18" i="31"/>
  <c r="AI18" i="31"/>
  <c r="AI10" i="31" s="1"/>
  <c r="AF18" i="31"/>
  <c r="D8" i="46"/>
  <c r="D11" i="46"/>
  <c r="D12" i="50"/>
  <c r="D7" i="50"/>
  <c r="E7" i="50" s="1"/>
  <c r="D10" i="50"/>
  <c r="D11" i="50"/>
  <c r="D13" i="50"/>
  <c r="D8" i="50"/>
  <c r="K48" i="50"/>
  <c r="K20" i="50"/>
  <c r="J26" i="50"/>
  <c r="J35" i="50"/>
  <c r="K31" i="50"/>
  <c r="K34" i="50"/>
  <c r="K25" i="50"/>
  <c r="K22" i="50"/>
  <c r="K33" i="50"/>
  <c r="J50" i="50"/>
  <c r="K47" i="50"/>
  <c r="K21" i="50"/>
  <c r="K24" i="50"/>
  <c r="K49" i="50"/>
  <c r="K23" i="50"/>
  <c r="K32" i="50"/>
  <c r="I49" i="45"/>
  <c r="D13" i="46"/>
  <c r="D9" i="46"/>
  <c r="D10" i="46"/>
  <c r="D7" i="46"/>
  <c r="E7" i="46" s="1"/>
  <c r="K47" i="46"/>
  <c r="K48" i="46"/>
  <c r="K49" i="46"/>
  <c r="K32" i="46"/>
  <c r="J50" i="46"/>
  <c r="K22" i="46"/>
  <c r="K34" i="46"/>
  <c r="K31" i="46"/>
  <c r="J26" i="46"/>
  <c r="K20" i="46"/>
  <c r="K33" i="46"/>
  <c r="J35" i="46"/>
  <c r="K25" i="46"/>
  <c r="K21" i="46"/>
  <c r="K23" i="46"/>
  <c r="K24" i="46"/>
  <c r="H50" i="45"/>
  <c r="I48" i="45"/>
  <c r="I47" i="45"/>
  <c r="H26" i="45"/>
  <c r="I20" i="45"/>
  <c r="I31" i="45"/>
  <c r="I34" i="45"/>
  <c r="H35" i="45"/>
  <c r="I33" i="45"/>
  <c r="I32" i="45"/>
  <c r="I22" i="45"/>
  <c r="I23" i="45"/>
  <c r="I25" i="45"/>
  <c r="I24" i="45"/>
  <c r="I21" i="45"/>
  <c r="D59" i="18" l="1"/>
  <c r="D139" i="18"/>
  <c r="D112" i="18"/>
  <c r="D157" i="18"/>
  <c r="D161" i="18"/>
  <c r="D82" i="18"/>
  <c r="D154" i="18"/>
  <c r="D74" i="18"/>
  <c r="D123" i="18"/>
  <c r="D73" i="18"/>
  <c r="D181" i="18"/>
  <c r="AC81" i="18"/>
  <c r="D149" i="18"/>
  <c r="D167" i="18"/>
  <c r="D51" i="18"/>
  <c r="D153" i="18"/>
  <c r="D93" i="18"/>
  <c r="D125" i="18"/>
  <c r="D135" i="18"/>
  <c r="D136" i="18"/>
  <c r="D106" i="18"/>
  <c r="D119" i="18"/>
  <c r="D147" i="18"/>
  <c r="D109" i="18"/>
  <c r="D84" i="18"/>
  <c r="AB92" i="18"/>
  <c r="AB78" i="18"/>
  <c r="AC84" i="18"/>
  <c r="AC87" i="18"/>
  <c r="AC85" i="18"/>
  <c r="D177" i="18"/>
  <c r="D64" i="18"/>
  <c r="D142" i="18"/>
  <c r="D79" i="18"/>
  <c r="D130" i="18"/>
  <c r="D99" i="18"/>
  <c r="AB93" i="18"/>
  <c r="D53" i="18"/>
  <c r="D65" i="18"/>
  <c r="D118" i="18"/>
  <c r="D117" i="18"/>
  <c r="D105" i="18"/>
  <c r="D158" i="18"/>
  <c r="D176" i="18"/>
  <c r="D151" i="18"/>
  <c r="D141" i="18"/>
  <c r="D103" i="18"/>
  <c r="AB94" i="18"/>
  <c r="D155" i="18"/>
  <c r="D162" i="18"/>
  <c r="D62" i="18"/>
  <c r="D68" i="18"/>
  <c r="D111" i="18"/>
  <c r="D80" i="18"/>
  <c r="D113" i="18"/>
  <c r="D121" i="18"/>
  <c r="D122" i="18"/>
  <c r="D170" i="18"/>
  <c r="D146" i="18"/>
  <c r="D165" i="18"/>
  <c r="D166" i="18"/>
  <c r="D129" i="18"/>
  <c r="D89" i="18"/>
  <c r="D88" i="18"/>
  <c r="AC93" i="18"/>
  <c r="D54" i="18"/>
  <c r="D101" i="18"/>
  <c r="D127" i="18"/>
  <c r="D175" i="18"/>
  <c r="D156" i="18"/>
  <c r="AC80" i="18"/>
  <c r="D87" i="18"/>
  <c r="D96" i="18"/>
  <c r="D168" i="18"/>
  <c r="D115" i="18"/>
  <c r="D132" i="18"/>
  <c r="D126" i="18"/>
  <c r="D91" i="18"/>
  <c r="D172" i="18"/>
  <c r="D85" i="18"/>
  <c r="D114" i="18"/>
  <c r="D140" i="18"/>
  <c r="D95" i="18"/>
  <c r="D77" i="18"/>
  <c r="D75" i="18"/>
  <c r="D83" i="18"/>
  <c r="D124" i="18"/>
  <c r="D152" i="18"/>
  <c r="D144" i="18"/>
  <c r="D72" i="18"/>
  <c r="D163" i="18"/>
  <c r="D137" i="18"/>
  <c r="AB95" i="18"/>
  <c r="D164" i="18"/>
  <c r="D110" i="18"/>
  <c r="D60" i="18"/>
  <c r="D90" i="18"/>
  <c r="D100" i="18"/>
  <c r="D52" i="18"/>
  <c r="D178" i="18"/>
  <c r="D173" i="18"/>
  <c r="D134" i="18"/>
  <c r="D69" i="18"/>
  <c r="D150" i="18"/>
  <c r="AB81" i="18"/>
  <c r="AB85" i="18"/>
  <c r="D94" i="18"/>
  <c r="D169" i="18"/>
  <c r="D98" i="18"/>
  <c r="AB80" i="18"/>
  <c r="AC82" i="18"/>
  <c r="D133" i="18"/>
  <c r="AB82" i="18"/>
  <c r="AC95" i="18"/>
  <c r="D67" i="18"/>
  <c r="D143" i="18"/>
  <c r="D104" i="18"/>
  <c r="D128" i="18"/>
  <c r="D92" i="18"/>
  <c r="D57" i="18"/>
  <c r="D61" i="18"/>
  <c r="D76" i="18"/>
  <c r="D63" i="18"/>
  <c r="D131" i="18"/>
  <c r="D120" i="18"/>
  <c r="D171" i="18"/>
  <c r="D71" i="18"/>
  <c r="D145" i="18"/>
  <c r="D70" i="18"/>
  <c r="D58" i="18"/>
  <c r="D174" i="18"/>
  <c r="D81" i="18"/>
  <c r="D116" i="18"/>
  <c r="AC92" i="18"/>
  <c r="O74" i="18"/>
  <c r="O171" i="18"/>
  <c r="O65" i="18"/>
  <c r="O162" i="18"/>
  <c r="O117" i="18"/>
  <c r="O175" i="18"/>
  <c r="O72" i="18"/>
  <c r="O146" i="18"/>
  <c r="O198" i="18"/>
  <c r="O168" i="18"/>
  <c r="O110" i="18"/>
  <c r="O124" i="18"/>
  <c r="O148" i="18"/>
  <c r="O154" i="18"/>
  <c r="O90" i="18"/>
  <c r="O143" i="18"/>
  <c r="O114" i="18"/>
  <c r="O96" i="18"/>
  <c r="O151" i="18"/>
  <c r="O52" i="18"/>
  <c r="O190" i="18"/>
  <c r="O206" i="18"/>
  <c r="O142" i="18"/>
  <c r="O204" i="18"/>
  <c r="O55" i="18"/>
  <c r="O131" i="18"/>
  <c r="O51" i="18"/>
  <c r="O155" i="18"/>
  <c r="O170" i="18"/>
  <c r="O186" i="18"/>
  <c r="O122" i="18"/>
  <c r="O184" i="18"/>
  <c r="O60" i="18"/>
  <c r="O111" i="18"/>
  <c r="O208" i="18"/>
  <c r="O135" i="18"/>
  <c r="O150" i="18"/>
  <c r="O166" i="18"/>
  <c r="O102" i="18"/>
  <c r="O164" i="18"/>
  <c r="O59" i="18"/>
  <c r="O197" i="18"/>
  <c r="O189" i="18"/>
  <c r="O108" i="18"/>
  <c r="O173" i="18"/>
  <c r="O187" i="18"/>
  <c r="O203" i="18"/>
  <c r="O98" i="18"/>
  <c r="O201" i="18"/>
  <c r="O79" i="18"/>
  <c r="O62" i="18"/>
  <c r="O209" i="18"/>
  <c r="O177" i="18"/>
  <c r="O169" i="18"/>
  <c r="O88" i="18"/>
  <c r="O153" i="18"/>
  <c r="O167" i="18"/>
  <c r="O183" i="18"/>
  <c r="O97" i="18"/>
  <c r="O181" i="18"/>
  <c r="O82" i="18"/>
  <c r="O207" i="18"/>
  <c r="O157" i="18"/>
  <c r="O149" i="18"/>
  <c r="O68" i="18"/>
  <c r="O133" i="18"/>
  <c r="O147" i="18"/>
  <c r="O163" i="18"/>
  <c r="O56" i="18"/>
  <c r="O161" i="18"/>
  <c r="O130" i="18"/>
  <c r="O178" i="18"/>
  <c r="O84" i="18"/>
  <c r="O113" i="18"/>
  <c r="O196" i="18"/>
  <c r="O109" i="18"/>
  <c r="O180" i="18"/>
  <c r="O93" i="18"/>
  <c r="O107" i="18"/>
  <c r="O123" i="18"/>
  <c r="O66" i="18"/>
  <c r="O121" i="18"/>
  <c r="O176" i="18"/>
  <c r="O89" i="18"/>
  <c r="O160" i="18"/>
  <c r="O73" i="18"/>
  <c r="O87" i="18"/>
  <c r="O103" i="18"/>
  <c r="O205" i="18"/>
  <c r="O101" i="18"/>
  <c r="O126" i="18"/>
  <c r="O106" i="18"/>
  <c r="O86" i="18"/>
  <c r="O76" i="18"/>
  <c r="O100" i="18"/>
  <c r="O199" i="18"/>
  <c r="O172" i="18"/>
  <c r="O139" i="18"/>
  <c r="O63" i="18"/>
  <c r="O165" i="18"/>
  <c r="O61" i="18"/>
  <c r="O80" i="18"/>
  <c r="O134" i="18"/>
  <c r="O81" i="18"/>
  <c r="O95" i="18"/>
  <c r="O99" i="18"/>
  <c r="O179" i="18"/>
  <c r="O152" i="18"/>
  <c r="O115" i="18"/>
  <c r="O94" i="18"/>
  <c r="O145" i="18"/>
  <c r="O188" i="18"/>
  <c r="O158" i="18"/>
  <c r="O137" i="18"/>
  <c r="O156" i="18"/>
  <c r="O67" i="18"/>
  <c r="O120" i="18"/>
  <c r="O54" i="18"/>
  <c r="O118" i="18"/>
  <c r="O78" i="18"/>
  <c r="O132" i="18"/>
  <c r="O159" i="18"/>
  <c r="O64" i="18"/>
  <c r="O125" i="18"/>
  <c r="O194" i="18"/>
  <c r="O174" i="18"/>
  <c r="O70" i="18"/>
  <c r="O193" i="18"/>
  <c r="O129" i="18"/>
  <c r="O127" i="18"/>
  <c r="O140" i="18"/>
  <c r="O83" i="18"/>
  <c r="O119" i="18"/>
  <c r="O53" i="18"/>
  <c r="O77" i="18"/>
  <c r="O57" i="18"/>
  <c r="O112" i="18"/>
  <c r="O58" i="18"/>
  <c r="O202" i="18"/>
  <c r="O105" i="18"/>
  <c r="O91" i="18"/>
  <c r="O144" i="18"/>
  <c r="O71" i="18"/>
  <c r="O104" i="18"/>
  <c r="O128" i="18"/>
  <c r="O200" i="18"/>
  <c r="O141" i="18"/>
  <c r="O69" i="18"/>
  <c r="O192" i="18"/>
  <c r="O185" i="18"/>
  <c r="O138" i="18"/>
  <c r="O191" i="18"/>
  <c r="O75" i="18"/>
  <c r="O116" i="18"/>
  <c r="O92" i="18"/>
  <c r="O136" i="18"/>
  <c r="O182" i="18"/>
  <c r="O85" i="18"/>
  <c r="J47" i="18"/>
  <c r="J48" i="18" s="1"/>
  <c r="G14" i="18" a="1"/>
  <c r="E50" i="18"/>
  <c r="H50" i="18"/>
  <c r="G50" i="18"/>
  <c r="I50" i="18"/>
  <c r="F50" i="18"/>
  <c r="AI15" i="31"/>
  <c r="AI14" i="31" s="1"/>
  <c r="Y15" i="31"/>
  <c r="Y14" i="31" s="1"/>
  <c r="Y10" i="31"/>
  <c r="Y9" i="31" s="1"/>
  <c r="AG15" i="31"/>
  <c r="AG14" i="31" s="1"/>
  <c r="AG10" i="31"/>
  <c r="AG9" i="31" s="1"/>
  <c r="Z10" i="31"/>
  <c r="Z9" i="31" s="1"/>
  <c r="AH10" i="31"/>
  <c r="AH9" i="31" s="1"/>
  <c r="AE10" i="31"/>
  <c r="AE9" i="31" s="1"/>
  <c r="AB10" i="31"/>
  <c r="AB9" i="31" s="1"/>
  <c r="AF15" i="31"/>
  <c r="AF14" i="31" s="1"/>
  <c r="AF10" i="31"/>
  <c r="AD10" i="31"/>
  <c r="AD9" i="31" s="1"/>
  <c r="AA10" i="31"/>
  <c r="AA9" i="31" s="1"/>
  <c r="X10" i="31"/>
  <c r="X9" i="31" s="1"/>
  <c r="AC15" i="31"/>
  <c r="AC14" i="31" s="1"/>
  <c r="AC10" i="31"/>
  <c r="AC9" i="31" s="1"/>
  <c r="AD15" i="31"/>
  <c r="AD14" i="31" s="1"/>
  <c r="Z15" i="31"/>
  <c r="Z14" i="31" s="1"/>
  <c r="AE15" i="31"/>
  <c r="AE14" i="31" s="1"/>
  <c r="AH15" i="31"/>
  <c r="AH14" i="31" s="1"/>
  <c r="AA15" i="31"/>
  <c r="AA14" i="31" s="1"/>
  <c r="AJ15" i="31"/>
  <c r="X15" i="31"/>
  <c r="X14" i="31" s="1"/>
  <c r="AB15" i="31"/>
  <c r="AB14" i="31" s="1"/>
  <c r="E8" i="46"/>
  <c r="E9" i="46" s="1"/>
  <c r="E10" i="46" s="1"/>
  <c r="E11" i="46" s="1"/>
  <c r="E12" i="46" s="1"/>
  <c r="E13" i="46" s="1"/>
  <c r="E8" i="50"/>
  <c r="E9" i="50" s="1"/>
  <c r="E10" i="50" s="1"/>
  <c r="E11" i="50" s="1"/>
  <c r="E12" i="50" s="1"/>
  <c r="E13" i="50" s="1"/>
  <c r="W111" i="18"/>
  <c r="E48" i="18"/>
  <c r="G31" i="18"/>
  <c r="D50" i="18" l="1"/>
  <c r="O50" i="18"/>
  <c r="O47" i="18" s="1"/>
  <c r="U77" i="18"/>
  <c r="Y84" i="18"/>
  <c r="Z79" i="18"/>
  <c r="G21" i="18"/>
  <c r="Y37" i="18" s="1"/>
  <c r="G18" i="18"/>
  <c r="Y34" i="18" s="1"/>
  <c r="G19" i="18"/>
  <c r="Y35" i="18" s="1"/>
  <c r="G20" i="18"/>
  <c r="Y36" i="18" s="1"/>
  <c r="G22" i="18"/>
  <c r="Y38" i="18" s="1"/>
  <c r="G16" i="18"/>
  <c r="Y32" i="18" s="1"/>
  <c r="G14" i="18"/>
  <c r="G23" i="18"/>
  <c r="Y39" i="18" s="1"/>
  <c r="G15" i="18"/>
  <c r="Y31" i="18" s="1"/>
  <c r="G17" i="18"/>
  <c r="Y33" i="18" s="1"/>
  <c r="V83" i="18"/>
  <c r="V76" i="18"/>
  <c r="X76" i="18"/>
  <c r="Z83" i="18"/>
  <c r="W76" i="18"/>
  <c r="T79" i="18"/>
  <c r="AA83" i="18"/>
  <c r="V77" i="18"/>
  <c r="Y79" i="18"/>
  <c r="Z84" i="18"/>
  <c r="W83" i="18"/>
  <c r="AA84" i="18"/>
  <c r="U84" i="18"/>
  <c r="AA79" i="18"/>
  <c r="T76" i="18"/>
  <c r="Z76" i="18"/>
  <c r="W77" i="18"/>
  <c r="V79" i="18"/>
  <c r="X77" i="18"/>
  <c r="V84" i="18"/>
  <c r="AD84" i="18" s="1"/>
  <c r="Y77" i="18"/>
  <c r="AA76" i="18"/>
  <c r="Z77" i="18"/>
  <c r="T84" i="18"/>
  <c r="Y76" i="18"/>
  <c r="U79" i="18"/>
  <c r="U83" i="18"/>
  <c r="W84" i="18"/>
  <c r="T77" i="18"/>
  <c r="X79" i="18"/>
  <c r="X84" i="18"/>
  <c r="W79" i="18"/>
  <c r="AA77" i="18"/>
  <c r="T83" i="18"/>
  <c r="X83" i="18"/>
  <c r="U76" i="18"/>
  <c r="Y83" i="18"/>
  <c r="H12" i="50"/>
  <c r="V111" i="18"/>
  <c r="X109" i="18"/>
  <c r="X111" i="18"/>
  <c r="U109" i="18"/>
  <c r="U111" i="18"/>
  <c r="V109" i="18"/>
  <c r="W109" i="18"/>
  <c r="J12" i="50"/>
  <c r="M87" i="3"/>
  <c r="H82" i="3"/>
  <c r="G82" i="3"/>
  <c r="F82" i="3"/>
  <c r="E82" i="3"/>
  <c r="D82" i="3"/>
  <c r="C82" i="3"/>
  <c r="H81" i="3"/>
  <c r="G81" i="3"/>
  <c r="F81" i="3"/>
  <c r="E81" i="3"/>
  <c r="D81" i="3"/>
  <c r="C81" i="3"/>
  <c r="H80" i="3"/>
  <c r="G80" i="3"/>
  <c r="F80" i="3"/>
  <c r="E80" i="3"/>
  <c r="D80" i="3"/>
  <c r="C80" i="3"/>
  <c r="H79" i="3"/>
  <c r="G79" i="3"/>
  <c r="F79" i="3"/>
  <c r="E79" i="3"/>
  <c r="D79" i="3"/>
  <c r="C79" i="3"/>
  <c r="H78" i="3"/>
  <c r="G78" i="3"/>
  <c r="F78" i="3"/>
  <c r="E78" i="3"/>
  <c r="D78" i="3"/>
  <c r="C78" i="3"/>
  <c r="H77" i="3"/>
  <c r="G77" i="3"/>
  <c r="F77" i="3"/>
  <c r="E77" i="3"/>
  <c r="D77" i="3"/>
  <c r="C77" i="3"/>
  <c r="H76" i="3"/>
  <c r="G76" i="3"/>
  <c r="F76" i="3"/>
  <c r="E76" i="3"/>
  <c r="D76" i="3"/>
  <c r="C76" i="3"/>
  <c r="H74" i="3"/>
  <c r="G74" i="3"/>
  <c r="F74" i="3"/>
  <c r="E74" i="3"/>
  <c r="D74" i="3"/>
  <c r="C74" i="3"/>
  <c r="H73" i="3"/>
  <c r="G73" i="3"/>
  <c r="F73" i="3"/>
  <c r="E73" i="3"/>
  <c r="D73" i="3"/>
  <c r="C73" i="3"/>
  <c r="H72" i="3"/>
  <c r="G72" i="3"/>
  <c r="F72" i="3"/>
  <c r="E72" i="3"/>
  <c r="D72" i="3"/>
  <c r="C72" i="3"/>
  <c r="H71" i="3"/>
  <c r="G71" i="3"/>
  <c r="F71" i="3"/>
  <c r="E71" i="3"/>
  <c r="D71" i="3"/>
  <c r="C71" i="3"/>
  <c r="H70" i="3"/>
  <c r="G70" i="3"/>
  <c r="F70" i="3"/>
  <c r="E70" i="3"/>
  <c r="D70" i="3"/>
  <c r="C70" i="3"/>
  <c r="H69" i="3"/>
  <c r="G69" i="3"/>
  <c r="F69" i="3"/>
  <c r="E69" i="3"/>
  <c r="D69" i="3"/>
  <c r="C69" i="3"/>
  <c r="H68" i="3"/>
  <c r="G68" i="3"/>
  <c r="F68" i="3"/>
  <c r="E68" i="3"/>
  <c r="D68" i="3"/>
  <c r="C68" i="3"/>
  <c r="H67" i="3"/>
  <c r="G67" i="3"/>
  <c r="F67" i="3"/>
  <c r="E67" i="3"/>
  <c r="D67" i="3"/>
  <c r="C67" i="3"/>
  <c r="H66" i="3"/>
  <c r="G66" i="3"/>
  <c r="F66" i="3"/>
  <c r="E66" i="3"/>
  <c r="D66" i="3"/>
  <c r="C66" i="3"/>
  <c r="H49" i="3"/>
  <c r="G49" i="3"/>
  <c r="F49" i="3"/>
  <c r="E49" i="3"/>
  <c r="D49" i="3"/>
  <c r="C49" i="3"/>
  <c r="H48" i="3"/>
  <c r="G48" i="3"/>
  <c r="F48" i="3"/>
  <c r="E48" i="3"/>
  <c r="D48" i="3"/>
  <c r="C48" i="3"/>
  <c r="H47" i="3"/>
  <c r="G47" i="3"/>
  <c r="F47" i="3"/>
  <c r="E47" i="3"/>
  <c r="D47" i="3"/>
  <c r="C47" i="3"/>
  <c r="H33" i="3"/>
  <c r="G33" i="3"/>
  <c r="F33" i="3"/>
  <c r="E33" i="3"/>
  <c r="D33" i="3"/>
  <c r="C33" i="3"/>
  <c r="H32" i="3"/>
  <c r="G32" i="3"/>
  <c r="F32" i="3"/>
  <c r="E32" i="3"/>
  <c r="D32" i="3"/>
  <c r="C32" i="3"/>
  <c r="H31" i="3"/>
  <c r="G31" i="3"/>
  <c r="F31" i="3"/>
  <c r="E31" i="3"/>
  <c r="D31" i="3"/>
  <c r="C31" i="3"/>
  <c r="H25" i="3"/>
  <c r="G25" i="3"/>
  <c r="F25" i="3"/>
  <c r="E25" i="3"/>
  <c r="D25" i="3"/>
  <c r="C25" i="3"/>
  <c r="H24" i="3"/>
  <c r="G24" i="3"/>
  <c r="F24" i="3"/>
  <c r="E24" i="3"/>
  <c r="D24" i="3"/>
  <c r="C24" i="3"/>
  <c r="H23" i="3"/>
  <c r="G23" i="3"/>
  <c r="F23" i="3"/>
  <c r="E23" i="3"/>
  <c r="D23" i="3"/>
  <c r="C23" i="3"/>
  <c r="H22" i="3"/>
  <c r="G22" i="3"/>
  <c r="F22" i="3"/>
  <c r="E22" i="3"/>
  <c r="D22" i="3"/>
  <c r="C22" i="3"/>
  <c r="H21" i="3"/>
  <c r="G21" i="3"/>
  <c r="F21" i="3"/>
  <c r="E21" i="3"/>
  <c r="D21" i="3"/>
  <c r="C21" i="3"/>
  <c r="H20" i="3"/>
  <c r="G20" i="3"/>
  <c r="F20" i="3"/>
  <c r="E20" i="3"/>
  <c r="D20" i="3"/>
  <c r="C20" i="3"/>
  <c r="C12" i="3"/>
  <c r="C11" i="3"/>
  <c r="C10" i="3"/>
  <c r="C9" i="3"/>
  <c r="C8" i="3"/>
  <c r="C7" i="3"/>
  <c r="D7" i="18"/>
  <c r="F26" i="18" s="1"/>
  <c r="U18" i="31"/>
  <c r="U14" i="31"/>
  <c r="U9" i="31"/>
  <c r="AD79" i="18" l="1"/>
  <c r="AE77" i="18"/>
  <c r="AE83" i="18"/>
  <c r="AE84" i="18"/>
  <c r="AD77" i="18"/>
  <c r="AE76" i="18"/>
  <c r="AE79" i="18"/>
  <c r="AD76" i="18"/>
  <c r="AD83" i="18"/>
  <c r="Y40" i="18"/>
  <c r="AF76" i="18"/>
  <c r="AF84" i="18"/>
  <c r="AF79" i="18"/>
  <c r="AF83" i="18"/>
  <c r="AF77" i="18"/>
  <c r="AI11" i="31"/>
  <c r="AI9" i="31" s="1"/>
  <c r="E75" i="3"/>
  <c r="F75" i="3"/>
  <c r="G64" i="3"/>
  <c r="R87" i="3" s="1"/>
  <c r="H64" i="3"/>
  <c r="S87" i="3" s="1"/>
  <c r="C64" i="3"/>
  <c r="N87" i="3" s="1"/>
  <c r="G75" i="3"/>
  <c r="D64" i="3"/>
  <c r="O87" i="3" s="1"/>
  <c r="C75" i="3"/>
  <c r="H75" i="3"/>
  <c r="E64" i="3"/>
  <c r="P87" i="3" s="1"/>
  <c r="F64" i="3"/>
  <c r="Q87" i="3" s="1"/>
  <c r="D75" i="3"/>
  <c r="G12" i="50"/>
  <c r="I12" i="50"/>
  <c r="F16" i="27"/>
  <c r="H16" i="27"/>
  <c r="I16" i="27"/>
  <c r="G16" i="27"/>
  <c r="E16" i="27"/>
  <c r="J7" i="46"/>
  <c r="H7" i="46"/>
  <c r="G7" i="46"/>
  <c r="F7" i="46"/>
  <c r="I7" i="46"/>
  <c r="V141" i="18"/>
  <c r="W141" i="18"/>
  <c r="X141" i="18"/>
  <c r="Y141" i="18"/>
  <c r="F9" i="49"/>
  <c r="H9" i="49"/>
  <c r="I9" i="49"/>
  <c r="G9" i="49"/>
  <c r="W135" i="18"/>
  <c r="X135" i="18"/>
  <c r="Y135" i="18"/>
  <c r="V135" i="18"/>
  <c r="F15" i="27"/>
  <c r="G15" i="27"/>
  <c r="H15" i="27"/>
  <c r="I15" i="27"/>
  <c r="E15" i="27"/>
  <c r="I13" i="50"/>
  <c r="H13" i="50"/>
  <c r="G13" i="50"/>
  <c r="F13" i="50"/>
  <c r="J13" i="50"/>
  <c r="U126" i="18"/>
  <c r="X126" i="18"/>
  <c r="Y126" i="18"/>
  <c r="W126" i="18"/>
  <c r="V126" i="18"/>
  <c r="V125" i="18"/>
  <c r="W125" i="18"/>
  <c r="X125" i="18"/>
  <c r="Y125" i="18"/>
  <c r="U125" i="18"/>
  <c r="G13" i="46"/>
  <c r="F13" i="46"/>
  <c r="J13" i="46"/>
  <c r="I13" i="46"/>
  <c r="H13" i="46"/>
  <c r="F10" i="49"/>
  <c r="G10" i="49"/>
  <c r="H10" i="49"/>
  <c r="I9" i="50"/>
  <c r="F8" i="47"/>
  <c r="H9" i="50"/>
  <c r="G9" i="50"/>
  <c r="F9" i="50"/>
  <c r="G8" i="47"/>
  <c r="H8" i="47"/>
  <c r="I10" i="49"/>
  <c r="J9" i="50"/>
  <c r="I8" i="47"/>
  <c r="J12" i="3"/>
  <c r="H12" i="3"/>
  <c r="G12" i="3"/>
  <c r="I12" i="3"/>
  <c r="F12" i="3"/>
  <c r="J10" i="50"/>
  <c r="I10" i="50"/>
  <c r="H10" i="50"/>
  <c r="G10" i="50"/>
  <c r="F10" i="50"/>
  <c r="V132" i="18"/>
  <c r="W132" i="18"/>
  <c r="X132" i="18"/>
  <c r="Y132" i="18"/>
  <c r="U132" i="18"/>
  <c r="F11" i="50"/>
  <c r="J11" i="50"/>
  <c r="I11" i="50"/>
  <c r="H11" i="50"/>
  <c r="G11" i="50"/>
  <c r="E66" i="11"/>
  <c r="E86" i="11"/>
  <c r="E106" i="11"/>
  <c r="E67" i="11"/>
  <c r="E87" i="11"/>
  <c r="E50" i="11"/>
  <c r="E70" i="11"/>
  <c r="E90" i="11"/>
  <c r="E51" i="11"/>
  <c r="E71" i="11"/>
  <c r="E91" i="11"/>
  <c r="E52" i="11"/>
  <c r="E72" i="11"/>
  <c r="E92" i="11"/>
  <c r="E53" i="11"/>
  <c r="E73" i="11"/>
  <c r="E93" i="11"/>
  <c r="J11" i="46"/>
  <c r="H11" i="46"/>
  <c r="G11" i="46"/>
  <c r="J11" i="3"/>
  <c r="I11" i="3"/>
  <c r="I11" i="46"/>
  <c r="F11" i="46"/>
  <c r="F11" i="3"/>
  <c r="G11" i="3"/>
  <c r="F8" i="49"/>
  <c r="G8" i="49"/>
  <c r="H8" i="49"/>
  <c r="I8" i="49"/>
  <c r="H11" i="3"/>
  <c r="V142" i="18"/>
  <c r="H10" i="47"/>
  <c r="W142" i="18"/>
  <c r="I10" i="47"/>
  <c r="X142" i="18"/>
  <c r="Y142" i="18"/>
  <c r="F10" i="47"/>
  <c r="G10" i="47"/>
  <c r="W131" i="18"/>
  <c r="X131" i="18"/>
  <c r="U131" i="18"/>
  <c r="V131" i="18"/>
  <c r="Y131" i="18"/>
  <c r="V124" i="18"/>
  <c r="W124" i="18"/>
  <c r="X124" i="18"/>
  <c r="Y124" i="18"/>
  <c r="U124" i="18"/>
  <c r="G7" i="3"/>
  <c r="F7" i="3"/>
  <c r="I7" i="3"/>
  <c r="H7" i="3"/>
  <c r="J7" i="3"/>
  <c r="J9" i="45"/>
  <c r="I9" i="45"/>
  <c r="H9" i="45"/>
  <c r="G9" i="45"/>
  <c r="F9" i="45"/>
  <c r="I13" i="49"/>
  <c r="H13" i="49"/>
  <c r="G13" i="49"/>
  <c r="F13" i="49"/>
  <c r="J8" i="46"/>
  <c r="I8" i="46"/>
  <c r="H8" i="46"/>
  <c r="F8" i="46"/>
  <c r="G8" i="46"/>
  <c r="H7" i="45"/>
  <c r="F7" i="45"/>
  <c r="J7" i="45"/>
  <c r="G7" i="45"/>
  <c r="I7" i="45"/>
  <c r="V130" i="18"/>
  <c r="W130" i="18"/>
  <c r="X130" i="18"/>
  <c r="Y130" i="18"/>
  <c r="H11" i="47"/>
  <c r="I11" i="47"/>
  <c r="G11" i="47"/>
  <c r="U130" i="18"/>
  <c r="F11" i="47"/>
  <c r="E65" i="11"/>
  <c r="E107" i="11"/>
  <c r="E68" i="11"/>
  <c r="E49" i="11"/>
  <c r="E64" i="11"/>
  <c r="E98" i="11"/>
  <c r="E69" i="11"/>
  <c r="E99" i="11"/>
  <c r="E74" i="11"/>
  <c r="E100" i="11"/>
  <c r="E75" i="11"/>
  <c r="E101" i="11"/>
  <c r="E79" i="11"/>
  <c r="E105" i="11"/>
  <c r="E81" i="11"/>
  <c r="E54" i="11"/>
  <c r="E82" i="11"/>
  <c r="E55" i="11"/>
  <c r="E83" i="11"/>
  <c r="E96" i="11"/>
  <c r="E97" i="11"/>
  <c r="E56" i="11"/>
  <c r="E102" i="11"/>
  <c r="E61" i="11"/>
  <c r="E62" i="11"/>
  <c r="E63" i="11"/>
  <c r="E76" i="11"/>
  <c r="E80" i="11"/>
  <c r="E48" i="11"/>
  <c r="E58" i="11"/>
  <c r="X138" i="18"/>
  <c r="E60" i="11"/>
  <c r="E77" i="11"/>
  <c r="E85" i="11"/>
  <c r="Y138" i="18"/>
  <c r="E88" i="11"/>
  <c r="E89" i="11"/>
  <c r="E94" i="11"/>
  <c r="V138" i="18"/>
  <c r="W138" i="18"/>
  <c r="E104" i="11"/>
  <c r="E95" i="11"/>
  <c r="E57" i="11"/>
  <c r="E59" i="11"/>
  <c r="E78" i="11"/>
  <c r="E103" i="11"/>
  <c r="E84" i="11"/>
  <c r="V133" i="18"/>
  <c r="U133" i="18"/>
  <c r="Y133" i="18"/>
  <c r="W133" i="18"/>
  <c r="X133" i="18"/>
  <c r="V139" i="18"/>
  <c r="W139" i="18"/>
  <c r="X139" i="18"/>
  <c r="Y139" i="18"/>
  <c r="H12" i="46"/>
  <c r="G12" i="46"/>
  <c r="F12" i="46"/>
  <c r="J12" i="46"/>
  <c r="I12" i="46"/>
  <c r="I10" i="27"/>
  <c r="E10" i="27"/>
  <c r="F10" i="27"/>
  <c r="G10" i="27"/>
  <c r="H10" i="27"/>
  <c r="X127" i="18"/>
  <c r="W127" i="18"/>
  <c r="Y127" i="18"/>
  <c r="V127" i="18"/>
  <c r="U127" i="18"/>
  <c r="G7" i="49"/>
  <c r="H7" i="49"/>
  <c r="I7" i="49"/>
  <c r="F7" i="49"/>
  <c r="F11" i="27"/>
  <c r="H11" i="27"/>
  <c r="I11" i="27"/>
  <c r="E11" i="27"/>
  <c r="G11" i="27"/>
  <c r="V128" i="18"/>
  <c r="W128" i="18"/>
  <c r="X128" i="18"/>
  <c r="Y128" i="18"/>
  <c r="U128" i="18"/>
  <c r="G11" i="49"/>
  <c r="H11" i="49"/>
  <c r="I11" i="49"/>
  <c r="F11" i="49"/>
  <c r="J11" i="45"/>
  <c r="I11" i="45"/>
  <c r="H11" i="45"/>
  <c r="G11" i="45"/>
  <c r="F11" i="45"/>
  <c r="F12" i="27"/>
  <c r="G12" i="27"/>
  <c r="I12" i="27"/>
  <c r="E12" i="27"/>
  <c r="H12" i="27"/>
  <c r="J9" i="3"/>
  <c r="I9" i="3"/>
  <c r="H9" i="3"/>
  <c r="G9" i="3"/>
  <c r="F9" i="3"/>
  <c r="F13" i="27"/>
  <c r="G13" i="27"/>
  <c r="H13" i="27"/>
  <c r="I13" i="27"/>
  <c r="E13" i="27"/>
  <c r="F12" i="50"/>
  <c r="W140" i="18"/>
  <c r="X140" i="18"/>
  <c r="Y140" i="18"/>
  <c r="V140" i="18"/>
  <c r="G14" i="27"/>
  <c r="H14" i="27"/>
  <c r="I14" i="27"/>
  <c r="F14" i="27"/>
  <c r="E14" i="27"/>
  <c r="F12" i="47"/>
  <c r="G12" i="47"/>
  <c r="H12" i="47"/>
  <c r="I12" i="47"/>
  <c r="V87" i="18"/>
  <c r="K204" i="18"/>
  <c r="U103" i="18"/>
  <c r="W103" i="18"/>
  <c r="V78" i="18"/>
  <c r="V103" i="18"/>
  <c r="X103" i="18"/>
  <c r="Z87" i="18"/>
  <c r="Z90" i="18"/>
  <c r="K209" i="18"/>
  <c r="T90" i="18"/>
  <c r="W106" i="18"/>
  <c r="W105" i="18"/>
  <c r="V90" i="18"/>
  <c r="W114" i="18"/>
  <c r="U110" i="18"/>
  <c r="W117" i="18"/>
  <c r="U107" i="18"/>
  <c r="T78" i="18"/>
  <c r="W102" i="18"/>
  <c r="Y90" i="18"/>
  <c r="W112" i="18"/>
  <c r="X106" i="18"/>
  <c r="X107" i="18"/>
  <c r="U87" i="18"/>
  <c r="U116" i="18"/>
  <c r="Y87" i="18"/>
  <c r="V115" i="18"/>
  <c r="Y78" i="18"/>
  <c r="U115" i="18"/>
  <c r="U102" i="18"/>
  <c r="X114" i="18"/>
  <c r="C13" i="27"/>
  <c r="D13" i="27"/>
  <c r="D14" i="27"/>
  <c r="C14" i="27"/>
  <c r="AA78" i="18"/>
  <c r="V113" i="18"/>
  <c r="U113" i="18"/>
  <c r="W115" i="18"/>
  <c r="D15" i="27"/>
  <c r="C15" i="27"/>
  <c r="W116" i="18"/>
  <c r="D16" i="27"/>
  <c r="C16" i="27"/>
  <c r="V104" i="18"/>
  <c r="V105" i="18"/>
  <c r="V110" i="18"/>
  <c r="V102" i="18"/>
  <c r="X115" i="18"/>
  <c r="V112" i="18"/>
  <c r="N204" i="18"/>
  <c r="V106" i="18"/>
  <c r="M204" i="18"/>
  <c r="X113" i="18"/>
  <c r="L204" i="18"/>
  <c r="V117" i="18"/>
  <c r="X102" i="18"/>
  <c r="W104" i="18"/>
  <c r="W110" i="18"/>
  <c r="V114" i="18"/>
  <c r="W107" i="18"/>
  <c r="D12" i="27"/>
  <c r="C12" i="27"/>
  <c r="V116" i="18"/>
  <c r="X116" i="18"/>
  <c r="W113" i="18"/>
  <c r="U106" i="18"/>
  <c r="V107" i="18"/>
  <c r="U117" i="18"/>
  <c r="U105" i="18"/>
  <c r="U104" i="18"/>
  <c r="X105" i="18"/>
  <c r="K205" i="18"/>
  <c r="X112" i="18"/>
  <c r="U112" i="18"/>
  <c r="X117" i="18"/>
  <c r="U114" i="18"/>
  <c r="X110" i="18"/>
  <c r="F7" i="27"/>
  <c r="C10" i="27"/>
  <c r="D10" i="27"/>
  <c r="C11" i="27"/>
  <c r="D11" i="27"/>
  <c r="X104" i="18"/>
  <c r="F27" i="18"/>
  <c r="T111" i="18"/>
  <c r="N7" i="31" s="1"/>
  <c r="T109" i="18"/>
  <c r="L7" i="31" s="1"/>
  <c r="D8" i="18"/>
  <c r="E7" i="18"/>
  <c r="D50" i="3"/>
  <c r="G50" i="3"/>
  <c r="E35" i="3"/>
  <c r="K190" i="18"/>
  <c r="L190" i="18"/>
  <c r="C35" i="3"/>
  <c r="D35" i="3"/>
  <c r="I68" i="3"/>
  <c r="H26" i="3"/>
  <c r="I23" i="3"/>
  <c r="F35" i="3"/>
  <c r="I67" i="3"/>
  <c r="I22" i="3"/>
  <c r="I25" i="3"/>
  <c r="G35" i="3"/>
  <c r="E50" i="3"/>
  <c r="I76" i="3"/>
  <c r="H35" i="3"/>
  <c r="F50" i="3"/>
  <c r="I82" i="3"/>
  <c r="E26" i="3"/>
  <c r="I24" i="3"/>
  <c r="I79" i="3"/>
  <c r="I70" i="3"/>
  <c r="I65" i="3"/>
  <c r="I66" i="3"/>
  <c r="I69" i="3"/>
  <c r="I78" i="3"/>
  <c r="I47" i="3"/>
  <c r="I77" i="3"/>
  <c r="C3" i="11"/>
  <c r="C3" i="27"/>
  <c r="C3" i="3"/>
  <c r="F34" i="31"/>
  <c r="W34" i="31" s="1"/>
  <c r="C26" i="3"/>
  <c r="I20" i="3"/>
  <c r="C13" i="3"/>
  <c r="D12" i="3" s="1"/>
  <c r="I21" i="3"/>
  <c r="D26" i="3"/>
  <c r="H50" i="3"/>
  <c r="C50" i="3"/>
  <c r="I73" i="3"/>
  <c r="I74" i="3"/>
  <c r="I49" i="3"/>
  <c r="I72" i="3"/>
  <c r="I81" i="3"/>
  <c r="F26" i="3"/>
  <c r="I48" i="3"/>
  <c r="I80" i="3"/>
  <c r="G26" i="3"/>
  <c r="I71" i="3"/>
  <c r="I33" i="3"/>
  <c r="I32" i="3"/>
  <c r="I31" i="3"/>
  <c r="T124" i="18" l="1"/>
  <c r="T125" i="18"/>
  <c r="T135" i="18"/>
  <c r="AJ11" i="31"/>
  <c r="AF11" i="31"/>
  <c r="AF9" i="31" s="1"/>
  <c r="K196" i="18"/>
  <c r="H17" i="27"/>
  <c r="Z89" i="18"/>
  <c r="G17" i="27"/>
  <c r="F17" i="27"/>
  <c r="E17" i="27"/>
  <c r="I17" i="27"/>
  <c r="N209" i="18"/>
  <c r="C17" i="27"/>
  <c r="T128" i="18"/>
  <c r="I75" i="3"/>
  <c r="J83" i="3" s="1"/>
  <c r="T140" i="18"/>
  <c r="I64" i="3"/>
  <c r="J65" i="3" s="1"/>
  <c r="T133" i="18"/>
  <c r="T141" i="18"/>
  <c r="T142" i="18"/>
  <c r="T132" i="18"/>
  <c r="T131" i="18"/>
  <c r="T126" i="18"/>
  <c r="T139" i="18"/>
  <c r="T127" i="18"/>
  <c r="T138" i="18"/>
  <c r="T130" i="18"/>
  <c r="N205" i="18"/>
  <c r="W85" i="18"/>
  <c r="K157" i="18"/>
  <c r="L209" i="18"/>
  <c r="M209" i="18"/>
  <c r="U78" i="18"/>
  <c r="K186" i="18"/>
  <c r="V86" i="18"/>
  <c r="K128" i="18"/>
  <c r="U90" i="18"/>
  <c r="W86" i="18"/>
  <c r="X81" i="18"/>
  <c r="Z86" i="18"/>
  <c r="M206" i="18"/>
  <c r="L196" i="18"/>
  <c r="W78" i="18"/>
  <c r="AE78" i="18" s="1"/>
  <c r="Y85" i="18"/>
  <c r="AA90" i="18"/>
  <c r="L187" i="18"/>
  <c r="Z78" i="18"/>
  <c r="N206" i="18"/>
  <c r="M205" i="18"/>
  <c r="L193" i="18"/>
  <c r="L206" i="18"/>
  <c r="C7" i="27"/>
  <c r="K206" i="18"/>
  <c r="W81" i="18"/>
  <c r="X87" i="18"/>
  <c r="AD87" i="18" s="1"/>
  <c r="W90" i="18"/>
  <c r="U89" i="18"/>
  <c r="AA86" i="18"/>
  <c r="V85" i="18"/>
  <c r="G77" i="11"/>
  <c r="F77" i="11"/>
  <c r="F105" i="11"/>
  <c r="G105" i="11"/>
  <c r="G72" i="11"/>
  <c r="F72" i="11"/>
  <c r="W87" i="18"/>
  <c r="L205" i="18"/>
  <c r="G60" i="11"/>
  <c r="F60" i="11"/>
  <c r="G79" i="11"/>
  <c r="F79" i="11"/>
  <c r="G52" i="11"/>
  <c r="F52" i="11"/>
  <c r="G101" i="11"/>
  <c r="F101" i="11"/>
  <c r="G91" i="11"/>
  <c r="F91" i="11"/>
  <c r="G58" i="11"/>
  <c r="F58" i="11"/>
  <c r="G75" i="11"/>
  <c r="F75" i="11"/>
  <c r="G71" i="11"/>
  <c r="F71" i="11"/>
  <c r="F100" i="11"/>
  <c r="G100" i="11"/>
  <c r="G51" i="11"/>
  <c r="F51" i="11"/>
  <c r="F48" i="11"/>
  <c r="G48" i="11"/>
  <c r="G74" i="11"/>
  <c r="F74" i="11"/>
  <c r="G90" i="11"/>
  <c r="F90" i="11"/>
  <c r="F84" i="11"/>
  <c r="G84" i="11"/>
  <c r="G80" i="11"/>
  <c r="F80" i="11"/>
  <c r="G99" i="11"/>
  <c r="F99" i="11"/>
  <c r="G70" i="11"/>
  <c r="F70" i="11"/>
  <c r="G92" i="11"/>
  <c r="F92" i="11"/>
  <c r="F103" i="11"/>
  <c r="G103" i="11"/>
  <c r="G76" i="11"/>
  <c r="F76" i="11"/>
  <c r="G69" i="11"/>
  <c r="F69" i="11"/>
  <c r="G50" i="11"/>
  <c r="F50" i="11"/>
  <c r="G54" i="11"/>
  <c r="F54" i="11"/>
  <c r="G78" i="11"/>
  <c r="F78" i="11"/>
  <c r="G63" i="11"/>
  <c r="F63" i="11"/>
  <c r="G98" i="11"/>
  <c r="F98" i="11"/>
  <c r="G87" i="11"/>
  <c r="F87" i="11"/>
  <c r="F81" i="11"/>
  <c r="G81" i="11"/>
  <c r="G59" i="11"/>
  <c r="F59" i="11"/>
  <c r="G62" i="11"/>
  <c r="F62" i="11"/>
  <c r="G64" i="11"/>
  <c r="F64" i="11"/>
  <c r="F67" i="11"/>
  <c r="G67" i="11"/>
  <c r="G57" i="11"/>
  <c r="F57" i="11"/>
  <c r="G61" i="11"/>
  <c r="F61" i="11"/>
  <c r="G49" i="11"/>
  <c r="F49" i="11"/>
  <c r="F106" i="11"/>
  <c r="G106" i="11"/>
  <c r="G8" i="45"/>
  <c r="G9" i="46"/>
  <c r="F8" i="45"/>
  <c r="J8" i="3"/>
  <c r="H8" i="3"/>
  <c r="G8" i="3"/>
  <c r="F9" i="46"/>
  <c r="F7" i="50"/>
  <c r="J8" i="45"/>
  <c r="J7" i="50"/>
  <c r="I7" i="50"/>
  <c r="I8" i="3"/>
  <c r="H7" i="50"/>
  <c r="F8" i="3"/>
  <c r="I8" i="45"/>
  <c r="H8" i="45"/>
  <c r="J9" i="46"/>
  <c r="G7" i="50"/>
  <c r="I9" i="46"/>
  <c r="H9" i="46"/>
  <c r="L12" i="11"/>
  <c r="H18" i="11"/>
  <c r="P20" i="11"/>
  <c r="P12" i="11"/>
  <c r="T14" i="11"/>
  <c r="T11" i="11"/>
  <c r="P14" i="11"/>
  <c r="T17" i="11"/>
  <c r="D13" i="11"/>
  <c r="T20" i="11"/>
  <c r="D14" i="11"/>
  <c r="H13" i="11"/>
  <c r="T15" i="11"/>
  <c r="H19" i="11"/>
  <c r="D20" i="11"/>
  <c r="P16" i="11"/>
  <c r="D11" i="11"/>
  <c r="L13" i="11"/>
  <c r="L22" i="11"/>
  <c r="H22" i="11"/>
  <c r="H11" i="11"/>
  <c r="L15" i="11"/>
  <c r="L11" i="11"/>
  <c r="P19" i="11"/>
  <c r="P11" i="11"/>
  <c r="P15" i="11"/>
  <c r="D12" i="11"/>
  <c r="H16" i="11"/>
  <c r="T19" i="11"/>
  <c r="D15" i="11"/>
  <c r="H15" i="11"/>
  <c r="H21" i="11"/>
  <c r="G10" i="3"/>
  <c r="G9" i="47"/>
  <c r="L16" i="11"/>
  <c r="L21" i="11"/>
  <c r="F10" i="3"/>
  <c r="T16" i="11"/>
  <c r="P21" i="11"/>
  <c r="T21" i="11"/>
  <c r="H12" i="11"/>
  <c r="T22" i="11"/>
  <c r="J10" i="45"/>
  <c r="P17" i="11"/>
  <c r="H10" i="45"/>
  <c r="L18" i="11"/>
  <c r="G10" i="45"/>
  <c r="D18" i="11"/>
  <c r="D19" i="11"/>
  <c r="D21" i="11"/>
  <c r="D22" i="11"/>
  <c r="P18" i="11"/>
  <c r="F10" i="45"/>
  <c r="J10" i="3"/>
  <c r="T18" i="11"/>
  <c r="I10" i="3"/>
  <c r="H10" i="3"/>
  <c r="F9" i="47"/>
  <c r="L19" i="11"/>
  <c r="H20" i="11"/>
  <c r="F12" i="49"/>
  <c r="F14" i="49" s="1"/>
  <c r="J8" i="50"/>
  <c r="L20" i="11"/>
  <c r="J10" i="46"/>
  <c r="G12" i="49"/>
  <c r="G14" i="49" s="1"/>
  <c r="I8" i="50"/>
  <c r="T12" i="11"/>
  <c r="I10" i="46"/>
  <c r="H12" i="49"/>
  <c r="H14" i="49" s="1"/>
  <c r="H8" i="50"/>
  <c r="P13" i="11"/>
  <c r="T13" i="11"/>
  <c r="H14" i="11"/>
  <c r="L14" i="11"/>
  <c r="I9" i="47"/>
  <c r="H17" i="11"/>
  <c r="H10" i="46"/>
  <c r="G10" i="46"/>
  <c r="L17" i="11"/>
  <c r="I10" i="45"/>
  <c r="F10" i="46"/>
  <c r="D16" i="11"/>
  <c r="H9" i="47"/>
  <c r="P22" i="11"/>
  <c r="G8" i="50"/>
  <c r="F8" i="50"/>
  <c r="D17" i="11"/>
  <c r="I12" i="49"/>
  <c r="I14" i="49" s="1"/>
  <c r="G95" i="11"/>
  <c r="F95" i="11"/>
  <c r="G102" i="11"/>
  <c r="F102" i="11"/>
  <c r="F68" i="11"/>
  <c r="G68" i="11"/>
  <c r="F86" i="11"/>
  <c r="G86" i="11"/>
  <c r="F104" i="11"/>
  <c r="G104" i="11"/>
  <c r="G56" i="11"/>
  <c r="F56" i="11"/>
  <c r="G107" i="11"/>
  <c r="F107" i="11"/>
  <c r="F66" i="11"/>
  <c r="G66" i="11"/>
  <c r="K201" i="18"/>
  <c r="K193" i="18"/>
  <c r="X85" i="18"/>
  <c r="G97" i="11"/>
  <c r="F97" i="11"/>
  <c r="F65" i="11"/>
  <c r="G65" i="11"/>
  <c r="U143" i="18"/>
  <c r="G96" i="11"/>
  <c r="F96" i="11"/>
  <c r="Y143" i="18"/>
  <c r="G53" i="11"/>
  <c r="F53" i="11"/>
  <c r="F85" i="11"/>
  <c r="G85" i="11"/>
  <c r="G94" i="11"/>
  <c r="F94" i="11"/>
  <c r="F83" i="11"/>
  <c r="G83" i="11"/>
  <c r="X143" i="18"/>
  <c r="G7" i="47"/>
  <c r="H7" i="47"/>
  <c r="I7" i="47"/>
  <c r="F7" i="47"/>
  <c r="AA89" i="18"/>
  <c r="G89" i="11"/>
  <c r="F89" i="11"/>
  <c r="G55" i="11"/>
  <c r="F55" i="11"/>
  <c r="W143" i="18"/>
  <c r="G93" i="11"/>
  <c r="F93" i="11"/>
  <c r="K200" i="18"/>
  <c r="G88" i="11"/>
  <c r="F88" i="11"/>
  <c r="G82" i="11"/>
  <c r="F82" i="11"/>
  <c r="V143" i="18"/>
  <c r="G73" i="11"/>
  <c r="F73" i="11"/>
  <c r="M196" i="18"/>
  <c r="Y89" i="18"/>
  <c r="AA87" i="18"/>
  <c r="N196" i="18"/>
  <c r="T103" i="18"/>
  <c r="F7" i="31" s="1"/>
  <c r="N193" i="18"/>
  <c r="T107" i="18"/>
  <c r="J7" i="31" s="1"/>
  <c r="X86" i="18"/>
  <c r="M189" i="18"/>
  <c r="T89" i="18"/>
  <c r="K198" i="18"/>
  <c r="T112" i="18"/>
  <c r="O7" i="31" s="1"/>
  <c r="K194" i="18"/>
  <c r="M193" i="18"/>
  <c r="T115" i="18"/>
  <c r="S7" i="31" s="1"/>
  <c r="T85" i="18"/>
  <c r="T102" i="18"/>
  <c r="E7" i="31" s="1"/>
  <c r="Y86" i="18"/>
  <c r="L192" i="18"/>
  <c r="T117" i="18"/>
  <c r="T105" i="18"/>
  <c r="H7" i="31" s="1"/>
  <c r="N203" i="18"/>
  <c r="T81" i="18"/>
  <c r="X90" i="18"/>
  <c r="AF90" i="18" s="1"/>
  <c r="U86" i="18"/>
  <c r="M202" i="18"/>
  <c r="Z85" i="18"/>
  <c r="X78" i="18"/>
  <c r="X89" i="18"/>
  <c r="T113" i="18"/>
  <c r="P7" i="31" s="1"/>
  <c r="AA85" i="18"/>
  <c r="T86" i="18"/>
  <c r="K203" i="18"/>
  <c r="M203" i="18"/>
  <c r="T106" i="18"/>
  <c r="I7" i="31" s="1"/>
  <c r="U85" i="18"/>
  <c r="M199" i="18"/>
  <c r="N202" i="18"/>
  <c r="T104" i="18"/>
  <c r="G7" i="31" s="1"/>
  <c r="T87" i="18"/>
  <c r="T114" i="18"/>
  <c r="Q7" i="31" s="1"/>
  <c r="L194" i="18"/>
  <c r="M198" i="18"/>
  <c r="T110" i="18"/>
  <c r="M7" i="31" s="1"/>
  <c r="M200" i="18"/>
  <c r="L198" i="18"/>
  <c r="L200" i="18"/>
  <c r="M192" i="18"/>
  <c r="V93" i="18"/>
  <c r="AD93" i="18" s="1"/>
  <c r="U92" i="18"/>
  <c r="L199" i="18"/>
  <c r="T116" i="18"/>
  <c r="R7" i="31" s="1"/>
  <c r="K208" i="18"/>
  <c r="M197" i="18"/>
  <c r="L203" i="18"/>
  <c r="X93" i="18"/>
  <c r="V89" i="18"/>
  <c r="M201" i="18"/>
  <c r="M208" i="18"/>
  <c r="N208" i="18"/>
  <c r="T88" i="18"/>
  <c r="W89" i="18"/>
  <c r="K199" i="18"/>
  <c r="L208" i="18"/>
  <c r="Y88" i="18"/>
  <c r="L197" i="18"/>
  <c r="N197" i="18"/>
  <c r="AA82" i="18"/>
  <c r="W108" i="18"/>
  <c r="V108" i="18"/>
  <c r="X108" i="18"/>
  <c r="K197" i="18"/>
  <c r="U93" i="18"/>
  <c r="N198" i="18"/>
  <c r="N200" i="18"/>
  <c r="N207" i="18"/>
  <c r="M207" i="18"/>
  <c r="U81" i="18"/>
  <c r="L201" i="18"/>
  <c r="L207" i="18"/>
  <c r="N192" i="18"/>
  <c r="V81" i="18"/>
  <c r="K207" i="18"/>
  <c r="N195" i="18"/>
  <c r="W93" i="18"/>
  <c r="K202" i="18"/>
  <c r="M195" i="18"/>
  <c r="K192" i="18"/>
  <c r="L195" i="18"/>
  <c r="K195" i="18"/>
  <c r="N194" i="18"/>
  <c r="N201" i="18"/>
  <c r="N199" i="18"/>
  <c r="M194" i="18"/>
  <c r="L202" i="18"/>
  <c r="V88" i="18"/>
  <c r="W80" i="18"/>
  <c r="V80" i="18"/>
  <c r="Y81" i="18"/>
  <c r="W92" i="18"/>
  <c r="V92" i="18"/>
  <c r="X80" i="18"/>
  <c r="Y80" i="18"/>
  <c r="T92" i="18"/>
  <c r="Y95" i="18"/>
  <c r="X95" i="18"/>
  <c r="U88" i="18"/>
  <c r="W95" i="18"/>
  <c r="V95" i="18"/>
  <c r="Z81" i="18"/>
  <c r="Y94" i="18"/>
  <c r="X94" i="18"/>
  <c r="Z80" i="18"/>
  <c r="AA80" i="18"/>
  <c r="AA81" i="18"/>
  <c r="Z92" i="18"/>
  <c r="AA92" i="18"/>
  <c r="U94" i="18"/>
  <c r="T94" i="18"/>
  <c r="U95" i="18"/>
  <c r="T95" i="18"/>
  <c r="Y93" i="18"/>
  <c r="T93" i="18"/>
  <c r="AA94" i="18"/>
  <c r="Z94" i="18"/>
  <c r="U80" i="18"/>
  <c r="T80" i="18"/>
  <c r="Z93" i="18"/>
  <c r="Y92" i="18"/>
  <c r="X92" i="18"/>
  <c r="AA95" i="18"/>
  <c r="Z95" i="18"/>
  <c r="W94" i="18"/>
  <c r="V94" i="18"/>
  <c r="AA93" i="18"/>
  <c r="Z88" i="18"/>
  <c r="AA88" i="18"/>
  <c r="W88" i="18"/>
  <c r="X88" i="18"/>
  <c r="E8" i="18"/>
  <c r="F7" i="18"/>
  <c r="W82" i="18"/>
  <c r="J23" i="3"/>
  <c r="L186" i="18"/>
  <c r="J48" i="3"/>
  <c r="J22" i="3"/>
  <c r="N189" i="18"/>
  <c r="M163" i="18"/>
  <c r="K163" i="18"/>
  <c r="M186" i="18"/>
  <c r="N190" i="18"/>
  <c r="L172" i="18"/>
  <c r="K159" i="18"/>
  <c r="L157" i="18"/>
  <c r="K189" i="18"/>
  <c r="M187" i="18"/>
  <c r="K191" i="18"/>
  <c r="K183" i="18"/>
  <c r="M172" i="18"/>
  <c r="L158" i="18"/>
  <c r="N157" i="18"/>
  <c r="K175" i="18"/>
  <c r="K181" i="18"/>
  <c r="M179" i="18"/>
  <c r="N187" i="18"/>
  <c r="K173" i="18"/>
  <c r="K168" i="18"/>
  <c r="L170" i="18"/>
  <c r="M159" i="18"/>
  <c r="V54" i="18"/>
  <c r="X54" i="18"/>
  <c r="Z54" i="18"/>
  <c r="AA54" i="18"/>
  <c r="Y54" i="18"/>
  <c r="T54" i="18"/>
  <c r="U54" i="18"/>
  <c r="N186" i="18"/>
  <c r="K187" i="18"/>
  <c r="L183" i="18"/>
  <c r="L173" i="18"/>
  <c r="M170" i="18"/>
  <c r="M158" i="18"/>
  <c r="N159" i="18"/>
  <c r="L165" i="18"/>
  <c r="M173" i="18"/>
  <c r="L168" i="18"/>
  <c r="N170" i="18"/>
  <c r="M162" i="18"/>
  <c r="M176" i="18"/>
  <c r="L189" i="18"/>
  <c r="N184" i="18"/>
  <c r="M180" i="18"/>
  <c r="M190" i="18"/>
  <c r="N173" i="18"/>
  <c r="K170" i="18"/>
  <c r="N172" i="18"/>
  <c r="N162" i="18"/>
  <c r="K161" i="18"/>
  <c r="L166" i="18"/>
  <c r="K164" i="18"/>
  <c r="K172" i="18"/>
  <c r="M157" i="18"/>
  <c r="J21" i="3"/>
  <c r="X53" i="18"/>
  <c r="D9" i="3"/>
  <c r="J25" i="3"/>
  <c r="K68" i="18"/>
  <c r="J24" i="3"/>
  <c r="K57" i="18"/>
  <c r="K85" i="18"/>
  <c r="K132" i="18"/>
  <c r="K108" i="18"/>
  <c r="K142" i="18"/>
  <c r="K143" i="18"/>
  <c r="K69" i="18"/>
  <c r="L126" i="18"/>
  <c r="K120" i="18"/>
  <c r="K78" i="18"/>
  <c r="L57" i="18"/>
  <c r="L63" i="18"/>
  <c r="L120" i="18"/>
  <c r="K73" i="18"/>
  <c r="L128" i="18"/>
  <c r="M63" i="18"/>
  <c r="M120" i="18"/>
  <c r="K117" i="18"/>
  <c r="L84" i="18"/>
  <c r="M79" i="18"/>
  <c r="K72" i="18"/>
  <c r="N63" i="18"/>
  <c r="L85" i="18"/>
  <c r="K63" i="18"/>
  <c r="M88" i="18"/>
  <c r="K56" i="18"/>
  <c r="L64" i="18"/>
  <c r="M68" i="18"/>
  <c r="N96" i="18"/>
  <c r="L143" i="18"/>
  <c r="N148" i="18"/>
  <c r="L105" i="18"/>
  <c r="M72" i="18"/>
  <c r="Z53" i="18"/>
  <c r="T52" i="18"/>
  <c r="V51" i="18"/>
  <c r="M57" i="18"/>
  <c r="AA52" i="18"/>
  <c r="T53" i="18"/>
  <c r="Y52" i="18"/>
  <c r="J34" i="3"/>
  <c r="J31" i="3"/>
  <c r="I35" i="3"/>
  <c r="J32" i="3"/>
  <c r="K84" i="18"/>
  <c r="K79" i="18"/>
  <c r="N57" i="18"/>
  <c r="K86" i="18"/>
  <c r="K88" i="18"/>
  <c r="L72" i="18"/>
  <c r="T51" i="18"/>
  <c r="AA51" i="18"/>
  <c r="Y51" i="18"/>
  <c r="Z52" i="18"/>
  <c r="U52" i="18"/>
  <c r="V52" i="18"/>
  <c r="J49" i="3"/>
  <c r="D10" i="3"/>
  <c r="M84" i="18"/>
  <c r="K118" i="18"/>
  <c r="N79" i="18"/>
  <c r="K137" i="18"/>
  <c r="N120" i="18"/>
  <c r="J20" i="3"/>
  <c r="I26" i="3"/>
  <c r="L148" i="18"/>
  <c r="N88" i="18"/>
  <c r="V53" i="18"/>
  <c r="U53" i="18"/>
  <c r="W53" i="18"/>
  <c r="L88" i="18"/>
  <c r="K54" i="18"/>
  <c r="AA53" i="18"/>
  <c r="Y53" i="18"/>
  <c r="Z51" i="18"/>
  <c r="J47" i="3"/>
  <c r="D8" i="3"/>
  <c r="D11" i="3"/>
  <c r="D7" i="3"/>
  <c r="E7" i="3" s="1"/>
  <c r="I50" i="3"/>
  <c r="K64" i="18"/>
  <c r="M96" i="18"/>
  <c r="M143" i="18"/>
  <c r="L142" i="18"/>
  <c r="L94" i="18"/>
  <c r="K148" i="18"/>
  <c r="L78" i="18"/>
  <c r="K89" i="18"/>
  <c r="N72" i="18"/>
  <c r="W51" i="18"/>
  <c r="U51" i="18"/>
  <c r="W52" i="18"/>
  <c r="J33" i="3"/>
  <c r="L68" i="18"/>
  <c r="K133" i="18"/>
  <c r="L132" i="18"/>
  <c r="L96" i="18"/>
  <c r="M85" i="18"/>
  <c r="L76" i="18"/>
  <c r="E39" i="31"/>
  <c r="V39" i="31" s="1"/>
  <c r="N68" i="18"/>
  <c r="L137" i="18"/>
  <c r="L79" i="18"/>
  <c r="M148" i="18"/>
  <c r="X51" i="18"/>
  <c r="X52" i="18"/>
  <c r="AD95" i="18" l="1"/>
  <c r="AD78" i="18"/>
  <c r="AE81" i="18"/>
  <c r="AE93" i="18"/>
  <c r="AE88" i="18"/>
  <c r="AD80" i="18"/>
  <c r="AD92" i="18"/>
  <c r="AD85" i="18"/>
  <c r="AE86" i="18"/>
  <c r="AE85" i="18"/>
  <c r="AE87" i="18"/>
  <c r="AD81" i="18"/>
  <c r="AE95" i="18"/>
  <c r="AE82" i="18"/>
  <c r="AE89" i="18"/>
  <c r="AD89" i="18"/>
  <c r="AE94" i="18"/>
  <c r="AE90" i="18"/>
  <c r="AE92" i="18"/>
  <c r="AE80" i="18"/>
  <c r="AE75" i="18" s="1"/>
  <c r="AD88" i="18"/>
  <c r="AD94" i="18"/>
  <c r="AD86" i="18"/>
  <c r="AD90" i="18"/>
  <c r="J78" i="3"/>
  <c r="J77" i="3"/>
  <c r="T108" i="18"/>
  <c r="K7" i="31" s="1"/>
  <c r="W19" i="31"/>
  <c r="J82" i="3"/>
  <c r="J81" i="3"/>
  <c r="J79" i="3"/>
  <c r="J76" i="3"/>
  <c r="J80" i="3"/>
  <c r="J70" i="3"/>
  <c r="J71" i="3"/>
  <c r="J72" i="3"/>
  <c r="J73" i="3"/>
  <c r="J74" i="3"/>
  <c r="J66" i="3"/>
  <c r="J69" i="3"/>
  <c r="J67" i="3"/>
  <c r="J68" i="3"/>
  <c r="AF78" i="18"/>
  <c r="AF87" i="18"/>
  <c r="H14" i="50"/>
  <c r="I14" i="46"/>
  <c r="G13" i="3"/>
  <c r="G13" i="47"/>
  <c r="I13" i="3"/>
  <c r="J14" i="46"/>
  <c r="J12" i="45"/>
  <c r="F14" i="50"/>
  <c r="H13" i="3"/>
  <c r="F12" i="45"/>
  <c r="F13" i="3"/>
  <c r="F14" i="46"/>
  <c r="J13" i="3"/>
  <c r="G14" i="46"/>
  <c r="G12" i="45"/>
  <c r="H12" i="45"/>
  <c r="I12" i="45"/>
  <c r="H13" i="47"/>
  <c r="H14" i="46"/>
  <c r="G11" i="11"/>
  <c r="E11" i="11"/>
  <c r="F11" i="11"/>
  <c r="N14" i="11"/>
  <c r="O14" i="11"/>
  <c r="M14" i="11"/>
  <c r="M21" i="11"/>
  <c r="O21" i="11"/>
  <c r="N21" i="11"/>
  <c r="R16" i="11"/>
  <c r="Q16" i="11"/>
  <c r="S16" i="11"/>
  <c r="U16" i="11"/>
  <c r="V16" i="11"/>
  <c r="W16" i="11"/>
  <c r="U18" i="11"/>
  <c r="V18" i="11"/>
  <c r="W18" i="11"/>
  <c r="J14" i="11"/>
  <c r="I14" i="11"/>
  <c r="K14" i="11"/>
  <c r="U15" i="11"/>
  <c r="V15" i="11"/>
  <c r="W15" i="11"/>
  <c r="E20" i="11"/>
  <c r="G20" i="11"/>
  <c r="F20" i="11"/>
  <c r="J19" i="11"/>
  <c r="I19" i="11"/>
  <c r="K19" i="11"/>
  <c r="U13" i="11"/>
  <c r="W13" i="11"/>
  <c r="V13" i="11"/>
  <c r="Q18" i="11"/>
  <c r="R18" i="11"/>
  <c r="S18" i="11"/>
  <c r="I21" i="11"/>
  <c r="J21" i="11"/>
  <c r="K21" i="11"/>
  <c r="K13" i="11"/>
  <c r="I13" i="11"/>
  <c r="J13" i="11"/>
  <c r="Q13" i="11"/>
  <c r="S13" i="11"/>
  <c r="R13" i="11"/>
  <c r="E22" i="11"/>
  <c r="F22" i="11"/>
  <c r="G22" i="11"/>
  <c r="I15" i="11"/>
  <c r="K15" i="11"/>
  <c r="J15" i="11"/>
  <c r="E14" i="11"/>
  <c r="G14" i="11"/>
  <c r="F14" i="11"/>
  <c r="I14" i="50"/>
  <c r="F21" i="11"/>
  <c r="E21" i="11"/>
  <c r="G21" i="11"/>
  <c r="F15" i="11"/>
  <c r="G15" i="11"/>
  <c r="E15" i="11"/>
  <c r="U20" i="11"/>
  <c r="V20" i="11"/>
  <c r="W20" i="11"/>
  <c r="J14" i="50"/>
  <c r="F17" i="11"/>
  <c r="G17" i="11"/>
  <c r="E17" i="11"/>
  <c r="G19" i="11"/>
  <c r="E19" i="11"/>
  <c r="F19" i="11"/>
  <c r="U19" i="11"/>
  <c r="W19" i="11"/>
  <c r="V19" i="11"/>
  <c r="F13" i="11"/>
  <c r="E13" i="11"/>
  <c r="G13" i="11"/>
  <c r="M13" i="11"/>
  <c r="N13" i="11"/>
  <c r="O13" i="11"/>
  <c r="E18" i="11"/>
  <c r="F18" i="11"/>
  <c r="G18" i="11"/>
  <c r="I16" i="11"/>
  <c r="K16" i="11"/>
  <c r="J16" i="11"/>
  <c r="U17" i="11"/>
  <c r="V17" i="11"/>
  <c r="W17" i="11"/>
  <c r="G14" i="50"/>
  <c r="V12" i="11"/>
  <c r="U12" i="11"/>
  <c r="W12" i="11"/>
  <c r="G12" i="11"/>
  <c r="E12" i="11"/>
  <c r="F12" i="11"/>
  <c r="S14" i="11"/>
  <c r="Q14" i="11"/>
  <c r="R14" i="11"/>
  <c r="AF86" i="18"/>
  <c r="Q22" i="11"/>
  <c r="R22" i="11"/>
  <c r="S22" i="11"/>
  <c r="M18" i="11"/>
  <c r="N18" i="11"/>
  <c r="O18" i="11"/>
  <c r="Q15" i="11"/>
  <c r="S15" i="11"/>
  <c r="R15" i="11"/>
  <c r="U11" i="11"/>
  <c r="V11" i="11"/>
  <c r="W11" i="11"/>
  <c r="R11" i="11"/>
  <c r="Q11" i="11"/>
  <c r="S11" i="11"/>
  <c r="U14" i="11"/>
  <c r="W14" i="11"/>
  <c r="V14" i="11"/>
  <c r="G16" i="11"/>
  <c r="E16" i="11"/>
  <c r="F16" i="11"/>
  <c r="Q17" i="11"/>
  <c r="S17" i="11"/>
  <c r="R17" i="11"/>
  <c r="R19" i="11"/>
  <c r="Q19" i="11"/>
  <c r="S19" i="11"/>
  <c r="Q12" i="11"/>
  <c r="S12" i="11"/>
  <c r="R12" i="11"/>
  <c r="M16" i="11"/>
  <c r="O16" i="11"/>
  <c r="N16" i="11"/>
  <c r="N20" i="11"/>
  <c r="M20" i="11"/>
  <c r="O20" i="11"/>
  <c r="M11" i="11"/>
  <c r="O11" i="11"/>
  <c r="N11" i="11"/>
  <c r="Q20" i="11"/>
  <c r="S20" i="11"/>
  <c r="R20" i="11"/>
  <c r="F13" i="47"/>
  <c r="T143" i="18"/>
  <c r="V22" i="11"/>
  <c r="U22" i="11"/>
  <c r="W22" i="11"/>
  <c r="N15" i="11"/>
  <c r="M15" i="11"/>
  <c r="O15" i="11"/>
  <c r="I18" i="11"/>
  <c r="J18" i="11"/>
  <c r="K18" i="11"/>
  <c r="M17" i="11"/>
  <c r="O17" i="11"/>
  <c r="N17" i="11"/>
  <c r="I12" i="11"/>
  <c r="K12" i="11"/>
  <c r="J12" i="11"/>
  <c r="I11" i="11"/>
  <c r="K11" i="11"/>
  <c r="J11" i="11"/>
  <c r="M12" i="11"/>
  <c r="O12" i="11"/>
  <c r="N12" i="11"/>
  <c r="J17" i="11"/>
  <c r="I17" i="11"/>
  <c r="K17" i="11"/>
  <c r="I13" i="47"/>
  <c r="I20" i="11"/>
  <c r="K20" i="11"/>
  <c r="J20" i="11"/>
  <c r="V21" i="11"/>
  <c r="U21" i="11"/>
  <c r="W21" i="11"/>
  <c r="I22" i="11"/>
  <c r="K22" i="11"/>
  <c r="J22" i="11"/>
  <c r="M19" i="11"/>
  <c r="N19" i="11"/>
  <c r="O19" i="11"/>
  <c r="R21" i="11"/>
  <c r="Q21" i="11"/>
  <c r="S21" i="11"/>
  <c r="M22" i="11"/>
  <c r="N22" i="11"/>
  <c r="O22" i="11"/>
  <c r="AF85" i="18"/>
  <c r="AF89" i="18"/>
  <c r="I47" i="18"/>
  <c r="I48" i="18" s="1"/>
  <c r="AF81" i="18"/>
  <c r="Z82" i="18"/>
  <c r="Z75" i="18" s="1"/>
  <c r="Z91" i="18"/>
  <c r="W91" i="18"/>
  <c r="V91" i="18"/>
  <c r="AD91" i="18" s="1"/>
  <c r="Y91" i="18"/>
  <c r="AA75" i="18"/>
  <c r="U91" i="18"/>
  <c r="T91" i="18"/>
  <c r="X91" i="18"/>
  <c r="AA91" i="18"/>
  <c r="X82" i="18"/>
  <c r="X75" i="18" s="1"/>
  <c r="Y82" i="18"/>
  <c r="Y75" i="18" s="1"/>
  <c r="AF80" i="18"/>
  <c r="U82" i="18"/>
  <c r="T82" i="18"/>
  <c r="V82" i="18"/>
  <c r="W75" i="18"/>
  <c r="AF88" i="18"/>
  <c r="H47" i="18"/>
  <c r="F47" i="18"/>
  <c r="G47" i="18"/>
  <c r="Z61" i="18"/>
  <c r="W62" i="18"/>
  <c r="W61" i="18"/>
  <c r="X61" i="18"/>
  <c r="U62" i="18"/>
  <c r="Y62" i="18"/>
  <c r="AA62" i="18"/>
  <c r="V62" i="18"/>
  <c r="V61" i="18"/>
  <c r="U61" i="18"/>
  <c r="K185" i="18"/>
  <c r="M174" i="18"/>
  <c r="V63" i="18"/>
  <c r="K171" i="18"/>
  <c r="L159" i="18"/>
  <c r="N177" i="18"/>
  <c r="Z62" i="18"/>
  <c r="N164" i="18"/>
  <c r="L182" i="18"/>
  <c r="U63" i="18"/>
  <c r="K177" i="18"/>
  <c r="L179" i="18"/>
  <c r="Y63" i="18"/>
  <c r="N183" i="18"/>
  <c r="L163" i="18"/>
  <c r="AA63" i="18"/>
  <c r="N168" i="18"/>
  <c r="Z63" i="18"/>
  <c r="K182" i="18"/>
  <c r="K180" i="18"/>
  <c r="X63" i="18"/>
  <c r="L188" i="18"/>
  <c r="N182" i="18"/>
  <c r="K184" i="18"/>
  <c r="L176" i="18"/>
  <c r="K174" i="18"/>
  <c r="K188" i="18"/>
  <c r="M167" i="18"/>
  <c r="L178" i="18"/>
  <c r="M185" i="18"/>
  <c r="L171" i="18"/>
  <c r="N179" i="18"/>
  <c r="M181" i="18"/>
  <c r="M175" i="18"/>
  <c r="N191" i="18"/>
  <c r="N163" i="18"/>
  <c r="L69" i="18"/>
  <c r="K152" i="18"/>
  <c r="N181" i="18"/>
  <c r="L160" i="18"/>
  <c r="K166" i="18"/>
  <c r="M182" i="18"/>
  <c r="L184" i="18"/>
  <c r="L167" i="18"/>
  <c r="N176" i="18"/>
  <c r="M183" i="18"/>
  <c r="L191" i="18"/>
  <c r="N158" i="18"/>
  <c r="K158" i="18"/>
  <c r="N160" i="18"/>
  <c r="M166" i="18"/>
  <c r="M184" i="18"/>
  <c r="N167" i="18"/>
  <c r="L185" i="18"/>
  <c r="N174" i="18"/>
  <c r="M171" i="18"/>
  <c r="K169" i="18"/>
  <c r="M160" i="18"/>
  <c r="N64" i="18"/>
  <c r="N166" i="18"/>
  <c r="L180" i="18"/>
  <c r="K178" i="18"/>
  <c r="K176" i="18"/>
  <c r="K165" i="18"/>
  <c r="N185" i="18"/>
  <c r="L174" i="18"/>
  <c r="L169" i="18"/>
  <c r="M191" i="18"/>
  <c r="L161" i="18"/>
  <c r="K160" i="18"/>
  <c r="L177" i="18"/>
  <c r="N50" i="18"/>
  <c r="M169" i="18"/>
  <c r="L175" i="18"/>
  <c r="N161" i="18"/>
  <c r="M177" i="18"/>
  <c r="L73" i="18"/>
  <c r="L164" i="18"/>
  <c r="M188" i="18"/>
  <c r="M178" i="18"/>
  <c r="M165" i="18"/>
  <c r="M168" i="18"/>
  <c r="L162" i="18"/>
  <c r="K179" i="18"/>
  <c r="N169" i="18"/>
  <c r="N175" i="18"/>
  <c r="M164" i="18"/>
  <c r="N188" i="18"/>
  <c r="M161" i="18"/>
  <c r="N180" i="18"/>
  <c r="K167" i="18"/>
  <c r="N178" i="18"/>
  <c r="N165" i="18"/>
  <c r="N171" i="18"/>
  <c r="L181" i="18"/>
  <c r="K162" i="18"/>
  <c r="M118" i="18"/>
  <c r="N153" i="18"/>
  <c r="F14" i="18" a="1"/>
  <c r="N118" i="18"/>
  <c r="N117" i="18"/>
  <c r="L118" i="18"/>
  <c r="L117" i="18"/>
  <c r="M117" i="18"/>
  <c r="K53" i="18"/>
  <c r="M56" i="18"/>
  <c r="N85" i="18"/>
  <c r="M69" i="18"/>
  <c r="N101" i="18"/>
  <c r="Y61" i="18"/>
  <c r="M54" i="18"/>
  <c r="X62" i="18"/>
  <c r="AA61" i="18"/>
  <c r="T58" i="18"/>
  <c r="N54" i="18"/>
  <c r="L100" i="18"/>
  <c r="M73" i="18"/>
  <c r="M153" i="18"/>
  <c r="N84" i="18"/>
  <c r="L52" i="18"/>
  <c r="N73" i="18"/>
  <c r="K127" i="18"/>
  <c r="N116" i="18"/>
  <c r="L153" i="18"/>
  <c r="M105" i="18"/>
  <c r="K150" i="18"/>
  <c r="M137" i="18"/>
  <c r="K94" i="18"/>
  <c r="N137" i="18"/>
  <c r="N152" i="18"/>
  <c r="N69" i="18"/>
  <c r="L54" i="18"/>
  <c r="M52" i="18"/>
  <c r="K153" i="18"/>
  <c r="N105" i="18"/>
  <c r="M152" i="18"/>
  <c r="K52" i="18"/>
  <c r="K105" i="18"/>
  <c r="L152" i="18"/>
  <c r="L86" i="18"/>
  <c r="M53" i="18"/>
  <c r="M78" i="18"/>
  <c r="E44" i="31"/>
  <c r="V44" i="31" s="1"/>
  <c r="K96" i="18"/>
  <c r="M142" i="18"/>
  <c r="M64" i="18"/>
  <c r="N104" i="18"/>
  <c r="K66" i="18"/>
  <c r="M128" i="18"/>
  <c r="K126" i="18"/>
  <c r="M132" i="18"/>
  <c r="N127" i="18"/>
  <c r="K111" i="18"/>
  <c r="M133" i="18"/>
  <c r="N132" i="18"/>
  <c r="K136" i="18"/>
  <c r="M127" i="18"/>
  <c r="N136" i="18"/>
  <c r="L127" i="18"/>
  <c r="L136" i="18"/>
  <c r="K62" i="18"/>
  <c r="N95" i="18"/>
  <c r="N140" i="18"/>
  <c r="N108" i="18"/>
  <c r="K140" i="18"/>
  <c r="M140" i="18"/>
  <c r="N121" i="18"/>
  <c r="N143" i="18"/>
  <c r="M108" i="18"/>
  <c r="L108" i="18"/>
  <c r="L140" i="18"/>
  <c r="L149" i="18"/>
  <c r="L89" i="18"/>
  <c r="N149" i="18"/>
  <c r="M150" i="18"/>
  <c r="N150" i="18"/>
  <c r="L150" i="18"/>
  <c r="L110" i="18"/>
  <c r="K95" i="18"/>
  <c r="N111" i="18"/>
  <c r="N110" i="18"/>
  <c r="L95" i="18"/>
  <c r="M95" i="18"/>
  <c r="M111" i="18"/>
  <c r="L111" i="18"/>
  <c r="N126" i="18"/>
  <c r="K121" i="18"/>
  <c r="M101" i="18"/>
  <c r="L101" i="18"/>
  <c r="K101" i="18"/>
  <c r="N86" i="18"/>
  <c r="N142" i="18"/>
  <c r="L133" i="18"/>
  <c r="K149" i="18"/>
  <c r="M62" i="18"/>
  <c r="K92" i="18"/>
  <c r="M136" i="18"/>
  <c r="N76" i="18"/>
  <c r="N133" i="18"/>
  <c r="M126" i="18"/>
  <c r="K138" i="18"/>
  <c r="N78" i="18"/>
  <c r="M149" i="18"/>
  <c r="K110" i="18"/>
  <c r="K109" i="18"/>
  <c r="K116" i="18"/>
  <c r="L62" i="18"/>
  <c r="L121" i="18"/>
  <c r="N53" i="18"/>
  <c r="N89" i="18"/>
  <c r="K106" i="18"/>
  <c r="K145" i="18"/>
  <c r="L116" i="18"/>
  <c r="K119" i="18"/>
  <c r="M94" i="18"/>
  <c r="M116" i="18"/>
  <c r="L56" i="18"/>
  <c r="N94" i="18"/>
  <c r="N62" i="18"/>
  <c r="N128" i="18"/>
  <c r="M121" i="18"/>
  <c r="K114" i="18"/>
  <c r="K104" i="18"/>
  <c r="K155" i="18"/>
  <c r="N154" i="18"/>
  <c r="K124" i="18"/>
  <c r="M75" i="18"/>
  <c r="L130" i="18"/>
  <c r="M110" i="18"/>
  <c r="K135" i="18"/>
  <c r="N100" i="18"/>
  <c r="L65" i="18"/>
  <c r="N77" i="18"/>
  <c r="N92" i="18"/>
  <c r="L71" i="18"/>
  <c r="N87" i="18"/>
  <c r="N90" i="18"/>
  <c r="M81" i="18"/>
  <c r="M134" i="18"/>
  <c r="N67" i="18"/>
  <c r="L129" i="18"/>
  <c r="K59" i="18"/>
  <c r="L122" i="18"/>
  <c r="M125" i="18"/>
  <c r="M76" i="18"/>
  <c r="N52" i="18"/>
  <c r="K141" i="18"/>
  <c r="K100" i="18"/>
  <c r="K76" i="18"/>
  <c r="L109" i="18"/>
  <c r="M138" i="18"/>
  <c r="K97" i="18"/>
  <c r="K147" i="18"/>
  <c r="N83" i="18"/>
  <c r="K82" i="18"/>
  <c r="L123" i="18"/>
  <c r="M104" i="18"/>
  <c r="N107" i="18"/>
  <c r="L77" i="18"/>
  <c r="N98" i="18"/>
  <c r="L104" i="18"/>
  <c r="K80" i="18"/>
  <c r="L61" i="18"/>
  <c r="N106" i="18"/>
  <c r="M61" i="18"/>
  <c r="K146" i="18"/>
  <c r="M130" i="18"/>
  <c r="L66" i="18"/>
  <c r="M123" i="18"/>
  <c r="L58" i="18"/>
  <c r="L55" i="18"/>
  <c r="L141" i="18"/>
  <c r="L156" i="18"/>
  <c r="M51" i="18"/>
  <c r="N114" i="18"/>
  <c r="L53" i="18"/>
  <c r="L106" i="18"/>
  <c r="K74" i="18"/>
  <c r="K103" i="18"/>
  <c r="K112" i="18"/>
  <c r="L146" i="18"/>
  <c r="K93" i="18"/>
  <c r="K130" i="18"/>
  <c r="K122" i="18"/>
  <c r="K55" i="18"/>
  <c r="N130" i="18"/>
  <c r="M100" i="18"/>
  <c r="M89" i="18"/>
  <c r="N56" i="18"/>
  <c r="M103" i="18"/>
  <c r="M109" i="18"/>
  <c r="L74" i="18"/>
  <c r="L83" i="18"/>
  <c r="L119" i="18"/>
  <c r="L67" i="18"/>
  <c r="M70" i="18"/>
  <c r="L115" i="18"/>
  <c r="M86" i="18"/>
  <c r="N147" i="18"/>
  <c r="M119" i="18"/>
  <c r="K131" i="18"/>
  <c r="M67" i="18"/>
  <c r="L113" i="18"/>
  <c r="N60" i="18"/>
  <c r="N123" i="18"/>
  <c r="M59" i="18"/>
  <c r="N58" i="18"/>
  <c r="L125" i="18"/>
  <c r="M55" i="18"/>
  <c r="N141" i="18"/>
  <c r="M156" i="18"/>
  <c r="N115" i="18"/>
  <c r="M114" i="18"/>
  <c r="L135" i="18"/>
  <c r="N99" i="18"/>
  <c r="M155" i="18"/>
  <c r="K91" i="18"/>
  <c r="L124" i="18"/>
  <c r="N75" i="18"/>
  <c r="M139" i="18"/>
  <c r="L112" i="18"/>
  <c r="N146" i="18"/>
  <c r="N93" i="18"/>
  <c r="L131" i="18"/>
  <c r="M66" i="18"/>
  <c r="L60" i="18"/>
  <c r="M58" i="18"/>
  <c r="L80" i="18"/>
  <c r="M151" i="18"/>
  <c r="N61" i="18"/>
  <c r="L107" i="18"/>
  <c r="U60" i="18"/>
  <c r="U58" i="18"/>
  <c r="M99" i="18"/>
  <c r="K71" i="18"/>
  <c r="N155" i="18"/>
  <c r="N91" i="18"/>
  <c r="M90" i="18"/>
  <c r="M124" i="18"/>
  <c r="N139" i="18"/>
  <c r="N103" i="18"/>
  <c r="M97" i="18"/>
  <c r="M112" i="18"/>
  <c r="K83" i="18"/>
  <c r="L93" i="18"/>
  <c r="N119" i="18"/>
  <c r="N131" i="18"/>
  <c r="M129" i="18"/>
  <c r="M60" i="18"/>
  <c r="N122" i="18"/>
  <c r="K58" i="18"/>
  <c r="N70" i="18"/>
  <c r="N51" i="18"/>
  <c r="M135" i="18"/>
  <c r="K107" i="18"/>
  <c r="K151" i="18"/>
  <c r="N151" i="18"/>
  <c r="M106" i="18"/>
  <c r="N145" i="18"/>
  <c r="W58" i="18"/>
  <c r="W60" i="18"/>
  <c r="F44" i="31"/>
  <c r="W44" i="31" s="1"/>
  <c r="L92" i="18"/>
  <c r="K99" i="18"/>
  <c r="L98" i="18"/>
  <c r="M71" i="18"/>
  <c r="E8" i="3"/>
  <c r="E9" i="3" s="1"/>
  <c r="E10" i="3" s="1"/>
  <c r="E11" i="3" s="1"/>
  <c r="E12" i="3" s="1"/>
  <c r="L155" i="18"/>
  <c r="K154" i="18"/>
  <c r="K90" i="18"/>
  <c r="N109" i="18"/>
  <c r="K139" i="18"/>
  <c r="N97" i="18"/>
  <c r="N112" i="18"/>
  <c r="N82" i="18"/>
  <c r="M93" i="18"/>
  <c r="N134" i="18"/>
  <c r="N129" i="18"/>
  <c r="L144" i="18"/>
  <c r="M122" i="18"/>
  <c r="N55" i="18"/>
  <c r="K70" i="18"/>
  <c r="N156" i="18"/>
  <c r="K51" i="18"/>
  <c r="N135" i="18"/>
  <c r="X58" i="18"/>
  <c r="X60" i="18"/>
  <c r="K65" i="18"/>
  <c r="N80" i="18"/>
  <c r="M145" i="18"/>
  <c r="L99" i="18"/>
  <c r="M98" i="18"/>
  <c r="N71" i="18"/>
  <c r="L87" i="18"/>
  <c r="M102" i="18"/>
  <c r="M154" i="18"/>
  <c r="L90" i="18"/>
  <c r="N124" i="18"/>
  <c r="N74" i="18"/>
  <c r="L139" i="18"/>
  <c r="L103" i="18"/>
  <c r="M83" i="18"/>
  <c r="Y58" i="18"/>
  <c r="Y60" i="18"/>
  <c r="L134" i="18"/>
  <c r="M131" i="18"/>
  <c r="K113" i="18"/>
  <c r="K129" i="18"/>
  <c r="M144" i="18"/>
  <c r="K123" i="18"/>
  <c r="K125" i="18"/>
  <c r="L70" i="18"/>
  <c r="K115" i="18"/>
  <c r="L51" i="18"/>
  <c r="K50" i="18"/>
  <c r="C14" i="18" a="1"/>
  <c r="L151" i="18"/>
  <c r="L102" i="18"/>
  <c r="N81" i="18"/>
  <c r="AA60" i="18"/>
  <c r="AA58" i="18"/>
  <c r="M141" i="18"/>
  <c r="D14" i="18" a="1"/>
  <c r="L50" i="18"/>
  <c r="M65" i="18"/>
  <c r="N65" i="18"/>
  <c r="M80" i="18"/>
  <c r="M107" i="18"/>
  <c r="K61" i="18"/>
  <c r="L145" i="18"/>
  <c r="M77" i="18"/>
  <c r="K98" i="18"/>
  <c r="K87" i="18"/>
  <c r="K102" i="18"/>
  <c r="L91" i="18"/>
  <c r="L154" i="18"/>
  <c r="K81" i="18"/>
  <c r="K75" i="18"/>
  <c r="M74" i="18"/>
  <c r="L138" i="18"/>
  <c r="L97" i="18"/>
  <c r="L147" i="18"/>
  <c r="M146" i="18"/>
  <c r="L82" i="18"/>
  <c r="K134" i="18"/>
  <c r="K67" i="18"/>
  <c r="M113" i="18"/>
  <c r="K60" i="18"/>
  <c r="K144" i="18"/>
  <c r="N59" i="18"/>
  <c r="N125" i="18"/>
  <c r="E14" i="18" a="1"/>
  <c r="M50" i="18"/>
  <c r="K77" i="18"/>
  <c r="M92" i="18"/>
  <c r="M87" i="18"/>
  <c r="N102" i="18"/>
  <c r="M91" i="18"/>
  <c r="L81" i="18"/>
  <c r="L75" i="18"/>
  <c r="Z58" i="18"/>
  <c r="Z60" i="18"/>
  <c r="N138" i="18"/>
  <c r="M147" i="18"/>
  <c r="M82" i="18"/>
  <c r="N66" i="18"/>
  <c r="N113" i="18"/>
  <c r="N144" i="18"/>
  <c r="L59" i="18"/>
  <c r="V60" i="18"/>
  <c r="V58" i="18"/>
  <c r="K156" i="18"/>
  <c r="M115" i="18"/>
  <c r="L114" i="18"/>
  <c r="AE91" i="18" l="1"/>
  <c r="V75" i="18"/>
  <c r="AD82" i="18"/>
  <c r="AD75" i="18" s="1"/>
  <c r="C31" i="18" a="1"/>
  <c r="AB75" i="18"/>
  <c r="U75" i="18"/>
  <c r="V71" i="18" s="1"/>
  <c r="AC75" i="18"/>
  <c r="AJ9" i="31"/>
  <c r="AF82" i="18"/>
  <c r="T71" i="18" s="1"/>
  <c r="T75" i="18"/>
  <c r="G48" i="18"/>
  <c r="F48" i="18"/>
  <c r="H48" i="18"/>
  <c r="M47" i="18"/>
  <c r="K47" i="18"/>
  <c r="L47" i="18"/>
  <c r="N47" i="18"/>
  <c r="D47" i="18"/>
  <c r="D48" i="18" s="1"/>
  <c r="F14" i="18"/>
  <c r="F21" i="18"/>
  <c r="X37" i="18" s="1"/>
  <c r="F22" i="18"/>
  <c r="X38" i="18" s="1"/>
  <c r="F20" i="18"/>
  <c r="X36" i="18" s="1"/>
  <c r="F19" i="18"/>
  <c r="X35" i="18" s="1"/>
  <c r="F17" i="18"/>
  <c r="X33" i="18" s="1"/>
  <c r="F16" i="18"/>
  <c r="X32" i="18" s="1"/>
  <c r="F23" i="18"/>
  <c r="X39" i="18" s="1"/>
  <c r="F15" i="18"/>
  <c r="X31" i="18" s="1"/>
  <c r="F18" i="18"/>
  <c r="X34" i="18" s="1"/>
  <c r="V20" i="31"/>
  <c r="C18" i="18"/>
  <c r="U34" i="18" s="1"/>
  <c r="C17" i="18"/>
  <c r="U33" i="18" s="1"/>
  <c r="C14" i="18"/>
  <c r="C23" i="18"/>
  <c r="U39" i="18" s="1"/>
  <c r="C20" i="18"/>
  <c r="U36" i="18" s="1"/>
  <c r="C15" i="18"/>
  <c r="U31" i="18" s="1"/>
  <c r="C22" i="18"/>
  <c r="U38" i="18" s="1"/>
  <c r="C21" i="18"/>
  <c r="U37" i="18" s="1"/>
  <c r="C16" i="18"/>
  <c r="U32" i="18" s="1"/>
  <c r="C19" i="18"/>
  <c r="U35" i="18" s="1"/>
  <c r="D23" i="18"/>
  <c r="V39" i="18" s="1"/>
  <c r="D15" i="18"/>
  <c r="V31" i="18" s="1"/>
  <c r="D22" i="18"/>
  <c r="V38" i="18" s="1"/>
  <c r="D14" i="18"/>
  <c r="D19" i="18"/>
  <c r="V35" i="18" s="1"/>
  <c r="D20" i="18"/>
  <c r="V36" i="18" s="1"/>
  <c r="D18" i="18"/>
  <c r="V34" i="18" s="1"/>
  <c r="D17" i="18"/>
  <c r="V33" i="18" s="1"/>
  <c r="D21" i="18"/>
  <c r="V37" i="18" s="1"/>
  <c r="D16" i="18"/>
  <c r="V32" i="18" s="1"/>
  <c r="E20" i="18"/>
  <c r="W36" i="18" s="1"/>
  <c r="E19" i="18"/>
  <c r="W35" i="18" s="1"/>
  <c r="E14" i="18"/>
  <c r="E23" i="18"/>
  <c r="W39" i="18" s="1"/>
  <c r="E18" i="18"/>
  <c r="W34" i="18" s="1"/>
  <c r="E22" i="18"/>
  <c r="W38" i="18" s="1"/>
  <c r="E17" i="18"/>
  <c r="W33" i="18" s="1"/>
  <c r="E16" i="18"/>
  <c r="W32" i="18" s="1"/>
  <c r="E21" i="18"/>
  <c r="W37" i="18" s="1"/>
  <c r="E15" i="18"/>
  <c r="W31" i="18" s="1"/>
  <c r="G32" i="18" l="1" a="1"/>
  <c r="G32" i="18" s="1"/>
  <c r="V40" i="18"/>
  <c r="X40" i="18"/>
  <c r="W40" i="18"/>
  <c r="U40" i="18"/>
  <c r="E32" i="18" a="1"/>
  <c r="D36" i="18"/>
  <c r="D40" i="18"/>
  <c r="C31" i="18"/>
  <c r="W11" i="31"/>
  <c r="W21" i="31"/>
  <c r="W18" i="31" s="1"/>
  <c r="W10" i="31" s="1"/>
  <c r="AJ14" i="31"/>
  <c r="V21" i="31"/>
  <c r="V18" i="31" s="1"/>
  <c r="V15" i="31" s="1"/>
  <c r="T31" i="18"/>
  <c r="T36" i="18"/>
  <c r="T38" i="18"/>
  <c r="T35" i="18"/>
  <c r="T33" i="18"/>
  <c r="T39" i="18"/>
  <c r="T32" i="18"/>
  <c r="T34" i="18"/>
  <c r="D35" i="18"/>
  <c r="T37" i="18"/>
  <c r="D34" i="18"/>
  <c r="D33" i="18"/>
  <c r="H40" i="18" l="1"/>
  <c r="H36" i="18"/>
  <c r="T40" i="18"/>
  <c r="E32" i="18"/>
  <c r="F33" i="18" s="1"/>
  <c r="F36" i="18"/>
  <c r="F40" i="18"/>
  <c r="F35" i="18"/>
  <c r="V14" i="31"/>
  <c r="V10" i="31"/>
  <c r="V9" i="31" s="1"/>
  <c r="H35" i="18"/>
  <c r="W15" i="31"/>
  <c r="W14" i="31" s="1"/>
  <c r="W9" i="31"/>
  <c r="F34" i="18"/>
  <c r="H34" i="18"/>
  <c r="F32" i="18" l="1"/>
  <c r="H32" i="18"/>
  <c r="H33" i="18"/>
  <c r="D9" i="45" l="1"/>
  <c r="D10" i="45"/>
  <c r="D11" i="45"/>
  <c r="D8" i="45"/>
  <c r="E7" i="45"/>
  <c r="E8" i="45" l="1"/>
  <c r="E9" i="45" s="1"/>
  <c r="E10" i="45" s="1"/>
  <c r="E11" i="45" s="1"/>
  <c r="F23" i="49"/>
  <c r="G23" i="49"/>
  <c r="G20" i="49"/>
  <c r="H20" i="49"/>
  <c r="C48" i="49"/>
  <c r="G48" i="49"/>
  <c r="H48" i="49"/>
  <c r="D48" i="47"/>
  <c r="C25" i="49"/>
  <c r="C24" i="49"/>
  <c r="D24" i="49"/>
  <c r="C22" i="49"/>
  <c r="D22" i="49"/>
  <c r="F23" i="47"/>
  <c r="D20" i="47"/>
  <c r="C33" i="49"/>
  <c r="D33" i="49"/>
  <c r="I24" i="49"/>
  <c r="D48" i="49"/>
  <c r="E48" i="49"/>
  <c r="F48" i="49"/>
  <c r="E24" i="49"/>
  <c r="E33" i="49"/>
  <c r="F33" i="49"/>
  <c r="G33" i="49"/>
  <c r="H33" i="49"/>
  <c r="H25" i="49"/>
  <c r="H23" i="49"/>
  <c r="C48" i="47"/>
  <c r="E48" i="47"/>
  <c r="E23" i="47"/>
  <c r="C20" i="47"/>
  <c r="E20" i="49"/>
  <c r="G24" i="47"/>
  <c r="C33" i="47"/>
  <c r="I23" i="49"/>
  <c r="I48" i="49"/>
  <c r="J33" i="49" l="1"/>
  <c r="J48" i="49"/>
  <c r="G22" i="49"/>
  <c r="G33" i="47"/>
  <c r="H33" i="47"/>
  <c r="C23" i="47"/>
  <c r="D25" i="49"/>
  <c r="E25" i="49"/>
  <c r="F25" i="49"/>
  <c r="H20" i="47"/>
  <c r="F20" i="47"/>
  <c r="E25" i="47"/>
  <c r="G25" i="47"/>
  <c r="D23" i="47"/>
  <c r="F25" i="47"/>
  <c r="G48" i="47"/>
  <c r="H48" i="47"/>
  <c r="E33" i="47"/>
  <c r="F33" i="47"/>
  <c r="E22" i="49"/>
  <c r="F22" i="49"/>
  <c r="F24" i="49"/>
  <c r="G24" i="49"/>
  <c r="H24" i="49"/>
  <c r="C20" i="49"/>
  <c r="I20" i="49"/>
  <c r="C23" i="49"/>
  <c r="D23" i="49"/>
  <c r="E23" i="49"/>
  <c r="H24" i="47"/>
  <c r="C22" i="47"/>
  <c r="F22" i="47"/>
  <c r="G22" i="47"/>
  <c r="H22" i="47"/>
  <c r="I22" i="49"/>
  <c r="F49" i="49"/>
  <c r="C49" i="47"/>
  <c r="J23" i="49" l="1"/>
  <c r="J20" i="49"/>
  <c r="J22" i="49"/>
  <c r="J24" i="49"/>
  <c r="C49" i="49"/>
  <c r="H31" i="47"/>
  <c r="G31" i="49"/>
  <c r="I31" i="49"/>
  <c r="G49" i="47"/>
  <c r="E49" i="49"/>
  <c r="D31" i="49"/>
  <c r="J25" i="49"/>
  <c r="H49" i="47"/>
  <c r="G49" i="49"/>
  <c r="G31" i="47"/>
  <c r="D49" i="47"/>
  <c r="I49" i="49"/>
  <c r="C31" i="49"/>
  <c r="C31" i="47"/>
  <c r="F31" i="49"/>
  <c r="H31" i="49"/>
  <c r="E31" i="49"/>
  <c r="E49" i="47"/>
  <c r="D49" i="49"/>
  <c r="E31" i="47"/>
  <c r="F31" i="47"/>
  <c r="F49" i="47"/>
  <c r="I49" i="47" l="1"/>
  <c r="J49" i="49"/>
  <c r="I31" i="47"/>
  <c r="J31" i="49"/>
  <c r="H25" i="47"/>
  <c r="E20" i="47"/>
  <c r="G20" i="47"/>
  <c r="F48" i="47"/>
  <c r="I48" i="47" s="1"/>
  <c r="W54" i="18"/>
  <c r="W63" i="18" s="1"/>
  <c r="I33" i="49"/>
  <c r="D33" i="47" l="1"/>
  <c r="I33" i="47" s="1"/>
  <c r="D22" i="47"/>
  <c r="C24" i="47"/>
  <c r="I24" i="47" s="1"/>
  <c r="D25" i="47"/>
  <c r="I25" i="47" s="1"/>
  <c r="H23" i="47"/>
  <c r="G23" i="47"/>
  <c r="E22" i="47"/>
  <c r="C32" i="47"/>
  <c r="E32" i="47"/>
  <c r="E35" i="47" s="1"/>
  <c r="D47" i="49"/>
  <c r="D50" i="49" s="1"/>
  <c r="E21" i="47"/>
  <c r="D47" i="47"/>
  <c r="D50" i="47" s="1"/>
  <c r="J11" i="49"/>
  <c r="J12" i="47"/>
  <c r="J9" i="47"/>
  <c r="C21" i="47"/>
  <c r="D32" i="47"/>
  <c r="G21" i="47"/>
  <c r="J11" i="47"/>
  <c r="C9" i="47"/>
  <c r="C12" i="47"/>
  <c r="J12" i="49"/>
  <c r="H21" i="47"/>
  <c r="C11" i="47"/>
  <c r="J8" i="49"/>
  <c r="D21" i="49"/>
  <c r="D26" i="49" s="1"/>
  <c r="J10" i="49"/>
  <c r="F47" i="47"/>
  <c r="F50" i="47" s="1"/>
  <c r="C11" i="49"/>
  <c r="J10" i="47"/>
  <c r="C7" i="49"/>
  <c r="C8" i="49"/>
  <c r="I20" i="47"/>
  <c r="I47" i="49"/>
  <c r="F47" i="49"/>
  <c r="F50" i="49" s="1"/>
  <c r="C21" i="49"/>
  <c r="G47" i="49"/>
  <c r="G50" i="49" s="1"/>
  <c r="G21" i="49"/>
  <c r="G26" i="49" s="1"/>
  <c r="H21" i="49"/>
  <c r="H26" i="49" s="1"/>
  <c r="H32" i="47"/>
  <c r="H35" i="47" s="1"/>
  <c r="E47" i="47"/>
  <c r="E50" i="47" s="1"/>
  <c r="H32" i="49"/>
  <c r="H35" i="49" s="1"/>
  <c r="G32" i="47"/>
  <c r="G35" i="47" s="1"/>
  <c r="F32" i="47"/>
  <c r="F35" i="47" s="1"/>
  <c r="C13" i="49"/>
  <c r="C32" i="49"/>
  <c r="E32" i="49"/>
  <c r="E35" i="49" s="1"/>
  <c r="G32" i="49"/>
  <c r="G35" i="49" s="1"/>
  <c r="I32" i="49"/>
  <c r="J7" i="49"/>
  <c r="F21" i="47"/>
  <c r="F26" i="47" s="1"/>
  <c r="J8" i="47"/>
  <c r="C7" i="47"/>
  <c r="C9" i="49"/>
  <c r="E47" i="49"/>
  <c r="E50" i="49" s="1"/>
  <c r="J13" i="49"/>
  <c r="D32" i="49"/>
  <c r="D35" i="49" s="1"/>
  <c r="J9" i="49"/>
  <c r="F21" i="49"/>
  <c r="F26" i="49" s="1"/>
  <c r="C8" i="47"/>
  <c r="C10" i="49"/>
  <c r="J7" i="47"/>
  <c r="F32" i="49"/>
  <c r="F35" i="49" s="1"/>
  <c r="C12" i="49"/>
  <c r="H47" i="49"/>
  <c r="H50" i="49" s="1"/>
  <c r="D21" i="47"/>
  <c r="G47" i="47"/>
  <c r="G50" i="47" s="1"/>
  <c r="C10" i="47"/>
  <c r="E21" i="49"/>
  <c r="E26" i="49" s="1"/>
  <c r="H47" i="47"/>
  <c r="H50" i="47" s="1"/>
  <c r="I21" i="49"/>
  <c r="C47" i="49"/>
  <c r="D35" i="47" l="1"/>
  <c r="H26" i="47"/>
  <c r="I22" i="47"/>
  <c r="D26" i="47"/>
  <c r="G26" i="47"/>
  <c r="E26" i="47"/>
  <c r="I23" i="47"/>
  <c r="C14" i="49"/>
  <c r="D12" i="49" s="1"/>
  <c r="J47" i="49"/>
  <c r="C50" i="49"/>
  <c r="C13" i="47"/>
  <c r="D12" i="47" s="1"/>
  <c r="C35" i="47"/>
  <c r="I32" i="47"/>
  <c r="I21" i="47"/>
  <c r="C26" i="47"/>
  <c r="J14" i="49"/>
  <c r="C26" i="49"/>
  <c r="J21" i="49"/>
  <c r="J32" i="49"/>
  <c r="C35" i="49"/>
  <c r="I47" i="47"/>
  <c r="C50" i="47"/>
  <c r="J13" i="47"/>
  <c r="D10" i="49" l="1"/>
  <c r="D9" i="49"/>
  <c r="J21" i="47"/>
  <c r="D11" i="49"/>
  <c r="D10" i="47"/>
  <c r="D13" i="49"/>
  <c r="D8" i="49"/>
  <c r="D7" i="47"/>
  <c r="E7" i="47" s="1"/>
  <c r="D11" i="47"/>
  <c r="D9" i="47"/>
  <c r="I35" i="47"/>
  <c r="J33" i="47"/>
  <c r="J32" i="47"/>
  <c r="J31" i="47"/>
  <c r="J34" i="47"/>
  <c r="J24" i="47"/>
  <c r="J20" i="47"/>
  <c r="D8" i="47"/>
  <c r="E8" i="47" s="1"/>
  <c r="E9" i="47" s="1"/>
  <c r="E10" i="47" s="1"/>
  <c r="E11" i="47" s="1"/>
  <c r="E12" i="47" s="1"/>
  <c r="D7" i="49"/>
  <c r="E7" i="49" s="1"/>
  <c r="E8" i="49" s="1"/>
  <c r="J22" i="47"/>
  <c r="J25" i="47"/>
  <c r="I50" i="47"/>
  <c r="J49" i="47"/>
  <c r="J47" i="47"/>
  <c r="J48" i="47"/>
  <c r="K48" i="49"/>
  <c r="K49" i="49"/>
  <c r="J50" i="49"/>
  <c r="K47" i="49"/>
  <c r="J35" i="49"/>
  <c r="K34" i="49"/>
  <c r="K33" i="49"/>
  <c r="K31" i="49"/>
  <c r="K32" i="49"/>
  <c r="K23" i="49"/>
  <c r="K21" i="49"/>
  <c r="K20" i="49"/>
  <c r="K25" i="49"/>
  <c r="J26" i="49"/>
  <c r="K24" i="49"/>
  <c r="K22" i="49"/>
  <c r="J23" i="47"/>
  <c r="I26" i="47"/>
  <c r="E9" i="49" l="1"/>
  <c r="E10" i="49" s="1"/>
  <c r="E11" i="49" s="1"/>
  <c r="E12" i="49" s="1"/>
  <c r="E13" i="4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Carter Borden</author>
  </authors>
  <commentList>
    <comment ref="I7" authorId="0" shapeId="0" xr:uid="{D6B154EB-7AF3-449B-81DE-BD70D74E7856}">
      <text>
        <r>
          <rPr>
            <b/>
            <sz val="9"/>
            <color indexed="81"/>
            <rFont val="Tahoma"/>
            <family val="2"/>
          </rPr>
          <t>Carter Borden:</t>
        </r>
        <r>
          <rPr>
            <sz val="9"/>
            <color indexed="81"/>
            <rFont val="Tahoma"/>
            <family val="2"/>
          </rPr>
          <t xml:space="preserve">
To Edit:
Eau Galle R. @ WI Hwy. </t>
        </r>
        <r>
          <rPr>
            <b/>
            <sz val="9"/>
            <color indexed="81"/>
            <rFont val="Tahoma"/>
            <family val="2"/>
          </rPr>
          <t>292</t>
        </r>
        <r>
          <rPr>
            <sz val="9"/>
            <color indexed="81"/>
            <rFont val="Tahoma"/>
            <family val="2"/>
          </rPr>
          <t xml:space="preserve"> to  Eau Galle R. @ WI Hwy. </t>
        </r>
        <r>
          <rPr>
            <b/>
            <sz val="9"/>
            <color indexed="81"/>
            <rFont val="Tahoma"/>
            <family val="2"/>
          </rPr>
          <t>29</t>
        </r>
        <r>
          <rPr>
            <sz val="9"/>
            <color indexed="81"/>
            <rFont val="Tahoma"/>
            <family val="2"/>
          </rPr>
          <t xml:space="preserve">
Isabelle Cr. @ County Rd. </t>
        </r>
        <r>
          <rPr>
            <b/>
            <sz val="9"/>
            <color indexed="81"/>
            <rFont val="Tahoma"/>
            <family val="2"/>
          </rPr>
          <t>EE2</t>
        </r>
        <r>
          <rPr>
            <sz val="9"/>
            <color indexed="81"/>
            <rFont val="Tahoma"/>
            <family val="2"/>
          </rPr>
          <t xml:space="preserve"> to  Isabelle Cr. @ County Rd. </t>
        </r>
        <r>
          <rPr>
            <b/>
            <sz val="9"/>
            <color indexed="81"/>
            <rFont val="Tahoma"/>
            <family val="2"/>
          </rPr>
          <t>EE</t>
        </r>
        <r>
          <rPr>
            <sz val="9"/>
            <color indexed="81"/>
            <rFont val="Tahoma"/>
            <family val="2"/>
          </rPr>
          <t xml:space="preserve">
Trimbelle R. @ County Rd. </t>
        </r>
        <r>
          <rPr>
            <b/>
            <sz val="9"/>
            <color indexed="81"/>
            <rFont val="Tahoma"/>
            <family val="2"/>
          </rPr>
          <t>W1</t>
        </r>
        <r>
          <rPr>
            <sz val="9"/>
            <color indexed="81"/>
            <rFont val="Tahoma"/>
            <family val="2"/>
          </rPr>
          <t xml:space="preserve"> to  Trimbelle R. @ County Rd. </t>
        </r>
        <r>
          <rPr>
            <b/>
            <sz val="9"/>
            <color indexed="81"/>
            <rFont val="Tahoma"/>
            <family val="2"/>
          </rPr>
          <t>W</t>
        </r>
        <r>
          <rPr>
            <sz val="9"/>
            <color indexed="81"/>
            <rFont val="Tahoma"/>
            <family val="2"/>
          </rPr>
          <t xml:space="preserve">
</t>
        </r>
      </text>
    </comment>
    <comment ref="AB205" authorId="0" shapeId="0" xr:uid="{52882FF6-64B3-4E06-99C1-5420DDBD2ACA}">
      <text>
        <r>
          <rPr>
            <b/>
            <sz val="9"/>
            <color indexed="81"/>
            <rFont val="Tahoma"/>
            <family val="2"/>
          </rPr>
          <t>Carter Borden:</t>
        </r>
        <r>
          <rPr>
            <sz val="9"/>
            <color indexed="81"/>
            <rFont val="Tahoma"/>
            <family val="2"/>
          </rPr>
          <t xml:space="preserve">
Originally 50.  Removed due to suspision</t>
        </r>
      </text>
    </comment>
    <comment ref="AB264" authorId="0" shapeId="0" xr:uid="{F21CF6EA-6099-4B54-9F4C-D38F6050B209}">
      <text>
        <r>
          <rPr>
            <b/>
            <sz val="9"/>
            <color indexed="81"/>
            <rFont val="Tahoma"/>
            <family val="2"/>
          </rPr>
          <t>Carter Borden:</t>
        </r>
        <r>
          <rPr>
            <sz val="9"/>
            <color indexed="81"/>
            <rFont val="Tahoma"/>
            <family val="2"/>
          </rPr>
          <t xml:space="preserve">
Originally 50.  Removed due to suspision</t>
        </r>
      </text>
    </comment>
    <comment ref="AB291" authorId="0" shapeId="0" xr:uid="{4E9C0104-FE37-4511-AD12-2DB947358731}">
      <text>
        <r>
          <rPr>
            <b/>
            <sz val="9"/>
            <color indexed="81"/>
            <rFont val="Tahoma"/>
            <family val="2"/>
          </rPr>
          <t>Carter Borden:</t>
        </r>
        <r>
          <rPr>
            <sz val="9"/>
            <color indexed="81"/>
            <rFont val="Tahoma"/>
            <family val="2"/>
          </rPr>
          <t xml:space="preserve">
Originally 50.  Removed due to suspision</t>
        </r>
      </text>
    </comment>
    <comment ref="AB294" authorId="0" shapeId="0" xr:uid="{9D7B5031-6386-4968-A661-8CE51813BE52}">
      <text>
        <r>
          <rPr>
            <b/>
            <sz val="9"/>
            <color indexed="81"/>
            <rFont val="Tahoma"/>
            <family val="2"/>
          </rPr>
          <t>Carter Borden:</t>
        </r>
        <r>
          <rPr>
            <sz val="9"/>
            <color indexed="81"/>
            <rFont val="Tahoma"/>
            <family val="2"/>
          </rPr>
          <t xml:space="preserve">
Originally 50.  Removed due to suspision</t>
        </r>
      </text>
    </comment>
    <comment ref="AB296" authorId="0" shapeId="0" xr:uid="{788D4597-8435-4E02-9562-9EE656F6A9A7}">
      <text>
        <r>
          <rPr>
            <b/>
            <sz val="9"/>
            <color indexed="81"/>
            <rFont val="Tahoma"/>
            <family val="2"/>
          </rPr>
          <t>Carter Borden:</t>
        </r>
        <r>
          <rPr>
            <sz val="9"/>
            <color indexed="81"/>
            <rFont val="Tahoma"/>
            <family val="2"/>
          </rPr>
          <t xml:space="preserve">
Originally 50.  Removed due to suspision</t>
        </r>
      </text>
    </comment>
    <comment ref="AB310" authorId="0" shapeId="0" xr:uid="{FCF9E8F8-498C-4363-A288-E50ECA91CBF2}">
      <text>
        <r>
          <rPr>
            <b/>
            <sz val="9"/>
            <color indexed="81"/>
            <rFont val="Tahoma"/>
            <family val="2"/>
          </rPr>
          <t>Carter Borden:</t>
        </r>
        <r>
          <rPr>
            <sz val="9"/>
            <color indexed="81"/>
            <rFont val="Tahoma"/>
            <family val="2"/>
          </rPr>
          <t xml:space="preserve">
Originally 50.  Removed due to suspision</t>
        </r>
      </text>
    </comment>
    <comment ref="AB352" authorId="0" shapeId="0" xr:uid="{9851B16A-3F36-4D2B-8D27-EDCBA00FD41E}">
      <text>
        <r>
          <rPr>
            <b/>
            <sz val="9"/>
            <color indexed="81"/>
            <rFont val="Tahoma"/>
            <family val="2"/>
          </rPr>
          <t>Carter Borden:</t>
        </r>
        <r>
          <rPr>
            <sz val="9"/>
            <color indexed="81"/>
            <rFont val="Tahoma"/>
            <family val="2"/>
          </rPr>
          <t xml:space="preserve">
Originally 50.  Removed due to suspision</t>
        </r>
      </text>
    </comment>
    <comment ref="AB353" authorId="0" shapeId="0" xr:uid="{D4D9EF31-C1B1-4BBC-ABD8-440275783494}">
      <text>
        <r>
          <rPr>
            <b/>
            <sz val="9"/>
            <color indexed="81"/>
            <rFont val="Tahoma"/>
            <family val="2"/>
          </rPr>
          <t>Carter Borden:</t>
        </r>
        <r>
          <rPr>
            <sz val="9"/>
            <color indexed="81"/>
            <rFont val="Tahoma"/>
            <family val="2"/>
          </rPr>
          <t xml:space="preserve">
Originally 20.  Removed due to suspision</t>
        </r>
      </text>
    </comment>
    <comment ref="AB361" authorId="0" shapeId="0" xr:uid="{0C2AD7DA-7184-47E4-AC0D-3C562AB91FC2}">
      <text>
        <r>
          <rPr>
            <b/>
            <sz val="9"/>
            <color indexed="81"/>
            <rFont val="Tahoma"/>
            <family val="2"/>
          </rPr>
          <t>Carter Borden:</t>
        </r>
        <r>
          <rPr>
            <sz val="9"/>
            <color indexed="81"/>
            <rFont val="Tahoma"/>
            <family val="2"/>
          </rPr>
          <t xml:space="preserve">
Originally 50.  Removed due to suspision</t>
        </r>
      </text>
    </comment>
    <comment ref="AB368" authorId="0" shapeId="0" xr:uid="{52157916-C90A-4738-95F2-4710EFDEB175}">
      <text>
        <r>
          <rPr>
            <b/>
            <sz val="9"/>
            <color indexed="81"/>
            <rFont val="Tahoma"/>
            <family val="2"/>
          </rPr>
          <t>Carter Borden:</t>
        </r>
        <r>
          <rPr>
            <sz val="9"/>
            <color indexed="81"/>
            <rFont val="Tahoma"/>
            <family val="2"/>
          </rPr>
          <t xml:space="preserve">
Originally 50.  Removed due to suspision</t>
        </r>
      </text>
    </comment>
    <comment ref="AB370" authorId="0" shapeId="0" xr:uid="{5A022D15-58DD-41D5-9670-0394859FE98F}">
      <text>
        <r>
          <rPr>
            <b/>
            <sz val="9"/>
            <color indexed="81"/>
            <rFont val="Tahoma"/>
            <family val="2"/>
          </rPr>
          <t>Carter Borden:</t>
        </r>
        <r>
          <rPr>
            <sz val="9"/>
            <color indexed="81"/>
            <rFont val="Tahoma"/>
            <family val="2"/>
          </rPr>
          <t xml:space="preserve">
Originally 50.  Removed due to suspision</t>
        </r>
      </text>
    </comment>
    <comment ref="AB371" authorId="0" shapeId="0" xr:uid="{8DFCCE28-72AF-4F92-820A-6232BB8DB494}">
      <text>
        <r>
          <rPr>
            <b/>
            <sz val="9"/>
            <color indexed="81"/>
            <rFont val="Tahoma"/>
            <family val="2"/>
          </rPr>
          <t>Carter Borden:</t>
        </r>
        <r>
          <rPr>
            <sz val="9"/>
            <color indexed="81"/>
            <rFont val="Tahoma"/>
            <family val="2"/>
          </rPr>
          <t xml:space="preserve">
Originally 50.  Removed due to suspision</t>
        </r>
      </text>
    </comment>
    <comment ref="AB372" authorId="0" shapeId="0" xr:uid="{8CFAD236-52FE-48C8-946C-D4D72F4633D5}">
      <text>
        <r>
          <rPr>
            <b/>
            <sz val="9"/>
            <color indexed="81"/>
            <rFont val="Tahoma"/>
            <family val="2"/>
          </rPr>
          <t>Carter Borden:</t>
        </r>
        <r>
          <rPr>
            <sz val="9"/>
            <color indexed="81"/>
            <rFont val="Tahoma"/>
            <family val="2"/>
          </rPr>
          <t xml:space="preserve">
Originally 50.  Removed due to suspision</t>
        </r>
      </text>
    </comment>
    <comment ref="AB373" authorId="0" shapeId="0" xr:uid="{0E301CE1-CB20-482E-9081-6F5B97890B79}">
      <text>
        <r>
          <rPr>
            <b/>
            <sz val="9"/>
            <color indexed="81"/>
            <rFont val="Tahoma"/>
            <family val="2"/>
          </rPr>
          <t>Carter Borden:</t>
        </r>
        <r>
          <rPr>
            <sz val="9"/>
            <color indexed="81"/>
            <rFont val="Tahoma"/>
            <family val="2"/>
          </rPr>
          <t xml:space="preserve">
Originally 50.  Removed due to suspision</t>
        </r>
      </text>
    </comment>
    <comment ref="AB374" authorId="0" shapeId="0" xr:uid="{3E89CBBD-E7E6-46A4-98B8-DB2D6B4DE63A}">
      <text>
        <r>
          <rPr>
            <b/>
            <sz val="9"/>
            <color indexed="81"/>
            <rFont val="Tahoma"/>
            <family val="2"/>
          </rPr>
          <t>Carter Borden:</t>
        </r>
        <r>
          <rPr>
            <sz val="9"/>
            <color indexed="81"/>
            <rFont val="Tahoma"/>
            <family val="2"/>
          </rPr>
          <t xml:space="preserve">
Originally 50.  Removed due to suspision</t>
        </r>
      </text>
    </comment>
    <comment ref="AB388" authorId="0" shapeId="0" xr:uid="{DE7C8DF3-DAE9-4CB0-9E65-0001B13CEDD0}">
      <text>
        <r>
          <rPr>
            <b/>
            <sz val="9"/>
            <color indexed="81"/>
            <rFont val="Tahoma"/>
            <family val="2"/>
          </rPr>
          <t>Carter Borden:</t>
        </r>
        <r>
          <rPr>
            <sz val="9"/>
            <color indexed="81"/>
            <rFont val="Tahoma"/>
            <family val="2"/>
          </rPr>
          <t xml:space="preserve">
Originally 50.  Removed due to suspision</t>
        </r>
      </text>
    </comment>
    <comment ref="AB389" authorId="0" shapeId="0" xr:uid="{291DB9C3-E936-454A-8F68-3A13B4DE6F99}">
      <text>
        <r>
          <rPr>
            <b/>
            <sz val="9"/>
            <color indexed="81"/>
            <rFont val="Tahoma"/>
            <family val="2"/>
          </rPr>
          <t>Carter Borden:</t>
        </r>
        <r>
          <rPr>
            <sz val="9"/>
            <color indexed="81"/>
            <rFont val="Tahoma"/>
            <family val="2"/>
          </rPr>
          <t xml:space="preserve">
Originally 20.  Removed due to suspision</t>
        </r>
      </text>
    </comment>
    <comment ref="AB390" authorId="0" shapeId="0" xr:uid="{A48245E5-5DC2-4109-AA37-3DE422B4B1F8}">
      <text>
        <r>
          <rPr>
            <b/>
            <sz val="9"/>
            <color indexed="81"/>
            <rFont val="Tahoma"/>
            <family val="2"/>
          </rPr>
          <t>Carter Borden:</t>
        </r>
        <r>
          <rPr>
            <sz val="9"/>
            <color indexed="81"/>
            <rFont val="Tahoma"/>
            <family val="2"/>
          </rPr>
          <t xml:space="preserve">
Originally 20.  Removed due to suspision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Carter Borden</author>
  </authors>
  <commentList>
    <comment ref="C49" authorId="0" shapeId="0" xr:uid="{C191CC1B-6D8F-4439-BC55-C4023F8B4CCE}">
      <text>
        <r>
          <rPr>
            <b/>
            <sz val="9"/>
            <color indexed="81"/>
            <rFont val="Tahoma"/>
            <family val="2"/>
          </rPr>
          <t>Carter Borden:</t>
        </r>
        <r>
          <rPr>
            <sz val="9"/>
            <color indexed="81"/>
            <rFont val="Tahoma"/>
            <family val="2"/>
          </rPr>
          <t xml:space="preserve">
From TUDare Observer Affiliation02023a.xlsx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Carter Borden</author>
  </authors>
  <commentList>
    <comment ref="B4" authorId="0" shapeId="0" xr:uid="{BDBF2F67-DAED-4726-94C9-6BD4893680B9}">
      <text>
        <r>
          <rPr>
            <b/>
            <sz val="9"/>
            <color indexed="81"/>
            <rFont val="Tahoma"/>
            <family val="2"/>
          </rPr>
          <t xml:space="preserve">Carter Borden:
</t>
        </r>
        <r>
          <rPr>
            <sz val="9"/>
            <color indexed="81"/>
            <rFont val="Tahoma"/>
            <family val="2"/>
          </rPr>
          <t xml:space="preserve">Displays the statistics per analyte under different conditions and locations based on the production database in the </t>
        </r>
        <r>
          <rPr>
            <b/>
            <sz val="9"/>
            <color indexed="81"/>
            <rFont val="Tahoma"/>
            <family val="2"/>
          </rPr>
          <t xml:space="preserve">Prod-TUWI.
</t>
        </r>
        <r>
          <rPr>
            <b/>
            <u/>
            <sz val="9"/>
            <color indexed="81"/>
            <rFont val="Tahoma"/>
            <family val="2"/>
          </rPr>
          <t>How to Use:</t>
        </r>
        <r>
          <rPr>
            <b/>
            <sz val="9"/>
            <color indexed="81"/>
            <rFont val="Tahoma"/>
            <family val="2"/>
          </rPr>
          <t xml:space="preserve">
* Refreshing Pivot Tables.  </t>
        </r>
        <r>
          <rPr>
            <sz val="9"/>
            <color indexed="81"/>
            <rFont val="Tahoma"/>
            <family val="2"/>
          </rPr>
          <t xml:space="preserve">Tables and accompanying charts need to be refreshed once new data is added.  This can be done by right clicking on each chart and choosing </t>
        </r>
        <r>
          <rPr>
            <i/>
            <sz val="9"/>
            <color indexed="81"/>
            <rFont val="Tahoma"/>
            <family val="2"/>
          </rPr>
          <t>Refresh,</t>
        </r>
        <r>
          <rPr>
            <sz val="9"/>
            <color indexed="81"/>
            <rFont val="Tahoma"/>
            <family val="2"/>
          </rPr>
          <t xml:space="preserve">for selected tables choosing </t>
        </r>
        <r>
          <rPr>
            <i/>
            <sz val="9"/>
            <color indexed="81"/>
            <rFont val="Tahoma"/>
            <family val="2"/>
          </rPr>
          <t>PivotTable Analyze Menu =&gt; Refresh</t>
        </r>
        <r>
          <rPr>
            <sz val="9"/>
            <color indexed="81"/>
            <rFont val="Tahoma"/>
            <family val="2"/>
          </rPr>
          <t>, or globally updated with U</t>
        </r>
        <r>
          <rPr>
            <i/>
            <sz val="9"/>
            <color indexed="81"/>
            <rFont val="Tahoma"/>
            <family val="2"/>
          </rPr>
          <t>pdate Pivot Tables button at the top</t>
        </r>
        <r>
          <rPr>
            <b/>
            <sz val="9"/>
            <color indexed="81"/>
            <rFont val="Tahoma"/>
            <family val="2"/>
          </rPr>
          <t xml:space="preserve">
* Setting Pivot Table Range.   </t>
        </r>
        <r>
          <rPr>
            <sz val="9"/>
            <color indexed="81"/>
            <rFont val="Tahoma"/>
            <family val="2"/>
          </rPr>
          <t xml:space="preserve">All pivot tables are set through row 200 in the Prod-TUWL.  If data extends beyond row 200, the range can be extended by </t>
        </r>
        <r>
          <rPr>
            <i/>
            <sz val="9"/>
            <color indexed="81"/>
            <rFont val="Tahoma"/>
            <family val="2"/>
          </rPr>
          <t>PivotTable Analyze Menu =&gt; Change Data Source</t>
        </r>
        <r>
          <rPr>
            <b/>
            <sz val="9"/>
            <color indexed="81"/>
            <rFont val="Tahoma"/>
            <family val="2"/>
          </rPr>
          <t xml:space="preserve"> 
* Filtering Pivot Tables.  </t>
        </r>
        <r>
          <rPr>
            <sz val="9"/>
            <color indexed="81"/>
            <rFont val="Tahoma"/>
            <family val="2"/>
          </rPr>
          <t xml:space="preserve">Content seen can be changed by drop down menus in the table.  Content can be changed by right clicking on the table and choosing </t>
        </r>
        <r>
          <rPr>
            <i/>
            <sz val="9"/>
            <color indexed="81"/>
            <rFont val="Tahoma"/>
            <family val="2"/>
          </rPr>
          <t>Show Field List</t>
        </r>
        <r>
          <rPr>
            <b/>
            <sz val="9"/>
            <color indexed="81"/>
            <rFont val="Tahoma"/>
            <family val="2"/>
          </rPr>
          <t xml:space="preserve">
* Filtering PivotCharts.  </t>
        </r>
        <r>
          <rPr>
            <sz val="9"/>
            <color indexed="81"/>
            <rFont val="Tahoma"/>
            <family val="2"/>
          </rPr>
          <t xml:space="preserve">Filters within the charts on the legend and topic item in the lower left allow you to change the displayed items.  PivotCharts are linked to the pivot tables so they will update automatically with the table.  </t>
        </r>
      </text>
    </comment>
    <comment ref="AB10" authorId="0" shapeId="0" xr:uid="{2ABA9555-FBB5-4FFA-A937-B63BA69AE809}">
      <text>
        <r>
          <rPr>
            <b/>
            <sz val="9"/>
            <color indexed="81"/>
            <rFont val="Tahoma"/>
            <family val="2"/>
          </rPr>
          <t>Carter Borden:</t>
        </r>
        <r>
          <rPr>
            <sz val="9"/>
            <color indexed="81"/>
            <rFont val="Tahoma"/>
            <family val="2"/>
          </rPr>
          <t xml:space="preserve">
Match the maximum temperature discplayed in the y-axis on the graphs.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Carter Borden</author>
  </authors>
  <commentList>
    <comment ref="D64" authorId="0" shapeId="0" xr:uid="{5CBAD3FD-937D-48CA-AC3C-81CEAF1F2FC5}">
      <text>
        <r>
          <rPr>
            <b/>
            <sz val="9"/>
            <color indexed="81"/>
            <rFont val="Tahoma"/>
            <family val="2"/>
          </rPr>
          <t>Carter Borden:</t>
        </r>
        <r>
          <rPr>
            <sz val="9"/>
            <color indexed="81"/>
            <rFont val="Tahoma"/>
            <family val="2"/>
          </rPr>
          <t xml:space="preserve">
Total number of observations with a disturbance reported.  Cannot be tabulated directly as multiple distrubances can be logged for an observation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EA1EA2-9A1E-46D0-A103-41743CD84A5B}" name="Connection" type="104" refreshedVersion="0" background="1">
    <extLst>
      <ext xmlns:x15="http://schemas.microsoft.com/office/spreadsheetml/2010/11/main" uri="{DE250136-89BD-433C-8126-D09CA5730AF9}">
        <x15:connection id="Table7  ObserverID   Year"/>
      </ext>
    </extLst>
  </connection>
  <connection id="2" xr16:uid="{D2D75436-DA28-4100-88E3-7CCD8F4D179E}" name="Connection1" type="104" refreshedVersion="0" background="1">
    <extLst>
      <ext xmlns:x15="http://schemas.microsoft.com/office/spreadsheetml/2010/11/main" uri="{DE250136-89BD-433C-8126-D09CA5730AF9}">
        <x15:connection id="TU_DB"/>
      </ext>
    </extLst>
  </connection>
  <connection id="3" xr16:uid="{69C01B1D-A0B2-425F-89B2-79E61FCE72F0}" keepAlive="1" name="Query - DevDBUsers" description="Connection to the 'DevDBUsers' query in the workbook." type="5" refreshedVersion="8" background="1" saveData="1">
    <dbPr connection="Provider=Microsoft.Mashup.OleDb.1;Data Source=$Workbook$;Location=DevDBUsers;Extended Properties=&quot;&quot;" command="SELECT * FROM [DevDBUsers]"/>
  </connection>
  <connection id="4" xr16:uid="{568E4FA9-0EF0-411C-8A30-BD3FD67FFB8F}" keepAlive="1" name="Query - MH2ODB-Data01 (6)" description="Connection to the 'MH2ODB-Data01 (6)' query in the workbook." type="5" refreshedVersion="7" background="1" saveData="1">
    <dbPr connection="Provider=Microsoft.Mashup.OleDb.1;Data Source=$Workbook$;Location=&quot;MH2ODB-Data01 (6)&quot;;Extended Properties=&quot;&quot;" command="SELECT * FROM [MH2ODB-Data01 (6)]"/>
  </connection>
  <connection id="5" xr16:uid="{D19ACA0C-2230-4DFD-A78E-29A2798054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30F8124-F751-472A-AEBC-FB9A91C39B2E}" name="WorksheetConnection_Performance!$B$36:$B$535" type="102" refreshedVersion="7" minRefreshableVersion="5">
    <extLst>
      <ext xmlns:x15="http://schemas.microsoft.com/office/spreadsheetml/2010/11/main" uri="{DE250136-89BD-433C-8126-D09CA5730AF9}">
        <x15:connection id="Range 1" autoDelete="1">
          <x15:rangePr sourceName="_xlcn.WorksheetConnection_PerformanceB36B5351"/>
        </x15:connection>
      </ext>
    </extLst>
  </connection>
  <connection id="7" xr16:uid="{B2AA215B-921F-4AC0-B016-756D420FEE18}" name="WorksheetConnection_Performance!$B$36:$B$620" type="102" refreshedVersion="7" minRefreshableVersion="5" saveData="1">
    <extLst>
      <ext xmlns:x15="http://schemas.microsoft.com/office/spreadsheetml/2010/11/main" uri="{DE250136-89BD-433C-8126-D09CA5730AF9}">
        <x15:connection id="Range" autoDelete="1">
          <x15:rangePr sourceName="_xlcn.WorksheetConnection_PerformanceB36B6201"/>
        </x15:connection>
      </ext>
    </extLst>
  </connection>
  <connection id="8" xr16:uid="{1EF10A29-79EC-48B9-92C7-EA903ADF61AB}" name="WorksheetConnection_Performance!$B$36:$C$643" type="102" refreshedVersion="8" minRefreshableVersion="5">
    <extLst>
      <ext xmlns:x15="http://schemas.microsoft.com/office/spreadsheetml/2010/11/main" uri="{DE250136-89BD-433C-8126-D09CA5730AF9}">
        <x15:connection id="Range 5" autoDelete="1">
          <x15:rangePr sourceName="_xlcn.WorksheetConnection_PerformanceB36C6431"/>
        </x15:connection>
      </ext>
    </extLst>
  </connection>
  <connection id="9" xr16:uid="{E6365258-A70C-404B-A740-DB4A683E33FA}" name="WorksheetConnection_Performance!$J$36:$J$100" type="102" refreshedVersion="7" minRefreshableVersion="5">
    <extLst>
      <ext xmlns:x15="http://schemas.microsoft.com/office/spreadsheetml/2010/11/main" uri="{DE250136-89BD-433C-8126-D09CA5730AF9}">
        <x15:connection id="Range 2" autoDelete="1">
          <x15:rangePr sourceName="_xlcn.WorksheetConnection_PerformanceJ36J1001"/>
        </x15:connection>
      </ext>
    </extLst>
  </connection>
  <connection id="10" xr16:uid="{0E16D2CC-B56E-42AF-85A4-351653640076}" name="WorksheetConnection_Performance!$J$36:$J$123" type="102" refreshedVersion="7" minRefreshableVersion="5">
    <extLst>
      <ext xmlns:x15="http://schemas.microsoft.com/office/spreadsheetml/2010/11/main" uri="{DE250136-89BD-433C-8126-D09CA5730AF9}">
        <x15:connection id="Range 3" autoDelete="1">
          <x15:rangePr sourceName="_xlcn.WorksheetConnection_PerformanceJ36J12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<sst xmlns="http://schemas.openxmlformats.org/spreadsheetml/2006/main" count="62100" uniqueCount="5972">
  <si>
    <t>Download</t>
  </si>
  <si>
    <t>ObsNo</t>
  </si>
  <si>
    <t>ObserverID</t>
  </si>
  <si>
    <t>Public</t>
  </si>
  <si>
    <t>pH Bin</t>
  </si>
  <si>
    <t>Source</t>
  </si>
  <si>
    <t>Disturbances</t>
  </si>
  <si>
    <t>Fish Barrier</t>
  </si>
  <si>
    <t>Bank Erosion</t>
  </si>
  <si>
    <t>Trash</t>
  </si>
  <si>
    <t>None</t>
  </si>
  <si>
    <t>Clarity</t>
  </si>
  <si>
    <t>Weather</t>
  </si>
  <si>
    <t>Regional Rainfall</t>
  </si>
  <si>
    <t>Observation Comments</t>
  </si>
  <si>
    <t>0kF6LU5Q0FKAMgmfWLPQ</t>
  </si>
  <si>
    <t/>
  </si>
  <si>
    <t>3ItiolDn1BR7z3bYOwE2</t>
  </si>
  <si>
    <t>3Mws9cNNRf64DJihQemA</t>
  </si>
  <si>
    <t>3sj8rbPQJrFNUMe3CqUD</t>
  </si>
  <si>
    <t>4UYO8s3turCRUH8HnXWJ</t>
  </si>
  <si>
    <t>66wHM1WinBa32BFcXAD3</t>
  </si>
  <si>
    <t>8bEVQSwFnCzAGxrMMlGX</t>
  </si>
  <si>
    <t>9AI1CQVZEn1xaLsTHT77</t>
  </si>
  <si>
    <t>9OqzvdnZgFkbYJItmJbw</t>
  </si>
  <si>
    <t>BkVpg7R1MmZQyPZgMnTc</t>
  </si>
  <si>
    <t>D0Ynq4sZVmVN59Gy31OZ</t>
  </si>
  <si>
    <t>D7BIm9xIxLzUPfdPv1Ky</t>
  </si>
  <si>
    <t>DMxwWuHSraHF0SiukSbe</t>
  </si>
  <si>
    <t>ExILzPS9XM7d9zTSkneL</t>
  </si>
  <si>
    <t>G7uYieR2RZSSv7P3oYDn</t>
  </si>
  <si>
    <t>HMu3CLgXoiBhmWhVsFCy</t>
  </si>
  <si>
    <t>IMOZtZyAgzhozHOhCN2T</t>
  </si>
  <si>
    <t>IXnJFAGYT4ADrfyY0Ewm</t>
  </si>
  <si>
    <t>IohyeG04YOuaZFAXrtFL</t>
  </si>
  <si>
    <t>Local Thunderstorm</t>
  </si>
  <si>
    <t>J2ZK05NlsjH7EszAKpAq</t>
  </si>
  <si>
    <t>J6Vr9HbJD93pDaHtvBdD</t>
  </si>
  <si>
    <t>JecXTsnIhKZN1Gyb8CLJ</t>
  </si>
  <si>
    <t>Kou6XzF9bcjEFZz9uwq4</t>
  </si>
  <si>
    <t>L4F4t5vseMmlr7HvhiMy</t>
  </si>
  <si>
    <t>MHq7w9X7fXZbUitETGDX</t>
  </si>
  <si>
    <t>MxvlubEE62l7OszrHXmv</t>
  </si>
  <si>
    <t>NZAJA7eMaHRHxXNNORNu</t>
  </si>
  <si>
    <t>R85W88LMRFTmnKwA7amP</t>
  </si>
  <si>
    <t>SJT73PsRVVgnl0zKEBWY</t>
  </si>
  <si>
    <t>T918o3hL6CeI7fVENaQa</t>
  </si>
  <si>
    <t>UCwhIVqAYedqsTLH8fBt</t>
  </si>
  <si>
    <t>UlOm1sT9b1dZ4XZFSbHp</t>
  </si>
  <si>
    <t>Wk7ON2WmygzsIQF7L6ab</t>
  </si>
  <si>
    <t>Wsa3M73NdYlg5UFCKrU5</t>
  </si>
  <si>
    <t>Fish Barrier,None</t>
  </si>
  <si>
    <t>ZaRwz1oKxQ8n6Ljez4r3</t>
  </si>
  <si>
    <t>cEhAt2zQgh094cAwGiTJ</t>
  </si>
  <si>
    <t>czCGG049oqrZyUsoohkG</t>
  </si>
  <si>
    <t>gfGZwOzeyTohX6NyEUtm</t>
  </si>
  <si>
    <t>h5cJ6UnyoO9sGgTM6DSX</t>
  </si>
  <si>
    <t>kplSoLvfBKXcZr8c5Flt</t>
  </si>
  <si>
    <t>Warmth Causing Snowmelt</t>
  </si>
  <si>
    <t>lSmNCfE8qJr6CFE2J5kH</t>
  </si>
  <si>
    <t>m8Ia7PXTj0ZRwQiLU2u3</t>
  </si>
  <si>
    <t>mIYHqs8ePTfFas6zgZWA</t>
  </si>
  <si>
    <t>oj6WLS2mZUrlGgOxhzTb</t>
  </si>
  <si>
    <t>pj6HJ7EO50MnMShf8k9v</t>
  </si>
  <si>
    <t>pvtxHZY63UIsswngVSs0</t>
  </si>
  <si>
    <t>sQuUQzlvykBZNLRiP5Iz</t>
  </si>
  <si>
    <t>tqzdvoP7iem1LWwjWjyX</t>
  </si>
  <si>
    <t>u9TlRp3luBfHpSalMcbk</t>
  </si>
  <si>
    <t>xJSrbMXu3sGPGI3OBtSM</t>
  </si>
  <si>
    <t>zSozl53c1NSPg6BddWGz</t>
  </si>
  <si>
    <t>Latitude</t>
  </si>
  <si>
    <t>Longitude</t>
  </si>
  <si>
    <t>Database</t>
  </si>
  <si>
    <t>User Analysis</t>
  </si>
  <si>
    <t>Date</t>
  </si>
  <si>
    <t>Water Analysis</t>
  </si>
  <si>
    <t>Water Level Flag</t>
  </si>
  <si>
    <t>Clarity Flag</t>
  </si>
  <si>
    <t>Obs Com Flag</t>
  </si>
  <si>
    <t>Dis: Not Reported</t>
  </si>
  <si>
    <t>Baseflow</t>
  </si>
  <si>
    <t>Mid-stage</t>
  </si>
  <si>
    <t>Bankfull</t>
  </si>
  <si>
    <t>Clear</t>
  </si>
  <si>
    <t>Murky</t>
  </si>
  <si>
    <t>Muddy</t>
  </si>
  <si>
    <t>Overbank Flooding</t>
  </si>
  <si>
    <t>Water Clarity</t>
  </si>
  <si>
    <t>User Help</t>
  </si>
  <si>
    <t>Description</t>
  </si>
  <si>
    <t>Phos Flag</t>
  </si>
  <si>
    <t xml:space="preserve">5n1  Flag </t>
  </si>
  <si>
    <t>Photo Flag</t>
  </si>
  <si>
    <t>Observation record in the production database</t>
  </si>
  <si>
    <t xml:space="preserve">Date and time when the observation was submitted in UTC time  </t>
  </si>
  <si>
    <t>Default 20 character reference provided by the cloud storage</t>
  </si>
  <si>
    <t>Latitude of the observation location in decimal degrees</t>
  </si>
  <si>
    <t>Longitude of the observation location in decimal degrees</t>
  </si>
  <si>
    <t>Public vs. Private option.  Currently this functionality is set to public</t>
  </si>
  <si>
    <t xml:space="preserve">2n1  Flag </t>
  </si>
  <si>
    <t>Flag indicating a comment was attached to an observation</t>
  </si>
  <si>
    <t xml:space="preserve">Binned  valued for alkalinity - ppm (Lamotte 5in1 Test Strip) </t>
  </si>
  <si>
    <t xml:space="preserve">Binned  valued for hardness - ppm  (Lamotte 5in1 Test Strip) </t>
  </si>
  <si>
    <t xml:space="preserve">Binned  valued for NO2 - ppm  (Lamotte 5in1 Test Strip) </t>
  </si>
  <si>
    <t xml:space="preserve">Binned  valued for NO3 (Lamotte 5in1 Test Strip) </t>
  </si>
  <si>
    <t xml:space="preserve">Binned  valued for pH (Lamotte 5in1 Test Strip) </t>
  </si>
  <si>
    <t>User did not report disturbance conditions (1 - did not report, 0 - reported)</t>
  </si>
  <si>
    <t>Water Temp Flag</t>
  </si>
  <si>
    <t>Water Level</t>
  </si>
  <si>
    <t>Flag indicating a photo was captured with an observation</t>
  </si>
  <si>
    <t>Flag indicating that the Lamotte 5 in 1 Test Strip was collected with an observation</t>
  </si>
  <si>
    <t>Flag indicating that water temperature was collected with an observation</t>
  </si>
  <si>
    <t>Flag indicating that the Hach 2 in 1 test  strip was collected with an observation</t>
  </si>
  <si>
    <t>Flag indicating that water level was reported with an observation</t>
  </si>
  <si>
    <t>Flag indicating that water clarity was reported with an observation</t>
  </si>
  <si>
    <t>Binned  valued for NO2 - ppm (Hach 2in1 Test Strip)</t>
  </si>
  <si>
    <t>Binned  valued for NO3 - ppm (Hach 2in1 Test Strip)</t>
  </si>
  <si>
    <t>Water level reported at an observation</t>
  </si>
  <si>
    <t>Water clarity reported at an observation</t>
  </si>
  <si>
    <t>Comment attached with an observation</t>
  </si>
  <si>
    <t xml:space="preserve">List of disturbances recorded at each, includes all listed.  Record is blank if the user did not report disturbance conditions </t>
  </si>
  <si>
    <t>List of weather phenomena reported with the observation</t>
  </si>
  <si>
    <t>User did not report weather phenomena (1 - did not report, 0 - reported)</t>
  </si>
  <si>
    <t>Observation Date-Local</t>
  </si>
  <si>
    <t>Monitoring Site</t>
  </si>
  <si>
    <t>Binned  valued for orthophosphate - ppb (Lamotte Test Strip)</t>
  </si>
  <si>
    <t>Date and time when the observation was submitted in the Central Daylight Time Zone (-6 hours).  Shift will be adjudted when standard time is returned</t>
  </si>
  <si>
    <t>Default 21 character reference given to the user by the cloud storage.  Once login has been implemented, a more "friendly' ID code will be used</t>
  </si>
  <si>
    <t>Flag indicating that orthophosphate was collected with an observation</t>
  </si>
  <si>
    <t>Water temperature reported - oF</t>
  </si>
  <si>
    <t>List of sources reported with an observation.  Record is blank if the user did not report disturbance conditions</t>
  </si>
  <si>
    <t>Absent</t>
  </si>
  <si>
    <t>Present</t>
  </si>
  <si>
    <t>Total</t>
  </si>
  <si>
    <t>Observations</t>
  </si>
  <si>
    <t>pH</t>
  </si>
  <si>
    <t>Month</t>
  </si>
  <si>
    <t>May</t>
  </si>
  <si>
    <t>Apr</t>
  </si>
  <si>
    <t>Mar</t>
  </si>
  <si>
    <t>Nov</t>
  </si>
  <si>
    <t>Oct</t>
  </si>
  <si>
    <t>Sep</t>
  </si>
  <si>
    <t>Jun</t>
  </si>
  <si>
    <t>Jul</t>
  </si>
  <si>
    <t>Aug</t>
  </si>
  <si>
    <t>Other Locations</t>
  </si>
  <si>
    <t>Observation Date/Time-Local</t>
  </si>
  <si>
    <t>Observation Date/Time-UTC</t>
  </si>
  <si>
    <t>Bank Erosion4</t>
  </si>
  <si>
    <t>Trash5</t>
  </si>
  <si>
    <t>Pipe Drain6</t>
  </si>
  <si>
    <t>None7</t>
  </si>
  <si>
    <t>Dis: Not Reported8</t>
  </si>
  <si>
    <t>Cady Creek @ 50th St</t>
  </si>
  <si>
    <t>Name</t>
  </si>
  <si>
    <t>Year</t>
  </si>
  <si>
    <t>Date2</t>
  </si>
  <si>
    <t>Merged.5n1photo</t>
  </si>
  <si>
    <t>Merged.2n1Photo</t>
  </si>
  <si>
    <t>River/Stream</t>
  </si>
  <si>
    <t>Tap Water</t>
  </si>
  <si>
    <t>Springs</t>
  </si>
  <si>
    <t>h8xpRwaPUEcuqR3jFLN2w8s5I7f1</t>
  </si>
  <si>
    <t>MS6NizGyaoZNCTlHkgho</t>
  </si>
  <si>
    <t>lg4hqUzjZoBgHhPoSvOc</t>
  </si>
  <si>
    <t>2020-02-01 16:34:18.289001.jpg</t>
  </si>
  <si>
    <t>Best Western Oshkosh</t>
  </si>
  <si>
    <t>elraPnlkdffUIH2EOXx7</t>
  </si>
  <si>
    <t>tBAAR7faosMTQJ2I96zZmmj44ji1</t>
  </si>
  <si>
    <t>2020-02-03 14:01:21.764281.jpg</t>
  </si>
  <si>
    <t>hay creek with Dan</t>
  </si>
  <si>
    <t>I1mxoYETGgNHsG0nYdgN</t>
  </si>
  <si>
    <t>dV67Pqbk6jbWMNb18ukDVS7XaAU2</t>
  </si>
  <si>
    <t>wuK9ZqQzTPNU2ehRaPwC</t>
  </si>
  <si>
    <t>MCnVNih9BIN4gi6oNH8FoBSG8Af1</t>
  </si>
  <si>
    <t>2020-02-05 13:36:37.206189.jpg</t>
  </si>
  <si>
    <t xml:space="preserve">test run at conference </t>
  </si>
  <si>
    <t>h72b8wBrGagmhlTwCpiq</t>
  </si>
  <si>
    <t>hU1HbEHHdaU8AhuDtzvdtGI8zvo2</t>
  </si>
  <si>
    <t>2020-02-05 13:37:42.371572.jpg</t>
  </si>
  <si>
    <t>Trash,Pipe/Drain Outflow</t>
  </si>
  <si>
    <t>Uw4B41XvaDES2mvO7x3K</t>
  </si>
  <si>
    <t>usGRnrTHGsZu6xw2EjMVC52cnqo1</t>
  </si>
  <si>
    <t>Ni1R5aF8Pg0Rhu5Idrz2</t>
  </si>
  <si>
    <t>G9YVGsA1pecv7s31GjmicjpOngC3</t>
  </si>
  <si>
    <t>Lake/Pond</t>
  </si>
  <si>
    <t>E9fkRmBpPZ45Zs0kuICE</t>
  </si>
  <si>
    <t>S4lPzDead3OY4NkJwamlcyYtyN62</t>
  </si>
  <si>
    <t>7sqZml2vn0xJIPu0BPqK</t>
  </si>
  <si>
    <t>xYjaaWkJX4fiKpH7uMmSdC5YE0h2</t>
  </si>
  <si>
    <t>0Hsq141RTUCPmiFG0WYj</t>
  </si>
  <si>
    <t>5gmJEp8QCCSFYxglsiszWKzeL1K2</t>
  </si>
  <si>
    <t>Y4POrMUh53wOZrR5KtxP</t>
  </si>
  <si>
    <t>AD6JCNYvElPTWLupARpWInZJ7hI3</t>
  </si>
  <si>
    <t>Bankfull Stage</t>
  </si>
  <si>
    <t>DUSpMnsYsBvXz5fVBODX</t>
  </si>
  <si>
    <t>FYL7YiCe6OdD8bPN31ubH82Xh2u1</t>
  </si>
  <si>
    <t>2020-02-05 13:50:43.713690.jpg</t>
  </si>
  <si>
    <t>JSpGMJACELuCuvIj2gLr</t>
  </si>
  <si>
    <t>CUja2r8y0kOb3CYmg83y</t>
  </si>
  <si>
    <t>f7qMRlnlkOgrA1xpaxXrTTeRGWX2</t>
  </si>
  <si>
    <t>2020-02-24 15:01:05.032455.jpg</t>
  </si>
  <si>
    <t>Winter baseflow condition, with minimal shelf ice along banks.</t>
  </si>
  <si>
    <t>gS0jr5piECUaZlQQmbG8</t>
  </si>
  <si>
    <t>ZL2DLndmAQQRpHe8BYu3GQtS33w1</t>
  </si>
  <si>
    <t>water gun clear and lower than usual this time of year</t>
  </si>
  <si>
    <t>VYg7kIGtbdz4J0LFTyA1</t>
  </si>
  <si>
    <t>3WyPzNDXsROFkGmL7Xg3</t>
  </si>
  <si>
    <t>2020-03-06 14:51:30.901555.jpg</t>
  </si>
  <si>
    <t>Baseflow conditions in spite of recent warmth. Gradual snowmelt.</t>
  </si>
  <si>
    <t>zCERmV9Cd5y2trPVWSGn</t>
  </si>
  <si>
    <t>looks very good</t>
  </si>
  <si>
    <t>cCGUN4rw8EZpdmNeqq4Q</t>
  </si>
  <si>
    <t>a61SOYPc3eOGfrAJu30rsKXhQUA3</t>
  </si>
  <si>
    <t>UdrFEwn9FFCiPaEAbLCE</t>
  </si>
  <si>
    <t>very nice green tint in the water</t>
  </si>
  <si>
    <t>rLCGrovrhtLppfRwoQSm</t>
  </si>
  <si>
    <t>79D4QMcZb1SeulClPI33vBZYFLY2</t>
  </si>
  <si>
    <t>vlaBNuFC1nnL2TeJ3EkP</t>
  </si>
  <si>
    <t>2020-03-15 16:06:22.753792.jpg</t>
  </si>
  <si>
    <t>Insufficient coverage of green box on hardness pad; marginal on alkalinity.</t>
  </si>
  <si>
    <t>16W79vQCEXJUDutcao16</t>
  </si>
  <si>
    <t>2020-03-27 15:31:23.259578.jpg</t>
  </si>
  <si>
    <t>High baseflow conditions, with clear water. Minimal snowmelt runoff this spring.</t>
  </si>
  <si>
    <t>2xBdVVhc8gQMFfrUpvCS</t>
  </si>
  <si>
    <t>Regional Rainfall,Warmth Causing Snowmelt</t>
  </si>
  <si>
    <t>very nice tint</t>
  </si>
  <si>
    <t>ZaE2dQ715bG7pHgL3bpW</t>
  </si>
  <si>
    <t>2020-03-30 13:29:45.752846.jpg</t>
  </si>
  <si>
    <t>1.2” of rain on March 28-29. River flow is 240 cfs. T-tube=22 cm. Light BWO hatch.</t>
  </si>
  <si>
    <t>WP4SFMtOXoWkh8FvHWsr</t>
  </si>
  <si>
    <t>RBXPTQgyVQkkdOwi3kgD</t>
  </si>
  <si>
    <t>2020-04-05 15:24:18.943946.jpg</t>
  </si>
  <si>
    <t>Pine Creek headwaters spring</t>
  </si>
  <si>
    <t>mNJHWJrhu8qgk4xWQvjZ</t>
  </si>
  <si>
    <t>BKxKRQr8KiaMAjrJWzKb6GrNJCm1</t>
  </si>
  <si>
    <t>7lVyqSFTeCp5dDbmzc8n</t>
  </si>
  <si>
    <t xml:space="preserve">The app crashed saving a 2-1 picture. Evidently the 5-1 picture was lost. The water looks beautiful with a slight green tint. </t>
  </si>
  <si>
    <t>qCnesrtoIrTi0jHing33</t>
  </si>
  <si>
    <t>2020-04-11 13:22:13.011018.jpg</t>
  </si>
  <si>
    <t>water very clear and low</t>
  </si>
  <si>
    <t>W1wRCbVLPwtFF55LBOMO</t>
  </si>
  <si>
    <t>vcRDO4D5U7zMrUME4zQ5</t>
  </si>
  <si>
    <t>2020-04-17 11:05:58.522395.jpg</t>
  </si>
  <si>
    <t xml:space="preserve">very clear and low bwos </t>
  </si>
  <si>
    <t>8tYZNFTdr2Lom7c2gZiF</t>
  </si>
  <si>
    <t>2020-04-17 12:03:32.384972.jpg</t>
  </si>
  <si>
    <t>Baseflow conditions and clear water (note Secchi Disk).</t>
  </si>
  <si>
    <t>3yGWrJkCeYntuJDgj26d</t>
  </si>
  <si>
    <t>2020-04-17 13:16:07.056426.jpg</t>
  </si>
  <si>
    <t>Trimbelle River spring, with temperature logger shelter.</t>
  </si>
  <si>
    <t>17iEmgfJbcht6hvSJag1</t>
  </si>
  <si>
    <t>2020-04-17 13:56:20.691983.jpg</t>
  </si>
  <si>
    <t>3gGGZWghim6t7j3fmtSt</t>
  </si>
  <si>
    <t>2020-04-20 15:15:43.537155.jpg</t>
  </si>
  <si>
    <t>s6891BxjEfY7DBbrx2D2</t>
  </si>
  <si>
    <t>2020-04-24 10:31:03.114805.jpg</t>
  </si>
  <si>
    <t>slight tint</t>
  </si>
  <si>
    <t>Gr3usDZVgDJ1oXLrRSEl</t>
  </si>
  <si>
    <t>VHRlmHCbVSYpoT7Xubj2OGSvIFl1</t>
  </si>
  <si>
    <t>2020-04-30 14:50:04.176943.jpg</t>
  </si>
  <si>
    <t xml:space="preserve">river is normal level, a little color.  1 in rain 48 hours ago.
</t>
  </si>
  <si>
    <t>Gr0yvbRKpuf0oVMR9DEe</t>
  </si>
  <si>
    <t>Ca98se6iaFo4JNfhxoE0</t>
  </si>
  <si>
    <t>s59z1q1bLipPg7JEAvHO</t>
  </si>
  <si>
    <t>2020-05-20 12:29:35.186051.jpg</t>
  </si>
  <si>
    <t>sky clear, 70 degrees at 12:30 pm. River is clear, too. Solid rain 3 days ago.</t>
  </si>
  <si>
    <t>LBWFukcyC4ba0P0f9qKE</t>
  </si>
  <si>
    <t>2020-05-21 11:33:54.254651.jpg</t>
  </si>
  <si>
    <t>Heavy rain on 5/17/20, but stream is clear today, with baseflow condition.</t>
  </si>
  <si>
    <t>yiBquoHiDasfIlvpaytZ</t>
  </si>
  <si>
    <t>2020-05-21 12:36:32.094741.jpg</t>
  </si>
  <si>
    <t>Pine Creek headwaters spring at Maiden Rock Legion Post</t>
  </si>
  <si>
    <t>C4CX8szrStZ4aXiNC5vC</t>
  </si>
  <si>
    <t>2020-05-21 16:20:24.502162.jpg</t>
  </si>
  <si>
    <t>Heavy rain (2.5”) on 5/17/20. Evjdence of over bank flow, and still slight turbidity today.</t>
  </si>
  <si>
    <t>K0aA4rORGl4dPqCq5Ztw</t>
  </si>
  <si>
    <t>2020-05-22 15:39:35.118763.jpg</t>
  </si>
  <si>
    <t>Bank erosion evident. Monitoring location at USGS flow gage.</t>
  </si>
  <si>
    <t>8BMu1Zg695phlLWDJSIF</t>
  </si>
  <si>
    <t>2020-05-28 12:35:53.456451.jpg</t>
  </si>
  <si>
    <t>Pine Creek headwaters spring.</t>
  </si>
  <si>
    <t>zxp9YAYSEdQAKa8LOXW8</t>
  </si>
  <si>
    <t>2020-05-28 13:44:24.815052.jpg</t>
  </si>
  <si>
    <t>Heavy rainfall in River Falls (&gt;2”) on May 26-27.</t>
  </si>
  <si>
    <t>6fAfZPcz4fmKB8zOKOlw</t>
  </si>
  <si>
    <t>2020-05-28 16:29:59.168825.jpg</t>
  </si>
  <si>
    <t>Heavy rain (&gt;2”) in River Falls on May 26-27. No NO2 pad on 2-in-1 strip. App crashed on Run Test.</t>
  </si>
  <si>
    <t>bMhbEiaiNj428EUm9JDP</t>
  </si>
  <si>
    <t>GfLB1jD8phNRjx5T5pEyOwWamYz2</t>
  </si>
  <si>
    <t>bz81gFOyQZOptAJ9GXjv</t>
  </si>
  <si>
    <t>2020-05-29 16:39:38.208997.jpg</t>
  </si>
  <si>
    <t>Heavy rain and over bank flow earlier in the week. T-tube today is &gt;60 cm.</t>
  </si>
  <si>
    <t>Le2urLXhQdpBPjmsEpm5</t>
  </si>
  <si>
    <t>2020-05-29 17:26:58.208095.jpg</t>
  </si>
  <si>
    <t>Receding hydrograph and near baseflow after heavy rain on May 26-27. Slight turbidity but T-tube &gt;60 cm.</t>
  </si>
  <si>
    <t>jOvKqhAA2TmieYNfBLmF</t>
  </si>
  <si>
    <t>2EhCAg4eRTAMMIg5rWby</t>
  </si>
  <si>
    <t>2020-05-30 12:33:48.201277.jpg</t>
  </si>
  <si>
    <t xml:space="preserve">more brown than green tint in the water </t>
  </si>
  <si>
    <t>B4CY13CIcUXOYFNBeLzn</t>
  </si>
  <si>
    <t>b5Q5MWoIy9OOBrhn8HbZMPPsGST2</t>
  </si>
  <si>
    <t>2020-05-31 19:34:08.249012.jpg</t>
  </si>
  <si>
    <t>Trout Run near Troy, MN</t>
  </si>
  <si>
    <t>OxZAQuzQUv7KZBZN53Gf</t>
  </si>
  <si>
    <t>2020-06-04 12:29:59.955214.jpg</t>
  </si>
  <si>
    <t>Beaver Creek</t>
  </si>
  <si>
    <t>USVvYUXcRJSJEyGhMkwR</t>
  </si>
  <si>
    <t>2020-06-04 13:26:13.148621.jpg</t>
  </si>
  <si>
    <t>South Fork Whitewater, very dirty from stream habitat work</t>
  </si>
  <si>
    <t>nW9U529YRY7ZvdAZxDvW</t>
  </si>
  <si>
    <t>2020-06-04 14:51:35.226120.jpg</t>
  </si>
  <si>
    <t>Garvin Brook</t>
  </si>
  <si>
    <t>RkCtlJEjk9xcyy3QI7Md</t>
  </si>
  <si>
    <t>YxczvVfSqfrOmvFG7Wan</t>
  </si>
  <si>
    <t>2020-06-08 11:47:01.613989.jpg</t>
  </si>
  <si>
    <t>West Indian Creek</t>
  </si>
  <si>
    <t>5D2QRF8FxdlU6IPODiFj</t>
  </si>
  <si>
    <t>2020-06-08 13:20:11.606811.jpg</t>
  </si>
  <si>
    <t>East Indian</t>
  </si>
  <si>
    <t>mQJvVfxFwNH71uxfPkEY</t>
  </si>
  <si>
    <t>2020-06-09 10:14:06.994373.jpg</t>
  </si>
  <si>
    <t>Trout Valley Creek</t>
  </si>
  <si>
    <t>93PqtWIGeQTyPbiBDAYp</t>
  </si>
  <si>
    <t>2020-06-09 11:12:55.101098.jpg</t>
  </si>
  <si>
    <t>Middle Fork Whitewater, mostly pasture riparian zone</t>
  </si>
  <si>
    <t>BJyUEaZL2QbC4DCMmOxB</t>
  </si>
  <si>
    <t>https://firebasestorage.googleapis.com/v0/b/wiseh2odev-83a9b.appspot.com/o/PhotoCapture%2F2020-06-19%2014:51:41.056297.jpg-0.jpg?alt=media&amp;token=361fa065-a181-4699-a8cd-a43b3bb27b29</t>
  </si>
  <si>
    <t>Thunderstorm on 6/18/20, with 0.9” of rain in Hudson. Only slight turbidity and little hydrograph response.</t>
  </si>
  <si>
    <t>6IK0SRuKZtVUoHH2x9ah</t>
  </si>
  <si>
    <t>https://firebasestorage.googleapis.com/v0/b/wiseh2odev-83a9b.appspot.com/o/PhotoCapture%2F2020-06-19%2015:48:15.690683.jpg-0.jpg?alt=media&amp;token=bf735d7a-130f-49e5-8c75-a61fb2289b9a</t>
  </si>
  <si>
    <t>Observations at Sumner Creek. Thunderstorm on 6/18/20, with 0.9” of rain in Hudson. Stream is clear.</t>
  </si>
  <si>
    <t>q1FlIOvje5qFOkoyMLrS</t>
  </si>
  <si>
    <t>0pCstQIZrVtnIpa0aI2f</t>
  </si>
  <si>
    <t>B33KnjZj31amjyRxDVQ5</t>
  </si>
  <si>
    <t>M7Zgu2qWuGKgEpGEnSbm</t>
  </si>
  <si>
    <t>Kinnickinnic River, Lower Glen Park</t>
  </si>
  <si>
    <t>https://firebasestorage.googleapis.com/v0/b/wiseh2odev-83a9b.appspot.com/o/PhotoCapture%2F2020-07-01%2011:43:35.197956.jpg-0.jpg?alt=media&amp;token=da080409-c7ba-4e16-9cd6-d4ff7ffe8807</t>
  </si>
  <si>
    <t xml:space="preserve">8 inch torrential rain 2 days ago washed out the river. now still bank full and muddy. </t>
  </si>
  <si>
    <t>L06Jwx4yXmBW0M33drjD</t>
  </si>
  <si>
    <t>GnbcTGmAZFc5r9b25LVe</t>
  </si>
  <si>
    <t>Pine Creek headwater spring at American Legion Post.</t>
  </si>
  <si>
    <t>xuEDcmZxso84MEKjilQi</t>
  </si>
  <si>
    <t>Upper Pine Creek, near M2 monitoring site.</t>
  </si>
  <si>
    <t>2HnZSDfX2nKrfFTWwPNd</t>
  </si>
  <si>
    <t>Simultaneous water sample collected for lab analysis.</t>
  </si>
  <si>
    <t>S1D1u2kjXL1elpBGmxaq</t>
  </si>
  <si>
    <t>SVNv9davIkfJcUTCOH2O</t>
  </si>
  <si>
    <t>Trimbelle River @ County Rd W</t>
  </si>
  <si>
    <t>HqjQVrSFKiWOEnSrSdhw</t>
  </si>
  <si>
    <t>qmROCqQx86UtTueFq7I5ueZyhdl2</t>
  </si>
  <si>
    <t>https://firebasestorage.googleapis.com/v0/b/wiseh2odev-83a9b.appspot.com/o/PhotoCapture%2F2020-08-04%2013%3A05%3A47.884307.jpg-0.jpg?alt=media&amp;token=82b13f5d-66ce-4c4a-8dd8-05933b9bc9f6https://firebasestorage.googleapis.com/v0/b/wiseh2odev-83a9b.appspot.com/o/PhotoCapture%2F2020-08-04%2013%3A05%3A47.884307.jpg-1.jpg?alt=media&amp;token=be2e7023-7c45-4ed9-bb31-404cac4b796b</t>
  </si>
  <si>
    <t>y6LvC8mVOJWUAsZppPeE</t>
  </si>
  <si>
    <t>https://firebasestorage.googleapis.com/v0/b/wiseh2odev-83a9b.appspot.com/o/PhotoCapture%2F2020-08-04%2013%3A43%3A08.475748.jpg-0.jpg?alt=media&amp;token=8e6d42a1-97ad-44bf-9516-6f14ec4d5667https://firebasestorage.googleapis.com/v0/b/wiseh2odev-83a9b.appspot.com/o/PhotoCapture%2F2020-08-04%2013%3A43%3A08.475748.jpg-1.jpg?alt=media&amp;token=6ec8531f-86de-4a48-9924-7281da229a36</t>
  </si>
  <si>
    <t>Pipe/Drain Outflow</t>
  </si>
  <si>
    <t>wsURmeqal4z9w33v3G9b</t>
  </si>
  <si>
    <t>https://firebasestorage.googleapis.com/v0/b/wiseh2odev-83a9b.appspot.com/o/PhotoCapture%2F2020-08-04%2014%3A07%3A56.216571.jpg-0.jpg?alt=media&amp;token=714f8ac6-222e-4cf9-b336-9eb5c6bdc293https://firebasestorage.googleapis.com/v0/b/wiseh2odev-83a9b.appspot.com/o/PhotoCapture%2F2020-08-04%2014%3A07%3A56.216571.jpg-1.jpg?alt=media&amp;token=78a67f71-6cc8-4578-9fda-d348b5a28176</t>
  </si>
  <si>
    <t>1n1xTR3vrUx8aU0hoTNh</t>
  </si>
  <si>
    <t>Qk5uXhbIuN2HluGaq2zK</t>
  </si>
  <si>
    <t>Rocky Branch Creek, Lower Glen Park</t>
  </si>
  <si>
    <t>https://firebasestorage.googleapis.com/v0/b/wiseh2odev-83a9b.appspot.com/o/PhotoCapture%2F2020-08-09%2011:36:07.948793.jpg-0.jpg?alt=media&amp;token=6869535c-8893-476e-922b-9ca7a03eeb0bhttps://firebasestorage.googleapis.com/v0/b/wiseh2odev-83a9b.appspot.com/o/PhotoCapture%2F2020-08-09%2011:36:07.948793.jpg-1.jpg?alt=media&amp;token=84bb93d9-ad04-47bd-8920-4482c69ad2e7</t>
  </si>
  <si>
    <t xml:space="preserve">river low and clear. </t>
  </si>
  <si>
    <t>2IbfknfFbDrKxdAzDi0S</t>
  </si>
  <si>
    <t>https://firebasestorage.googleapis.com/v0/b/wiseh2odev-83a9b.appspot.com/o/PhotoCapture%2F2020-08-13%2012:24:54.879046.jpg-0.jpg?alt=media&amp;token=519418ee-ae9f-4f98-aa7a-7c90a528c86c</t>
  </si>
  <si>
    <t>Bank Erosion,Trash</t>
  </si>
  <si>
    <t>Flow at USGS station is 110 cfs. Secchi Tube transparency is &gt; 60 cm.</t>
  </si>
  <si>
    <t>OtC37j6q5f4nSYRse0bK</t>
  </si>
  <si>
    <t>Rush River @ 570th Ave</t>
  </si>
  <si>
    <t>RwVOyQ7o9m9VRaw7WjRJ</t>
  </si>
  <si>
    <t>iM6NG2oxmwYGFNqSq6skS4Odguo2</t>
  </si>
  <si>
    <t>cHOLtu3JKssAvIRieVVi</t>
  </si>
  <si>
    <t>Groundwater Well</t>
  </si>
  <si>
    <t>OQOUkN5oMoAGbcz9D5NL</t>
  </si>
  <si>
    <t>3gXksUcmwVEvU0Vso7Qz</t>
  </si>
  <si>
    <t>9Ke9bFCmg5IMJJF9NYOY</t>
  </si>
  <si>
    <t>o7nO3RJvL0Jqp6wYPGvg</t>
  </si>
  <si>
    <t>https://firebasestorage.googleapis.com/v0/b/wiseh2odev-83a9b.appspot.com/o/PhotoCapture%2F2020-09-02%2013:34:58.275677.jpg-0.jpg?alt=media&amp;token=ab3061f3-f362-4d1f-ae07-d2e87440d0c2</t>
  </si>
  <si>
    <t>SMwXnVBYIlTc3LjvGmBr</t>
  </si>
  <si>
    <t>JXs3JH9frrZM0ZdjV8qFZY0NE3P2</t>
  </si>
  <si>
    <t>JXWYQTZNqrLCFXFYmzO3</t>
  </si>
  <si>
    <t>https://firebasestorage.googleapis.com/v0/b/wiseh2odev-83a9b.appspot.com/o/PhotoCapture%2F2020-09-10%2011:58:54.209450.jpg-0.jpg?alt=media&amp;token=1ed2fdd3-f8e2-488a-ac7b-f326be505f43</t>
  </si>
  <si>
    <t>Secchi Tube transparency &gt; 60 cm</t>
  </si>
  <si>
    <t>z9GeQgP0yaMkIdPRP2ZJ</t>
  </si>
  <si>
    <t>https://firebasestorage.googleapis.com/v0/b/wiseh2odev-83a9b.appspot.com/o/PhotoCapture%2F2020-09-10%2011:59:27.845274.jpg-0.jpg?alt=media&amp;token=f7c2fb57-83a6-48c8-95d4-596ea4eb82e3</t>
  </si>
  <si>
    <t xml:space="preserve">45 degree air temp, sunny, river low and clear, light rain yesterday. </t>
  </si>
  <si>
    <t>kURQVeHI3KKuVBaE1x04</t>
  </si>
  <si>
    <t>https://firebasestorage.googleapis.com/v0/b/wiseh2odev-83a9b.appspot.com/o/PhotoCapture%2F2020-09-10%2012%3A09%3A29.693535.jpg-0.jpg?alt=media&amp;token=d5781d46-c892-4d6b-8a98-645fe8f54377</t>
  </si>
  <si>
    <t>zSIRmk1a49C37UDGAGUS</t>
  </si>
  <si>
    <t>https://firebasestorage.googleapis.com/v0/b/wiseh2odev-83a9b.appspot.com/o/PhotoCapture%2F2020-09-10%2012%3A27%3A26.167430.jpg-0.jpg?alt=media&amp;token=429d9810-44aa-4e44-8d8c-75bbae71ec2b</t>
  </si>
  <si>
    <t>Zan9DoNa6A8LayrFgyOU</t>
  </si>
  <si>
    <t>https://firebasestorage.googleapis.com/v0/b/wiseh2odev-83a9b.appspot.com/o/PhotoCapture%2F2020-09-10%2013%3A41%3A30.176760.jpg-0.jpg?alt=media&amp;token=05dbd770-7b29-401b-a391-449f85f8af01</t>
  </si>
  <si>
    <t>9irFQXZyg1QVL3ejHY5s</t>
  </si>
  <si>
    <t>https://firebasestorage.googleapis.com/v0/b/wiseh2odev-83a9b.appspot.com/o/PhotoCapture%2F2020-09-10%2014%3A29%3A50.063025.jpg-0.jpg?alt=media&amp;token=2ee3430c-5734-4703-830b-ca1f5ea98a18https://firebasestorage.googleapis.com/v0/b/wiseh2odev-83a9b.appspot.com/o/PhotoCapture%2F2020-09-10%2014%3A29%3A50.063025.jpg-1.jpg?alt=media&amp;token=644a888d-12a1-4c59-906c-50f838c64553</t>
  </si>
  <si>
    <t>hngmxirk7Po3iMkhV8vE</t>
  </si>
  <si>
    <t>https://firebasestorage.googleapis.com/v0/b/wiseh2odev-83a9b.appspot.com/o/PhotoCapture%2F2020-09-11%2011%3A02%3A09.896282.jpg-0.jpg?alt=media&amp;token=7a40d4ca-ea44-49e6-ab38-0865faa91fb6https://firebasestorage.googleapis.com/v0/b/wiseh2odev-83a9b.appspot.com/o/PhotoCapture%2F2020-09-11%2011%3A02%3A09.896282.jpg-1.jpg?alt=media&amp;token=abf44a1b-53ea-4983-ab1b-6f9e415b50b7</t>
  </si>
  <si>
    <t>dGmP0jSoe6NWkrE6EUxg</t>
  </si>
  <si>
    <t>https://firebasestorage.googleapis.com/v0/b/wiseh2odev-83a9b.appspot.com/o/PhotoCapture%2F2020-09-11%2011%3A21%3A35.740600.jpg-0.jpg?alt=media&amp;token=ecf0d04b-58d5-4634-abb5-20eff1a7b731https://firebasestorage.googleapis.com/v0/b/wiseh2odev-83a9b.appspot.com/o/PhotoCapture%2F2020-09-11%2011%3A21%3A35.740600.jpg-1.jpg?alt=media&amp;token=f46b52d0-d475-4574-b82a-06685d66249a</t>
  </si>
  <si>
    <t>mOgHrzpwWitc8MGWt8hl</t>
  </si>
  <si>
    <t>https://firebasestorage.googleapis.com/v0/b/wiseh2odev-83a9b.appspot.com/o/PhotoCapture%2F2020-09-11%2011%3A42%3A01.585435.jpg-0.jpg?alt=media&amp;token=654f3847-3c77-424a-81ac-746c5c9c9844https://firebasestorage.googleapis.com/v0/b/wiseh2odev-83a9b.appspot.com/o/PhotoCapture%2F2020-09-11%2011%3A42%3A01.585435.jpg-1.jpg?alt=media&amp;token=1acf75a0-f629-43dc-b083-19c45e57e200</t>
  </si>
  <si>
    <t>PLNVq3X6478IqgPyr2NX</t>
  </si>
  <si>
    <t>https://firebasestorage.googleapis.com/v0/b/wiseh2odev-83a9b.appspot.com/o/PhotoCapture%2F2020-09-11%2012%3A19%3A47.493866.jpg-0.jpg?alt=media&amp;token=6086821b-96d7-46ce-ab04-2d977ba2be93</t>
  </si>
  <si>
    <t>Wjksy7tFD2LKokVLKGIW</t>
  </si>
  <si>
    <t>Spring at Pine Creek headwaters.</t>
  </si>
  <si>
    <t>rfuQOyN34czcFjMKxVUY</t>
  </si>
  <si>
    <t>1EGgnWfh2qRbpNTG5LFnBsUH5Z43</t>
  </si>
  <si>
    <t>https://firebasestorage.googleapis.com/v0/b/wiseh2odev-83a9b.appspot.com/o/PhotoCapture%2F2020-09-15%2011:03:24.000558.jpg-0.jpg?alt=media&amp;token=bed08068-2f32-40e5-b3be-707a46e0402e</t>
  </si>
  <si>
    <t>rZ94RMOrn5mHBqjPkJ7B</t>
  </si>
  <si>
    <t>https://firebasestorage.googleapis.com/v0/b/wiseh2odev-83a9b.appspot.com/o/PhotoCapture%2F2020-09-16%2015:44:43.651495.jpg-0.jpg?alt=media&amp;token=a26b84a4-85d8-4ff0-a594-c0eb1de3095f</t>
  </si>
  <si>
    <t>Oi9AmfXappo3uSZj3sTD</t>
  </si>
  <si>
    <t>https://firebasestorage.googleapis.com/v0/b/wiseh2odev-83a9b.appspot.com/o/PhotoCapture%2F2020-09-16%2016:53:06.677376.jpg-0.jpg?alt=media&amp;token=5ccb82e1-c861-4007-86c9-b39db99ad55a</t>
  </si>
  <si>
    <t>2GIR18MhMJCtvETjLzNr</t>
  </si>
  <si>
    <t>https://firebasestorage.googleapis.com/v0/b/wiseh2odev-83a9b.appspot.com/o/PhotoCapture%2F2020-09-17%2010%3A46%3A58.629232.jpg-0.jpg?alt=media&amp;token=2a6a4ed2-f6bd-4dfb-a5cc-85648967ee92https://firebasestorage.googleapis.com/v0/b/wiseh2odev-83a9b.appspot.com/o/PhotoCapture%2F2020-09-17%2010%3A46%3A58.629232.jpg-1.jpg?alt=media&amp;token=115b46af-3bc1-4511-a753-ee70dbac5574https://firebasestorage.googleapis.com/v0/b/wiseh2odev-83a9b.appspot.com/o/PhotoCapture%2F2020-09-17%2010%3A46%3A58.629232.jpg-2.jpg?alt=media&amp;token=bfcb327b-fdd6-4ceb-ba58-130e97738ac9</t>
  </si>
  <si>
    <t>mrgTroK0mBMtZSTZUHs5</t>
  </si>
  <si>
    <t>https://firebasestorage.googleapis.com/v0/b/wiseh2odev-83a9b.appspot.com/o/PhotoCapture%2F2020-09-17%2011%3A12%3A15.417971.jpg-0.jpg?alt=media&amp;token=545b17e2-1f43-4ebb-8858-bd3b51b07ee1https://firebasestorage.googleapis.com/v0/b/wiseh2odev-83a9b.appspot.com/o/PhotoCapture%2F2020-09-17%2011%3A12%3A15.417971.jpg-1.jpg?alt=media&amp;token=d5cbc491-be72-4574-b222-5e94fa91ab0c</t>
  </si>
  <si>
    <t>o12jSiWcodGDvLcnKNVT</t>
  </si>
  <si>
    <t>https://firebasestorage.googleapis.com/v0/b/wiseh2odev-83a9b.appspot.com/o/PhotoCapture%2F2020-09-17%2011%3A34%3A26.000673.jpg-0.jpg?alt=media&amp;token=a6d36926-ff7d-4200-83f8-9fb1d6521376https://firebasestorage.googleapis.com/v0/b/wiseh2odev-83a9b.appspot.com/o/PhotoCapture%2F2020-09-17%2011%3A34%3A26.000673.jpg-1.jpg?alt=media&amp;token=da6bf1ad-b987-4f13-a2b6-bbd8d82fa074</t>
  </si>
  <si>
    <t>8dDcAzblfZV2gLNYaWCA</t>
  </si>
  <si>
    <t>https://firebasestorage.googleapis.com/v0/b/wiseh2odev-83a9b.appspot.com/o/PhotoCapture%2F2020-09-17%2012%3A06%3A14.684132.jpg-0.jpg?alt=media&amp;token=4622768b-f016-4c53-ae82-a0c251eb1373https://firebasestorage.googleapis.com/v0/b/wiseh2odev-83a9b.appspot.com/o/PhotoCapture%2F2020-09-17%2012%3A06%3A14.684132.jpg-1.jpg?alt=media&amp;token=dc5eef41-7f37-49ea-bd77-63e2337e24d8</t>
  </si>
  <si>
    <t>GogZFqpVDZFoIEVew0MA</t>
  </si>
  <si>
    <t>https://firebasestorage.googleapis.com/v0/b/wiseh2odev-83a9b.appspot.com/o/PhotoCapture%2F2020-09-17%2012%3A30%3A03.330619.jpg-0.jpg?alt=media&amp;token=ae0c5dd5-f848-4bec-ae51-5532bd1eebc3https://firebasestorage.googleapis.com/v0/b/wiseh2odev-83a9b.appspot.com/o/PhotoCapture%2F2020-09-17%2012%3A30%3A03.330619.jpg-1.jpg?alt=media&amp;token=f06ef1bc-18ca-463d-bf9b-a5ea8d4b94b5</t>
  </si>
  <si>
    <t>nKUUmLxgk9Q6G7eQAFQT</t>
  </si>
  <si>
    <t>https://firebasestorage.googleapis.com/v0/b/wiseh2odev-83a9b.appspot.com/o/PhotoCapture%2F2020-09-17%2013%3A43%3A54.615225.jpg-0.jpg?alt=media&amp;token=312dbbe0-c4ec-45f7-9777-1648f1053bffhttps://firebasestorage.googleapis.com/v0/b/wiseh2odev-83a9b.appspot.com/o/PhotoCapture%2F2020-09-17%2013%3A43%3A54.615225.jpg-1.jpg?alt=media&amp;token=af0ed26f-730d-49a4-b293-4cf525869ac2</t>
  </si>
  <si>
    <t>DikYNdGaBTa0E8zjMeBT</t>
  </si>
  <si>
    <t>https://firebasestorage.googleapis.com/v0/b/wiseh2odev-83a9b.appspot.com/o/PhotoCapture%2F2020-09-18%2011:23:12.638649.jpg-0.jpg?alt=media&amp;token=6c174d1e-d24e-401c-b814-a48f7f482dc7</t>
  </si>
  <si>
    <t>FUpvUfIDJIoK7JBCyXcQ</t>
  </si>
  <si>
    <t>https://firebasestorage.googleapis.com/v0/b/wiseh2odev-83a9b.appspot.com/o/PhotoCapture%2F2020-09-18%2012:13:42.603204.jpg-0.jpg?alt=media&amp;token=aa8a1c32-7c52-4602-b874-85055ca91b6d</t>
  </si>
  <si>
    <t>Algal Bloom</t>
  </si>
  <si>
    <t>Lake St. Croix at Alton, MN.</t>
  </si>
  <si>
    <t>HaHQjUIWJZit4wuiN9CC</t>
  </si>
  <si>
    <t>a2iVDfAZsXbAYw8fNroBpibgO6Y2</t>
  </si>
  <si>
    <t>zIW801h1SAQwUdkqV9Uh</t>
  </si>
  <si>
    <t>https://firebasestorage.googleapis.com/v0/b/wiseh2odev-83a9b.appspot.com/o/PhotoCapture%2F2020-09-21%2010:19:51.814402.jpg-0.jpg?alt=media&amp;token=74454dee-2023-4cb6-8b80-8257bc5fa019</t>
  </si>
  <si>
    <t>MTN1wgYy399J1vRa064Q</t>
  </si>
  <si>
    <t>rpHx3Va4Addyv6ZLeQhGZeANEEF2</t>
  </si>
  <si>
    <t>ykn3kVs9ZzED0vuIo1S2</t>
  </si>
  <si>
    <t>https://firebasestorage.googleapis.com/v0/b/wiseh2odev-83a9b.appspot.com/o/PhotoCapture%2F2020-09-22%2010:34:18.055762.jpg-0.jpg?alt=media&amp;token=a7bf69c8-56ed-42e5-9ce0-db221b51b02a</t>
  </si>
  <si>
    <t>L6zpxMOJtiBNJ9SGd6CM</t>
  </si>
  <si>
    <t>3pdmUsYeOl234FcpBRfb</t>
  </si>
  <si>
    <t>Bank Erosion,Livestock in Water</t>
  </si>
  <si>
    <t>EaH1x4VwRUByyh0xA0dg</t>
  </si>
  <si>
    <t>drlXE1KqdeH3dlbdXEiH</t>
  </si>
  <si>
    <t>EE77XnHjAGsI1UXrwig0</t>
  </si>
  <si>
    <t>QhsIWYhrIqTEP85lM4VNR256zUH2</t>
  </si>
  <si>
    <t>uZDU325s3tNbNP2Gq2Im</t>
  </si>
  <si>
    <t>9GMN9qoYjTsieP8mPQZc</t>
  </si>
  <si>
    <t>qDzq4xBW3Vk0amyqhLIo</t>
  </si>
  <si>
    <t>vkVWlTFC5trsjJ107ER3</t>
  </si>
  <si>
    <t>yp2Xkjo8Sw18hJzq1ZFy</t>
  </si>
  <si>
    <t>https://firebasestorage.googleapis.com/v0/b/wiseh2odev-83a9b.appspot.com/o/PhotoCapture%2F2020-10-02%2012:31:10.597036.jpg-0.jpg?alt=media&amp;token=1567a56c-4a68-45f8-afc1-2ebb9ed6a8c8</t>
  </si>
  <si>
    <t>Secchi transparency &gt; 60 cm. Lake Louise drawdown started this morning. Flow is 155 cfs at noon.</t>
  </si>
  <si>
    <t>8HrwP6Xx5gzEv0AIOxfU</t>
  </si>
  <si>
    <t>https://firebasestorage.googleapis.com/v0/b/wiseh2odev-83a9b.appspot.com/o/PhotoCapture%2F2020-10-02%2013:40:31.326599.jpg-0.jpg?alt=media&amp;token=92e34c18-d4b9-4861-9b65-eacb1071b012</t>
  </si>
  <si>
    <t>Lake Louise drawdown in progress, below Powell Falls Dam. No flow over top of spillway. 5n1 results suspect due to pad color fading.</t>
  </si>
  <si>
    <t>k74DpzIN1BsrA4kJjyOy</t>
  </si>
  <si>
    <t>RFOcPacep0e15rSw11dBGOgUM5o1</t>
  </si>
  <si>
    <t>https://firebasestorage.googleapis.com/v0/b/wiseh2odev-83a9b.appspot.com/o/PhotoCapture%2F2020-10-04%2011%3A47%3A50.561474.jpg-0.jpg?alt=media&amp;token=467247dc-84b4-4ca3-9781-538d4b1c0e08</t>
  </si>
  <si>
    <t>78FVnXXCQeI2JyXDGTX5</t>
  </si>
  <si>
    <t>lIPFCLfMjb20pGYDE4ak</t>
  </si>
  <si>
    <t>aMdXYPYrqCHsssqTAMs9</t>
  </si>
  <si>
    <t>sYmHKhmKokaof1HzWtfF</t>
  </si>
  <si>
    <t>3ewh0JhsqndewkOhEmNvJ9cb0n83</t>
  </si>
  <si>
    <t>https://firebasestorage.googleapis.com/v0/b/wiseh2odev-83a9b.appspot.com/o/PhotoCapture%2F2020-10-12%2012:52:17.940464.jpg-0.jpg?alt=media&amp;token=aa550390-22b4-404c-8cd0-ad8d14fac4c6</t>
  </si>
  <si>
    <t>zy3G0xFkPLZvteXVn0a8</t>
  </si>
  <si>
    <t>raGk7ZR3GrfMo7yQku4nuriRtsC3</t>
  </si>
  <si>
    <t>new bridge done and blacktop to be done by next Tuesday!</t>
  </si>
  <si>
    <t>25PGwUb5lUA3N42PutYI</t>
  </si>
  <si>
    <t>gnN05yGfuD0YGIfp2g9I</t>
  </si>
  <si>
    <t>lbb8vF0B4Wx4IrIciYWy</t>
  </si>
  <si>
    <t>7Da833snqogPt7QWEtPX</t>
  </si>
  <si>
    <t>QCEtEdvjK2kbUcfKXxne</t>
  </si>
  <si>
    <t>bieavWD49ayoQsvForvW</t>
  </si>
  <si>
    <t>LGAAZMXEfeusXEETyahK</t>
  </si>
  <si>
    <t>ji2h1m62Sph8cFT9GC3s</t>
  </si>
  <si>
    <t>0VWc6IrJ6LEnKBT2TDzf</t>
  </si>
  <si>
    <t>80reiKTTqGYqqpgYAhPwqypFwak1</t>
  </si>
  <si>
    <t>big spring on Canfield Creek in Forestville/Mystery Cave State Park</t>
  </si>
  <si>
    <t>cL69fNgbwfTSGQqjLoxI</t>
  </si>
  <si>
    <t>KPCyWBYusieEfPoYwO9s</t>
  </si>
  <si>
    <t>g5opjWbIsonLasTxDeio</t>
  </si>
  <si>
    <t>TncsNDJvS9dVFXBRO4hk</t>
  </si>
  <si>
    <t>Winter baseflow observation. Some duckweed along channel edges.</t>
  </si>
  <si>
    <t>3XD1uoiqRpYvE1CCIUBQ</t>
  </si>
  <si>
    <t>https://firebasestorage.googleapis.com/v0/b/wiseh2odev-83a9b.appspot.com/o/PhotoCapture%2F2021-01-13%2011:35:52.521057.jpg-0.jpg?alt=media&amp;token=d45bea77-2611-4fc7-b53c-df896cf21922</t>
  </si>
  <si>
    <t>Winter baseflow observation. Watercress along the stream margins.</t>
  </si>
  <si>
    <t>jRP03b9K0nOeKlRsVF8l</t>
  </si>
  <si>
    <t>Pine Creek headwater spring at Legion Post.</t>
  </si>
  <si>
    <t>2t4dI46uT8NwytmKFp2h</t>
  </si>
  <si>
    <t>WF1OKgido0EOF0peueoU</t>
  </si>
  <si>
    <t>gY35oPoXuVw1imVjw2Ig</t>
  </si>
  <si>
    <t>xwzO0S1zVw6fy8cs6hJr</t>
  </si>
  <si>
    <t>https://firebasestorage.googleapis.com/v0/b/wiseh2odev-83a9b.appspot.com/o/PhotoCapture%2F2021-03-11%2010:59:51.765261.jpg-0.jpg?alt=media&amp;token=f4876c19-248a-4f29-b3ee-30093542fe5e</t>
  </si>
  <si>
    <t>Record warmth on 3/9/21 and rainfall on 3/10 (0.75” in Hudson) lead to spring runoff event.</t>
  </si>
  <si>
    <t>2V4pdCYPPIieR9s4nH5K</t>
  </si>
  <si>
    <t>https://firebasestorage.googleapis.com/v0/b/wiseh2odev-83a9b.appspot.com/o/PhotoCapture%2F2021-03-11%2011:47:41.946051.jpg-0.jpg?alt=media&amp;token=a477f71d-65f9-4ec1-9c6f-b6b283fc67e6</t>
  </si>
  <si>
    <t>Spring runoff, after record warmth on 3/9/21 and rainfall on 3/10/21 (0.75” in Hudson).</t>
  </si>
  <si>
    <t>ebLSz2th89g83p0PYm9P</t>
  </si>
  <si>
    <t>ywUFLgiRYPVoUUSi7cN16v6wqzq1</t>
  </si>
  <si>
    <t>https://firebasestorage.googleapis.com/v0/b/wiseh2odev-83a9b.appspot.com/o/PhotoCapture%2F2021-03-13%2014:10:34.367679.jpg-0.jpg?alt=media&amp;token=dc1ec820-3e67-4410-8e9a-67c854f6aff3</t>
  </si>
  <si>
    <t xml:space="preserve">small mayfly hatch </t>
  </si>
  <si>
    <t>cdHg2ORoHSIF72RFmqTn</t>
  </si>
  <si>
    <t>https://firebasestorage.googleapis.com/v0/b/wiseh2odev-83a9b.appspot.com/o/PhotoCapture%2F2021-03-18%2014:00:57.368912.jpg-0.jpg?alt=media&amp;token=54b6c65a-e7e5-4eff-b497-e7b6f514c933</t>
  </si>
  <si>
    <t>nm5MqSuuBZnF3EX3dUkg</t>
  </si>
  <si>
    <t>tZNtzB79H6QbNjNiPlUH</t>
  </si>
  <si>
    <t>hm2Bu8Yk42Y2OrPIkShm045JyM53</t>
  </si>
  <si>
    <t>Sm74eudbMV2Z5goYpbm0</t>
  </si>
  <si>
    <t>low and gin clear</t>
  </si>
  <si>
    <t>CuE8QD1TCAd4Yu6piLDm</t>
  </si>
  <si>
    <t>pL16JwwKRMpjSWM50s8G</t>
  </si>
  <si>
    <t>https://firebasestorage.googleapis.com/v0/b/wiseh2odev-83a9b.appspot.com/o/PhotoCapture%2F2021-03-21%2015:13:30.863734.jpg-0.jpg?alt=media&amp;token=8e326e9b-d9b6-45e2-88a5-4ac052360684</t>
  </si>
  <si>
    <t xml:space="preserve">river low and clear, no snow or rain for a week, all winter snow long gone. </t>
  </si>
  <si>
    <t>Hardness</t>
  </si>
  <si>
    <t>Value.ObservationDate._seconds</t>
  </si>
  <si>
    <t>Value.ObserverID</t>
  </si>
  <si>
    <t>Value.MonitoringSite</t>
  </si>
  <si>
    <t>Value.Coordinates._longitude</t>
  </si>
  <si>
    <t>Value.Coordinates._latitude</t>
  </si>
  <si>
    <t>Value.Photos</t>
  </si>
  <si>
    <t>Value.Public</t>
  </si>
  <si>
    <t>Value.Alkalinity</t>
  </si>
  <si>
    <t>Value.BinnedAlkalinity</t>
  </si>
  <si>
    <t>Value.Hardness</t>
  </si>
  <si>
    <t>Value.BinnedHardness</t>
  </si>
  <si>
    <t>Value.GeneralNO2</t>
  </si>
  <si>
    <t>Value.GeneralNO3</t>
  </si>
  <si>
    <t>Value.pH</t>
  </si>
  <si>
    <t>Value.PH.1</t>
  </si>
  <si>
    <t>Value.BinnedPH</t>
  </si>
  <si>
    <t>Value.Phosphorous</t>
  </si>
  <si>
    <t>Value.Temperature</t>
  </si>
  <si>
    <t>Value.NO2</t>
  </si>
  <si>
    <t>Value.GeneralBinnedNO2</t>
  </si>
  <si>
    <t>Value.NO3</t>
  </si>
  <si>
    <t>Value.GeneralBinnedNO3</t>
  </si>
  <si>
    <t>Value.Status</t>
  </si>
  <si>
    <t>Value.Source</t>
  </si>
  <si>
    <t>Value.Disturbances</t>
  </si>
  <si>
    <t>Value.WaterLevel</t>
  </si>
  <si>
    <t>Value.Clarity</t>
  </si>
  <si>
    <t>Value.Weather</t>
  </si>
  <si>
    <t>Value.ObservationComments</t>
  </si>
  <si>
    <t>Value.SiteConditions</t>
  </si>
  <si>
    <t>Value.id</t>
  </si>
  <si>
    <t>[Record]</t>
  </si>
  <si>
    <t>Unknown</t>
  </si>
  <si>
    <t>Jze49MWrhRTjqve8BWc3L9u44972</t>
  </si>
  <si>
    <t>Canal/Ditch</t>
  </si>
  <si>
    <t>RtViMLMtt9UbHrBNbNmeeETsZ9Q2</t>
  </si>
  <si>
    <t>AhR0j59FntcvgJmYbFkI8vPPHg73</t>
  </si>
  <si>
    <t>D1QmPG2MfNY3WFWFaaT6LZIxAsi1</t>
  </si>
  <si>
    <t>aaZLVG4ULtMFxbMcGh7Du7yv6D53</t>
  </si>
  <si>
    <t>Livestock in Water</t>
  </si>
  <si>
    <t>YkpWOyDHLcV71TEIgRIoUjroJX33</t>
  </si>
  <si>
    <t>pNUOPrVrLAYalyFyEZ8n7pv2NXl1</t>
  </si>
  <si>
    <t>9kXJgVO6Hh7vq7j5tvUJ</t>
  </si>
  <si>
    <t>AG7UjKLfztDvXJFA9ph4</t>
  </si>
  <si>
    <t>FRZZhEyLR4WADV6UPlIZSKdWUpS2</t>
  </si>
  <si>
    <t>5LHjzjwcR3gRpTbduCnw0dDjeNQ2</t>
  </si>
  <si>
    <t>Fish Kill</t>
  </si>
  <si>
    <t>FDeisRXwIrOUWoHIO64d</t>
  </si>
  <si>
    <t>p19CQ1BbH9PHxeE0VLFdcdKIBUi1</t>
  </si>
  <si>
    <t>ZXA41xzI2eX7P5fFeTzyOsASKfm1</t>
  </si>
  <si>
    <t>hEgRvyxprVMoz5dpBpUBrum6edn1</t>
  </si>
  <si>
    <t>gQ9v9qjFhrTuJwNMhUuOGT7Jl3F2</t>
  </si>
  <si>
    <t>NY9dVZl7kqlJCK1AH4Kq</t>
  </si>
  <si>
    <t>R9T8NVH40vxHZaBJENY4</t>
  </si>
  <si>
    <t>4Ykk5veXq2hi1RbTNiHDVsXi48I3</t>
  </si>
  <si>
    <t>W5KgGhh9XrQUICpadVgF</t>
  </si>
  <si>
    <t>fspbjykElIKJhpwxWdgM</t>
  </si>
  <si>
    <t>goy6keK76BgGtkduLFvN</t>
  </si>
  <si>
    <t>uSK6Yr6xUwdpA2olpdTG</t>
  </si>
  <si>
    <t>x1i9cEQnWOO56OOjDScxQFFBG9z2</t>
  </si>
  <si>
    <t>Livestock in Water2</t>
  </si>
  <si>
    <t>Algal Bloom3</t>
  </si>
  <si>
    <t>Fish Kill4</t>
  </si>
  <si>
    <t>Weather Conditions</t>
  </si>
  <si>
    <t>Overview Stats</t>
  </si>
  <si>
    <t>Disturbance</t>
  </si>
  <si>
    <t>Kiap-TU-Wish</t>
  </si>
  <si>
    <t>Feb</t>
  </si>
  <si>
    <t>Dec</t>
  </si>
  <si>
    <t>Jan</t>
  </si>
  <si>
    <t>Average</t>
  </si>
  <si>
    <t>Remaining</t>
  </si>
  <si>
    <t>Number</t>
  </si>
  <si>
    <t>Percentage</t>
  </si>
  <si>
    <t>Overall</t>
  </si>
  <si>
    <t>Target</t>
  </si>
  <si>
    <t>Participation</t>
  </si>
  <si>
    <t>Organizations</t>
  </si>
  <si>
    <t>Observations by Individuals</t>
  </si>
  <si>
    <t>Observations Reported</t>
  </si>
  <si>
    <t>Date when the observation was submitted in the Central Daylight Time Zone (-6 hours).  Shift will be adjudted when standard time is returned</t>
  </si>
  <si>
    <t>Photo No.</t>
  </si>
  <si>
    <t>02AAKekyGtT6Kuu6m0tQhSFD2XM2</t>
  </si>
  <si>
    <t>43tg6vyaAId5rBaxgaLmYZEH83r2</t>
  </si>
  <si>
    <t>5RQuWak2yTbCLXixyDsqyBCU9CA2</t>
  </si>
  <si>
    <t>5sE4Yqji6nO193vOJEyE5nVk3V33</t>
  </si>
  <si>
    <t>6oemLSFIHIXnYk5OuejKZ9Uhljr1</t>
  </si>
  <si>
    <t>7a7IFD1YT3aDXB8CbnSJjn1oLRC2</t>
  </si>
  <si>
    <t>9SWyLZDRS8gsuAD2Vpf6duBiFib2</t>
  </si>
  <si>
    <t>9W5BSNKuZHOcTrxqXGkRQxxsPVy1</t>
  </si>
  <si>
    <t>aPffmw8BEWfof4TYloC3SpL9sQk1</t>
  </si>
  <si>
    <t>cJZVjbWzjsRfePMeXT5aflRnGhh1</t>
  </si>
  <si>
    <t>CUjiGQdfaVZfGM3lWBBjUCvnb322</t>
  </si>
  <si>
    <t>F2KCfcDlmPU6IsvVOPR2BgMVHc32</t>
  </si>
  <si>
    <t>H4dZvxTdViejefqREn5k066JVZG3</t>
  </si>
  <si>
    <t>IdkhcCbPRDSnLW6Juk3sG0F0lD42</t>
  </si>
  <si>
    <t>mllx5XNkVQYSftNQZEGryjSljEE2</t>
  </si>
  <si>
    <t>n91xZFUxmVPxNFZPd6hBai7YMWy1</t>
  </si>
  <si>
    <t>OnQxi2VoMPY5EZMXmvNCgpa39dS2</t>
  </si>
  <si>
    <t>QqbZqyGX2YgKhSKXG0G7AK8gwMH2</t>
  </si>
  <si>
    <t>qQOofzMtn7QEFNkor41r51PeJ982</t>
  </si>
  <si>
    <t>u1AtqHtS8gftNRbNcp1wppH7VYm2</t>
  </si>
  <si>
    <t>UFn0tvcbhgPvJSgEiNtnlwyA9Ch2</t>
  </si>
  <si>
    <t>uhi7fcC1CEM9Gzc26fagCyLA1662</t>
  </si>
  <si>
    <t>UKNfn5IJCyfnfDCkXIjuP0imo733</t>
  </si>
  <si>
    <t>VCf2q8JFBSOaJbmxiMqirI5xKFn2</t>
  </si>
  <si>
    <t>VqZRaTUPgjWCYY8wjw5nHFqlP4V2</t>
  </si>
  <si>
    <t>W8BGw5bKR3fOoqYynHo0kID39br2</t>
  </si>
  <si>
    <t>xa6aPj95upgmyNzJ94TF45Va83y1</t>
  </si>
  <si>
    <t>xGf42w3UBFa817jAA3vYGVMhqZo2</t>
  </si>
  <si>
    <t>XLsE0jeCBabIhsFYi4ZuVSWCKI33</t>
  </si>
  <si>
    <t>yzMNw9t0vSgiYvaAETWMJXNRTyC3</t>
  </si>
  <si>
    <t>ZMmGOOwucYXE3nEMRlAJSj4Cg8c2</t>
  </si>
  <si>
    <t>ZXrDvZ4pF1Qf92cFwnN35PE8grL2</t>
  </si>
  <si>
    <t>DRIFTLESS AREA OBSERVATIONS</t>
  </si>
  <si>
    <t>UTC Correction</t>
  </si>
  <si>
    <t>qbzkZpguzpsD5hlpqX1x</t>
  </si>
  <si>
    <t>https://firebasestorage.googleapis.com/v0/b/wiseh2odev-83a9b.appspot.com/o/PhotoCapture%2F2021-03-25%2012:17:22.212826.jpg-0.jpg?alt=media&amp;token=ed22ba68-ab6f-42a9-bc46-c769245a82d5</t>
  </si>
  <si>
    <t xml:space="preserve">1.5 inch gentle rain ended 24 hours ago. </t>
  </si>
  <si>
    <t>dmOJWGFa91NMTIaZl4WX</t>
  </si>
  <si>
    <t>https://firebasestorage.googleapis.com/v0/b/wiseh2odev-83a9b.appspot.com/o/PhotoCapture%2F2021-03-26%2014:35:15.087480.jpg-0.jpg?alt=media&amp;token=64b764c4-f659-45fd-9f5e-2148b7f32692</t>
  </si>
  <si>
    <t>Garvin Brook 2017 HI below Farmers Park</t>
  </si>
  <si>
    <t>NZdtWnQ0c0lC5UkmHRGe</t>
  </si>
  <si>
    <t>Gsvz8ec4unxy2E4VxI37</t>
  </si>
  <si>
    <t>https://firebasestorage.googleapis.com/v0/b/wiseh2odev-83a9b.appspot.com/o/PhotoCapture%2F2021-03-28%2012:02:24.981542.jpg-0.jpg?alt=media&amp;token=8102c9ce-284f-4737-8a54-835fa948b8c2</t>
  </si>
  <si>
    <t>D0beFRq3Y4KEt2EDwnt2</t>
  </si>
  <si>
    <t>https://firebasestorage.googleapis.com/v0/b/wiseh2odev-83a9b.appspot.com/o/PhotoCapture%2F2021-03-28%2016:15:18.001960.jpg-0.jpg?alt=media&amp;token=f5542444-9476-4261-8f78-cbac5cac0cef</t>
  </si>
  <si>
    <t xml:space="preserve">Trimbelle R. at the park beliw Trimbelle. Clear, 42, rain yesterday. </t>
  </si>
  <si>
    <t>omXXDuCDL9co0gq6JLHL</t>
  </si>
  <si>
    <t>PZayREpekgLuhbRT9vHL</t>
  </si>
  <si>
    <t>SF Kinnickinnic River @ 900th St</t>
  </si>
  <si>
    <t>d2c6V2mg7KQP7WU2Ucig</t>
  </si>
  <si>
    <t>https://firebasestorage.googleapis.com/v0/b/wiseh2odev-83a9b.appspot.com/o/PhotoCapture%2F2021-04-03%2010:31:06.871034.jpg-0.jpg?alt=media&amp;token=f76d8f75-e467-4477-8fcf-7bf0fa03bd7f</t>
  </si>
  <si>
    <t>clear</t>
  </si>
  <si>
    <t>uuUDZM4Nfl1HqjhgBQGe</t>
  </si>
  <si>
    <t>https://firebasestorage.googleapis.com/v0/b/wiseh2odev-83a9b.appspot.com/o/PhotoCapture%2F2021-04-03%2011:12:29.814181.jpg-0.jpg?alt=media&amp;token=95c158cb-2201-4edf-a646-22c47ae70ffc</t>
  </si>
  <si>
    <t>4wQka7IRiRVUvrG1JBUR</t>
  </si>
  <si>
    <t>https://firebasestorage.googleapis.com/v0/b/wiseh2odev-83a9b.appspot.com/o/PhotoCapture%2F2021-04-05%2010%3A36%3A26.726859.jpg-0.jpg?alt=media&amp;token=8a80bcbc-3ae9-4041-8cef-e0e079b18691</t>
  </si>
  <si>
    <t>FdjrUe457F3UVD83L5y4</t>
  </si>
  <si>
    <t>bvZJkvNkELZaeCCJpLxL</t>
  </si>
  <si>
    <t>2XtcKwhsnyYxAfgqZWkg</t>
  </si>
  <si>
    <t>https://firebasestorage.googleapis.com/v0/b/wiseh2odev-83a9b.appspot.com/o/PhotoCapture%2F2021-04-07%2009:30:56.436846.jpg-0.jpg?alt=media&amp;token=a258cce9-194a-4311-87d3-320bc92cc277</t>
  </si>
  <si>
    <t xml:space="preserve">Thunderstorms last night. partly cloudy now, air temp 59 degrees f. </t>
  </si>
  <si>
    <t>ib3CtvDHYoEjoN3RDYuv</t>
  </si>
  <si>
    <t>https://firebasestorage.googleapis.com/v0/b/wiseh2odev-83a9b.appspot.com/o/PhotoCapture%2F2021-04-07%2014:20:47.999900.jpg-0.jpg?alt=media&amp;token=0fe5c4a4-a46f-4efd-a217-52ff9b519508</t>
  </si>
  <si>
    <t>eexIjGl2d0ErvaqnN3es</t>
  </si>
  <si>
    <t>Vivq9c6IfEKjOuRIjIc6</t>
  </si>
  <si>
    <t>lms1oFrtMGbB7A9v1haO</t>
  </si>
  <si>
    <t>wldM2eDB5j8BotsdiqN1</t>
  </si>
  <si>
    <t>wmDmOdSM8vRwmUScZkAW</t>
  </si>
  <si>
    <t>PzMV1eyJlB8q5Wv2PMXO</t>
  </si>
  <si>
    <t>IFEQvSqTFONXPHOJiZYJ</t>
  </si>
  <si>
    <t>s1BxIoYT3fmCb3GYNjZv</t>
  </si>
  <si>
    <t>Pipe/Drain Outflow,None</t>
  </si>
  <si>
    <t>21nFhfi8h8JXZzHqOCfe</t>
  </si>
  <si>
    <t>spring creek. wabasha county.  needs HIP badly.  could be nice stream</t>
  </si>
  <si>
    <t>UkA6oGzaQuD0MVZ9fDLe</t>
  </si>
  <si>
    <t>uq2Nt0sivNRBKhtxrpyT</t>
  </si>
  <si>
    <t>https://firebasestorage.googleapis.com/v0/b/wiseh2odev-83a9b.appspot.com/o/PhotoCapture%2F2021-04-16%2013%3A01%3A33.954746.jpg-0.jpg?alt=media&amp;token=cb142e3f-3e96-4ee8-8449-8ad353371027</t>
  </si>
  <si>
    <t>bk6R8dh7a1nnswYeTvMg</t>
  </si>
  <si>
    <t>https://firebasestorage.googleapis.com/v0/b/wiseh2odev-83a9b.appspot.com/o/PhotoCapture%2F2021-04-16%2014:12:28.851579.jpg-0.jpg?alt=media&amp;token=9b0125eb-db38-41fa-a888-808a6fec64a9</t>
  </si>
  <si>
    <t>0 ppb phosphate
2 ppb nitrate
0 ppb nitrite</t>
  </si>
  <si>
    <t>7CLHccgcjdAFIX02u6pW</t>
  </si>
  <si>
    <t>mfRpw8VFrTkEBeNY3wAp</t>
  </si>
  <si>
    <t>N3SOzsOOJwl5elYHw9dX</t>
  </si>
  <si>
    <t>Browns Creek Golf Course</t>
  </si>
  <si>
    <t>g2HhWvH2yvWOTNIarqJ0</t>
  </si>
  <si>
    <t>https://firebasestorage.googleapis.com/v0/b/wiseh2odev-83a9b.appspot.com/o/PhotoCapture%2F2021-04-17%2009:19:29.493183.jpg-0.jpg?alt=media&amp;token=d3a25f20-b5d2-4055-ba64-249aef5d9603</t>
  </si>
  <si>
    <t>fAOTkeNpySyp61GAJwdv</t>
  </si>
  <si>
    <t>b1scME7AtIAJkmhSSb5h</t>
  </si>
  <si>
    <t>UeLYzF57DMAUvbZ9ilCA</t>
  </si>
  <si>
    <t>https://firebasestorage.googleapis.com/v0/b/wiseh2odev-83a9b.appspot.com/o/PhotoCapture%2F2021-04-17%2015:58:33.588122.jpg-0.jpg?alt=media&amp;token=61dcbbbe-32de-4ffb-926b-59b4a8bbaf60</t>
  </si>
  <si>
    <t>Browns Creek Trail</t>
  </si>
  <si>
    <t>9iLXgGaHw2rdPlAIOFz9</t>
  </si>
  <si>
    <t>West Indian - upstream from TU improvement just into State Forest land</t>
  </si>
  <si>
    <t>i5SRmRICJ0cGVDv6tN3T</t>
  </si>
  <si>
    <t xml:space="preserve">Canfield is low and very clear. anglers say not many rises.  tough fishing. beautiful stream. </t>
  </si>
  <si>
    <t>kt5FaR47CpvhUIiDvTBT</t>
  </si>
  <si>
    <t>VnC61XMOCVA0abCfQNhl</t>
  </si>
  <si>
    <t>0K9EQlnYk7zJ9rbVhiSv</t>
  </si>
  <si>
    <t>https://firebasestorage.googleapis.com/v0/b/wiseh2odev-83a9b.appspot.com/o/PhotoCapture%2F2021-04-19%2018%3A45%3A29.624569.jpg-0.jpg?alt=media&amp;token=eb63e8b0-86a0-4011-8c88-7ccfe070bca6</t>
  </si>
  <si>
    <t>Z2aTRchfpH77zu8vyDoM</t>
  </si>
  <si>
    <t>my sink!</t>
  </si>
  <si>
    <t>cARTZEdcdO8diTVYjZY4</t>
  </si>
  <si>
    <t>9UAkcELowpPsVCQS6Mbu</t>
  </si>
  <si>
    <t>AiejGWvwrkq788yTLIXp</t>
  </si>
  <si>
    <t>3l3BtN10HaGg8OBO3i2Y</t>
  </si>
  <si>
    <t>a6Cha9ZPbaUSarEHdNmp</t>
  </si>
  <si>
    <t>mTfOEfPLosKDAHFko8MA</t>
  </si>
  <si>
    <t>0jmSbEdRzsvMUubyROjn</t>
  </si>
  <si>
    <t>M4qcVbrlwicY4DY2OhId</t>
  </si>
  <si>
    <t>5iL0Raq21pcIpjrbZ8f0</t>
  </si>
  <si>
    <t>uUpmT4cCQ5fk3dZlCoGL</t>
  </si>
  <si>
    <t>https://firebasestorage.googleapis.com/v0/b/wiseh2odev-83a9b.appspot.com/o/PhotoCapture%2F2021-04-22%2013%3A57%3A52.671363.jpg-0.jpg?alt=media&amp;token=e674fb8e-9445-4da4-a4c1-fd40fe32d978</t>
  </si>
  <si>
    <t>trout in classroom.  released 150 fry rainbow trout.</t>
  </si>
  <si>
    <t>e3hJ08rTDEwohZvMByTz</t>
  </si>
  <si>
    <t>wMbD0Q2D5ohWnws0TLD7</t>
  </si>
  <si>
    <t>https://firebasestorage.googleapis.com/v0/b/wiseh2odev-83a9b.appspot.com/o/PhotoCapture%2F2021-04-23%2009%3A44%3A16.409923.jpg-0.jpg?alt=media&amp;token=f3e8ee8b-2b88-41e4-b862-83df4fd39f88</t>
  </si>
  <si>
    <t>fEPsvMnVMXE6G90udBQS</t>
  </si>
  <si>
    <t>https://firebasestorage.googleapis.com/v0/b/wiseh2odev-83a9b.appspot.com/o/PhotoCapture%2F2021-04-24%2009%3A46%3A56.901098.jpg-0.jpg?alt=media&amp;token=15fc4f1a-03f2-42df-8240-967030e96396https://firebasestorage.googleapis.com/v0/b/wiseh2odev-83a9b.appspot.com/o/PhotoCapture%2F2021-04-24%2009%3A46%3A56.901098.jpg-1.jpg?alt=media&amp;token=45e8f73c-205d-49c9-8209-ee1d4e06ee00</t>
  </si>
  <si>
    <t>lower mill creek</t>
  </si>
  <si>
    <t>qzBRZmnTXcQKAYKTnqGF</t>
  </si>
  <si>
    <t>https://firebasestorage.googleapis.com/v0/b/wiseh2odev-83a9b.appspot.com/o/PhotoCapture%2F2021-04-24%2010%3A26%3A14.246872.jpg-0.jpg?alt=media&amp;token=75511fd2-764f-4cc5-acc4-614afd794033https://firebasestorage.googleapis.com/v0/b/wiseh2odev-83a9b.appspot.com/o/PhotoCapture%2F2021-04-24%2010%3A26%3A14.246872.jpg-1.jpg?alt=media&amp;token=4bc5428b-71e0-4e11-948a-fbd1706bb8dd</t>
  </si>
  <si>
    <t>mill creek hwy 52 bridge</t>
  </si>
  <si>
    <t>HUTv5DcdECB7vHt41Szq</t>
  </si>
  <si>
    <t>ANDjoKWtDiFqbLu3jWEf</t>
  </si>
  <si>
    <t>Bank Erosion,Pipe/Drain Outflow</t>
  </si>
  <si>
    <t xml:space="preserve">Duschee Creek; no disturbances, vegetation growing along sides of creek </t>
  </si>
  <si>
    <t>XBb1QazKZZpJVE4K1PqA</t>
  </si>
  <si>
    <t>YXv7jvjqGIHBxGfRzCPE</t>
  </si>
  <si>
    <t>oyBIwD5HnZAtBLTlPkCs</t>
  </si>
  <si>
    <t>K18MtduZAUz3IaYjqnyZ</t>
  </si>
  <si>
    <t>zGoyFDcnDc2MuL9Ihy29</t>
  </si>
  <si>
    <t>eohtf5TMh17uy1IlK7wi</t>
  </si>
  <si>
    <t>air temp 53, cloudy</t>
  </si>
  <si>
    <t>h4S8ndCxyEaKnqWsp4kC</t>
  </si>
  <si>
    <t>5Q2WYXnFJ8OKNyPJBOmY</t>
  </si>
  <si>
    <t>d5it0xaKN1YtUHV4rFWM</t>
  </si>
  <si>
    <t xml:space="preserve">green scum on bottom; beadhead flies hang up nearly every cast. </t>
  </si>
  <si>
    <t>OizvQMsiqTWMVwQueu6M</t>
  </si>
  <si>
    <t>https://firebasestorage.googleapis.com/v0/b/wiseh2odev-83a9b.appspot.com/o/PhotoCapture%2F2021-04-26%2015%3A46%3A25.965042.jpg-0.jpg?alt=media&amp;token=abfd72ae-3a52-48ce-9060-7bec15ba724bhttps://firebasestorage.googleapis.com/v0/b/wiseh2odev-83a9b.appspot.com/o/PhotoCapture%2F2021-04-26%2015%3A46%3A25.965042.jpg-1.jpg?alt=media&amp;token=cd2fecf3-5260-4f0f-b56c-5c714932428a</t>
  </si>
  <si>
    <t>Mill Creek just upstream from US 52</t>
  </si>
  <si>
    <t>ELqUaFzW3qTtPaEjrWEr</t>
  </si>
  <si>
    <t>https://firebasestorage.googleapis.com/v0/b/wiseh2odev-83a9b.appspot.com/o/PhotoCapture%2F2021-04-27%2014:03:59.504891.jpg-0.jpg?alt=media&amp;token=4f97cbc8-b4ea-47d9-99c7-125c5f8dde4c</t>
  </si>
  <si>
    <t>Glen Park pavilion. Measurements at Swinging Gate.</t>
  </si>
  <si>
    <t>nJ7BIUBrP1o7BowqvzvY</t>
  </si>
  <si>
    <t>OIJLnCZY5hOBQDi62mq0</t>
  </si>
  <si>
    <t>bF3JYVUHeCyHgDxV10sz</t>
  </si>
  <si>
    <t>xHCsFoNae5d9WZE5J6mW</t>
  </si>
  <si>
    <t>TLg1dprxEmZsOTQVk6PT</t>
  </si>
  <si>
    <t>https://firebasestorage.googleapis.com/v0/b/wiseh2odev-83a9b.appspot.com/o/PhotoCapture%2F2021-04-30%2009:58:29.157262.jpg-0.jpg?alt=media&amp;token=e01adffa-0268-4876-b1d4-e49cccb5e42d</t>
  </si>
  <si>
    <t>Trout in Classroom, Stillwater High School..</t>
  </si>
  <si>
    <t>dl2jw7gYroAYBEK3FUtC</t>
  </si>
  <si>
    <t>xhWE5F6qKt2nrKXJS6G2</t>
  </si>
  <si>
    <t>h1pFf3yMU9B0VHAgbrDI</t>
  </si>
  <si>
    <t>pOjS9sNqsfCDFYUT5U7h</t>
  </si>
  <si>
    <t>zY76UYr4Fup6HY5iSylh</t>
  </si>
  <si>
    <t>TnC33Z7sqNuTsyAiU2dP</t>
  </si>
  <si>
    <t>AVikuHfmtjvvfRoCOw0i</t>
  </si>
  <si>
    <t>4DlxPq1DSpxgct8laz0a</t>
  </si>
  <si>
    <t>xRWx16fpEURkzhDcCVPU</t>
  </si>
  <si>
    <t>Trout Brook</t>
  </si>
  <si>
    <t>Recorded by Matt Lowe.</t>
  </si>
  <si>
    <t>OKZsK6uhAXIvD1I6FV8G</t>
  </si>
  <si>
    <t>1BFY5pWopJz8Fvn6wynl</t>
  </si>
  <si>
    <t>SH93eU6k6l67DKxarioG</t>
  </si>
  <si>
    <t>Big rain Sunday night, now Wednesday afternoon. Good stain</t>
  </si>
  <si>
    <t>ow2XjLF36EUhbzaMS4yu</t>
  </si>
  <si>
    <t>IQjeVFpTigo8G8ckfXk6</t>
  </si>
  <si>
    <t>https://firebasestorage.googleapis.com/v0/b/wiseh2odev-83a9b.appspot.com/o/PhotoCapture%2F2021-05-07%2010:15:43.842820.jpg-0.jpg?alt=media&amp;token=59de50cb-df35-4555-b8a7-7e77390cad4d</t>
  </si>
  <si>
    <t>sad pen</t>
  </si>
  <si>
    <t>zfIMzLCLsF8qGcpR6NTC</t>
  </si>
  <si>
    <t>PsKSo9o9pHDcC4ejENFb</t>
  </si>
  <si>
    <t>https://firebasestorage.googleapis.com/v0/b/wiseh2odev-83a9b.appspot.com/o/PhotoCapture%2F2021-05-07%2012:03:40.624567.jpg-0.jpg?alt=media&amp;token=14740db9-c98b-4686-8090-2bf337bf5d93</t>
  </si>
  <si>
    <t>wt01mCVsvhvhqQeEN7r3</t>
  </si>
  <si>
    <t>https://firebasestorage.googleapis.com/v0/b/wiseh2odev-83a9b.appspot.com/o/PhotoCapture%2F2021-05-08%2016:33:49.720213.jpg-0.jpg?alt=media&amp;token=f692f4e4-8475-4011-8d7e-6d547d0d8e9e</t>
  </si>
  <si>
    <t xml:space="preserve">Cloudy, river low and clear after long dry spell. Air temp 58 degrees. </t>
  </si>
  <si>
    <t>koPpTAQM8TNPGQG4SI6b</t>
  </si>
  <si>
    <t>https://firebasestorage.googleapis.com/v0/b/wiseh2odev-83a9b.appspot.com/o/PhotoCapture%2F2021-05-09%2012:46:05.452100.jpg-0.jpg?alt=media&amp;token=4d2e59f2-a589-4651-ba24-6d95c182a97b</t>
  </si>
  <si>
    <t xml:space="preserve">strange results yesterday leading me to try again today  </t>
  </si>
  <si>
    <t>OxE1YPvqce0DyeWO2yLv</t>
  </si>
  <si>
    <t>tb2Y5UrQ8exVLXtjtiea</t>
  </si>
  <si>
    <t>https://firebasestorage.googleapis.com/v0/b/wiseh2odev-83a9b.appspot.com/o/PhotoCapture%2F2021-05-12%2011:19:06.415752.jpg-0.jpg?alt=media&amp;token=87b644d8-79d7-4e2a-8dc8-280c74f56d12</t>
  </si>
  <si>
    <t>fantaric group!  released 250 rainbos.</t>
  </si>
  <si>
    <t>jzf51IMeITSwXI8gP2QJ</t>
  </si>
  <si>
    <t>1pyz5v0lIBQPn73daeDu</t>
  </si>
  <si>
    <t>dqVwyeO2a3Rw4sBkjU5p</t>
  </si>
  <si>
    <t>x6HRnQuqN0CNzoy5Bd87</t>
  </si>
  <si>
    <t xml:space="preserve">51 degrees. looks good. a lot of trees in water near me. </t>
  </si>
  <si>
    <t>MfQz9Ebz3CL25Ljco6GE</t>
  </si>
  <si>
    <t xml:space="preserve">jgesa just released 84 fish </t>
  </si>
  <si>
    <t>Bg67majxcV70a8vbOC3y</t>
  </si>
  <si>
    <t>t8EJwmzhpW6oPIlk0fIF</t>
  </si>
  <si>
    <t>https://firebasestorage.googleapis.com/v0/b/wiseh2odev-83a9b.appspot.com/o/PhotoCapture%2F2021-05-14%2012%3A23%3A19.732830.jpg-0.jpg?alt=media&amp;token=69fd0b70-6261-49a1-bf76-df20a810282dhttps://firebasestorage.googleapis.com/v0/b/wiseh2odev-83a9b.appspot.com/o/PhotoCapture%2F2021-05-14%2012%3A23%3A19.732830.jpg-1.jpg?alt=media&amp;token=625d0dc0-5192-4f96-92e6-5ebec1c1ef56</t>
  </si>
  <si>
    <t>2ULZOJBZqaQG9OWNjqAG</t>
  </si>
  <si>
    <t>https://firebasestorage.googleapis.com/v0/b/wiseh2odev-83a9b.appspot.com/o/PhotoCapture%2F2021-05-14%2012%3A42%3A55.069717.jpg-0.jpg?alt=media&amp;token=706e2abb-f941-4ff7-8d71-6e4d6658355ehttps://firebasestorage.googleapis.com/v0/b/wiseh2odev-83a9b.appspot.com/o/PhotoCapture%2F2021-05-14%2012%3A42%3A55.069717.jpg-1.jpg?alt=media&amp;token=83cf871a-146f-4c6b-b446-83b00be30724</t>
  </si>
  <si>
    <t>QsJ3uvTiWILO8zyZ6hGP</t>
  </si>
  <si>
    <t>aVzeTouktAMu64Afots4</t>
  </si>
  <si>
    <t>RwUORcJwbEVRMiEW6Xb3</t>
  </si>
  <si>
    <t>HBvmVrkIwvoKe3a6rJkB</t>
  </si>
  <si>
    <t>hTnEBHySllD2Flze0nnA</t>
  </si>
  <si>
    <t>u8d1F1AR1YOa2ifgXGoC</t>
  </si>
  <si>
    <t>Io1EvnkOBMHdxkG4XqtC</t>
  </si>
  <si>
    <t>DG5UTVOPEwYf6egIfoUQ</t>
  </si>
  <si>
    <t>B9vcLFtNJLyUVzc0RhYU</t>
  </si>
  <si>
    <t>aa2nXiToRILJjyCHIERJ</t>
  </si>
  <si>
    <t>YPgrzqFIXXPrYjvzGZPh</t>
  </si>
  <si>
    <t>https://firebasestorage.googleapis.com/v0/b/wiseh2odev-83a9b.appspot.com/o/PhotoCapture%2F2021-05-16%2012%3A41%3A28.968129.jpg-0.jpg?alt=media&amp;token=564fbd78-c7ac-4cfd-b0d7-f0ad3ce71e64</t>
  </si>
  <si>
    <t>QJKk4HIpqUGIXmrcUuLh</t>
  </si>
  <si>
    <t>xgqzXl0LHcFylVSRudjy</t>
  </si>
  <si>
    <t>3iHur750zmLvYcPsJc3G</t>
  </si>
  <si>
    <t>Bank Erosion,Trash,Pipe/Drain Outflow</t>
  </si>
  <si>
    <t>53.8 degree</t>
  </si>
  <si>
    <t>erGc9A7guP6zdK3rAFVk</t>
  </si>
  <si>
    <t>nKwWMq8dLY9MK4lzJHgL</t>
  </si>
  <si>
    <t>67DFkP8V2dj0mERY8Hiu</t>
  </si>
  <si>
    <t>J9Q2Jj7ImzIlXrrETlwP</t>
  </si>
  <si>
    <t>S9w9gg7IMX3cktKDZukJ</t>
  </si>
  <si>
    <t>HkmyzqgnT9ClhDTtzKcR</t>
  </si>
  <si>
    <t>xL4dFkukbffvaBlAToVq</t>
  </si>
  <si>
    <t>https://firebasestorage.googleapis.com/v0/b/wiseh2odev-83a9b.appspot.com/o/PhotoCapture%2F2021-05-20%2011:39:51.040780.jpg-0.jpg?alt=media&amp;token=33b7571d-5574-4197-8a47-18dacf24bbcc</t>
  </si>
  <si>
    <t>pFIfyuwST8FWol438sQH</t>
  </si>
  <si>
    <t>2fgRhzuW3amS2aWoQVAC</t>
  </si>
  <si>
    <t xml:space="preserve">this is East Beaver in Beaver Creek Valley State Park.  very clear and 49 degrees.  </t>
  </si>
  <si>
    <t>nzoZHwFITiOB542VPG3q</t>
  </si>
  <si>
    <t>aGnEA5s6riWogw62OXxb</t>
  </si>
  <si>
    <t xml:space="preserve">This is WEST Beaver.  55 degrees.  very nice.  can’t wait to fish it.  </t>
  </si>
  <si>
    <t>xXuHxe0Ns8aXTDex84wR</t>
  </si>
  <si>
    <t>https://firebasestorage.googleapis.com/v0/b/wiseh2odev-83a9b.appspot.com/o/PhotoCapture%2F2021-05-22%2010:20:09.682912.jpg-0.jpg?alt=media&amp;token=29bd965d-bf18-492c-b89e-f23afb7c66a8</t>
  </si>
  <si>
    <t>Descending hydrograph at 160 cfs (USGS station). Secchi transparency = 15 cm. 1” of rain in Hudson on May 20-21.</t>
  </si>
  <si>
    <t>PStuUHWMnYrQ78BxgUO0</t>
  </si>
  <si>
    <t>vsgOccczIwMVGpjpfBo9</t>
  </si>
  <si>
    <t>fs97GFxZXLCyf8i9mGE1</t>
  </si>
  <si>
    <t>https://firebasestorage.googleapis.com/v0/b/wiseh2odev-83a9b.appspot.com/o/PhotoCapture%2F2021-05-24%2010%3A00%3A46.598834.jpg-0.jpg?alt=media&amp;token=31a47cce-3582-4f21-9274-35279cb7d8f8</t>
  </si>
  <si>
    <t>p8hQ2FycJuaYqXlD7zcM</t>
  </si>
  <si>
    <t>NiggfftGYNYvyjj2K79T</t>
  </si>
  <si>
    <t>j0LYLmusgIDDGqtVKytv</t>
  </si>
  <si>
    <t>ZTRXMAKH7HK0VZuFcu32</t>
  </si>
  <si>
    <t>gqt6d504oXBqwKRTxGDk</t>
  </si>
  <si>
    <t>zltyicR5I0sXfEYkGTBk</t>
  </si>
  <si>
    <t>zaArE6ztxPSbrzSPXiAm</t>
  </si>
  <si>
    <t>Y1bJpgvcYN4WHH3io7ol</t>
  </si>
  <si>
    <t>https://firebasestorage.googleapis.com/v0/b/wiseh2odev-83a9b.appspot.com/o/PhotoCapture%2F2021-05-26%2008:58:25.642656.jpg-0.jpg?alt=media&amp;token=40beda17-c25b-4408-8495-4069f22f1462</t>
  </si>
  <si>
    <t>L7k7jiKkuQmdbUerZzUl</t>
  </si>
  <si>
    <t>West Indian creek just upstream from TU improvement project.  lots of recent rainfall</t>
  </si>
  <si>
    <t>JeXfbyLtwF4V9Na14jrP</t>
  </si>
  <si>
    <t>https://firebasestorage.googleapis.com/v0/b/wiseh2odev-83a9b.appspot.com/o/PhotoCapture%2F2021-05-28%2014%3A48%3A37.040715.jpg-0.jpg?alt=media&amp;token=2deca499-b50d-4d1e-b0bf-022bc302f01ehttps://firebasestorage.googleapis.com/v0/b/wiseh2odev-83a9b.appspot.com/o/PhotoCapture%2F2021-05-28%2014%3A48%3A37.040715.jpg-1.jpg?alt=media&amp;token=e8cf8845-9171-48df-bf80-64bac475b24e</t>
  </si>
  <si>
    <t>szuRx6VDEjc0iiQG33Hr</t>
  </si>
  <si>
    <t>2TDFlLdHDvE5pKIlTJ0U</t>
  </si>
  <si>
    <t>https://firebasestorage.googleapis.com/v0/b/wiseh2odev-83a9b.appspot.com/o/PhotoCapture%2F2021-05-28%2016:47:41.562807.jpg-0.jpg?alt=media&amp;token=84c979bb-0f15-4ff3-a95c-1a24507566fa</t>
  </si>
  <si>
    <t xml:space="preserve">1.5 inch all-day rain yesterday and this morning early. River is murky and high, not flooding. </t>
  </si>
  <si>
    <t>MwmZi5Ob32PjS5lVYRhK</t>
  </si>
  <si>
    <t>dJPWPTz6QmM8zhFHp5M3</t>
  </si>
  <si>
    <t>cOjYd1BJIDBasSCH18Ar</t>
  </si>
  <si>
    <t>https://firebasestorage.googleapis.com/v0/b/wiseh2odev-83a9b.appspot.com/o/PhotoCapture%2F2021-06-01%2012%3A41%3A54.972485.jpg-0.jpg?alt=media&amp;token=a193c11b-dfee-4509-8ac1-3e349ec42cc5</t>
  </si>
  <si>
    <t>TRM0N8cil7SMG5bTArO6</t>
  </si>
  <si>
    <t>Secchi Tube &gt; 60 cm</t>
  </si>
  <si>
    <t>Flalb57uVMAh8ctKIDZz</t>
  </si>
  <si>
    <t>unable to get camera to work through H20. will send what I've got, figure out what's going on and come back another day.</t>
  </si>
  <si>
    <t>odCsfs79SW6hIgAQTq1c</t>
  </si>
  <si>
    <t>https://firebasestorage.googleapis.com/v0/b/wiseh2odev-83a9b.appspot.com/o/PhotoCapture%2F2021-06-07%2012%3A02%3A40.466742.jpg-0.jpg?alt=media&amp;token=5f6c0183-17d2-41b1-9350-da08c32dd3d1</t>
  </si>
  <si>
    <t>stream clear to cobble at 2 feet. good watercress content.</t>
  </si>
  <si>
    <t>90dB8flZEDzg3kAktUoO</t>
  </si>
  <si>
    <t>93° out today.  very hot</t>
  </si>
  <si>
    <t>0QF7oMsc9c2xMmOlqH40</t>
  </si>
  <si>
    <t>https://firebasestorage.googleapis.com/v0/b/wiseh2odev-83a9b.appspot.com/o/PhotoCapture%2F2021-06-07%2016%3A11%3A52.807283.jpg-0.jpg?alt=media&amp;token=705cd1aa-2a4e-465f-b4f4-05264f9048b7</t>
  </si>
  <si>
    <t>93° out.  very hot</t>
  </si>
  <si>
    <t>337kV0xRiHm1IUkfoUAg</t>
  </si>
  <si>
    <t>https://firebasestorage.googleapis.com/v0/b/wiseh2odev-83a9b.appspot.com/o/PhotoCapture%2F2021-06-07%2016%3A32%3A48.259069.jpg-0.jpg?alt=media&amp;token=650d44c6-e8ec-4304-bbd6-65518a3f3f2b</t>
  </si>
  <si>
    <t>93° very hot</t>
  </si>
  <si>
    <t>NXx3hqQD4wdjauCeFqcv</t>
  </si>
  <si>
    <t>https://firebasestorage.googleapis.com/v0/b/wiseh2odev-83a9b.appspot.com/o/PhotoCapture%2F2021-06-07%2016%3A32%3A48.259069.jpg-0.jpg?alt=media&amp;token=650d44c6-e8ec-4304-bbd6-65518a3f3f2bhttps://firebasestorage.googleapis.com/v0/b/wiseh2odev-83a9b.appspot.com/o/PhotoCapture%2F2021-06-07%2016%3A36%3A14.060636.jpg-0.jpg?alt=media&amp;token=d03179ba-e2fd-4d52-ac86-0fb25580413f</t>
  </si>
  <si>
    <t>MOWUKtKbUHPExtv2I0qn</t>
  </si>
  <si>
    <t>Very hot days.  Water not crystal clear</t>
  </si>
  <si>
    <t>v0PQaFX8io9YRxsElAiw</t>
  </si>
  <si>
    <t>https://firebasestorage.googleapis.com/v0/b/wiseh2odev-83a9b.appspot.com/o/PhotoCapture%2F2021-06-08%2010%3A29%3A56.955090.jpg-0.jpg?alt=media&amp;token=2c286c06-0338-433b-b4df-c6556bcd71a4</t>
  </si>
  <si>
    <t>yfzZMK9c08BVGV6Td179</t>
  </si>
  <si>
    <t>wX2rpm0gJxcNfXsuj7Uy</t>
  </si>
  <si>
    <t>Zw0KrNjWcTVi9gIL5gHj</t>
  </si>
  <si>
    <t>UWha6j8zXzcXZO45HQnE</t>
  </si>
  <si>
    <t>2xeq4ESFUXj7vQDkv5G2</t>
  </si>
  <si>
    <t>bhawZd1ayHMT4Sh5Fquh</t>
  </si>
  <si>
    <t>https://firebasestorage.googleapis.com/v0/b/wiseh2odev-83a9b.appspot.com/o/PhotoCapture%2F2021-06-15%2018:49:19.902143.jpg-0.jpg?alt=media&amp;token=210bafb1-f405-4112-9cbc-c2f15d297d1d</t>
  </si>
  <si>
    <t>Conducting Streamkeeper training</t>
  </si>
  <si>
    <t>NBmaSM5IKObvSk2Jz9f6</t>
  </si>
  <si>
    <t>RZZ1l33dRwCr1DMoN8w7</t>
  </si>
  <si>
    <t>https://firebasestorage.googleapis.com/v0/b/wiseh2odev-83a9b.appspot.com/o/PhotoCapture%2F2021-06-15%2020:16:29.166977.jpg-0.jpg?alt=media&amp;token=2dfaf2d0-3a12-4516-bc4b-8de703359d02</t>
  </si>
  <si>
    <t xml:space="preserve">very dry for past few weeks. water level low. </t>
  </si>
  <si>
    <t>oZZDSYP3osKg6TiPNgoC</t>
  </si>
  <si>
    <t>West Indian just upstream of  TU improvement project.  little to no rain last  2 weeks</t>
  </si>
  <si>
    <t>tpdkR7qraaJgDzYxQRN3</t>
  </si>
  <si>
    <t>SFTR0XabXLcReFqtIhjE</t>
  </si>
  <si>
    <t>5NuhrFdTzVvW2tEEw2EH</t>
  </si>
  <si>
    <t>f2GgALXe8o6draovxy8Q</t>
  </si>
  <si>
    <t>QdGgSoorICtXYDQ6F0ib</t>
  </si>
  <si>
    <t>0.45” of rain in River Falls on 6/20/21. Secchi tube transparency &gt; 60 cm. 125 cfs at USGS gage.</t>
  </si>
  <si>
    <t>zJPYLYamXZyqjkJxWU42</t>
  </si>
  <si>
    <t>water temp 62F. Drought broken by 1-1.5 inches of rain yesterday.</t>
  </si>
  <si>
    <t>EsUt1eZe1TgYu8x0koMd</t>
  </si>
  <si>
    <t xml:space="preserve">temperature 48 degrees.  weather is much cooler.  stream is very dirty from rains two days ago. also much higher.  </t>
  </si>
  <si>
    <t>BubL3kxRKtpGlvYKgKDi</t>
  </si>
  <si>
    <t>3inch rainfall two days earlier.  water still murky, looks like bankfull event.</t>
  </si>
  <si>
    <t>yQL6ECfBpf0NNwZ2H4dK</t>
  </si>
  <si>
    <t>DbFNuJQtRQOO3AUmdkki</t>
  </si>
  <si>
    <t>NbTkXVZZq5b15Nrbm66t</t>
  </si>
  <si>
    <t>S4Z4Xq8Cq5D85abrbpCE</t>
  </si>
  <si>
    <t>EcnhaC0xhZy3yMCMHmGj</t>
  </si>
  <si>
    <t>https://firebasestorage.googleapis.com/v0/b/wiseh2odev-83a9b.appspot.com/o/PhotoCapture%2F2021-06-25%2009%3A41%3A48.658575.jpg-0.jpg?alt=media&amp;token=c5946345-4ad2-479d-9af5-5bd0bf84bdab</t>
  </si>
  <si>
    <t>965d1jO1AVS6Q3Dh0EsG</t>
  </si>
  <si>
    <t>5p6Yj3WkoXDiyT8Gc6S4</t>
  </si>
  <si>
    <t>https://firebasestorage.googleapis.com/v0/b/wiseh2odev-83a9b.appspot.com/o/PhotoCapture%2F2021-06-26%2015%3A51%3A20.187343.jpg-0.jpg?alt=media&amp;token=b1429121-2d69-4dc5-96d8-8026728d2ef2</t>
  </si>
  <si>
    <t>SMMVUNhyvVJ1kPaCVmZ9</t>
  </si>
  <si>
    <t>Regional Rainfall,Local Thunderstorm</t>
  </si>
  <si>
    <t>1IEcomPau01cwmNLE473</t>
  </si>
  <si>
    <t>VNgIJKRB0E2B3TAAHKlo</t>
  </si>
  <si>
    <t>CKu8Uqhq6rA2hvTY31U6</t>
  </si>
  <si>
    <t>orn9CDcbjgZS6fj4nqD0</t>
  </si>
  <si>
    <t xml:space="preserve">T-tube = &gt; 60 cm
Light rain yesterday (6/27), but little change in hydrograph </t>
  </si>
  <si>
    <t>dzsf6EhUko0k3iv8kCjN</t>
  </si>
  <si>
    <t>https://firebasestorage.googleapis.com/v0/b/wiseh2odev-83a9b.appspot.com/o/PhotoCapture%2F2021-06-29%2015%3A10%3A03.087161.jpg-0.jpg?alt=media&amp;token=025c66a3-5601-4277-a4b9-efaa04b3a739</t>
  </si>
  <si>
    <t>d62dyHZXuGDPEvNqRlQ9</t>
  </si>
  <si>
    <t>3qEPLYPLH5q3OOn9MHJL</t>
  </si>
  <si>
    <t>HJWvMJ4TErZkvmV3rlSh</t>
  </si>
  <si>
    <t>0B1SekZeMSs0MMt3rQba</t>
  </si>
  <si>
    <t>rDZ00Ey6jbBhKzAVp0mg</t>
  </si>
  <si>
    <t>szptSpTqliaGUXfd3Wp7</t>
  </si>
  <si>
    <t>etbRVs92Q2vygPW2jUIF</t>
  </si>
  <si>
    <t>lS36wfMFVmDMQ2wJSGa1</t>
  </si>
  <si>
    <t>2021-07-07 16:30:56.357875.jpg-0</t>
  </si>
  <si>
    <t>OMbGNsyqEnebyFmZIuCv</t>
  </si>
  <si>
    <t>8uPsX73SzRduAwn9MZGT</t>
  </si>
  <si>
    <t>dASD5yZnoVzKWjRPuoBG</t>
  </si>
  <si>
    <t>2021-07-09 17:13:11.625608.jpg-0</t>
  </si>
  <si>
    <t>G1lt4kNCdGgn7D3mmSXO</t>
  </si>
  <si>
    <t>Secch Tube transparency &gt; 60 cm. No recent rainfall.</t>
  </si>
  <si>
    <t>t24CrHPO7yYzj8wEJ3AR</t>
  </si>
  <si>
    <t>0UQz3jag5yWQQ41jP4d1</t>
  </si>
  <si>
    <t>bMCVZqg4v6NsZSWAskFO</t>
  </si>
  <si>
    <t>moved testing location approximately 0.5 mi upstream for safer access to river.
app is not working!  photos distorted. cannot read 5-in-1 or 2-in-1 tests!</t>
  </si>
  <si>
    <t>LBqeb3afzP10ITLItYKO</t>
  </si>
  <si>
    <t>https://firebasestorage.googleapis.com/v0/b/wiseh2odev-83a9b.appspot.com/o/PhotoCapture%2F2021-07-13%2017:25:15.193321.jpg-0.jpg?alt=media&amp;token=10af0309-ae13-43e5-951b-51bb88743dcf</t>
  </si>
  <si>
    <t>Observation taken above culvert</t>
  </si>
  <si>
    <t>144PSRniVcf50pt1MpoK</t>
  </si>
  <si>
    <t>Observation taken below culvert</t>
  </si>
  <si>
    <t>Downloaded</t>
  </si>
  <si>
    <t>Col</t>
  </si>
  <si>
    <t>Data Col</t>
  </si>
  <si>
    <t>Flag to filter observations from a zone or region</t>
  </si>
  <si>
    <t>Calc Col L</t>
  </si>
  <si>
    <t>Calc Col R</t>
  </si>
  <si>
    <t>Calc Col AE</t>
  </si>
  <si>
    <t>Calc Col AP</t>
  </si>
  <si>
    <t>Calc Col AR</t>
  </si>
  <si>
    <t>Calc Col AS</t>
  </si>
  <si>
    <t>Calc Col AY</t>
  </si>
  <si>
    <t>Calc Col X</t>
  </si>
  <si>
    <t>Calc Col Z</t>
  </si>
  <si>
    <t>Calc Col AB</t>
  </si>
  <si>
    <t>Production Headers</t>
  </si>
  <si>
    <t>-</t>
  </si>
  <si>
    <t>Y</t>
  </si>
  <si>
    <t>Calc Cell b2</t>
  </si>
  <si>
    <t xml:space="preserve">Zonal.  </t>
  </si>
  <si>
    <t>Year Load</t>
  </si>
  <si>
    <t>Calc Col C</t>
  </si>
  <si>
    <t>Zonal</t>
  </si>
  <si>
    <t>Hay Creek, 320th St</t>
  </si>
  <si>
    <t>Hay Creek, 325th St</t>
  </si>
  <si>
    <t>Vermillion River, South Branch</t>
  </si>
  <si>
    <t>Raw Data Table</t>
  </si>
  <si>
    <t>Current Conditions</t>
  </si>
  <si>
    <t>% Total Obs.</t>
  </si>
  <si>
    <t>Cum. %</t>
  </si>
  <si>
    <t>r5sO3h7bL7STNrd2WKxA3k9pKv03</t>
  </si>
  <si>
    <t>wQCfNJcgkMPI4m2bsIm33lNVmqH2</t>
  </si>
  <si>
    <t>40+</t>
  </si>
  <si>
    <t>Contributing Individuals</t>
  </si>
  <si>
    <t>Year observation was made (UTC Date)</t>
  </si>
  <si>
    <t>2H0usn5mHdGQvNcym3Mu</t>
  </si>
  <si>
    <t>4HHOk1Lcuzd9XpFyk8nF</t>
  </si>
  <si>
    <t>4Yz4P32Ad0e2Zd8oCQH4</t>
  </si>
  <si>
    <t>4wtscgDYWlwJ8I3rci3m</t>
  </si>
  <si>
    <t>2021-07-22 09:57:13.646586.jpg-0</t>
  </si>
  <si>
    <t>7GQbLe4NSGd4fm9tvmbk</t>
  </si>
  <si>
    <t>2021-08-07 14:53:34.300382.jpg-0</t>
  </si>
  <si>
    <t>water remains clear, good flow after rain, no noticeable disturbance.</t>
  </si>
  <si>
    <t>8MWmkd4yKD19Ai4yvmpK</t>
  </si>
  <si>
    <t>West Indian at upstream end of TU improvement project</t>
  </si>
  <si>
    <t>8Ti28aQ16inDeKAzLdGj</t>
  </si>
  <si>
    <t>9x7fCQr8qGYj3Ji7cIcz</t>
  </si>
  <si>
    <t>Secchi Tube &gt; 60 cm.</t>
  </si>
  <si>
    <t>AIngly7ZHDbENWEzmmD8</t>
  </si>
  <si>
    <t>C8xWmvbV62U7wEbkW2v4</t>
  </si>
  <si>
    <t>EXVuWZpcmGgGCseik4K4</t>
  </si>
  <si>
    <t xml:space="preserve">upper Mill Creek south of Rochester </t>
  </si>
  <si>
    <t>Fe1o41YfFOzRXqZM5Odu</t>
  </si>
  <si>
    <t>IB0qSnK74AfBmf2ypr1c</t>
  </si>
  <si>
    <t>2021-08-09 13:43:29.424307.jpg-0</t>
  </si>
  <si>
    <t>IjLyDnvce5cQPF8ojA1W</t>
  </si>
  <si>
    <t>2021-08-09 14:04:34.381017.jpg-0</t>
  </si>
  <si>
    <t>Ix4itPYz6BDk5NIf9Pto</t>
  </si>
  <si>
    <t>JeVsXLQRVvPmh8vvHpkW</t>
  </si>
  <si>
    <t>Kr1NFHe9AcYOQVHcwkmj</t>
  </si>
  <si>
    <t>MM2zvuHRb5aeOv1pJAVs</t>
  </si>
  <si>
    <t>Sample from N Fork Valley Creek @ Belwin Conservancy &amp; tested in Stillwater, MN.</t>
  </si>
  <si>
    <t>OyBAOBBJl0sdSfqVYk6q</t>
  </si>
  <si>
    <t>2021-07-22 10:34:21.262988.jpg-0</t>
  </si>
  <si>
    <t>UxXfVkEqfynvVR7eAIS3</t>
  </si>
  <si>
    <t>VEedB3G0tOtSzbeAjw4C</t>
  </si>
  <si>
    <t>Decent rain about an hour earlier.  probably about 1.5-2.0 inches.  Garvin Brook, Winona County MInnesota downstream from Farmers Park.</t>
  </si>
  <si>
    <t>YkuoSzZxKxW7bOVCRYIb</t>
  </si>
  <si>
    <t>ZgKki4GAoJYc3aPcdsk3</t>
  </si>
  <si>
    <t>bFFs9ZX5FVd6pvLT3Aa8</t>
  </si>
  <si>
    <t>2021-08-09 14:35:36.108009.jpg-02021-08-09 14:35:36.108009.jpg-1</t>
  </si>
  <si>
    <t>bO4es55GaOvuANUAeCOn</t>
  </si>
  <si>
    <t xml:space="preserve">it looks really good.  I forgot thermometer.  </t>
  </si>
  <si>
    <t>bTt4fNMEXGB9n37F1ART</t>
  </si>
  <si>
    <t>2021-08-12 11:30:30.986579.jpg-0</t>
  </si>
  <si>
    <t>c0JHtnjhV5KdiAKXeF41</t>
  </si>
  <si>
    <t>csgwd2QLCkwKgLfuj4ol</t>
  </si>
  <si>
    <t>tried 5-in-1 several times.  FINALLY got an image.</t>
  </si>
  <si>
    <t>dCu7bGXArZXSEQ1s95YL</t>
  </si>
  <si>
    <t>2021-08-12 12:10:35.424065.jpg-0</t>
  </si>
  <si>
    <t>dmLhNfo3YZ3R8wbyaFjF</t>
  </si>
  <si>
    <t>dwU7nabrgeraxsH638kE</t>
  </si>
  <si>
    <t>eOcdUostbVJ84F8CVsSk</t>
  </si>
  <si>
    <t>Secchi Tube transparency &gt; 60 cm.</t>
  </si>
  <si>
    <t>ekksvDlN5dwG8vxQH5Eg</t>
  </si>
  <si>
    <t>gQ15sW9WPZlafWp5t4Uz</t>
  </si>
  <si>
    <t>Secchi Tube = &gt; 60 cm
Flow = 120 cfs</t>
  </si>
  <si>
    <t>gYEh3Dp8yLkskk9KPy6H</t>
  </si>
  <si>
    <t>2021-07-22 11:24:21.543705.jpg-0</t>
  </si>
  <si>
    <t>icpXPUFc6Pcl70sJ9jO4</t>
  </si>
  <si>
    <t>jTCrP4YsTRCsfLRXKY5a</t>
  </si>
  <si>
    <t>2021-08-09 15:26:59.647578.jpg-0</t>
  </si>
  <si>
    <t>lKZv01g346ORLDZVhj9z</t>
  </si>
  <si>
    <t>2021-08-07 16:39:47.276565.jpg-0</t>
  </si>
  <si>
    <t>Gilmore Creek in Winona, Minnesota after about a 2 inch rainfall a couple hours earlier.</t>
  </si>
  <si>
    <t>loLAJy3BEgvr93UyNW9U</t>
  </si>
  <si>
    <t>2021-07-19 14:47:55.151139.jpg-0</t>
  </si>
  <si>
    <t>mzKbcKt4CpC0WCOzdiq1</t>
  </si>
  <si>
    <t xml:space="preserve">water temp was 55F. putting in comments because the slider on my app doesn’t work </t>
  </si>
  <si>
    <t>nDiDCxxKq7B1C0l8d2UA</t>
  </si>
  <si>
    <t xml:space="preserve">49.3 degrees.  looks great.  rain must have been much less.  </t>
  </si>
  <si>
    <t>nF9p4cYdJEvTWslLFaDB</t>
  </si>
  <si>
    <t>scZ890IfdtlsHSktcxhk</t>
  </si>
  <si>
    <t>ukam8vFQEfPq1RZojjGh</t>
  </si>
  <si>
    <t>Lower Beaver Creek in the Whitewater.</t>
  </si>
  <si>
    <t>v1vfkCZJdWXD9j9XRehj</t>
  </si>
  <si>
    <t>vATcU16R4AxEgF5q5fw4</t>
  </si>
  <si>
    <t>vYPRbVnU1eGIVjXy8n6R</t>
  </si>
  <si>
    <t>2021-07-23 07:45:38.626225.jpg-0</t>
  </si>
  <si>
    <t>vzdz9tEQ2mOrHg1v9RHE</t>
  </si>
  <si>
    <t>yMTNCfyufxCQiAEZux52</t>
  </si>
  <si>
    <t>water temp 64</t>
  </si>
  <si>
    <t>ybclvMuYAKB8Wa7SgPmP</t>
  </si>
  <si>
    <t>z1LxoVVmVorpQu9nFoIX</t>
  </si>
  <si>
    <t>zydvBjert3tamG5t9CV0</t>
  </si>
  <si>
    <t>2021-08-04 08:24:06.305734.jpg-0</t>
  </si>
  <si>
    <t>water temp 61 degrees which seems high for Vesta Creek.  it’s a small brookie stream but I’ll bet it cools higher up. clarity using transparency tube is 100 +</t>
  </si>
  <si>
    <t>0kIUc2lZjVyP6MFOX8eE</t>
  </si>
  <si>
    <t>0qWkkMGV3Iknm0uyiko9</t>
  </si>
  <si>
    <t>j4FVV2Cn5RPcgsXQGA6cEZ6g0Vk2</t>
  </si>
  <si>
    <t>2021-09-06 16:52:43.080700.jpg-0</t>
  </si>
  <si>
    <t>2HvbWkkMhFdvituBdpdk</t>
  </si>
  <si>
    <t>2021-08-28 10:57:38.526375.jpg-0</t>
  </si>
  <si>
    <t>3SmB7Sf4LeZwjPwAaghc</t>
  </si>
  <si>
    <t>2021-09-18 12:33:01.721919.jpg-0</t>
  </si>
  <si>
    <t>Camp Creek   Preston. 54 degrees.  clarity &gt;100 cm</t>
  </si>
  <si>
    <t>3YAWjn0496gujMVIIeRs</t>
  </si>
  <si>
    <t>2021-09-13 13:44:50.810111.jpg-0</t>
  </si>
  <si>
    <t>4lsw92qB4WGMOOGUWT0m</t>
  </si>
  <si>
    <t>2021-09-18 13:51:26.319495.jpg-0</t>
  </si>
  <si>
    <t>SB Root River above Canfield.  60 degrees.  clarity &gt;100 cm</t>
  </si>
  <si>
    <t>5PPKU8aCjxLkdIIFq09N</t>
  </si>
  <si>
    <t>5pbCqNXp79aVOO111lu5</t>
  </si>
  <si>
    <t>2021-08-28 10:42:51.118355.jpg-0</t>
  </si>
  <si>
    <t xml:space="preserve">Canfield high and muddy.  T tube read 3 cm. Horrible.  oddly quite warm. 61 degrees.  I can hear thunder. more rain coming??  I’m out of here. 15 minutes from car. </t>
  </si>
  <si>
    <t>6RqJmwo5kHo6kpuHvjxB</t>
  </si>
  <si>
    <t>2021-09-18 08:58:22.900742.jpg-0</t>
  </si>
  <si>
    <t xml:space="preserve">water temp cool 48 degrees
clarity 95 cm. Lost Creek near Chatfield. looks good. just a bit stained </t>
  </si>
  <si>
    <t>6mSc6f2g84MDpeFp7gBe</t>
  </si>
  <si>
    <t>2021-08-20 08:12:58.870410.jpg-0</t>
  </si>
  <si>
    <t>stream in super shape. clarity 100&gt;cm. temperature 51 F</t>
  </si>
  <si>
    <t>7riVsQaLyqmWXzRjYS3p</t>
  </si>
  <si>
    <t>2021-09-18 09:34:58.843524.jpg-0</t>
  </si>
  <si>
    <t xml:space="preserve">Rice Creek. 49 degrees.  clarity. 100 cm
</t>
  </si>
  <si>
    <t>7yFrqkTAjKlH31EyLcpL</t>
  </si>
  <si>
    <t>2021-09-19 11:13:27.466257.jpg-0</t>
  </si>
  <si>
    <t>at the lower end of some recent reclamation work. Also, there is a spring just upstream from the water chemistry site.</t>
  </si>
  <si>
    <t>9qs2sVYVxl1l1QshydVt</t>
  </si>
  <si>
    <t>2021-09-22 10:58:52.497395.jpg-0</t>
  </si>
  <si>
    <t>53 degrees. East Indian
transparency tube 72cm</t>
  </si>
  <si>
    <t>CYFcGfuahpWUzd1IqR0i</t>
  </si>
  <si>
    <t>2021-09-23 14:13:34.476139.jpg-0</t>
  </si>
  <si>
    <t xml:space="preserve">  it looks gorgeous
temperature 51
clarity: &gt;100 cm</t>
  </si>
  <si>
    <t>DVLgBHaX1vJtYHXufWiQ</t>
  </si>
  <si>
    <t>sample taken from Valley Creek at Stagecoach Trail near Afton, MN.  Testing done in Stillwater, MN.</t>
  </si>
  <si>
    <t>ET4Oulfw7kOG0nR2SY84</t>
  </si>
  <si>
    <t>EuL2b5TO2D6kYNMaeiuw</t>
  </si>
  <si>
    <t>2021-08-15 14:20:44.670542.jpg-0</t>
  </si>
  <si>
    <t>F2BLxv2autW2bWf1eHWx</t>
  </si>
  <si>
    <t>2021-08-28 09:37:33.959251.jpg-0</t>
  </si>
  <si>
    <t>heavy rains in days before.  can see where stream had been higher.  temp is 55.2F. clarity is  5cm with T tube</t>
  </si>
  <si>
    <t>HmF3W9iq0CkOdLtD10oS</t>
  </si>
  <si>
    <t xml:space="preserve">West Indian - upstream end of TU project </t>
  </si>
  <si>
    <t>IAxByDY9lXHd5aDMrAS7</t>
  </si>
  <si>
    <t>2021-09-22 16:22:22.581921.jpg-0</t>
  </si>
  <si>
    <t>cold spring brook.  53 degrees. transparently tube. &gt;100cm</t>
  </si>
  <si>
    <t>IJDrzvQ9oldTtafGBgXm</t>
  </si>
  <si>
    <t>2021-09-03 09:56:51.351494.jpg-0</t>
  </si>
  <si>
    <t>about 1" rain overnight but pretty clear still</t>
  </si>
  <si>
    <t>JkcqXoqEZ05SFfpR35G8</t>
  </si>
  <si>
    <t>2021-09-07 14:07:45.939039.jpg-0</t>
  </si>
  <si>
    <t>JxaJPVvtVb2LVPOkn47l</t>
  </si>
  <si>
    <t>2021-09-13 16:40:29.762331.jpg-0</t>
  </si>
  <si>
    <t xml:space="preserve">partly cloudy, 73 degrees. </t>
  </si>
  <si>
    <t>LSPnkgCJzFWaL019ogvv</t>
  </si>
  <si>
    <t>LWpx1jV8nXi7ZMl9cSjo</t>
  </si>
  <si>
    <t>LqhsbH4yluGkkpXlXSDf</t>
  </si>
  <si>
    <t>LwzLnWPjUFPZt511TsOT</t>
  </si>
  <si>
    <t>LxfW9oERfRzByHG9G9tI</t>
  </si>
  <si>
    <t>M5NystNaMgm1u6qSyAiu</t>
  </si>
  <si>
    <t>2021-09-18 15:01:27.455602.jpg-0</t>
  </si>
  <si>
    <t>53 degrees
clarity. &gt;100 cm
looks great.  sounds great</t>
  </si>
  <si>
    <t>NEHKlgJ5HTQJRemHqyPu</t>
  </si>
  <si>
    <t>2021-09-13 15:34:44.081381.jpg-0</t>
  </si>
  <si>
    <t>NpV7TyBAmdog0RALjSxb</t>
  </si>
  <si>
    <t>2021-09-18 14:14:57.374736.jpg-0</t>
  </si>
  <si>
    <t>58 degrees.  Forestville Creek 
clarity&gt;100 cm.  looks very good</t>
  </si>
  <si>
    <t>O6ndV9RsHCi2BNto1CKo</t>
  </si>
  <si>
    <t>OhFZ0cRxGhpE1YU6UC39</t>
  </si>
  <si>
    <t>2021-09-19 15:02:15.082056.jpg-0</t>
  </si>
  <si>
    <t>On1Bg04qlZ5VYjPFpcGf</t>
  </si>
  <si>
    <t>2021-09-13 14:58:19.924437.jpg-0</t>
  </si>
  <si>
    <t xml:space="preserve">partly cloudy, 76 degrees. </t>
  </si>
  <si>
    <t>PwVWPa8aWx5tIwy7BALK</t>
  </si>
  <si>
    <t>2021-09-18 12:36:23.179531.jpg-0</t>
  </si>
  <si>
    <t>Qjk1DdAdlOuIzoCatBDj</t>
  </si>
  <si>
    <t xml:space="preserve">West Indian just upstream of TU improvement project - EH </t>
  </si>
  <si>
    <t>RZmFnL1kM1RSjdpTOHfS</t>
  </si>
  <si>
    <t>Qp6x6PYXsZQ3OPVMlJMHnfsxzog2</t>
  </si>
  <si>
    <t xml:space="preserve">Forestville Creek before an expected storm. </t>
  </si>
  <si>
    <t>Rwc2kS8tkSqJucDC5FrB</t>
  </si>
  <si>
    <t>T4pIKm5Gisya5LiInzlb</t>
  </si>
  <si>
    <t>2021-08-18 15:30:28.776328.jpg-0</t>
  </si>
  <si>
    <t xml:space="preserve">river quite low and clear after very dry summer. many bank rocks exposed. </t>
  </si>
  <si>
    <t>TMyOa53Sb6nSsVcy9LwE</t>
  </si>
  <si>
    <t>TPrWAFmbswuphvEVjHLr</t>
  </si>
  <si>
    <t>Dv23oexwEeU2dZrYmoNxokC2lBQ2</t>
  </si>
  <si>
    <t>2021-09-10 08:34:01.706026.jpg-0</t>
  </si>
  <si>
    <t>UKZhgqnBa5NtRpWyhQtb</t>
  </si>
  <si>
    <t>2021-09-02 11:49:43.101598.jpg-0</t>
  </si>
  <si>
    <t>drain tile emptying into upper Middle Branch whitewater/Crow Spring</t>
  </si>
  <si>
    <t>UQcPuzfOy7PeQ0yDRxpQ</t>
  </si>
  <si>
    <t>2021-08-23 13:02:04.003236.jpg-0</t>
  </si>
  <si>
    <t>UghHtbtAoKzoLGfLannr</t>
  </si>
  <si>
    <t xml:space="preserve">West Indian creek just upstream from TU improvement project- EH </t>
  </si>
  <si>
    <t>Ukc1Fs07gYqSih8Te1Ya</t>
  </si>
  <si>
    <t>XNAjgJ1eiH7NAihnEIa9</t>
  </si>
  <si>
    <t>YHXnwpHzlLaNTvtGnDoR</t>
  </si>
  <si>
    <t>YnCZZXAShP99tJU23QU4</t>
  </si>
  <si>
    <t>2021-09-23 14:40:47.641270.jpg-0</t>
  </si>
  <si>
    <t>58 degrees
clarity &gt;100 cm</t>
  </si>
  <si>
    <t>ZaAGKK5PZjVZYwC6auwY</t>
  </si>
  <si>
    <t>ae5tNa4znyMj3PWzaUQL</t>
  </si>
  <si>
    <t>2021-09-21 09:26:26.834105.jpg-0</t>
  </si>
  <si>
    <t>cFux1bVTqTDV2Wk0do2a</t>
  </si>
  <si>
    <t>2021-09-13 13:54:32.447603.jpg-0</t>
  </si>
  <si>
    <t>sunny 76 degrees</t>
  </si>
  <si>
    <t>cpQOKiS0Z9wSrG9wpZvC</t>
  </si>
  <si>
    <t>d6H837lh8H0PdRMv9lSF</t>
  </si>
  <si>
    <t>2021-09-23 15:46:06.110634.jpg-0</t>
  </si>
  <si>
    <t xml:space="preserve">
creek looks great
53 degrees in Coolridge Creek
clarity&gt;100 cm</t>
  </si>
  <si>
    <t>drnNAzzAqAMqZydCrdHE</t>
  </si>
  <si>
    <t>2021-08-24 17:45:37.775315.jpg-0</t>
  </si>
  <si>
    <t xml:space="preserve">significant runoff event after storm on 8/24/21
</t>
  </si>
  <si>
    <t>dvru7hOG4tcyuN2HSZul</t>
  </si>
  <si>
    <t>2021-08-27 12:56:34.514218.jpg-0</t>
  </si>
  <si>
    <t>fVGiMDT5AZ3dx1mGOgAm</t>
  </si>
  <si>
    <t>gGO8cHflKkaXidiP8mT6</t>
  </si>
  <si>
    <t>2021-09-18 11:35:16.142162.jpg-0</t>
  </si>
  <si>
    <t>gTF1vAVcVRgN52dYIEXu</t>
  </si>
  <si>
    <t>2021-09-22 11:33:01.010962.jpg-0</t>
  </si>
  <si>
    <t>54 degrees in Snake Creek near Kellogg 
clarity 26 cm</t>
  </si>
  <si>
    <t>grjIpS1yyQxpDiKpuAmB</t>
  </si>
  <si>
    <t>2021-08-13 08:13:54.921988.jpg-0</t>
  </si>
  <si>
    <t>ijem2eGLdhQ9z4X36X8X</t>
  </si>
  <si>
    <t>Dn2W1Yjytgb3Z84Zvr69llQjrr63</t>
  </si>
  <si>
    <t>j07OmsUv5dHZPGON60Nw</t>
  </si>
  <si>
    <t>kVDzodGLPolGwamVnV15</t>
  </si>
  <si>
    <t>lBnHFqbTLplYovkXQzEb</t>
  </si>
  <si>
    <t>lF6yNp08UlR3FgwysRxT</t>
  </si>
  <si>
    <t>2021-09-18 10:55:54.513576.jpg-0</t>
  </si>
  <si>
    <t>mvJS4TLo8cxS0CnwzLyZ</t>
  </si>
  <si>
    <t>2021-09-19 14:22:46.755734.jpg-0</t>
  </si>
  <si>
    <t>n4wDvDz1qPrX8JNonFro</t>
  </si>
  <si>
    <t>nDzfh1F2Frfupb0vJ3Z4</t>
  </si>
  <si>
    <t>o0smZS5m3WwjRbiYQjqQ</t>
  </si>
  <si>
    <t>o0uFJ1uRLOuHF4oHvYeH</t>
  </si>
  <si>
    <t>2021-09-02 11:38:37.984806.jpg-0</t>
  </si>
  <si>
    <t>AMA with grassed riparian zone</t>
  </si>
  <si>
    <t>oPVAA54xImBpaOggLhrd</t>
  </si>
  <si>
    <t>paa4ydJhEqMwhIblzKmy</t>
  </si>
  <si>
    <t>2021-09-18 13:31:31.629665.jpg-0</t>
  </si>
  <si>
    <t xml:space="preserve">54 degrees.  clarity &gt;100 cm
looks great.  skeeters are fierce.  
</t>
  </si>
  <si>
    <t>sQQQnd62T4idu9dXYtO5</t>
  </si>
  <si>
    <t>sxoYAbag5uinNshcohB2</t>
  </si>
  <si>
    <t>water temperature 62F
air temperature 72F
clear light wind</t>
  </si>
  <si>
    <t>tJpQ9SJ4V9vDAobQMRpn</t>
  </si>
  <si>
    <t>tpDmFHOLdixihCFhc1uP</t>
  </si>
  <si>
    <t>uKKkz1rIP8py4yiGgwD9</t>
  </si>
  <si>
    <t>T-Tube = &gt; 60 cm
Unable to make 2n1 measurement. “Error processing image” with multiple attempts and 2 test strips.</t>
  </si>
  <si>
    <t>uKgdpd3VEXrFT6TfHuoG</t>
  </si>
  <si>
    <t>vNYtNavClaGvJmjkoVYf</t>
  </si>
  <si>
    <t>2021-08-20 11:01:12.216205.jpg-0</t>
  </si>
  <si>
    <t xml:space="preserve">Canfield looks great.  53 degrees.  100&gt; cm clarity. </t>
  </si>
  <si>
    <t>vkuMAB7SOwL4DvgDoDij</t>
  </si>
  <si>
    <t>2021-09-19 15:39:04.913044.jpg-0</t>
  </si>
  <si>
    <t>vpr9aaWDocDsRxfYWCbc</t>
  </si>
  <si>
    <t>Eau Galle River @ WI Hwy 29</t>
  </si>
  <si>
    <t>2021-09-13 13:04:16.721532.jpg-0</t>
  </si>
  <si>
    <t xml:space="preserve">Handy Andy Park. sunny, 76 degrees. </t>
  </si>
  <si>
    <t>whgGqOUyHMk7Jk4K9ZWL</t>
  </si>
  <si>
    <t>whrJo6sRJ7GCi30KZyGg</t>
  </si>
  <si>
    <t>2021-08-27 13:16:22.313543.jpg-0</t>
  </si>
  <si>
    <t>wj5yA1GkD8KcpqBap0AB</t>
  </si>
  <si>
    <t>water temp 54</t>
  </si>
  <si>
    <t>wn95d2drBu4rhpUrsFdh</t>
  </si>
  <si>
    <t>x2eEmNECx4CewRcri6MQ</t>
  </si>
  <si>
    <t>xzarjWIF9I46XlzjvwR3</t>
  </si>
  <si>
    <t>2021-09-10 10:34:46.716591.jpg-0</t>
  </si>
  <si>
    <t>xziCrv1KryiERvl09Fdj</t>
  </si>
  <si>
    <t>ybMY3Hl6KKypT25rqqUl</t>
  </si>
  <si>
    <t>zfIIYvckKBZ0PPILx87c</t>
  </si>
  <si>
    <t>2021-09-05 17:04:10.419393.jpg-0</t>
  </si>
  <si>
    <t>Observers</t>
  </si>
  <si>
    <t>cQZ8tGaV2kw4TdY7cknd</t>
  </si>
  <si>
    <t>C0n7zKyc9nOBzt888evj</t>
  </si>
  <si>
    <t>2021-10-07 12:00:56.094718.jpg-0</t>
  </si>
  <si>
    <t>DCmiwZFr2Mr9xB81sHKs</t>
  </si>
  <si>
    <t>2021-10-06 18:29:18.702571.jpg-0</t>
  </si>
  <si>
    <t>Zumbro fishing dock - south side</t>
  </si>
  <si>
    <t>jPg3IQyODH4HH25QfVLH</t>
  </si>
  <si>
    <t>lake Zumbro #1 - boat ramp south side</t>
  </si>
  <si>
    <t>wJN3J7g1JMbadpuVGwRC</t>
  </si>
  <si>
    <t>2021-10-04 13:08:47.407289.jpg-0</t>
  </si>
  <si>
    <t>qKm7lsTPv7GCW0PuCsEz</t>
  </si>
  <si>
    <t>kDpplceyhXWcGlnVKhzv</t>
  </si>
  <si>
    <t>T-Tube = &gt; 60 cm</t>
  </si>
  <si>
    <t>EnoBApSulDXnCB2Ww1AQ</t>
  </si>
  <si>
    <t>DYNwBMKacENUoODt1noe</t>
  </si>
  <si>
    <t>bg0Ap1q8GhxP5B1zMQtl</t>
  </si>
  <si>
    <t>2021-09-30 12:57:20.557674.jpg-0</t>
  </si>
  <si>
    <t>poFsKWnVXU6kPcrbCWqm</t>
  </si>
  <si>
    <t>2021-09-29 13:11:42.601766.jpg-0</t>
  </si>
  <si>
    <t>2gm6QQbkgLlqorhnJ9A0</t>
  </si>
  <si>
    <t>2021-09-29 13:01:05.333903.jpg-0</t>
  </si>
  <si>
    <t>JX3lGfsmgHMxlezoyj1u</t>
  </si>
  <si>
    <t>2021-09-28 18:37:48.179597.jpg-0</t>
  </si>
  <si>
    <t>3x8lazcUr5AWbKR3tg5B</t>
  </si>
  <si>
    <t>xHuGalztjua1cYdaOW9N</t>
  </si>
  <si>
    <t>EbkINwGSUlXGtui93WLa</t>
  </si>
  <si>
    <t>TRcQYtKMtpWr8XFdFyD3</t>
  </si>
  <si>
    <t>KsdoeEdpj4vQlhDq8J72</t>
  </si>
  <si>
    <t>soEQCHyNhIsDHBdBifpM</t>
  </si>
  <si>
    <t>water temp. 52 F</t>
  </si>
  <si>
    <t>fzJKQm3PmiagJlTWpXqz</t>
  </si>
  <si>
    <t>BTJ1sMpDB3gLzTpq31OA</t>
  </si>
  <si>
    <t>water temp. 54F</t>
  </si>
  <si>
    <t>88UoZOEZneRewk30Z2V0</t>
  </si>
  <si>
    <t>dPJWc9NSyvcS4bE9QNTGsbfuzL23</t>
  </si>
  <si>
    <t>2021-09-25 18:45:28.689848.jpg-0</t>
  </si>
  <si>
    <t>Purgatory Creek N Branch
Minnetonka</t>
  </si>
  <si>
    <t>ZqsKwDCFu5bCdfoEvIaK</t>
  </si>
  <si>
    <t>even caught a fish close.</t>
  </si>
  <si>
    <t>mLw3zHeQwHffzNUulhfa</t>
  </si>
  <si>
    <t>2021-09-23 17:56:25.409039.jpg-0</t>
  </si>
  <si>
    <t>Score Card Zn</t>
  </si>
  <si>
    <t>TU DARE Angler Science DB</t>
  </si>
  <si>
    <t>Scorecard</t>
  </si>
  <si>
    <t>Habitat</t>
  </si>
  <si>
    <t>Nutrients</t>
  </si>
  <si>
    <t>Temperature</t>
  </si>
  <si>
    <t>Poor</t>
  </si>
  <si>
    <t>Good</t>
  </si>
  <si>
    <t>Lethal</t>
  </si>
  <si>
    <t>Ave</t>
  </si>
  <si>
    <t>NO3</t>
  </si>
  <si>
    <t>Phos</t>
  </si>
  <si>
    <t>Stream Disturbances</t>
  </si>
  <si>
    <t>NO2</t>
  </si>
  <si>
    <t>OATbaqdU0utAQp0XSyzp</t>
  </si>
  <si>
    <t>2021-12-13 14:53:15.399186.jpg-0</t>
  </si>
  <si>
    <t>yvLwqXRfOoSrebdPAdEX</t>
  </si>
  <si>
    <t>Eq4jGCEF22L3ShxEFmJf</t>
  </si>
  <si>
    <t>hDmbPXsF6uUoTakLXzhu</t>
  </si>
  <si>
    <t>Ahdzthe10QYZWGmWSL0d</t>
  </si>
  <si>
    <t>dU479eSpCyVTUJTD4yrbsIrDJyi1</t>
  </si>
  <si>
    <t>2021-11-07 15:00:05.770424.jpg-0</t>
  </si>
  <si>
    <t>Lake Byllesby - boat ramp near dam</t>
  </si>
  <si>
    <t>ZrhjBEjsdlzQEjYO1MZd</t>
  </si>
  <si>
    <t>2021-11-07 14:46:37.482294.jpg-0</t>
  </si>
  <si>
    <t>Lake Byllesby public access park - left side</t>
  </si>
  <si>
    <t>MYysBof5nEFkzCkJmI7U</t>
  </si>
  <si>
    <t>2021-11-07 14:35:16.587341.jpg-0</t>
  </si>
  <si>
    <t>Lake Byllesby- public water access park right side</t>
  </si>
  <si>
    <t>geVuxHpO69oXlaLffoEf</t>
  </si>
  <si>
    <t>JZ4Vm8UJjFKuOLhZx9NK</t>
  </si>
  <si>
    <t>kIZh7fDKpvgcUMNDjJ9H</t>
  </si>
  <si>
    <t>dyAH91bbnsfOygQJ9Wez</t>
  </si>
  <si>
    <t>OdG1D6fMG5Z9TFrrAQQz</t>
  </si>
  <si>
    <t>2021-10-29 10:42:14.503862.jpg-0</t>
  </si>
  <si>
    <t xml:space="preserve">Canfield looks great but a lot of debris near mouth.  Transparency 100&gt;.  temperature 48 degrees.  </t>
  </si>
  <si>
    <t>qcUz3dtOFp6aipwK6lsQ</t>
  </si>
  <si>
    <t>2021-10-29 09:45:39.445390.jpg-0</t>
  </si>
  <si>
    <t xml:space="preserve">47 degrees. Little Jordan looks great.  transparency tube 100&gt;. </t>
  </si>
  <si>
    <t>6FkcwJtXEzKAB0iMaWMq</t>
  </si>
  <si>
    <t>2021-10-29 09:12:04.888075.jpg-0</t>
  </si>
  <si>
    <t>kedron looks great.  temperature 49 degrees.  transparency tube 100&gt;</t>
  </si>
  <si>
    <t>aXaN84m32SqkIMjxdJbz</t>
  </si>
  <si>
    <t>2021-10-27 14:19:18.684052.jpg-0</t>
  </si>
  <si>
    <t>vOt0Yj9RsdqaP6t3H1aW</t>
  </si>
  <si>
    <t>TrFTBYNHjbYmNar0tdEf</t>
  </si>
  <si>
    <t>fuFHdD1ez5ya3asehYKL</t>
  </si>
  <si>
    <t>jR64ra20TPi70pLKAR6G</t>
  </si>
  <si>
    <t>ILsUwIG0xUtDbJZbx6i6</t>
  </si>
  <si>
    <t>Y3KRginGrcYYpXeL91aH</t>
  </si>
  <si>
    <t>uxXRjNH5dcWbkVDxtTMH</t>
  </si>
  <si>
    <t>2021-10-15 10:34:08.178565.jpg-0</t>
  </si>
  <si>
    <t>First fall test. Water clarity excellent. Phosphorus level  higher than expected; harvest underway may be contributor.</t>
  </si>
  <si>
    <t>nOcSx7buS7m82FzEN4ap</t>
  </si>
  <si>
    <t>VIv2i8bQPnPoMBIq0jVj</t>
  </si>
  <si>
    <t>New Observers</t>
  </si>
  <si>
    <t>Active Observers</t>
  </si>
  <si>
    <t>User Stats</t>
  </si>
  <si>
    <t>Kiat-TU-Wish</t>
  </si>
  <si>
    <t>Twin Cities Trout Unlimited</t>
  </si>
  <si>
    <t>0-1</t>
  </si>
  <si>
    <t>2-5</t>
  </si>
  <si>
    <t>6-10</t>
  </si>
  <si>
    <t>11-15</t>
  </si>
  <si>
    <t>16-20</t>
  </si>
  <si>
    <t>21-25</t>
  </si>
  <si>
    <t>26-30</t>
  </si>
  <si>
    <t>31-35</t>
  </si>
  <si>
    <t>36-40+</t>
  </si>
  <si>
    <t>Hiawatha</t>
  </si>
  <si>
    <t>Wisconsin Clear Water</t>
  </si>
  <si>
    <t>Win Cres</t>
  </si>
  <si>
    <t>Coulee Region</t>
  </si>
  <si>
    <t>S. Wisconsin</t>
  </si>
  <si>
    <t>Iowa Driftless</t>
  </si>
  <si>
    <t>Harry &amp; Laura Nohr</t>
  </si>
  <si>
    <t>Aldo Leopold</t>
  </si>
  <si>
    <t>Spring Creeks</t>
  </si>
  <si>
    <t>North Bear</t>
  </si>
  <si>
    <t>Blackhawk</t>
  </si>
  <si>
    <t>Lee Wulff</t>
  </si>
  <si>
    <t>wq2zGko1TGFVfFaQA7mV</t>
  </si>
  <si>
    <t>4RdF4ursjGfyROZt4sOr</t>
  </si>
  <si>
    <t>7fp9eoNK1RTW0XUKFpn9oieJe1W2</t>
  </si>
  <si>
    <t>2022-09-20 13:08:20.559560.jpg-0</t>
  </si>
  <si>
    <t>4u9zfemZ3Qet0jQArUvW</t>
  </si>
  <si>
    <t>Secchi Tube = &gt; 100 cm</t>
  </si>
  <si>
    <t>vGWyoc3diAdAXfpAbUkY</t>
  </si>
  <si>
    <t>OfALN4YJetON0fTYytkHWJCziIw2</t>
  </si>
  <si>
    <t>a5362Dv4YcPTkf6Jrrn2</t>
  </si>
  <si>
    <t>FwnHpswOsYNcRV71x3C4</t>
  </si>
  <si>
    <t>ODZAZt42ngf0K8HRsQw4BSqkli42</t>
  </si>
  <si>
    <t>2022-09-17 12:19:46.504041.jpg-02022-09-17 12:19:46.504041.jpg-1</t>
  </si>
  <si>
    <t>AQj0KpYiac5SJYuSfl9d</t>
  </si>
  <si>
    <t>K0EjhOrGL4NGhPVbB1pKi320lLr2</t>
  </si>
  <si>
    <t>2022-09-17 12:00:28.114037.jpg-0</t>
  </si>
  <si>
    <t>vzFK8iyLsbnjMGCeNAtT</t>
  </si>
  <si>
    <t>TW6gQZka62J2slFans9u</t>
  </si>
  <si>
    <t>2022-09-17 09:38:20.353968.jpg-02022-09-17 09:38:20.353968.jpg-1</t>
  </si>
  <si>
    <t>9xfxVK1NjTnMblnhA59m</t>
  </si>
  <si>
    <t>fxoafW5DBYxEYyvkDIUx</t>
  </si>
  <si>
    <t>2022-09-15 16:04:00.842368.jpg-0</t>
  </si>
  <si>
    <t>No rain for 4 days.  Water is clear.</t>
  </si>
  <si>
    <t>BCwQ5SJjAC1uG70iaGm7</t>
  </si>
  <si>
    <t>C0lzNzqTroQvfx3Fn4dxIpHed982</t>
  </si>
  <si>
    <t>xkMNnYi9DlkM2TyR5ud8</t>
  </si>
  <si>
    <t>RkhpUIZ5Jp9xyCLJVe0b</t>
  </si>
  <si>
    <t>cDDSWf0Ap1J3jGtOzaIU</t>
  </si>
  <si>
    <t>GFBS1bSIACUVgSmsBlw0BYkB9i72</t>
  </si>
  <si>
    <t>co-collected with 5-1 and 2-1 at Clear Creek Park Allamakee Co Cons Board</t>
  </si>
  <si>
    <t>33A8r9Und2V7jENflgwl</t>
  </si>
  <si>
    <t>2022-09-14 18:13:03.974723.jpg-02022-09-14 18:13:03.974723.jpg-1</t>
  </si>
  <si>
    <t>b2IfKh0tXm8QSW6gQD35</t>
  </si>
  <si>
    <t>x3JAHpOrvcJYbd0SbklY</t>
  </si>
  <si>
    <t>2022-09-14 15:26:42.333057.jpg-02022-09-14 15:26:42.333057.jpg-1</t>
  </si>
  <si>
    <t>bbIdltw6Vf3CZlANv0ms</t>
  </si>
  <si>
    <t>VQ9bNtzttGcXOEuaXrEAEYLfT103</t>
  </si>
  <si>
    <t>2022-09-14 15:00:13.402410.jpg-0</t>
  </si>
  <si>
    <t>VCTU5XefZVFf5KHcnqju</t>
  </si>
  <si>
    <t>2022-09-14 13:34:25.288803.jpg-0</t>
  </si>
  <si>
    <t>20mCxuQeGxc43Uzfr9ZN</t>
  </si>
  <si>
    <t>dzm5kGoaEqWZ3aoqMW65dlUm5g92</t>
  </si>
  <si>
    <t>nHBs1jVsFJKVO61zzS50</t>
  </si>
  <si>
    <t>2022-09-09 11:58:26.772279.jpg-0</t>
  </si>
  <si>
    <t xml:space="preserve">63 degrees air temp, cloudy. </t>
  </si>
  <si>
    <t>KpAWEIg0n1tr3whywc3b</t>
  </si>
  <si>
    <t>ckSWXfzOhvHOZkpYOPt7</t>
  </si>
  <si>
    <t>2022-09-09 11:01:00.592202.jpg-0</t>
  </si>
  <si>
    <t>BTvJq81F60sGb8V2de7F</t>
  </si>
  <si>
    <t>2022-09-09 09:30:34.675826.jpg-0</t>
  </si>
  <si>
    <t>LaWtttBV6c1s4O1EDg1v</t>
  </si>
  <si>
    <t>sV8r8QoTpTQ81023RxB7QRB9qBu1</t>
  </si>
  <si>
    <t>Belle Creek</t>
  </si>
  <si>
    <t>ezRVhMwIfppyhSpXrBO8</t>
  </si>
  <si>
    <t>2022-09-07 13:58:23.400910.jpg-02022-09-07 13:58:23.400910.jpg-1</t>
  </si>
  <si>
    <t>jMhEkxeZ9lc49Xifu8Ow</t>
  </si>
  <si>
    <t>KoIabP8eTapabCXtANNQ</t>
  </si>
  <si>
    <t>2022-09-05 16:56:09.060370.jpg-0</t>
  </si>
  <si>
    <t xml:space="preserve">West Indian 2/3 up valley of TU improvement.  streamside vegetation recently mowed.  </t>
  </si>
  <si>
    <t>ykYumVyT8Ul6bUp2bYy4</t>
  </si>
  <si>
    <t>sPbTkTzcbybDduQDEAb0F4hUDHf2</t>
  </si>
  <si>
    <t>MOA Creek</t>
  </si>
  <si>
    <t>No rain for several days.</t>
  </si>
  <si>
    <t>4bF11NHK4KHpOJWAn46f</t>
  </si>
  <si>
    <t>2022-09-02 12:00:26.544945.jpg-0</t>
  </si>
  <si>
    <t>XzYfiXje23XGJ9P7n9lw</t>
  </si>
  <si>
    <t>MHFdkCj8zqhw6MGszjwZYx49QR22</t>
  </si>
  <si>
    <t>low steam but stable</t>
  </si>
  <si>
    <t>cgRMX44CLMrcV15jaRpi</t>
  </si>
  <si>
    <t>cOApaqWPj5QqrdhtrxST</t>
  </si>
  <si>
    <t>SYvaOLznGWUR0RLhaWmi</t>
  </si>
  <si>
    <t>FSJzNzvCsjXC466vONjT</t>
  </si>
  <si>
    <t>Bh17xfkYdOOIQvAmgpBbLMoI8Fl1</t>
  </si>
  <si>
    <t>KO4ajq2bB7t9oNYnV2tu</t>
  </si>
  <si>
    <t>pQ8Bm51yle9TXKEEvCuK</t>
  </si>
  <si>
    <t>IEVOLNEKvbTjBFFIUAn398Du5gu2</t>
  </si>
  <si>
    <t>2022-08-31 14:46:16.163555.jpg-0</t>
  </si>
  <si>
    <t>XZ36xxLu6GQvNLSc529I</t>
  </si>
  <si>
    <t>fRKB2Y7nlwjqHIfZ9xUT</t>
  </si>
  <si>
    <t>w2H6q2rfnpYnyiqXnRGCkXSAnLg1</t>
  </si>
  <si>
    <t>2022-08-31 13:30:23.309958.jpg-02022-08-31 13:30:23.309958.jpg-1</t>
  </si>
  <si>
    <t>OS2uSfzAZ4tZEIOvaKBD</t>
  </si>
  <si>
    <t>N5smKHqp3w95eVWP1YWS</t>
  </si>
  <si>
    <t>jAZtjti59oWDTa7NaxeDt9luw853</t>
  </si>
  <si>
    <t>2022-08-28 16:20:07.472646.jpg-0</t>
  </si>
  <si>
    <t>GBW9pBza13iUzqEafIqN</t>
  </si>
  <si>
    <t>aY6v23BkNQU7pJUXMNP8</t>
  </si>
  <si>
    <t>2022-08-28 15:03:08.478809.jpg-0</t>
  </si>
  <si>
    <t>Bank Erosion,Fish Kill</t>
  </si>
  <si>
    <t>One dead 9” Brown Trout found in a high water side channel at. the site.
Secchi Tube = 56 cm</t>
  </si>
  <si>
    <t>II2yPIFgbEZKjU3kJbvQ</t>
  </si>
  <si>
    <t>Hach Test: 6
Extech digital: tds 312; cond. 431; pH 8.5; salinity 228</t>
  </si>
  <si>
    <t>8RxTt38VdAFmgfzT1WdB</t>
  </si>
  <si>
    <t>where did my comment go? HACH TEST 6; Extech tds 247; pH 8; cannot recall other data. will photograph each reading here on</t>
  </si>
  <si>
    <t>4h0YD9LTlGQoLot9NoJV</t>
  </si>
  <si>
    <t>Secchi Tube = 18 cm</t>
  </si>
  <si>
    <t>E0iSfy4tQnCSruBhgf6h</t>
  </si>
  <si>
    <t>k4Pe0JRs4tfWvDzxrT35e1UE1ce2</t>
  </si>
  <si>
    <t>p6jmZyUtgMr7DRpxNT2J</t>
  </si>
  <si>
    <t>2022-08-25 07:52:17.830330.jpg-0</t>
  </si>
  <si>
    <t xml:space="preserve">West Indian creek - recently completed TU project </t>
  </si>
  <si>
    <t>Jla0At1DJAT6q1yeTj4X</t>
  </si>
  <si>
    <t>Litttle Cannon River</t>
  </si>
  <si>
    <t>wmt3nLEjO7c4L1zm7AS1</t>
  </si>
  <si>
    <t>2022-08-21 15:52:06.683432.jpg-0</t>
  </si>
  <si>
    <t>FH6WTsOKX9tkomkvqjsS</t>
  </si>
  <si>
    <t>2022-08-21 15:28:25.671872.jpg-0</t>
  </si>
  <si>
    <t>aro4A14ZQy6Z4iEEXtb8</t>
  </si>
  <si>
    <t>ryRu8CKmCPTgqE892JmT</t>
  </si>
  <si>
    <t>71 degrees, dew point 62, 1/2 inch rain last 24 hours, partly cloudy.</t>
  </si>
  <si>
    <t>pfWjHPtb4lnErYphQwxK</t>
  </si>
  <si>
    <t>52F</t>
  </si>
  <si>
    <t>VLKgy8j55O2iPh62jd7p</t>
  </si>
  <si>
    <t>NJPUCUqlrOaWQSs05bHw</t>
  </si>
  <si>
    <t>hiUJLbxgiCn2KPN7hCif</t>
  </si>
  <si>
    <t>2022-08-18 15:59:14.576315.jpg-02022-08-18 15:59:14.576315.jpg-1</t>
  </si>
  <si>
    <t>DfpQcGYH6btxrgh7zp92</t>
  </si>
  <si>
    <t>2022-08-18 14:59:27.585142.jpg-02022-08-18 14:59:27.585142.jpg-12022-08-18 14:59:27.585142.jpg-2</t>
  </si>
  <si>
    <t>LNtGcVG3qWcwLRpOpJvy</t>
  </si>
  <si>
    <t>fn8GAAKOoMtFnEA1WEH9</t>
  </si>
  <si>
    <t>2022-08-18 12:52:19.030845.jpg-02022-08-18 12:52:19.030845.jpg-1</t>
  </si>
  <si>
    <t>2dMlC9ZWNqxCISeJtdoM</t>
  </si>
  <si>
    <t>2022-08-17 15:11:04.314543.jpg-0</t>
  </si>
  <si>
    <t>secchi tube greater than 100cm
Hach test = 2 mg/L
Conductivity = 653 uS
Extech pH = 8.17
Salinity = 317
TDS = 464 ppm</t>
  </si>
  <si>
    <t>RfKCJwqiG5qeVbinw9Ym</t>
  </si>
  <si>
    <t>2022-08-17 14:47:25.301489.jpg-0</t>
  </si>
  <si>
    <t>secchi tube greater than 100cm
Hach test = 2 mg/L
Extech pH = 8.17
salinity = 248
TDS = 374
conductivity = 557 uS</t>
  </si>
  <si>
    <t>4s8BaxbvQScnl8OzvXZb</t>
  </si>
  <si>
    <t>2022-08-17 14:21:41.705754.jpg-0</t>
  </si>
  <si>
    <t xml:space="preserve">secchi tube greater than 100cm
Hach test = 4 mg/L
salinity = 265 ppm
TDS = 417
conductivity = 597
Extech pH = 8.48
</t>
  </si>
  <si>
    <t>N73fasMfxmNnDNjx91Oe</t>
  </si>
  <si>
    <t>2022-08-17 13:48:12.566270.jpg-0</t>
  </si>
  <si>
    <t>secchi tube greater than 100cm
Hach test = 4 mg/L
TDS = 392
conductivity = 550 uS
Extech pH = 8.62
Salinity = 303 ppm</t>
  </si>
  <si>
    <t>KwkTRTLhPLr6b71S5XqW</t>
  </si>
  <si>
    <t>2022-08-17 13:19:41.891317.jpg-0</t>
  </si>
  <si>
    <t xml:space="preserve">secchi tube greater than 100cm
Hach test = 4 mg/L
conductivity = 722 uS
Extech pH = 8.59
salinity = 359 ppm
TDS = 525 ppm
</t>
  </si>
  <si>
    <t>Gbxo6KliUIN0fHXXCNiA</t>
  </si>
  <si>
    <t>2022-08-17 12:45:23.191934.jpg-0</t>
  </si>
  <si>
    <t xml:space="preserve">secchi tube greater than 100cm
Hach test = 4 mg/L
Extech pH = 8.77
Salinity =362 ppm
TDS = 525
conductivity = 762 
</t>
  </si>
  <si>
    <t>MwjtjRCiPRdaSHbEJd44</t>
  </si>
  <si>
    <t>RHntyJGiFLxVdxSvb8As</t>
  </si>
  <si>
    <t>bc0T8Yfie5YQFmysZHxLsNJDJnT2</t>
  </si>
  <si>
    <t>secchi tube greater than 100 cm
Hach test 8
selinity 206
tds 317
conductivity 459
ph 8.68</t>
  </si>
  <si>
    <t>4LSjsDGexrpdq6IPd65i</t>
  </si>
  <si>
    <t xml:space="preserve">greater than 100 cm
Hach test 8
selinity 272
total dissolved solids tds 384
conductivity 556
ph 8.56
</t>
  </si>
  <si>
    <t>3Efhs1DDBLa19U7hHGVs</t>
  </si>
  <si>
    <t>at lake George by buoys. HACH TEST: 8
Extech Digital: 366 tds; 534 conductivity; pH 8.61; salinity 263
secchi: clear past 100cm</t>
  </si>
  <si>
    <t>rmsj5MepzeSbV7efOQlq</t>
  </si>
  <si>
    <t xml:space="preserve">Extech digital readings: 555 conductivity; 8.55 pH; salinity 262; 392 tds.  HACH test 8. secchi clear past 100cm. </t>
  </si>
  <si>
    <t>Evjjwk9P3UOE2q9e3bIE</t>
  </si>
  <si>
    <t>2022-08-15 10:48:06.549931.jpg-0</t>
  </si>
  <si>
    <t>atGGHUdEVVb1vWVqTa5A</t>
  </si>
  <si>
    <t xml:space="preserve">conductivity 603
ph 8.54
selinity 265
total dissolved solids 389
Hach 6
secchi tube greater than 100 cm
</t>
  </si>
  <si>
    <t>HeTyFAuBvhl8Io3Cw9qn</t>
  </si>
  <si>
    <t xml:space="preserve"> hach test 6
secchi tube greater than 100 cm
conductivity 645
selinity 302 ppm
ph 8.52
total dissolved solids 441 ppm</t>
  </si>
  <si>
    <t>Bpm8utNgs03SENlQlTu0</t>
  </si>
  <si>
    <t xml:space="preserve"> hach test 7
secchi tube greater than 100 cm
conductivity 480 
ph 8.38
selinity 221
total dissolved solids 342 ppm</t>
  </si>
  <si>
    <t>wf0XfUFA3sxfIw7ONMbI</t>
  </si>
  <si>
    <t>Extech digital readings:
8.3 ph; salinity 275 ppm; tds 415; conductivity 602. 
readingHACH test 6ppm. secchi clear over 100</t>
  </si>
  <si>
    <t>Ry8zV5HchoxnxN7f9wfm</t>
  </si>
  <si>
    <t>nwGcWoxPj1xZ84hUkaWI</t>
  </si>
  <si>
    <t>1Xy3uZqTXqjRsZUc7PP2</t>
  </si>
  <si>
    <t>2022-08-10 10:21:07.645669.jpg-02022-08-10 10:21:07.645669.jpg-1</t>
  </si>
  <si>
    <t>j04OikKsytxmlOUu06cN</t>
  </si>
  <si>
    <t>AFSRTEftiTe1HDjxTst1HuMIU1l1</t>
  </si>
  <si>
    <t>gFWVBx4wzNo6G62OYB6e</t>
  </si>
  <si>
    <t>fiHSwd8JGTI5gEdbV0jG</t>
  </si>
  <si>
    <t>nyqdkfDdslRNDqAR2Ieel5debpE2</t>
  </si>
  <si>
    <t>R0KUAo5dFXGMVMoIM1u8</t>
  </si>
  <si>
    <t>EvMwyyOaJQLxFOKbIHZ9</t>
  </si>
  <si>
    <t>secchi tube greater than 100 cm</t>
  </si>
  <si>
    <t>iHOPBR6Y5hsBc8h6TXV3</t>
  </si>
  <si>
    <t>2022-08-08 10:44:46.025735.jpg-0</t>
  </si>
  <si>
    <t xml:space="preserve">70 degrees, ptly cloudy, rain last night, river still clear. </t>
  </si>
  <si>
    <t>hwLzcywhzpvpM9UqJiYI</t>
  </si>
  <si>
    <t>secchi tube greater than 100 cm
 rain events</t>
  </si>
  <si>
    <t>Chf1zgeEtHeLZ3O7sGRb</t>
  </si>
  <si>
    <t xml:space="preserve">
secchi tube greater than 100 </t>
  </si>
  <si>
    <t>ouXnZ55gTdwivIxPIPkt</t>
  </si>
  <si>
    <t>secchi tube greater than 100 cm
HACH test 7-8</t>
  </si>
  <si>
    <t>8o1P7iywZ9pyJEUeS8up</t>
  </si>
  <si>
    <t>1 inch of rain within 24 hours ago.</t>
  </si>
  <si>
    <t>kfbaTRmHhf9lchsbxyam</t>
  </si>
  <si>
    <t>gYDLuu0HWzCSYgEBBqlJ</t>
  </si>
  <si>
    <t>2022-08-06 07:34:06.044404.jpg-0</t>
  </si>
  <si>
    <t>water level is low</t>
  </si>
  <si>
    <t>7qI9Xe5v37rJi6cTJpBp</t>
  </si>
  <si>
    <t>Secchi Tube &gt; 100 cm</t>
  </si>
  <si>
    <t>n1xA7joN0hb72eQP7wD9</t>
  </si>
  <si>
    <t>06ITg2rFRCjKLLeBA01h</t>
  </si>
  <si>
    <t>2022-08-04 11:36:16.198843.jpg-0</t>
  </si>
  <si>
    <t>58 degrees</t>
  </si>
  <si>
    <t>v8CRelca0758OIrEeymL</t>
  </si>
  <si>
    <t>looks great. 51 cool degrees</t>
  </si>
  <si>
    <t>Ooq8YarhSfAPIQ4J5b5E</t>
  </si>
  <si>
    <t>2022-08-04 10:09:51.116780.jpg-0</t>
  </si>
  <si>
    <t>looks great.  51 degrees</t>
  </si>
  <si>
    <t>9d2n2Zhn43Qbh9AjYU6o</t>
  </si>
  <si>
    <t>2022-08-04 09:40:03.611575.jpg-0</t>
  </si>
  <si>
    <t>LmAZiCe0Urva0FutaqEo</t>
  </si>
  <si>
    <t>WkqwyVLFluODhfQhgnjJ</t>
  </si>
  <si>
    <t>2022-08-01 11:28:55.937580.jpg-0</t>
  </si>
  <si>
    <t>I want a SCWS sign back up on the sign post</t>
  </si>
  <si>
    <t>ElVX9TuBJIgbJPmG5jkA</t>
  </si>
  <si>
    <t>HACH test nitrate between 8-10 mg/l</t>
  </si>
  <si>
    <t>0VBupOEuVK3oOqJJQluF</t>
  </si>
  <si>
    <t>2022-07-29 10:40:07.039492.jpg-0</t>
  </si>
  <si>
    <t>vQZjeoRdWDiZblbbYeia</t>
  </si>
  <si>
    <t>2022-07-29 10:01:06.918912.jpg-0</t>
  </si>
  <si>
    <t>hsC0YwgSPwjaaAcLqgim</t>
  </si>
  <si>
    <t>2022-07-28 17:28:07.620468.jpg-0</t>
  </si>
  <si>
    <t>doxxZR5Inj78AUcoESpI</t>
  </si>
  <si>
    <t>2022-07-28 17:06:31.394617.jpg-0</t>
  </si>
  <si>
    <t>nice temp and water level for end of July</t>
  </si>
  <si>
    <t>fkAe4i375MRTP6CM64kg</t>
  </si>
  <si>
    <t>ObBiO8KYKh1Jn0bxIM5z</t>
  </si>
  <si>
    <t>7uB8V5hup7CXl96ZvUtC</t>
  </si>
  <si>
    <t xml:space="preserve">HACH test 8 mg/l. Near upper Kinni near Red Cabin site. </t>
  </si>
  <si>
    <t>ec7CjPuwWHPAZR0tz5O4</t>
  </si>
  <si>
    <t>AeBl4Z8ix4NbCtcJgyxI</t>
  </si>
  <si>
    <t>lyrizH9jreV0VG7fAgccBEropRQ2</t>
  </si>
  <si>
    <t>wzOS2hO51H8vsJE8HKe9</t>
  </si>
  <si>
    <t>2022-07-24 14:06:12.998416.jpg-0</t>
  </si>
  <si>
    <t xml:space="preserve">post- local thunderstorm </t>
  </si>
  <si>
    <t>6ZfI1sPCZkPMxC0TPNib</t>
  </si>
  <si>
    <t>2022-07-24 11:38:40.535205.jpg-0</t>
  </si>
  <si>
    <t>secchi tube greater than 100cm
Hach test = 8mg/L</t>
  </si>
  <si>
    <t>cNJ7y4k9RPrblX8RDLMu</t>
  </si>
  <si>
    <t>2022-07-24 11:11:28.188465.jpg-0</t>
  </si>
  <si>
    <t>secchi tube greater than 100cm
Hach test = 6mg/L</t>
  </si>
  <si>
    <t>iLXrfMaYyx2hy5KRwL2W</t>
  </si>
  <si>
    <t>2022-07-24 10:29:15.217891.jpg-0</t>
  </si>
  <si>
    <t>secchi tube greater than 100cm
Hach test = 4mg/L</t>
  </si>
  <si>
    <t>pq2oIwN9EivouuEiHCpo</t>
  </si>
  <si>
    <t>lOf4kwtJ7aTttjX4FkhO</t>
  </si>
  <si>
    <t>C3m3xnqpcJwt5zLVhTdb</t>
  </si>
  <si>
    <t>2022-07-20 20:58:02.794386.jpg-0</t>
  </si>
  <si>
    <t>ITEngG7iaxqmwvhuXMJ1</t>
  </si>
  <si>
    <t>0fhU30HAk4ex1hSk2V9D</t>
  </si>
  <si>
    <t>2022-07-18 19:31:53.084558.jpg-02022-07-18 19:31:53.084558.jpg-12022-07-18 19:31:53.084558.jpg-2</t>
  </si>
  <si>
    <t>Fish Barrier,Trash</t>
  </si>
  <si>
    <t xml:space="preserve">taken below Center Street and dam in Tourest Park. </t>
  </si>
  <si>
    <t>Z6b7qEIm0jG4mjRQxuEV</t>
  </si>
  <si>
    <t>KKZkMer5gwWoEhuUbvlA</t>
  </si>
  <si>
    <t>FaUP4f1nVdldi6Mnbbgb</t>
  </si>
  <si>
    <t>BDBabBqqgytzjl7l1OWr</t>
  </si>
  <si>
    <t>2022-07-18 12:09:03.625920.jpg-0</t>
  </si>
  <si>
    <t>bDiAvvAJvCyq8eswzr3S</t>
  </si>
  <si>
    <t>secchi tube greater than 100 cm
HACH test 4</t>
  </si>
  <si>
    <t>1NlXR9y7jcNoszwYUu1T</t>
  </si>
  <si>
    <t>2022-07-18 10:58:44.933889.jpg-0</t>
  </si>
  <si>
    <t>sechi tube greater than 100 cm
HACH test4</t>
  </si>
  <si>
    <t>nkgxJccCzA2agfvwgGlc</t>
  </si>
  <si>
    <t>o9nHBINymqKpYrjFfR3w</t>
  </si>
  <si>
    <t>2022-07-18 10:22:31.959339.jpg-0</t>
  </si>
  <si>
    <t>GRAenW6vmNlitHXRBEOa</t>
  </si>
  <si>
    <t xml:space="preserve">high nettles. overgrown. </t>
  </si>
  <si>
    <t>diJCTITqzQlUCIglVeLN</t>
  </si>
  <si>
    <t>euYHQ8WeGevfOH9ioWpu</t>
  </si>
  <si>
    <t>HACH test 6
sechi tube greater than 100 cm</t>
  </si>
  <si>
    <t>edvyc97vNTbxK6Qdmw6P</t>
  </si>
  <si>
    <t>HACH test 4 mg/l. over 100 cm secchi tube</t>
  </si>
  <si>
    <t>6lPl7nu4ZWxWh2JsRLws</t>
  </si>
  <si>
    <t>MaWmkh46vpfB0NKdOC23krQrdH72</t>
  </si>
  <si>
    <t>2022-07-16 19:38:48.341393.jpg-0</t>
  </si>
  <si>
    <t>pSF1nmiak0fmAgLGHkiP</t>
  </si>
  <si>
    <t>mMKogvdinjOuckB5tkMQrxnYO852</t>
  </si>
  <si>
    <t>2022-07-16 16:33:45.199879.jpg-0</t>
  </si>
  <si>
    <t>water lever low.</t>
  </si>
  <si>
    <t>SP8d8afPK026w3P8JR1W</t>
  </si>
  <si>
    <t>TGvWcyc42P983Wfy9Ghs</t>
  </si>
  <si>
    <t>2022-07-14 13:54:19.953957.jpg-0</t>
  </si>
  <si>
    <t>Fish Barrier,Bank Erosion</t>
  </si>
  <si>
    <t>4smUmBEk4qBgdArDYTbU</t>
  </si>
  <si>
    <t>2022-07-14 13:12:24.807070.jpg-0</t>
  </si>
  <si>
    <t>Ye47tg25JxoMuI2gKF8W</t>
  </si>
  <si>
    <t>2022-07-14 12:52:31.578660.jpg-0</t>
  </si>
  <si>
    <t>w4cIk4oauNHg1BwsIAyO</t>
  </si>
  <si>
    <t>2022-07-14 12:24:24.194548.jpg-0</t>
  </si>
  <si>
    <t>sYILAtmNqFcvrgRPm6Gg</t>
  </si>
  <si>
    <t>2022-07-14 12:01:36.657790.jpg-0</t>
  </si>
  <si>
    <t>secchi tube greater than 100cm
Hach test = 2mg/L</t>
  </si>
  <si>
    <t>cZfh6VjMyPK3aCwsqoxn</t>
  </si>
  <si>
    <t>2022-07-14 11:38:43.797207.jpg-0</t>
  </si>
  <si>
    <t>q1DKUp6CyN4f23nTcyeD</t>
  </si>
  <si>
    <t>2022-07-14 10:57:10.873016.jpg-0</t>
  </si>
  <si>
    <t>wq5VJ991eu3MkwBHGahd</t>
  </si>
  <si>
    <t>eCNybsv5Sm49rPhlHWTX</t>
  </si>
  <si>
    <t xml:space="preserve">West Indian creek.  2/3 upstream up valley from OK parking lot </t>
  </si>
  <si>
    <t>HKAs1Ll55D5ogirUu865</t>
  </si>
  <si>
    <t>Gm1D0QUcIjZmT78tbBr3</t>
  </si>
  <si>
    <t>2022-07-11 11:45:13.106787.jpg-0</t>
  </si>
  <si>
    <t>dMdeWralrPfRcrA9sEdf</t>
  </si>
  <si>
    <t>HACH 6
sekki tube greater than 100 cm</t>
  </si>
  <si>
    <t>vPrWYecnAEqh9YO2qVY1</t>
  </si>
  <si>
    <t>5-in-1 testing doesn’t read for nitrates in app for me. need to add HACH test to this site note for 7/11</t>
  </si>
  <si>
    <t>VHmnE29NJzxUaSMglNEg</t>
  </si>
  <si>
    <t>2022-07-11 10:35:24.592219.jpg-0</t>
  </si>
  <si>
    <t>liIKmAyBTmPIC6MDkeuv</t>
  </si>
  <si>
    <t xml:space="preserve">nettles higher than my head and generally very overgrown near this lower Glen park test site at the bottom of former lake Louise impoundment. </t>
  </si>
  <si>
    <t>vb2RXhMS1AFmxgyQzaaa</t>
  </si>
  <si>
    <t>HACH 4
sekki tube greater than 100 cm</t>
  </si>
  <si>
    <t>dBgWq9KZZk0WQHtOXGF5</t>
  </si>
  <si>
    <t>sekki tube &gt;100 cm
HACH test 6</t>
  </si>
  <si>
    <t>Y50sxQVYu7C0ETyEXH4N</t>
  </si>
  <si>
    <t>2022-07-11 08:37:55.625164.jpg-02022-07-11 08:37:55.625164.jpg-1</t>
  </si>
  <si>
    <t>JEhWvWWWzTL42Se3OGSV</t>
  </si>
  <si>
    <t>T1R0dM58GWIpNsQoOq4W</t>
  </si>
  <si>
    <t>2022-07-10 07:41:03.523404.jpg-0</t>
  </si>
  <si>
    <t xml:space="preserve">river low and clear, air temp 68,  need rain. </t>
  </si>
  <si>
    <t>mWbafPke2PmFNM1OZ5Pn</t>
  </si>
  <si>
    <t>2022-07-09 11:01:39.411205.jpg-0</t>
  </si>
  <si>
    <t>Em2px2qrcOsLgnUwYOS0</t>
  </si>
  <si>
    <t>Bank Erosion,None</t>
  </si>
  <si>
    <t>TufmefnwU0Nmje7l5p5B</t>
  </si>
  <si>
    <t>s094bBntvCG8L41lTeAE</t>
  </si>
  <si>
    <t>water temp 60 degrees</t>
  </si>
  <si>
    <t>1RKcixAgl5sJmkIfsfoS</t>
  </si>
  <si>
    <t xml:space="preserve">stream looks good.  temperature is 56 degrees.  
disregard 5-1 it’s wonky.  I tried more than 10 times and I’m not sure it’s right. </t>
  </si>
  <si>
    <t>jLrtIf56V87Mgec3X2Es</t>
  </si>
  <si>
    <t xml:space="preserve">lower lake Louise site. rain approx. .25” yesterday 7/4. </t>
  </si>
  <si>
    <t>PM6MAJztZ5t9V1u5Enve</t>
  </si>
  <si>
    <t>upper Glen park test site. rain of .25” or less on 7/4. flock of geese in water . water temp 58.5</t>
  </si>
  <si>
    <t>qD9FcFUPcwT1HDq7IEj6</t>
  </si>
  <si>
    <t>2022-07-05 10:34:02.407907.jpg-0</t>
  </si>
  <si>
    <t xml:space="preserve">Canfield looks way. about 8-10 degrees cooler than the Root at 58 degrees.  </t>
  </si>
  <si>
    <t>suxiY55T2uCmceS3K8Uy</t>
  </si>
  <si>
    <t>2022-07-05 10:15:35.040663.jpg-0</t>
  </si>
  <si>
    <t>zkKuTDEBhyhBvJdcbefj</t>
  </si>
  <si>
    <t xml:space="preserve">Kayak launch. rain of approx. .25” yesterday 7/4. </t>
  </si>
  <si>
    <t>Qk9rV1U98xAYNZg1pGW9</t>
  </si>
  <si>
    <t>Bank Erosion,Trash,Livestock in Water</t>
  </si>
  <si>
    <t>-filtered tap water
- ag runoff</t>
  </si>
  <si>
    <t>Z4joot44U9bsu7lt3Qzk</t>
  </si>
  <si>
    <t xml:space="preserve">-potential ag runoff
-post storm event
-rural tap water from well system </t>
  </si>
  <si>
    <t>Yhw8eTqzCf0vQqIlj0hr</t>
  </si>
  <si>
    <t>PicoOlZUKUbpl8rFVqKd</t>
  </si>
  <si>
    <t>2022-07-02 10:41:21.735204.jpg-02022-07-02 10:41:21.735204.jpg-1</t>
  </si>
  <si>
    <t xml:space="preserve"> Oil slick on the bank.
Many areas of bank erosion similar to this</t>
  </si>
  <si>
    <t>YVA7MuofuS1kyB2Eh4VL</t>
  </si>
  <si>
    <t>3w7YA1iuG61XytRbIEbj</t>
  </si>
  <si>
    <t>EGh4tlkuJXBZxGdMXYEa</t>
  </si>
  <si>
    <t>2022-07-01 13:59:40.440665.jpg-0</t>
  </si>
  <si>
    <t>hQtXnbRggXZUT6lLYch7</t>
  </si>
  <si>
    <t>Tlazf0NRE2UoPEjeblvnepAUAAF3</t>
  </si>
  <si>
    <t>KUw7IO7uGcF1EdJltY1H</t>
  </si>
  <si>
    <t>20JnF5MCWShNTs8WDCzC</t>
  </si>
  <si>
    <t>OSVqSVpQUlrRhjPEuKxi</t>
  </si>
  <si>
    <t>2022-06-30 14:57:35.344934.jpg-0</t>
  </si>
  <si>
    <t>secchi tube greater than 100cm
Hach test = 4mg/L
minor rainfall in last 24 hours</t>
  </si>
  <si>
    <t>Tv1SazyS3a1garNdjXoo</t>
  </si>
  <si>
    <t>2022-06-30 14:23:43.346927.jpg-0</t>
  </si>
  <si>
    <t>secchi tube greater than 100cm
Hach test = 2mg/L
minor rainfall in last 24 hours</t>
  </si>
  <si>
    <t>d1KU0g6pjH3stWw5NNye</t>
  </si>
  <si>
    <t>2022-06-30 13:59:40.813491.jpg-0</t>
  </si>
  <si>
    <t>hnz25jr8w5Xmrgz9AqJi</t>
  </si>
  <si>
    <t>2022-06-30 13:21:42.811343.jpg-0</t>
  </si>
  <si>
    <t xml:space="preserve">secchi tube greater than 100cm
Hach test = 4mg/L
minor rainfall in last 24 hours </t>
  </si>
  <si>
    <t>VGEN88Q8wPa2fDQbtqH1</t>
  </si>
  <si>
    <t>2022-06-30 12:49:34.390349.jpg-0</t>
  </si>
  <si>
    <t xml:space="preserve">secchi tube greater than 100cm
Hach test = 2mg/L
minor rain fall in last 24 hours </t>
  </si>
  <si>
    <t>fGY8zfpgD4LoNIGfCQZn</t>
  </si>
  <si>
    <t>2022-06-30 12:23:19.012584.jpg-0</t>
  </si>
  <si>
    <t>secchi tube greater than 100cm
Hach test = 2mg/L
minor rain fall within 24 hours</t>
  </si>
  <si>
    <t>7bpFu2asKRPIhbH1RH5Y</t>
  </si>
  <si>
    <t>2022-06-30 11:48:53.477124.jpg-0</t>
  </si>
  <si>
    <t>secchi tube = 69cm
Hach test = 2mg/L
minor rainfall within 24 hours</t>
  </si>
  <si>
    <t>t6IYnaUDtCGFknqyvvwx</t>
  </si>
  <si>
    <t>wMQCF1ZMQ7Q3dC2Hh3gS</t>
  </si>
  <si>
    <t>2022-06-29 15:49:31.403363.jpg-0</t>
  </si>
  <si>
    <t>Ferguson Creek</t>
  </si>
  <si>
    <t>GRbC1AA8s8JsSu6B53SU</t>
  </si>
  <si>
    <t>KuSwsAprwtmTPJ1LdaqR</t>
  </si>
  <si>
    <t>8TVXqfMTip1jplaZ61CN</t>
  </si>
  <si>
    <t>secchi read clear over a meter. Hach N03 test at 6 mg/l</t>
  </si>
  <si>
    <t>wr8Z5LD6qu3QmrdM3g6T</t>
  </si>
  <si>
    <t>2022-06-29 12:09:45.219028.jpg-0</t>
  </si>
  <si>
    <t xml:space="preserve">took several tries to enter 5-in-1 test strip photo. N03 6 mg/l using Hach test. photo of foam. </t>
  </si>
  <si>
    <t>mhPjsETafc3g6GF0yjZb</t>
  </si>
  <si>
    <t>2022-06-29 11:16:23.486853.jpg-0</t>
  </si>
  <si>
    <t>added  N03 Hach test from separate kit result of 6  mg/l</t>
  </si>
  <si>
    <t>w46sJRT1j6TqycXF3Cm0</t>
  </si>
  <si>
    <t>&gt;100 cm secci disk</t>
  </si>
  <si>
    <t>4bTwmits2iszjmlShkGR</t>
  </si>
  <si>
    <t>2022-06-29 10:52:55.963962.jpg-0</t>
  </si>
  <si>
    <t>boulbh7VvqHKj0eBsEXy</t>
  </si>
  <si>
    <t xml:space="preserve">at lower buoys of impoundment lake George. many snails observed. lower water than prior observations this summer. </t>
  </si>
  <si>
    <t>ln38NeHbg027GaWBRBJ5</t>
  </si>
  <si>
    <t>2022-06-29 09:43:49.979513.jpg-0</t>
  </si>
  <si>
    <t>secchi tube greater than 100cm
Hach nitrate test = 6 mg/L</t>
  </si>
  <si>
    <t>gXZFfqNtXlP0TvZK2uzE</t>
  </si>
  <si>
    <t>8 NO3 with Hach test kit
&gt;100 cm with seki tube</t>
  </si>
  <si>
    <t>ADjs21JmTZEKr0Zuw2d4</t>
  </si>
  <si>
    <t>2022-06-29 08:11:09.834094.jpg-0</t>
  </si>
  <si>
    <t xml:space="preserve">West Indian-  half way up TU improvement </t>
  </si>
  <si>
    <t>sLivLoxRcWVuUflX6jfH</t>
  </si>
  <si>
    <t>Nitrate-N via Hach test kit is 0 mg/L.</t>
  </si>
  <si>
    <t>4gPyB9deYSadavxq0oDh</t>
  </si>
  <si>
    <t>mOliWfJ8EcTqb0crRnvVrqCHyEi1</t>
  </si>
  <si>
    <t>2022-06-28 08:42:13.394846.jpg-0</t>
  </si>
  <si>
    <t>7g4F54yDPYTNpKmNPn8b</t>
  </si>
  <si>
    <t>water temp 61.   again2-1 did not work no matter how often I did it. very long drive for very very little</t>
  </si>
  <si>
    <t>8IqNHU61bcfKV7uFoMRg</t>
  </si>
  <si>
    <t>2022-06-28 07:30:52.988083.jpg-0</t>
  </si>
  <si>
    <t>LPCkXjOyeHesz1cd2rRy</t>
  </si>
  <si>
    <t>2022-06-28 07:24:51.485739.jpg-0</t>
  </si>
  <si>
    <t>FTLYicg35erzG5JB2ND4</t>
  </si>
  <si>
    <t>2022-06-28 06:53:14.339346.jpg-0</t>
  </si>
  <si>
    <t xml:space="preserve">51 degrees.  again I had horrible time getting strips to work. </t>
  </si>
  <si>
    <t>4eqtXyaiXpLeTiploDJL</t>
  </si>
  <si>
    <t>2022-06-28 06:04:08.524069.jpg-0</t>
  </si>
  <si>
    <t xml:space="preserve">water temp 48 degrees.  neither 5-1 nor 2-1 worked correctly.  I tried 2-3 strips but all failed.  the one reading recorded is not right 
</t>
  </si>
  <si>
    <t>Z4EXBkqowsNUIQvBsnAy</t>
  </si>
  <si>
    <t>K5wfWKI1IdEMKUxYS3Vp</t>
  </si>
  <si>
    <t>n5LPFI1d2mIxETknJisr</t>
  </si>
  <si>
    <t>2022-06-26 18:00:24.574647.jpg-0</t>
  </si>
  <si>
    <t>moDy5xRTDNc8YAXkHa5c</t>
  </si>
  <si>
    <t>kQtS6aFBroEQ1FqjCQHt</t>
  </si>
  <si>
    <t>o57PdRB0wE3mZGmEulJX</t>
  </si>
  <si>
    <t>vDNi3yJUAmbPpGCibkhh</t>
  </si>
  <si>
    <t>Upper Rush Creek</t>
  </si>
  <si>
    <t>Y9IMU3KW9bv9oOQcOW1K</t>
  </si>
  <si>
    <t>Plum Creek @ Plum City Park</t>
  </si>
  <si>
    <t>E14pZT0JGxhEebebIOZW</t>
  </si>
  <si>
    <t>TjpxFTouRvZWM8dyCqL6</t>
  </si>
  <si>
    <t>2022-06-23 16:45:07.204379.jpg-0</t>
  </si>
  <si>
    <t>OkWvQO29KE2pIYgyKcXW</t>
  </si>
  <si>
    <t>ojEiXTnjXw4JbJobBGUw</t>
  </si>
  <si>
    <t>V31M4v5oikh2r7Q3dGT5</t>
  </si>
  <si>
    <t>odIaGrcvcFlDfp1L970z</t>
  </si>
  <si>
    <t>Tg9aSXISv9GQyy5YFhOU</t>
  </si>
  <si>
    <t>GmSWi3pAbqgmZJYT46Fq</t>
  </si>
  <si>
    <t>OFVMQ94Ji1JGpqHtiGQ2</t>
  </si>
  <si>
    <t>2l1hpbmyBZK8ejn41mv3</t>
  </si>
  <si>
    <t>OMq6CaeMi7DHG7LPDCWm</t>
  </si>
  <si>
    <t>2022-06-14 11:02:27.746856.jpg-0</t>
  </si>
  <si>
    <t>G2IjybVhAadWznlH5dri</t>
  </si>
  <si>
    <t>2022-06-14 10:39:21.036235.jpg-0</t>
  </si>
  <si>
    <t>PiJasRVmGTdeqGjCeBp2</t>
  </si>
  <si>
    <t>AoDJspzkBhzW0DZLdbTw</t>
  </si>
  <si>
    <t>2022-06-14 09:49:52.202343.jpg-0</t>
  </si>
  <si>
    <t>34NsoBeBFmfQ1Gn0GJV1</t>
  </si>
  <si>
    <t>2022-06-14 09:49:37.069131.jpg-0</t>
  </si>
  <si>
    <t>- rain event 2.5 inches
-rainbow/oil spill look in nearby pool</t>
  </si>
  <si>
    <t>1dNeJC6IwmhTVQ7GEn3D</t>
  </si>
  <si>
    <t>2022-06-14 09:11:00.903805.jpg-0</t>
  </si>
  <si>
    <t>eYD0XzUPi0H6iu8m2We3</t>
  </si>
  <si>
    <t>2022-06-13 13:13:35.376372.jpg-0</t>
  </si>
  <si>
    <t>vJOVwXK8jCnjCeBnYMMr</t>
  </si>
  <si>
    <t>qXfdXwDB1hydDQ70JXJ0</t>
  </si>
  <si>
    <t>2022-06-12 20:45:53.179035.jpg-0</t>
  </si>
  <si>
    <t>0fT6MfoJRlNUjDhcU5w6</t>
  </si>
  <si>
    <t>8n8jkR6eTQtMlW6MCA4R</t>
  </si>
  <si>
    <t>fS7KLaNMfOR7D97EizvR</t>
  </si>
  <si>
    <t xml:space="preserve">West Indian creek downstream of TU improvement </t>
  </si>
  <si>
    <t>U11Wd8vpRoKeh0roddQS</t>
  </si>
  <si>
    <t>M2UWPpDi1IVFbJoduVCE</t>
  </si>
  <si>
    <t>oCltWtS7poTmhdoeies5qt6zlVg1</t>
  </si>
  <si>
    <t>2022-06-09 10:51:48.229391.jpg-0</t>
  </si>
  <si>
    <t>Seep</t>
  </si>
  <si>
    <t>vcWFyqKVYKjyb1xJz0dq</t>
  </si>
  <si>
    <t>2022-06-09 07:56:56.929526.jpg-0</t>
  </si>
  <si>
    <t xml:space="preserve">49 degrees and running a bit high as is nearby Root River.  </t>
  </si>
  <si>
    <t>7ANmr24urEtwmJNjQSha</t>
  </si>
  <si>
    <t>2022-06-09 06:32:06.805549.jpg-0</t>
  </si>
  <si>
    <t>48 degrees.  great looking</t>
  </si>
  <si>
    <t>dXdgSYVRdFy1HX4UubNx</t>
  </si>
  <si>
    <t>2022-06-09 05:49:33.988704.jpg-0</t>
  </si>
  <si>
    <t>looking great.  51 degrees</t>
  </si>
  <si>
    <t>Bd9chA1ysX8Xk5CWSg8A</t>
  </si>
  <si>
    <t>2022-06-08 12:13:33.106375.jpg-0</t>
  </si>
  <si>
    <t>0eucCOT5WBreMMhJCzy1</t>
  </si>
  <si>
    <t>Z9MSZCpZM4Vs8Cu0QagviPKqee33</t>
  </si>
  <si>
    <t>jpizU6j3wN3pfoxC7G8S</t>
  </si>
  <si>
    <t>2022-06-07 15:50:04.606509.jpg-0</t>
  </si>
  <si>
    <t>LSs1Tk9CCbbbWil1ctRT</t>
  </si>
  <si>
    <t>2022-06-07 14:29:31.877570.jpg-0</t>
  </si>
  <si>
    <t>tudy2CloYjNvWk9zCWSh</t>
  </si>
  <si>
    <t>beaver seen in the water here</t>
  </si>
  <si>
    <t>5I0TMNuLNbb7rCHiCLuC</t>
  </si>
  <si>
    <t>f7jGHBa9uOd9dwpA59oq</t>
  </si>
  <si>
    <t>bfnIaSWvkcRQ5WeeYRHy</t>
  </si>
  <si>
    <t>East Indian light rain two previous days but stream was clear and at baseflow at time of sample.</t>
  </si>
  <si>
    <t>X48NsuXfn1vLW1y9KQLB</t>
  </si>
  <si>
    <t>2022-06-06 15:45:01.206765.jpg-0</t>
  </si>
  <si>
    <t>Beaver Creek Whitewater-light rain past two days but stream is low and clear</t>
  </si>
  <si>
    <t>xjuVSeA9viGfcy2CAJPo</t>
  </si>
  <si>
    <t>XTciY3yPfYVTb535QHNfPsAPFsu1</t>
  </si>
  <si>
    <t>1ZhEZQVivY9TNDOVBphX</t>
  </si>
  <si>
    <t>2022-06-06 15:11:14.391454.jpg-0</t>
  </si>
  <si>
    <t>Trout Valley-some light rain past two days but stream is baseflow and clear.</t>
  </si>
  <si>
    <t>W3H731BTCqIN70pVyc4B</t>
  </si>
  <si>
    <t>3vMppvMpjlRbUFTPcBP2</t>
  </si>
  <si>
    <t>s0ogRa5PhtkGhm5Uilnu</t>
  </si>
  <si>
    <t>Kz4FMgUqVL2jjtloVINj</t>
  </si>
  <si>
    <t>2022-06-06 14:05:29.271126.jpg-0</t>
  </si>
  <si>
    <t>9WWDJkZQ37afB2mcu6ao</t>
  </si>
  <si>
    <t>2022-06-06 13:31:29.446837.jpg-0</t>
  </si>
  <si>
    <t xml:space="preserve">68 air temp at 1:00 pm, ptly cloudy, showers last night. River low and clear. </t>
  </si>
  <si>
    <t>9NQ1gVNd3xMnVTVYrQf6</t>
  </si>
  <si>
    <t>2022-06-06 11:49:47.424343.jpg-0</t>
  </si>
  <si>
    <t>Forestville Creek, light rain past two days, maybe about an inch total but water is clear and low at time of sample.</t>
  </si>
  <si>
    <t>PVBvHzcEIvnxpEiL631X</t>
  </si>
  <si>
    <t>South Branch Root River, light rains previous two days, but water clear</t>
  </si>
  <si>
    <t>KWWZaiXyWdTKseK7HsR3</t>
  </si>
  <si>
    <t>2022-06-06 10:18:22.030753.jpg-0</t>
  </si>
  <si>
    <t>Trout Run near Troy, light rain, less than an inch past two days.  water clear today and low.</t>
  </si>
  <si>
    <t>ZDc4jdzpoya1HWBe8qMf</t>
  </si>
  <si>
    <t>Middle Branch Whitewater, lite rain n past two days, but water is clear and at base flow.</t>
  </si>
  <si>
    <t>wy3EVjN8WZnNdwIT98D0</t>
  </si>
  <si>
    <t>xxLDXDyIZDofa7gB6fDD</t>
  </si>
  <si>
    <t>pYbieuvSnr7Q9nfg6xhi</t>
  </si>
  <si>
    <t>AUrfmj7DZGXvIiOF7LuL</t>
  </si>
  <si>
    <t>Q5LE0L33fpLe5Eko1oQc</t>
  </si>
  <si>
    <t>iz2zyGL3CSgPYBEW4EfC</t>
  </si>
  <si>
    <t>Z1IaAmA3cQcaUG9i9dVB</t>
  </si>
  <si>
    <t>2022-05-31 13:44:55.718209.jpg-0</t>
  </si>
  <si>
    <t>CfsD86O1i5pTBGectLMM</t>
  </si>
  <si>
    <t>2022-05-31 13:14:46.347331.jpg-0</t>
  </si>
  <si>
    <t>secchi tube over 100 cm</t>
  </si>
  <si>
    <t>PaxedFNdJIdbeIAQZlkp</t>
  </si>
  <si>
    <t>2022-05-31 12:53:22.521556.jpg-0</t>
  </si>
  <si>
    <t>ZMNYx1O0TUNdY4BoWc0O</t>
  </si>
  <si>
    <t>2022-05-31 12:31:10.774841.jpg-0</t>
  </si>
  <si>
    <t>qdK5npoJAWAYrFB9qfKX</t>
  </si>
  <si>
    <t>2022-05-31 12:10:26.312268.jpg-0</t>
  </si>
  <si>
    <t>LDqlH4jwYIc05vUQxIPt</t>
  </si>
  <si>
    <t>2022-05-31 11:51:17.372925.jpg-0</t>
  </si>
  <si>
    <t>7NPUVv1QyC4KwXC9sxEw</t>
  </si>
  <si>
    <t>2022-05-31 11:28:13.726224.jpg-0</t>
  </si>
  <si>
    <t>sechi tube 16 cm</t>
  </si>
  <si>
    <t>URUNMrSYsYBneiT5kdod</t>
  </si>
  <si>
    <t>2022-05-30 10:38:27.785922.jpg-0</t>
  </si>
  <si>
    <t>RXh9bupOMEL114bYSEhB</t>
  </si>
  <si>
    <t>Duplicate N/N measurement</t>
  </si>
  <si>
    <t>ROhfb9WzjCZ0JV72CqP8</t>
  </si>
  <si>
    <t>oEN9ugzwaesFXpCY1KQd</t>
  </si>
  <si>
    <t>Secch Tube &gt; 100 cm</t>
  </si>
  <si>
    <t>ogwZ68XDvy9FQzfHXoNG</t>
  </si>
  <si>
    <t xml:space="preserve">.82” rain in last 24 hours
</t>
  </si>
  <si>
    <t>qhi5GfEYCWTpcsQNLtsk</t>
  </si>
  <si>
    <t xml:space="preserve">0.75” rain overnight </t>
  </si>
  <si>
    <t>abYd7cdUS5nAbMkE0xH7</t>
  </si>
  <si>
    <t>2022-05-24 20:06:45.729688.jpg-0</t>
  </si>
  <si>
    <t>ju9DqsOIIbmjQgKdyjfq</t>
  </si>
  <si>
    <t>Trout Run still a little murky from rain 5 days earlier.</t>
  </si>
  <si>
    <t>hY5Ed5LwHjm4StYbehWy</t>
  </si>
  <si>
    <t>qiQSP77D2DVC5vGgTO11</t>
  </si>
  <si>
    <t>2022-05-23 14:35:11.631092.jpg-0</t>
  </si>
  <si>
    <t>heavy rain 4 days earlier, still muddy</t>
  </si>
  <si>
    <t>BV7fqfPLMcyJYDEpLSZe</t>
  </si>
  <si>
    <t>sucki disk greater than 100 cm</t>
  </si>
  <si>
    <t>6R6YRTXX2DoWGyM7q51H</t>
  </si>
  <si>
    <t>2022-05-23 13:44:40.480142.jpg-0</t>
  </si>
  <si>
    <t>sechi tube greater than 100 cm</t>
  </si>
  <si>
    <t>FjfNkAnMogvRN4dQ8hWj</t>
  </si>
  <si>
    <t>sucky tube greater than 100 cm</t>
  </si>
  <si>
    <t>lJWULWJ8cFvuf9Zwary7</t>
  </si>
  <si>
    <t>2022-05-23 13:18:19.166004.jpg-0</t>
  </si>
  <si>
    <t>e4UbslayXrQ3DFwgpLtz</t>
  </si>
  <si>
    <t>sucki tube greater than 100 cm</t>
  </si>
  <si>
    <t>64RqGg0tSLq13MDToQUq</t>
  </si>
  <si>
    <t>sucki tube over 100 cm</t>
  </si>
  <si>
    <t>FZHptGb3TtslyGGcWXgc</t>
  </si>
  <si>
    <t>2022-05-23 12:29:01.290869.jpg-0</t>
  </si>
  <si>
    <t>greater than 100 cm (sechi tube)</t>
  </si>
  <si>
    <t>gZ5PsoOACU15xr8fZUKc</t>
  </si>
  <si>
    <t>2022-05-23 12:07:03.623393.jpg-0</t>
  </si>
  <si>
    <t>sechi tube greater than 100</t>
  </si>
  <si>
    <t>1yFDVEwheGPVZrxgF87c</t>
  </si>
  <si>
    <t>sucky tube 100 cm</t>
  </si>
  <si>
    <t>7heqRtBHR3r0FQGZApwb</t>
  </si>
  <si>
    <t>2022-05-23 11:33:03.088940.jpg-0</t>
  </si>
  <si>
    <t>uDKOhrciSPxQlXqER2WL</t>
  </si>
  <si>
    <t>2022-05-23 10:15:06.435956.jpg-0</t>
  </si>
  <si>
    <t xml:space="preserve">sechi tube 100 cm or greater </t>
  </si>
  <si>
    <t>d6ENKDkzp6uLm68s02g7</t>
  </si>
  <si>
    <t>2022-05-23 09:03:38.530542.jpg-0</t>
  </si>
  <si>
    <t>d9E9LeZFHjd8rpyt1G8B</t>
  </si>
  <si>
    <t>2022-05-23 09:02:19.384894.jpg-0</t>
  </si>
  <si>
    <t>20zFOS4cnd1qcuaeXorQ</t>
  </si>
  <si>
    <t>pkMESaHbnirlrH6lsPKd</t>
  </si>
  <si>
    <t>2022-05-22 10:25:13.318521.jpg-0</t>
  </si>
  <si>
    <t>great than 100 cm (sechi tube)</t>
  </si>
  <si>
    <t>MalrKckyZIhYmbJ8yz7J</t>
  </si>
  <si>
    <t>Lar5ylJooZkqvzWEjm2A</t>
  </si>
  <si>
    <t>xWlF5VWjV75pexuzQSMx</t>
  </si>
  <si>
    <t>yd6EWtgkp2OxM0ESjNoOFhFrSZ53</t>
  </si>
  <si>
    <t>lnqAzMipdWWem30HVtpH</t>
  </si>
  <si>
    <t>a0qYAjQ0W2dEayOesTQI</t>
  </si>
  <si>
    <t>E2ax8MQ7b78GdOuQ7B5F</t>
  </si>
  <si>
    <t>Yhti8SutxVMHKCv7AHz3</t>
  </si>
  <si>
    <t>day after good rain event last night, about 4-5 inches of rain fell</t>
  </si>
  <si>
    <t>GXwIDcPHLPJ86LxE4qMm</t>
  </si>
  <si>
    <t>NinzYeqdj1bwsgUPllZ3</t>
  </si>
  <si>
    <t>2022-05-18 13:59:14.617371.jpg-0</t>
  </si>
  <si>
    <t>W2BrIjyduh1iFLmzlBQJ</t>
  </si>
  <si>
    <t>Ks0wMP5pMHXVFHyGjsXu</t>
  </si>
  <si>
    <t>Secchi Tube = 82 cm</t>
  </si>
  <si>
    <t>aBYjJv9lcP8KCJBsnAZi</t>
  </si>
  <si>
    <t>2022-05-16 11:50:07.818647.jpg-0</t>
  </si>
  <si>
    <t xml:space="preserve">Canfield is looking great.  I forgot thermometer but it’s pretty cool.  </t>
  </si>
  <si>
    <t>b5vhP0j6X6XryrFgP4Fu</t>
  </si>
  <si>
    <t>2022-05-16 09:40:56.792484.jpg-0</t>
  </si>
  <si>
    <t>G75XXILvxc7eNLqymRN6</t>
  </si>
  <si>
    <t>Lkv1emjLMSII5IAlDJ2c</t>
  </si>
  <si>
    <t>4jBg1RgU6a7RbkTnco4l</t>
  </si>
  <si>
    <t>2022-05-12 18:29:12.431209.jpg-0</t>
  </si>
  <si>
    <t>fast moving muddy water after more than an inch of rain last night</t>
  </si>
  <si>
    <t>Q5H81fZZpbUTFxx2jhBD</t>
  </si>
  <si>
    <t>2022-05-12 16:00:19.868270.jpg-02022-05-12 16:00:19.868270.jpg-12022-05-12 16:00:19.868270.jpg-2</t>
  </si>
  <si>
    <t>YZjWEQ5EVDeIX0Zzxau9</t>
  </si>
  <si>
    <t>aqO8QIwpZCkewEWOHw3j</t>
  </si>
  <si>
    <t>2022-05-11 17:27:53.121895.jpg-0</t>
  </si>
  <si>
    <t xml:space="preserve">water temp 54 degrees.  </t>
  </si>
  <si>
    <t>rRuo3m4C9dyXYrXQnkIx</t>
  </si>
  <si>
    <t>2022-05-11 16:51:53.973696.jpg-0</t>
  </si>
  <si>
    <t xml:space="preserve">water temp 55 degrees.  much lower than a stream I just fished that was 64.  otherwise looks good but phosphate surprised me. </t>
  </si>
  <si>
    <t>7gdrKTNKubvXeMjjhc1W</t>
  </si>
  <si>
    <t>2022-05-10 14:17:56.741125.jpg-0</t>
  </si>
  <si>
    <t xml:space="preserve">Forestville Creek </t>
  </si>
  <si>
    <t>15F316BgSGLTSEh44bPr</t>
  </si>
  <si>
    <t xml:space="preserve">Recent field preparation and planting done this past week. </t>
  </si>
  <si>
    <t>L9PmvGXccJE6L4ARvRCj</t>
  </si>
  <si>
    <t>2022-05-10 10:58:47.783203.jpg-0</t>
  </si>
  <si>
    <t>ldArm8uD3QPmLAzMqrMF</t>
  </si>
  <si>
    <t>2022-05-10 10:01:20.387033.jpg-0</t>
  </si>
  <si>
    <t xml:space="preserve">65 degrees air temp, ptly cloudy, heavy thunderstrm 15 hours ago. </t>
  </si>
  <si>
    <t>LOOmw1OSK7A5HmDMYF6c</t>
  </si>
  <si>
    <t xml:space="preserve">hay creek </t>
  </si>
  <si>
    <t>ZyCPx5a7JCt5qgSg5Ouc</t>
  </si>
  <si>
    <t>320th hay creek</t>
  </si>
  <si>
    <t>q01MkADw6vWUqAza7gsK</t>
  </si>
  <si>
    <t>325th hay creek</t>
  </si>
  <si>
    <t>HA9eVMX0PHtutsC0LvG4</t>
  </si>
  <si>
    <t>jj7B66wBA3YQo84792uvWfxjNp83</t>
  </si>
  <si>
    <t>xtjbfMRjeKREpmWXHKQJ</t>
  </si>
  <si>
    <t>4Uwte6cSgW2kSdLT2a1q</t>
  </si>
  <si>
    <t>Wkf8dtZfPnQ6Aa5QNL7H</t>
  </si>
  <si>
    <t>2022-05-05 13:17:28.704916.jpg-0</t>
  </si>
  <si>
    <t xml:space="preserve">cattle stream.  lower French Creek
</t>
  </si>
  <si>
    <t>QkY5kfW53fdZjODnbQDK</t>
  </si>
  <si>
    <t>1IjVDMGkVWeSbOdEOdmT</t>
  </si>
  <si>
    <t>FRPoSsIYe9IbEFflyVU1</t>
  </si>
  <si>
    <t>NVg2JtaJbCC1BwI1e7VY</t>
  </si>
  <si>
    <t>2022-05-05 12:15:40.788555.jpg-0</t>
  </si>
  <si>
    <t>bABW1I9cqtB7rwS7weEY</t>
  </si>
  <si>
    <t>F7XiUpIN777PSVfiwttf</t>
  </si>
  <si>
    <t>2022-05-05 11:27:33.808986.jpg-0</t>
  </si>
  <si>
    <t>0xhUl0eTzvjUtqR7mmmv</t>
  </si>
  <si>
    <t>XSCU6RSdFNDoyi0zkRoz</t>
  </si>
  <si>
    <t>OIOlVPse7xHXz8SLrDSl</t>
  </si>
  <si>
    <t>2022-05-05 09:20:32.875747.jpg-0</t>
  </si>
  <si>
    <t>AFxpZQQW5rOidPTJnrJ2</t>
  </si>
  <si>
    <t>y5tzcIZYCpo9YVCShcTm</t>
  </si>
  <si>
    <t>UG9W5iaIOn010GITG3rU</t>
  </si>
  <si>
    <t>VRKEXbTwqo8zG974vIeh</t>
  </si>
  <si>
    <t>2022-05-02 15:08:06.848170.jpg-0</t>
  </si>
  <si>
    <t xml:space="preserve">cloudy, 47 degrees, two-day rain ended last night. </t>
  </si>
  <si>
    <t>CkHwrVtNHHpJOHjXi5gT</t>
  </si>
  <si>
    <t>wckOFcPqx5YY1EkOgSfv</t>
  </si>
  <si>
    <t>2022-05-01 10:54:18.919203.jpg-0</t>
  </si>
  <si>
    <t>agoMXmxrpSbld0PcSSeR</t>
  </si>
  <si>
    <t>2022-05-01 08:59:11.573861.jpg-0</t>
  </si>
  <si>
    <t>57ffW3CW7HTSPaVYKZc1</t>
  </si>
  <si>
    <t>8X1G1CGBI3BdwW4AEw8c</t>
  </si>
  <si>
    <t>1AkLPYdnobHhCfKkxr3u</t>
  </si>
  <si>
    <t>Q2H8CFX5pS48pFWRg6T9</t>
  </si>
  <si>
    <t>x1JkWp2SHCsCcCVzLLYa</t>
  </si>
  <si>
    <t>KaQ4rVJnyY8lm5qYmiMe</t>
  </si>
  <si>
    <t>snV1pOqKhdN1wLydFr9U</t>
  </si>
  <si>
    <t>DwudQDrTVJkmNybN5Jdc</t>
  </si>
  <si>
    <t>iCYN3SZrSSSGzee4RyXM</t>
  </si>
  <si>
    <t>2022-04-27 10:03:12.586697.jpg-0</t>
  </si>
  <si>
    <t xml:space="preserve">West Indian creek, just upstream from improvement area - EH </t>
  </si>
  <si>
    <t>ShoiEd5o1WavQbTzGKOp</t>
  </si>
  <si>
    <t>2022-04-26 15:04:25.607861.jpg-0</t>
  </si>
  <si>
    <t>mLaJGRTlNFvUgpKmgYTx</t>
  </si>
  <si>
    <t>7OSwi4Ae6R84oCp0qAkE</t>
  </si>
  <si>
    <t>D17U1veFZVXjEf12Xz7qLJhjKsm2</t>
  </si>
  <si>
    <t>2022-04-24 08:33:11.078518.jpg-0</t>
  </si>
  <si>
    <t xml:space="preserve">Fished and tested the south branch vermillion today. Day after rain storm </t>
  </si>
  <si>
    <t>4UlNRjU8MRJeclySgsWB</t>
  </si>
  <si>
    <t>PgORd2hW9PVfRPdK8LpF</t>
  </si>
  <si>
    <t>xKlF30X7VWwdFNWOm4VO</t>
  </si>
  <si>
    <t>2022-04-23 08:38:29.389920.jpg-0</t>
  </si>
  <si>
    <t>tbgGjf0eA4700UuRjWx0</t>
  </si>
  <si>
    <t>nYgjnDBEeXOQSZmjeuNe</t>
  </si>
  <si>
    <t>2022-04-21 18:07:09.166197.jpg-0</t>
  </si>
  <si>
    <t>D2P6Jwt9ZBZA32hTmiyJ</t>
  </si>
  <si>
    <t>9thMkuYFLWkEHo5JNnlt</t>
  </si>
  <si>
    <t>2022-04-21 14:53:40.878501.jpg-0</t>
  </si>
  <si>
    <t>clear &amp; little low</t>
  </si>
  <si>
    <t>lN95sqXq5XYcxuHBcmIV</t>
  </si>
  <si>
    <t>dj2nrrSQvvRzfv3kgnbu</t>
  </si>
  <si>
    <t>Qg3xPNFiDU6wWucWJbTl</t>
  </si>
  <si>
    <t>B5rof7IWbwF9I1E9K8WH</t>
  </si>
  <si>
    <t>2022-04-16 15:40:18.381784.jpg-0</t>
  </si>
  <si>
    <t>just upstream of bridge on Rush Creek</t>
  </si>
  <si>
    <t>YKcWfNOKqUCnvjMhGcsT</t>
  </si>
  <si>
    <t>0o0mbNO1EGZHBdeHAgdepC7aYQM2</t>
  </si>
  <si>
    <t>2022-04-15 18:46:10.348143.jpg-02022-04-15 18:46:10.348143.jpg-1</t>
  </si>
  <si>
    <t xml:space="preserve">the pin is off a little bit. this was just below where Dunning springs dumps into the upper Iowa </t>
  </si>
  <si>
    <t>PXukh04ArrFyJYpim8gg</t>
  </si>
  <si>
    <t>CXhiIjnaKUQwXlmZdziND741HVA2</t>
  </si>
  <si>
    <t>2022-04-11 16:38:45.277949.jpg-0</t>
  </si>
  <si>
    <t>gpcVoxP4UH1oLkbJfr96</t>
  </si>
  <si>
    <t>ypBj4ZfaCOyZoGM2qDWk</t>
  </si>
  <si>
    <t>iXuQ27TJt2koj7vdINSm</t>
  </si>
  <si>
    <t>NiX9Bf9C0tGBZuBblUuq</t>
  </si>
  <si>
    <t>22151pOJVhRJUEfQcj0V</t>
  </si>
  <si>
    <t>2022-04-07 16:01:19.109940.jpg-0</t>
  </si>
  <si>
    <t>EI9mrpNirFYswX8KX8Wu</t>
  </si>
  <si>
    <t>2022-04-07 14:04:22.490761.jpg-0</t>
  </si>
  <si>
    <t>eP0vjiAqehIMS2kEoLmI</t>
  </si>
  <si>
    <t>2022-04-07 12:21:34.391453.jpg-02022-04-07 12:21:34.391453.jpg-1</t>
  </si>
  <si>
    <t>Bjm8pp4I8Uyh8wn6zpuY</t>
  </si>
  <si>
    <t>gb3oYKzilU8YZOqSz38M</t>
  </si>
  <si>
    <t>ikGjha1rbori4GJ7Hywv</t>
  </si>
  <si>
    <t>hn1IEMvAK9V14ifuFk5v</t>
  </si>
  <si>
    <t>2022-04-06 14:58:39.665782.jpg-0</t>
  </si>
  <si>
    <t>run-off conditions due to multi-day rain</t>
  </si>
  <si>
    <t>lZKyjiV2jgkggXckipFc</t>
  </si>
  <si>
    <t>2022-04-04 13:49:39.649617.jpg-0</t>
  </si>
  <si>
    <t>iUd4xTxTOBUzOGkmZsYf</t>
  </si>
  <si>
    <t>8DPz88C9KrJUYDwvylRs</t>
  </si>
  <si>
    <t>sjtPgDFmE3YBMG5FtHBU</t>
  </si>
  <si>
    <t>s8edId9lg6ZV8gj3qg6ejm7GBUZ2</t>
  </si>
  <si>
    <t>raWqssx6CUWko05bUnXP</t>
  </si>
  <si>
    <t>2022-04-02 10:59:26.662093.jpg-0</t>
  </si>
  <si>
    <t>sQQarCsy21E6H8LtV7Xz</t>
  </si>
  <si>
    <t>2022-04-02 10:55:19.773887.jpg-0</t>
  </si>
  <si>
    <t>s3dG9lkGU1eW6wzcF56I</t>
  </si>
  <si>
    <t>IEiyyjGWLAfxEMEKFjyj</t>
  </si>
  <si>
    <t>eIu5siSfe5FcMyuIVJ62</t>
  </si>
  <si>
    <t>Lmb2J9ouXVfqxSWoN4ps</t>
  </si>
  <si>
    <t>x69aovNNpiarDO0I60ml</t>
  </si>
  <si>
    <t>2022-04-02 10:37:03.587365.jpg-02022-04-02 10:37:03.587365.jpg-1</t>
  </si>
  <si>
    <t>ynTMsEQxsnFdh1aZ165f</t>
  </si>
  <si>
    <t>lSASpqIzuAwdxrxoElbP</t>
  </si>
  <si>
    <t>2022-03-29 13:57:37.160933.jpg-0</t>
  </si>
  <si>
    <t xml:space="preserve">Base Flow, 40 degrees, overcast. </t>
  </si>
  <si>
    <t>P78KvDIinm2aPOovMxou</t>
  </si>
  <si>
    <t>2022-02-21 12:29:25.951651.jpg-02022-02-21 12:29:25.951651.jpg-1</t>
  </si>
  <si>
    <t>snowmelt yesterday led to runoff</t>
  </si>
  <si>
    <t>UFffU27WI2bFnWRxfnjG</t>
  </si>
  <si>
    <t>iNUECZECvWtCGokLZ9tf</t>
  </si>
  <si>
    <t>2021-10-09 11:35:32.477539.jpg-0</t>
  </si>
  <si>
    <t>pJ235zColCJaiezPcrS8</t>
  </si>
  <si>
    <t xml:space="preserve">Forestville Creek after major rain. </t>
  </si>
  <si>
    <t>DIgwiQ13LCCBLFWlhfd0</t>
  </si>
  <si>
    <t>Overall - Fish</t>
  </si>
  <si>
    <t xml:space="preserve">Notes </t>
  </si>
  <si>
    <t>Notes</t>
  </si>
  <si>
    <t>Thresholds</t>
  </si>
  <si>
    <t>Trout Stream Flag</t>
  </si>
  <si>
    <t>rWwcpD4FZRBBpIINvuCm</t>
  </si>
  <si>
    <t>hach test 4
tds 298
conductivity 436
ph 8.5
selinity 206</t>
  </si>
  <si>
    <t>3oQDyacjwvlZY3eGOjd4</t>
  </si>
  <si>
    <t>hach 4
tds 272
conductivity 443
ph 8.5
salinity 211
limestone kiln</t>
  </si>
  <si>
    <t>ja8JqFCQv3SxuEkKkBrp</t>
  </si>
  <si>
    <t>287 tds
420 conductivity
8.4 pH
206 salinity
hach 6</t>
  </si>
  <si>
    <t>Pkiv720jVqkNb7lVAg0l</t>
  </si>
  <si>
    <t>2022-10-30 12:38:19.955953.jpg-02022-10-30 12:38:19.955953.jpg-12022-10-30 12:38:19.955953.jpg-2</t>
  </si>
  <si>
    <t xml:space="preserve">hach test 6
 beaver dam up river?
tds variable 298
408 conductivity
8.3 pH
201 salinity </t>
  </si>
  <si>
    <t>FB7bXfnovVldoATT6Ax3</t>
  </si>
  <si>
    <t>2022-10-30 11:54:08.197691.jpg-0</t>
  </si>
  <si>
    <t xml:space="preserve">hach test 6
282 tds
418 conductivity 
8.2 pH
201 salinity 
</t>
  </si>
  <si>
    <t>uWBuQcCoEkOaBd9ewV6H</t>
  </si>
  <si>
    <t>HACH test NO3 at 8 ppm</t>
  </si>
  <si>
    <t>AridRL2yO4Z1hDDcXsKA</t>
  </si>
  <si>
    <t>Stream still overgrown with plants.</t>
  </si>
  <si>
    <t>mHHQrJkacSW3VYaeAN51</t>
  </si>
  <si>
    <t xml:space="preserve">thunder storms in Rochester last night. not sure about here </t>
  </si>
  <si>
    <t>UAceqWNmxaFn98hSIU89</t>
  </si>
  <si>
    <t>2022-10-24 12:31:53.592158.jpg-0</t>
  </si>
  <si>
    <t xml:space="preserve">thunder storm last night.  </t>
  </si>
  <si>
    <t>fOYfHI9Gix0YJa12ayJB</t>
  </si>
  <si>
    <t xml:space="preserve">nitrates seemed really high.Rochester had thunderstorms last night.  </t>
  </si>
  <si>
    <t>es6u6dwkaHdbAASZFT5u</t>
  </si>
  <si>
    <t>2022-10-23 12:19:57.657617.jpg-02022-10-23 12:19:57.657617.jpg-1</t>
  </si>
  <si>
    <t>zt7jOGPow5z2JcBLtgHZ</t>
  </si>
  <si>
    <t>bx1miqwmeHL8Oy1hs6Kk</t>
  </si>
  <si>
    <t>IOlsCFvhM0cd319PSoXt</t>
  </si>
  <si>
    <t>ca7dOuja9CD5Dw2mu8OE</t>
  </si>
  <si>
    <t>Y7fumJF6umcqwvgDyESS</t>
  </si>
  <si>
    <t>6q9X1QwpMZOWiuCbadAA</t>
  </si>
  <si>
    <t xml:space="preserve"> Many areas of bank access with heavy bovine traffic including hoof prints on this island, indicating significant livestock access to the water. Mainly from here upstream short distance. The water here and down the street is cloudy here and saltier than anywhere else I have been fishing on water</t>
  </si>
  <si>
    <t>XcbFh4P4ZS2M6nhwC12K</t>
  </si>
  <si>
    <t>beaver in water at this location</t>
  </si>
  <si>
    <t>tm4BBtxA0N9NE0VjC1AW</t>
  </si>
  <si>
    <t>2022-10-08 11:22:52.978322.jpg-02022-10-08 11:22:52.978322.jpg-1</t>
  </si>
  <si>
    <t>looks good except the sheet of barrier film</t>
  </si>
  <si>
    <t>Q39SJCjVg2gfSKGAZBhE</t>
  </si>
  <si>
    <t>2022-10-08 10:58:22.862294.jpg-0</t>
  </si>
  <si>
    <t>good shape. 24 fish in 3hrs fishing. 6- 13"</t>
  </si>
  <si>
    <t>7MYBpAZTaY0jJFIN6FYW</t>
  </si>
  <si>
    <t>jknHaddJR8ltCjQGj05i</t>
  </si>
  <si>
    <t>1IDZ8qUdEigTG2pM5bpc</t>
  </si>
  <si>
    <t>2022-10-03 13:32:01.670688.jpg-0</t>
  </si>
  <si>
    <t>hINDntIjOUL59l72EPda</t>
  </si>
  <si>
    <t>ZfwtzP2wYuqEk0cigqXj</t>
  </si>
  <si>
    <t>2022-10-01 13:00:42.169110.jpg-0</t>
  </si>
  <si>
    <t>tiny tiny Gorman creek.  53 degrees</t>
  </si>
  <si>
    <t>0vVo5veBMRZ1wEUSBLBe</t>
  </si>
  <si>
    <t>2022-10-01 12:26:36.139175.jpg-0</t>
  </si>
  <si>
    <t xml:space="preserve">53 degrees.  snake creek.  brookies </t>
  </si>
  <si>
    <t>vEdOL7bSUp6JXTbZDq5b</t>
  </si>
  <si>
    <t>2022-10-01 12:03:14.143068.jpg-0</t>
  </si>
  <si>
    <t xml:space="preserve">trout creek is 54 degrees
</t>
  </si>
  <si>
    <t>cpQooc1j0rtjRkmsouxz</t>
  </si>
  <si>
    <t>KVXZ9j8x7JNTgs74Wpqf</t>
  </si>
  <si>
    <t>53 degrees</t>
  </si>
  <si>
    <t>HIYeFxnPuMUboUL1hFKf</t>
  </si>
  <si>
    <t>2022-10-01 11:09:35.012300.jpg-0</t>
  </si>
  <si>
    <t xml:space="preserve">Latsch is very small but I’ve heard it’s very good for brookies.   51 degrees
</t>
  </si>
  <si>
    <t>6k9K8Kct0oUbaqpk9b0y</t>
  </si>
  <si>
    <t>2022-10-01 09:49:52.861953.jpg-0</t>
  </si>
  <si>
    <t>231rMjPoQUXszTh6oyE2</t>
  </si>
  <si>
    <t xml:space="preserve">
ALDIs site
secchi clear
HACH nitrate test 8ppm (9?)
Extech digital:
tds 360
conductivity 380
pH 8.6
salinity 187
</t>
  </si>
  <si>
    <t>NqmiT5jA77Ej3edyadEv</t>
  </si>
  <si>
    <t xml:space="preserve">below lower dam 
secchi clear past 100cm
HACH nitrate test 8ppm
Extech digital:
conductivity 245
pH 8.5
salinity 208
tds 309 ppm
</t>
  </si>
  <si>
    <t>f1h8UmgYmKg8HaVmUrty</t>
  </si>
  <si>
    <t>lowest post dams site. 
secchi
Extech digital
conductivity 420
pH 8.5
salinity 206
tds 302 ppm
tds 306 mg/l
HACH test 8
secchi clear past 100 cm</t>
  </si>
  <si>
    <t>o0jqNBeWxwG4aou3aQTV</t>
  </si>
  <si>
    <t xml:space="preserve">Kinni confluence state park USGS SITE. secchi clear over 100cm. 
digital Extech : 
430 micro conductivity
ph 8.5
212 salinity
312 ppm tds
313 mg/l tds
HACH TEST 6ppm
</t>
  </si>
  <si>
    <t>raaL3qauOxcvhDKBtGVU</t>
  </si>
  <si>
    <t>0vu1QJHjrYQnLcC2keQi</t>
  </si>
  <si>
    <t>secchi tube greater than 100
8 HACH test</t>
  </si>
  <si>
    <t>IQR46kCqStlkQZTu8miz</t>
  </si>
  <si>
    <t>0elN8KavW0UcwfuEgg2M</t>
  </si>
  <si>
    <t>2022-09-30 15:17:12.861749.jpg-0</t>
  </si>
  <si>
    <t>HACH test
secchi tube</t>
  </si>
  <si>
    <t>LF6qRBnoPtdop5exeo6n</t>
  </si>
  <si>
    <t>2022-09-29 17:56:30.991545.jpg-0</t>
  </si>
  <si>
    <t>IHOf8hPbnxr2Sor2CVUE</t>
  </si>
  <si>
    <t>2022-09-29 12:27:34.101011.jpg-0</t>
  </si>
  <si>
    <t>0DZoDuy04FWGPF2GqE8g</t>
  </si>
  <si>
    <t>Cr7DZaCENU88RslTN7xI</t>
  </si>
  <si>
    <t>hu5nRc00maHrlnbiaOLE</t>
  </si>
  <si>
    <t xml:space="preserve">57 degrees.  
I used two 5-1 strips and made 10-12 tests and all were rejected. something is wrong.  </t>
  </si>
  <si>
    <t>c4FlVBzy5ZEItKgzfOUz</t>
  </si>
  <si>
    <t>52 degrees.  thete are brook trout in stream</t>
  </si>
  <si>
    <t>APGzzjrfz5bdAHYGYNBp</t>
  </si>
  <si>
    <t>HYL1EgVC5kT09iksqoYLhWO3nNa2</t>
  </si>
  <si>
    <t>2022-09-26 13:48:35.900148.jpg-0</t>
  </si>
  <si>
    <t>5l5Br4H1zEQdz4KFNL19</t>
  </si>
  <si>
    <t>2022-09-26 13:47:32.137318.jpg-0</t>
  </si>
  <si>
    <t>Z52AraNZnooHZoYgp6oT</t>
  </si>
  <si>
    <t>2022-09-26 13:47:02.833130.jpg-0</t>
  </si>
  <si>
    <t>Taiwtsncm5ePmkECFsmW</t>
  </si>
  <si>
    <t>2022-09-26 13:30:48.573794.jpg-0</t>
  </si>
  <si>
    <t>Qjn1qupHXlwid5FRWP2z</t>
  </si>
  <si>
    <t xml:space="preserve">drain outlet </t>
  </si>
  <si>
    <t>aY64l6diobB3hvYrr0hX</t>
  </si>
  <si>
    <t>jgZPQWdbB99hK6tIA0Wb</t>
  </si>
  <si>
    <t>0vv96ENplly27PfpHHhb</t>
  </si>
  <si>
    <t>WCw4SdtdqBK5R9h2LlyZ</t>
  </si>
  <si>
    <t xml:space="preserve">53 degrees. Canfield looks good. </t>
  </si>
  <si>
    <t>dWU4bUiMEfKSo8dXfdnM</t>
  </si>
  <si>
    <t xml:space="preserve">52 degrees </t>
  </si>
  <si>
    <t>vH3cYIOs8a8X0dJePyJq</t>
  </si>
  <si>
    <t>57 degrees.  looks great</t>
  </si>
  <si>
    <t>2DklIgLMzr2Aycy8LqBf</t>
  </si>
  <si>
    <t>tVtBZlHWkHSPGLRdt88O</t>
  </si>
  <si>
    <t>fZUIAchSzpsZvgoWg196</t>
  </si>
  <si>
    <t>U1ppTrsIIvUNggl6Fjd2</t>
  </si>
  <si>
    <t>2022-07-29 08:11:33.820354.jpg-0</t>
  </si>
  <si>
    <t xml:space="preserve">moved sampling location to next  easement upstream. original site was unsafe due to steep banks, large rocks, deep water and wild parsnip
</t>
  </si>
  <si>
    <t>Observer Chapter Affiliation</t>
  </si>
  <si>
    <t>Primary Stream</t>
  </si>
  <si>
    <t>All Streams</t>
  </si>
  <si>
    <t>Kedron Creek</t>
  </si>
  <si>
    <t>Little Lemonweir River</t>
  </si>
  <si>
    <t>Cannon River</t>
  </si>
  <si>
    <t>South Branch Vermillion River</t>
  </si>
  <si>
    <t>South Fork Kinnickinnic River</t>
  </si>
  <si>
    <t>Kinnickinnic River</t>
  </si>
  <si>
    <t>Miller Creek</t>
  </si>
  <si>
    <t>Snag Creek</t>
  </si>
  <si>
    <t>Spring Valley Creek</t>
  </si>
  <si>
    <t>Rush River</t>
  </si>
  <si>
    <t>Canfield Creek</t>
  </si>
  <si>
    <t>Vermillion River</t>
  </si>
  <si>
    <t>Cold Creek</t>
  </si>
  <si>
    <t>Trout Run</t>
  </si>
  <si>
    <t>Trimbelle River</t>
  </si>
  <si>
    <t>Spring Creek</t>
  </si>
  <si>
    <t>Hay Creek</t>
  </si>
  <si>
    <t>Sugar Creek</t>
  </si>
  <si>
    <t>West Branch Du Page River</t>
  </si>
  <si>
    <t>Snake Creek</t>
  </si>
  <si>
    <t>Buffalo River</t>
  </si>
  <si>
    <t>Mill Creek</t>
  </si>
  <si>
    <t>Clear Creek</t>
  </si>
  <si>
    <t>Eau Galle River</t>
  </si>
  <si>
    <t>Elk Creek</t>
  </si>
  <si>
    <t>Burkhart Creek</t>
  </si>
  <si>
    <t>Plum Creek</t>
  </si>
  <si>
    <t>South Fork Root River</t>
  </si>
  <si>
    <t>Rush Creek</t>
  </si>
  <si>
    <t>Carson Creek</t>
  </si>
  <si>
    <t>Torkelson Creek</t>
  </si>
  <si>
    <t>Little Cannon River</t>
  </si>
  <si>
    <t>Trout Creek</t>
  </si>
  <si>
    <t>South Fork Whitewater River</t>
  </si>
  <si>
    <t>East Indian Creek</t>
  </si>
  <si>
    <t>Lowes Creek</t>
  </si>
  <si>
    <t>Gilmore Creek</t>
  </si>
  <si>
    <t>Beaver Creek East</t>
  </si>
  <si>
    <t>Bear Creek</t>
  </si>
  <si>
    <t>Pine Creek</t>
  </si>
  <si>
    <t>Crow Spring</t>
  </si>
  <si>
    <t>Forestville Creek</t>
  </si>
  <si>
    <t>Otter Creek</t>
  </si>
  <si>
    <t>Bee Creek</t>
  </si>
  <si>
    <t>Trempealeau River</t>
  </si>
  <si>
    <t>South Fork Bad Axe River</t>
  </si>
  <si>
    <t>South Branch Root River</t>
  </si>
  <si>
    <t>Camp Creek</t>
  </si>
  <si>
    <t>Cady Creek</t>
  </si>
  <si>
    <t>Wisel Creek</t>
  </si>
  <si>
    <t>Duschee Creek</t>
  </si>
  <si>
    <t>Browns Creek</t>
  </si>
  <si>
    <t>Mormon Creek</t>
  </si>
  <si>
    <t>Timber Coulee Creek</t>
  </si>
  <si>
    <t>Black Earth Creek</t>
  </si>
  <si>
    <t>Eagle Creek</t>
  </si>
  <si>
    <t>Lost Creek</t>
  </si>
  <si>
    <t>Zumbro River</t>
  </si>
  <si>
    <t>Harvey Creek</t>
  </si>
  <si>
    <t>Rice Creek</t>
  </si>
  <si>
    <t>North Fork Buffalo River</t>
  </si>
  <si>
    <t>Mink Creek</t>
  </si>
  <si>
    <t>Volga River</t>
  </si>
  <si>
    <t>Beaver Creek West</t>
  </si>
  <si>
    <t>Saint Croix River</t>
  </si>
  <si>
    <t>West Fork Kickapoo River</t>
  </si>
  <si>
    <t>Grannis Creek</t>
  </si>
  <si>
    <t>Isabelle Creek</t>
  </si>
  <si>
    <t>Yellow River</t>
  </si>
  <si>
    <t>West Branch Sugar River</t>
  </si>
  <si>
    <t>Middle Fork Whitewater River</t>
  </si>
  <si>
    <t>Coon Creek</t>
  </si>
  <si>
    <t>Etna Creek</t>
  </si>
  <si>
    <t>Rowan Creek</t>
  </si>
  <si>
    <t>South Fork Hay River</t>
  </si>
  <si>
    <t>Goose Creek</t>
  </si>
  <si>
    <t>Moine Creek</t>
  </si>
  <si>
    <t>Brush Creek</t>
  </si>
  <si>
    <t>Canoe Creek</t>
  </si>
  <si>
    <t>Cedar Creek</t>
  </si>
  <si>
    <t>Sugar River</t>
  </si>
  <si>
    <t>Badger Creek</t>
  </si>
  <si>
    <t>Badger Mill Creek</t>
  </si>
  <si>
    <t>Big Trout Creek</t>
  </si>
  <si>
    <t>Traverse Valley Creek</t>
  </si>
  <si>
    <t>Hunt Valley</t>
  </si>
  <si>
    <t>Seas Branch</t>
  </si>
  <si>
    <t>Waumandee Creek</t>
  </si>
  <si>
    <t>Hemingway Creek</t>
  </si>
  <si>
    <t>Vermont Creek</t>
  </si>
  <si>
    <t>South Fork Buffalo River</t>
  </si>
  <si>
    <t>Jermstad Creek</t>
  </si>
  <si>
    <t>Fryes Feeder</t>
  </si>
  <si>
    <t>Swede Bottom Creek</t>
  </si>
  <si>
    <t>South Bear Creek</t>
  </si>
  <si>
    <t>Gribben Creek</t>
  </si>
  <si>
    <t>Cave Creek</t>
  </si>
  <si>
    <t>Rullands Coulee Creek</t>
  </si>
  <si>
    <t>Brunner Valley</t>
  </si>
  <si>
    <t>French Creek</t>
  </si>
  <si>
    <t>Parker Creek</t>
  </si>
  <si>
    <t>Gorman Creek</t>
  </si>
  <si>
    <t>TU Chapter Domain</t>
  </si>
  <si>
    <t>Sum</t>
  </si>
  <si>
    <t>New Users</t>
  </si>
  <si>
    <t>Observations/
Observer</t>
  </si>
  <si>
    <t>Obsvns/obsvr</t>
  </si>
  <si>
    <t>DA User Data</t>
  </si>
  <si>
    <t xml:space="preserve">*Large turnover between 2019 to 2020 likely due to the change of app download from manual to through the Play Store/Apple Store </t>
  </si>
  <si>
    <t>2019*</t>
  </si>
  <si>
    <t>Change from Previous Year</t>
  </si>
  <si>
    <t>5n1 Test Strip</t>
  </si>
  <si>
    <t>2n1 Test Strip</t>
  </si>
  <si>
    <t>Stream Disturb-ances</t>
  </si>
  <si>
    <t>Observ. Water Source</t>
  </si>
  <si>
    <t>Observa-tions</t>
  </si>
  <si>
    <t xml:space="preserve">*Due to further editing of the database, the number of observations in 2019 does not match the number reported in the 2019 and 2020 annual reports.  </t>
  </si>
  <si>
    <t>Observations per observer</t>
  </si>
  <si>
    <t>TU Chapters</t>
  </si>
  <si>
    <t>Oak Brook</t>
  </si>
  <si>
    <t>Southern Wisconsin</t>
  </si>
  <si>
    <t>Twin Cities (TCTU)</t>
  </si>
  <si>
    <t>Wisconsin Clear Waters</t>
  </si>
  <si>
    <t>Win-Cres</t>
  </si>
  <si>
    <t xml:space="preserve">Other </t>
  </si>
  <si>
    <t>Other/Unknown Affiliations*</t>
  </si>
  <si>
    <t>Application of total samples</t>
  </si>
  <si>
    <t>Phosphorus Test Strip</t>
  </si>
  <si>
    <t>Analyses per observation</t>
  </si>
  <si>
    <t>Count</t>
  </si>
  <si>
    <t>% Total</t>
  </si>
  <si>
    <t>Mid-Stage</t>
  </si>
  <si>
    <t>ALK Bin (ppm)</t>
  </si>
  <si>
    <t>HRD Bin (ppm)</t>
  </si>
  <si>
    <t>NO2 Bin (5n1) (ppm)</t>
  </si>
  <si>
    <t>NO3 Bin (5n1) (ppm)</t>
  </si>
  <si>
    <t>Water Temperature (oF)</t>
  </si>
  <si>
    <t>NO2 Bin (2n1) (ppm)</t>
  </si>
  <si>
    <t>NO3 Bin (2n1) (ppm)</t>
  </si>
  <si>
    <t>Isabelle Creek @ County Rd. EE</t>
  </si>
  <si>
    <t>Pine Creek @ County Rd. AA</t>
  </si>
  <si>
    <t>Plum Creek @ Plum CIty Park</t>
  </si>
  <si>
    <t>Hay Creek @ 325th St</t>
  </si>
  <si>
    <t>Hay Creek @ 320th St</t>
  </si>
  <si>
    <t>Ortho-Phosphate</t>
  </si>
  <si>
    <t>Alkalinity</t>
  </si>
  <si>
    <t>qbhwnqIvzWN4zeIA9JQj</t>
  </si>
  <si>
    <t>2023-08-30 09:03:51.594789.jpg-0</t>
  </si>
  <si>
    <t xml:space="preserve">Little Jordan is a touch stained.  not sure why.  but very low nitrates.  I still called it clear.  </t>
  </si>
  <si>
    <t>0QBooxcXLHTeYvDkpuEp</t>
  </si>
  <si>
    <t>2023-08-30 08:16:41.182712.jpg-0</t>
  </si>
  <si>
    <t xml:space="preserve">very low and clear.  I flushed a dozen wood ducks and a great blue heron coming in.  </t>
  </si>
  <si>
    <t>eZfyCpCZGWazeyM6LogI</t>
  </si>
  <si>
    <t>DItF5YQkWOLMFyl3xjMv</t>
  </si>
  <si>
    <t>v1l0bjBxdqMdvabzdLUz</t>
  </si>
  <si>
    <t>2023-08-27 10:34:21.806937.jpg-0</t>
  </si>
  <si>
    <t>West Indian creek - just upstream from parking lot</t>
  </si>
  <si>
    <t>sYuGSQbAHkqMAugn0o6H</t>
  </si>
  <si>
    <t>54lffBe1Osagvtp3tMEO</t>
  </si>
  <si>
    <t>inidBfHzkzPKUyeLROUq9PMQemF2</t>
  </si>
  <si>
    <t xml:space="preserve">sugar Grove valley cr at sth 23. tp, TN, orthop, not, and ammonia sample collected and sent to WSLH </t>
  </si>
  <si>
    <t>WMhi5JNvNu7Lp5gCsPEc</t>
  </si>
  <si>
    <t xml:space="preserve">Unnamed trib to honey creek at STH 23. TP, TN, NOx, ammonia, and ortho p samples collected and submitted to WSLH </t>
  </si>
  <si>
    <t>U9bSONARi9Sw54eClH3Z</t>
  </si>
  <si>
    <t xml:space="preserve">honey creek at willow road. tp, TN, ammonia, nox, and orthop samples collected and sent to WSLH </t>
  </si>
  <si>
    <t>7w4elmuXP9exyeYAJVkk</t>
  </si>
  <si>
    <t xml:space="preserve">honey creek at cth GG. TP sample collected and sent to WSLH </t>
  </si>
  <si>
    <t>btAAuRl3qN3DSajhVnxE</t>
  </si>
  <si>
    <t xml:space="preserve">Shanahan valley creek at GG. Tp, Tn, nitrates, and ortho p sample collected and sent to WSLH </t>
  </si>
  <si>
    <t>nDYV8DLFzNLQzpaQKmj6</t>
  </si>
  <si>
    <t>Shanahan valley creek at prouty road. Tp sample collected and sent to WSLH.</t>
  </si>
  <si>
    <t>79af17desMLbe17GpA7v</t>
  </si>
  <si>
    <t>90OZQFTmIoLTXTnp8AlL</t>
  </si>
  <si>
    <t>Honey Creek at CTH E. Stream was the most clear we've seen it. this observation was taken in conjunction with water samples collected by DNR and sent to WSLH.</t>
  </si>
  <si>
    <t>IXGjffhKLmFGY13EZgxg</t>
  </si>
  <si>
    <t>2023-08-21 16:50:02.924557.jpg-0</t>
  </si>
  <si>
    <t>significant amount of algae throughout the stretch</t>
  </si>
  <si>
    <t>UUEvD8dNA48aITfq2627</t>
  </si>
  <si>
    <t>7NTXAgPEn9VYyuIA3Cp8vDW3NQX2</t>
  </si>
  <si>
    <t>jSLis5aLB8Gl8HAncE1U</t>
  </si>
  <si>
    <t>OlOUyYehCnsaPXJS2Bx4</t>
  </si>
  <si>
    <t>79 degrees. Sunny.</t>
  </si>
  <si>
    <t>91ZY11pZa2QtR03g4dn6</t>
  </si>
  <si>
    <t>Secchi Tube &gt; 100 cm.
Extensive macrophyte presence at site.</t>
  </si>
  <si>
    <t>uvZ7xRjfhH7DM0mIdktr</t>
  </si>
  <si>
    <t>2023-08-19 10:37:44.444828.jpg-0</t>
  </si>
  <si>
    <t>pristine trout stream</t>
  </si>
  <si>
    <t>HBBkJqzVMdaWDALh2teu</t>
  </si>
  <si>
    <t>vJrwbdPvPnXJgon4SQthmTwobKu2</t>
  </si>
  <si>
    <t>GjvxqyHrkqCL1yEdv7Dh</t>
  </si>
  <si>
    <t>JPeRKIYV47UbzfPT6XNOkzh8jrH3</t>
  </si>
  <si>
    <t>k7IhgjdcawqiovGyfmd4</t>
  </si>
  <si>
    <t>priF5cixMzgI8IDVbN4UORA8Axx2</t>
  </si>
  <si>
    <t>mj5VnvWjAFK9Bf5G8sB3</t>
  </si>
  <si>
    <t>koQhieAGItj7uyvJo8eb</t>
  </si>
  <si>
    <t>Trash,None</t>
  </si>
  <si>
    <t>GZxkT9Qi8R4nEOooHE22</t>
  </si>
  <si>
    <t>2023-08-16 14:37:21.006444.jpg-0</t>
  </si>
  <si>
    <t>Gribben Creek, lots of instream vegetation</t>
  </si>
  <si>
    <t>im4qJA26wx3Nb0Uhc5ab</t>
  </si>
  <si>
    <t>4uqb1hzI0MfIcXbrho9k</t>
  </si>
  <si>
    <t>k6imGQxkdoYmMVg7pAz2w40EZAb2</t>
  </si>
  <si>
    <t>NHMATqrY6cL0rAOZKfhL</t>
  </si>
  <si>
    <t>GxfmEVmTgZaN596Qu7jY</t>
  </si>
  <si>
    <t>eaxdMEkdLQ520k90XQ1l</t>
  </si>
  <si>
    <t>O6R7cgBAFlN231yDLtQS</t>
  </si>
  <si>
    <t>MPtCND8dInykzhck1yMZ</t>
  </si>
  <si>
    <t>5tEGKclaUEoIyXjvNxAP</t>
  </si>
  <si>
    <t>2023-08-14 16:51:57.461919.jpg-0</t>
  </si>
  <si>
    <t>2 inches of rain in the previous 24 hours</t>
  </si>
  <si>
    <t>8hqdFDg0PfrHcBTLP13b</t>
  </si>
  <si>
    <t>OglLIPeRzlMGEns0ejSf</t>
  </si>
  <si>
    <t>UlOTIjO5fRXyX2NgghYvxYXOF0j2</t>
  </si>
  <si>
    <t>THAIeJZ3xUBpSXMc8cKN</t>
  </si>
  <si>
    <t>0jSI9RjktcWbUtELK7Ke</t>
  </si>
  <si>
    <t>EZzCrOMQZ4MjZoYLkHsV</t>
  </si>
  <si>
    <t>eIhJt7Ofv84A58dvphVO</t>
  </si>
  <si>
    <t>72 degrees, bight sun. Rain within last 36 hours.</t>
  </si>
  <si>
    <t>Q6t8q1hEJwTB3iUttTZF</t>
  </si>
  <si>
    <t>iL4InQVt0eQdf8HXXiLJJxA4dTA2</t>
  </si>
  <si>
    <t>tainted creek. no browns few brook. after storm but very clear. high sediment lad with few exposed rocks and high instead aquatic vegetation</t>
  </si>
  <si>
    <t>20dB8PFTZlMUodaxB2Cy</t>
  </si>
  <si>
    <t>kP8cJ7U0ZhqrARzTwqKs</t>
  </si>
  <si>
    <t>3dVJzDFoiW6ja02XKbEY</t>
  </si>
  <si>
    <t>DKq8OLTYViaAQZeR9ADiCfs22M63</t>
  </si>
  <si>
    <t>2023-08-10 15:35:14.876145.jpg-0</t>
  </si>
  <si>
    <t>ran out of 5 in 1 test strips</t>
  </si>
  <si>
    <t>nmVaiQ7ZoLO7cuRBhkvu</t>
  </si>
  <si>
    <t>oeFQgbfGAKxThemaCDYA</t>
  </si>
  <si>
    <t>2023-08-09 17:13:16.293395.jpg-0</t>
  </si>
  <si>
    <t>ran out of 5 in 1 tests</t>
  </si>
  <si>
    <t>k5HIdZUQqzwdx76UDUgj</t>
  </si>
  <si>
    <t>2023-08-09 11:04:05.246337.jpg-0</t>
  </si>
  <si>
    <t>vq6aXlsU6t0Ncec8B4Bx</t>
  </si>
  <si>
    <t>EQtPFnOqwjpuBhTZ065A</t>
  </si>
  <si>
    <t>M7nEAKQN9zgYz7BtxGWTXq0oso12</t>
  </si>
  <si>
    <t>2023-08-08 15:41:07.020599.jpg-0</t>
  </si>
  <si>
    <t>sunny, 83 degrees, low and clear</t>
  </si>
  <si>
    <t>MBLPe0kPKLrlV6QRxRcm</t>
  </si>
  <si>
    <t>2023-08-08 15:39:11.249672.jpg-0</t>
  </si>
  <si>
    <t>Cz9J5tkg6HYADRDIMzbf</t>
  </si>
  <si>
    <t>2023-08-08 14:40:48.593683.jpg-0</t>
  </si>
  <si>
    <t>89q9DhOLV432YcDuCPBz</t>
  </si>
  <si>
    <t>2023-08-07 14:32:40.769393.jpg-0</t>
  </si>
  <si>
    <t>This looks like trout habitat but is not designated as a trout stream.  Box culvert is perched creating a fish movement barrier.</t>
  </si>
  <si>
    <t>5vTVWxWRJWRXOb7nXtHl</t>
  </si>
  <si>
    <t>2023-08-07 13:39:18.494529.jpg-0</t>
  </si>
  <si>
    <t>not much rain all summer! lots of weed growth</t>
  </si>
  <si>
    <t>yaHGyrViB8wVCyl7HJ3w</t>
  </si>
  <si>
    <t>x4Nn1xsVVBpi6BPkDfGN</t>
  </si>
  <si>
    <t>N94iG0XT3NooUZGUdGPC</t>
  </si>
  <si>
    <t>Qa8zCFJze3TAFBtRlCzL60f4jez2</t>
  </si>
  <si>
    <t>xHAw6GH73zIA0MbpeIrm</t>
  </si>
  <si>
    <t>wOnBJTAV2CZK06CRnr5oUK45EDv1</t>
  </si>
  <si>
    <t>2023-08-04 13:15:52.495202.jpg-0</t>
  </si>
  <si>
    <t>jv0BkmYJ7W1zI2qttO9S</t>
  </si>
  <si>
    <t>2023-08-04 12:58:50.397364.jpg-0</t>
  </si>
  <si>
    <t>s2Uk6dzYV4ccWlNW0w4x</t>
  </si>
  <si>
    <t>2023-08-04 07:25:25.316920.jpg-0</t>
  </si>
  <si>
    <t xml:space="preserve"> Water level is low but stream is flowing free at the south branch of the vermilion river</t>
  </si>
  <si>
    <t>zibv5AyFkufK7wjdVfSb</t>
  </si>
  <si>
    <t>2023-08-03 16:05:15.995662.jpg-0</t>
  </si>
  <si>
    <t>4kBvadcHNJhED5aOrMQ5</t>
  </si>
  <si>
    <t>2023-08-03 12:11:43.291558.jpg-0</t>
  </si>
  <si>
    <t>l5Iky592ovQ8lqj319sx</t>
  </si>
  <si>
    <t>tlo89kxqJ3ydHKhghaBO</t>
  </si>
  <si>
    <t>G2RfdLTOzf0fozd8JKyV</t>
  </si>
  <si>
    <t>2023-08-02 17:47:00.726443.jpg-0</t>
  </si>
  <si>
    <t>M1U3p9TEd3BM0P6BsQUi</t>
  </si>
  <si>
    <t>2023-08-02 17:14:58.310221.jpg-0</t>
  </si>
  <si>
    <t>qRz5N0d3V9J77j2o434h</t>
  </si>
  <si>
    <t>2023-08-02 15:44:00.567249.jpg-0</t>
  </si>
  <si>
    <t>iQjYPvWWNqqbJKQ40cwz</t>
  </si>
  <si>
    <t>2023-08-02 14:11:26.185418.jpg-0</t>
  </si>
  <si>
    <t>3ljo1SyyIxE7mNj4o20L</t>
  </si>
  <si>
    <t>NUT9EoGc5rplRlWRYDq4</t>
  </si>
  <si>
    <t>3oKvQ3lbVt8BiyXR6KSm</t>
  </si>
  <si>
    <t>nIVdneol1avyHwECjtom</t>
  </si>
  <si>
    <t>2023-08-02 06:41:36.231209.jpg-0</t>
  </si>
  <si>
    <t>qq8iDpiozVy573f2lix0</t>
  </si>
  <si>
    <t>probably the clearest water I have ever seen</t>
  </si>
  <si>
    <t>bAhPgMsb58iOduSRUDZZ</t>
  </si>
  <si>
    <t>4 feet wide.  0.2 feet deep.  1.6 ft per sec</t>
  </si>
  <si>
    <t>dvwMjDzKj2eTzd06KbjH</t>
  </si>
  <si>
    <t>xsru5ZvAqdhHlSFdLrdU</t>
  </si>
  <si>
    <t>2023-08-01 14:52:02.035265.jpg-0</t>
  </si>
  <si>
    <t>Regional Rainfall,None</t>
  </si>
  <si>
    <t>beaver activity</t>
  </si>
  <si>
    <t>Uyi52H2uk5qwbx7cIngX</t>
  </si>
  <si>
    <t>i9kCo7lMz3saRxzPSOd0</t>
  </si>
  <si>
    <t>2023-08-01 14:08:21.317708.jpg-0</t>
  </si>
  <si>
    <t>turbidity tube: greater than 120 cm
HACH nitrate kit: 8</t>
  </si>
  <si>
    <t>ZgOigMLkRYVnDg1KiMgF</t>
  </si>
  <si>
    <t>2023-08-01 13:12:31.109340.jpg-0</t>
  </si>
  <si>
    <t>secchi tube: greater than 120 cm
HACH nitrate kit: 2</t>
  </si>
  <si>
    <t>NiMIpXMxQ88T8DN7FXUF</t>
  </si>
  <si>
    <t>2023-08-01 12:49:14.935699.jpg-0</t>
  </si>
  <si>
    <t>HACH nitrate kit: 2 mg/L
turbidity: greater than 120 cm</t>
  </si>
  <si>
    <t>Or9YP6tIW8wyhV0Bk1V1</t>
  </si>
  <si>
    <t>2023-08-01 12:08:07.093665.jpg-0</t>
  </si>
  <si>
    <t>2nbMTiLt0KDtFxqMmwqP</t>
  </si>
  <si>
    <t>2023-08-01 11:05:41.247627.jpg-0</t>
  </si>
  <si>
    <t>HACH nitrate kit: 4
turbidity: greater than 120 cm</t>
  </si>
  <si>
    <t>Hwzmsp4gSt5r8dfTgbA6</t>
  </si>
  <si>
    <t>HACH nitrate kit: 4
turbidity tube: greater than 120 cm</t>
  </si>
  <si>
    <t>OuVeRtHMECVRg8TLBBss</t>
  </si>
  <si>
    <t>2023-08-01 09:56:40.593632.jpg-0</t>
  </si>
  <si>
    <t>HACH nitrate kit: 4
turbidity: greater than 120 cm</t>
  </si>
  <si>
    <t>3nRrNTkdJJnoVWWu6QkE</t>
  </si>
  <si>
    <t>2023-08-01 09:17:09.423763.jpg-0</t>
  </si>
  <si>
    <t>turbidity: greater than 120 cm
HACH nitrate kit: 2</t>
  </si>
  <si>
    <t>YBUCh6cfhZWrlF4GZZNc</t>
  </si>
  <si>
    <t>c2yLP2VgfvNBOWuOqq6XscGxbVi1</t>
  </si>
  <si>
    <t xml:space="preserve">turbidity is greater than 120. NO3 is 4. </t>
  </si>
  <si>
    <t>93LtO5wOThoQNS61jDHb</t>
  </si>
  <si>
    <t>2023-07-31 19:51:42.194385.jpg-0</t>
  </si>
  <si>
    <t>water is running high</t>
  </si>
  <si>
    <t>oB4QUQ3BZILmelrtrtTj</t>
  </si>
  <si>
    <t>2023-07-31 17:06:27.242200.jpg-0</t>
  </si>
  <si>
    <t>drought this year. ran out of 5 in 1 tests</t>
  </si>
  <si>
    <t>LD8fYH2Ao50f4NFa1Zsh</t>
  </si>
  <si>
    <t>Xj0aHcX5tCelWL63VON3</t>
  </si>
  <si>
    <t>NTglxnWXNMNP6UmhpsRc</t>
  </si>
  <si>
    <t>2023-07-31 12:08:08.847523.jpg-0</t>
  </si>
  <si>
    <t>warm day</t>
  </si>
  <si>
    <t>QgPeYjhSDsgesLuAGvir</t>
  </si>
  <si>
    <t>jhGh651Hl7cRangRQ2zqYMCZHdv1</t>
  </si>
  <si>
    <t>QO19ngln1XLHJR2kNLcv</t>
  </si>
  <si>
    <t>2dIsvfMeIyDE0I2B6Fd5</t>
  </si>
  <si>
    <t>2023-07-30 12:14:39.919735.jpg-0</t>
  </si>
  <si>
    <t>CnOimAMlkMt3OUvVwqzP</t>
  </si>
  <si>
    <t>2023-07-30 11:58:23.521770.jpg-0</t>
  </si>
  <si>
    <t>4BrTrMbcWgoy4mLOzldv</t>
  </si>
  <si>
    <t>2023-07-30 10:55:02.550394.jpg-0</t>
  </si>
  <si>
    <t>CvoaWYkAYqTVcVjqGlPZ</t>
  </si>
  <si>
    <t>2023-07-30 08:47:13.266237.jpg-0</t>
  </si>
  <si>
    <t>smRjkDTL9qpEDlNJBYeI</t>
  </si>
  <si>
    <t>2023-07-30 06:29:27.898966.jpg-0</t>
  </si>
  <si>
    <t>21n74Qr2W2YBf9INZQXT</t>
  </si>
  <si>
    <t>TwGnpUOZyJhOTHOqw2pGQ0maGfh1</t>
  </si>
  <si>
    <t>2023-07-29 17:03:42.699711.jpg-0</t>
  </si>
  <si>
    <t>clear water and blue sky. air temp80+</t>
  </si>
  <si>
    <t>P0kAtUdjxdI3pqFXuizc</t>
  </si>
  <si>
    <t>2023-07-28 17:11:34.432330.jpg-0</t>
  </si>
  <si>
    <t>invasive species phragmites observed on downstream side of site.</t>
  </si>
  <si>
    <t>KMeODFCDwmdyKG6a342v</t>
  </si>
  <si>
    <t>2023-07-28 14:10:01.919270.jpg-0</t>
  </si>
  <si>
    <t>could not get nitrogen tests to work</t>
  </si>
  <si>
    <t>PgcNBR0myaD97qdAu1nB</t>
  </si>
  <si>
    <t>2023-07-28 13:17:48.941844.jpg-0</t>
  </si>
  <si>
    <t>8BOn8nxSnOeBe40D7XSn</t>
  </si>
  <si>
    <t>C6dZktp9JNbqNNTwc8jo</t>
  </si>
  <si>
    <t>2023-07-28 11:12:00.887285.jpg-0</t>
  </si>
  <si>
    <t>West Indian creek.  upstream from parking lot.  low flow</t>
  </si>
  <si>
    <t>IoY87h6IK7gQXYrQJMoq</t>
  </si>
  <si>
    <t>2023-07-28 10:59:14.161074.jpg-0</t>
  </si>
  <si>
    <t>vegetation in water down here. 2" rain Tuesday night/ Wednesday am</t>
  </si>
  <si>
    <t>tGlMPsWwcIwOT3n6Lmqg</t>
  </si>
  <si>
    <t>humS2mzYyMHyxRBve2XI</t>
  </si>
  <si>
    <t>nMDwRMN5el5ZXMxDeUzW</t>
  </si>
  <si>
    <t>2023-07-28 10:22:11.138211.jpg-0</t>
  </si>
  <si>
    <t>2" rain Tuesday night/Wednesday am. Most vegetation in water I've seen in years</t>
  </si>
  <si>
    <t>5GPYu7Hs7nRaX7G1nymd</t>
  </si>
  <si>
    <t>2023-07-28 09:34:59.300480.jpg-0</t>
  </si>
  <si>
    <t xml:space="preserve">long creek, downstream of city 8 bridge.  low flow </t>
  </si>
  <si>
    <t>gT1kdJ5E5ARxyvbl54e0</t>
  </si>
  <si>
    <t>2023-07-28 09:32:47.088855.jpg-0</t>
  </si>
  <si>
    <t>heavy rains over the night</t>
  </si>
  <si>
    <t>IUd0byvpDvMlhUfU9DZx</t>
  </si>
  <si>
    <t>2023-07-27 11:22:12.908120.jpg-0</t>
  </si>
  <si>
    <t>crystal clear water</t>
  </si>
  <si>
    <t>nzcVgthB31gGd9a8IPp7</t>
  </si>
  <si>
    <t>2023-07-27 09:57:28.875162.jpg-0</t>
  </si>
  <si>
    <t xml:space="preserve">1.5” rain yesterday </t>
  </si>
  <si>
    <t>C64JkgJr67R4x4GtID62</t>
  </si>
  <si>
    <t>JZoHhAHSjLivzWbAj6dh</t>
  </si>
  <si>
    <t>dMRLzisa6caDb0i1n6UX</t>
  </si>
  <si>
    <t>2023-07-26 16:03:57.136202.jpg-0</t>
  </si>
  <si>
    <t>I am doubting the accuracy of this data because it was collected immediately downstream of a farm with cattle and very exposed stream banks and we received 1.5” of rain this morning.  see picture</t>
  </si>
  <si>
    <t>CHaZjZv7uJaVD4POfGrl</t>
  </si>
  <si>
    <t>IsF38m4ngudoNKtiOUpu</t>
  </si>
  <si>
    <t>b8FCNlAlSPyRCoNNydU1</t>
  </si>
  <si>
    <t>2023-07-26 13:04:49.325012.jpg-0</t>
  </si>
  <si>
    <t xml:space="preserve">tons of algae and gunk in stream.  we’ve had little rain.  </t>
  </si>
  <si>
    <t>BqRA6EVAxQJTMoPMnK0O</t>
  </si>
  <si>
    <t>2023-07-26 12:17:44.351557.jpg-0</t>
  </si>
  <si>
    <t xml:space="preserve">it looks a bit more stained and a bit higher than usual.  heavy rains in some part of region in early morning.  </t>
  </si>
  <si>
    <t>SgAHMfNs32HJBY4kkFQI</t>
  </si>
  <si>
    <t>2023-07-26 11:07:01.723521.jpg-0</t>
  </si>
  <si>
    <t xml:space="preserve">couldn’t be prettier.  and we had 2.5-3 people niches of rain in NW Rochestet since Saturday evening.  downpour early this morning.  Canfield still clear.  </t>
  </si>
  <si>
    <t>GfyX4e9KpKFhoMNdPQA4</t>
  </si>
  <si>
    <t>2023-07-26 08:24:01.404814.jpg-0</t>
  </si>
  <si>
    <t>kKMk7d5Yt8CiDK50N3yJ</t>
  </si>
  <si>
    <t>2023-07-25 17:15:08.646863.jpg-0</t>
  </si>
  <si>
    <t>tJbGW8xJ5Ty3rFtbCc0D</t>
  </si>
  <si>
    <t>2023-07-25 15:48:47.325764.jpg-0</t>
  </si>
  <si>
    <t>u0hXOOsxKTf1I6fVNLSs</t>
  </si>
  <si>
    <t>2CW4KuvXgAvg5hYbohLG</t>
  </si>
  <si>
    <t>DUPMIuf5yWITZvSBSTHL</t>
  </si>
  <si>
    <t>teDCVW23jaFAkR7Zkznj</t>
  </si>
  <si>
    <t>QhtX88BP9SO1tZEjP1xF</t>
  </si>
  <si>
    <t>XhnqUVmwFQWUwpUFncGp</t>
  </si>
  <si>
    <t>JubBbNeXxZDiTwLWlev7</t>
  </si>
  <si>
    <t>8Cy7eocmO8NxRcZYzdhQ</t>
  </si>
  <si>
    <t>kNU3UMAfJQ45SMUIRkqk</t>
  </si>
  <si>
    <t>2023-07-24 15:36:26.102166.jpg-0</t>
  </si>
  <si>
    <t>x1eZdJrffpDuZYPb645B</t>
  </si>
  <si>
    <t>lJlPWeBAWASp8shAGKFI</t>
  </si>
  <si>
    <t>2023-07-24 13:29:30.431020.jpg-0</t>
  </si>
  <si>
    <t>fvMzOEzuMKmH0zkA4DNa</t>
  </si>
  <si>
    <t>DAtZUGpDxeYqoGYLMf4T</t>
  </si>
  <si>
    <t>luqkOv3pPlU2iTpFd2QW</t>
  </si>
  <si>
    <t>2023-07-24 10:58:52.468701.jpg-0</t>
  </si>
  <si>
    <t>mp9bjqk6nTjgRrjWpXVw</t>
  </si>
  <si>
    <t>2023-07-24 08:02:09.877733.jpg-0</t>
  </si>
  <si>
    <t>p7woBsYuZVnGncyooiAa</t>
  </si>
  <si>
    <t>PdTjMQbeEF9QUMo7JKzb</t>
  </si>
  <si>
    <t>p4yu7gSyP5X56i8vIVA6AxqyR5D2</t>
  </si>
  <si>
    <t>2023-07-23 16:54:14.179027.jpg-0</t>
  </si>
  <si>
    <t>ZoB2SHmpXjLg0Mj9b4u3</t>
  </si>
  <si>
    <t>2023-07-21 16:05:15.228866.jpg-0</t>
  </si>
  <si>
    <t>h6VbiZHJ2gfW15E2WzeI</t>
  </si>
  <si>
    <t>vpDtSSemV2luR9Ted77z</t>
  </si>
  <si>
    <t>2023-07-21 14:18:15.995076.jpg-0</t>
  </si>
  <si>
    <t>oq6JN6dnsGq6dpYn3DRP</t>
  </si>
  <si>
    <t>2023-07-21 12:30:31.300541.jpg-0</t>
  </si>
  <si>
    <t>gnwmW9d4ld1wS0eXZB0h</t>
  </si>
  <si>
    <t>2023-07-21 10:13:55.712849.jpg-0</t>
  </si>
  <si>
    <t>toNfkgpRuadTzwHXvEMR</t>
  </si>
  <si>
    <t>0.1 feet deep.  0.5 ft per second.  2 feet wide.  not a class 1 trout stream as indicated on DNR map</t>
  </si>
  <si>
    <t>AunvwDfiPb8YcfiEt8vw</t>
  </si>
  <si>
    <t>BkwDR0OXrYrHcLzDhiw4</t>
  </si>
  <si>
    <t>3XObfMb7QSfrAYng16E97lQdZ3k1</t>
  </si>
  <si>
    <t>bDR2pQfMEms0yAKWxhG6</t>
  </si>
  <si>
    <t>5gOE7xCWElQUSJSdhNVn</t>
  </si>
  <si>
    <t>X9RUYPALdd6G2D6Gs07b</t>
  </si>
  <si>
    <t>tJjNrHzCJ2vQWhp9jIGv</t>
  </si>
  <si>
    <t>85ZMEwT4XLmjv2ZXUUrU</t>
  </si>
  <si>
    <t>2023-07-20 11:20:17.704285.jpg-0</t>
  </si>
  <si>
    <t>biPPcSfzFkVh7CfJruXU</t>
  </si>
  <si>
    <t>McAosZ7w84lglnjBTy7A</t>
  </si>
  <si>
    <t>VqqLevRP93liwvldIiLe</t>
  </si>
  <si>
    <t>2023-07-20 10:11:36.090846.jpg-0</t>
  </si>
  <si>
    <t>iA9zQm8mC85xCski9toe</t>
  </si>
  <si>
    <t>2023-07-20 07:52:22.416734.jpg-0</t>
  </si>
  <si>
    <t>wLx9hxdybcUQG2smhQc6</t>
  </si>
  <si>
    <t>2023-07-19 17:33:35.210836.jpg-0</t>
  </si>
  <si>
    <t>DzBjXXCKvPoPCQSizVGM</t>
  </si>
  <si>
    <t>2023-07-19 17:14:07.371132.jpg-0</t>
  </si>
  <si>
    <t>smQouY4ib0MwE06kXuqT</t>
  </si>
  <si>
    <t>2023-07-19 16:38:05.557515.jpg-0</t>
  </si>
  <si>
    <t>bKpnYG3DAAMJkDn8wyEe</t>
  </si>
  <si>
    <t>2023-07-19 13:55:58.554402.jpg-0</t>
  </si>
  <si>
    <t>icPTnirdEO4u58CzJrOv</t>
  </si>
  <si>
    <t>2023-07-19 13:29:42.667275.jpg-0</t>
  </si>
  <si>
    <t>7TLAieBHAZkPgQJ9PVAM</t>
  </si>
  <si>
    <t>R2YKnVLUEZhuFZJ1l35Q</t>
  </si>
  <si>
    <t>2023-07-19 12:28:10.031576.jpg-0</t>
  </si>
  <si>
    <t>2ZptsydlzxHr4JG4k4qC</t>
  </si>
  <si>
    <t>2023-07-19 11:53:13.323589.jpg-02023-07-19 11:53:13.323589.jpg-1</t>
  </si>
  <si>
    <t>located at end of Trout Run creek</t>
  </si>
  <si>
    <t>hwmcHc3cMLNYXIG7lC1W</t>
  </si>
  <si>
    <t>2023-07-19 08:57:50.117615.jpg-0</t>
  </si>
  <si>
    <t>w1iQgpe10WftG1svWqQN</t>
  </si>
  <si>
    <t>a9q3CLGM3zwCbya5xrlq</t>
  </si>
  <si>
    <t>2023-07-18 17:36:44.873123.jpg-0</t>
  </si>
  <si>
    <t>PJDApA1LhXoOK2woANVj</t>
  </si>
  <si>
    <t>0pVFLsOKCKcedU4w5TAC</t>
  </si>
  <si>
    <t>2023-07-18 15:13:06.621037.jpg-0</t>
  </si>
  <si>
    <t>PFtJpAiYRTmXWOVKJ3jV</t>
  </si>
  <si>
    <t>2023-07-18 14:33:34.423064.jpg-0</t>
  </si>
  <si>
    <t>52C2RjSM85AhL4icj1rx</t>
  </si>
  <si>
    <t>u5lxRIlFvI4QDHD3iWCX</t>
  </si>
  <si>
    <t>NWIhS2n51yTWxXjbMfTT6jX8rmi1</t>
  </si>
  <si>
    <t>2023-07-18 11:43:18.406885.jpg-0</t>
  </si>
  <si>
    <t>XCbiHzbtWF5cswg9gjyU</t>
  </si>
  <si>
    <t>2023-07-18 11:07:15.039703.jpg-0</t>
  </si>
  <si>
    <t>mjZmAZTv8nNtSRvIFXFj</t>
  </si>
  <si>
    <t>fDvQohavwk0JZmApWLjP</t>
  </si>
  <si>
    <t>qCC8zfLTuBDKQoIx7Kid</t>
  </si>
  <si>
    <t>2023-07-17 13:28:08.524948.jpg-0</t>
  </si>
  <si>
    <t>knli9DcxKNA6eqhDPJS7</t>
  </si>
  <si>
    <t>fdAe5x2v4ubjGhxmExLF</t>
  </si>
  <si>
    <t>Q0mza8sPoqyNRmqAghzf</t>
  </si>
  <si>
    <t>jr4xjZvRQFP5TMTbzZ3WFt91JbZ2</t>
  </si>
  <si>
    <t>2023-07-16 18:54:17.350384.jpg-0</t>
  </si>
  <si>
    <t xml:space="preserve">outside temp in shade was 78 degrees. 
nitrate nitrite test ......photo wouldn't process in 30 seconds.  kept getting error processing.  Retested couldn't get photo into app so took photo of 2nd try results on camera and put in comments/photos. </t>
  </si>
  <si>
    <t>5295yEds7yGjNaQjhgYh</t>
  </si>
  <si>
    <t>LwpzTpUz1nkibJZiTGWj</t>
  </si>
  <si>
    <t>ms3h6Pr6Bwd4FshGHg5A</t>
  </si>
  <si>
    <t>2023-07-13 17:18:46.182805.jpg-0</t>
  </si>
  <si>
    <t>LmHSuWEZ0m6pytWtlshH</t>
  </si>
  <si>
    <t>East Indian Creek- no rain today but 3-4 inches fell over the previous 2-3 days.</t>
  </si>
  <si>
    <t>vEDxmdQNdujfZaU9uNJI</t>
  </si>
  <si>
    <t>honey creek at cth E. water samples: TP, ORTHO P, TN, ammonia and nitrate were collected and sent to state lab of hygiene. nitrate levels on test strip seem extremely high and uncharacteristic of previous water chem samples collected at this site</t>
  </si>
  <si>
    <t>ItyFLaKD5YaN1dx6fBBj</t>
  </si>
  <si>
    <t>2023-07-13 12:57:43.241318.jpg-0</t>
  </si>
  <si>
    <t>Na3Fft4yik9fFfzjFz8t</t>
  </si>
  <si>
    <t xml:space="preserve">sugar Grove creek at STH 23. TP, TN, OrthoP, ammonia and nitrate samples collected and sent to WI state lab of hygiene </t>
  </si>
  <si>
    <t>4utmKUexcIXJ5d4yTws5</t>
  </si>
  <si>
    <t xml:space="preserve">Unnamed trib to honey creek at Sth 23. Tp, ortho p, TN, Nitrate,  and ammonia samples were collected at same time and submitted to WI state lab of hygiene </t>
  </si>
  <si>
    <t>P92Ola9sz5JPI11gZpHQ</t>
  </si>
  <si>
    <t>2023-07-13 12:25:12.698473.jpg-0</t>
  </si>
  <si>
    <t>RC8fnhqGQ5nxvFHW07Bk</t>
  </si>
  <si>
    <t>honey creek at Willow road. Tp, ortho P, nitrate, TN, and ammonia samples collected at same time and sent to WI state lab of hygiene. multiple cows in stream</t>
  </si>
  <si>
    <t>cFyYtI98dsqheX2SZob3</t>
  </si>
  <si>
    <t>2023-07-13 11:56:30.711831.jpg-0</t>
  </si>
  <si>
    <t>two beaver dams immediately upstream of test site(July 2023)</t>
  </si>
  <si>
    <t>o79GL5eTUidI7PZI52fb</t>
  </si>
  <si>
    <t xml:space="preserve">honey creek at cth GG. total phosphorus sample collected and sent to Wisconsin state lab of hygiene </t>
  </si>
  <si>
    <t>E4fnxuTQ8nJL6WlzRAwN</t>
  </si>
  <si>
    <t>should compare values, particularly nitrate levels to lab results for this location. Shanahan Valley creek at CTH GG</t>
  </si>
  <si>
    <t>Oxy9uspF20sPueyNo4Ph</t>
  </si>
  <si>
    <t xml:space="preserve">Shanahan valley creek at Prouty Road.  Total phosphorus sample also collected for WI State lab of hygiene analysis </t>
  </si>
  <si>
    <t>tZK5ixohtPNyJTpZP8Ni</t>
  </si>
  <si>
    <t>5DaKvtop31QNhSb9kCmI</t>
  </si>
  <si>
    <t>lgSlJViRKBuvgpw7ZeWl</t>
  </si>
  <si>
    <t>wNjqnGuu4MWQhitxexpo</t>
  </si>
  <si>
    <t>2023-07-12 16:43:57.209144.jpg-0</t>
  </si>
  <si>
    <t>ETrNm6a7t6rXdWhKrP3l</t>
  </si>
  <si>
    <t>2023-07-12 11:13:13.939140.jpg-0</t>
  </si>
  <si>
    <t>5tHCrJBE0f1APdJT1wXo</t>
  </si>
  <si>
    <t>2023-07-12 09:05:29.238395.jpg-0</t>
  </si>
  <si>
    <t>DpfSDqNwiZ4o5wn43Ev4</t>
  </si>
  <si>
    <t>2023-07-11 17:10:13.599502.jpg-0</t>
  </si>
  <si>
    <t>gKqY1Fhh0IZPsDGv0jyt</t>
  </si>
  <si>
    <t>y1yo64azHkGHV5qMubUI</t>
  </si>
  <si>
    <t>2023-07-11 15:27:58.394577.jpg-0</t>
  </si>
  <si>
    <t>D4ODT35OnJ8TsSNG6kCq</t>
  </si>
  <si>
    <t>2023-07-11 14:54:06.154631.jpg-0</t>
  </si>
  <si>
    <t>mirhHetyNTa7UaWnbrSj</t>
  </si>
  <si>
    <t>zA8o9KXKqpz8yv5MgNnD</t>
  </si>
  <si>
    <t>2023-07-11 10:17:16.210384.jpg-0</t>
  </si>
  <si>
    <t>Ttube 120 cm</t>
  </si>
  <si>
    <t>sfh6aH5omZO0jRmZioqs</t>
  </si>
  <si>
    <t>QneMaPuPUTIFIWSygMMi</t>
  </si>
  <si>
    <t>DOBmXhSw5ylrwYvLIamD</t>
  </si>
  <si>
    <t>2023-07-10 17:23:20.648407.jpg-0</t>
  </si>
  <si>
    <t>9bokvAa2yF0mDfcHFN2Q</t>
  </si>
  <si>
    <t>MZ8CvOB6bBeEPjwpBrk2zCVH7bk2</t>
  </si>
  <si>
    <t>2023-07-10 17:08:38.312231.jpg-02023-07-10 17:08:38.312231.jpg-12023-07-10 17:08:38.312231.jpg-22023-07-10 17:08:38.312231.jpg-3</t>
  </si>
  <si>
    <t>ykceQwoYVKVSnpXJifW7</t>
  </si>
  <si>
    <t>2023-07-10 16:00:40.712356.jpg-0</t>
  </si>
  <si>
    <t>wivtzvJx7vASYORXujDh</t>
  </si>
  <si>
    <t>secchi tube: greater than 120 cm
hac nitrate: 2 mg/L</t>
  </si>
  <si>
    <t>0ngTHFsiwvIyjhDIzi66</t>
  </si>
  <si>
    <t xml:space="preserve">turbidity is greater than 120. no3 is 2 mg/L
</t>
  </si>
  <si>
    <t>WtxdoPLlleYl9YhT3PVY</t>
  </si>
  <si>
    <t xml:space="preserve">turbidity is over 120. NO3 is 4 mg/L
</t>
  </si>
  <si>
    <t>HG57QRCvTxsKe4bHSd97</t>
  </si>
  <si>
    <t>2023-07-10 12:45:53.244228.jpg-0</t>
  </si>
  <si>
    <t>zPbi0cupblMnPdqRT6Vx</t>
  </si>
  <si>
    <t>l93Pm2LNpzKUegnV5Jgg</t>
  </si>
  <si>
    <t>Trash,Algal Bloom</t>
  </si>
  <si>
    <t>secchi tube: greater than 120 cm
nitrate hach test:  mg/L</t>
  </si>
  <si>
    <t>Qj5x6aXsp6QYiFwDYB7A</t>
  </si>
  <si>
    <t xml:space="preserve">turbidity is greater than 120. NO3 is 3 mg/L
</t>
  </si>
  <si>
    <t>9lZ0OPTdYNcPkQqoowon</t>
  </si>
  <si>
    <t>secchi tube: greater than 120 cm
nitrate hach test: 4</t>
  </si>
  <si>
    <t>oJNAFfCNkTUVI43DHJJe</t>
  </si>
  <si>
    <t>2023-07-10 10:00:34.190963.jpg-0</t>
  </si>
  <si>
    <t>mm6iKbmOYQMWUnsMppdK</t>
  </si>
  <si>
    <t>secchi tube: greater than 120 cm
nitrate hach test: 2</t>
  </si>
  <si>
    <t>MEkVZrT8saxoE1dkOc8Y</t>
  </si>
  <si>
    <t>secchi tube: greater than 120 cm
nitrate hach test: 4</t>
  </si>
  <si>
    <t>0BHL2DG2MX20aHEGIm5p</t>
  </si>
  <si>
    <t>2023-07-10 07:18:58.070057.jpg-0</t>
  </si>
  <si>
    <t>5Zt5ytd3NxtT7179JBic</t>
  </si>
  <si>
    <t>0f1e4OaXFAYWPcOBIYbJ</t>
  </si>
  <si>
    <t>2023-07-08 12:59:29.965297.jpg-0</t>
  </si>
  <si>
    <t>Air temperature 75. No recent rain.</t>
  </si>
  <si>
    <t>P20gnxNvaabPdJrgCPbW</t>
  </si>
  <si>
    <t>JNCD7xKTklMlFstQ856x</t>
  </si>
  <si>
    <t>2023-07-07 14:53:11.304242.jpg-0</t>
  </si>
  <si>
    <t>gUhwo1YYcQVH1khd84vX</t>
  </si>
  <si>
    <t>oN50knyfHlSRv38FF1MSKXBSQ6v1</t>
  </si>
  <si>
    <t>2023-07-07 13:35:31.426123.jpg-0</t>
  </si>
  <si>
    <t>pickeick creek</t>
  </si>
  <si>
    <t>yVHOJOLR3NswUi2KhS1O</t>
  </si>
  <si>
    <t>2023-07-07 10:46:12.510677.jpg-0</t>
  </si>
  <si>
    <t>0a55cq0onBsjZ3gbMBFH</t>
  </si>
  <si>
    <t>2023-07-07 07:59:35.245721.jpg-0</t>
  </si>
  <si>
    <t>Z0cCQLzWgbpuu95WngSz</t>
  </si>
  <si>
    <t>4YSNCVw5WVVdxPsqMWEx</t>
  </si>
  <si>
    <t>crystal clear water, fair amount of rises</t>
  </si>
  <si>
    <t>dwrCtlk1n50SLxtaQxRQ</t>
  </si>
  <si>
    <t>JFBLoykspqtWqfeZX4Gw</t>
  </si>
  <si>
    <t>rjdVkJqYhDkzQCvfp5hn</t>
  </si>
  <si>
    <t>post storm event
secchi tube: greater than 120 cm</t>
  </si>
  <si>
    <t>lH5qUlqqmSpznSJ2dybk</t>
  </si>
  <si>
    <t>secchi tube: greater than 120 cm
post storm event monitoring</t>
  </si>
  <si>
    <t>P7tmhNKGKwP4EDF3pDBf</t>
  </si>
  <si>
    <t xml:space="preserve">
secchi tube: 65 cm
post storm water event </t>
  </si>
  <si>
    <t>Lppw9PvGqb430jDHyEXQ</t>
  </si>
  <si>
    <t xml:space="preserve">secchi tube: greater than 120 cm
post Storm event </t>
  </si>
  <si>
    <t>c5xkhjRqPtnAd9fl45IN</t>
  </si>
  <si>
    <t>2023-07-05 17:35:06.723302.jpg-0</t>
  </si>
  <si>
    <t>E6nPIxZWjd82AWDNCzFQ</t>
  </si>
  <si>
    <t>2023-07-05 16:24:05.118631.jpg-0</t>
  </si>
  <si>
    <t>XoYfQfuc3FnT687o70Xf</t>
  </si>
  <si>
    <t>2023-07-05 14:55:34.700030.jpg-0</t>
  </si>
  <si>
    <t>Mk7jIuxRrCOEXPfs8p3h</t>
  </si>
  <si>
    <t>2023-07-05 13:58:45.229426.jpg-0</t>
  </si>
  <si>
    <t>K4FTY78FkXPvLMeV27oK</t>
  </si>
  <si>
    <t>2023-07-05 11:42:33.815407.jpg-0</t>
  </si>
  <si>
    <t>ApmJtHdwz6Noc1kBV5Hh</t>
  </si>
  <si>
    <t>2023-07-05 11:37:50.100626.jpg-0</t>
  </si>
  <si>
    <t>wtpbmekb1dUv96QkcgYv</t>
  </si>
  <si>
    <t>2023-07-05 10:16:46.876334.jpg-0</t>
  </si>
  <si>
    <t>NZsYQnDPwMhGpUOfkxh9</t>
  </si>
  <si>
    <t>2023-07-03 10:16:24.405916.jpg-02023-07-03 10:16:24.405916.jpg-1</t>
  </si>
  <si>
    <t>Fish barrier and one dead fingerling brook trout found.</t>
  </si>
  <si>
    <t>MxIHtfKREfNcTkRRmHZ0</t>
  </si>
  <si>
    <t>2023-07-03 08:26:49.281677.jpg-0</t>
  </si>
  <si>
    <t>steam is a little low but flowing well</t>
  </si>
  <si>
    <t>vov2HQFwHMvHRvRFaqK0</t>
  </si>
  <si>
    <t>cWl4bYccGfTBtcOAKUsz</t>
  </si>
  <si>
    <t>whit Water North branch</t>
  </si>
  <si>
    <t>0tglesvrJSGnqUPdDair</t>
  </si>
  <si>
    <t>2023-06-29 15:45:25.858014.jpg-0</t>
  </si>
  <si>
    <t>FrvHjqN514jBWJWiPCbi</t>
  </si>
  <si>
    <t>2023-06-29 14:33:42.726149.jpg-0</t>
  </si>
  <si>
    <t>WeRSLoSUegt4o9lRHvXm</t>
  </si>
  <si>
    <t>HcHcx5yKRfEAAC5SN1IU</t>
  </si>
  <si>
    <t>lluSX135NOI3PjhGl9hF</t>
  </si>
  <si>
    <t>Fish Kill,None</t>
  </si>
  <si>
    <t>iKECkX2b7RWErBObaI40</t>
  </si>
  <si>
    <t>2023-06-28 15:56:09.662553.jpg-0</t>
  </si>
  <si>
    <t>3ZzFNSQMjXlb5Pu5W8r5</t>
  </si>
  <si>
    <t>2023-06-28 15:12:44.194137.jpg-0</t>
  </si>
  <si>
    <t>algae</t>
  </si>
  <si>
    <t>zvjZ6KEKsZ1ii5GyuXQd</t>
  </si>
  <si>
    <t>ngyDAPOuJjmRfMEqVT3x</t>
  </si>
  <si>
    <t>OtSQTL4RLdRQWpwK6R08</t>
  </si>
  <si>
    <t>2023-06-28 09:56:22.710678.jpg-0</t>
  </si>
  <si>
    <t>o4atWSz6RDlymZJUMu7J</t>
  </si>
  <si>
    <t>2023-06-27 17:27:36.786247.jpg-0</t>
  </si>
  <si>
    <t>TSWQIkcVNHQ6NeBXMnpt</t>
  </si>
  <si>
    <t>2023-06-27 15:11:44.071172.jpg-0</t>
  </si>
  <si>
    <t>FrOarENfhTdLoYcvPxFA</t>
  </si>
  <si>
    <t>sexchi tube: greater than 120 cm
HACH test: 2</t>
  </si>
  <si>
    <t>h6C3Cf3SthoJ4hVcrFoD</t>
  </si>
  <si>
    <t>2023-06-27 13:56:24.566504.jpg-0</t>
  </si>
  <si>
    <t>clear &amp; low no rain for a month</t>
  </si>
  <si>
    <t>Mjt85lASjf2voWaLN9r6</t>
  </si>
  <si>
    <t>secchi: greater than 120. NO3 = 2 mg/L</t>
  </si>
  <si>
    <t>rmWTJFQyPG357HJ0aUa2</t>
  </si>
  <si>
    <t>secchi tube: greater than 120 cm
HACH TEST: 2 mg/L</t>
  </si>
  <si>
    <t>8ovaOCSNx7L59weTh6Se</t>
  </si>
  <si>
    <t>2023-06-27 12:02:30.627783.jpg-0</t>
  </si>
  <si>
    <t>stream crosses over private drive</t>
  </si>
  <si>
    <t>iqPvZ4Lt2mA1fFg925ax</t>
  </si>
  <si>
    <t>HACH test: 2 mg/L
secchi tube: greater than 120 cm</t>
  </si>
  <si>
    <t>2BSkz1cXyoNICPqkZJ9u</t>
  </si>
  <si>
    <t>secchi &lt;100. NO3 = 4 mg/L</t>
  </si>
  <si>
    <t>lJmjvTn1gDkSt5zNpUht</t>
  </si>
  <si>
    <t>&lt;100 turbidity. NO3 = 2 mg/L</t>
  </si>
  <si>
    <t>PJnZgtBjljR4aKJkqVcj</t>
  </si>
  <si>
    <t>2023-06-27 10:02:55.706980.jpg-02023-06-27 10:02:55.706980.jpg-1</t>
  </si>
  <si>
    <t>Large scour pool at the downstream side of a perched culvert.</t>
  </si>
  <si>
    <t>Cz2vU5bm8wq6yC8YgQRp</t>
  </si>
  <si>
    <t>2023-06-27 09:50:00.424016.jpg-0</t>
  </si>
  <si>
    <t>no rain in month, low and clear</t>
  </si>
  <si>
    <t>yuXIo8kFa7gAPNIAuuHX</t>
  </si>
  <si>
    <t>secchi &lt; 100. NO3 = 2 mg/L</t>
  </si>
  <si>
    <t>FR2KnngMEKh0QqI5KTID</t>
  </si>
  <si>
    <t xml:space="preserve">&lt;100 secchi. NO3 = 4 mg
</t>
  </si>
  <si>
    <t>7l255UYfzZj6qtdKJdj6</t>
  </si>
  <si>
    <t>2023-06-26 18:12:52.478096.jpg-02023-06-26 18:12:52.478096.jpg-12023-06-26 18:12:52.478096.jpg-22023-06-26 18:12:52.478096.jpg-32023-06-26 18:12:52.478096.jpg-4</t>
  </si>
  <si>
    <t>Wfj1XjsbUlubUc2Y7kSS</t>
  </si>
  <si>
    <t>2023-06-26 17:02:30.721890.jpg-0</t>
  </si>
  <si>
    <t xml:space="preserve">nice and cool. South Branch Root 160 feet away is 71. thank heavens for springs. </t>
  </si>
  <si>
    <t>7yrhsnGhTI6aXCOHgFFd</t>
  </si>
  <si>
    <t>2023-06-26 16:37:51.612205.jpg-0</t>
  </si>
  <si>
    <t>Hm3vruZLMfyqNuFddO5L</t>
  </si>
  <si>
    <t>2023-06-26 15:38:17.835972.jpg-02023-06-26 15:38:17.835972.jpg-1</t>
  </si>
  <si>
    <t>nice 75 degree day after sporadic rainfall in the area</t>
  </si>
  <si>
    <t>fk8ADunlkA4zpL1znW60</t>
  </si>
  <si>
    <t>2023-06-26 15:18:27.321338.jpg-0</t>
  </si>
  <si>
    <t>kR66lKfjeNGS4JjejZoD</t>
  </si>
  <si>
    <t>2023-06-26 14:45:47.693003.jpg-0</t>
  </si>
  <si>
    <t xml:space="preserve">seeing a rise or two. warmer than I expected.  </t>
  </si>
  <si>
    <t>rt5EbgLw9un8lMO6xrzx</t>
  </si>
  <si>
    <t>8y0rfBAMP9vVNCWJ32e1</t>
  </si>
  <si>
    <t>N9NVHS44fv8y9TFxEy6i</t>
  </si>
  <si>
    <t>2023-06-26 08:34:44.207355.jpg-0</t>
  </si>
  <si>
    <t>xpF60Yb2lD58kG85mZUU</t>
  </si>
  <si>
    <t>2023-06-25 13:33:33.845408.jpg-0</t>
  </si>
  <si>
    <t>72 degrees air temp, heavy rain last night</t>
  </si>
  <si>
    <t>3kbCjNoHv3rxP5PxUYQR</t>
  </si>
  <si>
    <t>2023-06-25 09:28:19.713181.jpg-0</t>
  </si>
  <si>
    <t xml:space="preserve">long creek downstream from Wabasha county 8 bridge </t>
  </si>
  <si>
    <t>N9TRY2iQ4J1BweymzZVT</t>
  </si>
  <si>
    <t>EB3BFmT0DKUIvMl32WbJ</t>
  </si>
  <si>
    <t>Rwe0CcNdpEwtp2NGbOBl</t>
  </si>
  <si>
    <t>tdOOX3gtFoI0pvR8fa0s</t>
  </si>
  <si>
    <t>2023-06-22 14:41:21.019240.jpg-0</t>
  </si>
  <si>
    <t>r2qx3NjxTKYZnJogCIZc</t>
  </si>
  <si>
    <t>2023-06-22 14:11:48.138569.jpg-0</t>
  </si>
  <si>
    <t>cb8v828iMxs8svEr0i9x</t>
  </si>
  <si>
    <t>2023-06-22 13:50:54.563024.jpg-0</t>
  </si>
  <si>
    <t>F5Fgot1sUAiYboP77VKQ</t>
  </si>
  <si>
    <t>2023-06-22 13:25:59.789861.jpg-0</t>
  </si>
  <si>
    <t>8vRgD7L2ylGFVkpLVk10</t>
  </si>
  <si>
    <t>2023-06-22 11:48:21.895532.jpg-0</t>
  </si>
  <si>
    <t>U6Pmb67oZIlDkZTnujR2</t>
  </si>
  <si>
    <t>Nskz03jdkhlpm2wl3zSB</t>
  </si>
  <si>
    <t>Op3JqW9PgBRlFk59QqhO</t>
  </si>
  <si>
    <t>S57ikJ5cAQErvow3WkW7</t>
  </si>
  <si>
    <t>2023-06-22 08:47:59.105104.jpg-0</t>
  </si>
  <si>
    <t>m1XWzsyUrkUAawJkzXFQ</t>
  </si>
  <si>
    <t>DTnPlV5HwzqDGSDyBKWt</t>
  </si>
  <si>
    <t>2023-06-21 17:45:02.990906.jpg-0</t>
  </si>
  <si>
    <t>Um58GvP3RhsIvDNbG4us</t>
  </si>
  <si>
    <t>2023-06-21 16:27:58.354164.jpg-0</t>
  </si>
  <si>
    <t>RupVWPcTngIPGt2ar8Zx</t>
  </si>
  <si>
    <t>2023-06-21 16:01:52.398091.jpg-0</t>
  </si>
  <si>
    <t>9ry6yM6zvJsMm3sl40HO</t>
  </si>
  <si>
    <t>2023-06-21 15:24:29.647240.jpg-0</t>
  </si>
  <si>
    <t>MVZCdsAvJHLX0vQbGdHA</t>
  </si>
  <si>
    <t>2023-06-21 15:09:22.475471.jpg-0</t>
  </si>
  <si>
    <t>vvWRtr9P6wqfWtn5Npg6</t>
  </si>
  <si>
    <t>2023-06-21 14:28:51.731861.jpg-0</t>
  </si>
  <si>
    <t>nNo4Qp9SuM1HFOzIagqq</t>
  </si>
  <si>
    <t>2023-06-21 14:01:27.961130.jpg-0</t>
  </si>
  <si>
    <t>JWy5ZJdPMSHTZTxIPka1</t>
  </si>
  <si>
    <t>2023-06-21 13:28:20.995064.jpg-0</t>
  </si>
  <si>
    <t>q9h6ZqL2ARMNyAFAK0Ta</t>
  </si>
  <si>
    <t>2023-06-21 11:51:39.092697.jpg-0</t>
  </si>
  <si>
    <t>WgrPU5LmPJnXRotxKFUA</t>
  </si>
  <si>
    <t>2023-06-21 11:22:54.022180.jpg-0</t>
  </si>
  <si>
    <t>South Fork Root</t>
  </si>
  <si>
    <t>g8Kphicpvbz5bVFE4hti</t>
  </si>
  <si>
    <t>2023-06-21 11:02:03.408884.jpg-0</t>
  </si>
  <si>
    <t>91klfQHKTohXshaDqIKf</t>
  </si>
  <si>
    <t>2023-06-21 07:57:52.783157.jpg-0</t>
  </si>
  <si>
    <t>CHSC9L4iU5Rh0o3I4XBi</t>
  </si>
  <si>
    <t>2023-06-20 15:10:09.521329.jpg-0</t>
  </si>
  <si>
    <t>OoHcs74OnQVNqtD88phM</t>
  </si>
  <si>
    <t>OTAUUGRz7y1jZww1zSf6</t>
  </si>
  <si>
    <t>2023-06-20 12:49:12.207067.jpg-0</t>
  </si>
  <si>
    <t>zwKIks57bW4O0vtOvVSf</t>
  </si>
  <si>
    <t>2023-06-20 11:05:16.509721.jpg-0</t>
  </si>
  <si>
    <t>QdPBs4odNwHf6WwSfmIM</t>
  </si>
  <si>
    <t>2023-06-20 09:39:15.950574.jpg-0</t>
  </si>
  <si>
    <t>Vj5HBGXb4E3O1TU0s9hx</t>
  </si>
  <si>
    <t>2023-06-20 07:35:12.433812.jpg-0</t>
  </si>
  <si>
    <t>water overtopping gravel road, no structure</t>
  </si>
  <si>
    <t>2xLfCN3C6mZAcIneZUEu</t>
  </si>
  <si>
    <t>2023-06-19 18:21:17.512514.jpg-0</t>
  </si>
  <si>
    <t>West Indian Creek - looks very pretty</t>
  </si>
  <si>
    <t>kNTB32XrhPPJwVEULeCJ</t>
  </si>
  <si>
    <t>2023-06-19 17:00:12.852987.jpg-0</t>
  </si>
  <si>
    <t>quuWceP0eB0264tWpUtx</t>
  </si>
  <si>
    <t>2023-06-19 16:31:38.163108.jpg-0</t>
  </si>
  <si>
    <t>onS8Youd8AzLP0BtOBpb</t>
  </si>
  <si>
    <t>2023-06-19 16:13:21.924608.jpg-0</t>
  </si>
  <si>
    <t>Xqm1PN6Zxm18nj2dpfSj</t>
  </si>
  <si>
    <t>QLzLn6Qwd0YOzhFRJ2og</t>
  </si>
  <si>
    <t>2023-06-19 14:29:02.980557.jpg-0</t>
  </si>
  <si>
    <t>PYxiKBBXC1ambMH1GlHT</t>
  </si>
  <si>
    <t>2023-06-19 13:35:04.635250.jpg-0</t>
  </si>
  <si>
    <t>HlkiTM5cJqWIiT30xbSZ</t>
  </si>
  <si>
    <t>2023-06-19 11:56:08.885742.jpg-0</t>
  </si>
  <si>
    <t>MXKU2rSSwr0ClEg9YuJJ</t>
  </si>
  <si>
    <t>2023-06-19 10:32:33.795659.jpg-02023-06-19 10:32:33.795659.jpg-1</t>
  </si>
  <si>
    <t>uaGZgUCZ2CJiMP84Q9hV</t>
  </si>
  <si>
    <t>nr7ORHxwfJ9hAuRpwK6s</t>
  </si>
  <si>
    <t>2023-06-19 09:11:21.584489.jpg-0</t>
  </si>
  <si>
    <t>qkUpJx4xSauHXyBuKtqV</t>
  </si>
  <si>
    <t>2023-06-19 07:46:46.660751.jpg-0</t>
  </si>
  <si>
    <t>3DXsWJTKt0tPt2ZNskOR</t>
  </si>
  <si>
    <t>80 degrees. Haze from forest fires.</t>
  </si>
  <si>
    <t>VVvp18tJLAxXhvUaxbBE</t>
  </si>
  <si>
    <t>2023-06-15 14:47:05.632638.jpg-0</t>
  </si>
  <si>
    <t>RbHTifpfkoSGEMizCX0W</t>
  </si>
  <si>
    <t>2023-06-15 12:54:53.026066.jpg-02023-06-15 12:54:53.026066.jpg-1</t>
  </si>
  <si>
    <t>6IPlCGGgEV4LDDWFJkgl</t>
  </si>
  <si>
    <t>2023-06-15 12:35:35.956838.jpg-02023-06-15 12:35:35.956838.jpg-1</t>
  </si>
  <si>
    <t>hFfNSP3c2gu1vKDpa74V</t>
  </si>
  <si>
    <t>2023-06-15 12:05:21.686113.jpg-02023-06-15 12:05:21.686113.jpg-1</t>
  </si>
  <si>
    <t>UdCbgdgvuQPsPY2IZVoq</t>
  </si>
  <si>
    <t>2023-06-15 11:42:02.167912.jpg-02023-06-15 11:42:02.167912.jpg-12023-06-15 11:42:02.167912.jpg-22023-06-15 11:42:02.167912.jpg-3</t>
  </si>
  <si>
    <t>fheUU2cuHRihgNlqlWnN</t>
  </si>
  <si>
    <t>2023-06-15 11:30:42.534737.jpg-0</t>
  </si>
  <si>
    <t>CV40gQtKREeMvL2SC5l1</t>
  </si>
  <si>
    <t>2023-06-15 11:23:06.131076.jpg-02023-06-15 11:23:06.131076.jpg-12023-06-15 11:23:06.131076.jpg-22023-06-15 11:23:06.131076.jpg-3</t>
  </si>
  <si>
    <t>IsutoeSPhxddCcdOiFAX</t>
  </si>
  <si>
    <t>2023-06-15 11:00:54.469327.jpg-02023-06-15 11:00:54.469327.jpg-1</t>
  </si>
  <si>
    <t>LNNOyoxR2sxistcIcjk2</t>
  </si>
  <si>
    <t>2023-06-15 10:52:24.008695.jpg-0</t>
  </si>
  <si>
    <t>mYTku6fcc2BMyfsxaHWQ</t>
  </si>
  <si>
    <t>2023-06-15 10:21:12.259131.jpg-02023-06-15 10:21:12.259131.jpg-1</t>
  </si>
  <si>
    <t>Fish Barrier,Bank Erosion,Livestock in Water</t>
  </si>
  <si>
    <t>pFONOrNqHTOqNErvi7FN</t>
  </si>
  <si>
    <t>2023-06-15 10:06:30.025414.jpg-0</t>
  </si>
  <si>
    <t>ERmgqPh2PQppfujsRFN9</t>
  </si>
  <si>
    <t>2023-06-15 10:00:10.374584.jpg-02023-06-15 10:00:10.374584.jpg-1</t>
  </si>
  <si>
    <t>xc23Zh1OURNyFaypixw6</t>
  </si>
  <si>
    <t>2023-06-15 09:21:49.972668.jpg-02023-06-15 09:21:49.972668.jpg-1</t>
  </si>
  <si>
    <t>QzdHRbBejnzH8GuLACuG</t>
  </si>
  <si>
    <t>2023-06-15 08:59:34.245072.jpg-0</t>
  </si>
  <si>
    <t>hbB0UkrNyIMdMXixfG4v</t>
  </si>
  <si>
    <t>2023-06-14 16:34:12.646171.jpg-0</t>
  </si>
  <si>
    <t>dUEpFdk8MtWGAhPNTgQA</t>
  </si>
  <si>
    <t>2023-06-14 16:01:04.821689.jpg-02023-06-14 16:01:04.821689.jpg-1</t>
  </si>
  <si>
    <t>mjCeg8vkNBJZivumZnro</t>
  </si>
  <si>
    <t>2023-06-14 15:46:39.635656.jpg-02023-06-14 15:46:39.635656.jpg-1</t>
  </si>
  <si>
    <t>Nfd0AXLPV9Z12UFjRJ5I</t>
  </si>
  <si>
    <t>2023-06-14 15:18:00.399223.jpg-02023-06-14 15:18:00.399223.jpg-1</t>
  </si>
  <si>
    <t>hJiZqfIKI25Jp7R2BaLM</t>
  </si>
  <si>
    <t>2023-06-14 15:11:24.368015.jpg-0</t>
  </si>
  <si>
    <t>nTq0R94V5VLYfRz77LvW</t>
  </si>
  <si>
    <t>2023-06-14 14:52:47.569380.jpg-02023-06-14 14:52:47.569380.jpg-1</t>
  </si>
  <si>
    <t>0CUluRhSEbJQ030pL0WS</t>
  </si>
  <si>
    <t>2023-06-14 14:31:31.407399.jpg-02023-06-14 14:31:31.407399.jpg-1</t>
  </si>
  <si>
    <t>iEN4kv09Ph09EzWcClyJ</t>
  </si>
  <si>
    <t>2023-06-14 13:59:35.798447.jpg-02023-06-14 13:59:35.798447.jpg-1</t>
  </si>
  <si>
    <t>KzMxkvB55RIiHECuxLI1</t>
  </si>
  <si>
    <t>2023-06-14 13:44:12.447419.jpg-0</t>
  </si>
  <si>
    <t>Fbsr8aa9QRJavueuDKTn</t>
  </si>
  <si>
    <t>2023-06-14 13:36:09.043153.jpg-02023-06-14 13:36:09.043153.jpg-1</t>
  </si>
  <si>
    <t>EtVNLCZBq3w6Nd8CErH2</t>
  </si>
  <si>
    <t>2023-06-14 13:09:23.850014.jpg-02023-06-14 13:09:23.850014.jpg-1</t>
  </si>
  <si>
    <t>uhUYT1g6tTn3OntYHC4W</t>
  </si>
  <si>
    <t>2023-06-14 13:00:23.432717.jpg-0</t>
  </si>
  <si>
    <t>tFNzKc5m7QJGC2IsfhKv</t>
  </si>
  <si>
    <t>2023-06-14 12:44:06.551238.jpg-02023-06-14 12:44:06.551238.jpg-1</t>
  </si>
  <si>
    <t>8jLTqCQxqEPU1ufEmloP</t>
  </si>
  <si>
    <t>2023-06-14 12:42:17.559936.jpg-0</t>
  </si>
  <si>
    <t>YWIRl2k0bjXKMRXyawDo</t>
  </si>
  <si>
    <t>2023-06-14 12:21:04.985896.jpg-02023-06-14 12:21:04.985896.jpg-1</t>
  </si>
  <si>
    <t>2ImnLlQ55Tjze7Ek3zIY</t>
  </si>
  <si>
    <t>2023-06-14 12:19:52.696112.jpg-0</t>
  </si>
  <si>
    <t>2sbverYBqHFzZ3ZaPf7z</t>
  </si>
  <si>
    <t>2023-06-14 11:56:37.234432.jpg-02023-06-14 11:56:37.234432.jpg-1</t>
  </si>
  <si>
    <t>kVapsKEbKLKCY8M4sWhp</t>
  </si>
  <si>
    <t>2023-06-14 11:32:34.870305.jpg-02023-06-14 11:32:34.870305.jpg-1</t>
  </si>
  <si>
    <t>WO81CIs0suKRXEIw4IM2</t>
  </si>
  <si>
    <t>2023-06-14 11:28:30.710435.jpg-0</t>
  </si>
  <si>
    <t>ford overtopping driveway, just downstream from construction</t>
  </si>
  <si>
    <t>kAJ6v9z9vWnPCB6cD3zB</t>
  </si>
  <si>
    <t>2023-06-14 11:10:01.116796.jpg-02023-06-14 11:10:01.116796.jpg-1</t>
  </si>
  <si>
    <t>vEY8Tr5kGruoUVbAIWDe</t>
  </si>
  <si>
    <t>2023-06-14 11:09:44.935736.jpg-0</t>
  </si>
  <si>
    <t>LfRKsixGcDwMTxNfVrqS</t>
  </si>
  <si>
    <t>2023-06-14 11:01:27.530614.jpg-0</t>
  </si>
  <si>
    <t>crossing is a ford</t>
  </si>
  <si>
    <t>fVK86OqKnSwTSRsUQBAV</t>
  </si>
  <si>
    <t>2023-06-14 10:44:03.761646.jpg-02023-06-14 10:44:03.761646.jpg-1</t>
  </si>
  <si>
    <t>jTvQmBx1S8zIPwZq6hdj</t>
  </si>
  <si>
    <t>2023-06-14 09:28:41.253205.jpg-02023-06-14 09:28:41.253205.jpg-1</t>
  </si>
  <si>
    <t>PEWHtOPKzgkmCchmG889</t>
  </si>
  <si>
    <t>2023-06-14 09:08:13.674733.jpg-0</t>
  </si>
  <si>
    <t>2PMrVaDJP7SdCgvEB4U8</t>
  </si>
  <si>
    <t>2023-06-14 08:50:45.857168.jpg-0</t>
  </si>
  <si>
    <t>2STFsHTe5gqn2XLKtJAI</t>
  </si>
  <si>
    <t>21r4fdGpP9tF6Mjn9J28</t>
  </si>
  <si>
    <t>2023-06-13 12:44:04.171137.jpg-02023-06-13 12:44:04.171137.jpg-1</t>
  </si>
  <si>
    <t>XH6g8uGq8zKfQsMb3WKK</t>
  </si>
  <si>
    <t>2023-06-13 12:23:54.115955.jpg-02023-06-13 12:23:54.115955.jpg-1</t>
  </si>
  <si>
    <t>YdVsu2cQR46GF2hnE6nE</t>
  </si>
  <si>
    <t>2023-06-13 11:47:22.733647.jpg-02023-06-13 11:47:22.733647.jpg-1</t>
  </si>
  <si>
    <t>YY3moHUGHqz3xq4lLfMp</t>
  </si>
  <si>
    <t>2023-06-13 11:35:08.082084.jpg-0</t>
  </si>
  <si>
    <t>RHnxnaKocbe1K9rLNgHx</t>
  </si>
  <si>
    <t>2023-06-13 11:25:54.321925.jpg-02023-06-13 11:25:54.321925.jpg-1</t>
  </si>
  <si>
    <t>Prrnf6pf3U0ayhOqqGcd</t>
  </si>
  <si>
    <t>2023-06-13 11:09:16.603800.jpg-02023-06-13 11:09:16.603800.jpg-1</t>
  </si>
  <si>
    <t>PouHhNyXsp8OhnNdaXYL</t>
  </si>
  <si>
    <t>2023-06-13 10:49:10.584899.jpg-02023-06-13 10:49:10.584899.jpg-1</t>
  </si>
  <si>
    <t>LidWU39F8gluo1jdVPn1</t>
  </si>
  <si>
    <t>2023-06-13 10:21:44.173782.jpg-02023-06-13 10:21:44.173782.jpg-1</t>
  </si>
  <si>
    <t>9mUsSYLjPAIC4WPgbfYu</t>
  </si>
  <si>
    <t>2023-06-13 09:58:25.387709.jpg-02023-06-13 09:58:25.387709.jpg-1</t>
  </si>
  <si>
    <t>12AAI2LJLuanl4GDT0zO</t>
  </si>
  <si>
    <t>2023-06-13 09:41:56.992616.jpg-0</t>
  </si>
  <si>
    <t>VIze7YXkpPCDq0fXrzch</t>
  </si>
  <si>
    <t>2023-06-13 09:34:42.854923.jpg-02023-06-13 09:34:42.854923.jpg-1</t>
  </si>
  <si>
    <t>4omCfjSgvT4eSRT3yaXT</t>
  </si>
  <si>
    <t>2023-06-13 09:18:39.259266.jpg-02023-06-13 09:18:39.259266.jpg-1</t>
  </si>
  <si>
    <t>9mKu0oGO2s3g1vBoverp</t>
  </si>
  <si>
    <t>2023-06-12 17:31:48.951367.jpg-02023-06-12 17:31:48.951367.jpg-12023-06-12 17:31:48.951367.jpg-22023-06-12 17:31:48.951367.jpg-3</t>
  </si>
  <si>
    <t xml:space="preserve">every time I tried to run the test on the 5-1 and 2-1 tests, the app would close out and I had to start over. I included pictures of those test strips in the attached photos instead </t>
  </si>
  <si>
    <t>u0M2z9DcemHKaVHoJWPY</t>
  </si>
  <si>
    <t>2023-06-12 15:46:34.015140.jpg-0</t>
  </si>
  <si>
    <t>anz4b1N8msbcDkmmg647</t>
  </si>
  <si>
    <t>f91wjnlWTb0pXYCQ21SV</t>
  </si>
  <si>
    <t>2023-06-12 12:57:58.503173.jpg-0</t>
  </si>
  <si>
    <t>bVqHrKiZEgiTbxA73MH7</t>
  </si>
  <si>
    <t>2023-06-12 11:50:59.583754.jpg-0</t>
  </si>
  <si>
    <t>hR7oFM99gEpeGVPx17qj</t>
  </si>
  <si>
    <t>ZLmTn5cEvARp0zZ0JmNC</t>
  </si>
  <si>
    <t>2023-06-12 10:27:50.580032.jpg-0</t>
  </si>
  <si>
    <t>SleZLYjfrzVr43G89Smg</t>
  </si>
  <si>
    <t>3LOt6AG7sqM9BE6ZyykM</t>
  </si>
  <si>
    <t>2023-06-12 08:41:52.241729.jpg-0</t>
  </si>
  <si>
    <t>BDI9seZWIbbtii2wfDg6</t>
  </si>
  <si>
    <t>2023-06-12 08:29:53.220180.jpg-0</t>
  </si>
  <si>
    <t>LaLlcrw9uOC5SKuwhI80</t>
  </si>
  <si>
    <t>Z67DTJdwHDTq5w1T7TFqGEeoOnI2</t>
  </si>
  <si>
    <t>2023-06-10 11:17:10.026998.jpg-0</t>
  </si>
  <si>
    <t>SWR0j0gxDc9ylwFCORv0</t>
  </si>
  <si>
    <t>2023-06-10 11:17:04.029900.jpg-0</t>
  </si>
  <si>
    <t>clear water</t>
  </si>
  <si>
    <t>Cm9mERORYpLvDIHZFZ7s</t>
  </si>
  <si>
    <t>2023-06-10 09:35:09.070679.jpg-0</t>
  </si>
  <si>
    <t>FHealhBCQPL9goaBkX2N</t>
  </si>
  <si>
    <t>EjmmFR60CemAGqpIIk3l</t>
  </si>
  <si>
    <t>NTTuGYhy5Esg8tOCdchD</t>
  </si>
  <si>
    <t>ARh5B0z4eHGrewqyMzCH</t>
  </si>
  <si>
    <t>2023-06-08 15:41:26.434212.jpg-02023-06-08 15:41:26.434212.jpg-1</t>
  </si>
  <si>
    <t>FXdOD3Hux66Eec9nye9E</t>
  </si>
  <si>
    <t>2023-06-08 15:27:52.384964.jpg-02023-06-08 15:27:52.384964.jpg-1</t>
  </si>
  <si>
    <t>WTDifZIcxy3odg9wdX4t</t>
  </si>
  <si>
    <t>1lKBGtvFeSbEVNlbIt9EhqtOO7u2</t>
  </si>
  <si>
    <t>2023-06-08 15:04:17.548337.jpg-02023-06-08 15:04:17.548337.jpg-1</t>
  </si>
  <si>
    <t>3HBZrtsKQm8tdn6TqcVE</t>
  </si>
  <si>
    <t>2023-06-08 14:50:41.825935.jpg-02023-06-08 14:50:41.825935.jpg-1</t>
  </si>
  <si>
    <t>hn4iyIs7lC56x1uT5r96</t>
  </si>
  <si>
    <t>2023-06-08 14:31:41.213028.jpg-02023-06-08 14:31:41.213028.jpg-1</t>
  </si>
  <si>
    <t>uXayBSZJCdEptSfiFluh</t>
  </si>
  <si>
    <t>2023-06-08 14:23:30.267126.jpg-02023-06-08 14:23:30.267126.jpg-1</t>
  </si>
  <si>
    <t>observation upstream of culvert on Woodward Creek.</t>
  </si>
  <si>
    <t>4m6ioK2z8SBG5fcEmLkz</t>
  </si>
  <si>
    <t>2023-06-08 14:12:45.823468.jpg-02023-06-08 14:12:45.823468.jpg-1</t>
  </si>
  <si>
    <t>mlS3BAKc9OrlaUoaYQQU</t>
  </si>
  <si>
    <t>2023-06-08 13:52:01.486622.jpg-02023-06-08 13:52:01.486622.jpg-1</t>
  </si>
  <si>
    <t>24dcyLXSD7NWhIwStvxX</t>
  </si>
  <si>
    <t>2023-06-08 13:35:13.145635.jpg-02023-06-08 13:35:13.145635.jpg-1</t>
  </si>
  <si>
    <t>xLZTrrUscA0OXtDNmd46</t>
  </si>
  <si>
    <t>2023-06-08 13:25:22.143769.jpg-0</t>
  </si>
  <si>
    <t>Xsw1XDUPev0QXdqSRGdL</t>
  </si>
  <si>
    <t>2023-06-08 13:22:11.977046.jpg-02023-06-08 13:22:11.977046.jpg-1</t>
  </si>
  <si>
    <t>xmhkuhJX5RlbZ1wVFftZ</t>
  </si>
  <si>
    <t>2023-06-08 12:51:39.984461.jpg-02023-06-08 12:51:39.984461.jpg-1</t>
  </si>
  <si>
    <t>qwkFXTKXAszXcCiAUOiA</t>
  </si>
  <si>
    <t>2023-06-08 12:37:09.322419.jpg-02023-06-08 12:37:09.322419.jpg-1</t>
  </si>
  <si>
    <t>kAjtdO1Aqgun1Dzmi9BZ</t>
  </si>
  <si>
    <t>2023-06-08 12:24:40.780589.jpg-02023-06-08 12:24:40.780589.jpg-1</t>
  </si>
  <si>
    <t>upstream of road crossing.  cattle impact and bank erosion upstream of observation.</t>
  </si>
  <si>
    <t>Ge68TwVGwx7WI5Cltv9g</t>
  </si>
  <si>
    <t>2023-06-08 12:13:11.584797.jpg-02023-06-08 12:13:11.584797.jpg-1</t>
  </si>
  <si>
    <t>SZ4RsvIU7HU5cvFAXqme</t>
  </si>
  <si>
    <t>2023-06-08 11:56:21.760527.jpg-02023-06-08 11:56:21.760527.jpg-1</t>
  </si>
  <si>
    <t>E6vtGjjTNgn6PiIMcdWG</t>
  </si>
  <si>
    <t>2023-06-08 11:34:18.507288.jpg-02023-06-08 11:34:18.507288.jpg-1</t>
  </si>
  <si>
    <t>oynkVn85A8RUUCvR9lT2</t>
  </si>
  <si>
    <t>2023-06-08 11:22:13.466057.jpg-02023-06-08 11:22:13.466057.jpg-1</t>
  </si>
  <si>
    <t>2QvGkl0ucVCvxTPWeZHF</t>
  </si>
  <si>
    <t>2023-06-08 11:00:38.933748.jpg-02023-06-08 11:00:38.933748.jpg-1</t>
  </si>
  <si>
    <t>upstream of confluence with unnamed branch.</t>
  </si>
  <si>
    <t>NOMvIg1BvtfeXo1RjVzz</t>
  </si>
  <si>
    <t>2023-06-08 10:58:12.768132.jpg-02023-06-08 10:58:12.768132.jpg-1</t>
  </si>
  <si>
    <t>peXkSeJSYdCx5vJzI7vw</t>
  </si>
  <si>
    <t>2023-06-08 10:52:07.380387.jpg-02023-06-08 10:52:07.380387.jpg-1</t>
  </si>
  <si>
    <t>below unnamed branch confluence.</t>
  </si>
  <si>
    <t>4TCjVzqDge1oFjGh0wYJ</t>
  </si>
  <si>
    <t>2023-06-08 10:41:08.758751.jpg-02023-06-08 10:41:08.758751.jpg-1</t>
  </si>
  <si>
    <t>7HyKpuBbEK897wbRXpPu</t>
  </si>
  <si>
    <t>2023-06-08 10:35:53.828694.jpg-02023-06-08 10:35:53.828694.jpg-1</t>
  </si>
  <si>
    <t>4pUWSlPgUl7jZuAnozBE</t>
  </si>
  <si>
    <t>2023-06-08 10:17:31.481678.jpg-02023-06-08 10:17:31.481678.jpg-1</t>
  </si>
  <si>
    <t>chyA8UQsFHk8xKvHSxK4</t>
  </si>
  <si>
    <t>2023-06-08 09:59:26.434008.jpg-02023-06-08 09:59:26.434008.jpg-1</t>
  </si>
  <si>
    <t>WrTMfOcwpdfN66JBO5TX</t>
  </si>
  <si>
    <t>2023-06-07 17:47:08.839464.jpg-02023-06-07 17:47:08.839464.jpg-1</t>
  </si>
  <si>
    <t>upstream of co rd X bridge</t>
  </si>
  <si>
    <t>dQCjLCV2j6ris0pNJPQn</t>
  </si>
  <si>
    <t>2023-06-07 17:16:19.204062.jpg-02023-06-07 17:16:19.204062.jpg-12023-06-07 17:16:19.204062.jpg-2</t>
  </si>
  <si>
    <t>below 2 pipe culvert at county rd X.</t>
  </si>
  <si>
    <t>wrNjzhzWJX1I8MfFEN2D</t>
  </si>
  <si>
    <t>2023-06-07 17:00:10.354903.jpg-02023-06-07 17:00:10.354903.jpg-1</t>
  </si>
  <si>
    <t>under bridge at Post Rd.</t>
  </si>
  <si>
    <t>rFUF9I8QXf1MSRFbg2JD</t>
  </si>
  <si>
    <t>2023-06-07 16:37:57.195599.jpg-02023-06-07 16:37:57.195599.jpg-1</t>
  </si>
  <si>
    <t>WYCVUgbQNdXmJSISAWpV</t>
  </si>
  <si>
    <t>2023-06-07 15:40:23.405351.jpg-02023-06-07 15:40:23.405351.jpg-1</t>
  </si>
  <si>
    <t>downstream of co rd N under old bridge</t>
  </si>
  <si>
    <t>PeFEPnk8TQQBcv7xhN6A</t>
  </si>
  <si>
    <t>2023-06-07 13:26:07.469913.jpg-0</t>
  </si>
  <si>
    <t>3zHGB7PYyVHjqbjPJA7u</t>
  </si>
  <si>
    <t>2023-06-07 13:12:30.862413.jpg-02023-06-07 13:12:30.862413.jpg-1</t>
  </si>
  <si>
    <t>below bridge but above confluence.</t>
  </si>
  <si>
    <t>sBrbhdXjLsQzM5J2XBkb</t>
  </si>
  <si>
    <t>2023-06-07 12:40:47.091420.jpg-0</t>
  </si>
  <si>
    <t>gWmtphot2p65hjSHx1BZ</t>
  </si>
  <si>
    <t>2023-06-07 11:59:54.375168.jpg-02023-06-07 11:59:54.375168.jpg-1</t>
  </si>
  <si>
    <t>below culvert on Stockwell Rd</t>
  </si>
  <si>
    <t>eQMsXQzxBkKHgP1tyfaQ</t>
  </si>
  <si>
    <t>2023-06-07 11:31:16.088781.jpg-02023-06-07 11:31:16.088781.jpg-1</t>
  </si>
  <si>
    <t>upstream of crossing at Colwell rd.</t>
  </si>
  <si>
    <t>SavXv0lgzIWdwTxqTYQF</t>
  </si>
  <si>
    <t>2023-06-07 11:01:04.078139.jpg-02023-06-07 11:01:04.078139.jpg-1</t>
  </si>
  <si>
    <t>observation above bridge on French Creek at Stockwell Rd</t>
  </si>
  <si>
    <t>bVloivOdiGCFwSsLwH14</t>
  </si>
  <si>
    <t>2023-06-07 10:49:52.656125.jpg-02023-06-07 10:49:52.656125.jpg-1</t>
  </si>
  <si>
    <t>small stream feeding into French Creek observation taken below CO Rd P</t>
  </si>
  <si>
    <t>4v3Cy772tC0khD4lm4HP</t>
  </si>
  <si>
    <t>2023-06-07 10:07:46.471647.jpg-02023-06-07 10:07:46.471647.jpg-1</t>
  </si>
  <si>
    <t>SeY9egjhlrQRrMbeYc6k</t>
  </si>
  <si>
    <t>gXDm2jjy3T4r5lqJXGIm</t>
  </si>
  <si>
    <t>2023-06-07 09:16:13.242703.jpg-02023-06-07 09:16:13.242703.jpg-1</t>
  </si>
  <si>
    <t xml:space="preserve">above perched culvert </t>
  </si>
  <si>
    <t>2h11Fk3BBaBXYa56Z9bB</t>
  </si>
  <si>
    <t>2023-06-07 09:11:19.733804.jpg-0</t>
  </si>
  <si>
    <t>VuZutbZVX04dEK97uWUF</t>
  </si>
  <si>
    <t>2023-06-06 16:24:17.593600.jpg-02023-06-06 16:24:17.593600.jpg-1</t>
  </si>
  <si>
    <t>under bridge.  Kenyon creek.</t>
  </si>
  <si>
    <t>TkwcREYjEllKoYQUezj2</t>
  </si>
  <si>
    <t>2023-06-06 13:48:33.053732.jpg-02023-06-06 13:48:33.053732.jpg-1</t>
  </si>
  <si>
    <t>upstream of perched culvert.</t>
  </si>
  <si>
    <t>hJJZogB9VRUY08rXrcoK</t>
  </si>
  <si>
    <t>2023-06-06 13:14:11.364118.jpg-0</t>
  </si>
  <si>
    <t>agPGsXYDg32KnvyUxDU4</t>
  </si>
  <si>
    <t>2023-06-06 12:56:08.036467.jpg-02023-06-06 12:56:08.036467.jpg-1</t>
  </si>
  <si>
    <t>below new culvrt</t>
  </si>
  <si>
    <t>s3SwCoYRGJRWq1DlOtAv</t>
  </si>
  <si>
    <t>2023-06-06 09:09:58.308297.jpg-0</t>
  </si>
  <si>
    <t>culvert with perched outlet</t>
  </si>
  <si>
    <t>cNZHvr0tN9Rfxi2yUuL4</t>
  </si>
  <si>
    <t>2023-06-05 15:13:43.658594.jpg-02023-06-05 15:13:43.658594.jpg-1</t>
  </si>
  <si>
    <t>barrier.  culvert perched.  crappie skins on bank.  observations made upstream of culvert.</t>
  </si>
  <si>
    <t>k61uf9OmQ51Tf8ICNHf9</t>
  </si>
  <si>
    <t>fish barrier is low flow, sediment build up</t>
  </si>
  <si>
    <t>bF3ExUud2CtjtFOCKocd</t>
  </si>
  <si>
    <t>2023-06-04 12:26:56.131024.jpg-02023-06-04 12:26:56.131024.jpg-1</t>
  </si>
  <si>
    <t>HMeGAtZXw3r6nFZT6YPR</t>
  </si>
  <si>
    <t>2023-06-04 11:55:07.786310.jpg-02023-06-04 11:55:07.786310.jpg-1</t>
  </si>
  <si>
    <t>mXbolbYF11z7Alk9cZZA</t>
  </si>
  <si>
    <t>2023-06-04 11:33:34.367991.jpg-0</t>
  </si>
  <si>
    <t xml:space="preserve">nitrite and nitrate were done wrong. nitrate is 25. nitrite .15 from test strip bottle scale </t>
  </si>
  <si>
    <t>f9CqvTAszRzkV4zu9Myw</t>
  </si>
  <si>
    <t>2023-06-04 11:15:31.453391.jpg-02023-06-04 11:15:31.453391.jpg-1</t>
  </si>
  <si>
    <t>zAcmr3rMC44FftrZq55k</t>
  </si>
  <si>
    <t>2023-06-04 11:02:35.671241.jpg-0</t>
  </si>
  <si>
    <t>low water</t>
  </si>
  <si>
    <t>J7oQm3ecF1ale3DipMwQ</t>
  </si>
  <si>
    <t>2023-06-04 10:12:29.523410.jpg-02023-06-04 10:12:29.523410.jpg-1</t>
  </si>
  <si>
    <t>DjzP3j0A0RVgE0VhOM5n</t>
  </si>
  <si>
    <t>45rXX7ilGVVrOJRshsY6hOrN1Hd2</t>
  </si>
  <si>
    <t>2023-06-03 13:59:58.154127.jpg-0</t>
  </si>
  <si>
    <t>n3vtTXkYFsNFkdlcwHUV</t>
  </si>
  <si>
    <t>2023-06-03 13:46:01.237380.jpg-0</t>
  </si>
  <si>
    <t>ewJzvHUr5xyCp8fbOH2V</t>
  </si>
  <si>
    <t>ALDIs site after 1” rain. app is feisty won’t take photo of NO3</t>
  </si>
  <si>
    <t>PHSMCstBQlUWVRQ9EAQl</t>
  </si>
  <si>
    <t>2023-06-03 10:12:26.078610.jpg-02023-06-03 10:12:26.078610.jpg-1</t>
  </si>
  <si>
    <t>uFuyGcESATvYmoqZKn4V</t>
  </si>
  <si>
    <t>2023-06-03 08:46:44.190402.jpg-0</t>
  </si>
  <si>
    <t>plants covering stream already. Lots of mosquitoes.</t>
  </si>
  <si>
    <t>3M8c2lZPK8hmcK3cSD95</t>
  </si>
  <si>
    <t>SOLpSRxVoBl6d4nXetTr</t>
  </si>
  <si>
    <t>2023-06-02 15:51:43.839513.jpg-02023-06-02 15:51:43.839513.jpg-1</t>
  </si>
  <si>
    <t>G5VIMtlJKKIhUrHdXmbq</t>
  </si>
  <si>
    <t>&lt;100</t>
  </si>
  <si>
    <t>ZsUbTUUKJ8mefcZ9adRZ</t>
  </si>
  <si>
    <t>2023-06-02 14:58:36.047359.jpg-02023-06-02 14:58:36.047359.jpg-1</t>
  </si>
  <si>
    <t>juavCnqSplndg8kvfqPp</t>
  </si>
  <si>
    <t>swcchi tube greater than 100</t>
  </si>
  <si>
    <t>1ftYHj0UHxI0KjSnKG8o</t>
  </si>
  <si>
    <t>qg0Gw2Z5bFP7xIvHpN2bfZB65d62</t>
  </si>
  <si>
    <t>2023-06-02 14:47:37.250077.jpg-02023-06-02 14:47:37.250077.jpg-1</t>
  </si>
  <si>
    <t>EGIpITPkxQVed7LV3ULd</t>
  </si>
  <si>
    <t>oHqt4zwveQG2wU7QBumH</t>
  </si>
  <si>
    <t>2023-06-02 14:15:58.375439.jpg-0</t>
  </si>
  <si>
    <t>LGzWUL0OIrBJLDVixpPH</t>
  </si>
  <si>
    <t>lLGilzixOolkQGqeCDw1</t>
  </si>
  <si>
    <t>hqHauDZ36DKXWZe3oU4O</t>
  </si>
  <si>
    <t>4XryoC5t4M2820OVuqBY</t>
  </si>
  <si>
    <t>iAjueABJxHXSO0iGwtrr</t>
  </si>
  <si>
    <t>ACFoz1OttZ2CrKzz0RHY</t>
  </si>
  <si>
    <t>2023-06-01 12:42:51.064691.jpg-0</t>
  </si>
  <si>
    <t>7UZhIt4ivw80DqxiQeS6</t>
  </si>
  <si>
    <t>2023-06-01 11:41:17.706007.jpg-02023-06-01 11:41:17.706007.jpg-1</t>
  </si>
  <si>
    <t>stream work</t>
  </si>
  <si>
    <t>jwRDIrtZMPR0C7oKBtQq</t>
  </si>
  <si>
    <t>2023-06-01 11:14:46.953201.jpg-0</t>
  </si>
  <si>
    <t>all good</t>
  </si>
  <si>
    <t>T33j8cZNLvYqwF5y6BeK</t>
  </si>
  <si>
    <t>2023-06-01 10:55:39.374166.jpg-0</t>
  </si>
  <si>
    <t>HyUT9YJM5omh55hjPpvY</t>
  </si>
  <si>
    <t>2023-06-01 10:07:51.532781.jpg-0</t>
  </si>
  <si>
    <t>XpNgb9LLs46di8FGU47S</t>
  </si>
  <si>
    <t>2023-06-01 09:50:01.016999.jpg-02023-06-01 09:50:01.016999.jpg-1</t>
  </si>
  <si>
    <t>LsTyd6vYlFtWYIFSaK9Q</t>
  </si>
  <si>
    <t>2023-05-31 17:01:46.976084.jpg-02023-05-31 17:01:46.976084.jpg-1</t>
  </si>
  <si>
    <t>uHDaNh6tSVLPZrjRhdG9</t>
  </si>
  <si>
    <t>2023-05-31 16:35:55.881567.jpg-02023-05-31 16:35:55.881567.jpg-1</t>
  </si>
  <si>
    <t>cWOcqtzvDXOv3erHAts8</t>
  </si>
  <si>
    <t>2023-05-31 16:05:40.981364.jpg-02023-05-31 16:05:40.981364.jpg-1</t>
  </si>
  <si>
    <t>EMe41UUJfzTFJI5Z4eSj</t>
  </si>
  <si>
    <t>2023-05-31 15:20:07.773764.jpg-02023-05-31 15:20:07.773764.jpg-1</t>
  </si>
  <si>
    <t>PCyRE1Kcy0Fv1N95srZG</t>
  </si>
  <si>
    <t>2023-05-31 14:02:56.409309.jpg-02023-05-31 14:02:56.409309.jpg-1</t>
  </si>
  <si>
    <t>FsuRctoGL4RII0AOpckv</t>
  </si>
  <si>
    <t>2023-05-31 13:37:18.480328.jpg-02023-05-31 13:37:18.480328.jpg-1</t>
  </si>
  <si>
    <t>QL2mqd9LP1yAYOnmVWFv</t>
  </si>
  <si>
    <t>2023-05-31 12:51:33.930176.jpg-0</t>
  </si>
  <si>
    <t>sunny, 85 degrees air temp at 12:30 pm</t>
  </si>
  <si>
    <t>Xd51yLUbsDqDx1FF4FAe</t>
  </si>
  <si>
    <t>2023-05-31 12:34:28.996797.jpg-02023-05-31 12:34:28.996797.jpg-1</t>
  </si>
  <si>
    <t>eV81J5SqRn2itJQKC4qA</t>
  </si>
  <si>
    <t>2023-05-31 12:15:49.718145.jpg-0</t>
  </si>
  <si>
    <t>9amLqrKNrmlwSQOF5AaP</t>
  </si>
  <si>
    <t>2023-05-31 11:57:51.948110.jpg-02023-05-31 11:57:51.948110.jpg-1</t>
  </si>
  <si>
    <t>CCw26cbIkPnMz31hCSd3</t>
  </si>
  <si>
    <t>2023-05-31 11:40:39.384722.jpg-02023-05-31 11:40:39.384722.jpg-1</t>
  </si>
  <si>
    <t>FByu00U2TstriYsNJ6pF</t>
  </si>
  <si>
    <t>2023-05-31 10:49:33.888593.jpg-02023-05-31 10:49:33.888593.jpg-1</t>
  </si>
  <si>
    <t>9JbkWqknhhcP7oQCmDEP</t>
  </si>
  <si>
    <t>2023-05-31 09:54:45.001654.jpg-0</t>
  </si>
  <si>
    <t>wnAONtF6KmOoVTkHbKql</t>
  </si>
  <si>
    <t>2023-05-30 17:42:31.186052.jpg-02023-05-30 17:42:31.186052.jpg-12023-05-30 17:42:31.186052.jpg-22023-05-30 17:42:31.186052.jpg-32023-05-30 17:42:31.186052.jpg-4</t>
  </si>
  <si>
    <t>photos are not capturing correctly: the strip shows Nitrate at 2 ppm and Nitrite at 0 ppm</t>
  </si>
  <si>
    <t>1WaBhqYR3RCbQfQ3gTKt</t>
  </si>
  <si>
    <t>2023-05-30 16:55:52.838585.jpg-02023-05-30 16:55:52.838585.jpg-1</t>
  </si>
  <si>
    <t>wK6QREcnioSYHWtrOoes</t>
  </si>
  <si>
    <t>2023-05-30 16:41:43.475886.jpg-02023-05-30 16:41:43.475886.jpg-1</t>
  </si>
  <si>
    <t>HsHeBPtJUQHqeMrhgoTX</t>
  </si>
  <si>
    <t>2023-05-30 15:17:51.675074.jpg-02023-05-30 15:17:51.675074.jpg-1</t>
  </si>
  <si>
    <t>sRR3Mpl8XczzKRHCFbzj</t>
  </si>
  <si>
    <t>2023-05-30 14:50:52.606447.jpg-02023-05-30 14:50:52.606447.jpg-1</t>
  </si>
  <si>
    <t>rECWqtK3aPQpVtMdmjmG</t>
  </si>
  <si>
    <t>5IkyPqBWi8SVMZuJTeydN0EYnTu1</t>
  </si>
  <si>
    <t xml:space="preserve">27.7 centimeters of visibility in the tube
</t>
  </si>
  <si>
    <t>qBDoq0f9SqrQQJyWKoXD</t>
  </si>
  <si>
    <t>2023-05-30 14:00:50.353830.jpg-02023-05-30 14:00:50.353830.jpg-1</t>
  </si>
  <si>
    <t>G2xKFJjMEGBvozf0dqjw</t>
  </si>
  <si>
    <t>2023-05-30 13:36:37.143376.jpg-02023-05-30 13:36:37.143376.jpg-1</t>
  </si>
  <si>
    <t>uQntsNLcHjuRYFo4uaeG</t>
  </si>
  <si>
    <t>2023-05-30 13:23:00.755490.jpg-02023-05-30 13:23:00.755490.jpg-1</t>
  </si>
  <si>
    <t>xlZjcnchkyHxq7TI1oGG</t>
  </si>
  <si>
    <t>2023-05-30 12:47:03.941863.jpg-02023-05-30 12:47:03.941863.jpg-1</t>
  </si>
  <si>
    <t>wwqPqt9MXzg6gijDo5an</t>
  </si>
  <si>
    <t>2023-05-30 12:28:23.122903.jpg-02023-05-30 12:28:23.122903.jpg-1</t>
  </si>
  <si>
    <t>IbOatRhqSx2Esc5QohRX</t>
  </si>
  <si>
    <t>2023-05-30 11:51:59.324501.jpg-02023-05-30 11:51:59.324501.jpg-1</t>
  </si>
  <si>
    <t>Knb2duZRaOS62cHOpuB0</t>
  </si>
  <si>
    <t>vrzMfiCdF5XK8wVvvLuj</t>
  </si>
  <si>
    <t>h473yE0h4qywvdtR9Zu4</t>
  </si>
  <si>
    <t>2023-05-30 11:15:30.099049.jpg-02023-05-30 11:15:30.099049.jpg-1</t>
  </si>
  <si>
    <t>ZHV1TNrFdnF5JpshPYDf</t>
  </si>
  <si>
    <t>2023-05-30 10:44:10.464518.jpg-02023-05-30 10:44:10.464518.jpg-1</t>
  </si>
  <si>
    <t>sHw53NMFm4tungveta02</t>
  </si>
  <si>
    <t>zZRiNRRu2jBNuls3sN0U</t>
  </si>
  <si>
    <t>kAhvlaF92gsOHzLqrPMH</t>
  </si>
  <si>
    <t>YzoIEQu1t4huPhy7uhwT</t>
  </si>
  <si>
    <t>spring valley creek</t>
  </si>
  <si>
    <t>OxmSkM5XmXuJ7zaPrdmH</t>
  </si>
  <si>
    <t>2023-05-24 11:15:26.345088.jpg-0</t>
  </si>
  <si>
    <t>looking great</t>
  </si>
  <si>
    <t>YtCGEMyoyzo3SkMjgtRH</t>
  </si>
  <si>
    <t>2023-05-24 09:32:44.557402.jpg-0</t>
  </si>
  <si>
    <t>looking great BUT seein gunky algae and I don’t recall seeing it in the past</t>
  </si>
  <si>
    <t>6QehnG1po6iU6ahqmDQX</t>
  </si>
  <si>
    <t>2023-05-24 08:53:38.585096.jpg-0</t>
  </si>
  <si>
    <t>running very clear but a lot of gunk above riffle.  5-1 wouldn’t read.  I took 5-6 pix.  maybe strip was not quite right onit</t>
  </si>
  <si>
    <t>hDlfMKwDDlTNtGknQEgy</t>
  </si>
  <si>
    <t>RewertUZwGP359VRxxMfpHZouS52</t>
  </si>
  <si>
    <t>kF4vMulcBgOiNhzSyslf</t>
  </si>
  <si>
    <t>d9b1koYgWa9CiTvc4Wod</t>
  </si>
  <si>
    <t>2023-05-23 13:36:11.642848.jpg-0</t>
  </si>
  <si>
    <t>hwB0i4GyjKMmn7KGGTLy</t>
  </si>
  <si>
    <t>PdLztXlOjww30gjaaHmf</t>
  </si>
  <si>
    <t>2023-05-23 13:01:27.319776.jpg-0</t>
  </si>
  <si>
    <t xml:space="preserve">clear, no rain for week, fish hungry </t>
  </si>
  <si>
    <t>vwJKLiaxh3P3Q4s5rSzK</t>
  </si>
  <si>
    <t>2023-05-23 12:26:58.103752.jpg-02023-05-23 12:26:58.103752.jpg-1</t>
  </si>
  <si>
    <t>rKNQ73Me2p76Z1BGFaDX</t>
  </si>
  <si>
    <t>2023-05-23 11:48:28.188437.jpg-0</t>
  </si>
  <si>
    <t>0wo33TJVKzumugdJ00TI</t>
  </si>
  <si>
    <t>2023-05-23 11:15:24.874933.jpg-02023-05-23 11:15:24.874933.jpg-1</t>
  </si>
  <si>
    <t>oxDpoljgoJNgjj29tDb4</t>
  </si>
  <si>
    <t>2023-05-23 11:04:58.419764.jpg-0</t>
  </si>
  <si>
    <t>nnQcEzJ0MDNhtpJ8lbdj</t>
  </si>
  <si>
    <t>2023-05-23 10:45:11.643910.jpg-02023-05-23 10:45:11.643910.jpg-1</t>
  </si>
  <si>
    <t>QUEcuLxEmF1JeMYQvRO9</t>
  </si>
  <si>
    <t>AuahBKJt1DAWgje0lVm9</t>
  </si>
  <si>
    <t>2023-05-22 18:13:39.597815.jpg-0</t>
  </si>
  <si>
    <t>0uCsrVwzUV0S8SHYF7Hd</t>
  </si>
  <si>
    <t>2023-05-22 17:47:07.236832.jpg-0</t>
  </si>
  <si>
    <t>tJGfKNFU6OEnhyCE2yGK</t>
  </si>
  <si>
    <t>2023-05-22 17:33:28.609552.jpg-0</t>
  </si>
  <si>
    <t>FxVTqZrBfbIzXd181gHv</t>
  </si>
  <si>
    <t>2023-05-22 17:18:39.139747.jpg-02023-05-22 17:18:39.139747.jpg-1</t>
  </si>
  <si>
    <t xml:space="preserve">West Indian creek - TU improvement area </t>
  </si>
  <si>
    <t>mY1sAgQsm3Uuikmc4r7Q</t>
  </si>
  <si>
    <t>2023-05-22 14:41:12.672607.jpg-0</t>
  </si>
  <si>
    <t>wDOvr99E8Qnw9G3ys8Ip</t>
  </si>
  <si>
    <t>2023-05-22 13:29:21.560023.jpg-0</t>
  </si>
  <si>
    <t>6V0maUHGrekDurUTB65u</t>
  </si>
  <si>
    <t>2023-05-22 13:28:21.566638.jpg-0</t>
  </si>
  <si>
    <t>ftUcrBs21LiL05OP97V2</t>
  </si>
  <si>
    <t>2023-05-22 12:49:25.229092.jpg-0</t>
  </si>
  <si>
    <t>QlKQJAgZ3AZXUrspSbSC</t>
  </si>
  <si>
    <t>2023-05-22 12:45:19.609555.jpg-0</t>
  </si>
  <si>
    <t>icOIY0POHns3VKsdC0KN</t>
  </si>
  <si>
    <t>2023-05-22 12:19:13.544078.jpg-0</t>
  </si>
  <si>
    <t>pp8zCnEcqtaS0gfExdXd</t>
  </si>
  <si>
    <t>2023-05-22 11:57:38.216808.jpg-0</t>
  </si>
  <si>
    <t>jU7pFynnIdSyBrsheK9o</t>
  </si>
  <si>
    <t>2023-05-22 11:41:57.120119.jpg-0</t>
  </si>
  <si>
    <t>wgrLT2njIillQlo0rhVa</t>
  </si>
  <si>
    <t>2023-05-22 11:06:34.994529.jpg-0</t>
  </si>
  <si>
    <t>fvxnolsHfNVAA75rjLr8</t>
  </si>
  <si>
    <t>2023-05-22 10:31:26.504761.jpg-0</t>
  </si>
  <si>
    <t>7lpoSLgZUNRaiPuWUZoY</t>
  </si>
  <si>
    <t>2023-05-22 09:35:48.144901.jpg-0</t>
  </si>
  <si>
    <t>xfQzb0aLy2n5UoeU6YLo</t>
  </si>
  <si>
    <t>2023-05-21 18:44:26.344871.jpg-02023-05-21 18:44:26.344871.jpg-1</t>
  </si>
  <si>
    <t>nitrite reading was actually 0</t>
  </si>
  <si>
    <t>xF63xcZHKRLdZAByx1ef</t>
  </si>
  <si>
    <t>yKUjBvRdnpNbmzga6VHBVkJbTgH2</t>
  </si>
  <si>
    <t>2023-05-21 14:33:57.406199.jpg-0</t>
  </si>
  <si>
    <t xml:space="preserve">Halfway Creek on near
 Hossfeld Rd </t>
  </si>
  <si>
    <t>By8VnRl0PMpgzJdDwuho</t>
  </si>
  <si>
    <t>wZpcobYc3CnCOMqRMgUO</t>
  </si>
  <si>
    <t>Wj43635nRB8W137QFGsj</t>
  </si>
  <si>
    <t>c5waYRQXJYhaoCKyGDL6aix41dp1</t>
  </si>
  <si>
    <t>2023-05-19 15:45:25.044544.jpg-0</t>
  </si>
  <si>
    <t>PQFazrHCcZF3aJDA7f1B</t>
  </si>
  <si>
    <t>2023-05-19 14:36:57.078253.jpg-0</t>
  </si>
  <si>
    <t>43.97913, -91.144668</t>
  </si>
  <si>
    <t>MhogyGXiYXBeIos2E8TV</t>
  </si>
  <si>
    <t>SHHjnfPS38YP3LyXaRKatoLEFsB3</t>
  </si>
  <si>
    <t>2023-05-19 14:36:30.633802.jpg-02023-05-19 14:36:30.633802.jpg-1</t>
  </si>
  <si>
    <t>43.97103, -91.21967 coordinates</t>
  </si>
  <si>
    <t>cz2CAZDfn7ezx2aZWS5x</t>
  </si>
  <si>
    <t>2023-05-19 14:35:05.312901.jpg-0</t>
  </si>
  <si>
    <t>43.97103’ -91.21967</t>
  </si>
  <si>
    <t>VvuJ8duH22nptXlZH9UX</t>
  </si>
  <si>
    <t>2023-05-19 14:33:59.857982.jpg-0</t>
  </si>
  <si>
    <t>These are the gps coordinates 43.97913, -91.14668 on halfway creek</t>
  </si>
  <si>
    <t>kRev9m4ARTdNQfR9qSnk</t>
  </si>
  <si>
    <t>bszDaPplS3bm6HaEx9cotZrHB372</t>
  </si>
  <si>
    <t>2023-05-19 14:31:27.923250.jpg-02023-05-19 14:31:27.923250.jpg-1</t>
  </si>
  <si>
    <t>coordinates 43.97272, -91.17033</t>
  </si>
  <si>
    <t>li9YpUt0AeCd0SDC8XW3</t>
  </si>
  <si>
    <t>BYoMcq32yhXMY9EyTTBo</t>
  </si>
  <si>
    <t>2023-05-17 17:43:14.464997.jpg-0</t>
  </si>
  <si>
    <t>long creek downstream of county 8 bridge</t>
  </si>
  <si>
    <t>vWg7NEgYwM0W5xWVOlDC</t>
  </si>
  <si>
    <t>bbfim7Ms9YcQMUCkHsws7eRZSPc2</t>
  </si>
  <si>
    <t>aPNMhDIkl11OYqPBA8Og</t>
  </si>
  <si>
    <t>ZtFtu2k1FaNKvU24GBwk5eY5IU93</t>
  </si>
  <si>
    <t>sadCKthFsAt5LU4JqWNW</t>
  </si>
  <si>
    <t>2023-05-17 14:37:43.041349.jpg-0</t>
  </si>
  <si>
    <t>yv74A275y9h9cjcAkxch</t>
  </si>
  <si>
    <t>2023-05-17 14:36:57.773840.jpg-0</t>
  </si>
  <si>
    <t>tested at halfway creek by the baseball frail at 2:33 pm</t>
  </si>
  <si>
    <t>cHHjcI8vtrCFFmaGN03C</t>
  </si>
  <si>
    <t>2023-05-17 14:35:59.281666.jpg-0</t>
  </si>
  <si>
    <t>Halfway creek by baseball field. 
Tested at 2:30 on May 17th</t>
  </si>
  <si>
    <t>dUyEKhOUNrF5z2svDJ6J</t>
  </si>
  <si>
    <t>2023-05-17 14:35:01.434538.jpg-0</t>
  </si>
  <si>
    <t>2:30 behind the baseball field.</t>
  </si>
  <si>
    <t>YoNNXB5fqnEpMVpOCd7O</t>
  </si>
  <si>
    <t>o3aiXGHiyTRIOhAk1lu2</t>
  </si>
  <si>
    <t xml:space="preserve">just after regional rainfall on 5/13-5/14, water slightly tinged in color, lots of columnar drift. crane flies present.
</t>
  </si>
  <si>
    <t>JEqGsGwXIOx12GePghOE</t>
  </si>
  <si>
    <t>2023-05-15 15:41:54.757574.jpg-0</t>
  </si>
  <si>
    <t>gzoXguxpWVEOhqU4trj2</t>
  </si>
  <si>
    <t>2023-05-15 13:02:24.366972.jpg-0</t>
  </si>
  <si>
    <t>70EaG9Yaf9pufMNWVVeY</t>
  </si>
  <si>
    <t>2023-05-15 11:51:29.872343.jpg-0</t>
  </si>
  <si>
    <t>2H65onSCgrCXoyG4yf9W</t>
  </si>
  <si>
    <t>JLxpuOeTy0NVxtm18g8A</t>
  </si>
  <si>
    <t>gAGnt49Sd6Pn292xlkMU</t>
  </si>
  <si>
    <t>zcVm3Fu58OZRbxXQz0rpPUWcwAr2</t>
  </si>
  <si>
    <t>mn7jqAnhX9QHKmNf3e5k</t>
  </si>
  <si>
    <t>2023-05-12 19:49:18.420385.jpg-0</t>
  </si>
  <si>
    <t>6iL8nyQEaAt3RtOo69ee</t>
  </si>
  <si>
    <t>2023-05-12 10:58:00.786805.jpg-0</t>
  </si>
  <si>
    <t>Upstream 570, sample next to solo flat rock</t>
  </si>
  <si>
    <t>ieUU2OB5jEqoEC247WA4</t>
  </si>
  <si>
    <t>GOxA4ncF2NaBt1vnX8jS</t>
  </si>
  <si>
    <t>pztnqIW2LZsb0eSDgzDw</t>
  </si>
  <si>
    <t>Jy04GLmwTSgqpk243PgS</t>
  </si>
  <si>
    <t>2023-05-10 06:39:45.175908.jpg-02023-05-10 06:39:45.175908.jpg-1</t>
  </si>
  <si>
    <t>bank improvement projec5</t>
  </si>
  <si>
    <t>a8csHl3NWiDXUIvO2bgs</t>
  </si>
  <si>
    <t>2023-05-10 06:18:22.030627.jpg-02023-05-10 06:18:22.030627.jpg-1</t>
  </si>
  <si>
    <t>VoVBTDG4Zp5y5gBJbOdn</t>
  </si>
  <si>
    <t>2023-05-08 16:58:19.158012.jpg-0</t>
  </si>
  <si>
    <t xml:space="preserve">Lynch looks good.  A bit stained but not bad. </t>
  </si>
  <si>
    <t>BTM8JSmdPQ7oSPnkCJrb</t>
  </si>
  <si>
    <t>flYCeO5q48DTOl5szvjP</t>
  </si>
  <si>
    <t>7Uv8dHdQAQYzTjnyzkfhfjubWHA3</t>
  </si>
  <si>
    <t>6gJs7liNzSiTC5qsZrET</t>
  </si>
  <si>
    <t xml:space="preserve">secchi tube: greater than 100 cm
air temp: 54 degrees Fahrenheit </t>
  </si>
  <si>
    <t>rLhFmk6ix8sBxoRY4rdP</t>
  </si>
  <si>
    <t>FDPZ2dLtrVcl8DaYBG5g</t>
  </si>
  <si>
    <t xml:space="preserve">secchi tube: greater than 100 cm
air temp: 55 degrees Fahrenheit </t>
  </si>
  <si>
    <t>4D8GggFvLZ2taiZutUxt</t>
  </si>
  <si>
    <t>Va3V7SDV4MfpgV8fbfcE</t>
  </si>
  <si>
    <t>2023-05-04 17:26:07.557898.jpg-0</t>
  </si>
  <si>
    <t>Big jump in water temperature from initial reading two weeks ago.</t>
  </si>
  <si>
    <t>iHFYCzeouxF3m8Q7SpQP</t>
  </si>
  <si>
    <t>WRi7Liq1un1eHyaV6dsF</t>
  </si>
  <si>
    <t>2023-05-04 14:35:52.465512.jpg-0</t>
  </si>
  <si>
    <t>Zlp13hLDLAzAQ9dZB3zW</t>
  </si>
  <si>
    <t xml:space="preserve"> secchi tube: greater than 100 cm
water temp:13.9 degrees Celsius 
air temp: 71 degrees Celsius </t>
  </si>
  <si>
    <t>vxQYdC0KoPBF9ZxOVKdV</t>
  </si>
  <si>
    <t>air temp: 71 degrees Fahrenheit 
secchi tube: greater than 100 cm</t>
  </si>
  <si>
    <t>koJZw0MS4D5aXKkgbhpD</t>
  </si>
  <si>
    <t>fkyeYojyeOTXI8Ws1tum</t>
  </si>
  <si>
    <t>2023-05-04 12:13:30.075632.jpg-0</t>
  </si>
  <si>
    <t xml:space="preserve">air temp: 70
secchi: &lt;100
</t>
  </si>
  <si>
    <t>q4Adtqyozbx9qdCsr79n</t>
  </si>
  <si>
    <t xml:space="preserve">air temp: 69
secchi &lt;100
</t>
  </si>
  <si>
    <t>ZMhvM4trR86K6kUMlsh4</t>
  </si>
  <si>
    <t>2023-05-04 11:24:17.626852.jpg-0</t>
  </si>
  <si>
    <t xml:space="preserve"> air temp: 74
secchi tube: greater than 100 cm 
</t>
  </si>
  <si>
    <t>dm6m9FaCc2KEIKw9HhfP</t>
  </si>
  <si>
    <t>2023-05-04 10:47:53.803807.jpg-0</t>
  </si>
  <si>
    <t>bank erosion</t>
  </si>
  <si>
    <t>WQgSWCDvRvVyQbV8whaC</t>
  </si>
  <si>
    <t>AAxDTmjKpJNVaMbZrxrK</t>
  </si>
  <si>
    <t>lFihJpUVdyys18AEjVN1</t>
  </si>
  <si>
    <t>zes6Bj6HC6I6ZcbGVT5o</t>
  </si>
  <si>
    <t>2023-05-02 16:08:11.585846.jpg-0</t>
  </si>
  <si>
    <t>bright, breezy, 59 and sunny at 4:00 pm</t>
  </si>
  <si>
    <t>hbEuZtLPntyyqlnK8q7G</t>
  </si>
  <si>
    <t>iPDTDosnEaqcmrDc9inf</t>
  </si>
  <si>
    <t>qSxpDO3b5WoVly4jGPYr</t>
  </si>
  <si>
    <t>2023-05-02 13:13:22.326394.jpg-0</t>
  </si>
  <si>
    <t xml:space="preserve"> very small and very sandy</t>
  </si>
  <si>
    <t>QiyVYKbQ9h3klCsyDvJS</t>
  </si>
  <si>
    <t>2023-05-02 12:43:34.802287.jpg-0</t>
  </si>
  <si>
    <t>High nitrate reading seems odd.  not an ag watershed that I can see</t>
  </si>
  <si>
    <t>OIBePW6ALy0HH9abxCo3</t>
  </si>
  <si>
    <t>2023-05-02 11:32:41.491689.jpg-0</t>
  </si>
  <si>
    <t xml:space="preserve">Pine is clear but erosion really bad downstream of bridge.  see picture </t>
  </si>
  <si>
    <t>7WD6NTOmKUw3DaLpqD4D</t>
  </si>
  <si>
    <t>2023-05-02 11:05:10.705920.jpg-0</t>
  </si>
  <si>
    <t>looks wonderful</t>
  </si>
  <si>
    <t>o7ljtLwbccaMx4688XJT</t>
  </si>
  <si>
    <t>2023-05-02 10:48:16.036647.jpg-0</t>
  </si>
  <si>
    <t>Borson Spring looks good but oddly warmer than other streams today. it’s a cold day</t>
  </si>
  <si>
    <t>eWDUeLfVU4CGi6NzYyxM</t>
  </si>
  <si>
    <t>2023-05-02 10:11:53.470627.jpg-0</t>
  </si>
  <si>
    <t>jEunVzmRfuTP1Oh8TytD</t>
  </si>
  <si>
    <t xml:space="preserve">this is near where Diamond enters Root. </t>
  </si>
  <si>
    <t>FVBhmiJrNumfAHvtJ1We</t>
  </si>
  <si>
    <t>2023-05-02 08:34:19.372287.jpg-0</t>
  </si>
  <si>
    <t xml:space="preserve">Torkelson looks great. clear and cold.  </t>
  </si>
  <si>
    <t>saOewVSBDLllH7GpkEwi</t>
  </si>
  <si>
    <t>AC4hJmy3R8KDbs7ZXd9a</t>
  </si>
  <si>
    <t>clear and high eatrr</t>
  </si>
  <si>
    <t>wFPg2Rpprry3Mo2nZnUF</t>
  </si>
  <si>
    <t>QZSCpkm4hBSZp141Bpn9</t>
  </si>
  <si>
    <t>2023-04-27 14:31:03.708778.jpg-0</t>
  </si>
  <si>
    <t>ejpj8x94MBupbT0d7cBw</t>
  </si>
  <si>
    <t>2023-04-27 13:43:04.990651.jpg-0</t>
  </si>
  <si>
    <t>JcZfvdLwg4c0GDcHPwTX</t>
  </si>
  <si>
    <t>2023-04-27 12:53:42.101393.jpg-0</t>
  </si>
  <si>
    <t>iDVRDAt3G5m9JAYXIArY</t>
  </si>
  <si>
    <t>2023-04-27 12:02:42.994713.jpg-0</t>
  </si>
  <si>
    <t>7fGuTwnh0epWS80h4LFh</t>
  </si>
  <si>
    <t>2023-04-27 11:19:42.243587.jpg-0</t>
  </si>
  <si>
    <t>This was a rest</t>
  </si>
  <si>
    <t>PxGobXdkjcTegCJjPhIK</t>
  </si>
  <si>
    <t>2023-04-26 14:14:54.082021.jpg-0</t>
  </si>
  <si>
    <t>kDrkowY17Cxcyzx9ripg</t>
  </si>
  <si>
    <t>2023-04-21 17:34:55.461281.jpg-02023-04-21 17:34:55.461281.jpg-1</t>
  </si>
  <si>
    <t>recent melt and precipitation, air temp 43 degrees F, monitoring site: MOA Creek</t>
  </si>
  <si>
    <t>WlSsA522JYdHN7tE9Twb</t>
  </si>
  <si>
    <t>2023-04-19 15:54:17.842346.jpg-0</t>
  </si>
  <si>
    <t>murky water after last night rain</t>
  </si>
  <si>
    <t>kKFaCu3qDh5Onj8hpyqG</t>
  </si>
  <si>
    <t>2023-04-19 15:06:16.251878.jpg-0</t>
  </si>
  <si>
    <t>stain in water after last night rain</t>
  </si>
  <si>
    <t>urpi1XyTvHIC5Yghjqll</t>
  </si>
  <si>
    <t>2023-04-18 18:17:59.093047.jpg-0</t>
  </si>
  <si>
    <t>bPxdRZR3Xs2LiWRHkJs8</t>
  </si>
  <si>
    <t>2023-04-18 17:01:45.051127.jpg-02023-04-18 17:01:45.051127.jpg-1</t>
  </si>
  <si>
    <t xml:space="preserve">long creek, downstream from county 8 bridge </t>
  </si>
  <si>
    <t>Kd29tT3rPDDTlg0DctGs</t>
  </si>
  <si>
    <t>CYzwAyL65zXRXVixlnnL</t>
  </si>
  <si>
    <t>hyUPD3PkUivgBDZTAxya</t>
  </si>
  <si>
    <t>Main Beaver Creek</t>
  </si>
  <si>
    <t>2OrwDKtwnCxaduUGAp8N</t>
  </si>
  <si>
    <t>AOhrISC8ZewwJUp4gHsb</t>
  </si>
  <si>
    <t>2023-04-14 12:21:20.839863.jpg-0</t>
  </si>
  <si>
    <t>inNgaAQ7M0SJQm5C9R4u</t>
  </si>
  <si>
    <t>2023-04-14 11:36:05.647562.jpg-0</t>
  </si>
  <si>
    <t>9LJp7BxMSgCIGm4Yz1K0</t>
  </si>
  <si>
    <t>gwgntMPz6Nqkk5AWNMvS</t>
  </si>
  <si>
    <t>2023-04-13 17:34:01.640018.jpg-02023-04-13 17:34:01.640018.jpg-1</t>
  </si>
  <si>
    <t xml:space="preserve">West Indian creek - TU volunteer sample - April </t>
  </si>
  <si>
    <t>UnNELR7HmGQI2wy1aICf</t>
  </si>
  <si>
    <t>4tNuibWkTzRiJ2pPNwiRDqGPsDZ2</t>
  </si>
  <si>
    <t>0AYMmsC8hPCludHhIdoy</t>
  </si>
  <si>
    <t>2023-04-13 14:29:07.087299.jpg-0</t>
  </si>
  <si>
    <t>6BQroqoBlNghMHT1JpZR</t>
  </si>
  <si>
    <t>TYj3Gb6UF9PVtD6K7QCC</t>
  </si>
  <si>
    <t xml:space="preserve">Whitewater coming out of Carley State Park.  can’t get to river there because road is closed.  snow or something. </t>
  </si>
  <si>
    <t>gXIPN5qgyYqPLB2SaxoN</t>
  </si>
  <si>
    <t>2023-04-11 14:46:18.354734.jpg-0</t>
  </si>
  <si>
    <t xml:space="preserve">nothing really. </t>
  </si>
  <si>
    <t>q84SVgP5ZFrcboj1wupO</t>
  </si>
  <si>
    <t>2023-04-11 14:09:18.951295.jpg-0</t>
  </si>
  <si>
    <t>Trout Run in WW State Park is looking great. beaver dam right below</t>
  </si>
  <si>
    <t>VVjMUeyTR9N5xo7kyZAB</t>
  </si>
  <si>
    <t>2023-04-11 13:33:39.567719.jpg-0</t>
  </si>
  <si>
    <t>north branch Whitewater looking good</t>
  </si>
  <si>
    <t>BeF3Jvop36aPF1wq5SGl</t>
  </si>
  <si>
    <t>2023-04-11 13:00:11.145294.jpg-0</t>
  </si>
  <si>
    <t xml:space="preserve">state crew is electroshocking SB Whitewater today.  </t>
  </si>
  <si>
    <t>6C0Jk7KGNEtamgILli1O</t>
  </si>
  <si>
    <t>2023-04-10 15:48:27.347082.jpg-0</t>
  </si>
  <si>
    <t xml:space="preserve">stream also flooded recently. clear now.  very sandy.  flood didn’t wash out sand it would seem. </t>
  </si>
  <si>
    <t>4tqpkZpmis2ViwxJjHPX</t>
  </si>
  <si>
    <t>2023-04-10 15:01:32.775617.jpg-0</t>
  </si>
  <si>
    <t xml:space="preserve">all streams today showed recent flooding big time. looked like gullywasher. and Zumbro is high but not flooding. this stream looks great.  I want to come back to fish it.  others were more sandy. </t>
  </si>
  <si>
    <t>JUxnCh07opnOeKyUM3Uz</t>
  </si>
  <si>
    <t xml:space="preserve">had problems with strips again. readings should be okay.  </t>
  </si>
  <si>
    <t>MnzDrpeDKMj26KWvpaRJ</t>
  </si>
  <si>
    <t>DXvKrGUVyZyZDNY2e6MF</t>
  </si>
  <si>
    <t>2023-04-10 11:58:19.805522.jpg-0</t>
  </si>
  <si>
    <t xml:space="preserve">I couldn’t get 5/1 to accept anything and I think 2/1 is suspect because I took one before and it read differently.  the system is really hard to use.     pictures just don’t work well.  
</t>
  </si>
  <si>
    <t>Z4Zw24WzQV969lczxmuO</t>
  </si>
  <si>
    <t>c22K77LcCGu3Sr9lbdsX</t>
  </si>
  <si>
    <t xml:space="preserve">water temp 48 deg. ambient temp 55deg. hazy. water clear and normal height. Indication of earlier snow melt flooding-- sand deposit about two feet higher and outside stream bank. </t>
  </si>
  <si>
    <t>sM5YisOoLr9fzfTSeX6y</t>
  </si>
  <si>
    <t>AYAtqbaEYHNaposb3nT3</t>
  </si>
  <si>
    <t>trying again with fresh 2–1 strip</t>
  </si>
  <si>
    <t>q3BrHtlRcTSNrNIhVxXU</t>
  </si>
  <si>
    <t>2023-04-07 12:32:08.941999.jpg-0</t>
  </si>
  <si>
    <t>spring runoff. 42 degrees, sunny. at 12:15</t>
  </si>
  <si>
    <t>MRfdZx4Q860CDqSMw1kF</t>
  </si>
  <si>
    <t>2023-04-07 12:13:18.834015.jpg-0</t>
  </si>
  <si>
    <t xml:space="preserve">normal flow and height. excellent clarity. </t>
  </si>
  <si>
    <t>eJrHaQ4KZ4m7FykYZjDA</t>
  </si>
  <si>
    <t>7G8FbeOnu4gK63JzSViU</t>
  </si>
  <si>
    <t>2023-03-21 18:56:56.091404.jpg-0</t>
  </si>
  <si>
    <t>murky muddy water next to clear water trib</t>
  </si>
  <si>
    <t>6UlFgkyvfkjC8VtTsenN</t>
  </si>
  <si>
    <t>2023-03-21 18:46:59.355002.jpg-0</t>
  </si>
  <si>
    <t>clear tributary on left side of picture</t>
  </si>
  <si>
    <t>ifEkcVCgVsb4zGTDmbUn</t>
  </si>
  <si>
    <t>jVfRYRcDmFbgH9tFGKub</t>
  </si>
  <si>
    <t>2023-03-09 16:32:16.007858.jpg-02023-03-09 16:32:16.007858.jpg-1</t>
  </si>
  <si>
    <t>chloride ND</t>
  </si>
  <si>
    <t>UNbKm7WQVfWvyvadUWdL</t>
  </si>
  <si>
    <t>2022-11-17 16:13:33.364420.jpg-0</t>
  </si>
  <si>
    <t>chloride 65ppm test strip</t>
  </si>
  <si>
    <t>nl28tzvBB3p3AV7Zil3H</t>
  </si>
  <si>
    <t>2022-11-13 11:12:51.227451.jpg-0</t>
  </si>
  <si>
    <t xml:space="preserve">looks great. </t>
  </si>
  <si>
    <t>hbbWLs9b3nMxxD0djprv</t>
  </si>
  <si>
    <t>2022-11-13 10:45:30.342428.jpg-0</t>
  </si>
  <si>
    <t>not sure what that is in stream downstream. beaver??</t>
  </si>
  <si>
    <t>hHmZSWZdZAlLXOplvLEw</t>
  </si>
  <si>
    <t>2022-11-13 10:06:33.234543.jpg-0</t>
  </si>
  <si>
    <t xml:space="preserve">I’m doing this for Jerry B who’s recovering from cancer.  looks great </t>
  </si>
  <si>
    <t>nrHyuRpbfVjNmM3e6cqn</t>
  </si>
  <si>
    <t>8KqLlQtcfxVk83oM7lr2</t>
  </si>
  <si>
    <t>2022-11-12 13:58:01.210140.jpg-0</t>
  </si>
  <si>
    <t>QQ9sGgqCCmDzkvCnb7de</t>
  </si>
  <si>
    <t>2022-10-02 11:53:07.405043.jpg-0</t>
  </si>
  <si>
    <t>xHoHhIJSrG1B5ecxQq9W</t>
  </si>
  <si>
    <t>2022-06-09 11:40:56.003974.jpg-0</t>
  </si>
  <si>
    <t>Dev: DBParsing_231030_v01.xlsm</t>
  </si>
  <si>
    <t>LT</t>
  </si>
  <si>
    <t>RR</t>
  </si>
  <si>
    <t>SM</t>
  </si>
  <si>
    <t>RR, LT</t>
  </si>
  <si>
    <t>RR, SM</t>
  </si>
  <si>
    <t>Sum 2020-23</t>
  </si>
  <si>
    <t>Chapter Participation</t>
  </si>
  <si>
    <t>Obs.</t>
  </si>
  <si>
    <t>Obsvr ID</t>
  </si>
  <si>
    <t>MRNTYkhU8QIwuvK3HQb6</t>
  </si>
  <si>
    <t>kfiKIi7sRs87XKyKERxY</t>
  </si>
  <si>
    <t>xoPhcXHxtyvS4klWakB1</t>
  </si>
  <si>
    <t>YJIKWHvSZrPMIPu10iU4</t>
  </si>
  <si>
    <t>bmxwg22L1hbfcniR6e24vEvKK5u2</t>
  </si>
  <si>
    <t>vhxLDVBvtqXxYuNVASZk</t>
  </si>
  <si>
    <t>6PNJtATmibspPEZcXmRY</t>
  </si>
  <si>
    <t>rnRFXew2FTkiGi3xptDI</t>
  </si>
  <si>
    <t>egy0xen07yvNdurJtLtd</t>
  </si>
  <si>
    <t>b8IJWknc7s9s5A5eX2ev</t>
  </si>
  <si>
    <t>Tvq6qw5whwvEJHNxS9vH</t>
  </si>
  <si>
    <t>olmdVogbv0BRIyLwk74n</t>
  </si>
  <si>
    <t>m0uFQXteJrgliF9yDXXk</t>
  </si>
  <si>
    <t>2023-10-20 14:53:15.282533.jpg-0</t>
  </si>
  <si>
    <t>Tjg0Idp2rN8cso2Anll0</t>
  </si>
  <si>
    <t>2023-10-20 13:39:41.711672.jpg-0</t>
  </si>
  <si>
    <t>lots of watercress</t>
  </si>
  <si>
    <t>wcvwL0ayysZXjPJalmKV</t>
  </si>
  <si>
    <t>j9vSKOdrvHPyXW9XOUMv</t>
  </si>
  <si>
    <t>2023-10-17 12:46:04.936894.jpg-0</t>
  </si>
  <si>
    <t>Air temperature 68 degrees. cattle have access.</t>
  </si>
  <si>
    <t>9l8WigQmapg7mmCIPpau</t>
  </si>
  <si>
    <t>2023-10-16 15:42:52.345208.jpg-0</t>
  </si>
  <si>
    <t>5BdMN17jThdr9rekksZK</t>
  </si>
  <si>
    <t>2023-10-16 15:34:50.797690.jpg-0</t>
  </si>
  <si>
    <t>GbkkUFhtHyrnrRrPDjPu</t>
  </si>
  <si>
    <t>2023-10-16 15:21:43.139139.jpg-0</t>
  </si>
  <si>
    <t>UrLOZ4369HZB9j4d9fIO</t>
  </si>
  <si>
    <t>2023-10-16 15:07:13.067463.jpg-0</t>
  </si>
  <si>
    <t>4GR34Rk156XykVpMRm4X</t>
  </si>
  <si>
    <t>not able to get readings on nitrites/nitrates. 5in1, 2in1</t>
  </si>
  <si>
    <t>Y3i6fosqGfUV5qnXowX3</t>
  </si>
  <si>
    <t>DReDL4Il5LIHEdlMNbl5</t>
  </si>
  <si>
    <t>CtjA8iUndzYMJmutjKdZ</t>
  </si>
  <si>
    <t>2023-10-11 14:59:09.703468.jpg-0</t>
  </si>
  <si>
    <t>q0SBdK62NGGMqRlxXDyR</t>
  </si>
  <si>
    <t>2023-10-11 14:13:13.509010.jpg-0</t>
  </si>
  <si>
    <t>air temperature 72 degrees. Clear and sunny.</t>
  </si>
  <si>
    <t>JGbKIia2Z80wsZzAnZzR</t>
  </si>
  <si>
    <t>2023-10-11 13:53:38.033041.jpg-0</t>
  </si>
  <si>
    <t>sxa6Xgm7OxkaI3iuYqLB</t>
  </si>
  <si>
    <t>2023-10-11 13:24:19.710187.jpg-0</t>
  </si>
  <si>
    <t>zOGHk7C9XVFuEZzXvk6C</t>
  </si>
  <si>
    <t>2023-10-11 13:11:17.683754.jpg-0</t>
  </si>
  <si>
    <t>8h3REKFdV5tNJ1QDu2I2</t>
  </si>
  <si>
    <t>psI4oTl03xuoHaGU8Pnu</t>
  </si>
  <si>
    <t>Fish Barrier,Bank Erosion,Pipe/Drain Outflow</t>
  </si>
  <si>
    <t>3pVVs4xlikdJ92bn9CkV</t>
  </si>
  <si>
    <t>2023-10-10 12:21:00.160028.jpg-0</t>
  </si>
  <si>
    <t>FdGk3J1Zx5yzrKuho1jJ</t>
  </si>
  <si>
    <t>2023-10-10 12:09:47.737076.jpg-0</t>
  </si>
  <si>
    <t>OnkxJWpHIfZZX9mHyBCG</t>
  </si>
  <si>
    <t>BYoTzFrEWkox23XYbUI9</t>
  </si>
  <si>
    <t>YhoSyrgBtQe2pmywA3PG</t>
  </si>
  <si>
    <t>RzuLmqoVIgW7d3UaIZbJ</t>
  </si>
  <si>
    <t>uwhvaFc5w7LNoa8HcxVd</t>
  </si>
  <si>
    <t>IpUWYrQuuCyf6xpzOc1T</t>
  </si>
  <si>
    <t>2023-10-06 08:07:04.871848.jpg-02023-10-06 08:07:04.871848.jpg-1</t>
  </si>
  <si>
    <t>water level slightly lower than base</t>
  </si>
  <si>
    <t>NXxt1jO5QHOfcc69znwr</t>
  </si>
  <si>
    <t>2023-10-05 14:55:35.208208.jpg-02023-10-05 14:55:35.208208.jpg-12023-10-05 14:55:35.208208.jpg-22023-10-05 14:55:35.208208.jpg-32023-10-05 14:55:35.208208.jpg-4</t>
  </si>
  <si>
    <t>about 66 degrees out sunny and windy.  water in stream barely lookalike it is moving.  very green murky.</t>
  </si>
  <si>
    <t>YS80iKxMZ8HWo5AR8MQi</t>
  </si>
  <si>
    <t>2023-10-05 12:35:22.860505.jpg-0</t>
  </si>
  <si>
    <t>TT 120</t>
  </si>
  <si>
    <t>fkNNRKoaLaOBkiWetDs4</t>
  </si>
  <si>
    <t>2023-10-05 09:24:12.359128.jpg-0</t>
  </si>
  <si>
    <t>YJIaHBzKEMqpivmT3d2m</t>
  </si>
  <si>
    <t xml:space="preserve">running clear and colder </t>
  </si>
  <si>
    <t>YRHSleEMwkX3HRKkmglb</t>
  </si>
  <si>
    <t>CaWWzuul3R7LP7fN7u9P</t>
  </si>
  <si>
    <t>5yELpuEiLCL2LwLggyjt</t>
  </si>
  <si>
    <t>2023-09-30 13:03:32.088890.jpg-0</t>
  </si>
  <si>
    <t>ajdUStPOK08o3t97QEJB</t>
  </si>
  <si>
    <t>2023-09-30 09:50:42.768319.jpg-0</t>
  </si>
  <si>
    <t xml:space="preserve">very peaceful. near record high today.  </t>
  </si>
  <si>
    <t>3O3CNijO50nFgSBWGx18</t>
  </si>
  <si>
    <t>2023-09-30 09:28:02.928506.jpg-0</t>
  </si>
  <si>
    <t xml:space="preserve">looks good. </t>
  </si>
  <si>
    <t>dufnahYFTh4PRx509MCy</t>
  </si>
  <si>
    <t>2023-09-30 08:56:00.900043.jpg-0</t>
  </si>
  <si>
    <t xml:space="preserve">warmer than I thought. </t>
  </si>
  <si>
    <t>gnE9WcnBb7EO2ORhFSMH</t>
  </si>
  <si>
    <t>VXJwbr6nLqNmQpnudapb</t>
  </si>
  <si>
    <t>wDhx3hqQajCVdd5Ylecn</t>
  </si>
  <si>
    <t>ZkSzdRrhMnLu8BkIfj9X</t>
  </si>
  <si>
    <t>3PXTFvJLrjrhzWRGes3Y</t>
  </si>
  <si>
    <t>5DglOB0TQnLLMeYnI5PG</t>
  </si>
  <si>
    <t>nUCkiJGtE6NmDWmli4po</t>
  </si>
  <si>
    <t>ru40b3F1o0I7mRm0kC9K</t>
  </si>
  <si>
    <t>2023-09-26 13:45:50.159061.jpg-0</t>
  </si>
  <si>
    <t>sugar Grove valley creek at sth 23. samples collected and submitted to WSLH</t>
  </si>
  <si>
    <t>FLy0Dnm3WkamH2W3tzl0</t>
  </si>
  <si>
    <t>2023-09-26 13:26:43.173097.jpg-0</t>
  </si>
  <si>
    <t>unnamed trib are Sth 23, samples collected and submitted to WSLH</t>
  </si>
  <si>
    <t>XKqdkVvG9C23hLnF22Zu</t>
  </si>
  <si>
    <t>2023-09-26 13:14:20.852846.jpg-0</t>
  </si>
  <si>
    <t>honey creek at Willow road. samples collected and sent to WSLH</t>
  </si>
  <si>
    <t>oTX4D0TYfA1hqzalmTpq</t>
  </si>
  <si>
    <t>2023-09-26 12:55:47.886929.jpg-0</t>
  </si>
  <si>
    <t>honey at CTH GG. Sample collected and sent to WSLH</t>
  </si>
  <si>
    <t>C3UvxJH9sG7XdotKyuT4</t>
  </si>
  <si>
    <t>2023-09-26 12:43:13.452381.jpg-0</t>
  </si>
  <si>
    <t>Shanahan valley Creek at CTH GG. samples collected and brought to WSLH</t>
  </si>
  <si>
    <t>hiI4LJqEoEMKMBITHAWa</t>
  </si>
  <si>
    <t>Shanahan valley cr a pouty road.  sample collected and sent to WSLH</t>
  </si>
  <si>
    <t>cqWew2U5nSRHdsgH79Hg</t>
  </si>
  <si>
    <t>2023-09-26 11:56:37.150796.jpg-0</t>
  </si>
  <si>
    <t>unnamed trib at cth b. very low DO. sample collected and sent to WSLH</t>
  </si>
  <si>
    <t>esfTDpvq3DIw90X82scj</t>
  </si>
  <si>
    <t>2023-09-26 11:46:34.667068.jpg-0</t>
  </si>
  <si>
    <t>Bank Erosion,Trash,Algal Bloom</t>
  </si>
  <si>
    <t>2uSFRnIuFeEycoJeVqkm</t>
  </si>
  <si>
    <t>2023-09-26 11:28:46.414008.jpg-0</t>
  </si>
  <si>
    <t>honey creek at cth e. paired with samples collected and sent to WSLH</t>
  </si>
  <si>
    <t>Ma1pO8lUHERvEzpgWCjr</t>
  </si>
  <si>
    <t>uDFKosF35gzQqZVtSzjU</t>
  </si>
  <si>
    <t>2023-09-25 15:12:15.939095.jpg-0</t>
  </si>
  <si>
    <t xml:space="preserve">looks very good except for cattle.  </t>
  </si>
  <si>
    <t>yo4oAjAfQodU3BzK5nFv</t>
  </si>
  <si>
    <t>P8DAYTurSidpZTulWye3</t>
  </si>
  <si>
    <t>2023-09-25 14:39:41.309978.jpg-0</t>
  </si>
  <si>
    <t xml:space="preserve">it’s definitely higher and stained.  not dirty.  just stained.  </t>
  </si>
  <si>
    <t>KLZ7ZMTh0Hl5UVEGWGIG</t>
  </si>
  <si>
    <t>WFZwgBmffdOwzJja4udj</t>
  </si>
  <si>
    <t>xOfFGjKAYYG8Xqv0W42L</t>
  </si>
  <si>
    <t>2023-09-25 13:21:50.414413.jpg-0</t>
  </si>
  <si>
    <t xml:space="preserve">South Branch Root looks great despite the rain.  but it has a titch of nitrite </t>
  </si>
  <si>
    <t>Qch6zmfeCEtrMrzr8i9t</t>
  </si>
  <si>
    <t>2023-09-25 12:48:04.494182.jpg-0</t>
  </si>
  <si>
    <t xml:space="preserve">we had heavy rains past few days. Canfield is up but clear. nitrates high.  </t>
  </si>
  <si>
    <t>9V3uNDnquPWFqZnUw5MZ</t>
  </si>
  <si>
    <t>ISEV051SI0j72qUWWdJ2</t>
  </si>
  <si>
    <t>2023-09-25 11:20:21.694859.jpg-02023-09-25 11:20:21.694859.jpg-1</t>
  </si>
  <si>
    <t>1.5"+ rain last 24hrs. Tree and brush in stream at crossing</t>
  </si>
  <si>
    <t>mb0oxeBhOgS3CvNhFHuu</t>
  </si>
  <si>
    <t>1.5"+ rain last 24hrs. Much vegetation in stream</t>
  </si>
  <si>
    <t>PmerAy46w2qwe2v3YLDy</t>
  </si>
  <si>
    <t xml:space="preserve">It’s been raining </t>
  </si>
  <si>
    <t>5zrUY16uSsXTVC1k3yd6</t>
  </si>
  <si>
    <t>2023-09-24 16:40:23.849517.jpg-0</t>
  </si>
  <si>
    <t xml:space="preserve">long creek, downstream from cnty 8 bridge.  recent rain showers </t>
  </si>
  <si>
    <t>hQ05GQQqij1KY3vVqJGu</t>
  </si>
  <si>
    <t>iIWM4knaiJB6MlD7QRA5</t>
  </si>
  <si>
    <t>kreibach coulee easement</t>
  </si>
  <si>
    <t>2xJSFdxUMfxYtvszHGMV</t>
  </si>
  <si>
    <t>melvina little la crosse easement</t>
  </si>
  <si>
    <t>PTrGa7GrBP4L6AJx7d38</t>
  </si>
  <si>
    <t>halls valley creek easement off F.</t>
  </si>
  <si>
    <t>ybuGpHPNDZ2mvB14JLzp</t>
  </si>
  <si>
    <t>little la crosse easement down from Lyons valley creek easment. open pasture many cows and manure everywhere along riverside</t>
  </si>
  <si>
    <t>sL6LR1qvFUCEezCXRAL8</t>
  </si>
  <si>
    <t>cannon valley creek easement.</t>
  </si>
  <si>
    <t>LKOrJJMiEzAtCS8f7ZMo</t>
  </si>
  <si>
    <t>2023-09-22 14:55:39.950148.jpg-0</t>
  </si>
  <si>
    <t>ptly cloudy, 72 degrees, very dry conditions</t>
  </si>
  <si>
    <t>DGCBYj40qVQANBbmqbXf</t>
  </si>
  <si>
    <t>2023-09-22 09:51:24.499279.jpg-0</t>
  </si>
  <si>
    <t>UCQCIfV2NWdBLokYXE9s</t>
  </si>
  <si>
    <t>2023-09-21 10:33:01.290365.jpg-0</t>
  </si>
  <si>
    <t>GItk7iNBhW5mdHw9VlAG</t>
  </si>
  <si>
    <t>2023-09-18 15:42:01.771290.jpg-0</t>
  </si>
  <si>
    <t>very soft bottom. water temp on dodge branch upstream from confluence is 62</t>
  </si>
  <si>
    <t>Dxn6VhIWAmMgo1wD4YUk</t>
  </si>
  <si>
    <t>2023-09-18 15:15:35.104370.jpg-0</t>
  </si>
  <si>
    <t xml:space="preserve">downstream end of culvert 1 foot above stream water elevation </t>
  </si>
  <si>
    <t>vcdnlMb1XrcWcQemBPsl</t>
  </si>
  <si>
    <t>2023-09-18 14:34:48.273357.jpg-0</t>
  </si>
  <si>
    <t>observed trout. fish access easement</t>
  </si>
  <si>
    <t>NylZGH2h5yaaokOWjkaO</t>
  </si>
  <si>
    <t>2023-09-18 13:34:31.783343.jpg-0</t>
  </si>
  <si>
    <t>Io7GcWN71a6gxFRzBIkP</t>
  </si>
  <si>
    <t>2023-09-18 13:19:16.628534.jpg-0</t>
  </si>
  <si>
    <t>ZGACYWZMPoDRm5cZ6D6i</t>
  </si>
  <si>
    <t>2023-09-18 12:29:29.674643.jpg-0</t>
  </si>
  <si>
    <t>rock substrate. sediment</t>
  </si>
  <si>
    <t>lPE7cPoZz6vA9N5eqNCd</t>
  </si>
  <si>
    <t>2023-09-18 11:56:02.818251.jpg-0</t>
  </si>
  <si>
    <t xml:space="preserve">active quarry upstream. new culvert At road </t>
  </si>
  <si>
    <t>RmWmK3A9itBj9BmSII48</t>
  </si>
  <si>
    <t>2023-09-18 11:04:22.681253.jpg-0</t>
  </si>
  <si>
    <t>pt3it2FatRX9aq2FwNsv</t>
  </si>
  <si>
    <t>2023-09-17 10:55:06.701033.jpg-02023-09-17 10:55:06.701033.jpg-1</t>
  </si>
  <si>
    <t xml:space="preserve">West Indian upstream from parking lot </t>
  </si>
  <si>
    <t>sW0H5ObPZeCLdz234EpA</t>
  </si>
  <si>
    <t>XRfHIeeS4UfhDBEYdIRz</t>
  </si>
  <si>
    <t>HAVAGNgUryX5zurK9f69</t>
  </si>
  <si>
    <t>2023-09-16 11:38:58.235082.jpg-0</t>
  </si>
  <si>
    <t>aUtLQkhKcVHIgGVCmodr</t>
  </si>
  <si>
    <t>2023-09-15 15:26:38.320282.jpg-02023-09-15 15:26:38.320282.jpg-1</t>
  </si>
  <si>
    <t>South Branch of Whitewater</t>
  </si>
  <si>
    <t>8vf718SmAcxyw1vnfeP2</t>
  </si>
  <si>
    <t>2023-09-15 14:04:55.154089.jpg-02023-09-15 14:04:55.154089.jpg-12023-09-15 14:04:55.154089.jpg-2</t>
  </si>
  <si>
    <t xml:space="preserve">Middle Fork of Whitewater </t>
  </si>
  <si>
    <t>IvUPiEJeEV5Lkd8uzlnB</t>
  </si>
  <si>
    <t>2023-09-14 15:18:38.668377.jpg-0</t>
  </si>
  <si>
    <t>oUS5T5AK8QpP2VdiwYw8</t>
  </si>
  <si>
    <t>2023-09-14 14:43:23.984021.jpg-0</t>
  </si>
  <si>
    <t>4dfta3rIhf6NGyawf0e3</t>
  </si>
  <si>
    <t>2023-09-14 14:19:46.439442.jpg-0</t>
  </si>
  <si>
    <t>mp46kvBXiy0FpgQA94TB</t>
  </si>
  <si>
    <t>2023-09-14 14:06:00.044066.jpg-0</t>
  </si>
  <si>
    <t>Japanese knotweed present</t>
  </si>
  <si>
    <t>McFf1HA6GDtHpUztDJTu</t>
  </si>
  <si>
    <t>2023-09-13 15:40:16.983275.jpg-0</t>
  </si>
  <si>
    <t>4dvAlM59eruZwAH6Ikk3</t>
  </si>
  <si>
    <t>2023-09-13 15:02:20.798772.jpg-0</t>
  </si>
  <si>
    <t>erGOsZ0X3TFcsUEbpvHc</t>
  </si>
  <si>
    <t>ltLfgHfOCJJvakWYd7Rr</t>
  </si>
  <si>
    <t>rJ5LIpSkfEgdYV3Kl4VV</t>
  </si>
  <si>
    <t>2XHDjq71v6QuQ2mR0YUjDtciKej1</t>
  </si>
  <si>
    <t>2023-09-10 08:41:19.705194.jpg-0</t>
  </si>
  <si>
    <t>SJKEpB70TmYIGbZcqKth</t>
  </si>
  <si>
    <t>WvLTH0KONm4gIu1tFN6T</t>
  </si>
  <si>
    <t>2023-09-09 13:54:14.631188.jpg-0</t>
  </si>
  <si>
    <t>YHUQ51ycDexKRePwmulP</t>
  </si>
  <si>
    <t>Air temp 67</t>
  </si>
  <si>
    <t>e9HIX3EJMwducY0KPhvu</t>
  </si>
  <si>
    <t>Osg8ohBvOuOgAz7DCYcC</t>
  </si>
  <si>
    <t>eEwrlyfYrCbP9Eiy7YuS</t>
  </si>
  <si>
    <t>HyXAuwjVbrKJfLDnGasS</t>
  </si>
  <si>
    <t>2023-09-05 15:43:35.750686.jpg-0</t>
  </si>
  <si>
    <t>DGnblBDJHdPLDt8j9jvJ</t>
  </si>
  <si>
    <t>GkTqqiEuzXnoSWfitqOK</t>
  </si>
  <si>
    <t>2023-09-04 12:51:45.954133.jpg-0</t>
  </si>
  <si>
    <t xml:space="preserve">hot and sunny. 89 degrees. water low, drought conditions. </t>
  </si>
  <si>
    <t>KBrcMpF8BTeYDVjevALe</t>
  </si>
  <si>
    <t>2023-09-03 07:00:51.955281.jpg-0</t>
  </si>
  <si>
    <t>good flow, nice color</t>
  </si>
  <si>
    <t>bfBDn4ZIulgdEdfZOpmy</t>
  </si>
  <si>
    <t>2023-09-03 06:37:27.267356.jpg-0</t>
  </si>
  <si>
    <t>bank vegetation filled in, stream vegetation good. Mayflies present</t>
  </si>
  <si>
    <t>SwwLKWFRoJUPXuAsoSHR</t>
  </si>
  <si>
    <t>Secchi Tube &gt; 100 cm.
Extensive macrophyte development along RDB.
No rainfall for 16 days.</t>
  </si>
  <si>
    <t>b4AMSGJ9r6rrhzw4ZtWX</t>
  </si>
  <si>
    <t>2023-09-02 08:32:12.220328.jpg-02023-09-02 08:32:12.220328.jpg-1</t>
  </si>
  <si>
    <t>water level is lower than base level; fish trap was found in stream</t>
  </si>
  <si>
    <t>TwFfudHCubBtvnlt1FA5</t>
  </si>
  <si>
    <t>2023-08-30 10:29:07.089062.jpg-0</t>
  </si>
  <si>
    <t>Canfield looks great BUT nitrite/nitrate surprised me. I ran it again with new strip and got same result.  no idea why</t>
  </si>
  <si>
    <t>glBNib2rjReHoBVTiyWl</t>
  </si>
  <si>
    <t>2023-08-27 19:09:10.025027.jpg-0</t>
  </si>
  <si>
    <t xml:space="preserve">long creek downstream from county 8 bridge </t>
  </si>
  <si>
    <t>mXCodMEsFtEkxHIy2kWC</t>
  </si>
  <si>
    <t>Y0DC0TYX9I8ZHohsG2Ww</t>
  </si>
  <si>
    <t>ygbyv6VGbz7IAxSqtC7f</t>
  </si>
  <si>
    <t>2023-08-15 13:13:35.029068.jpg-0</t>
  </si>
  <si>
    <t>light rain day before. Sunny and 72 degrees today.</t>
  </si>
  <si>
    <t>oOO3GBCg6WikzMGrZszJ</t>
  </si>
  <si>
    <t>2023-08-08 15:47:12.262632.jpg-0</t>
  </si>
  <si>
    <t>Bi7YlqHsSbHQQcGPp9xR</t>
  </si>
  <si>
    <t>2023-08-07 14:03:44.983840.jpg-0</t>
  </si>
  <si>
    <t>clear &amp; low</t>
  </si>
  <si>
    <t>FtglSMPe2BdT7yywqzSF</t>
  </si>
  <si>
    <t>2023-07-29 16:04:23.246782.jpg-0</t>
  </si>
  <si>
    <t>water temp: 61.5 degrees</t>
  </si>
  <si>
    <t>ZYtcXU0ZN5MFmIDSCvF3</t>
  </si>
  <si>
    <t>2023-07-24 16:06:30.113240.jpg-02023-07-24 16:06:30.113240.jpg-12023-07-24 16:06:30.113240.jpg-2</t>
  </si>
  <si>
    <t>lVJ1xvvRq9VLgqDaE7w8</t>
  </si>
  <si>
    <t>2023-07-03 17:10:48.528400.jpg-02023-07-03 17:10:48.528400.jpg-12023-07-03 17:10:48.528400.jpg-22023-07-03 17:10:48.528400.jpg-3</t>
  </si>
  <si>
    <t>air temperature 94 degrees and sunny.  water temperature 77.7 degrees.</t>
  </si>
  <si>
    <t>eoCN6mMykXomviqMqMOx</t>
  </si>
  <si>
    <t>2023-02-28 14:12:58.231699.jpg-02023-02-28 14:12:58.231699.jpg-1</t>
  </si>
  <si>
    <t>slight runoff event from snow melting. River up 2 to 3 inches. Nitrate and nitrate strip expired 04/2022, ignore these test results</t>
  </si>
  <si>
    <t>Obs per TU Chapter Area</t>
  </si>
  <si>
    <t>DB Labels</t>
  </si>
  <si>
    <t>Trout Streams</t>
  </si>
  <si>
    <t>Bullard Creek</t>
  </si>
  <si>
    <t>North Fork Whitewater River</t>
  </si>
  <si>
    <t>Middle Creek</t>
  </si>
  <si>
    <t>Long Creek</t>
  </si>
  <si>
    <t>South Fork Zumbro River</t>
  </si>
  <si>
    <t>Little LaCrosse River</t>
  </si>
  <si>
    <t>Halfway Creek</t>
  </si>
  <si>
    <t>Pammel Creek</t>
  </si>
  <si>
    <t>Diamond Creek</t>
  </si>
  <si>
    <t>Shattuck Creek</t>
  </si>
  <si>
    <t>Lynch Creek</t>
  </si>
  <si>
    <t>Deer Creek</t>
  </si>
  <si>
    <t>Watson Creek</t>
  </si>
  <si>
    <t>Root River</t>
  </si>
  <si>
    <t>Judkins Creek</t>
  </si>
  <si>
    <t>North Branch Trempealeau River</t>
  </si>
  <si>
    <t>Tank Creek</t>
  </si>
  <si>
    <t>Pigeon Creek</t>
  </si>
  <si>
    <t>Ellingson Coulee</t>
  </si>
  <si>
    <t>Borst Valley Creek</t>
  </si>
  <si>
    <t>Chimney Rock Creek</t>
  </si>
  <si>
    <t>Bruce Valley Creek</t>
  </si>
  <si>
    <t>Big Slough</t>
  </si>
  <si>
    <t>Tappen Coulee Creek</t>
  </si>
  <si>
    <t>Trump Coulee Creek</t>
  </si>
  <si>
    <t>Trout Run Creek</t>
  </si>
  <si>
    <t>Tamarack Creek</t>
  </si>
  <si>
    <t>Swinns Valley</t>
  </si>
  <si>
    <t>Cisna Creek</t>
  </si>
  <si>
    <t>South Fork Halls Creek</t>
  </si>
  <si>
    <t>Vismal Creek</t>
  </si>
  <si>
    <t>Allen Creek</t>
  </si>
  <si>
    <t>Kenyon Creek</t>
  </si>
  <si>
    <t>Levis Creek</t>
  </si>
  <si>
    <t>Squaw Creek</t>
  </si>
  <si>
    <t>Hoffman Creek</t>
  </si>
  <si>
    <t>White Creek</t>
  </si>
  <si>
    <t>Douglas Creek</t>
  </si>
  <si>
    <t>Sand Creek</t>
  </si>
  <si>
    <t>Valentine Creek</t>
  </si>
  <si>
    <t>Coffee Creek</t>
  </si>
  <si>
    <t>Indian Grave Creek</t>
  </si>
  <si>
    <t>Black River</t>
  </si>
  <si>
    <t>North Fork Beaver Creek</t>
  </si>
  <si>
    <t>Legue Coulee</t>
  </si>
  <si>
    <t>Joe Coulee Creek</t>
  </si>
  <si>
    <t>Little Creek</t>
  </si>
  <si>
    <t>Columbus Creek</t>
  </si>
  <si>
    <t>South Fork Beaver Creek</t>
  </si>
  <si>
    <t>Salzwedel Coulee Creek</t>
  </si>
  <si>
    <t>Smikrud Coulee</t>
  </si>
  <si>
    <t>German Coulee</t>
  </si>
  <si>
    <t>Dutch Creek</t>
  </si>
  <si>
    <t>Peacock Road Coulee</t>
  </si>
  <si>
    <t>Woodward Creek</t>
  </si>
  <si>
    <t>Stensven Coulee</t>
  </si>
  <si>
    <t>Crooked Creek</t>
  </si>
  <si>
    <t>Winnebago Creek</t>
  </si>
  <si>
    <t>South Fork Sugar Creek</t>
  </si>
  <si>
    <t>Copper Creek</t>
  </si>
  <si>
    <t>South Branch Copper Creek</t>
  </si>
  <si>
    <t>Buck Creek</t>
  </si>
  <si>
    <t>Picatee Creek</t>
  </si>
  <si>
    <t>Hickory Creek</t>
  </si>
  <si>
    <t>Bloody Run</t>
  </si>
  <si>
    <t>Token Creek</t>
  </si>
  <si>
    <t>North Branch Volga River</t>
  </si>
  <si>
    <t>Coulee Creek</t>
  </si>
  <si>
    <t>Deep Creek</t>
  </si>
  <si>
    <t>Alexander Creek</t>
  </si>
  <si>
    <t>Little Volga River</t>
  </si>
  <si>
    <t>Nagle Creek</t>
  </si>
  <si>
    <t>Cox Creek</t>
  </si>
  <si>
    <t>Hewett Creek</t>
  </si>
  <si>
    <t>Honey Creek</t>
  </si>
  <si>
    <t>Kleinlein Creek</t>
  </si>
  <si>
    <t>Doe Creek</t>
  </si>
  <si>
    <t>Rabbit Creek</t>
  </si>
  <si>
    <t>Waterloo Creek</t>
  </si>
  <si>
    <t>North Bear Creek</t>
  </si>
  <si>
    <t>Paint Creek</t>
  </si>
  <si>
    <t>Trout River</t>
  </si>
  <si>
    <t>Williams-Barneveld Creek</t>
  </si>
  <si>
    <t>Dodge Branch</t>
  </si>
  <si>
    <t>Steiner Branch</t>
  </si>
  <si>
    <t>East Fork Raccoon Creek</t>
  </si>
  <si>
    <t>Pedler Creek</t>
  </si>
  <si>
    <t>Sudan Branch</t>
  </si>
  <si>
    <t>Lynch Branch</t>
  </si>
  <si>
    <t>Williams-rewey Branch</t>
  </si>
  <si>
    <t>Rock Branch</t>
  </si>
  <si>
    <t>Hustad Valley</t>
  </si>
  <si>
    <t>Story Creek</t>
  </si>
  <si>
    <t>Gill Creek</t>
  </si>
  <si>
    <t>Weister Creek</t>
  </si>
  <si>
    <t>Maple Dale</t>
  </si>
  <si>
    <t>Cook Creek</t>
  </si>
  <si>
    <t>Kickapoo River</t>
  </si>
  <si>
    <t>Reads Creek</t>
  </si>
  <si>
    <t>Day Creek</t>
  </si>
  <si>
    <t>Tainter Creek</t>
  </si>
  <si>
    <t>Hanson Valley</t>
  </si>
  <si>
    <t>Jones Valley</t>
  </si>
  <si>
    <t>Johnstown Valley</t>
  </si>
  <si>
    <t>Halls Branch</t>
  </si>
  <si>
    <t>Crow Hollow</t>
  </si>
  <si>
    <t>Citron Creek</t>
  </si>
  <si>
    <t>Champion Valley</t>
  </si>
  <si>
    <t>Grinsell Branch</t>
  </si>
  <si>
    <t>Pine River</t>
  </si>
  <si>
    <t>West Branch Pine River</t>
  </si>
  <si>
    <t>Melancthon Creek</t>
  </si>
  <si>
    <t>Manley Creek</t>
  </si>
  <si>
    <t>North Branch Honey Creek</t>
  </si>
  <si>
    <t>Hynek Hollow</t>
  </si>
  <si>
    <t>Soules Creek</t>
  </si>
  <si>
    <t>Willow Creek</t>
  </si>
  <si>
    <t>Fancy Creek</t>
  </si>
  <si>
    <t>Marshall Creek</t>
  </si>
  <si>
    <t>Kepler Branch</t>
  </si>
  <si>
    <t>Babb Hollow</t>
  </si>
  <si>
    <t>Robin Hollow</t>
  </si>
  <si>
    <t>Lost Hollow</t>
  </si>
  <si>
    <t>Pine Valley</t>
  </si>
  <si>
    <t>West Branch Mill Creek</t>
  </si>
  <si>
    <t>Knapp Creek</t>
  </si>
  <si>
    <t>Horse Creek</t>
  </si>
  <si>
    <t>Ryan Hollow</t>
  </si>
  <si>
    <t>Little Willow Creek</t>
  </si>
  <si>
    <t>Plum Run</t>
  </si>
  <si>
    <t>School Section Hollow</t>
  </si>
  <si>
    <t>Pier Spring Creek</t>
  </si>
  <si>
    <t>Jimtown Branch</t>
  </si>
  <si>
    <t>Core Hollow</t>
  </si>
  <si>
    <t>West Fork Knapp Creek</t>
  </si>
  <si>
    <t>Fox Hollow</t>
  </si>
  <si>
    <t>Beebe Hollow</t>
  </si>
  <si>
    <t>John Hill Creek</t>
  </si>
  <si>
    <t>Byrds Creek</t>
  </si>
  <si>
    <t>Gobin Hollow</t>
  </si>
  <si>
    <t>Richland Creek</t>
  </si>
  <si>
    <t>Little Kickapoo Creek</t>
  </si>
  <si>
    <t>Gran Grae Creek</t>
  </si>
  <si>
    <t>Gault Hollow</t>
  </si>
  <si>
    <t>Sugar Grove Valley</t>
  </si>
  <si>
    <t>McGlynn Creek</t>
  </si>
  <si>
    <t>Cazenovia Branch</t>
  </si>
  <si>
    <t>Phelps Creek</t>
  </si>
  <si>
    <t>Brook Trout Stream Flag</t>
  </si>
  <si>
    <t>Orthophosphate (ppb)</t>
  </si>
  <si>
    <t>Snowmelt</t>
  </si>
  <si>
    <t>None (Disturbance)</t>
  </si>
  <si>
    <t>None (Weather)</t>
  </si>
  <si>
    <t>Not Reported (Weather)</t>
  </si>
  <si>
    <t>Fish Barrier (text)</t>
  </si>
  <si>
    <t>Bank Erosion (text)</t>
  </si>
  <si>
    <t>Trash (text)</t>
  </si>
  <si>
    <t>Pipe Drain (text)</t>
  </si>
  <si>
    <t>Livestock in Water (text)</t>
  </si>
  <si>
    <t>Algal Bloom (text)</t>
  </si>
  <si>
    <t>Fish Kill (text)</t>
  </si>
  <si>
    <t>None (text)</t>
  </si>
  <si>
    <t>Dis: Not Reported (text)</t>
  </si>
  <si>
    <t>QGIS File</t>
  </si>
  <si>
    <t>XLSX Table exported from QGIS layer</t>
  </si>
  <si>
    <t>XLSX Table f chapter affiliation</t>
  </si>
  <si>
    <t>Observer affilliation as provided by TU from submitted emaill addresses</t>
  </si>
  <si>
    <t>Streams near observation location:  derived programmatically from QGIS (NHD data layer)</t>
  </si>
  <si>
    <t>First streams near observation location:  derived programmatically from QGIS (Compiled from state (IA, IL, MN, WI) designated trout stream layers)</t>
  </si>
  <si>
    <t>First streams near observation location:  derived programmatically from QGIS (TU brook trout stream layer)</t>
  </si>
  <si>
    <t>First streams near observation location:  derived programmatically from QGIS (TU chapter boundary layer)</t>
  </si>
  <si>
    <t>Zone for scorecard analysis</t>
  </si>
  <si>
    <t>Fish barrier at observation (absent, present, no data)</t>
  </si>
  <si>
    <t>Bank erosion at observation (absent, present, no data)</t>
  </si>
  <si>
    <t>Trash reported at observation (absent, present, no data)</t>
  </si>
  <si>
    <t>Pipe/drain at observation (absent, present, no data)</t>
  </si>
  <si>
    <t>Livestock in water at observation (absent, present, no data)</t>
  </si>
  <si>
    <t>Algal bloom at observation (absent, present, no data)</t>
  </si>
  <si>
    <t>Fish kill at observation (absent, present, no data)</t>
  </si>
  <si>
    <t>No disturbances observed (absent, present, no data)</t>
  </si>
  <si>
    <t>Fish barrier at observation (1 - present, 0 - absent, -1 not reported)</t>
  </si>
  <si>
    <t>Bank erosion at observation (1 - present, 0 - absent, -1 not reported)</t>
  </si>
  <si>
    <t>Trash reported at observation (1 - present, 0 - absent, -1 not reported)</t>
  </si>
  <si>
    <t>Pipe/drain at observation (1 - present, 0 - absent, -1 not reported)</t>
  </si>
  <si>
    <t>Livestock in water at observation (1 - present, 0 - absent, -1 not reported)</t>
  </si>
  <si>
    <t>Algal bloom at observation (1 - present, 0 - absent, -1 not reported)</t>
  </si>
  <si>
    <t>Fish kill at observation (1 - present, 0 - absent, -1 not reported)</t>
  </si>
  <si>
    <t>No disturbances observed (1 - present, 0 - absent, -1 not reported)</t>
  </si>
  <si>
    <t>Regional rainfall reported with an observation (1 - present, 0 - absent, -1 not reported)</t>
  </si>
  <si>
    <t>Local thunderstorm reported with an observation (1 - present, 0 - absent, -1 not reported)</t>
  </si>
  <si>
    <t>Snowmelt reported with an observation (1 - present, 0 - absent, -1 not reported)</t>
  </si>
  <si>
    <t>No weather phenomena reported with an observation (1 - present, 0 - absent, -1 not reported)</t>
  </si>
  <si>
    <t>Members</t>
  </si>
  <si>
    <t>Member Observations</t>
  </si>
  <si>
    <t>Affilliation</t>
  </si>
  <si>
    <t>TU Staff</t>
  </si>
  <si>
    <t>Kinni Corridor Collaborative</t>
  </si>
  <si>
    <t>Agency/University</t>
  </si>
  <si>
    <t>TCTU</t>
  </si>
  <si>
    <t>US FWS</t>
  </si>
  <si>
    <t>Agency/University*</t>
  </si>
  <si>
    <t>Chapters</t>
  </si>
  <si>
    <t>total obs</t>
  </si>
  <si>
    <t xml:space="preserve">*Includes staff from Minnesota DNR, Wisconsin DNR, USFWS, Saint Marys University, Upper Iowa University, Holmen Middle School </t>
  </si>
  <si>
    <t>Loaded From Raw</t>
  </si>
  <si>
    <t>Plotting Data</t>
  </si>
  <si>
    <t>Station to Plot</t>
  </si>
  <si>
    <t>Table Labels</t>
  </si>
  <si>
    <t>Nitrite (NO2)</t>
  </si>
  <si>
    <t>Nitrite (NO2) 
[ppm]</t>
  </si>
  <si>
    <t>Nitrite (NO2) [ppm]</t>
  </si>
  <si>
    <t>Alkalinity 
[ppm CaCO3]</t>
  </si>
  <si>
    <t>Alkalinity [ppm CaCO3]</t>
  </si>
  <si>
    <t>Hardness 
[ppm CaCO3]</t>
  </si>
  <si>
    <t>Hardness [ppm CaCO3]</t>
  </si>
  <si>
    <t>Nitrate (NO3) [ppm]</t>
  </si>
  <si>
    <t>Nitrate (NO3)</t>
  </si>
  <si>
    <t>Total Reported</t>
  </si>
  <si>
    <t xml:space="preserve">Not Reported </t>
  </si>
  <si>
    <t>Ortho-Phosphate [ppb]</t>
  </si>
  <si>
    <t>Ortho-phosphate [ppb]</t>
  </si>
  <si>
    <t>Month No.</t>
  </si>
  <si>
    <t>Month when the observation was submitted (UTC Date)</t>
  </si>
  <si>
    <t>Max</t>
  </si>
  <si>
    <t>20 Count</t>
  </si>
  <si>
    <t xml:space="preserve"> 20 Min</t>
  </si>
  <si>
    <t>20 Ave</t>
  </si>
  <si>
    <t>20 Max</t>
  </si>
  <si>
    <t>21 Count</t>
  </si>
  <si>
    <t xml:space="preserve"> 21 Min</t>
  </si>
  <si>
    <t>21 Ave</t>
  </si>
  <si>
    <t>21 Max</t>
  </si>
  <si>
    <t>22 Count</t>
  </si>
  <si>
    <t xml:space="preserve"> 22 Min</t>
  </si>
  <si>
    <t>22 Ave</t>
  </si>
  <si>
    <t>22 Max</t>
  </si>
  <si>
    <t>23 Count</t>
  </si>
  <si>
    <t xml:space="preserve"> 23 Min</t>
  </si>
  <si>
    <t>23 Ave</t>
  </si>
  <si>
    <t>23 Max</t>
  </si>
  <si>
    <t>24 Count</t>
  </si>
  <si>
    <t xml:space="preserve"> 24 Min</t>
  </si>
  <si>
    <t>24 Ave</t>
  </si>
  <si>
    <t>24 Max</t>
  </si>
  <si>
    <t>TU Monitoring Stations</t>
  </si>
  <si>
    <t>Critical</t>
  </si>
  <si>
    <t>Fair</t>
  </si>
  <si>
    <t>Safe</t>
  </si>
  <si>
    <t>Plotting</t>
  </si>
  <si>
    <t>0704000105</t>
  </si>
  <si>
    <t>070400010505</t>
  </si>
  <si>
    <t>0704000107</t>
  </si>
  <si>
    <t>070400010506</t>
  </si>
  <si>
    <t>Brush Creek-Rush River</t>
  </si>
  <si>
    <t>0705000511</t>
  </si>
  <si>
    <t>070500051101</t>
  </si>
  <si>
    <t>0705000512</t>
  </si>
  <si>
    <t>070500051102</t>
  </si>
  <si>
    <t>Nugget Lake-Plum Creek</t>
  </si>
  <si>
    <t>0701020608</t>
  </si>
  <si>
    <t>070102060801</t>
  </si>
  <si>
    <t>0701020609</t>
  </si>
  <si>
    <t>Vadnais Lake</t>
  </si>
  <si>
    <t>0704000802</t>
  </si>
  <si>
    <t>070400080205</t>
  </si>
  <si>
    <t>Middle Branch Root River</t>
  </si>
  <si>
    <t>0704000804</t>
  </si>
  <si>
    <t>070400080402</t>
  </si>
  <si>
    <t>Etna Creek-South Branch Root River</t>
  </si>
  <si>
    <t>0704000808</t>
  </si>
  <si>
    <t>070400080805</t>
  </si>
  <si>
    <t>0706000102</t>
  </si>
  <si>
    <t>070600010203</t>
  </si>
  <si>
    <t>0706000105</t>
  </si>
  <si>
    <t>Clear Creek-Crooked Creek</t>
  </si>
  <si>
    <t>0706000104</t>
  </si>
  <si>
    <t>070600010401</t>
  </si>
  <si>
    <t>Upper Winnebago Creek</t>
  </si>
  <si>
    <t>0706000205</t>
  </si>
  <si>
    <t>070600020502</t>
  </si>
  <si>
    <t>0706000206</t>
  </si>
  <si>
    <t>070600020503</t>
  </si>
  <si>
    <t>070400080802</t>
  </si>
  <si>
    <t>0709000403</t>
  </si>
  <si>
    <t>070900040301</t>
  </si>
  <si>
    <t>0709000405</t>
  </si>
  <si>
    <t>City of Evansville-Allen Creek</t>
  </si>
  <si>
    <t>0709000315</t>
  </si>
  <si>
    <t>070900031502</t>
  </si>
  <si>
    <t>0708010208</t>
  </si>
  <si>
    <t>070801020803</t>
  </si>
  <si>
    <t>Malone Creek-Wapsipinicon River</t>
  </si>
  <si>
    <t>0704000404</t>
  </si>
  <si>
    <t>070400040404</t>
  </si>
  <si>
    <t>Mazeppa Creek</t>
  </si>
  <si>
    <t>0403020107</t>
  </si>
  <si>
    <t>040302010702</t>
  </si>
  <si>
    <t>040302010703</t>
  </si>
  <si>
    <t>Chafee Creek</t>
  </si>
  <si>
    <t>040302010701</t>
  </si>
  <si>
    <t>Weddle Creek</t>
  </si>
  <si>
    <t>Little Pine Creek-Mecan River</t>
  </si>
  <si>
    <t>070102060901</t>
  </si>
  <si>
    <t>0704000101</t>
  </si>
  <si>
    <t>Schmidt Lake-Mississippi River</t>
  </si>
  <si>
    <t>070400010702</t>
  </si>
  <si>
    <t>0704000306</t>
  </si>
  <si>
    <t>Lake Pepin</t>
  </si>
  <si>
    <t>070400010705</t>
  </si>
  <si>
    <t>0707000602</t>
  </si>
  <si>
    <t>070700060201</t>
  </si>
  <si>
    <t>0707000603</t>
  </si>
  <si>
    <t>070700060202</t>
  </si>
  <si>
    <t>070700060203</t>
  </si>
  <si>
    <t>070700060205</t>
  </si>
  <si>
    <t>Bishop Branch</t>
  </si>
  <si>
    <t>0709000304</t>
  </si>
  <si>
    <t>070900030403</t>
  </si>
  <si>
    <t>0709000306</t>
  </si>
  <si>
    <t>Gribble Branch-Dodge Branch</t>
  </si>
  <si>
    <t>070400010701</t>
  </si>
  <si>
    <t>070700060310</t>
  </si>
  <si>
    <t>0703000509</t>
  </si>
  <si>
    <t>070300050907</t>
  </si>
  <si>
    <t>0703000512</t>
  </si>
  <si>
    <t>070300050908</t>
  </si>
  <si>
    <t>0704000208</t>
  </si>
  <si>
    <t>070400020803</t>
  </si>
  <si>
    <t>Lower Belle Creek</t>
  </si>
  <si>
    <t>0704000102</t>
  </si>
  <si>
    <t>070400010205</t>
  </si>
  <si>
    <t>0704000207</t>
  </si>
  <si>
    <t>070400020702</t>
  </si>
  <si>
    <t>Middle Little Cannon River</t>
  </si>
  <si>
    <t>0707000513</t>
  </si>
  <si>
    <t>070700051301</t>
  </si>
  <si>
    <t>0707000517</t>
  </si>
  <si>
    <t>Hoosier Hollow-Mill Creek</t>
  </si>
  <si>
    <t>070700051302</t>
  </si>
  <si>
    <t>West Branch Mill Creek-Mill Creek</t>
  </si>
  <si>
    <t>0707000604</t>
  </si>
  <si>
    <t>070700060401</t>
  </si>
  <si>
    <t>0707000605</t>
  </si>
  <si>
    <t>070700060402</t>
  </si>
  <si>
    <t>0704000104</t>
  </si>
  <si>
    <t>070400010401</t>
  </si>
  <si>
    <t>0703000511</t>
  </si>
  <si>
    <t>070300051103</t>
  </si>
  <si>
    <t>070300051104</t>
  </si>
  <si>
    <t>0702001211</t>
  </si>
  <si>
    <t>070200121106</t>
  </si>
  <si>
    <t>Minnesota River</t>
  </si>
  <si>
    <t>Eagle Creek-Minnesota River</t>
  </si>
  <si>
    <t>0705000510</t>
  </si>
  <si>
    <t>070500051003</t>
  </si>
  <si>
    <t>070500051004</t>
  </si>
  <si>
    <t>0704000803</t>
  </si>
  <si>
    <t>070400080301</t>
  </si>
  <si>
    <t>070400080408</t>
  </si>
  <si>
    <t>0707000504</t>
  </si>
  <si>
    <t>070700050403</t>
  </si>
  <si>
    <t>Middle Honey Creek</t>
  </si>
  <si>
    <t>070700050401</t>
  </si>
  <si>
    <t>Upper Honey Creek</t>
  </si>
  <si>
    <t>070200121110</t>
  </si>
  <si>
    <t>070400080203</t>
  </si>
  <si>
    <t>070400080208</t>
  </si>
  <si>
    <t>0704000405</t>
  </si>
  <si>
    <t>070400040503</t>
  </si>
  <si>
    <t>070400080405</t>
  </si>
  <si>
    <t>Town of Forestville-South Branch Root River</t>
  </si>
  <si>
    <t>070400040505</t>
  </si>
  <si>
    <t>070600010501</t>
  </si>
  <si>
    <t>0706000107</t>
  </si>
  <si>
    <t>0704000603</t>
  </si>
  <si>
    <t>070400060303</t>
  </si>
  <si>
    <t>0704000604</t>
  </si>
  <si>
    <t>Headwaters Little La Crosse River</t>
  </si>
  <si>
    <t>070300051105</t>
  </si>
  <si>
    <t>070300051205</t>
  </si>
  <si>
    <t>Lower Kinnickinnic Pond-Kinnickinnic River</t>
  </si>
  <si>
    <t>0707000502</t>
  </si>
  <si>
    <t>070700050206</t>
  </si>
  <si>
    <t>Prairie du Sac Dam-Wisconsin River</t>
  </si>
  <si>
    <t>0709000404</t>
  </si>
  <si>
    <t>070900040402</t>
  </si>
  <si>
    <t>Ward Creek-Little Sugar River</t>
  </si>
  <si>
    <t>0709000301</t>
  </si>
  <si>
    <t>070900030103</t>
  </si>
  <si>
    <t>0709000302</t>
  </si>
  <si>
    <t>Mineral Point Branch</t>
  </si>
  <si>
    <t>070900030203</t>
  </si>
  <si>
    <t>Williams Branch-Pecatonica River</t>
  </si>
  <si>
    <t>070900030101</t>
  </si>
  <si>
    <t>East Pecatonica River</t>
  </si>
  <si>
    <t>070400040510</t>
  </si>
  <si>
    <t>0704000305</t>
  </si>
  <si>
    <t>070400030502</t>
  </si>
  <si>
    <t>0704000303</t>
  </si>
  <si>
    <t>070400030307</t>
  </si>
  <si>
    <t>Lower South Fork Whitewater River</t>
  </si>
  <si>
    <t>070400030305</t>
  </si>
  <si>
    <t>070900040501</t>
  </si>
  <si>
    <t>070900040503</t>
  </si>
  <si>
    <t>Gill Creek-Sugar River</t>
  </si>
  <si>
    <t>0709000307</t>
  </si>
  <si>
    <t>070900030702</t>
  </si>
  <si>
    <t>Middle Yellowstone River</t>
  </si>
  <si>
    <t>0706000109</t>
  </si>
  <si>
    <t>070600010904</t>
  </si>
  <si>
    <t>0706000110</t>
  </si>
  <si>
    <t>070600010905</t>
  </si>
  <si>
    <t>0706000202</t>
  </si>
  <si>
    <t>070600020208</t>
  </si>
  <si>
    <t>0706000204</t>
  </si>
  <si>
    <t>070600020404</t>
  </si>
  <si>
    <t>Falcon Springs State Wildlife Area-Upper Iowa River</t>
  </si>
  <si>
    <t>0704000401</t>
  </si>
  <si>
    <t>070400040108</t>
  </si>
  <si>
    <t>City of Rochester-South Fork Zumbro River</t>
  </si>
  <si>
    <t>0706000101</t>
  </si>
  <si>
    <t>070600010102</t>
  </si>
  <si>
    <t>070600010103</t>
  </si>
  <si>
    <t>Upper Coon Creek</t>
  </si>
  <si>
    <t>070400080206</t>
  </si>
  <si>
    <t>070700050402</t>
  </si>
  <si>
    <t>0704000209</t>
  </si>
  <si>
    <t>070400020903</t>
  </si>
  <si>
    <t>Town of Welch-Cannon River</t>
  </si>
  <si>
    <t>0707000511</t>
  </si>
  <si>
    <t>070700051107</t>
  </si>
  <si>
    <t>Brush Creek-Pine River</t>
  </si>
  <si>
    <t>Parker Creek-Kinnickinnic River</t>
  </si>
  <si>
    <t>0704000807</t>
  </si>
  <si>
    <t>070400080701</t>
  </si>
  <si>
    <t>City of Whalan-Root River</t>
  </si>
  <si>
    <t>070700051103</t>
  </si>
  <si>
    <t>Hawkins Creek-Pine River</t>
  </si>
  <si>
    <t>070700060403</t>
  </si>
  <si>
    <t>070700060404</t>
  </si>
  <si>
    <t>070700051303</t>
  </si>
  <si>
    <t>East Branch Mill Creek-Mill Creek</t>
  </si>
  <si>
    <t>0707000509</t>
  </si>
  <si>
    <t>070700050902</t>
  </si>
  <si>
    <t>Middle Bear Creek</t>
  </si>
  <si>
    <t>0707000402</t>
  </si>
  <si>
    <t>070700040203</t>
  </si>
  <si>
    <t>0707000510</t>
  </si>
  <si>
    <t>070700051002</t>
  </si>
  <si>
    <t>Middle Willow Creek</t>
  </si>
  <si>
    <t>070600010104</t>
  </si>
  <si>
    <t>Middle Coon Creek</t>
  </si>
  <si>
    <t>070700060304</t>
  </si>
  <si>
    <t>Wester Creek</t>
  </si>
  <si>
    <t>Goose Creek-Kickapoo River</t>
  </si>
  <si>
    <t>070400080803</t>
  </si>
  <si>
    <t>Middle South Fork Root River</t>
  </si>
  <si>
    <t>070300051201</t>
  </si>
  <si>
    <t>Silver Creek-Saint Croix River</t>
  </si>
  <si>
    <t>0707000506</t>
  </si>
  <si>
    <t>070700050601</t>
  </si>
  <si>
    <t>East Branch Blue Mounds Creek</t>
  </si>
  <si>
    <t>070700051102</t>
  </si>
  <si>
    <t>070700060309</t>
  </si>
  <si>
    <t>0707000515</t>
  </si>
  <si>
    <t>070700051503</t>
  </si>
  <si>
    <t>070700051504</t>
  </si>
  <si>
    <t>Middle Knapp Creek</t>
  </si>
  <si>
    <t>070700051702</t>
  </si>
  <si>
    <t>0707000518</t>
  </si>
  <si>
    <t>070700051705</t>
  </si>
  <si>
    <t>Byrds Creek-Wisconsin River</t>
  </si>
  <si>
    <t>070700060502</t>
  </si>
  <si>
    <t>Caswell Hollow-Kickapoo River</t>
  </si>
  <si>
    <t>070600010703</t>
  </si>
  <si>
    <t>070600010705</t>
  </si>
  <si>
    <t>Burkhart Creek-Eau Galle Creek</t>
  </si>
  <si>
    <t>0706000403</t>
  </si>
  <si>
    <t>070600040309</t>
  </si>
  <si>
    <t>Brockamp Creek-Turkey River</t>
  </si>
  <si>
    <t>070600020501</t>
  </si>
  <si>
    <t>0704000505</t>
  </si>
  <si>
    <t>070400050503</t>
  </si>
  <si>
    <t>070400050504</t>
  </si>
  <si>
    <t>0704000711</t>
  </si>
  <si>
    <t>070400071104</t>
  </si>
  <si>
    <t>0704000712</t>
  </si>
  <si>
    <t>Little Tamarack Creek-Beaver Creek</t>
  </si>
  <si>
    <t>070400071204</t>
  </si>
  <si>
    <t>0704000601</t>
  </si>
  <si>
    <t>070700051501</t>
  </si>
  <si>
    <t>Upper Knapp Creek</t>
  </si>
  <si>
    <t>070400050501</t>
  </si>
  <si>
    <t>070400050502</t>
  </si>
  <si>
    <t>Trout Run Creek-Trempealeau River</t>
  </si>
  <si>
    <t>0704000501</t>
  </si>
  <si>
    <t>070400050102</t>
  </si>
  <si>
    <t>0704000502</t>
  </si>
  <si>
    <t>070400050103</t>
  </si>
  <si>
    <t>Middle Pigeon Creek</t>
  </si>
  <si>
    <t>070600010704</t>
  </si>
  <si>
    <t>070400050101</t>
  </si>
  <si>
    <t>Upper Pigeon Creek</t>
  </si>
  <si>
    <t>0701020607</t>
  </si>
  <si>
    <t>070102060703</t>
  </si>
  <si>
    <t>Saint Anthony Falls-Mississippi River</t>
  </si>
  <si>
    <t>Trout Creek-Kickapoo River</t>
  </si>
  <si>
    <t>070600020406</t>
  </si>
  <si>
    <t>070400050202</t>
  </si>
  <si>
    <t>0704000504</t>
  </si>
  <si>
    <t>070400050203</t>
  </si>
  <si>
    <t>South Branch of the Trempealeau River</t>
  </si>
  <si>
    <t>0704000708</t>
  </si>
  <si>
    <t>070400070802</t>
  </si>
  <si>
    <t>0704000709</t>
  </si>
  <si>
    <t>Halls Creek</t>
  </si>
  <si>
    <t>South Fork of Halls Creek-Halls Creek</t>
  </si>
  <si>
    <t>070400050205</t>
  </si>
  <si>
    <t>070400050206</t>
  </si>
  <si>
    <t>Pine Creek-Trempealeau River</t>
  </si>
  <si>
    <t>070400050204</t>
  </si>
  <si>
    <t>Tank Creek-Trempealeau River</t>
  </si>
  <si>
    <t>0704000503</t>
  </si>
  <si>
    <t>070400050303</t>
  </si>
  <si>
    <t>070700051104</t>
  </si>
  <si>
    <t>Faney Creek</t>
  </si>
  <si>
    <t>070400050304</t>
  </si>
  <si>
    <t>Bruce Valley Creek-Elk Creek</t>
  </si>
  <si>
    <t>070600020403</t>
  </si>
  <si>
    <t>0704000301</t>
  </si>
  <si>
    <t>070400030103</t>
  </si>
  <si>
    <t>0704000302</t>
  </si>
  <si>
    <t>070400030105</t>
  </si>
  <si>
    <t>Pine Creek-Buffalo River</t>
  </si>
  <si>
    <t>070400030101</t>
  </si>
  <si>
    <t>070400030102</t>
  </si>
  <si>
    <t>North Fork of the Buffalo River</t>
  </si>
  <si>
    <t>070700051001</t>
  </si>
  <si>
    <t>Upper Willow Creek</t>
  </si>
  <si>
    <t>070600011002</t>
  </si>
  <si>
    <t>0706000307</t>
  </si>
  <si>
    <t>070600011003</t>
  </si>
  <si>
    <t>070600020401</t>
  </si>
  <si>
    <t>Dry Run</t>
  </si>
  <si>
    <t>070400030603</t>
  </si>
  <si>
    <t>City of Winona-Mississippi River</t>
  </si>
  <si>
    <t>070400030604</t>
  </si>
  <si>
    <t>070400020902</t>
  </si>
  <si>
    <t>070700060308</t>
  </si>
  <si>
    <t>South Fork of the Buffalo River</t>
  </si>
  <si>
    <t>070400050201</t>
  </si>
  <si>
    <t>North Branch of the Trempealeau River</t>
  </si>
  <si>
    <t>070700051101</t>
  </si>
  <si>
    <t>Headwaters Pine River</t>
  </si>
  <si>
    <t>070400050207</t>
  </si>
  <si>
    <t>Lakes Coulee Creek-Trempealeau River</t>
  </si>
  <si>
    <t>Lake Henry-Trempealeau River</t>
  </si>
  <si>
    <t>070400080801</t>
  </si>
  <si>
    <t>Upper Souh Fork Root River</t>
  </si>
  <si>
    <t>070400030609</t>
  </si>
  <si>
    <t>070400030610</t>
  </si>
  <si>
    <t>070700060505</t>
  </si>
  <si>
    <t>Shaw Hollow-Kickapoo River</t>
  </si>
  <si>
    <t>070700060501</t>
  </si>
  <si>
    <t>070700060503</t>
  </si>
  <si>
    <t>070400080407</t>
  </si>
  <si>
    <t>070400071102</t>
  </si>
  <si>
    <t>North Fork of Beaver Creek</t>
  </si>
  <si>
    <t>070700060504</t>
  </si>
  <si>
    <t>070400030304</t>
  </si>
  <si>
    <t>Lower North Fork Whitewater River</t>
  </si>
  <si>
    <t>070700060506</t>
  </si>
  <si>
    <t>070700051802</t>
  </si>
  <si>
    <t>Kickapoo River-Wisconsin River</t>
  </si>
  <si>
    <t>0704000710</t>
  </si>
  <si>
    <t>070400071004</t>
  </si>
  <si>
    <t>Town Creek-Black River</t>
  </si>
  <si>
    <t>070600010707</t>
  </si>
  <si>
    <t>070600011001</t>
  </si>
  <si>
    <t>Leitner Creek-Mississippi River</t>
  </si>
  <si>
    <t>Buck Creek-Mississippi River</t>
  </si>
  <si>
    <t>070400071001</t>
  </si>
  <si>
    <t>Picatee Creek-Mississippi River</t>
  </si>
  <si>
    <t>070400070906</t>
  </si>
  <si>
    <t>Lake Arbutus</t>
  </si>
  <si>
    <t>0704000707</t>
  </si>
  <si>
    <t>070400070703</t>
  </si>
  <si>
    <t>Lower Morrison Creek</t>
  </si>
  <si>
    <t>070600030704</t>
  </si>
  <si>
    <t>City of Prairie du Chien-Mississippi River</t>
  </si>
  <si>
    <t>070700051707</t>
  </si>
  <si>
    <t>Clear Creek-Wisconsin River</t>
  </si>
  <si>
    <t>070400080409</t>
  </si>
  <si>
    <t>Lower Knapp Creek</t>
  </si>
  <si>
    <t>Crow Hollow-Kickapoo River</t>
  </si>
  <si>
    <t>070400071101</t>
  </si>
  <si>
    <t>South Fork of Beaver Creek</t>
  </si>
  <si>
    <t>070700051703</t>
  </si>
  <si>
    <t>070700050205</t>
  </si>
  <si>
    <t>Prentice Creek-Wisconsin River</t>
  </si>
  <si>
    <t>0706000406</t>
  </si>
  <si>
    <t>070600040602</t>
  </si>
  <si>
    <t>070600040604</t>
  </si>
  <si>
    <t>070600040606</t>
  </si>
  <si>
    <t>Nagle Creek-Volga River</t>
  </si>
  <si>
    <t>070600040603</t>
  </si>
  <si>
    <t>070600040601</t>
  </si>
  <si>
    <t>070700051803</t>
  </si>
  <si>
    <t>0706000405</t>
  </si>
  <si>
    <t>070600040506</t>
  </si>
  <si>
    <t>Headwaters Volga River</t>
  </si>
  <si>
    <t>Grannis Creek-Volga River</t>
  </si>
  <si>
    <t>070400071103</t>
  </si>
  <si>
    <t>070600040504</t>
  </si>
  <si>
    <t>Coulee Creek-Volga River</t>
  </si>
  <si>
    <t>070600040502</t>
  </si>
  <si>
    <t>070600040503</t>
  </si>
  <si>
    <t>070700051502</t>
  </si>
  <si>
    <t>070400010402</t>
  </si>
  <si>
    <t>070400071203</t>
  </si>
  <si>
    <t>070600040501</t>
  </si>
  <si>
    <t>070900030602</t>
  </si>
  <si>
    <t>Williams Creek-East Branch Pecatonica River</t>
  </si>
  <si>
    <t>070400071003</t>
  </si>
  <si>
    <t>0709000205</t>
  </si>
  <si>
    <t>070900020503</t>
  </si>
  <si>
    <t>070600020602</t>
  </si>
  <si>
    <t>Paint Creek-Upper Iowa River</t>
  </si>
  <si>
    <t>070400060102</t>
  </si>
  <si>
    <t>0704000605</t>
  </si>
  <si>
    <t>070600040605</t>
  </si>
  <si>
    <t>070600040607</t>
  </si>
  <si>
    <t>070600040608</t>
  </si>
  <si>
    <t>Honey Creek-Volga River</t>
  </si>
  <si>
    <t>Doe Creek-Volga River</t>
  </si>
  <si>
    <t>0708020506</t>
  </si>
  <si>
    <t>070802050602</t>
  </si>
  <si>
    <t>0708020507</t>
  </si>
  <si>
    <t>070802050703</t>
  </si>
  <si>
    <t>Prescotts Creek-Black Hawk Creek</t>
  </si>
  <si>
    <t>0708020501</t>
  </si>
  <si>
    <t>070802050103</t>
  </si>
  <si>
    <t>South Beaver Creek</t>
  </si>
  <si>
    <t>0708020503</t>
  </si>
  <si>
    <t>070802050302</t>
  </si>
  <si>
    <t>Phelps Creek-Beaver Creek</t>
  </si>
  <si>
    <t>070400050302</t>
  </si>
  <si>
    <t>0706000103</t>
  </si>
  <si>
    <t>070600010304</t>
  </si>
  <si>
    <t>Side Hollow Lake-South Fork Bad Axe River</t>
  </si>
  <si>
    <t>070600010101</t>
  </si>
  <si>
    <t>070400010704</t>
  </si>
  <si>
    <t>070400060403</t>
  </si>
  <si>
    <t>070400060502</t>
  </si>
  <si>
    <t>Smith Valley Creek-La Crosse River</t>
  </si>
  <si>
    <t>City of Decorah-Upper Iowa River</t>
  </si>
  <si>
    <t>070400010206</t>
  </si>
  <si>
    <t>Rich Valley</t>
  </si>
  <si>
    <t>070400020901</t>
  </si>
  <si>
    <t>070400080303</t>
  </si>
  <si>
    <t>Lynch Creek-Root River</t>
  </si>
  <si>
    <t>City of La Crosse-Mississippi River</t>
  </si>
  <si>
    <t>070200121102</t>
  </si>
  <si>
    <t>City of Shakopee-Minnesota River</t>
  </si>
  <si>
    <t>0705000507</t>
  </si>
  <si>
    <t>070500050703</t>
  </si>
  <si>
    <t>Pine Creek-Lowes Creek</t>
  </si>
  <si>
    <t>0705000506</t>
  </si>
  <si>
    <t>070500050602</t>
  </si>
  <si>
    <t>Elk Creek Lake-Elk Creek</t>
  </si>
  <si>
    <t>0705000604</t>
  </si>
  <si>
    <t>070500060402</t>
  </si>
  <si>
    <t>0704000805</t>
  </si>
  <si>
    <t>070400080502</t>
  </si>
  <si>
    <t>Middle Rush Creek</t>
  </si>
  <si>
    <t>070400080504</t>
  </si>
  <si>
    <t>Lower Rush Creek</t>
  </si>
  <si>
    <t>070400080503</t>
  </si>
  <si>
    <t>070400080702</t>
  </si>
  <si>
    <t>City of Peterson-Root River</t>
  </si>
  <si>
    <t>070400080305</t>
  </si>
  <si>
    <t>Torkelson Creek-Root River</t>
  </si>
  <si>
    <t>0712000406</t>
  </si>
  <si>
    <t>071200040603</t>
  </si>
  <si>
    <t>070400040506</t>
  </si>
  <si>
    <t>070400040509</t>
  </si>
  <si>
    <t>0704000806</t>
  </si>
  <si>
    <t>070400080601</t>
  </si>
  <si>
    <t>Upper Money Creek</t>
  </si>
  <si>
    <t>070400030602</t>
  </si>
  <si>
    <t>070400080806</t>
  </si>
  <si>
    <t>Lower South Fork Root River</t>
  </si>
  <si>
    <t>070400030309</t>
  </si>
  <si>
    <t>Buffalo City-Mississippi River</t>
  </si>
  <si>
    <t>0704000103</t>
  </si>
  <si>
    <t>070400010301</t>
  </si>
  <si>
    <t>070400010303</t>
  </si>
  <si>
    <t>Goose Creek-Trimbelle River</t>
  </si>
  <si>
    <t>0707000316</t>
  </si>
  <si>
    <t>070700031603</t>
  </si>
  <si>
    <t>Indian Creek-Little Lemonweir River</t>
  </si>
  <si>
    <t>070400030607</t>
  </si>
  <si>
    <t>Pleasant Valley Creek</t>
  </si>
  <si>
    <t>070600010901</t>
  </si>
  <si>
    <t>Headwaters Yellow River</t>
  </si>
  <si>
    <t>070600010702</t>
  </si>
  <si>
    <t>Clear Creek-Mississippi River</t>
  </si>
  <si>
    <t>0705000705</t>
  </si>
  <si>
    <t>070500070501</t>
  </si>
  <si>
    <t>Upper South Fork of the Hay River</t>
  </si>
  <si>
    <t>0704000801</t>
  </si>
  <si>
    <t>070400080108</t>
  </si>
  <si>
    <t>North Branch Root River</t>
  </si>
  <si>
    <t>070400010202</t>
  </si>
  <si>
    <t>South Creek</t>
  </si>
  <si>
    <t>City of Stillwater-Lake Saint Croix</t>
  </si>
  <si>
    <t>070600040505</t>
  </si>
  <si>
    <t>Frog Hollow</t>
  </si>
  <si>
    <t>Black Hawk Park-Cedar River</t>
  </si>
  <si>
    <t>0403010111</t>
  </si>
  <si>
    <t>040301011101</t>
  </si>
  <si>
    <t>Community of Mt. Calvary</t>
  </si>
  <si>
    <t>070400010204</t>
  </si>
  <si>
    <t>City of Farmington-Vermillion River</t>
  </si>
  <si>
    <t>0403020103</t>
  </si>
  <si>
    <t>040302010302</t>
  </si>
  <si>
    <t>Westfield Creek</t>
  </si>
  <si>
    <t>0703000510</t>
  </si>
  <si>
    <t>070300051008</t>
  </si>
  <si>
    <t>Bass Lake-Willow River</t>
  </si>
  <si>
    <t>070400030308</t>
  </si>
  <si>
    <t>070400080404</t>
  </si>
  <si>
    <t>070400080302</t>
  </si>
  <si>
    <t>070600020604</t>
  </si>
  <si>
    <t>070400080107</t>
  </si>
  <si>
    <t>070400040107</t>
  </si>
  <si>
    <t>Silver Creek</t>
  </si>
  <si>
    <t>070400020801</t>
  </si>
  <si>
    <t>Upper Belle Creek</t>
  </si>
  <si>
    <t>0704000206</t>
  </si>
  <si>
    <t>070400020605</t>
  </si>
  <si>
    <t>Lake Byllesby</t>
  </si>
  <si>
    <t>Lower Coon Creek</t>
  </si>
  <si>
    <t>070400040502</t>
  </si>
  <si>
    <t>Zumbro Lake-Zumbro River</t>
  </si>
  <si>
    <t>0707000505</t>
  </si>
  <si>
    <t>070700050502</t>
  </si>
  <si>
    <t>070700050504</t>
  </si>
  <si>
    <t>Middle Black Earth Creek</t>
  </si>
  <si>
    <t>Lower Black Earth Creek</t>
  </si>
  <si>
    <t>070200121104</t>
  </si>
  <si>
    <t>Purgatory Creek</t>
  </si>
  <si>
    <t>0706000203</t>
  </si>
  <si>
    <t>070600020302</t>
  </si>
  <si>
    <t>070400060501</t>
  </si>
  <si>
    <t>070400030608</t>
  </si>
  <si>
    <t>070400080403</t>
  </si>
  <si>
    <t>0709000402</t>
  </si>
  <si>
    <t>070900040201</t>
  </si>
  <si>
    <t>0709000401</t>
  </si>
  <si>
    <t>070900040102</t>
  </si>
  <si>
    <t>070900040103</t>
  </si>
  <si>
    <t>Primrose Branch-West Branch Sugar River</t>
  </si>
  <si>
    <t>070400080207</t>
  </si>
  <si>
    <t>070900040101</t>
  </si>
  <si>
    <t>Mt. Vernon Creek</t>
  </si>
  <si>
    <t>Porcupine Creek-Plum Creek</t>
  </si>
  <si>
    <t>070400080410</t>
  </si>
  <si>
    <t>070400010507</t>
  </si>
  <si>
    <t>Township of Salem-Rush River</t>
  </si>
  <si>
    <t>Knapp Creek-West Fork Kickapoo River</t>
  </si>
  <si>
    <t>070400010203</t>
  </si>
  <si>
    <t>North Creek</t>
  </si>
  <si>
    <t>070400040106</t>
  </si>
  <si>
    <t>Spring Creek-Trimbelle River</t>
  </si>
  <si>
    <t>0705000504</t>
  </si>
  <si>
    <t>070500050402</t>
  </si>
  <si>
    <t>Duncan Creek</t>
  </si>
  <si>
    <t>0701020603</t>
  </si>
  <si>
    <t>070102060306</t>
  </si>
  <si>
    <t>Long Lake-Rice Creek</t>
  </si>
  <si>
    <t>070400010209</t>
  </si>
  <si>
    <t>City of Hastings-Vermillion River</t>
  </si>
  <si>
    <t>070400010504</t>
  </si>
  <si>
    <t>0707000508</t>
  </si>
  <si>
    <t>070700050802</t>
  </si>
  <si>
    <t>Black Hawk Lake-Otter Creek</t>
  </si>
  <si>
    <t>0706000502</t>
  </si>
  <si>
    <t>070600050202</t>
  </si>
  <si>
    <t>0706000504</t>
  </si>
  <si>
    <t>Frentress Lake-Mississippi River</t>
  </si>
  <si>
    <t>070400010503</t>
  </si>
  <si>
    <t>070900040203</t>
  </si>
  <si>
    <t>Paoli-Sugar River</t>
  </si>
  <si>
    <t>0712000408</t>
  </si>
  <si>
    <t>071200040805</t>
  </si>
  <si>
    <t>Lower West Branch Du Page River</t>
  </si>
  <si>
    <t>070700050202</t>
  </si>
  <si>
    <t>Trout Brook-Lake Saint Croix</t>
  </si>
  <si>
    <t>070400030108</t>
  </si>
  <si>
    <t>Trout Creek-Buffalo River</t>
  </si>
  <si>
    <t>070400030107</t>
  </si>
  <si>
    <t>0704000304</t>
  </si>
  <si>
    <t>070400030404</t>
  </si>
  <si>
    <t>Waumaundee Creek</t>
  </si>
  <si>
    <t>070400030405</t>
  </si>
  <si>
    <t>070500050704</t>
  </si>
  <si>
    <t>West Creek</t>
  </si>
  <si>
    <t>070400050402</t>
  </si>
  <si>
    <t>0403020112</t>
  </si>
  <si>
    <t>040302011205</t>
  </si>
  <si>
    <t>Lake Butte des Mortes-Fox River</t>
  </si>
  <si>
    <t>070400010502</t>
  </si>
  <si>
    <t>Town of Martell-Ruh River</t>
  </si>
  <si>
    <t>HUC12 Code</t>
  </si>
  <si>
    <t>HUC12 Name</t>
  </si>
  <si>
    <t>HUC10 Name</t>
  </si>
  <si>
    <t>USGS HUC 12 code number (12 digit) from US database</t>
  </si>
  <si>
    <t>USGS HUC 12 Name number from US database</t>
  </si>
  <si>
    <t>USGS HUC 10 Name number from US database</t>
  </si>
  <si>
    <t>App Use Stats</t>
  </si>
  <si>
    <t>Plotting Zone</t>
  </si>
  <si>
    <t>TU Chapter Area</t>
  </si>
  <si>
    <t>&gt;76</t>
  </si>
  <si>
    <t>Source/Raw Data Header</t>
  </si>
  <si>
    <t>Monitoring Stations</t>
  </si>
  <si>
    <t>Monitoring Stations tagged to an observation</t>
  </si>
  <si>
    <t>Water Temp.</t>
  </si>
  <si>
    <t>Water Temperature</t>
  </si>
  <si>
    <t>Water Temperatures [oF]</t>
  </si>
  <si>
    <t>Water Temp</t>
  </si>
  <si>
    <t>Monthly Water  Tempature  Stats</t>
  </si>
  <si>
    <t>Monthly Water Temperature per Station</t>
  </si>
  <si>
    <t>Bad</t>
  </si>
  <si>
    <t>Rating</t>
  </si>
  <si>
    <t>Multiplier</t>
  </si>
  <si>
    <t>Score per Category Value</t>
  </si>
  <si>
    <t>Observations per Category Value</t>
  </si>
  <si>
    <t>Data/Indices Scores</t>
  </si>
  <si>
    <t>NO2 Score</t>
  </si>
  <si>
    <t>NO3 Score</t>
  </si>
  <si>
    <t>oPhos Score</t>
  </si>
  <si>
    <t>OPhos</t>
  </si>
  <si>
    <t>Flag (Show-Stopper)</t>
  </si>
  <si>
    <t>Score</t>
  </si>
  <si>
    <t>Conc</t>
  </si>
  <si>
    <t>Temp</t>
  </si>
  <si>
    <t>Temp Score</t>
  </si>
  <si>
    <t>Zone/Chapter</t>
  </si>
  <si>
    <t>SCORECARD CALCULATIONS</t>
  </si>
  <si>
    <t>Fish Kill Flag (Show-Stopper)</t>
  </si>
  <si>
    <t>Water Temperature Flag (Show-Stopper)</t>
  </si>
  <si>
    <t>Column1</t>
  </si>
  <si>
    <t>Nutrient Flag (Show-Stopper)</t>
  </si>
  <si>
    <t>Nutrient</t>
  </si>
  <si>
    <t xml:space="preserve">Fish Kill </t>
  </si>
  <si>
    <t>Threshold of occurences</t>
  </si>
  <si>
    <t>Reported Observations</t>
  </si>
  <si>
    <t>Indexes</t>
  </si>
  <si>
    <t>Great</t>
  </si>
  <si>
    <t>2020-24 Observations (as of Oct 31st)</t>
  </si>
  <si>
    <t>x31pFiQ1h6Ck2GeazKZQ</t>
  </si>
  <si>
    <t>2024-10-22 11:14:10.552952.jpg-0</t>
  </si>
  <si>
    <t>sample location moved to 200ft below Co Rd P bridge. better cell phone coverage. much easier access to water</t>
  </si>
  <si>
    <t>WjE9qCLHdWkQVBbZYn1m</t>
  </si>
  <si>
    <t>vSO8Z1gbM7hfp3OtebbB</t>
  </si>
  <si>
    <t>ef3rXz53Wbd4V4SY7bHX</t>
  </si>
  <si>
    <t>UC3FLgahXBrYRatX6I9T</t>
  </si>
  <si>
    <t>RlfkVu0i6kHSPOkP0fg4</t>
  </si>
  <si>
    <t>2024-10-04 10:02:08.954120.jpg-0</t>
  </si>
  <si>
    <t xml:space="preserve">Lost Creek is up a bit but no rain of late. looks murky.  not sure why.  </t>
  </si>
  <si>
    <t>1dLTqjMBsqW0BBhzAec8</t>
  </si>
  <si>
    <t>2024-10-04 09:47:26.558896.jpg-0</t>
  </si>
  <si>
    <t>EFF0ZxM4If7mM5H7JoRZ</t>
  </si>
  <si>
    <t>oGdLeYPS4ZcTpXtXYKNB</t>
  </si>
  <si>
    <t>TN2fl39g5bG9uMUc1jQt</t>
  </si>
  <si>
    <t>2024-10-02 18:01:05.677657.jpg-0</t>
  </si>
  <si>
    <t xml:space="preserve">long creek downstream from Cnty 8 bridge </t>
  </si>
  <si>
    <t>y0n1PBzO2OEMuMKcHxhn</t>
  </si>
  <si>
    <t>2024-10-02 17:33:23.653241.jpg-0</t>
  </si>
  <si>
    <t xml:space="preserve">West Indian by parking lot </t>
  </si>
  <si>
    <t>rGj17OQRpq7y2LYBvGJg</t>
  </si>
  <si>
    <t>2024-10-02 13:52:50.878327.jpg-0</t>
  </si>
  <si>
    <t>WXfDFWuy6t485zEe9Y3m</t>
  </si>
  <si>
    <t>LXb54yJfypIJj3msK3G0</t>
  </si>
  <si>
    <t>k2tw9pMkejSiuCOoGngm</t>
  </si>
  <si>
    <t>ATecdl8SnqOXVtJPZ01R</t>
  </si>
  <si>
    <t>315eGmQ1kn6o4MrrroBq</t>
  </si>
  <si>
    <t>x6kNUFvkPJdmwD2Cmhr6</t>
  </si>
  <si>
    <t>MPpX1Gv13cIjfEk9vvIF</t>
  </si>
  <si>
    <t>F7QLJSHtMpAbgyE7oAgZ</t>
  </si>
  <si>
    <t>K35jlV9fHdkoplQIGzc1</t>
  </si>
  <si>
    <t>5Br5G43UJ3veHyyBKWIO</t>
  </si>
  <si>
    <t>2024-09-25 11:20:13.472036.jpg-0</t>
  </si>
  <si>
    <t xml:space="preserve">recent rain up to 4 inches depending on where. water was 3 feet higher recently </t>
  </si>
  <si>
    <t>GMwLSDlBA4LtNP55jHS0</t>
  </si>
  <si>
    <t>h3OyYyOOmRe7elBpNakO</t>
  </si>
  <si>
    <t>fDbzZMAsLMrO5uJSuHyt</t>
  </si>
  <si>
    <t>6vfN6zwGtA1r1PDfqcNL</t>
  </si>
  <si>
    <t>8oC4USFto2fkxpH59LG7</t>
  </si>
  <si>
    <t>2024-09-13 09:29:22.813119.jpg-0</t>
  </si>
  <si>
    <t xml:space="preserve">North Branch Whitewater is more stained than I thought it would be. Fairwater. </t>
  </si>
  <si>
    <t>hHKh8jH4j8IrBB3NZFjN</t>
  </si>
  <si>
    <t>TGHCciFGIqh4qNDTpWTq</t>
  </si>
  <si>
    <t>nKBxSyTACqbPXHCVov9k</t>
  </si>
  <si>
    <t>2024-09-08 11:50:44.402382.jpg-0</t>
  </si>
  <si>
    <t>2nd entry as first crashed. lots of brook trout. stream 51 at 9am</t>
  </si>
  <si>
    <t>gpr43ttOfpJXBgbUojU4</t>
  </si>
  <si>
    <t>4etfOHFOLNgXiWPM6KYa0g0En8C2</t>
  </si>
  <si>
    <t>MjctNRhnki6R91OIE1k6</t>
  </si>
  <si>
    <t>2024-09-03 17:40:03.476724.jpg-0</t>
  </si>
  <si>
    <t>ntCQfYcOvqINI2kF431K</t>
  </si>
  <si>
    <t xml:space="preserve">Zumbro is much clearer than last week.  </t>
  </si>
  <si>
    <t>gCx8fanVTxPDdVuY05nA</t>
  </si>
  <si>
    <t>Kinni River - 478</t>
  </si>
  <si>
    <t>XBA97Xk9MYMMB9kCJFnR</t>
  </si>
  <si>
    <t>Kinni River - 504</t>
  </si>
  <si>
    <t>Secchi Tube  &gt; 100 cm</t>
  </si>
  <si>
    <t>XEoXA0SIAbS8ayyFqbiO</t>
  </si>
  <si>
    <t>Kinni River - 120</t>
  </si>
  <si>
    <t>h1cN4lXbLqx8xdprxcA5</t>
  </si>
  <si>
    <t>S9YaJnZ6OlIKH5UdU332</t>
  </si>
  <si>
    <t>YXPAkqkW0fic3LIK8nvq</t>
  </si>
  <si>
    <t>rHR6WWh3L29JBcOR3Juo</t>
  </si>
  <si>
    <t>UAFyoy9atBmFPspCVQc2</t>
  </si>
  <si>
    <t>H5YdJa99nXAY4jwhkm1o</t>
  </si>
  <si>
    <t>r2vl8uTElWMm3a33HASt</t>
  </si>
  <si>
    <t>bf9Nh4CmQhO7hfIerdrH</t>
  </si>
  <si>
    <t>S5JoitKqtTOslpDHr1ND</t>
  </si>
  <si>
    <t>bdwj7y2i6XoE6rGspAd0</t>
  </si>
  <si>
    <t>2024-08-27 11:47:19.257919.jpg-0</t>
  </si>
  <si>
    <t xml:space="preserve">Forestville looks great.  </t>
  </si>
  <si>
    <t>wcw8rfDgPgr0SPvGEOGt</t>
  </si>
  <si>
    <t>2024-08-27 08:29:16.183851.jpg-0</t>
  </si>
  <si>
    <t>Canfield looking great. debris like tree have moved in or out</t>
  </si>
  <si>
    <t>dFZbKjV6OacIxQ7LsfJW</t>
  </si>
  <si>
    <t>2024-08-27 08:19:41.048838.jpg-0</t>
  </si>
  <si>
    <t xml:space="preserve">S Branch root looking excellent.  </t>
  </si>
  <si>
    <t>5ghSvWPlk4kMTecpv1dD</t>
  </si>
  <si>
    <t>2024-08-27 07:28:55.083212.jpg-0</t>
  </si>
  <si>
    <t xml:space="preserve">S branch Root looks good.  seeing first leaves of fall on water. </t>
  </si>
  <si>
    <t>jVpUIRzpUeGLDgVtoHT9</t>
  </si>
  <si>
    <t>2024-08-27 07:11:08.646937.jpg-0</t>
  </si>
  <si>
    <t xml:space="preserve">lost looks great. but seems a bit murky but it’s sunrise. </t>
  </si>
  <si>
    <t>EU4CEjM8lZfHSjit4swi</t>
  </si>
  <si>
    <t>2024-08-27 07:02:29.002843.jpg-0</t>
  </si>
  <si>
    <t xml:space="preserve">first time with North Beanch Root. good smallie stream I’m told </t>
  </si>
  <si>
    <t>EbF1ez7l8ygu5RU5Eenc</t>
  </si>
  <si>
    <t>FDlidRtlN5lXofVBZ9d6</t>
  </si>
  <si>
    <t>0YTrZVSGjDXRi0emIwk6</t>
  </si>
  <si>
    <t>2024-08-24 18:32:01.129157.jpg-0</t>
  </si>
  <si>
    <t xml:space="preserve">long creek downstream from cnty 8 bridge </t>
  </si>
  <si>
    <t>AcHJPq1BtT3bxDSwAxxu</t>
  </si>
  <si>
    <t>2024-08-24 17:51:37.948445.jpg-0</t>
  </si>
  <si>
    <t xml:space="preserve">West Indian near parking lot </t>
  </si>
  <si>
    <t>jCIjIROVhOkQzK2nkd8l</t>
  </si>
  <si>
    <t>2024-08-23 17:04:17.032208.jpg-0</t>
  </si>
  <si>
    <t>ptly cloudy, 80 degrees, calm</t>
  </si>
  <si>
    <t>n6wlxK9eF21CdfXA8jbl</t>
  </si>
  <si>
    <t>vlNJeJgRLTM76WNqjFZy</t>
  </si>
  <si>
    <t>VEbzd4guAUXLIn67Zy4V</t>
  </si>
  <si>
    <t xml:space="preserve">Zumbro still dirty.  </t>
  </si>
  <si>
    <t>DnJbyixxj62Iecmn2EAz</t>
  </si>
  <si>
    <t xml:space="preserve">Zumbro looking much better.  </t>
  </si>
  <si>
    <t>CnYS9LzsHD60gsEr8WwB</t>
  </si>
  <si>
    <t>2024-08-12 14:01:55.394091.jpg-0</t>
  </si>
  <si>
    <t>nExVAbp8dhM0dLuYtw74</t>
  </si>
  <si>
    <t>2024-08-11 14:23:00.751397.jpg-0</t>
  </si>
  <si>
    <t>air high temps  near 70 last few days</t>
  </si>
  <si>
    <t>eBk3HGWpSJtiNPeL7vBn</t>
  </si>
  <si>
    <t>VzpQia1L7BD3KZ2tQv47</t>
  </si>
  <si>
    <t>2024-08-10 17:30:06.898443.jpg-0</t>
  </si>
  <si>
    <t>air temp highs of low 70s last few days</t>
  </si>
  <si>
    <t>KE0MiWSch7L27GXpZEFb</t>
  </si>
  <si>
    <t>2024-08-10 15:51:35.534915.jpg-0</t>
  </si>
  <si>
    <t>air temp highs in lower 70s last few days</t>
  </si>
  <si>
    <t>e9HFbzSzwEmdSlLoFewq</t>
  </si>
  <si>
    <t>2024-08-09 12:23:06.223997.jpg-0</t>
  </si>
  <si>
    <t>low 70s for high air temps last few days</t>
  </si>
  <si>
    <t>ttqxJV793noJjbLznfjN</t>
  </si>
  <si>
    <t>2024-08-09 11:02:08.342220.jpg-0</t>
  </si>
  <si>
    <t>IJmdq5qeiZbHCSeRL7E3</t>
  </si>
  <si>
    <t>2024-08-09 10:14:37.722215.jpg-0</t>
  </si>
  <si>
    <t>low 70s for air temp highs last few days</t>
  </si>
  <si>
    <t>64LhLk8vUsoyQHD6Mjfi</t>
  </si>
  <si>
    <t>2024-08-09 09:49:10.259664.jpg-0</t>
  </si>
  <si>
    <t>TCKoNAXkRA2eyvPW9X9m</t>
  </si>
  <si>
    <t>2024-08-09 08:52:08.695372.jpg-0</t>
  </si>
  <si>
    <t>JhiMgkmHBH5XeU1LYA0E</t>
  </si>
  <si>
    <t>2024-08-08 15:36:43.736315.jpg-0</t>
  </si>
  <si>
    <t>eFiD1NWWy1QoNCXsctpG</t>
  </si>
  <si>
    <t xml:space="preserve">River very dirty. gullywasher overnight. </t>
  </si>
  <si>
    <t>Cb54BjNDqKLdawUIASXO</t>
  </si>
  <si>
    <t>2024-08-03 08:54:32.960378.jpg-0</t>
  </si>
  <si>
    <t xml:space="preserve">Forestville looks excellent.  </t>
  </si>
  <si>
    <t>ZB54hwI0NK2df6gQQUvh</t>
  </si>
  <si>
    <t>2024-08-03 08:26:59.088326.jpg-0</t>
  </si>
  <si>
    <t xml:space="preserve">SB Root looks perfect.  some rises below where I sample.  </t>
  </si>
  <si>
    <t>LUEScz0pDLxQyn6czHMw</t>
  </si>
  <si>
    <t>2024-08-03 08:06:17.314779.jpg-0</t>
  </si>
  <si>
    <t xml:space="preserve">Canfield looks great but flood changed it a lot where I sample </t>
  </si>
  <si>
    <t>p8JHLsCsWjyqiJ8NUAzh</t>
  </si>
  <si>
    <t>2024-08-03 07:13:44.649431.jpg-0</t>
  </si>
  <si>
    <t xml:space="preserve">MB Root looks peaceful. </t>
  </si>
  <si>
    <t>cdNo6xbc1yEnrkPYA3gz</t>
  </si>
  <si>
    <t>2024-08-03 06:45:26.695952.jpg-0</t>
  </si>
  <si>
    <t>Little Jordan (Carson) looks great</t>
  </si>
  <si>
    <t>c7DzzdLx3ErB56w2q4xx</t>
  </si>
  <si>
    <t xml:space="preserve">Loat Creek looks very good.  </t>
  </si>
  <si>
    <t>U58sookcmKlC8EQHAhc0</t>
  </si>
  <si>
    <t>2024-08-02 12:54:22.759422.jpg-0</t>
  </si>
  <si>
    <t>FbDHEFHyE0I6Cb2D663V</t>
  </si>
  <si>
    <t>2024-08-02 11:47:26.987948.jpg-0</t>
  </si>
  <si>
    <t>Hs50r1YDqIdJCs1Gl7Xd</t>
  </si>
  <si>
    <t>2024-07-31 15:11:08.429343.jpg-0</t>
  </si>
  <si>
    <t>Md8XFRGdVwCmhjakc0iF</t>
  </si>
  <si>
    <t>ZgPWstZEeHedfx6Hgi5T</t>
  </si>
  <si>
    <t>tlD6H0k5HegdCiUtQmuj</t>
  </si>
  <si>
    <t>Us7gjDbTcVWrjDL157enRZKC9Tw1</t>
  </si>
  <si>
    <t>2024-07-31 12:19:12.280307.jpg-02024-07-31 12:19:12.280307.jpg-1</t>
  </si>
  <si>
    <t>QhzL5WBgj1H4znO8gszw</t>
  </si>
  <si>
    <t>wta46yjCHg8a0ge6BarQ</t>
  </si>
  <si>
    <t>iXEujxxXuSB2k2TCRo5D</t>
  </si>
  <si>
    <t>Cf9nZIJRYGdKXWmxZnVH</t>
  </si>
  <si>
    <t>DvLQLLS25xWS03HRMibJ</t>
  </si>
  <si>
    <t>Pm6TULI1aNaXOkNdeXQK</t>
  </si>
  <si>
    <t>2024-07-31 08:15:39.583975.jpg-0</t>
  </si>
  <si>
    <t>0wKH11BvKGllR5c4hr9p</t>
  </si>
  <si>
    <t>QUvQHFEDQEigmQdxsD4Y</t>
  </si>
  <si>
    <t>2024-07-30 18:46:37.767795.jpg-0</t>
  </si>
  <si>
    <t>beautiful day!</t>
  </si>
  <si>
    <t>CIv6WjFKUrqHRdt9K7Ml</t>
  </si>
  <si>
    <t>2024-07-30 15:44:39.237277.jpg-0</t>
  </si>
  <si>
    <t>ZzGuLps4xc0kRuPCxKTu</t>
  </si>
  <si>
    <t>2024-07-30 12:22:30.733134.jpg-02024-07-30 12:22:30.733134.jpg-1</t>
  </si>
  <si>
    <t>zOf0GkjshORSv6IyPTVl</t>
  </si>
  <si>
    <t>92wNzRSZ4D52kBkw93dM</t>
  </si>
  <si>
    <t>7y86xR5Dnfy4u9Glhaln</t>
  </si>
  <si>
    <t>m1WDrDByHwwjcl2vQXF2</t>
  </si>
  <si>
    <t>2024-07-30 10:37:52.851021.jpg-0</t>
  </si>
  <si>
    <t>87rYLgJf8JSJrKSClLG8</t>
  </si>
  <si>
    <t>2024-07-30 10:20:47.326047.jpg-0</t>
  </si>
  <si>
    <t>xQEHpLnIaWGgdzySqDOR</t>
  </si>
  <si>
    <t>JEzwKJMSjwPIH1FrrCgr3SuUPRL2</t>
  </si>
  <si>
    <t>2024-07-29 13:35:24.753892.jpg-0</t>
  </si>
  <si>
    <t>T-tube&gt;100cm</t>
  </si>
  <si>
    <t>SP3gUAtK3CeFdkNtUgnT</t>
  </si>
  <si>
    <t>2024-07-29 13:07:17.332365.jpg-0</t>
  </si>
  <si>
    <t>baNIgDsZ2W69328yIO89</t>
  </si>
  <si>
    <t>2024-07-29 12:15:25.272321.jpg-0</t>
  </si>
  <si>
    <t>h39zNe65KzQXTYw3qiEq</t>
  </si>
  <si>
    <t>BbyERnSuZghZHcsfQ5c4</t>
  </si>
  <si>
    <t>IitmenGhYFQ1PoKv5QQV</t>
  </si>
  <si>
    <t>2024-07-29 11:43:11.743120.jpg-02024-07-29 11:43:11.743120.jpg-1</t>
  </si>
  <si>
    <t>9LWCUAnyViFcGtOGX7Yx</t>
  </si>
  <si>
    <t>2024-07-29 11:14:11.937533.jpg-0</t>
  </si>
  <si>
    <t>DJGl3Tje5PIFuMzUgFnU</t>
  </si>
  <si>
    <t>2024-07-29 10:54:33.964692.jpg-0</t>
  </si>
  <si>
    <t>T-tube &gt;100cm</t>
  </si>
  <si>
    <t>Y9DY7ubqq6ZYxcHclRCt</t>
  </si>
  <si>
    <t>71ds3YbBsUS32ffq5xyY</t>
  </si>
  <si>
    <t>2024-07-29 10:26:19.888527.jpg-0</t>
  </si>
  <si>
    <t>ZtOX3rlcW9wbt6oQrjyb</t>
  </si>
  <si>
    <t>2024-07-29 09:52:38.210202.jpg-0</t>
  </si>
  <si>
    <t>KitUT02KGRv8Z0dwAYXc</t>
  </si>
  <si>
    <t>2024-07-29 08:44:15.289213.jpg-0</t>
  </si>
  <si>
    <t>6NCTgAQD6BiNWgP0elvJ</t>
  </si>
  <si>
    <t>AJPHx36wPHSujaw4neovr2XeqWM2</t>
  </si>
  <si>
    <t>RfkE41lGBP2tmMLvcA6x</t>
  </si>
  <si>
    <t>igQ02m0WmNOTceL8xZhL27yXJP33</t>
  </si>
  <si>
    <t>2024-07-26 13:24:46.620699.jpg-0</t>
  </si>
  <si>
    <t>j0lk3GeaJXOdd1T8CFHD</t>
  </si>
  <si>
    <t>2024-07-25 15:53:07.977648.jpg-0</t>
  </si>
  <si>
    <t>9f66V1g9oAygDUQZZ42V</t>
  </si>
  <si>
    <t>ZenXIJA9Hbp4SZ6YcW8x</t>
  </si>
  <si>
    <t>2024-07-25 11:09:59.944495.jpg-0</t>
  </si>
  <si>
    <t>ISpqoorlRuuoaoFzBxNc</t>
  </si>
  <si>
    <t>2024-07-25 09:51:53.196751.jpg-02024-07-25 09:51:53.196751.jpg-1</t>
  </si>
  <si>
    <t>zR1NF4y3E30PK6cg0uXk</t>
  </si>
  <si>
    <t>2024-07-25 09:47:31.323279.jpg-0</t>
  </si>
  <si>
    <t>2in1 wouldn’t work</t>
  </si>
  <si>
    <t>9lakFTQRfBG3MZjeMbZ3</t>
  </si>
  <si>
    <t>2024-07-25 09:45:53.735160.jpg-0</t>
  </si>
  <si>
    <t>hAlM3lGcCRDw4Fq2GI8z</t>
  </si>
  <si>
    <t>2024-07-25 09:03:45.077989.jpg-0</t>
  </si>
  <si>
    <t>IbFe23GJSil323gT6Xq5</t>
  </si>
  <si>
    <t>2024-07-24 14:01:24.835579.jpg-0</t>
  </si>
  <si>
    <t>MIK2Ete8Yl5XdQFxFqvG</t>
  </si>
  <si>
    <t>2024-07-24 10:31:09.026447.jpg-02024-07-24 10:31:09.026447.jpg-1</t>
  </si>
  <si>
    <t>9lpm0u1UaAqYq5OHEqFj</t>
  </si>
  <si>
    <t>2024-07-24 10:29:57.203107.jpg-0</t>
  </si>
  <si>
    <t>Q7vIGSuhTBZiWsT4L2VX</t>
  </si>
  <si>
    <t>2024-07-24 08:48:18.579772.jpg-0</t>
  </si>
  <si>
    <t>fpspklM8mCJZ04cLkrqX</t>
  </si>
  <si>
    <t>2024-07-23 13:52:16.181341.jpg-0</t>
  </si>
  <si>
    <t>zeZoxJ6TZGyKIwFt3rl0</t>
  </si>
  <si>
    <t>2024-07-23 13:17:01.662931.jpg-0</t>
  </si>
  <si>
    <t>48 degree water in July!!!</t>
  </si>
  <si>
    <t>R8IWoRg6pUEGz0YDF55e</t>
  </si>
  <si>
    <t xml:space="preserve">Zumbro has cleared up remarkably fast.  </t>
  </si>
  <si>
    <t>MQ9JKYZbXPWGWAE8fv1N</t>
  </si>
  <si>
    <t>2024-07-23 10:51:38.745965.jpg-0</t>
  </si>
  <si>
    <t>cUhx6Tj5AYYLLBKI8w0y</t>
  </si>
  <si>
    <t>2024-07-23 09:43:03.052822.jpg-02024-07-23 09:43:03.052822.jpg-1</t>
  </si>
  <si>
    <t>1cRYHys5nbBuvZieSgtz</t>
  </si>
  <si>
    <t>2024-07-22 16:54:07.355839.jpg-0</t>
  </si>
  <si>
    <t>eumfFejrorc4xoAuULvy</t>
  </si>
  <si>
    <t>2024-07-22 16:21:18.650239.jpg-0</t>
  </si>
  <si>
    <t xml:space="preserve">West Indian creek </t>
  </si>
  <si>
    <t>wDXK5cPmv0DZlkpQ0I4x</t>
  </si>
  <si>
    <t>2024-07-22 15:46:47.928289.jpg-0</t>
  </si>
  <si>
    <t>Zt7zZLlSK3sPwhVl0tC7</t>
  </si>
  <si>
    <t>2024-07-22 14:15:01.443512.jpg-0</t>
  </si>
  <si>
    <t>kuDyQdpXa3r4e8mIBEwN</t>
  </si>
  <si>
    <t>2024-07-22 11:28:10.548265.jpg-0</t>
  </si>
  <si>
    <t>bnKsIUTajlNLTTQhZA8S</t>
  </si>
  <si>
    <t>2024-07-22 10:11:54.001547.jpg-0</t>
  </si>
  <si>
    <t>Rs4ysNgS2U8n7ZRno3ra</t>
  </si>
  <si>
    <t>2024-07-22 10:10:28.643140.jpg-02024-07-22 10:10:28.643140.jpg-1</t>
  </si>
  <si>
    <t>AW28Xeie4FOTvr6kb09P</t>
  </si>
  <si>
    <t>BoryQuvlAT9CcKq97GAR</t>
  </si>
  <si>
    <t>2024-07-19 14:27:22.138782.jpg-0</t>
  </si>
  <si>
    <t>Local Thunderstorm,None</t>
  </si>
  <si>
    <t xml:space="preserve">rush looks great. gnats are horrid </t>
  </si>
  <si>
    <t>3u69xs3bFkcqs5ZdP5KR</t>
  </si>
  <si>
    <t>2024-07-19 14:07:28.160575.jpg-0</t>
  </si>
  <si>
    <t>Bank Erosion,Algal Bloom</t>
  </si>
  <si>
    <t>Ahrensfeldt is barely moving.  almost stagnant.  and looks beat up</t>
  </si>
  <si>
    <t>YSMBQRYyg2m8QK97uTGd</t>
  </si>
  <si>
    <t>2024-07-19 09:47:58.630972.jpg-02024-07-19 09:47:58.630972.jpg-1</t>
  </si>
  <si>
    <t>KCTmgXzN0AcnlQ56ujlm</t>
  </si>
  <si>
    <t>2024-07-19 06:55:13.527490.jpg-0</t>
  </si>
  <si>
    <t>phvpjmEfSewhU1OkFBIN</t>
  </si>
  <si>
    <t>2024-07-18 14:08:31.478629.jpg-0</t>
  </si>
  <si>
    <t>gsT6iGRbDrwRGtFElsEq</t>
  </si>
  <si>
    <t>2024-07-18 13:15:16.622887.jpg-0</t>
  </si>
  <si>
    <t>nM3ObCfNtusOvZ1Gv2He</t>
  </si>
  <si>
    <t>2024-07-18 13:11:49.155526.jpg-0</t>
  </si>
  <si>
    <t>FX0ukNDuUsafepQjT9c2</t>
  </si>
  <si>
    <t>2024-07-18 12:49:12.771324.jpg-0</t>
  </si>
  <si>
    <t>Nu1HIKzuW0en7FqNuzEV</t>
  </si>
  <si>
    <t>2024-07-18 10:47:33.629522.jpg-0</t>
  </si>
  <si>
    <t>hmgug46cnRqf5JBWDW2U</t>
  </si>
  <si>
    <t>2024-07-18 10:15:53.637888.jpg-02024-07-18 10:15:53.637888.jpg-1</t>
  </si>
  <si>
    <t>vFBrSr7Ox1tUdho60ZRR</t>
  </si>
  <si>
    <t>2024-07-18 09:54:55.923040.jpg-0</t>
  </si>
  <si>
    <t>77B6FFxetVumA84n2Jbk</t>
  </si>
  <si>
    <t>2024-07-18 08:04:15.940164.jpg-0</t>
  </si>
  <si>
    <t>90LNc8wvCLKgEBPpuQmu</t>
  </si>
  <si>
    <t>2024-07-17 13:38:52.631032.jpg-0</t>
  </si>
  <si>
    <t>cdSJuWl9UPd0mLv5QLyG</t>
  </si>
  <si>
    <t>2024-07-17 10:49:32.111944.jpg-0</t>
  </si>
  <si>
    <t>KC9GO7JvgDMlauZFzr1X</t>
  </si>
  <si>
    <t>2024-07-17 09:24:32.899442.jpg-02024-07-17 09:24:32.899442.jpg-1</t>
  </si>
  <si>
    <t>4E0PoZT5LcBZZkwPAEez</t>
  </si>
  <si>
    <t>2024-07-16 15:02:49.027856.jpg-02024-07-16 15:02:49.027856.jpg-1</t>
  </si>
  <si>
    <t>9q8E1U6AIqcHvsMu9fNO</t>
  </si>
  <si>
    <t>2024-07-16 14:38:47.188177.jpg-0</t>
  </si>
  <si>
    <t>1jKWAXovwEeTW8DoT4G5</t>
  </si>
  <si>
    <t>2024-07-16 14:22:51.262483.jpg-0</t>
  </si>
  <si>
    <t>bCa5w63JVquiCxnrVuFD</t>
  </si>
  <si>
    <t>2024-07-16 11:35:03.045889.jpg-0</t>
  </si>
  <si>
    <t>E7BbKP00D9LSqSWGQcHu</t>
  </si>
  <si>
    <t>2024-07-16 09:34:18.671474.jpg-02024-07-16 09:34:18.671474.jpg-1</t>
  </si>
  <si>
    <t>2rYATbjAEEshSQFaKCyB</t>
  </si>
  <si>
    <t>2024-07-16 08:41:15.721966.jpg-0</t>
  </si>
  <si>
    <t>CsTWDACxgySy9hZfBjYd</t>
  </si>
  <si>
    <t>2024-07-15 15:04:08.380303.jpg-0</t>
  </si>
  <si>
    <t>notice difference in phosphate from the reading I took at next crossing down.  manure pit in between.</t>
  </si>
  <si>
    <t>UPd7UqKkjIhEZJvjNA4e</t>
  </si>
  <si>
    <t>2024-07-15 14:45:49.018562.jpg-0</t>
  </si>
  <si>
    <t>t1tBJS4dZFEHmC2wpy2B</t>
  </si>
  <si>
    <t>2024-07-15 13:50:44.949598.jpg-0</t>
  </si>
  <si>
    <t>vGGGXKqJujE2kckEuq0o</t>
  </si>
  <si>
    <t>2024-07-15 09:34:46.035843.jpg-02024-07-15 09:34:46.035843.jpg-1</t>
  </si>
  <si>
    <t>wx2XuDO2bCZSFTPpHLuN</t>
  </si>
  <si>
    <t xml:space="preserve">worst yet this summer.  heavy rain overnight.  though nitrates are low water quantity is much more so total amount of nitrates is high.  </t>
  </si>
  <si>
    <t>gsuM6ZDcrs1VZcL6gCDi</t>
  </si>
  <si>
    <t>2024-07-12 11:00:24.205969.jpg-0</t>
  </si>
  <si>
    <t>pfp1KZv10jMKCrxy3UWs</t>
  </si>
  <si>
    <t>2024-07-12 08:46:28.678321.jpg-0</t>
  </si>
  <si>
    <t>GuBzqJgz448ZGFw3b0w2</t>
  </si>
  <si>
    <t>2024-07-11 15:33:28.180305.jpg-0</t>
  </si>
  <si>
    <t>this is a velocity barrier</t>
  </si>
  <si>
    <t>LeAl54Z8ytbAFgLvsXTV</t>
  </si>
  <si>
    <t>2024-07-11 13:45:34.900222.jpg-0</t>
  </si>
  <si>
    <t>Y9qN29UApxL9fAq7T09D</t>
  </si>
  <si>
    <t>49 degree water in July!</t>
  </si>
  <si>
    <t>keoVw0wzQUY5NA58mxFe</t>
  </si>
  <si>
    <t>54 degrees in July!</t>
  </si>
  <si>
    <t>60Y5V2nkdqPXg2U9AKIT</t>
  </si>
  <si>
    <t>57 degree water in July and gravel bottom this should be a class 1 stream</t>
  </si>
  <si>
    <t>3nvFZvKLRgNTEtz089pI</t>
  </si>
  <si>
    <t>2024-07-11 10:29:59.611871.jpg-0</t>
  </si>
  <si>
    <t>53 degrees in July and a sand/gravel bottom and this should be a class 1 stream</t>
  </si>
  <si>
    <t>SveTUbZEZ4535ZdsgulM</t>
  </si>
  <si>
    <t>temp of 49.5 in July!</t>
  </si>
  <si>
    <t>6PMdo4qiOtC6gy4KTpEw</t>
  </si>
  <si>
    <t>2024-07-11 09:58:43.552294.jpg-02024-07-11 09:58:43.552294.jpg-1</t>
  </si>
  <si>
    <t>gRkpnYPo7yj9npqC3c2B</t>
  </si>
  <si>
    <t>2024-07-11 08:23:51.892599.jpg-0</t>
  </si>
  <si>
    <t>zFMoh2XYpOMrELljAqd8</t>
  </si>
  <si>
    <t>2024-07-10 14:25:05.186633.jpg-0</t>
  </si>
  <si>
    <t>5XxUybWSXYc3GRedB0cR</t>
  </si>
  <si>
    <t>sZ2KcVCV1dwpC9hwzyn2</t>
  </si>
  <si>
    <t>2024-07-10 11:57:21.968055.jpg-0</t>
  </si>
  <si>
    <t>hscARyIe7ZMRQbCOBjzP</t>
  </si>
  <si>
    <t>2024-07-10 10:55:56.697094.jpg-0</t>
  </si>
  <si>
    <t>qqdPW7IKOzsFwNEDp4vz</t>
  </si>
  <si>
    <t>2024-07-10 09:30:43.044534.jpg-0</t>
  </si>
  <si>
    <t>HAYuLIW8MjtCfrPkWqYi</t>
  </si>
  <si>
    <t>2024-07-10 09:27:33.121748.jpg-0</t>
  </si>
  <si>
    <t>WRS0uHKsKXyGuErKFIMM</t>
  </si>
  <si>
    <t>2024-07-09 16:05:11.353100.jpg-0</t>
  </si>
  <si>
    <t>2 in 1 test would not work</t>
  </si>
  <si>
    <t>cgRxTe1ppbFc8ma1h107</t>
  </si>
  <si>
    <t>2024-07-09 14:59:59.317699.jpg-0</t>
  </si>
  <si>
    <t xml:space="preserve">5 in 1 test would not work.
</t>
  </si>
  <si>
    <t>92Jmlfp9JvQe5GiaYtq6</t>
  </si>
  <si>
    <t>2024-07-09 14:58:30.128443.jpg-0</t>
  </si>
  <si>
    <t xml:space="preserve">riparian area intact in this reach </t>
  </si>
  <si>
    <t>T20lTICUJKRCO4mEeqMp</t>
  </si>
  <si>
    <t>2024-07-09 10:57:26.490870.jpg-0</t>
  </si>
  <si>
    <t>cRFQDCL1sWvZe9OgrKoY</t>
  </si>
  <si>
    <t>2024-07-09 09:45:16.712056.jpg-0</t>
  </si>
  <si>
    <t>only recorded temperature.  so cold there is fog above the water. (July 9, 2024)</t>
  </si>
  <si>
    <t>j5wt3aJRuWAOTHoMODOx</t>
  </si>
  <si>
    <t>2024-07-09 09:36:11.067155.jpg-0</t>
  </si>
  <si>
    <t>VdvaHkRrVtMkMrd5ZKK1</t>
  </si>
  <si>
    <t>2024-07-09 09:35:57.408306.jpg-02024-07-09 09:35:57.408306.jpg-1</t>
  </si>
  <si>
    <t>NbN8kytcdGJKrkzZLjnz</t>
  </si>
  <si>
    <t>2024-07-09 08:55:33.628059.jpg-0</t>
  </si>
  <si>
    <t>jOnF5VoDosVV9xSNoRM9</t>
  </si>
  <si>
    <t>2024-07-09 08:02:04.542055.jpg-0</t>
  </si>
  <si>
    <t>xiqN5c5WLkWOrtEwq9c1</t>
  </si>
  <si>
    <t>2024-07-08 14:45:41.748652.jpg-0</t>
  </si>
  <si>
    <t>2FRb9Jw0UBWX3pw9Xa1C</t>
  </si>
  <si>
    <t>2024-07-08 09:48:16.044707.jpg-02024-07-08 09:48:16.044707.jpg-1</t>
  </si>
  <si>
    <t>p3D0kStUURZrjQRIp4NI</t>
  </si>
  <si>
    <t xml:space="preserve">Zumbro still high. not much change from six days ago.  </t>
  </si>
  <si>
    <t>yWdbWP7f0SiKWwtz8myk</t>
  </si>
  <si>
    <t>2024-07-06 14:35:48.886441.jpg-0</t>
  </si>
  <si>
    <t>hWL8HY1uRR16dq6y4GN1</t>
  </si>
  <si>
    <t>2024-07-06 10:47:12.463202.jpg-0</t>
  </si>
  <si>
    <t xml:space="preserve"> Even little Etna is high and dirty
5-1 didn’t work right again.  </t>
  </si>
  <si>
    <t>4ppW40iOc7v3Yl5mokpc</t>
  </si>
  <si>
    <t>2024-07-06 09:46:01.415181.jpg-0</t>
  </si>
  <si>
    <t xml:space="preserve">Canfield still high and ugly.  </t>
  </si>
  <si>
    <t>fwp5kVzyCYUlWvlivGaA</t>
  </si>
  <si>
    <t>2024-07-06 09:11:40.733210.jpg-0</t>
  </si>
  <si>
    <t>South Branch Root high and dirty.  much rain</t>
  </si>
  <si>
    <t>pedYLm1fvpeBEPP0nCPg</t>
  </si>
  <si>
    <t>2024-07-06 08:37:45.420812.jpg-0</t>
  </si>
  <si>
    <t xml:space="preserve">Middle Branch Root is high and dirty.  </t>
  </si>
  <si>
    <t>QDqL3DTqGllIlw1maWDU</t>
  </si>
  <si>
    <t>2024-07-06 08:18:21.736951.jpg-0</t>
  </si>
  <si>
    <t xml:space="preserve">Kedron is high and dirty from rain. 5-1 test just doesn’t work right today.  I used two strips at Little Jordan adjusted ut several times but nothing worked. same this time.  something’s wrong. </t>
  </si>
  <si>
    <t>a5hbZsBlVHJ89tQOz4p2</t>
  </si>
  <si>
    <t>2024-07-06 07:51:33.740019.jpg-0</t>
  </si>
  <si>
    <t>Little Jordan is murky.  but better than Lost</t>
  </si>
  <si>
    <t>BIZPESF594aAate5w887</t>
  </si>
  <si>
    <t>2024-07-06 07:25:06.643564.jpg-0</t>
  </si>
  <si>
    <t>Lost Creek is up and dirty.  much rain</t>
  </si>
  <si>
    <t>LRgjKEhHBJwOd9LjdrCi</t>
  </si>
  <si>
    <t>2024-07-04 12:51:16.411407.jpg-0</t>
  </si>
  <si>
    <t xml:space="preserve">all day rain. 12:30 pm. </t>
  </si>
  <si>
    <t>cJdUUrLobNVBI1s7aeVn</t>
  </si>
  <si>
    <t>2024-07-03 12:37:11.602848.jpg-0</t>
  </si>
  <si>
    <t xml:space="preserve">tiny Dodge County warm water stream.  tile outlet near bridge.  rather clear.  </t>
  </si>
  <si>
    <t>vpwb5xxKczq78jRQY3LB</t>
  </si>
  <si>
    <t>2024-07-02 09:42:35.523912.jpg-0</t>
  </si>
  <si>
    <t>turbidity &gt;120cm
nitrate =9ppm</t>
  </si>
  <si>
    <t>RxmOs3Mnz8rbzwpSJ3RZ</t>
  </si>
  <si>
    <t>oAqjG4QjIvkLOLawy8ZT</t>
  </si>
  <si>
    <t>2024-07-01 11:58:13.160254.jpg-0</t>
  </si>
  <si>
    <t>turbidity = &gt;120 cm
nitrate= 6ppm</t>
  </si>
  <si>
    <t>wILXGL4F5aOVXoQfHooo</t>
  </si>
  <si>
    <t>2024-07-01 11:35:35.258561.jpg-0</t>
  </si>
  <si>
    <t>turbidity = &gt;120cm
nitrate = 6ppm
captured near bank</t>
  </si>
  <si>
    <t>Jhcla4KBCad19NeRrz6S</t>
  </si>
  <si>
    <t>2024-07-01 10:44:43.871469.jpg-0</t>
  </si>
  <si>
    <t xml:space="preserve">turbidity=&gt;120cm
nitrate = 7 ppm
</t>
  </si>
  <si>
    <t>eqg8YfjcO3Rn3V17fN4m</t>
  </si>
  <si>
    <t>2024-07-01 10:04:45.082683.jpg-0</t>
  </si>
  <si>
    <t>turbidity = &gt;120 cm
nitrate = 6ppm</t>
  </si>
  <si>
    <t>UnQNBvVc8uggJiSkRfa1</t>
  </si>
  <si>
    <t>2024-07-01 09:52:33.458052.jpg-0</t>
  </si>
  <si>
    <t>KO7t1LgcVBwVIJ5LSfju</t>
  </si>
  <si>
    <t>2024-07-01 09:38:22.768580.jpg-0</t>
  </si>
  <si>
    <t>qTouoXTsCCLcWx8fwILF</t>
  </si>
  <si>
    <t>2024-07-01 09:34:28.840661.jpg-0</t>
  </si>
  <si>
    <t xml:space="preserve">turbidity = &gt;120
nitrate = 8 ppm
</t>
  </si>
  <si>
    <t>EhbMSHdJm9ZKn9qH9IS1</t>
  </si>
  <si>
    <t>2024-07-01 09:12:15.922513.jpg-0</t>
  </si>
  <si>
    <t xml:space="preserve">Turbidity = &gt;120cm
hach test= 9ppm nitrate
</t>
  </si>
  <si>
    <t>vPsowK8Atm4rjCcJpREX</t>
  </si>
  <si>
    <t>2024-06-30 15:06:48.530152.jpg-0</t>
  </si>
  <si>
    <t>observed two trout</t>
  </si>
  <si>
    <t>4otUZZXwxkFgf7JGgro1</t>
  </si>
  <si>
    <t>2024-06-30 10:37:17.472188.jpg-0</t>
  </si>
  <si>
    <t>1LrqMuOkmye2VNFLpJYe</t>
  </si>
  <si>
    <t>JylsDB5yLDUb6MXadZD9</t>
  </si>
  <si>
    <t>N5pq7HOturkqidTYSklS</t>
  </si>
  <si>
    <t>2024-06-27 15:24:24.058651.jpg-0</t>
  </si>
  <si>
    <t>ZNYJSCrs1hZvBuXXY0vC</t>
  </si>
  <si>
    <t>2024-06-27 14:58:03.903012.jpg-0</t>
  </si>
  <si>
    <t>YZnHUBbbZKco72b7tHCM</t>
  </si>
  <si>
    <t>2024-06-27 11:51:43.888555.jpg-02024-06-27 11:51:43.888555.jpg-1</t>
  </si>
  <si>
    <t xml:space="preserve">cold fast flow </t>
  </si>
  <si>
    <t>AqsJuLHn1qDCbDLZezEl</t>
  </si>
  <si>
    <t>2024-06-27 10:07:12.646187.jpg-0</t>
  </si>
  <si>
    <t>Crystal clear water</t>
  </si>
  <si>
    <t>yBgF1zVEa3zakzX3Uepk</t>
  </si>
  <si>
    <t>2024-06-27 09:43:41.897661.jpg-0</t>
  </si>
  <si>
    <t>dVZedMK9dcop4sNdr4ao</t>
  </si>
  <si>
    <t>2024-06-26 19:56:28.234169.jpg-0</t>
  </si>
  <si>
    <t xml:space="preserve">long creek by cry 8 bridge </t>
  </si>
  <si>
    <t>ZJQfISBo2gqrXFMOdKpu</t>
  </si>
  <si>
    <t>2024-06-26 18:59:19.772684.jpg-0</t>
  </si>
  <si>
    <t>r3OplI2sU8N4BGkL6ufy</t>
  </si>
  <si>
    <t>2024-06-26 11:49:41.208021.jpg-0</t>
  </si>
  <si>
    <t>2A5kg4x54aC7GyxNd5tL</t>
  </si>
  <si>
    <t>2024-06-26 09:59:56.054253.jpg-0</t>
  </si>
  <si>
    <t>bR7ONYhPkl7seRLcWYk1</t>
  </si>
  <si>
    <t>2024-06-26 08:27:28.900798.jpg-0</t>
  </si>
  <si>
    <t>KA2L6WflRqTRgDSaZtAs</t>
  </si>
  <si>
    <t>rEc6EuX5NUh3rTE9GqpcbwQ7zZF2</t>
  </si>
  <si>
    <t>2024-06-25 15:11:07.893148.jpg-0</t>
  </si>
  <si>
    <t>0f7j9fq7KhvuvvSli8h1</t>
  </si>
  <si>
    <t>2024-06-25 10:09:40.307677.jpg-0</t>
  </si>
  <si>
    <t xml:space="preserve">Canfield is running high and dirty after heavy rains. but it’s cleared than others. </t>
  </si>
  <si>
    <t>C35W7sGsY0yFmjflWZeX</t>
  </si>
  <si>
    <t>2024-06-25 09:50:21.768327.jpg-0</t>
  </si>
  <si>
    <t>uYQveyq1im8czThmk2OW</t>
  </si>
  <si>
    <t>2024-06-25 08:28:37.716211.jpg-0</t>
  </si>
  <si>
    <t xml:space="preserve">could not get 2 in 1 test to capture pic </t>
  </si>
  <si>
    <t>gcXiUDDkUlneJlbKfdVs</t>
  </si>
  <si>
    <t>2024-06-24 15:40:52.870224.jpg-0</t>
  </si>
  <si>
    <t>yV7ZUzmmGZr18670SewX</t>
  </si>
  <si>
    <t>eCsOw19Jmeil807EtNF0</t>
  </si>
  <si>
    <t>2024-06-24 13:03:12.419208.jpg-0</t>
  </si>
  <si>
    <t>hLTtlLyTKDF92BFP0JZI</t>
  </si>
  <si>
    <t>2024-06-24 10:44:28.772622.jpg-0</t>
  </si>
  <si>
    <t xml:space="preserve">Zumbro dropping but near flood stage.  very high and fast. </t>
  </si>
  <si>
    <t>mFTtH4XvmWQvn3uciwmr</t>
  </si>
  <si>
    <t>2FHz0OBgM1ZuopdVgLnJ</t>
  </si>
  <si>
    <t>2024-06-22 11:02:40.559396.jpg-0</t>
  </si>
  <si>
    <t xml:space="preserve">Zumbro at Oxbow Park.  major flooding.  </t>
  </si>
  <si>
    <t>Q3uIMYoIly7Grtw4qOBF</t>
  </si>
  <si>
    <t>2024-06-22 09:30:36.047707.jpg-0</t>
  </si>
  <si>
    <t xml:space="preserve">lots of rain. 68 degrees, cloudy, river muddy and floody. </t>
  </si>
  <si>
    <t>1JURp38loMMo0GSzZ8iN</t>
  </si>
  <si>
    <t>Secchi Tube &gt; 100 cm
Gage flow ~ 190 cfs</t>
  </si>
  <si>
    <t>LTgr3ao7y8mMinjiHcEn</t>
  </si>
  <si>
    <t>2024-06-20 14:19:23.324476.jpg-0</t>
  </si>
  <si>
    <t>nOhPFTLEZBEdX0jpt1f2</t>
  </si>
  <si>
    <t>2024-06-20 13:51:10.175084.jpg-0</t>
  </si>
  <si>
    <t>InScKuAFdZtvcnyIg5ug</t>
  </si>
  <si>
    <t>2024-06-20 13:04:31.735956.jpg-0</t>
  </si>
  <si>
    <t>KZqVz05wCzyeejnuUBR3</t>
  </si>
  <si>
    <t>CzsyjH9W7wweB37peGeV</t>
  </si>
  <si>
    <t>QETDvTFh7HWg34hYwirk</t>
  </si>
  <si>
    <t>UdDMlBAgg0lZgaylJxY5</t>
  </si>
  <si>
    <t>wPMvMCFO7Sx5UGWoUCwh</t>
  </si>
  <si>
    <t>xxSq53yeumInk2LlivN3</t>
  </si>
  <si>
    <t>2024-06-20 08:28:24.821050.jpg-0</t>
  </si>
  <si>
    <t>7CbN9Pr5Lv43i3CvTLEV</t>
  </si>
  <si>
    <t>2024-06-19 15:56:37.834137.jpg-0</t>
  </si>
  <si>
    <t>wMndjdylx2wzUF44eq8h</t>
  </si>
  <si>
    <t>Kk7bxgzJkpOFF1fdXUbt</t>
  </si>
  <si>
    <t>2024-06-19 11:04:21.984311.jpg-0</t>
  </si>
  <si>
    <t>NDXqZGZHggFfAmUb2qZU</t>
  </si>
  <si>
    <t>hVynXvTHMlUjNcVZ3w82</t>
  </si>
  <si>
    <t>EZxq91yXctGxmPSzCFIg</t>
  </si>
  <si>
    <t>WCUTIZbiWR3ZOCkaCFp2</t>
  </si>
  <si>
    <t>2024-06-18 13:39:06.268737.jpg-0</t>
  </si>
  <si>
    <t>ScpX6r4ywhwXVuoxay9M</t>
  </si>
  <si>
    <t>2024-06-18 12:20:46.167159.jpg-0</t>
  </si>
  <si>
    <t>Livestock in Water,None</t>
  </si>
  <si>
    <t>70A3mN8juwmMUP6fIxC2</t>
  </si>
  <si>
    <t>HG1iIic6wAzcmTMnbZgU</t>
  </si>
  <si>
    <t>2024-06-18 11:46:56.835016.jpg-0</t>
  </si>
  <si>
    <t xml:space="preserve">Harkcom creek in Dodge County.  warm water stream </t>
  </si>
  <si>
    <t>UNDs05hDjS3Xue6DMaBd</t>
  </si>
  <si>
    <t>2024-06-18 08:13:42.106053.jpg-0</t>
  </si>
  <si>
    <t>MJnHiF2xXMeMKsYexCrC</t>
  </si>
  <si>
    <t>2024-06-17 17:06:30.644975.jpg-02024-06-17 17:06:30.644975.jpg-1</t>
  </si>
  <si>
    <t>hdSONTiVQsLi8StH3MBU</t>
  </si>
  <si>
    <t>2024-06-17 15:57:21.920566.jpg-02024-06-17 15:57:21.920566.jpg-1</t>
  </si>
  <si>
    <t>DSZDzyXc9mMe36mDXI2Q</t>
  </si>
  <si>
    <t>2024-06-17 15:36:55.287575.jpg-02024-06-17 15:36:55.287575.jpg-1</t>
  </si>
  <si>
    <t>m6I0QN2VL4S4AlXlgjhf</t>
  </si>
  <si>
    <t>2024-06-17 14:27:36.124323.jpg-0</t>
  </si>
  <si>
    <t>90 degree air temp today</t>
  </si>
  <si>
    <t>YihveJdqfY1TmSr0eUbH</t>
  </si>
  <si>
    <t>2024-06-17 13:53:05.500737.jpg-02024-06-17 13:53:05.500737.jpg-1</t>
  </si>
  <si>
    <t>p6Pa5fqLtJY2WiZdyhpr</t>
  </si>
  <si>
    <t>2024-06-17 13:20:12.199731.jpg-02024-06-17 13:20:12.199731.jpg-1</t>
  </si>
  <si>
    <t>ibbvMVTrVyhFv3p4t4K5</t>
  </si>
  <si>
    <t>2024-06-17 12:43:59.624771.jpg-02024-06-17 12:43:59.624771.jpg-1</t>
  </si>
  <si>
    <t>rain a couple days ago</t>
  </si>
  <si>
    <t>Y7PjlBt9w3AVbw801msF</t>
  </si>
  <si>
    <t>2024-06-17 12:21:33.275544.jpg-02024-06-17 12:21:33.275544.jpg-1</t>
  </si>
  <si>
    <t>rainfall a couple days ago</t>
  </si>
  <si>
    <t>gMIeBRsQEkCPehFJlprc</t>
  </si>
  <si>
    <t>2024-06-17 11:15:15.003881.jpg-02024-06-17 11:15:15.003881.jpg-1</t>
  </si>
  <si>
    <t>R3OrppLu36KOFg9Wj3Hz</t>
  </si>
  <si>
    <t>2024-06-17 10:47:11.932760.jpg-02024-06-17 10:47:11.932760.jpg-1</t>
  </si>
  <si>
    <t>OBZFpKW1glT5kH8oQHdb</t>
  </si>
  <si>
    <t>2024-06-17 10:40:40.892288.jpg-02024-06-17 10:40:40.892288.jpg-1</t>
  </si>
  <si>
    <t>SOUsLl5X6RsY1QkATTgU</t>
  </si>
  <si>
    <t>ldXJRdmAV8c6O4ajUpIy</t>
  </si>
  <si>
    <t>2024-06-16 09:35:11.559940.jpg-0</t>
  </si>
  <si>
    <t xml:space="preserve">70 degrees, river high and muddy after 2” rain last night. </t>
  </si>
  <si>
    <t>XBFpuMdcI9JTSewNJK9D</t>
  </si>
  <si>
    <t>2024-06-14 09:13:39.839321.jpg-0</t>
  </si>
  <si>
    <t>KYJ9KRYEaRe44h9mhKkI</t>
  </si>
  <si>
    <t>2024-06-13 12:06:48.329593.jpg-0</t>
  </si>
  <si>
    <t xml:space="preserve">cloudy. veg up in water. beautiful </t>
  </si>
  <si>
    <t>af4jPcdTROnTm7OWcm4I</t>
  </si>
  <si>
    <t>2024-06-13 11:36:40.467693.jpg-0</t>
  </si>
  <si>
    <t>Water cloudy. veg up in water. looking good</t>
  </si>
  <si>
    <t>sUljyPNCbviqxtNHl94V</t>
  </si>
  <si>
    <t>2024-06-13 10:55:01.805040.jpg-0</t>
  </si>
  <si>
    <t>vegetation. nice water level</t>
  </si>
  <si>
    <t>7xDnZcZyHvSKtuQuW0pY</t>
  </si>
  <si>
    <t>dhoYk7GqqQe8fPLKfhTBIIYiuaY2</t>
  </si>
  <si>
    <t>2024-06-06 15:12:07.116470.jpg-02024-06-06 15:12:07.116470.jpg-1</t>
  </si>
  <si>
    <t>rainfall 2 days ago
2 in 1 error</t>
  </si>
  <si>
    <t>zBxXTSG0CCnQhjcn9ZTx</t>
  </si>
  <si>
    <t>2024-06-06 14:48:34.939629.jpg-02024-06-06 14:48:34.939629.jpg-1</t>
  </si>
  <si>
    <t>rainfall 2 days ago
2 for 1 stopped working</t>
  </si>
  <si>
    <t>uB95KICjJoqJp9NKLTvU</t>
  </si>
  <si>
    <t>2024-06-06 14:10:21.260692.jpg-02024-06-06 14:10:21.260692.jpg-1</t>
  </si>
  <si>
    <t>bLzTOYRI719Z4KSTSYz5</t>
  </si>
  <si>
    <t>2024-06-06 13:42:43.670246.jpg-02024-06-06 13:42:43.670246.jpg-1</t>
  </si>
  <si>
    <t>2 in 1 error
rainfall 2 days ago</t>
  </si>
  <si>
    <t>XOsphitKMawy2ppbYosC</t>
  </si>
  <si>
    <t>2024-06-06 13:15:45.717815.jpg-02024-06-06 13:15:45.717815.jpg-1</t>
  </si>
  <si>
    <t>rainfall 2 days ago</t>
  </si>
  <si>
    <t>r4PXpoJ9KtQVvyOj3a3D</t>
  </si>
  <si>
    <t>2024-06-06 12:26:52.023969.jpg-02024-06-06 12:26:52.023969.jpg-1</t>
  </si>
  <si>
    <t>xlJ64Dsfjj1fd81QK4K7</t>
  </si>
  <si>
    <t>2024-06-06 12:05:36.700279.jpg-02024-06-06 12:05:36.700279.jpg-1</t>
  </si>
  <si>
    <t>uPFQCbPhygQoife3tX2F</t>
  </si>
  <si>
    <t>2024-06-06 11:42:43.497555.jpg-02024-06-06 11:42:43.497555.jpg-1</t>
  </si>
  <si>
    <t>hmKMcCMMeGoBSHq7rPK8</t>
  </si>
  <si>
    <t>2024-06-06 11:19:38.689585.jpg-02024-06-06 11:19:38.689585.jpg-1</t>
  </si>
  <si>
    <t>R1kJO7jOXUeivLedWLUy</t>
  </si>
  <si>
    <t>2024-06-06 10:45:43.148290.jpg-02024-06-06 10:45:43.148290.jpg-1</t>
  </si>
  <si>
    <t>rainfall two days ago</t>
  </si>
  <si>
    <t>G0haSSvKFCRwEfuLBQxz</t>
  </si>
  <si>
    <t>2024-06-06 10:21:01.235214.jpg-02024-06-06 10:21:01.235214.jpg-1</t>
  </si>
  <si>
    <t>rain two days ago</t>
  </si>
  <si>
    <t>HGNHsqVJGhKpI9zFL3Ay</t>
  </si>
  <si>
    <t>2024-06-05 15:12:09.684135.jpg-02024-06-05 15:12:09.684135.jpg-1</t>
  </si>
  <si>
    <t>rainfall yesterday</t>
  </si>
  <si>
    <t>acWTtK88jjIAWDVnpD8b</t>
  </si>
  <si>
    <t>2024-06-05 15:06:02.286710.jpg-02024-06-05 15:06:02.286710.jpg-1</t>
  </si>
  <si>
    <t>qmM6MlZcgxVaDhXW38bY</t>
  </si>
  <si>
    <t>2024-06-05 14:28:59.049170.jpg-02024-06-05 14:28:59.049170.jpg-1</t>
  </si>
  <si>
    <t>hDCUXbbeyfZraNeJJEvh</t>
  </si>
  <si>
    <t>2024-06-05 13:57:43.931900.jpg-02024-06-05 13:57:43.931900.jpg-1</t>
  </si>
  <si>
    <t>sz2o5g7CJlkmRwhsbqer</t>
  </si>
  <si>
    <t>2024-06-05 13:21:51.415660.jpg-02024-06-05 13:21:51.415660.jpg-1</t>
  </si>
  <si>
    <t>TZUCMfbQHwWi4qXV2Ft7</t>
  </si>
  <si>
    <t>KCxLpWVzDWbVaMFSRHn2CmI0Qmi1</t>
  </si>
  <si>
    <t>upstream of creek seems to begin to dry up. end of the line for this creek</t>
  </si>
  <si>
    <t>OdNvcZuGXL5hWNi7420I</t>
  </si>
  <si>
    <t>2024-06-05 12:58:58.016457.jpg-02024-06-05 12:58:58.016457.jpg-1</t>
  </si>
  <si>
    <t>cMMmCOVpsceIGuyD1RWZ</t>
  </si>
  <si>
    <t>2024-06-05 12:43:21.871151.jpg-02024-06-05 12:43:21.871151.jpg-1</t>
  </si>
  <si>
    <t xml:space="preserve">rainfall yesterday </t>
  </si>
  <si>
    <t>Dkfbvk1Qi5Ukty9ejE4Q</t>
  </si>
  <si>
    <t>4E9I6N4WB412cMTdtYOO</t>
  </si>
  <si>
    <t>2024-06-05 11:50:38.474292.jpg-02024-06-05 11:50:38.474292.jpg-1</t>
  </si>
  <si>
    <t xml:space="preserve">16.4 degrees Celsius
rainfall yesterday </t>
  </si>
  <si>
    <t>8aJdZcRQI1KpP6AORUXg</t>
  </si>
  <si>
    <t>2024-06-05 11:35:49.577155.jpg-02024-06-05 11:35:49.577155.jpg-1</t>
  </si>
  <si>
    <t>15.8 degrees C
rainfall was yesterday</t>
  </si>
  <si>
    <t>pZbLqf87gNMYsFXJqrwK</t>
  </si>
  <si>
    <t>2024-06-05 09:21:38.362495.jpg-0</t>
  </si>
  <si>
    <t>8atnDetqURvv8pxqdrwY</t>
  </si>
  <si>
    <t>J1Zi7yaXEmdddBU5dzms</t>
  </si>
  <si>
    <t>was having troubles with app. 5 in 1 and 2 in 1 results may be a little off</t>
  </si>
  <si>
    <t>e6lRrkD9zkRQSWLpzgKz</t>
  </si>
  <si>
    <t>o5zic4ETzdd5PipfQYi5lwBQ6dP2</t>
  </si>
  <si>
    <t>GxNh8quZt5gmINUQ58xn</t>
  </si>
  <si>
    <t>2024-06-02 17:02:48.805077.jpg-0</t>
  </si>
  <si>
    <t>8JnpUKbbEKc7uBeEWz1K</t>
  </si>
  <si>
    <t>lz7Pmf5ykd9GP2gNiNdB</t>
  </si>
  <si>
    <t>2024-05-31 13:00:35.023052.jpg-0</t>
  </si>
  <si>
    <t>GzbpCJked7WgTG9avv09</t>
  </si>
  <si>
    <t>VcgQ0dTFt9QvzcwNDAN6mP3Yn2H2</t>
  </si>
  <si>
    <t>2024-05-31 11:00:11.690050.jpg-0</t>
  </si>
  <si>
    <t>7HjrgDO1B6IFe1OQSEmP</t>
  </si>
  <si>
    <t>QhmhDsnjQMr4PGw0cUUd</t>
  </si>
  <si>
    <t>2024-05-29 18:52:14.846360.jpg-0</t>
  </si>
  <si>
    <t>WFDzvdOnwb9ORqYvLUpc</t>
  </si>
  <si>
    <t>2024-05-29 09:37:10.538570.jpg-0</t>
  </si>
  <si>
    <t>R3XHKVBqAw09Q5I9HN6G</t>
  </si>
  <si>
    <t>NG8Od94kjZpifMWei3nM</t>
  </si>
  <si>
    <t xml:space="preserve">zumbro River is a bit high and dirty. recent rains.  </t>
  </si>
  <si>
    <t>m5h3jwoQqFANBMq42C1y</t>
  </si>
  <si>
    <t>Q4Ju3cLZ8hu2t9MuG8GP</t>
  </si>
  <si>
    <t>over 3in of rain in last 24, adjacent Kinni is high and brown. Rocky branch is slightly stained and a little high but looks good.</t>
  </si>
  <si>
    <t>ynmoGmhX6WoDHIlINcbB</t>
  </si>
  <si>
    <t>2024-05-22 14:43:26.883152.jpg-0</t>
  </si>
  <si>
    <t>nD31BNH5gWhiVNy7xb6x</t>
  </si>
  <si>
    <t>wPkrueRVcqjIDDOdiYr0</t>
  </si>
  <si>
    <t>uVX20CB68xVBAcmo2BXC</t>
  </si>
  <si>
    <t>2024-05-22 13:38:59.988095.jpg-0</t>
  </si>
  <si>
    <t>Jx8BHaT75vW9CJfFgUlD</t>
  </si>
  <si>
    <t>Secchi Tube = 12 cm
River Flow = 275 cfs</t>
  </si>
  <si>
    <t>xhlZSlDGdSWI2rhZBPNA</t>
  </si>
  <si>
    <t>5CIhVHNBEDtmjvHjUwZw</t>
  </si>
  <si>
    <t>wQqzHiKBpX4hXOCb2Ai9</t>
  </si>
  <si>
    <t>uY4bwVY4DIHD9dNFMmZP</t>
  </si>
  <si>
    <t>2024-05-21 16:12:54.685513.jpg-0</t>
  </si>
  <si>
    <t>cl 35 ppm
ttube 58cm</t>
  </si>
  <si>
    <t>QI6gF1ufwBeqWe4Dqc1o</t>
  </si>
  <si>
    <t>raining</t>
  </si>
  <si>
    <t>PHKgzXZI7zUmQQNionxV</t>
  </si>
  <si>
    <t xml:space="preserve">currently raining </t>
  </si>
  <si>
    <t>DMQUz81tPHNKs9d6WmwC</t>
  </si>
  <si>
    <t>zFaqIrq6DNrzEwcIJs6L</t>
  </si>
  <si>
    <t>2024-05-20 10:11:04.870999.jpg-0</t>
  </si>
  <si>
    <t>R3kLB93btERXcVhlWNAP</t>
  </si>
  <si>
    <t>2024-05-18 13:25:36.559337.jpg-0</t>
  </si>
  <si>
    <t>sunny, 80 degrees, half inch rain last night</t>
  </si>
  <si>
    <t>pWtgToLc3aYZ28gGjR0s</t>
  </si>
  <si>
    <t>2024-05-18 10:30:47.506409.jpg-0</t>
  </si>
  <si>
    <t>Water from Rainy Spring</t>
  </si>
  <si>
    <t>eMJg5QHtXbmgOj6m7a7n</t>
  </si>
  <si>
    <t>2024-05-18 09:45:39.582145.jpg-0</t>
  </si>
  <si>
    <t>vbwz7hoee5eR22UgNpOs</t>
  </si>
  <si>
    <t>2024-05-18 09:14:21.915171.jpg-0</t>
  </si>
  <si>
    <t xml:space="preserve">SB Root just above Canfield. </t>
  </si>
  <si>
    <t>QWsRfJTbVXykHKB7SExy</t>
  </si>
  <si>
    <t>2024-05-18 07:58:27.634215.jpg-0</t>
  </si>
  <si>
    <t>middle branch Root River</t>
  </si>
  <si>
    <t>f3IH7lgFgK08iTfDPNV4</t>
  </si>
  <si>
    <t>2024-05-18 07:39:45.493126.jpg-0</t>
  </si>
  <si>
    <t xml:space="preserve">this is Little Jordan or Carson </t>
  </si>
  <si>
    <t>DbqtZLLwKhmgKcCDZp0h</t>
  </si>
  <si>
    <t>2024-05-18 07:18:29.675770.jpg-0</t>
  </si>
  <si>
    <t>this is Lost Creek near Chatfield</t>
  </si>
  <si>
    <t>wBQehTM9FQTwANwZHuDj</t>
  </si>
  <si>
    <t>2024-05-17 14:27:08.102155.jpg-0</t>
  </si>
  <si>
    <t>5k76aRO97S8I2chQ1PhT</t>
  </si>
  <si>
    <t>2024-05-17 11:09:07.870194.jpg-0</t>
  </si>
  <si>
    <t>ncEP2kFFjEFyH0UzqZGW</t>
  </si>
  <si>
    <t>2024-05-17 10:04:14.622579.jpg-0</t>
  </si>
  <si>
    <t>31y0qphcf9I0b6CuQXLZ</t>
  </si>
  <si>
    <t>2024-05-16 15:08:28.493963.jpg-0</t>
  </si>
  <si>
    <t>l0KDShdVgcEyRgc9n0NF</t>
  </si>
  <si>
    <t>2024-05-16 14:49:02.140418.jpg-0</t>
  </si>
  <si>
    <t>qV7YzVRzfd9rS3iX79u1</t>
  </si>
  <si>
    <t>2024-05-16 10:17:00.062555.jpg-0</t>
  </si>
  <si>
    <t>fX9OF3LvyIuXIBzfv9X9</t>
  </si>
  <si>
    <t>2024-05-15 14:30:41.042833.jpg-0</t>
  </si>
  <si>
    <t>water level normal, clarity clear</t>
  </si>
  <si>
    <t>5YiZJA7SGj6EqMNhn5Sm</t>
  </si>
  <si>
    <t>SwFQLdafNiwNDIDuzFFG</t>
  </si>
  <si>
    <t>2024-05-14 15:32:50.604638.jpg-0</t>
  </si>
  <si>
    <t>R7Ks6ftzHcUm6j8ouTSy</t>
  </si>
  <si>
    <t>2024-05-14 10:12:34.635760.jpg-0</t>
  </si>
  <si>
    <t>0DCFnLkQyKeejYlabbZV</t>
  </si>
  <si>
    <t>2024-05-14 10:12:21.749800.jpg-0</t>
  </si>
  <si>
    <t>LItTuFCleAXoCpgAXS0r</t>
  </si>
  <si>
    <t>vsvmjcqJN4YNZG5IiRwP</t>
  </si>
  <si>
    <t>gPkPBVf8FOJXFC1om6RF</t>
  </si>
  <si>
    <t>2024-05-11 13:55:47.430286.jpg-0</t>
  </si>
  <si>
    <t>this is main Zumbro River at Zumbro Falls</t>
  </si>
  <si>
    <t>9JwdLcH2LBvWDOyUDpyz</t>
  </si>
  <si>
    <t>2024-05-10 11:47:34.907302.jpg-0</t>
  </si>
  <si>
    <t xml:space="preserve">Gorman Creek. it had habitat work done last year.  this is near a spring just above habitat work. </t>
  </si>
  <si>
    <t>qnT39TcxHzWOQy0Rp8iy</t>
  </si>
  <si>
    <t>2024-05-10 11:18:39.920236.jpg-0</t>
  </si>
  <si>
    <t xml:space="preserve">lowest part of East Indian.  looks great. </t>
  </si>
  <si>
    <t>7bk7iC7vr9HRTFvhbD3w</t>
  </si>
  <si>
    <t>2024-05-08 13:03:24.412206.jpg-0</t>
  </si>
  <si>
    <t>rTG1mev0KaO6CXJhihdP</t>
  </si>
  <si>
    <t>lcxvD1BzbxCD6kyaMx45</t>
  </si>
  <si>
    <t>2024-05-08 12:38:38.503312.jpg-0</t>
  </si>
  <si>
    <t>RZtZLRkFw38LVOrUY9WH</t>
  </si>
  <si>
    <t>2024-05-08 11:52:15.466974.jpg-0</t>
  </si>
  <si>
    <t>1SgcvmCuR229B4MeqVG5</t>
  </si>
  <si>
    <t xml:space="preserve">Zumbro is high and dirty after rains.  </t>
  </si>
  <si>
    <t>9TgWmBS8A4LqnWVTK1Cr</t>
  </si>
  <si>
    <t>2024-05-07 11:28:17.265670.jpg-02024-05-07 11:28:17.265670.jpg-1</t>
  </si>
  <si>
    <t>12.3 degrees Celsius. Rainfall yesterday</t>
  </si>
  <si>
    <t>pciYpxwPiQbffIw0OSgB</t>
  </si>
  <si>
    <t>2024-05-07 10:52:08.231515.jpg-02024-05-07 10:52:08.231515.jpg-1</t>
  </si>
  <si>
    <t>12 degrees Celsius. Yesterday Rainfall</t>
  </si>
  <si>
    <t>QyC45PmIbTgd1CHcMUsA</t>
  </si>
  <si>
    <t>2024-05-07 10:31:25.845741.jpg-02024-05-07 10:31:25.845741.jpg-1</t>
  </si>
  <si>
    <t>13.9 degrees Celsius. rainfall yesterday</t>
  </si>
  <si>
    <t>48Dfxu0Eipin6z9apqhd</t>
  </si>
  <si>
    <t>2024-05-07 10:06:34.756083.jpg-02024-05-07 10:06:34.756083.jpg-1</t>
  </si>
  <si>
    <t>11.2 degrees Celsius. Rainfall yesterday</t>
  </si>
  <si>
    <t>UfJqGHIWxxcEX1wpH7xh</t>
  </si>
  <si>
    <t>2024-05-07 09:52:00.049447.jpg-02024-05-07 09:52:00.049447.jpg-1</t>
  </si>
  <si>
    <t>12.1 degrees Celsius. (Rain last night)</t>
  </si>
  <si>
    <t>qgLanfPTWmb3MyoF6qu2</t>
  </si>
  <si>
    <t>2024-05-07 09:33:39.054156.jpg-02024-05-07 09:33:39.054156.jpg-1</t>
  </si>
  <si>
    <t>13.4 degrees Celsius</t>
  </si>
  <si>
    <t>0UAWuI4NxH7ikPUwpmvH</t>
  </si>
  <si>
    <t>2024-05-06 17:19:39.054144.jpg-02024-05-06 17:19:39.054144.jpg-1</t>
  </si>
  <si>
    <t>15.7 degrees Celsius</t>
  </si>
  <si>
    <t>BuRhki9ZlW2NG1swDMUQ</t>
  </si>
  <si>
    <t>2024-05-06 16:58:29.385196.jpg-02024-05-06 16:58:29.385196.jpg-1</t>
  </si>
  <si>
    <t>16.5 degrees Celsius</t>
  </si>
  <si>
    <t>TzvobHqbTf24hp3ZLEIQ</t>
  </si>
  <si>
    <t>2024-05-06 16:37:26.147010.jpg-02024-05-06 16:37:26.147010.jpg-1</t>
  </si>
  <si>
    <t>15 degrees Celsius</t>
  </si>
  <si>
    <t>fRk0f837YpRaEZw7SGhv</t>
  </si>
  <si>
    <t>2024-05-06 16:22:26.997482.jpg-02024-05-06 16:22:26.997482.jpg-1</t>
  </si>
  <si>
    <t>14.8 degrees Celsius</t>
  </si>
  <si>
    <t>JM1B4NhQRZCofbmD6j8W</t>
  </si>
  <si>
    <t>2024-05-06 16:02:31.392493.jpg-02024-05-06 16:02:31.392493.jpg-1</t>
  </si>
  <si>
    <t>14.9 degrees Celsius</t>
  </si>
  <si>
    <t>zhF43XFAImrgK5RD245Y</t>
  </si>
  <si>
    <t>2024-05-06 15:47:18.504389.jpg-02024-05-06 15:47:18.504389.jpg-1</t>
  </si>
  <si>
    <t>8.7 degrees Celsius</t>
  </si>
  <si>
    <t>IdwzELrDrDwuQZ3k9IjL</t>
  </si>
  <si>
    <t>2024-05-06 15:30:31.563616.jpg-02024-05-06 15:30:31.563616.jpg-1</t>
  </si>
  <si>
    <t xml:space="preserve">14.4 degrees Celsius </t>
  </si>
  <si>
    <t>dgMSHt4INra6Y9hSLjxn</t>
  </si>
  <si>
    <t>2024-05-06 15:06:04.038500.jpg-02024-05-06 15:06:04.038500.jpg-1</t>
  </si>
  <si>
    <t>15.7 degrees C</t>
  </si>
  <si>
    <t>IWlcSn9O9L69tdudqfUi</t>
  </si>
  <si>
    <t>2024-05-06 13:52:44.542105.jpg-02024-05-06 13:52:44.542105.jpg-1</t>
  </si>
  <si>
    <t xml:space="preserve">15.1 degrees Celsius </t>
  </si>
  <si>
    <t>y85XmYE2lZdhILDhtj33</t>
  </si>
  <si>
    <t>2024-05-06 13:28:46.981350.jpg-02024-05-06 13:28:46.981350.jpg-1</t>
  </si>
  <si>
    <t>Fish Barrier,Bank Erosion,Trash</t>
  </si>
  <si>
    <t>temp was 16.5 C</t>
  </si>
  <si>
    <t>2WvoSrqK2Lqaz1nSQ2Zb</t>
  </si>
  <si>
    <t>2024-05-06 13:12:37.430751.jpg-02024-05-06 13:12:37.430751.jpg-1</t>
  </si>
  <si>
    <t xml:space="preserve">15.5 degrees Celsius </t>
  </si>
  <si>
    <t>wHo0M19bzq4b7ucbFJJq</t>
  </si>
  <si>
    <t>2024-05-06 13:05:21.777201.jpg-0</t>
  </si>
  <si>
    <t>16. degrees C</t>
  </si>
  <si>
    <t>HXDZ58i28zUjsUOgyb61</t>
  </si>
  <si>
    <t>2024-05-06 12:34:42.711717.jpg-02024-05-06 12:34:42.711717.jpg-1</t>
  </si>
  <si>
    <t xml:space="preserve">14.2 degrees Celsius </t>
  </si>
  <si>
    <t>mhWYsRTeiUXFr6inD01n</t>
  </si>
  <si>
    <t>2024-05-06 12:17:40.420213.jpg-02024-05-06 12:17:40.420213.jpg-1</t>
  </si>
  <si>
    <t>20.1 degrees C</t>
  </si>
  <si>
    <t>MDcSMgF9o7nQsdKN6XEb</t>
  </si>
  <si>
    <t>2024-05-06 11:53:25.866442.jpg-02024-05-06 11:53:25.866442.jpg-1</t>
  </si>
  <si>
    <t>aCKm0mhQ9bfKcwqvqRaZ</t>
  </si>
  <si>
    <t>2024-05-06 11:35:22.727371.jpg-02024-05-06 11:35:22.727371.jpg-1</t>
  </si>
  <si>
    <t xml:space="preserve">13.2 degrees Celsius </t>
  </si>
  <si>
    <t>poGlRMPLFaQJ86V0fMG3</t>
  </si>
  <si>
    <t>2024-05-06 11:19:49.269487.jpg-02024-05-06 11:19:49.269487.jpg-1</t>
  </si>
  <si>
    <t>water temperature was 11.1 C. rains last week</t>
  </si>
  <si>
    <t>YknPAxD8m75ac8T87FQx</t>
  </si>
  <si>
    <t>2024-05-06 10:55:34.261400.jpg-02024-05-06 10:55:34.261400.jpg-1</t>
  </si>
  <si>
    <t>11.1 degrees C rained last week</t>
  </si>
  <si>
    <t>gJKtsSY04d6CNWHxeECX</t>
  </si>
  <si>
    <t>amwdiMGvitOCDTrNZryY37rt5Vw1</t>
  </si>
  <si>
    <t>OAM5koP30W4rwbID6jKS</t>
  </si>
  <si>
    <t>2024-05-03 14:49:28.809448.jpg-02024-05-03 14:49:28.809448.jpg-1</t>
  </si>
  <si>
    <t>water temp 14.2 C. rain yesterday</t>
  </si>
  <si>
    <t>YQziwsgq1PPLs6ieVy9O</t>
  </si>
  <si>
    <t>2024-05-03 14:24:21.893808.jpg-02024-05-03 14:24:21.893808.jpg-1</t>
  </si>
  <si>
    <t>rtRXyjc1yi2U1GKA0ZcT</t>
  </si>
  <si>
    <t>2024-05-03 13:42:18.759444.jpg-02024-05-03 13:42:18.759444.jpg-1</t>
  </si>
  <si>
    <t>water temp was 11 C. rain yesterday</t>
  </si>
  <si>
    <t>pawqQHElXB3TUqK7aSIZ</t>
  </si>
  <si>
    <t>2024-05-03 13:12:28.299744.jpg-02024-05-03 13:12:28.299744.jpg-1</t>
  </si>
  <si>
    <t>water temp 13.3 C. rainfall yesterday</t>
  </si>
  <si>
    <t>AgvtEQusZHp34dvOFOQD</t>
  </si>
  <si>
    <t>2024-05-03 12:57:31.809885.jpg-02024-05-03 12:57:31.809885.jpg-1</t>
  </si>
  <si>
    <t xml:space="preserve">temp was 12.1 C. rains yesterday </t>
  </si>
  <si>
    <t>tnCYkrCVLtsSbZfHpWns</t>
  </si>
  <si>
    <t>2024-05-03 12:36:45.382527.jpg-02024-05-03 12:36:45.382527.jpg-1</t>
  </si>
  <si>
    <t>water temp 12.3C. rain yesterday</t>
  </si>
  <si>
    <t>yr4AiDBpuJQwhHxGNhDB</t>
  </si>
  <si>
    <t>2024-05-03 11:58:27.320516.jpg-02024-05-03 11:58:27.320516.jpg-1</t>
  </si>
  <si>
    <t>11.2 degrees C (Yesterday Rainfall)</t>
  </si>
  <si>
    <t>uK8HOjBo6AoWfzpRBvNk</t>
  </si>
  <si>
    <t>2024-05-03 11:37:48.614047.jpg-02024-05-03 11:37:48.614047.jpg-1</t>
  </si>
  <si>
    <t>11.1 degrees C (Rainfall yesterday)</t>
  </si>
  <si>
    <t>llykpiIiBLSwWy4EyyxA</t>
  </si>
  <si>
    <t>2024-05-03 11:16:16.365289.jpg-02024-05-03 11:16:16.365289.jpg-1</t>
  </si>
  <si>
    <t>temp was 10.6 C. rainfall previous day</t>
  </si>
  <si>
    <t>iGtXwjQd8x5k7ZPk23aq</t>
  </si>
  <si>
    <t>2024-05-03 10:59:03.191905.jpg-02024-05-03 10:59:03.191905.jpg-1</t>
  </si>
  <si>
    <t>10.6 degrees Celsius (Rainfall yesterday)</t>
  </si>
  <si>
    <t>B4nJ5mT3VkSBALTQv5cd</t>
  </si>
  <si>
    <t>2024-05-03 10:53:57.621779.jpg-02024-05-03 10:53:57.621779.jpg-1</t>
  </si>
  <si>
    <t>10 degrees Celsius</t>
  </si>
  <si>
    <t>S6ahBKm7sAWd4UFZ0vXF</t>
  </si>
  <si>
    <t xml:space="preserve">58F 1ft below surface </t>
  </si>
  <si>
    <t>OixaHdlHYTRNotbCjl3Y</t>
  </si>
  <si>
    <t>2024-05-01 15:56:33.315379.jpg-02024-05-01 15:56:33.315379.jpg-1</t>
  </si>
  <si>
    <t>we’re temp west 26.7C</t>
  </si>
  <si>
    <t>wFlwmqKBkeXnx37WB85I</t>
  </si>
  <si>
    <t>2024-05-01 15:40:54.483836.jpg-02024-05-01 15:40:54.483836.jpg-1</t>
  </si>
  <si>
    <t>water temp was 17.4C</t>
  </si>
  <si>
    <t>MJh0Po3nE2JrjqMhOt9a</t>
  </si>
  <si>
    <t>2024-05-01 15:32:59.880555.jpg-02024-05-01 15:32:59.880555.jpg-1</t>
  </si>
  <si>
    <t>water temp was 17.4 C</t>
  </si>
  <si>
    <t>zc82NND1qNFXucskLprn</t>
  </si>
  <si>
    <t>2024-05-01 15:12:59.611604.jpg-02024-05-01 15:12:59.611604.jpg-1</t>
  </si>
  <si>
    <t>water temp was 15.7C</t>
  </si>
  <si>
    <t>UDx9HKqpteucuRkNDrhZ</t>
  </si>
  <si>
    <t>2024-05-01 14:54:13.814598.jpg-02024-05-01 14:54:13.814598.jpg-1</t>
  </si>
  <si>
    <t>water temp was 17.7C</t>
  </si>
  <si>
    <t>MDzMcozbZAMvww6zsJlc</t>
  </si>
  <si>
    <t>2024-05-01 14:36:16.056923.jpg-02024-05-01 14:36:16.056923.jpg-1</t>
  </si>
  <si>
    <t>water temp was 18.6 C</t>
  </si>
  <si>
    <t>BKPSlZ6s4h9iMOCwAUll</t>
  </si>
  <si>
    <t>2024-05-01 14:25:32.782571.jpg-02024-05-01 14:25:32.782571.jpg-1</t>
  </si>
  <si>
    <t>water temp was 16.5C</t>
  </si>
  <si>
    <t>CpHRFGTzBhcmTMDcTrBv</t>
  </si>
  <si>
    <t>2024-05-01 13:51:10.897208.jpg-02024-05-01 13:51:10.897208.jpg-1</t>
  </si>
  <si>
    <t>water temp is 16.3 C</t>
  </si>
  <si>
    <t>TMvCcI1lK1GkP2qhXpKT</t>
  </si>
  <si>
    <t>2024-05-01 13:44:45.146056.jpg-02024-05-01 13:44:45.146056.jpg-1</t>
  </si>
  <si>
    <t>water temp is 14.9 C</t>
  </si>
  <si>
    <t>0WhLkyHEk327RohFMhC2</t>
  </si>
  <si>
    <t>2024-05-01 13:09:18.840130.jpg-02024-05-01 13:09:18.840130.jpg-1</t>
  </si>
  <si>
    <t>Vl5bnqvBCfkJH8zyzRFZ</t>
  </si>
  <si>
    <t>2024-05-01 12:32:27.673372.jpg-02024-05-01 12:32:27.673372.jpg-1</t>
  </si>
  <si>
    <t>PzyNws9X5Ohf3AH3Xu5A</t>
  </si>
  <si>
    <t>2024-04-30 15:48:03.616310.jpg-0</t>
  </si>
  <si>
    <t>AbTVQheZQnSNBorlbiue</t>
  </si>
  <si>
    <t xml:space="preserve">I’m just giving weekly nitrate test from oxbow. the strip color looked like 5 but it twice came back 1.  </t>
  </si>
  <si>
    <t>Ywzv6NaFCx24IkPcjgNO</t>
  </si>
  <si>
    <t>this was rain water, not a stream</t>
  </si>
  <si>
    <t>SAcsuB49B7GlVbOHy5Nu</t>
  </si>
  <si>
    <t>UJgBQ90wAIYzoILpSUjY</t>
  </si>
  <si>
    <t>Bank Erosion,Trash,Pipe/Drain Outflow,Livestock in Water</t>
  </si>
  <si>
    <t>3f2JcjYoGojSBaEHfrTe</t>
  </si>
  <si>
    <t>Lo0FDyXwB0IuXnwIiRT4</t>
  </si>
  <si>
    <t>2024-04-24 18:05:17.489390.jpg-0</t>
  </si>
  <si>
    <t xml:space="preserve">56 F 1 ft deep </t>
  </si>
  <si>
    <t>EtBqGbrGOcVdiAQ9DKUC</t>
  </si>
  <si>
    <t>2024-04-24 17:47:10.368760.jpg-0</t>
  </si>
  <si>
    <t xml:space="preserve">long creek- downstream from Cnty 8 bridge.  low water levels </t>
  </si>
  <si>
    <t>1HbA0rcVuDWZCME5EIH2</t>
  </si>
  <si>
    <t>2024-04-24 16:44:50.493761.jpg-0</t>
  </si>
  <si>
    <t>West Indian creek - April</t>
  </si>
  <si>
    <t>AfU8Fm45j1SQav1CYl7h</t>
  </si>
  <si>
    <t>X91aAo7JetnsQD0vWvwQ</t>
  </si>
  <si>
    <t>Hickory creek road bridge</t>
  </si>
  <si>
    <t>pGFZ5NPrzm5ANCGKOytt</t>
  </si>
  <si>
    <t>farm field - Yellow River Hiway X16 bridge</t>
  </si>
  <si>
    <t>C8hS3dlpXOsOLW927qul</t>
  </si>
  <si>
    <t xml:space="preserve">this is Tompkins Creek that Sara S wanted. it looks very good. </t>
  </si>
  <si>
    <t>u2DNNoVmERFRAxRZef14</t>
  </si>
  <si>
    <t xml:space="preserve">clearest it’s looked in a while.  but transparency tube was only 79 cm. it’s really clear out.  </t>
  </si>
  <si>
    <t>8vpsaYt6EWlSV22IxJRY</t>
  </si>
  <si>
    <t>GkkT5s1Ztce98PSVrxbu</t>
  </si>
  <si>
    <t>ZvyHSd0wTVhEqp4jmpPt</t>
  </si>
  <si>
    <t>HBNiWzQ6vYImysKq7BQv</t>
  </si>
  <si>
    <t>uAwaWPXw7rTLrlVyZQyBEHYE6SU2</t>
  </si>
  <si>
    <t>Ui6ATCi0ruwCGR154KMc</t>
  </si>
  <si>
    <t>l7iibZs4oBLT0MK076jI</t>
  </si>
  <si>
    <t>XJox3OM2f3ciUeL9XQDn</t>
  </si>
  <si>
    <t>DqUTUWfFKyMmrCUAWxsXy8KRt4c2</t>
  </si>
  <si>
    <t>2024-04-19 11:53:27.614349.jpg-0</t>
  </si>
  <si>
    <t xml:space="preserve">better flow after recent rains. very clear. </t>
  </si>
  <si>
    <t>EUgBVVxjrUqDrj1RucrR</t>
  </si>
  <si>
    <t>AYWbbqQP95bSa5hkNVuS</t>
  </si>
  <si>
    <t>2024-04-14 12:51:56.092867.jpg-0</t>
  </si>
  <si>
    <t>2xWCPwRtJdBZxt9x2waG</t>
  </si>
  <si>
    <t>2024-04-14 09:52:52.883781.jpg-0</t>
  </si>
  <si>
    <t xml:space="preserve">Freid easement at Eagle Creek. very low and clear water. </t>
  </si>
  <si>
    <t>i0ZdSKOVJEiVpJDeKzcs</t>
  </si>
  <si>
    <t xml:space="preserve">Karch Creek 
4/13/24
</t>
  </si>
  <si>
    <t>pxLbkcyaOjelW139qF1j</t>
  </si>
  <si>
    <t>2qi2XeXKeieRshKkneW5</t>
  </si>
  <si>
    <t>2024-04-09 11:52:15.740156.jpg-0</t>
  </si>
  <si>
    <t xml:space="preserve">water higher from rain several days ago.  5/1 strip didn’t read.  I tried two and neither worked.  I adjusted it several times </t>
  </si>
  <si>
    <t>otct5tbgdlX7Zmcdt676</t>
  </si>
  <si>
    <t>Secchi Tube = 81 cm
Snowmelt in progress 
Flow = 130 cfs</t>
  </si>
  <si>
    <t>Tzcu4Y9LqtqR9UJ8s0jy</t>
  </si>
  <si>
    <t>2024-03-13 12:21:36.774780.jpg-0</t>
  </si>
  <si>
    <t>invasive watercress is bad</t>
  </si>
  <si>
    <t>dBHAmGEknUlMj32NfS5U</t>
  </si>
  <si>
    <t>2024-03-13 11:59:39.510117.jpg-0</t>
  </si>
  <si>
    <t xml:space="preserve">invasive water crews. site burned this week. </t>
  </si>
  <si>
    <t>9C6mnqHNFYhrVmH4velj</t>
  </si>
  <si>
    <t>2024-03-12 17:34:22.308151.jpg-0</t>
  </si>
  <si>
    <t>1ijzzHsieXnh07SeU6d0</t>
  </si>
  <si>
    <t>2024-03-12 16:39:11.124792.jpg-0</t>
  </si>
  <si>
    <t>NIesKQZyQZQCw9Ig77B2</t>
  </si>
  <si>
    <t>2024-03-12 13:32:53.455413.jpg-0</t>
  </si>
  <si>
    <t>EQky5kQ3jX0ZOtuhKKo9</t>
  </si>
  <si>
    <t>2024-03-07 14:46:39.426490.jpg-0</t>
  </si>
  <si>
    <t>ZmTHYhuBrKTlrEUhScHP</t>
  </si>
  <si>
    <t>2024-03-07 14:33:41.099671.jpg-0</t>
  </si>
  <si>
    <t xml:space="preserve">trash observed legacy farm stuff. </t>
  </si>
  <si>
    <t>O18n8O7aavZZ7aZjcAum</t>
  </si>
  <si>
    <t>2024-03-07 14:25:36.744202.jpg-0</t>
  </si>
  <si>
    <t>dI40rWQHdoWly48pcPuO</t>
  </si>
  <si>
    <t>2024-03-07 14:06:55.143332.jpg-0</t>
  </si>
  <si>
    <t>IGR5qQpqvqYDkWM7gSuc</t>
  </si>
  <si>
    <t>2024-03-07 12:34:36.635508.jpg-0</t>
  </si>
  <si>
    <t xml:space="preserve">quite a few fish downstream of bridge </t>
  </si>
  <si>
    <t>SsUjpDvHWtsww1CSTvrD</t>
  </si>
  <si>
    <t>2024-03-07 12:04:47.905349.jpg-0</t>
  </si>
  <si>
    <t xml:space="preserve">water low as everywhere </t>
  </si>
  <si>
    <t>aOEYLRxrdE9IXjKkDil6</t>
  </si>
  <si>
    <t>warm air temp</t>
  </si>
  <si>
    <t>PRKi8z2tBeL3iQJfPFq9</t>
  </si>
  <si>
    <t>2024-02-20 13:00:52.504380.jpg-0</t>
  </si>
  <si>
    <t>FjxaHahsaRi7LnxMXvea</t>
  </si>
  <si>
    <t>ziSVi2TCzSHJKHnA0hso</t>
  </si>
  <si>
    <t>vr0LiAGuXyKoDf0oYLLK</t>
  </si>
  <si>
    <t>XjAeVUSAWwR6YIfiotq1aVO8G8e2</t>
  </si>
  <si>
    <t>MXo4Zwjg4CuJpyZtPyRt</t>
  </si>
  <si>
    <t>LOOz3388gNmwNbGSVxsg</t>
  </si>
  <si>
    <t>2023-11-15 11:40:44.238325.jpg-0</t>
  </si>
  <si>
    <t>stream was actually lower than usual baseflow.</t>
  </si>
  <si>
    <t>uTwSjEf52vS5Z4u1yuVP</t>
  </si>
  <si>
    <t>2023-11-15 10:57:43.390233.jpg-0</t>
  </si>
  <si>
    <t>kBidKqCoo1rF97Q0ZtPe</t>
  </si>
  <si>
    <t>2023-11-15 10:30:23.367684.jpg-0</t>
  </si>
  <si>
    <t>eX4lz4yllmLBzvElDJv1</t>
  </si>
  <si>
    <t>VafV8aEeBImV5pPBlkxX</t>
  </si>
  <si>
    <t>w3ZZwcZoEfvWUHr4uiZT</t>
  </si>
  <si>
    <t>4pXedLfo9BcNJzyoBzUD</t>
  </si>
  <si>
    <t>r5K2ISkIOnoV0sAtYgxq</t>
  </si>
  <si>
    <t>uStvtGMsxsPjvphmI3aW</t>
  </si>
  <si>
    <t>KzKCLOQsixASRzHQUhij</t>
  </si>
  <si>
    <t>2023-10-17 17:12:15.234962.jpg-02023-10-17 17:12:15.234962.jpg-12023-10-17 17:12:15.234962.jpg-22023-10-17 17:12:15.234962.jpg-3</t>
  </si>
  <si>
    <t>EfYBOyjl4y5s2ySN4tO9</t>
  </si>
  <si>
    <t>2023-10-15 13:10:37.888255.jpg-0</t>
  </si>
  <si>
    <t xml:space="preserve">way way up West Indian Creek.    very clear and cold. many beaver dams below </t>
  </si>
  <si>
    <t>iISHLLo5gOAAxz27dl9n</t>
  </si>
  <si>
    <t>2023-09-25 10:31:50.662792.jpg-0</t>
  </si>
  <si>
    <t>TjmUo6Z7GzqNn1I9O9Ob</t>
  </si>
  <si>
    <t>2023-09-16 11:10:38.241756.jpg-0</t>
  </si>
  <si>
    <t>Beautiful day on the River!</t>
  </si>
  <si>
    <t>dsCDzzoeYtbFzn4pxREC</t>
  </si>
  <si>
    <t>VKBJeyHB5O6GOKST7FSm</t>
  </si>
  <si>
    <t>xbQ2Thqax59uSF3YzVtc</t>
  </si>
  <si>
    <t>ifQ2Pob7DiwbmssHhUGN</t>
  </si>
  <si>
    <t>YWZq935egmBbxKIQtBMa</t>
  </si>
  <si>
    <t>p0uz7IAI650McEPnPKBS</t>
  </si>
  <si>
    <t>4mwRrMbDhLipeYHQVnPg</t>
  </si>
  <si>
    <t>AnPbKvZHomSm5dlm3gng</t>
  </si>
  <si>
    <t>L2fDQqImhUDkNuk7ewio</t>
  </si>
  <si>
    <t>OELg6vrtK1XLGhvgBoHr</t>
  </si>
  <si>
    <t>qaMt6f95AbJBzwJu1FBG</t>
  </si>
  <si>
    <t>pNgq4MlineKyQMZInnWm</t>
  </si>
  <si>
    <t>Dev: DBParsing_241015_v01.xlsm</t>
  </si>
  <si>
    <t>Brook Trout Streams</t>
  </si>
  <si>
    <t>070400080101</t>
  </si>
  <si>
    <t>Headwaters North Branch Root River</t>
  </si>
  <si>
    <t>070400080401</t>
  </si>
  <si>
    <t>Headwaters South Branch Root River</t>
  </si>
  <si>
    <t>0704000402</t>
  </si>
  <si>
    <t>070400040205</t>
  </si>
  <si>
    <t>South Branch Middle Fork Zumbro River</t>
  </si>
  <si>
    <t>0707000514</t>
  </si>
  <si>
    <t>070700051406</t>
  </si>
  <si>
    <t>Blue River</t>
  </si>
  <si>
    <t>Big Rock Branch-Blue River</t>
  </si>
  <si>
    <t>070600050403</t>
  </si>
  <si>
    <t>Storybrook Hollow-Mill Creek</t>
  </si>
  <si>
    <t>070700050803</t>
  </si>
  <si>
    <t>Pillar Creek</t>
  </si>
  <si>
    <t>Rossman Creek-Buffalo River</t>
  </si>
  <si>
    <t>070500051201</t>
  </si>
  <si>
    <t>070500051203</t>
  </si>
  <si>
    <t>Spring Creek-Chippewa River</t>
  </si>
  <si>
    <t>070600010701</t>
  </si>
  <si>
    <t>070500051204</t>
  </si>
  <si>
    <t>Little Bear Creek</t>
  </si>
  <si>
    <t>070400030203</t>
  </si>
  <si>
    <t>070400040110</t>
  </si>
  <si>
    <t>Lower Pigeon Creek</t>
  </si>
  <si>
    <t>070600020207</t>
  </si>
  <si>
    <t>Ten Mile Creek</t>
  </si>
  <si>
    <t>0705000509</t>
  </si>
  <si>
    <t>070500050906</t>
  </si>
  <si>
    <t>Duscham Creek-Chippewa River</t>
  </si>
  <si>
    <t>Bohris Valley-Trempealeau River</t>
  </si>
  <si>
    <t>070400030403</t>
  </si>
  <si>
    <t>Irish Valley-Waumaundee Creek</t>
  </si>
  <si>
    <t>070400030402</t>
  </si>
  <si>
    <t>Little Waumaundee Creek</t>
  </si>
  <si>
    <t>070500051006</t>
  </si>
  <si>
    <t>Missouri Creek</t>
  </si>
  <si>
    <t>070500051007</t>
  </si>
  <si>
    <t>Arkansaw Creek</t>
  </si>
  <si>
    <t>0705000710</t>
  </si>
  <si>
    <t>070500071006</t>
  </si>
  <si>
    <t>Irving Creek-Red Cedar River</t>
  </si>
  <si>
    <t>070500051005</t>
  </si>
  <si>
    <t>Knights Creek</t>
  </si>
  <si>
    <t>070500051002</t>
  </si>
  <si>
    <t>Lousy Creek-Eau Galle River</t>
  </si>
  <si>
    <t>Crystal Springs Coulee-Rush River</t>
  </si>
  <si>
    <t>070700050901</t>
  </si>
  <si>
    <t>Upper Bear Creek</t>
  </si>
  <si>
    <t>070400040204</t>
  </si>
  <si>
    <t>Masten Creek-South Branch Middle Fork Zumbro River</t>
  </si>
  <si>
    <t>070400030401</t>
  </si>
  <si>
    <t>Danuser Valley-Waumaundee River</t>
  </si>
  <si>
    <t>070400010302</t>
  </si>
  <si>
    <t>Little Trimbelle River</t>
  </si>
  <si>
    <t>070400010101</t>
  </si>
  <si>
    <t>Big River</t>
  </si>
  <si>
    <t>0706000303</t>
  </si>
  <si>
    <t>070600030301</t>
  </si>
  <si>
    <t>Rattlesnake Creek</t>
  </si>
  <si>
    <t>Feather Island-Wisconsin River</t>
  </si>
  <si>
    <t>070700051706</t>
  </si>
  <si>
    <t>0706000305</t>
  </si>
  <si>
    <t>070600030503</t>
  </si>
  <si>
    <t>Platte River</t>
  </si>
  <si>
    <t>Bull Branch-Platte River</t>
  </si>
  <si>
    <t>070700051403</t>
  </si>
  <si>
    <t>Middle Fennimore Creek</t>
  </si>
  <si>
    <t>070700051402</t>
  </si>
  <si>
    <t>Upper Fennimore Creek</t>
  </si>
  <si>
    <t>070600030502</t>
  </si>
  <si>
    <t>Crow Branch-Platte River</t>
  </si>
  <si>
    <t>070700051704</t>
  </si>
  <si>
    <t>Sanders Creek</t>
  </si>
  <si>
    <t>0706000304</t>
  </si>
  <si>
    <t>070600030402</t>
  </si>
  <si>
    <t>Little Platte River</t>
  </si>
  <si>
    <t>070600030405</t>
  </si>
  <si>
    <t>Upper Little Platte River</t>
  </si>
  <si>
    <t>070600030505</t>
  </si>
  <si>
    <t>Culver Branch-Platte River</t>
  </si>
  <si>
    <t>0704000403</t>
  </si>
  <si>
    <t>070400040305</t>
  </si>
  <si>
    <t>Harcom Creek-Middle Fork Zumbro River</t>
  </si>
  <si>
    <t>070600030703</t>
  </si>
  <si>
    <t>0706000409</t>
  </si>
  <si>
    <t>070600040904</t>
  </si>
  <si>
    <t>Bluebell Creek-Turkey River</t>
  </si>
  <si>
    <t>Middle Little Platte River</t>
  </si>
  <si>
    <t>070600040903</t>
  </si>
  <si>
    <t>Cherry Valley-Little Turkey River</t>
  </si>
  <si>
    <t>0706000408</t>
  </si>
  <si>
    <t>070600040801</t>
  </si>
  <si>
    <t>070600040802</t>
  </si>
  <si>
    <t>Headwaters Elk Creek</t>
  </si>
  <si>
    <t>070600030403</t>
  </si>
  <si>
    <t>Snowden Branch</t>
  </si>
  <si>
    <t>070400040504</t>
  </si>
  <si>
    <t>City of Zumbro Falls-Zumbro River</t>
  </si>
  <si>
    <t>070700060303</t>
  </si>
  <si>
    <t>Warner Creek</t>
  </si>
  <si>
    <t>Middle Yellow River</t>
  </si>
  <si>
    <t>0702001208</t>
  </si>
  <si>
    <t>070200120806</t>
  </si>
  <si>
    <t>Porter Creek</t>
  </si>
  <si>
    <t>0712000610</t>
  </si>
  <si>
    <t>071200061003</t>
  </si>
  <si>
    <t>Palmer Creek-Fox River</t>
  </si>
  <si>
    <t>0701020606</t>
  </si>
  <si>
    <t>070102060605</t>
  </si>
  <si>
    <t>Minnehaha Creek</t>
  </si>
  <si>
    <t>Lock and Dam No 10-Mississippi River</t>
  </si>
  <si>
    <t>reset col references to HUC12 sheet</t>
  </si>
  <si>
    <t>Mississippi River</t>
  </si>
  <si>
    <t>North Branch Pine Creek</t>
  </si>
  <si>
    <t>Rossman Creek</t>
  </si>
  <si>
    <t>Little Waumandee Creek</t>
  </si>
  <si>
    <t>Harkcom Creek</t>
  </si>
  <si>
    <t>Holmes Creek</t>
  </si>
  <si>
    <t>Botana Valley</t>
  </si>
  <si>
    <t>Meyers Valley</t>
  </si>
  <si>
    <t>Doelle Valley</t>
  </si>
  <si>
    <t>Irving Creek</t>
  </si>
  <si>
    <t>Lousy Creek</t>
  </si>
  <si>
    <t>North Branch Knights Creek</t>
  </si>
  <si>
    <t>Porcupine Creek</t>
  </si>
  <si>
    <t>Ensign Creek</t>
  </si>
  <si>
    <t>Peck Creek</t>
  </si>
  <si>
    <t>Cow Branch</t>
  </si>
  <si>
    <t>Brownfield Creek</t>
  </si>
  <si>
    <t>Fountain Springs Creek</t>
  </si>
  <si>
    <t>Rountree Branch</t>
  </si>
  <si>
    <t>Chase Creek</t>
  </si>
  <si>
    <t>Pecatonica River</t>
  </si>
  <si>
    <t>Mount Vernon Creek</t>
  </si>
  <si>
    <t>Flynn Creek</t>
  </si>
  <si>
    <t>Baker Creek</t>
  </si>
  <si>
    <t>Caswell Hollow</t>
  </si>
  <si>
    <t>Indian Creek</t>
  </si>
  <si>
    <t>Happy Hollow</t>
  </si>
  <si>
    <t>McCarville Creek</t>
  </si>
  <si>
    <t>Marble Creek</t>
  </si>
  <si>
    <t>Long Hollow</t>
  </si>
  <si>
    <t>Sleepy Hollow</t>
  </si>
  <si>
    <t>Hoosier Hollow</t>
  </si>
  <si>
    <t>Smoky Hollow Creek</t>
  </si>
  <si>
    <t>Coon Valley</t>
  </si>
  <si>
    <t>Fennimore Fork</t>
  </si>
  <si>
    <t>Cave Hollow Creek</t>
  </si>
  <si>
    <t>Crosse River</t>
  </si>
  <si>
    <t>Years</t>
  </si>
  <si>
    <t>2019-2024</t>
  </si>
  <si>
    <t>n/a</t>
  </si>
  <si>
    <t>Recorded</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</si>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</sst>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0.0"/>
    <numFmt numFmtId="166" formatCode="m/d/yy;@"/>
    <numFmt numFmtId="167" formatCode="0.0%"/>
  </numFmts>
  <fonts count="71" x14ac:knownFonts="1">
    <font>
      <sz val="11"/>
      <color theme="1"/>
      <name val="Calibri"/>
      <family val="2"/>
      <scheme val="minor"/>
    </font>
    <font>
      <sz val="11"/>
      <color theme="1"/>
      <name val="Calibri"/>
      <family val="2"/>
      <scheme val="minor"/>
    </font>
    <font>
      <b/>
      <sz val="11"/>
      <color theme="1"/>
      <name val="Calibri"/>
      <family val="2"/>
      <scheme val="minor"/>
    </font>
    <font>
      <b/>
      <sz val="10"/>
      <color rgb="FF0070C0"/>
      <name val="Calibri"/>
      <family val="2"/>
      <scheme val="minor"/>
    </font>
    <font>
      <i/>
      <sz val="11"/>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u/>
      <sz val="14"/>
      <color rgb="FF00B050"/>
      <name val="Arial Black"/>
      <family val="2"/>
    </font>
    <font>
      <b/>
      <sz val="12"/>
      <color rgb="FF0070C0"/>
      <name val="Calibri"/>
      <family val="2"/>
      <scheme val="minor"/>
    </font>
    <font>
      <sz val="14"/>
      <color theme="1"/>
      <name val="Calibri"/>
      <family val="2"/>
      <scheme val="minor"/>
    </font>
    <font>
      <b/>
      <u/>
      <sz val="12"/>
      <color rgb="FFC00000"/>
      <name val="Calibri"/>
      <family val="2"/>
      <scheme val="minor"/>
    </font>
    <font>
      <sz val="9"/>
      <color indexed="81"/>
      <name val="Tahoma"/>
      <family val="2"/>
    </font>
    <font>
      <b/>
      <sz val="9"/>
      <color indexed="81"/>
      <name val="Tahoma"/>
      <family val="2"/>
    </font>
    <font>
      <b/>
      <u/>
      <sz val="9"/>
      <color indexed="81"/>
      <name val="Tahoma"/>
      <family val="2"/>
    </font>
    <font>
      <i/>
      <sz val="9"/>
      <color indexed="81"/>
      <name val="Tahoma"/>
      <family val="2"/>
    </font>
    <font>
      <sz val="10"/>
      <color theme="1" tint="0.34998626667073579"/>
      <name val="Calibri"/>
      <family val="2"/>
      <scheme val="minor"/>
    </font>
    <font>
      <sz val="8"/>
      <name val="Calibri"/>
      <family val="2"/>
      <scheme val="minor"/>
    </font>
    <font>
      <sz val="11"/>
      <color theme="0" tint="-0.249977111117893"/>
      <name val="Calibri"/>
      <family val="2"/>
      <scheme val="minor"/>
    </font>
    <font>
      <sz val="11"/>
      <color theme="0"/>
      <name val="Calibri"/>
      <family val="2"/>
      <scheme val="minor"/>
    </font>
    <font>
      <b/>
      <sz val="10"/>
      <color theme="0"/>
      <name val="Calibri"/>
      <family val="2"/>
      <scheme val="minor"/>
    </font>
    <font>
      <b/>
      <sz val="11"/>
      <color theme="0"/>
      <name val="Calibri"/>
      <family val="2"/>
      <scheme val="minor"/>
    </font>
    <font>
      <b/>
      <u/>
      <sz val="12"/>
      <color rgb="FF0070C0"/>
      <name val="Calibri"/>
      <family val="2"/>
      <scheme val="minor"/>
    </font>
    <font>
      <sz val="11"/>
      <color rgb="FF0070C0"/>
      <name val="Calibri"/>
      <family val="2"/>
      <scheme val="minor"/>
    </font>
    <font>
      <sz val="9"/>
      <color theme="1"/>
      <name val="Calibri"/>
      <family val="2"/>
      <scheme val="minor"/>
    </font>
    <font>
      <b/>
      <i/>
      <sz val="9"/>
      <color theme="1"/>
      <name val="Calibri"/>
      <family val="2"/>
      <scheme val="minor"/>
    </font>
    <font>
      <sz val="11"/>
      <color theme="0" tint="-0.14999847407452621"/>
      <name val="Calibri"/>
      <family val="2"/>
      <scheme val="minor"/>
    </font>
    <font>
      <b/>
      <sz val="12"/>
      <color theme="0"/>
      <name val="Calibri"/>
      <family val="2"/>
      <scheme val="minor"/>
    </font>
    <font>
      <b/>
      <sz val="16"/>
      <color theme="0"/>
      <name val="Calibri"/>
      <family val="2"/>
      <scheme val="minor"/>
    </font>
    <font>
      <sz val="11"/>
      <name val="Calibri"/>
      <family val="2"/>
      <scheme val="minor"/>
    </font>
    <font>
      <b/>
      <u/>
      <sz val="16"/>
      <color theme="0"/>
      <name val="Calibri"/>
      <family val="2"/>
      <scheme val="minor"/>
    </font>
    <font>
      <b/>
      <u/>
      <sz val="11"/>
      <color theme="1"/>
      <name val="Calibri"/>
      <family val="2"/>
      <scheme val="minor"/>
    </font>
    <font>
      <sz val="11"/>
      <color rgb="FFFF0000"/>
      <name val="Calibri"/>
      <family val="2"/>
      <scheme val="minor"/>
    </font>
    <font>
      <b/>
      <u/>
      <sz val="20"/>
      <color theme="0"/>
      <name val="Calibri"/>
      <family val="2"/>
      <scheme val="minor"/>
    </font>
    <font>
      <u/>
      <sz val="14"/>
      <color theme="1"/>
      <name val="Calibri"/>
      <family val="2"/>
      <scheme val="minor"/>
    </font>
    <font>
      <b/>
      <sz val="14"/>
      <color theme="0"/>
      <name val="Calibri"/>
      <family val="2"/>
      <scheme val="minor"/>
    </font>
    <font>
      <b/>
      <i/>
      <sz val="11"/>
      <color rgb="FF0070C0"/>
      <name val="Calibri"/>
      <family val="2"/>
      <scheme val="minor"/>
    </font>
    <font>
      <sz val="10"/>
      <name val="Arial"/>
      <family val="2"/>
    </font>
    <font>
      <i/>
      <sz val="11"/>
      <color rgb="FF0070C0"/>
      <name val="Calibri"/>
      <family val="2"/>
      <scheme val="minor"/>
    </font>
    <font>
      <b/>
      <sz val="11"/>
      <color rgb="FF00B050"/>
      <name val="Calibri"/>
      <family val="2"/>
      <scheme val="minor"/>
    </font>
    <font>
      <sz val="9"/>
      <color rgb="FF000000"/>
      <name val="Calibri"/>
      <family val="2"/>
      <scheme val="minor"/>
    </font>
    <font>
      <sz val="14"/>
      <color theme="0"/>
      <name val="Calibri"/>
      <family val="2"/>
      <scheme val="minor"/>
    </font>
    <font>
      <u/>
      <sz val="14"/>
      <color theme="0"/>
      <name val="Calibri"/>
      <family val="2"/>
      <scheme val="minor"/>
    </font>
    <font>
      <b/>
      <sz val="10"/>
      <color rgb="FF000000"/>
      <name val="Calibri"/>
      <family val="2"/>
    </font>
    <font>
      <sz val="9"/>
      <color theme="1"/>
      <name val="Century Gothic"/>
      <family val="2"/>
    </font>
    <font>
      <sz val="10"/>
      <color rgb="FF000000"/>
      <name val="Calibri"/>
      <family val="2"/>
    </font>
    <font>
      <sz val="9"/>
      <color rgb="FF000000"/>
      <name val="Calibri"/>
      <family val="2"/>
    </font>
    <font>
      <sz val="10"/>
      <name val="Calibri"/>
      <family val="2"/>
      <scheme val="minor"/>
    </font>
    <font>
      <b/>
      <u/>
      <sz val="14"/>
      <color theme="0"/>
      <name val="Calibri"/>
      <family val="2"/>
      <scheme val="minor"/>
    </font>
    <font>
      <sz val="9"/>
      <color theme="0" tint="-0.499984740745262"/>
      <name val="Calibri"/>
      <family val="2"/>
      <scheme val="minor"/>
    </font>
    <font>
      <b/>
      <sz val="11"/>
      <color rgb="FF3F3F3F"/>
      <name val="Calibri"/>
      <family val="2"/>
      <scheme val="minor"/>
    </font>
    <font>
      <sz val="10"/>
      <color rgb="FF0070C0"/>
      <name val="Calibri"/>
      <family val="2"/>
      <scheme val="minor"/>
    </font>
    <font>
      <sz val="10"/>
      <color theme="1"/>
      <name val="Times New Roman"/>
      <family val="1"/>
    </font>
    <font>
      <sz val="11"/>
      <color rgb="FF000000"/>
      <name val="Calibri"/>
      <family val="2"/>
    </font>
    <font>
      <sz val="11"/>
      <name val="Calibri"/>
      <family val="2"/>
    </font>
    <font>
      <b/>
      <sz val="11"/>
      <color theme="0" tint="-0.34998626667073579"/>
      <name val="Calibri"/>
      <family val="2"/>
      <scheme val="minor"/>
    </font>
    <font>
      <sz val="11"/>
      <color theme="0" tint="-0.34998626667073579"/>
      <name val="Calibri"/>
      <family val="2"/>
      <scheme val="minor"/>
    </font>
    <font>
      <sz val="11"/>
      <color rgb="FFC00000"/>
      <name val="Calibri"/>
      <family val="2"/>
      <scheme val="minor"/>
    </font>
    <font>
      <b/>
      <sz val="11"/>
      <name val="Calibri"/>
      <family val="2"/>
      <scheme val="minor"/>
    </font>
    <font>
      <b/>
      <sz val="10"/>
      <color theme="0" tint="-0.34998626667073579"/>
      <name val="Calibri"/>
      <family val="2"/>
    </font>
    <font>
      <sz val="10"/>
      <color theme="0" tint="-0.34998626667073579"/>
      <name val="Calibri"/>
      <family val="2"/>
    </font>
    <font>
      <sz val="10"/>
      <color theme="0" tint="-0.34998626667073579"/>
      <name val="Times New Roman"/>
      <family val="1"/>
    </font>
    <font>
      <b/>
      <sz val="16"/>
      <color theme="0" tint="-0.34998626667073579"/>
      <name val="Calibri"/>
      <family val="2"/>
      <scheme val="minor"/>
    </font>
    <font>
      <sz val="10"/>
      <color theme="0" tint="-0.14999847407452621"/>
      <name val="Calibri"/>
      <family val="2"/>
    </font>
    <font>
      <i/>
      <sz val="10"/>
      <color theme="1"/>
      <name val="Calibri"/>
      <family val="2"/>
      <scheme val="minor"/>
    </font>
    <font>
      <b/>
      <i/>
      <sz val="11"/>
      <color theme="0"/>
      <name val="Calibri"/>
      <family val="2"/>
      <scheme val="minor"/>
    </font>
    <font>
      <sz val="11"/>
      <color theme="2" tint="-0.499984740745262"/>
      <name val="Calibri"/>
      <family val="2"/>
      <scheme val="minor"/>
    </font>
    <font>
      <b/>
      <sz val="10"/>
      <name val="Calibri"/>
      <family val="2"/>
    </font>
    <font>
      <sz val="10"/>
      <name val="Calibri"/>
      <family val="2"/>
    </font>
    <font>
      <sz val="10"/>
      <color theme="0" tint="-0.14999847407452621"/>
      <name val="Calibri"/>
      <family val="2"/>
      <scheme val="minor"/>
    </font>
    <font>
      <b/>
      <sz val="10"/>
      <color theme="1" tint="0.34998626667073579"/>
      <name val="Calibri"/>
      <family val="2"/>
      <scheme val="minor"/>
    </font>
  </fonts>
  <fills count="24">
    <fill>
      <patternFill patternType="none"/>
    </fill>
    <fill>
      <patternFill patternType="gray125"/>
    </fill>
    <fill>
      <patternFill patternType="solid">
        <fgColor rgb="FFFFFFCC"/>
      </patternFill>
    </fill>
    <fill>
      <patternFill patternType="solid">
        <fgColor theme="4" tint="0.79998168889431442"/>
        <bgColor theme="4" tint="0.79998168889431442"/>
      </patternFill>
    </fill>
    <fill>
      <patternFill patternType="solid">
        <fgColor rgb="FFFFFFCC"/>
        <bgColor indexed="64"/>
      </patternFill>
    </fill>
    <fill>
      <patternFill patternType="solid">
        <fgColor theme="9"/>
        <bgColor theme="9"/>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bgColor theme="4"/>
      </patternFill>
    </fill>
    <fill>
      <patternFill patternType="solid">
        <fgColor theme="4" tint="0.59996337778862885"/>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B4C6E7"/>
        <bgColor indexed="64"/>
      </patternFill>
    </fill>
    <fill>
      <patternFill patternType="solid">
        <fgColor rgb="FFDAEEF3"/>
        <bgColor indexed="64"/>
      </patternFill>
    </fill>
    <fill>
      <patternFill patternType="solid">
        <fgColor theme="9" tint="0.79998168889431442"/>
        <bgColor indexed="64"/>
      </patternFill>
    </fill>
    <fill>
      <patternFill patternType="solid">
        <fgColor rgb="FFF2F2F2"/>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bgColor indexed="64"/>
      </patternFill>
    </fill>
    <fill>
      <patternFill patternType="solid">
        <fgColor theme="7" tint="0.59999389629810485"/>
        <bgColor indexed="64"/>
      </patternFill>
    </fill>
  </fills>
  <borders count="113">
    <border>
      <left/>
      <right/>
      <top/>
      <bottom/>
      <diagonal/>
    </border>
    <border>
      <left style="thin">
        <color rgb="FFB2B2B2"/>
      </left>
      <right style="thin">
        <color rgb="FFB2B2B2"/>
      </right>
      <top style="thin">
        <color rgb="FFB2B2B2"/>
      </top>
      <bottom style="thin">
        <color rgb="FFB2B2B2"/>
      </bottom>
      <diagonal/>
    </border>
    <border>
      <left style="thin">
        <color indexed="64"/>
      </left>
      <right/>
      <top/>
      <bottom/>
      <diagonal/>
    </border>
    <border>
      <left/>
      <right style="thin">
        <color indexed="64"/>
      </right>
      <top/>
      <bottom/>
      <diagonal/>
    </border>
    <border>
      <left/>
      <right/>
      <top/>
      <bottom style="thin">
        <color theme="4" tint="0.39997558519241921"/>
      </bottom>
      <diagonal/>
    </border>
    <border>
      <left style="thin">
        <color theme="7" tint="0.59996337778862885"/>
      </left>
      <right style="thin">
        <color theme="7" tint="0.59996337778862885"/>
      </right>
      <top style="thin">
        <color theme="7" tint="0.59996337778862885"/>
      </top>
      <bottom style="thin">
        <color theme="7" tint="0.59996337778862885"/>
      </bottom>
      <diagonal/>
    </border>
    <border>
      <left/>
      <right style="thin">
        <color indexed="64"/>
      </right>
      <top style="thin">
        <color indexed="64"/>
      </top>
      <bottom/>
      <diagonal/>
    </border>
    <border>
      <left/>
      <right/>
      <top style="thin">
        <color indexed="64"/>
      </top>
      <bottom/>
      <diagonal/>
    </border>
    <border>
      <left/>
      <right/>
      <top style="double">
        <color auto="1"/>
      </top>
      <bottom style="thin">
        <color auto="1"/>
      </bottom>
      <diagonal/>
    </border>
    <border>
      <left/>
      <right/>
      <top style="thin">
        <color indexed="64"/>
      </top>
      <bottom style="double">
        <color indexed="64"/>
      </bottom>
      <diagonal/>
    </border>
    <border>
      <left/>
      <right/>
      <top/>
      <bottom style="double">
        <color indexed="64"/>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top style="thin">
        <color theme="4" tint="0.39997558519241921"/>
      </top>
      <bottom/>
      <diagonal/>
    </border>
    <border>
      <left style="thin">
        <color theme="0" tint="-0.2499465926084170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indexed="64"/>
      </right>
      <top style="thin">
        <color theme="4" tint="0.39997558519241921"/>
      </top>
      <bottom style="thin">
        <color theme="4" tint="0.39997558519241921"/>
      </bottom>
      <diagonal/>
    </border>
    <border>
      <left/>
      <right/>
      <top/>
      <bottom style="thin">
        <color indexed="64"/>
      </bottom>
      <diagonal/>
    </border>
    <border>
      <left/>
      <right/>
      <top style="double">
        <color auto="1"/>
      </top>
      <bottom/>
      <diagonal/>
    </border>
    <border>
      <left style="thin">
        <color indexed="64"/>
      </left>
      <right/>
      <top/>
      <bottom style="thin">
        <color auto="1"/>
      </bottom>
      <diagonal/>
    </border>
    <border>
      <left/>
      <right style="thin">
        <color indexed="64"/>
      </right>
      <top/>
      <bottom style="thin">
        <color auto="1"/>
      </bottom>
      <diagonal/>
    </border>
    <border>
      <left/>
      <right style="thin">
        <color indexed="64"/>
      </right>
      <top/>
      <bottom style="double">
        <color indexed="64"/>
      </bottom>
      <diagonal/>
    </border>
    <border>
      <left style="thin">
        <color indexed="64"/>
      </left>
      <right/>
      <top/>
      <bottom style="double">
        <color indexed="64"/>
      </bottom>
      <diagonal/>
    </border>
    <border>
      <left/>
      <right/>
      <top/>
      <bottom style="thin">
        <color theme="0" tint="-0.34998626667073579"/>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indexed="64"/>
      </right>
      <top style="thin">
        <color theme="4" tint="0.39997558519241921"/>
      </top>
      <bottom/>
      <diagonal/>
    </border>
    <border>
      <left/>
      <right/>
      <top style="thin">
        <color rgb="FFB2B2B2"/>
      </top>
      <bottom style="thin">
        <color rgb="FFB2B2B2"/>
      </bottom>
      <diagonal/>
    </border>
    <border>
      <left/>
      <right style="thin">
        <color indexed="64"/>
      </right>
      <top style="thin">
        <color rgb="FFB2B2B2"/>
      </top>
      <bottom style="thin">
        <color rgb="FFB2B2B2"/>
      </bottom>
      <diagonal/>
    </border>
    <border>
      <left/>
      <right/>
      <top style="thin">
        <color rgb="FFB2B2B2"/>
      </top>
      <bottom/>
      <diagonal/>
    </border>
    <border>
      <left/>
      <right style="thin">
        <color theme="9" tint="0.39997558519241921"/>
      </right>
      <top style="thin">
        <color theme="9" tint="0.39997558519241921"/>
      </top>
      <bottom style="thin">
        <color theme="9" tint="0.39997558519241921"/>
      </bottom>
      <diagonal/>
    </border>
    <border>
      <left/>
      <right/>
      <top style="thin">
        <color theme="4" tint="0.39997558519241921"/>
      </top>
      <bottom style="thin">
        <color rgb="FFB2B2B2"/>
      </bottom>
      <diagonal/>
    </border>
    <border>
      <left style="thin">
        <color indexed="64"/>
      </left>
      <right/>
      <top style="thin">
        <color theme="4" tint="0.39997558519241921"/>
      </top>
      <bottom style="thin">
        <color rgb="FFB2B2B2"/>
      </bottom>
      <diagonal/>
    </border>
    <border>
      <left style="thin">
        <color indexed="64"/>
      </left>
      <right/>
      <top style="thin">
        <color rgb="FFB2B2B2"/>
      </top>
      <bottom style="thin">
        <color rgb="FFB2B2B2"/>
      </bottom>
      <diagonal/>
    </border>
    <border>
      <left style="thin">
        <color theme="4" tint="0.59996337778862885"/>
      </left>
      <right style="thin">
        <color theme="4" tint="0.59996337778862885"/>
      </right>
      <top/>
      <bottom/>
      <diagonal/>
    </border>
    <border>
      <left style="thin">
        <color theme="4" tint="0.59996337778862885"/>
      </left>
      <right style="thin">
        <color theme="4" tint="0.59996337778862885"/>
      </right>
      <top style="thin">
        <color theme="9" tint="0.39997558519241921"/>
      </top>
      <bottom style="thin">
        <color theme="9" tint="0.39997558519241921"/>
      </bottom>
      <diagonal/>
    </border>
    <border>
      <left/>
      <right/>
      <top style="thin">
        <color indexed="64"/>
      </top>
      <bottom style="thin">
        <color indexed="64"/>
      </bottom>
      <diagonal/>
    </border>
    <border>
      <left/>
      <right/>
      <top style="thin">
        <color theme="8" tint="0.39994506668294322"/>
      </top>
      <bottom/>
      <diagonal/>
    </border>
    <border>
      <left/>
      <right/>
      <top/>
      <bottom style="thin">
        <color theme="8" tint="0.39994506668294322"/>
      </bottom>
      <diagonal/>
    </border>
    <border>
      <left style="thin">
        <color rgb="FF0070C0"/>
      </left>
      <right/>
      <top style="double">
        <color auto="1"/>
      </top>
      <bottom style="thin">
        <color auto="1"/>
      </bottom>
      <diagonal/>
    </border>
    <border>
      <left/>
      <right style="thin">
        <color rgb="FF0070C0"/>
      </right>
      <top style="double">
        <color auto="1"/>
      </top>
      <bottom style="thin">
        <color auto="1"/>
      </bottom>
      <diagonal/>
    </border>
    <border>
      <left style="thin">
        <color rgb="FF0070C0"/>
      </left>
      <right/>
      <top/>
      <bottom/>
      <diagonal/>
    </border>
    <border>
      <left/>
      <right style="thin">
        <color rgb="FF0070C0"/>
      </right>
      <top/>
      <bottom/>
      <diagonal/>
    </border>
    <border>
      <left style="thin">
        <color rgb="FF0070C0"/>
      </left>
      <right/>
      <top/>
      <bottom style="double">
        <color indexed="64"/>
      </bottom>
      <diagonal/>
    </border>
    <border>
      <left/>
      <right style="thin">
        <color rgb="FF0070C0"/>
      </right>
      <top/>
      <bottom style="double">
        <color indexed="64"/>
      </bottom>
      <diagonal/>
    </border>
    <border>
      <left/>
      <right/>
      <top style="thin">
        <color theme="8" tint="-0.24994659260841701"/>
      </top>
      <bottom/>
      <diagonal/>
    </border>
    <border>
      <left/>
      <right/>
      <top/>
      <bottom style="thin">
        <color theme="8" tint="-0.24994659260841701"/>
      </bottom>
      <diagonal/>
    </border>
    <border>
      <left/>
      <right/>
      <top style="thin">
        <color theme="8" tint="0.39994506668294322"/>
      </top>
      <bottom style="thin">
        <color theme="8" tint="-0.24994659260841701"/>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style="thin">
        <color indexed="64"/>
      </top>
      <bottom style="thin">
        <color indexed="64"/>
      </bottom>
      <diagonal/>
    </border>
    <border>
      <left/>
      <right style="thin">
        <color theme="8" tint="-0.24994659260841701"/>
      </right>
      <top style="thin">
        <color indexed="64"/>
      </top>
      <bottom style="thin">
        <color indexed="64"/>
      </bottom>
      <diagonal/>
    </border>
    <border>
      <left style="thin">
        <color theme="8" tint="-0.24994659260841701"/>
      </left>
      <right/>
      <top style="thin">
        <color indexed="64"/>
      </top>
      <bottom/>
      <diagonal/>
    </border>
    <border>
      <left style="thin">
        <color theme="8" tint="-0.24994659260841701"/>
      </left>
      <right/>
      <top style="thin">
        <color theme="8" tint="0.39994506668294322"/>
      </top>
      <bottom style="thin">
        <color theme="8" tint="-0.24994659260841701"/>
      </bottom>
      <diagonal/>
    </border>
    <border>
      <left/>
      <right style="thin">
        <color theme="8" tint="-0.24994659260841701"/>
      </right>
      <top style="thin">
        <color theme="8" tint="0.39994506668294322"/>
      </top>
      <bottom style="thin">
        <color theme="8" tint="-0.24994659260841701"/>
      </bottom>
      <diagonal/>
    </border>
    <border>
      <left style="thin">
        <color theme="8" tint="-0.24994659260841701"/>
      </left>
      <right/>
      <top/>
      <bottom style="thin">
        <color theme="8" tint="-0.24994659260841701"/>
      </bottom>
      <diagonal/>
    </border>
    <border>
      <left/>
      <right style="thin">
        <color theme="8" tint="-0.24994659260841701"/>
      </right>
      <top/>
      <bottom style="thin">
        <color theme="8" tint="-0.24994659260841701"/>
      </bottom>
      <diagonal/>
    </border>
    <border>
      <left style="thin">
        <color theme="8" tint="-0.24994659260841701"/>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style="thin">
        <color theme="8" tint="0.39994506668294322"/>
      </bottom>
      <diagonal/>
    </border>
    <border>
      <left/>
      <right style="thin">
        <color theme="8" tint="-0.24994659260841701"/>
      </right>
      <top/>
      <bottom style="thin">
        <color theme="8" tint="0.39994506668294322"/>
      </bottom>
      <diagonal/>
    </border>
    <border>
      <left style="thin">
        <color rgb="FF3F3F3F"/>
      </left>
      <right style="thin">
        <color rgb="FF3F3F3F"/>
      </right>
      <top style="thin">
        <color rgb="FF3F3F3F"/>
      </top>
      <bottom style="thin">
        <color rgb="FF3F3F3F"/>
      </bottom>
      <diagonal/>
    </border>
    <border>
      <left/>
      <right/>
      <top/>
      <bottom style="medium">
        <color auto="1"/>
      </bottom>
      <diagonal/>
    </border>
    <border>
      <left style="thin">
        <color theme="1" tint="0.499984740745262"/>
      </left>
      <right/>
      <top/>
      <bottom/>
      <diagonal/>
    </border>
    <border>
      <left style="thin">
        <color theme="1" tint="0.499984740745262"/>
      </left>
      <right/>
      <top/>
      <bottom style="medium">
        <color auto="1"/>
      </bottom>
      <diagonal/>
    </border>
    <border>
      <left/>
      <right/>
      <top/>
      <bottom style="thin">
        <color theme="1" tint="0.499984740745262"/>
      </bottom>
      <diagonal/>
    </border>
    <border>
      <left style="thin">
        <color theme="1" tint="0.499984740745262"/>
      </left>
      <right/>
      <top/>
      <bottom style="thin">
        <color theme="1" tint="0.499984740745262"/>
      </bottom>
      <diagonal/>
    </border>
    <border>
      <left/>
      <right style="medium">
        <color rgb="FF305496"/>
      </right>
      <top style="double">
        <color indexed="64"/>
      </top>
      <bottom/>
      <diagonal/>
    </border>
    <border>
      <left style="medium">
        <color rgb="FF305496"/>
      </left>
      <right/>
      <top/>
      <bottom/>
      <diagonal/>
    </border>
    <border>
      <left/>
      <right style="medium">
        <color rgb="FF305496"/>
      </right>
      <top/>
      <bottom/>
      <diagonal/>
    </border>
    <border>
      <left style="medium">
        <color rgb="FF305496"/>
      </left>
      <right/>
      <top/>
      <bottom style="double">
        <color indexed="64"/>
      </bottom>
      <diagonal/>
    </border>
    <border>
      <left/>
      <right style="medium">
        <color rgb="FF305496"/>
      </right>
      <top/>
      <bottom style="double">
        <color indexed="64"/>
      </bottom>
      <diagonal/>
    </border>
    <border>
      <left style="medium">
        <color rgb="FF305496"/>
      </left>
      <right/>
      <top style="double">
        <color auto="1"/>
      </top>
      <bottom/>
      <diagonal/>
    </border>
    <border>
      <left style="thin">
        <color indexed="64"/>
      </left>
      <right/>
      <top style="thin">
        <color rgb="FFB2B2B2"/>
      </top>
      <bottom/>
      <diagonal/>
    </border>
    <border>
      <left style="thin">
        <color theme="0" tint="-0.24994659260841701"/>
      </left>
      <right/>
      <top style="thin">
        <color rgb="FFB2B2B2"/>
      </top>
      <bottom style="thin">
        <color rgb="FFB2B2B2"/>
      </bottom>
      <diagonal/>
    </border>
    <border>
      <left style="thin">
        <color theme="0" tint="-0.24994659260841701"/>
      </left>
      <right/>
      <top style="thin">
        <color rgb="FFB2B2B2"/>
      </top>
      <bottom/>
      <diagonal/>
    </border>
    <border>
      <left style="medium">
        <color rgb="FF305496"/>
      </left>
      <right/>
      <top style="thin">
        <color indexed="64"/>
      </top>
      <bottom style="thin">
        <color indexed="64"/>
      </bottom>
      <diagonal/>
    </border>
    <border>
      <left/>
      <right style="medium">
        <color rgb="FF305496"/>
      </right>
      <top style="thin">
        <color indexed="64"/>
      </top>
      <bottom style="thin">
        <color indexed="64"/>
      </bottom>
      <diagonal/>
    </border>
    <border>
      <left style="medium">
        <color rgb="FF305496"/>
      </left>
      <right/>
      <top/>
      <bottom style="thin">
        <color indexed="64"/>
      </bottom>
      <diagonal/>
    </border>
    <border>
      <left/>
      <right style="medium">
        <color rgb="FF305496"/>
      </right>
      <top/>
      <bottom style="thin">
        <color indexed="64"/>
      </bottom>
      <diagonal/>
    </border>
    <border>
      <left style="thin">
        <color rgb="FFB2B2B2"/>
      </left>
      <right style="thin">
        <color rgb="FFB2B2B2"/>
      </right>
      <top/>
      <bottom style="thin">
        <color theme="4" tint="0.39997558519241921"/>
      </bottom>
      <diagonal/>
    </border>
    <border>
      <left style="thin">
        <color rgb="FFB2B2B2"/>
      </left>
      <right style="thin">
        <color rgb="FFB2B2B2"/>
      </right>
      <top style="thin">
        <color theme="4" tint="0.39997558519241921"/>
      </top>
      <bottom style="thin">
        <color theme="4" tint="0.39997558519241921"/>
      </bottom>
      <diagonal/>
    </border>
    <border>
      <left/>
      <right/>
      <top/>
      <bottom style="thin">
        <color rgb="FFB2B2B2"/>
      </bottom>
      <diagonal/>
    </border>
    <border>
      <left style="thin">
        <color indexed="64"/>
      </left>
      <right/>
      <top/>
      <bottom style="thin">
        <color theme="4" tint="0.39997558519241921"/>
      </bottom>
      <diagonal/>
    </border>
    <border>
      <left/>
      <right/>
      <top style="medium">
        <color auto="1"/>
      </top>
      <bottom/>
      <diagonal/>
    </border>
    <border>
      <left style="thin">
        <color theme="1" tint="0.499984740745262"/>
      </left>
      <right/>
      <top style="medium">
        <color auto="1"/>
      </top>
      <bottom/>
      <diagonal/>
    </border>
    <border>
      <left style="thin">
        <color theme="1" tint="0.499984740745262"/>
      </left>
      <right/>
      <top/>
      <bottom style="thin">
        <color theme="4" tint="0.39997558519241921"/>
      </bottom>
      <diagonal/>
    </border>
    <border>
      <left style="thin">
        <color indexed="64"/>
      </left>
      <right/>
      <top style="medium">
        <color auto="1"/>
      </top>
      <bottom/>
      <diagonal/>
    </border>
    <border>
      <left style="thin">
        <color indexed="64"/>
      </left>
      <right/>
      <top style="double">
        <color auto="1"/>
      </top>
      <bottom style="thin">
        <color auto="1"/>
      </bottom>
      <diagonal/>
    </border>
    <border>
      <left style="thin">
        <color indexed="64"/>
      </left>
      <right/>
      <top style="thin">
        <color indexed="64"/>
      </top>
      <bottom style="double">
        <color indexed="64"/>
      </bottom>
      <diagonal/>
    </border>
    <border>
      <left style="thin">
        <color indexed="64"/>
      </left>
      <right/>
      <top style="thin">
        <color auto="1"/>
      </top>
      <bottom/>
      <diagonal/>
    </border>
    <border>
      <left/>
      <right style="thin">
        <color theme="8" tint="-0.24994659260841701"/>
      </right>
      <top style="thin">
        <color indexed="64"/>
      </top>
      <bottom/>
      <diagonal/>
    </border>
    <border>
      <left/>
      <right/>
      <top/>
      <bottom style="thin">
        <color theme="4" tint="0.59996337778862885"/>
      </bottom>
      <diagonal/>
    </border>
    <border>
      <left/>
      <right style="thin">
        <color theme="8" tint="-0.24994659260841701"/>
      </right>
      <top/>
      <bottom style="thin">
        <color theme="4" tint="0.59996337778862885"/>
      </bottom>
      <diagonal/>
    </border>
    <border>
      <left style="thin">
        <color theme="8" tint="-0.24994659260841701"/>
      </left>
      <right/>
      <top style="thin">
        <color theme="8" tint="-0.24994659260841701"/>
      </top>
      <bottom style="thin">
        <color theme="8" tint="-0.24994659260841701"/>
      </bottom>
      <diagonal/>
    </border>
    <border>
      <left/>
      <right/>
      <top style="thin">
        <color theme="8" tint="-0.24994659260841701"/>
      </top>
      <bottom style="thin">
        <color theme="8" tint="-0.24994659260841701"/>
      </bottom>
      <diagonal/>
    </border>
    <border>
      <left/>
      <right style="thin">
        <color theme="8" tint="-0.24994659260841701"/>
      </right>
      <top style="thin">
        <color theme="8" tint="-0.24994659260841701"/>
      </top>
      <bottom style="thin">
        <color theme="8" tint="-0.24994659260841701"/>
      </bottom>
      <diagonal/>
    </border>
    <border>
      <left/>
      <right style="thin">
        <color indexed="64"/>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right/>
      <top/>
      <bottom style="thin">
        <color theme="4" tint="0.79998168889431442"/>
      </bottom>
      <diagonal/>
    </border>
    <border>
      <left style="thin">
        <color theme="8" tint="-0.24994659260841701"/>
      </left>
      <right/>
      <top/>
      <bottom style="thin">
        <color theme="4" tint="0.79998168889431442"/>
      </bottom>
      <diagonal/>
    </border>
    <border>
      <left/>
      <right style="thin">
        <color theme="8" tint="-0.24994659260841701"/>
      </right>
      <top/>
      <bottom style="thin">
        <color theme="4" tint="0.79998168889431442"/>
      </bottom>
      <diagonal/>
    </border>
    <border>
      <left/>
      <right/>
      <top style="thin">
        <color theme="4" tint="0.39994506668294322"/>
      </top>
      <bottom style="thin">
        <color indexed="64"/>
      </bottom>
      <diagonal/>
    </border>
    <border>
      <left style="thin">
        <color indexed="64"/>
      </left>
      <right/>
      <top style="thin">
        <color theme="4" tint="0.39994506668294322"/>
      </top>
      <bottom style="thin">
        <color indexed="64"/>
      </bottom>
      <diagonal/>
    </border>
    <border>
      <left style="thin">
        <color theme="8" tint="-0.24994659260841701"/>
      </left>
      <right/>
      <top style="thin">
        <color theme="4" tint="0.79998168889431442"/>
      </top>
      <bottom style="thin">
        <color theme="4" tint="0.39994506668294322"/>
      </bottom>
      <diagonal/>
    </border>
    <border>
      <left/>
      <right/>
      <top style="thin">
        <color theme="4" tint="0.79998168889431442"/>
      </top>
      <bottom style="thin">
        <color theme="4" tint="0.39994506668294322"/>
      </bottom>
      <diagonal/>
    </border>
    <border>
      <left style="thin">
        <color theme="0" tint="-0.24994659260841701"/>
      </left>
      <right/>
      <top style="thin">
        <color theme="4" tint="0.39997558519241921"/>
      </top>
      <bottom style="thin">
        <color rgb="FFB2B2B2"/>
      </bottom>
      <diagonal/>
    </border>
    <border>
      <left style="thin">
        <color theme="4" tint="0.39994506668294322"/>
      </left>
      <right style="thin">
        <color rgb="FFB2B2B2"/>
      </right>
      <top/>
      <bottom style="thin">
        <color theme="4" tint="0.39997558519241921"/>
      </bottom>
      <diagonal/>
    </border>
    <border>
      <left style="thin">
        <color theme="4" tint="0.39994506668294322"/>
      </left>
      <right style="thin">
        <color rgb="FFB2B2B2"/>
      </right>
      <top style="thin">
        <color theme="4" tint="0.39997558519241921"/>
      </top>
      <bottom style="thin">
        <color theme="4" tint="0.39997558519241921"/>
      </bottom>
      <diagonal/>
    </border>
  </borders>
  <cellStyleXfs count="7">
    <xf numFmtId="0" fontId="0" fillId="0" borderId="0"/>
    <xf numFmtId="0" fontId="1" fillId="2" borderId="1" applyNumberFormat="0" applyFont="0" applyAlignment="0" applyProtection="0"/>
    <xf numFmtId="9" fontId="1" fillId="0" borderId="0" applyFont="0" applyFill="0" applyBorder="0" applyAlignment="0" applyProtection="0"/>
    <xf numFmtId="0" fontId="37" fillId="0" borderId="0"/>
    <xf numFmtId="0" fontId="50" fillId="18" borderId="65" applyNumberFormat="0" applyAlignment="0" applyProtection="0"/>
    <xf numFmtId="0" fontId="54" fillId="0" borderId="0"/>
    <xf numFmtId="0" fontId="32" fillId="0" borderId="0" applyNumberFormat="0" applyFill="0" applyBorder="0" applyAlignment="0" applyProtection="0"/>
  </cellStyleXfs>
  <cellXfs count="563">
    <xf numFmtId="0" fontId="0" fillId="0" borderId="0" xfId="0"/>
    <xf numFmtId="0" fontId="0" fillId="0" borderId="0" xfId="0" applyAlignment="1">
      <alignment horizontal="center"/>
    </xf>
    <xf numFmtId="0" fontId="6" fillId="0" borderId="0" xfId="0" applyFont="1"/>
    <xf numFmtId="0" fontId="7" fillId="0" borderId="0" xfId="0" applyFont="1"/>
    <xf numFmtId="0" fontId="8" fillId="0" borderId="0" xfId="0" applyFont="1"/>
    <xf numFmtId="14" fontId="5" fillId="0" borderId="0" xfId="0" applyNumberFormat="1" applyFont="1" applyAlignment="1">
      <alignment horizontal="center"/>
    </xf>
    <xf numFmtId="0" fontId="0" fillId="0" borderId="0" xfId="0" applyAlignment="1">
      <alignment horizontal="center" wrapText="1"/>
    </xf>
    <xf numFmtId="0" fontId="0" fillId="0" borderId="0" xfId="0" applyAlignment="1">
      <alignment wrapText="1"/>
    </xf>
    <xf numFmtId="0" fontId="0" fillId="0" borderId="0" xfId="0" applyAlignment="1">
      <alignment horizontal="left"/>
    </xf>
    <xf numFmtId="0" fontId="10" fillId="0" borderId="0" xfId="0" applyFont="1" applyAlignment="1">
      <alignment horizontal="center"/>
    </xf>
    <xf numFmtId="0" fontId="9" fillId="0" borderId="0" xfId="0" applyFont="1" applyAlignment="1">
      <alignment wrapText="1"/>
    </xf>
    <xf numFmtId="0" fontId="11" fillId="0" borderId="0" xfId="0" applyFont="1"/>
    <xf numFmtId="0" fontId="16" fillId="0" borderId="0" xfId="0" applyFont="1"/>
    <xf numFmtId="0" fontId="2" fillId="0" borderId="0" xfId="0" applyFont="1"/>
    <xf numFmtId="0" fontId="0" fillId="0" borderId="9" xfId="0" applyBorder="1" applyAlignment="1">
      <alignment horizontal="center"/>
    </xf>
    <xf numFmtId="0" fontId="18" fillId="0" borderId="0" xfId="0" applyFont="1" applyAlignment="1">
      <alignment horizontal="center"/>
    </xf>
    <xf numFmtId="0" fontId="18" fillId="0" borderId="0" xfId="0" applyFont="1" applyAlignment="1">
      <alignment horizontal="center" wrapText="1"/>
    </xf>
    <xf numFmtId="1" fontId="0" fillId="0" borderId="0" xfId="0" applyNumberFormat="1" applyAlignment="1">
      <alignment horizontal="center"/>
    </xf>
    <xf numFmtId="0" fontId="0" fillId="0" borderId="0" xfId="0" applyAlignment="1">
      <alignment horizontal="right"/>
    </xf>
    <xf numFmtId="0" fontId="7" fillId="0" borderId="11" xfId="1" applyFont="1" applyFill="1" applyBorder="1" applyAlignment="1">
      <alignment horizontal="center"/>
    </xf>
    <xf numFmtId="9" fontId="0" fillId="0" borderId="0" xfId="2" applyFont="1" applyAlignment="1">
      <alignment horizontal="center"/>
    </xf>
    <xf numFmtId="0" fontId="22"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vertical="center"/>
    </xf>
    <xf numFmtId="14" fontId="3" fillId="0" borderId="0" xfId="0" applyNumberFormat="1" applyFont="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4" fillId="0" borderId="0" xfId="0" applyFont="1"/>
    <xf numFmtId="0" fontId="24" fillId="0" borderId="0" xfId="0" applyFont="1" applyAlignment="1">
      <alignment horizontal="center"/>
    </xf>
    <xf numFmtId="0" fontId="24" fillId="0" borderId="0" xfId="0" applyFont="1" applyAlignment="1">
      <alignment horizontal="left" wrapText="1"/>
    </xf>
    <xf numFmtId="1" fontId="24" fillId="0" borderId="0" xfId="0" applyNumberFormat="1" applyFont="1" applyAlignment="1">
      <alignment horizontal="center"/>
    </xf>
    <xf numFmtId="0" fontId="24" fillId="0" borderId="0" xfId="1" applyFont="1" applyFill="1" applyBorder="1" applyAlignment="1">
      <alignment horizontal="left"/>
    </xf>
    <xf numFmtId="14" fontId="24" fillId="4" borderId="5" xfId="0" applyNumberFormat="1" applyFont="1" applyFill="1" applyBorder="1" applyAlignment="1">
      <alignment horizontal="left"/>
    </xf>
    <xf numFmtId="0" fontId="25" fillId="0" borderId="0" xfId="0" applyFont="1" applyAlignment="1">
      <alignment horizontal="center"/>
    </xf>
    <xf numFmtId="1" fontId="24" fillId="4" borderId="5" xfId="0" applyNumberFormat="1" applyFont="1" applyFill="1" applyBorder="1" applyAlignment="1">
      <alignment horizontal="left"/>
    </xf>
    <xf numFmtId="0" fontId="24" fillId="0" borderId="11" xfId="1" applyFont="1" applyFill="1" applyBorder="1"/>
    <xf numFmtId="14" fontId="24" fillId="0" borderId="11" xfId="1" applyNumberFormat="1" applyFont="1" applyFill="1" applyBorder="1" applyAlignment="1">
      <alignment horizontal="center"/>
    </xf>
    <xf numFmtId="0" fontId="24" fillId="0" borderId="14" xfId="1" applyFont="1" applyFill="1" applyBorder="1" applyAlignment="1">
      <alignment horizontal="center"/>
    </xf>
    <xf numFmtId="0" fontId="24" fillId="0" borderId="11" xfId="1" applyFont="1" applyFill="1" applyBorder="1" applyAlignment="1">
      <alignment horizontal="center"/>
    </xf>
    <xf numFmtId="165" fontId="24" fillId="0" borderId="11" xfId="1" applyNumberFormat="1" applyFont="1" applyFill="1" applyBorder="1" applyAlignment="1">
      <alignment horizontal="center"/>
    </xf>
    <xf numFmtId="0" fontId="24" fillId="0" borderId="0" xfId="0" applyFont="1" applyAlignment="1">
      <alignment horizontal="center" wrapText="1"/>
    </xf>
    <xf numFmtId="0" fontId="19" fillId="0" borderId="0" xfId="0" applyFont="1" applyAlignment="1">
      <alignment wrapText="1"/>
    </xf>
    <xf numFmtId="14" fontId="0" fillId="0" borderId="0" xfId="0" applyNumberFormat="1" applyAlignment="1">
      <alignment horizontal="center"/>
    </xf>
    <xf numFmtId="0" fontId="2" fillId="0" borderId="0" xfId="0" applyFont="1" applyAlignment="1">
      <alignment wrapText="1"/>
    </xf>
    <xf numFmtId="0" fontId="0" fillId="6" borderId="21" xfId="0" applyFill="1" applyBorder="1"/>
    <xf numFmtId="0" fontId="2" fillId="6" borderId="20" xfId="0" applyFont="1" applyFill="1" applyBorder="1" applyAlignment="1">
      <alignment horizontal="center" wrapText="1"/>
    </xf>
    <xf numFmtId="0" fontId="2" fillId="6" borderId="23" xfId="0" applyFont="1" applyFill="1" applyBorder="1" applyAlignment="1">
      <alignment horizontal="center" wrapText="1"/>
    </xf>
    <xf numFmtId="1" fontId="0" fillId="0" borderId="2" xfId="0" applyNumberFormat="1" applyBorder="1" applyAlignment="1">
      <alignment horizontal="center" wrapText="1"/>
    </xf>
    <xf numFmtId="1" fontId="0" fillId="0" borderId="3" xfId="0" applyNumberFormat="1" applyBorder="1" applyAlignment="1">
      <alignment horizontal="center" wrapText="1"/>
    </xf>
    <xf numFmtId="0" fontId="11" fillId="7" borderId="0" xfId="0" applyFont="1" applyFill="1"/>
    <xf numFmtId="0" fontId="0" fillId="7" borderId="0" xfId="0" applyFill="1" applyAlignment="1">
      <alignment horizontal="center"/>
    </xf>
    <xf numFmtId="0" fontId="0" fillId="7" borderId="0" xfId="0" applyFill="1"/>
    <xf numFmtId="0" fontId="27" fillId="8" borderId="0" xfId="0" applyFont="1" applyFill="1" applyAlignment="1">
      <alignment horizontal="center" vertical="center"/>
    </xf>
    <xf numFmtId="0" fontId="28" fillId="8" borderId="0" xfId="0" applyFont="1" applyFill="1" applyAlignment="1">
      <alignment horizontal="center" vertical="center"/>
    </xf>
    <xf numFmtId="0" fontId="26" fillId="0" borderId="0" xfId="0" applyFont="1" applyAlignment="1">
      <alignment horizontal="center" vertical="center"/>
    </xf>
    <xf numFmtId="0" fontId="0" fillId="0" borderId="0" xfId="0" applyAlignment="1">
      <alignment horizontal="left" vertical="center"/>
    </xf>
    <xf numFmtId="9" fontId="26" fillId="0" borderId="0" xfId="0" applyNumberFormat="1" applyFont="1" applyAlignment="1">
      <alignment horizontal="center" vertical="center"/>
    </xf>
    <xf numFmtId="0" fontId="10" fillId="0" borderId="0" xfId="0" applyFont="1" applyAlignment="1">
      <alignment horizontal="center" vertical="center"/>
    </xf>
    <xf numFmtId="0" fontId="10" fillId="0" borderId="26" xfId="0" applyFont="1" applyBorder="1" applyAlignment="1">
      <alignment horizontal="center" vertical="center"/>
    </xf>
    <xf numFmtId="0" fontId="8"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14" fontId="5" fillId="0" borderId="0" xfId="0" applyNumberFormat="1" applyFont="1" applyAlignment="1">
      <alignment horizontal="left" vertical="center" wrapText="1"/>
    </xf>
    <xf numFmtId="14" fontId="5" fillId="0" borderId="0" xfId="0" applyNumberFormat="1" applyFont="1" applyAlignment="1">
      <alignment horizontal="center" vertical="center" wrapText="1"/>
    </xf>
    <xf numFmtId="0" fontId="21" fillId="0" borderId="29" xfId="0" applyFont="1" applyBorder="1" applyAlignment="1">
      <alignment horizontal="center" vertical="center" wrapText="1"/>
    </xf>
    <xf numFmtId="0" fontId="19" fillId="0" borderId="0" xfId="0" applyFont="1" applyAlignment="1">
      <alignment horizontal="center" vertical="center" wrapText="1"/>
    </xf>
    <xf numFmtId="0" fontId="2" fillId="0" borderId="12" xfId="0" applyFont="1" applyBorder="1" applyAlignment="1">
      <alignment horizontal="center" vertical="center" wrapText="1"/>
    </xf>
    <xf numFmtId="0" fontId="2" fillId="0" borderId="28" xfId="0" applyFont="1" applyBorder="1" applyAlignment="1">
      <alignment vertical="center" wrapText="1"/>
    </xf>
    <xf numFmtId="0" fontId="0" fillId="0" borderId="29" xfId="0" applyBorder="1" applyAlignment="1">
      <alignment vertical="center" wrapText="1"/>
    </xf>
    <xf numFmtId="0" fontId="2" fillId="0" borderId="16" xfId="0" applyFont="1" applyBorder="1" applyAlignment="1">
      <alignment vertical="center" wrapText="1"/>
    </xf>
    <xf numFmtId="0" fontId="0" fillId="0" borderId="27" xfId="0" applyBorder="1" applyAlignment="1">
      <alignment vertical="center" wrapText="1"/>
    </xf>
    <xf numFmtId="0" fontId="3" fillId="0" borderId="0" xfId="0" applyFont="1" applyAlignment="1">
      <alignment horizontal="left" vertical="center" wrapText="1"/>
    </xf>
    <xf numFmtId="0" fontId="24" fillId="0" borderId="11" xfId="1" applyNumberFormat="1" applyFont="1" applyFill="1" applyBorder="1" applyAlignment="1">
      <alignment horizontal="center"/>
    </xf>
    <xf numFmtId="0" fontId="5" fillId="0" borderId="11" xfId="1" applyFont="1" applyFill="1" applyBorder="1" applyAlignment="1">
      <alignment horizontal="center"/>
    </xf>
    <xf numFmtId="0" fontId="5" fillId="0" borderId="14" xfId="1" applyFont="1" applyFill="1" applyBorder="1" applyAlignment="1">
      <alignment horizontal="center"/>
    </xf>
    <xf numFmtId="0" fontId="5" fillId="0" borderId="13" xfId="1" applyFont="1" applyFill="1" applyBorder="1" applyAlignment="1">
      <alignment horizontal="center"/>
    </xf>
    <xf numFmtId="0" fontId="5" fillId="0" borderId="12" xfId="1" applyFont="1" applyFill="1" applyBorder="1" applyAlignment="1">
      <alignment horizontal="center"/>
    </xf>
    <xf numFmtId="0" fontId="5" fillId="0" borderId="0" xfId="0" applyFont="1" applyAlignment="1">
      <alignment horizontal="center"/>
    </xf>
    <xf numFmtId="0" fontId="2" fillId="6" borderId="0" xfId="0" applyFont="1" applyFill="1" applyAlignment="1">
      <alignment horizontal="center" wrapText="1"/>
    </xf>
    <xf numFmtId="1" fontId="24" fillId="0" borderId="0" xfId="0" applyNumberFormat="1" applyFont="1" applyAlignment="1">
      <alignment horizontal="left"/>
    </xf>
    <xf numFmtId="0" fontId="20" fillId="0" borderId="11" xfId="0" applyFont="1" applyBorder="1" applyAlignment="1">
      <alignment horizontal="center" wrapText="1"/>
    </xf>
    <xf numFmtId="0" fontId="20" fillId="0" borderId="14" xfId="0" applyFont="1" applyBorder="1" applyAlignment="1">
      <alignment horizontal="center" wrapText="1"/>
    </xf>
    <xf numFmtId="1" fontId="20" fillId="0" borderId="15" xfId="0" applyNumberFormat="1" applyFont="1" applyBorder="1" applyAlignment="1">
      <alignment horizontal="center" wrapText="1"/>
    </xf>
    <xf numFmtId="0" fontId="20" fillId="0" borderId="15" xfId="0" applyFont="1" applyBorder="1" applyAlignment="1">
      <alignment horizontal="center" wrapText="1"/>
    </xf>
    <xf numFmtId="0" fontId="20" fillId="0" borderId="11" xfId="0" applyFont="1" applyBorder="1" applyAlignment="1">
      <alignment horizontal="center" textRotation="90" wrapText="1"/>
    </xf>
    <xf numFmtId="0" fontId="20" fillId="0" borderId="30" xfId="0" applyFont="1" applyBorder="1" applyAlignment="1">
      <alignment horizontal="center" wrapText="1"/>
    </xf>
    <xf numFmtId="0" fontId="20" fillId="0" borderId="30" xfId="0" applyFont="1" applyBorder="1" applyAlignment="1">
      <alignment horizontal="center" textRotation="90" wrapText="1"/>
    </xf>
    <xf numFmtId="0" fontId="20" fillId="0" borderId="19" xfId="0" applyFont="1" applyBorder="1" applyAlignment="1">
      <alignment horizontal="center" wrapText="1"/>
    </xf>
    <xf numFmtId="164" fontId="24" fillId="0" borderId="11" xfId="1" applyNumberFormat="1" applyFont="1" applyFill="1" applyBorder="1" applyAlignment="1">
      <alignment horizontal="center"/>
    </xf>
    <xf numFmtId="1" fontId="24" fillId="0" borderId="1" xfId="1" applyNumberFormat="1" applyFont="1" applyFill="1" applyAlignment="1">
      <alignment horizontal="center"/>
    </xf>
    <xf numFmtId="0" fontId="5" fillId="0" borderId="19" xfId="1" applyNumberFormat="1" applyFont="1" applyFill="1" applyBorder="1" applyAlignment="1">
      <alignment horizontal="center"/>
    </xf>
    <xf numFmtId="1" fontId="24" fillId="0" borderId="31" xfId="1" applyNumberFormat="1" applyFont="1" applyFill="1" applyBorder="1" applyAlignment="1">
      <alignment horizontal="center"/>
    </xf>
    <xf numFmtId="0" fontId="24" fillId="0" borderId="31" xfId="1" applyNumberFormat="1" applyFont="1" applyFill="1" applyBorder="1" applyAlignment="1">
      <alignment horizontal="center"/>
    </xf>
    <xf numFmtId="0" fontId="5" fillId="0" borderId="31" xfId="1" applyNumberFormat="1" applyFont="1" applyFill="1" applyBorder="1" applyAlignment="1">
      <alignment horizontal="center"/>
    </xf>
    <xf numFmtId="0" fontId="5" fillId="0" borderId="31" xfId="1" applyFont="1" applyFill="1" applyBorder="1" applyAlignment="1">
      <alignment horizontal="center"/>
    </xf>
    <xf numFmtId="0" fontId="5" fillId="0" borderId="32" xfId="1" applyFont="1" applyFill="1" applyBorder="1" applyAlignment="1">
      <alignment horizontal="center"/>
    </xf>
    <xf numFmtId="0" fontId="5" fillId="0" borderId="32" xfId="1" applyNumberFormat="1" applyFont="1" applyFill="1" applyBorder="1" applyAlignment="1">
      <alignment horizontal="center"/>
    </xf>
    <xf numFmtId="0" fontId="24" fillId="0" borderId="33" xfId="1" applyNumberFormat="1" applyFont="1" applyFill="1" applyBorder="1" applyAlignment="1">
      <alignment horizontal="center"/>
    </xf>
    <xf numFmtId="0" fontId="2" fillId="6" borderId="20" xfId="0" applyFont="1" applyFill="1" applyBorder="1" applyAlignment="1">
      <alignment horizontal="center"/>
    </xf>
    <xf numFmtId="0" fontId="0" fillId="0" borderId="10" xfId="0" applyBorder="1" applyAlignment="1">
      <alignment horizontal="center" wrapText="1"/>
    </xf>
    <xf numFmtId="0" fontId="5" fillId="0" borderId="2" xfId="0" applyFont="1" applyBorder="1" applyAlignment="1">
      <alignment horizontal="center"/>
    </xf>
    <xf numFmtId="0" fontId="24" fillId="0" borderId="2" xfId="1" applyFont="1" applyFill="1" applyBorder="1" applyAlignment="1">
      <alignment horizontal="center"/>
    </xf>
    <xf numFmtId="0" fontId="21" fillId="5" borderId="17" xfId="0" applyFont="1" applyFill="1" applyBorder="1"/>
    <xf numFmtId="0" fontId="21" fillId="5" borderId="18" xfId="0" applyFont="1" applyFill="1" applyBorder="1"/>
    <xf numFmtId="0" fontId="21" fillId="5" borderId="34" xfId="0" applyFont="1" applyFill="1" applyBorder="1"/>
    <xf numFmtId="0" fontId="24" fillId="0" borderId="0" xfId="0" applyFont="1" applyAlignment="1">
      <alignment horizontal="left"/>
    </xf>
    <xf numFmtId="0" fontId="20" fillId="0" borderId="11" xfId="0" applyFont="1" applyBorder="1" applyAlignment="1">
      <alignment horizontal="left" wrapText="1"/>
    </xf>
    <xf numFmtId="0" fontId="5" fillId="0" borderId="2" xfId="0" applyFont="1" applyBorder="1" applyAlignment="1">
      <alignment horizontal="left"/>
    </xf>
    <xf numFmtId="0" fontId="0" fillId="2" borderId="1" xfId="1" applyFont="1" applyAlignment="1">
      <alignment horizontal="center"/>
    </xf>
    <xf numFmtId="166" fontId="5" fillId="0" borderId="0" xfId="0" applyNumberFormat="1" applyFont="1" applyAlignment="1">
      <alignment horizontal="center"/>
    </xf>
    <xf numFmtId="0" fontId="7" fillId="6" borderId="8" xfId="0" applyFont="1" applyFill="1" applyBorder="1" applyAlignment="1">
      <alignment horizontal="center" wrapText="1"/>
    </xf>
    <xf numFmtId="164" fontId="24" fillId="0" borderId="35" xfId="1" applyNumberFormat="1" applyFont="1" applyFill="1" applyBorder="1" applyAlignment="1">
      <alignment horizontal="center"/>
    </xf>
    <xf numFmtId="164" fontId="24" fillId="0" borderId="31" xfId="1" applyNumberFormat="1" applyFont="1" applyFill="1" applyBorder="1" applyAlignment="1">
      <alignment horizontal="center"/>
    </xf>
    <xf numFmtId="164" fontId="24" fillId="0" borderId="33" xfId="1" applyNumberFormat="1" applyFont="1" applyFill="1" applyBorder="1" applyAlignment="1">
      <alignment horizontal="center"/>
    </xf>
    <xf numFmtId="0" fontId="24" fillId="0" borderId="35" xfId="1" applyNumberFormat="1" applyFont="1" applyFill="1" applyBorder="1" applyAlignment="1">
      <alignment horizontal="center"/>
    </xf>
    <xf numFmtId="0" fontId="24" fillId="0" borderId="36" xfId="1" applyNumberFormat="1" applyFont="1" applyFill="1" applyBorder="1" applyAlignment="1">
      <alignment horizontal="center"/>
    </xf>
    <xf numFmtId="0" fontId="24" fillId="0" borderId="37" xfId="1" applyNumberFormat="1" applyFont="1" applyFill="1" applyBorder="1" applyAlignment="1">
      <alignment horizontal="center"/>
    </xf>
    <xf numFmtId="0" fontId="24" fillId="0" borderId="14" xfId="1" applyNumberFormat="1" applyFont="1" applyFill="1" applyBorder="1" applyAlignment="1">
      <alignment horizontal="center"/>
    </xf>
    <xf numFmtId="0" fontId="5" fillId="0" borderId="35" xfId="1" applyNumberFormat="1" applyFont="1" applyFill="1" applyBorder="1" applyAlignment="1">
      <alignment horizontal="center"/>
    </xf>
    <xf numFmtId="0" fontId="5" fillId="0" borderId="33" xfId="1" applyNumberFormat="1" applyFont="1" applyFill="1" applyBorder="1" applyAlignment="1">
      <alignment horizontal="center"/>
    </xf>
    <xf numFmtId="0" fontId="5" fillId="0" borderId="30" xfId="1" applyFont="1" applyFill="1" applyBorder="1" applyAlignment="1">
      <alignment horizontal="center"/>
    </xf>
    <xf numFmtId="0" fontId="5" fillId="0" borderId="30" xfId="1" applyNumberFormat="1" applyFont="1" applyFill="1" applyBorder="1" applyAlignment="1">
      <alignment horizontal="center"/>
    </xf>
    <xf numFmtId="0" fontId="21" fillId="0" borderId="12" xfId="0" applyFont="1" applyBorder="1" applyAlignment="1">
      <alignment horizontal="center" vertical="center" wrapText="1"/>
    </xf>
    <xf numFmtId="0" fontId="21" fillId="0" borderId="28" xfId="0" applyFont="1" applyBorder="1" applyAlignment="1">
      <alignment horizontal="center" vertical="center" wrapText="1"/>
    </xf>
    <xf numFmtId="0" fontId="0" fillId="0" borderId="38" xfId="0" applyBorder="1" applyAlignment="1">
      <alignment horizontal="left" vertical="center" wrapText="1"/>
    </xf>
    <xf numFmtId="0" fontId="21" fillId="5" borderId="39" xfId="0" applyFont="1" applyFill="1" applyBorder="1" applyAlignment="1">
      <alignment horizontal="left" vertical="center" wrapText="1"/>
    </xf>
    <xf numFmtId="0" fontId="21" fillId="5" borderId="39" xfId="0" applyFont="1" applyFill="1" applyBorder="1" applyAlignment="1">
      <alignment vertical="center"/>
    </xf>
    <xf numFmtId="0" fontId="0" fillId="0" borderId="38" xfId="0" applyBorder="1" applyAlignment="1">
      <alignment horizontal="left" vertical="center"/>
    </xf>
    <xf numFmtId="0" fontId="28" fillId="8" borderId="0" xfId="0" applyFont="1" applyFill="1" applyAlignment="1">
      <alignment horizontal="left" vertical="center"/>
    </xf>
    <xf numFmtId="0" fontId="20" fillId="0" borderId="0" xfId="0" applyFont="1" applyAlignment="1">
      <alignment horizontal="center" wrapText="1"/>
    </xf>
    <xf numFmtId="165" fontId="0" fillId="0" borderId="0" xfId="0" applyNumberFormat="1" applyAlignment="1">
      <alignment horizontal="center"/>
    </xf>
    <xf numFmtId="0" fontId="36" fillId="7" borderId="0" xfId="0" applyFont="1" applyFill="1" applyAlignment="1">
      <alignment horizontal="center"/>
    </xf>
    <xf numFmtId="0" fontId="0" fillId="0" borderId="42" xfId="0" applyBorder="1"/>
    <xf numFmtId="0" fontId="0" fillId="0" borderId="42" xfId="0" applyBorder="1" applyAlignment="1">
      <alignment horizontal="center"/>
    </xf>
    <xf numFmtId="2" fontId="0" fillId="0" borderId="42" xfId="0" applyNumberFormat="1" applyBorder="1" applyAlignment="1">
      <alignment horizontal="center"/>
    </xf>
    <xf numFmtId="0" fontId="0" fillId="0" borderId="10" xfId="0" applyBorder="1" applyAlignment="1">
      <alignment horizontal="center"/>
    </xf>
    <xf numFmtId="0" fontId="2" fillId="10" borderId="8" xfId="0" applyFont="1" applyFill="1" applyBorder="1" applyAlignment="1">
      <alignment horizontal="center"/>
    </xf>
    <xf numFmtId="1" fontId="24" fillId="0" borderId="0" xfId="1" applyNumberFormat="1" applyFont="1" applyFill="1" applyBorder="1" applyAlignment="1">
      <alignment horizontal="center"/>
    </xf>
    <xf numFmtId="0" fontId="24" fillId="0" borderId="0" xfId="1" applyFont="1" applyFill="1" applyBorder="1" applyAlignment="1">
      <alignment horizontal="center"/>
    </xf>
    <xf numFmtId="0" fontId="20" fillId="9" borderId="12" xfId="0" applyFont="1" applyFill="1" applyBorder="1" applyAlignment="1">
      <alignment horizontal="center" wrapText="1"/>
    </xf>
    <xf numFmtId="0" fontId="2" fillId="10" borderId="8" xfId="0" applyFont="1" applyFill="1" applyBorder="1" applyAlignment="1">
      <alignment horizontal="center" wrapText="1"/>
    </xf>
    <xf numFmtId="9" fontId="0" fillId="0" borderId="10" xfId="2" applyFont="1" applyBorder="1" applyAlignment="1">
      <alignment horizontal="center"/>
    </xf>
    <xf numFmtId="0" fontId="2" fillId="10" borderId="44" xfId="0" applyFont="1" applyFill="1" applyBorder="1" applyAlignment="1">
      <alignment horizontal="center" wrapText="1"/>
    </xf>
    <xf numFmtId="1" fontId="0" fillId="0" borderId="45" xfId="0" applyNumberFormat="1" applyBorder="1" applyAlignment="1">
      <alignment horizontal="center"/>
    </xf>
    <xf numFmtId="9" fontId="0" fillId="0" borderId="46" xfId="2" applyFont="1" applyBorder="1" applyAlignment="1">
      <alignment horizontal="center"/>
    </xf>
    <xf numFmtId="1" fontId="0" fillId="0" borderId="47" xfId="0" applyNumberFormat="1" applyBorder="1" applyAlignment="1">
      <alignment horizontal="center"/>
    </xf>
    <xf numFmtId="9" fontId="0" fillId="0" borderId="48" xfId="2" applyFont="1" applyBorder="1" applyAlignment="1">
      <alignment horizontal="center"/>
    </xf>
    <xf numFmtId="0" fontId="2" fillId="10" borderId="43" xfId="0" applyFont="1" applyFill="1" applyBorder="1" applyAlignment="1">
      <alignment horizontal="center" wrapText="1"/>
    </xf>
    <xf numFmtId="165" fontId="0" fillId="0" borderId="10" xfId="0" applyNumberFormat="1" applyBorder="1" applyAlignment="1">
      <alignment horizontal="center"/>
    </xf>
    <xf numFmtId="1" fontId="0" fillId="0" borderId="0" xfId="2" applyNumberFormat="1" applyFont="1" applyAlignment="1">
      <alignment horizontal="center"/>
    </xf>
    <xf numFmtId="0" fontId="28" fillId="11" borderId="0" xfId="0" applyFont="1" applyFill="1" applyAlignment="1">
      <alignment horizontal="left" vertical="center"/>
    </xf>
    <xf numFmtId="0" fontId="0" fillId="12" borderId="40" xfId="0" applyFill="1" applyBorder="1"/>
    <xf numFmtId="0" fontId="0" fillId="12" borderId="40" xfId="0" applyFill="1" applyBorder="1" applyAlignment="1">
      <alignment horizontal="center"/>
    </xf>
    <xf numFmtId="0" fontId="5" fillId="0" borderId="1" xfId="1" applyFont="1" applyFill="1" applyAlignment="1">
      <alignment horizontal="center"/>
    </xf>
    <xf numFmtId="0" fontId="34" fillId="0" borderId="0" xfId="0" applyFont="1" applyAlignment="1">
      <alignment horizontal="center" wrapText="1"/>
    </xf>
    <xf numFmtId="0" fontId="5" fillId="0" borderId="1" xfId="1" applyNumberFormat="1" applyFont="1" applyFill="1" applyAlignment="1">
      <alignment horizontal="center"/>
    </xf>
    <xf numFmtId="2" fontId="0" fillId="0" borderId="0" xfId="0" applyNumberFormat="1" applyAlignment="1">
      <alignment horizontal="center"/>
    </xf>
    <xf numFmtId="0" fontId="0" fillId="0" borderId="49" xfId="0" applyBorder="1"/>
    <xf numFmtId="0" fontId="0" fillId="0" borderId="49" xfId="0" applyBorder="1" applyAlignment="1">
      <alignment horizontal="center"/>
    </xf>
    <xf numFmtId="0" fontId="36" fillId="7" borderId="49" xfId="0" applyFont="1" applyFill="1" applyBorder="1" applyAlignment="1">
      <alignment horizontal="center"/>
    </xf>
    <xf numFmtId="2" fontId="0" fillId="0" borderId="49" xfId="0" applyNumberFormat="1" applyBorder="1" applyAlignment="1">
      <alignment horizontal="center"/>
    </xf>
    <xf numFmtId="0" fontId="0" fillId="0" borderId="50" xfId="0" applyBorder="1"/>
    <xf numFmtId="0" fontId="0" fillId="7" borderId="50" xfId="0" applyFill="1" applyBorder="1"/>
    <xf numFmtId="0" fontId="0" fillId="0" borderId="51" xfId="0" applyBorder="1"/>
    <xf numFmtId="0" fontId="4" fillId="0" borderId="51" xfId="0" applyFont="1" applyBorder="1" applyAlignment="1">
      <alignment horizontal="center"/>
    </xf>
    <xf numFmtId="0" fontId="4" fillId="0" borderId="51" xfId="0" applyFont="1" applyBorder="1" applyAlignment="1">
      <alignment horizontal="right"/>
    </xf>
    <xf numFmtId="0" fontId="2" fillId="13" borderId="40" xfId="0" applyFont="1" applyFill="1" applyBorder="1" applyAlignment="1">
      <alignment vertical="center"/>
    </xf>
    <xf numFmtId="2" fontId="2" fillId="13" borderId="40" xfId="0" applyNumberFormat="1" applyFont="1" applyFill="1" applyBorder="1" applyAlignment="1">
      <alignment horizontal="center" vertical="center"/>
    </xf>
    <xf numFmtId="0" fontId="4" fillId="7" borderId="0" xfId="0" applyFont="1" applyFill="1"/>
    <xf numFmtId="2" fontId="0" fillId="7" borderId="41" xfId="0" applyNumberFormat="1" applyFill="1" applyBorder="1" applyAlignment="1">
      <alignment horizontal="center"/>
    </xf>
    <xf numFmtId="165" fontId="0" fillId="7" borderId="0" xfId="0" applyNumberFormat="1" applyFill="1" applyAlignment="1">
      <alignment horizontal="center"/>
    </xf>
    <xf numFmtId="2" fontId="0" fillId="7" borderId="0" xfId="0" applyNumberFormat="1" applyFill="1" applyAlignment="1">
      <alignment horizontal="center"/>
    </xf>
    <xf numFmtId="0" fontId="4" fillId="7" borderId="50" xfId="0" applyFont="1" applyFill="1" applyBorder="1"/>
    <xf numFmtId="2" fontId="0" fillId="7" borderId="50" xfId="0" applyNumberFormat="1" applyFill="1" applyBorder="1" applyAlignment="1">
      <alignment horizontal="center"/>
    </xf>
    <xf numFmtId="0" fontId="0" fillId="7" borderId="52" xfId="0" applyFill="1" applyBorder="1"/>
    <xf numFmtId="165" fontId="2" fillId="13" borderId="54" xfId="0" applyNumberFormat="1" applyFont="1" applyFill="1" applyBorder="1" applyAlignment="1">
      <alignment horizontal="center" vertical="center"/>
    </xf>
    <xf numFmtId="2" fontId="2" fillId="13" borderId="55" xfId="0" applyNumberFormat="1" applyFont="1" applyFill="1" applyBorder="1" applyAlignment="1">
      <alignment horizontal="center" vertical="center"/>
    </xf>
    <xf numFmtId="0" fontId="0" fillId="4" borderId="52" xfId="0" applyFill="1" applyBorder="1" applyAlignment="1">
      <alignment horizontal="center"/>
    </xf>
    <xf numFmtId="0" fontId="2" fillId="13" borderId="54" xfId="0" applyFont="1" applyFill="1" applyBorder="1" applyAlignment="1">
      <alignment vertical="center"/>
    </xf>
    <xf numFmtId="0" fontId="2" fillId="13" borderId="55" xfId="0" applyFont="1" applyFill="1" applyBorder="1" applyAlignment="1">
      <alignment vertical="center"/>
    </xf>
    <xf numFmtId="0" fontId="0" fillId="7" borderId="53" xfId="0" applyFill="1" applyBorder="1"/>
    <xf numFmtId="0" fontId="0" fillId="7" borderId="59" xfId="0" applyFill="1" applyBorder="1"/>
    <xf numFmtId="0" fontId="0" fillId="7" borderId="60" xfId="0" applyFill="1" applyBorder="1"/>
    <xf numFmtId="0" fontId="0" fillId="0" borderId="62" xfId="0"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4" fillId="0" borderId="57" xfId="0" applyFont="1" applyBorder="1" applyAlignment="1">
      <alignment horizontal="center"/>
    </xf>
    <xf numFmtId="0" fontId="4" fillId="0" borderId="58" xfId="0" applyFont="1" applyBorder="1" applyAlignment="1">
      <alignment horizontal="center"/>
    </xf>
    <xf numFmtId="0" fontId="0" fillId="0" borderId="63" xfId="0" applyBorder="1" applyAlignment="1">
      <alignment horizontal="center"/>
    </xf>
    <xf numFmtId="0" fontId="0" fillId="0" borderId="64" xfId="0" applyBorder="1" applyAlignment="1">
      <alignment horizontal="center"/>
    </xf>
    <xf numFmtId="165" fontId="0" fillId="4" borderId="56" xfId="0" applyNumberFormat="1" applyFill="1" applyBorder="1" applyAlignment="1">
      <alignment horizontal="center"/>
    </xf>
    <xf numFmtId="165" fontId="0" fillId="4" borderId="52" xfId="0" applyNumberFormat="1" applyFill="1" applyBorder="1" applyAlignment="1">
      <alignment horizontal="center"/>
    </xf>
    <xf numFmtId="165" fontId="0" fillId="4" borderId="59" xfId="0" applyNumberFormat="1" applyFill="1" applyBorder="1" applyAlignment="1">
      <alignment horizontal="center"/>
    </xf>
    <xf numFmtId="0" fontId="0" fillId="4" borderId="59" xfId="0" applyFill="1" applyBorder="1" applyAlignment="1">
      <alignment horizontal="center"/>
    </xf>
    <xf numFmtId="0" fontId="0" fillId="14" borderId="0" xfId="0" applyFill="1"/>
    <xf numFmtId="165" fontId="36" fillId="14" borderId="0" xfId="0" applyNumberFormat="1" applyFont="1" applyFill="1" applyAlignment="1">
      <alignment horizontal="center"/>
    </xf>
    <xf numFmtId="165" fontId="36" fillId="14" borderId="0" xfId="0" applyNumberFormat="1" applyFont="1" applyFill="1" applyAlignment="1">
      <alignment horizontal="right"/>
    </xf>
    <xf numFmtId="165" fontId="38" fillId="14" borderId="0" xfId="0" applyNumberFormat="1" applyFont="1" applyFill="1" applyAlignment="1">
      <alignment horizontal="center"/>
    </xf>
    <xf numFmtId="165" fontId="38" fillId="14" borderId="0" xfId="0" applyNumberFormat="1" applyFont="1" applyFill="1" applyAlignment="1">
      <alignment horizontal="left"/>
    </xf>
    <xf numFmtId="0" fontId="0" fillId="14" borderId="51" xfId="0" applyFill="1" applyBorder="1"/>
    <xf numFmtId="0" fontId="0" fillId="14" borderId="49" xfId="0" applyFill="1" applyBorder="1"/>
    <xf numFmtId="0" fontId="0" fillId="14" borderId="42" xfId="0" applyFill="1" applyBorder="1"/>
    <xf numFmtId="2" fontId="0" fillId="14" borderId="51" xfId="0" applyNumberFormat="1" applyFill="1" applyBorder="1"/>
    <xf numFmtId="0" fontId="0" fillId="0" borderId="52" xfId="0" applyBorder="1"/>
    <xf numFmtId="0" fontId="0" fillId="0" borderId="53" xfId="0" applyBorder="1"/>
    <xf numFmtId="0" fontId="4" fillId="0" borderId="0" xfId="0" applyFont="1"/>
    <xf numFmtId="0" fontId="20" fillId="9" borderId="0" xfId="0" applyFont="1" applyFill="1" applyAlignment="1">
      <alignment horizontal="center" wrapText="1"/>
    </xf>
    <xf numFmtId="0" fontId="30" fillId="8" borderId="0" xfId="0" applyFont="1" applyFill="1" applyAlignment="1">
      <alignment horizontal="centerContinuous" vertical="center"/>
    </xf>
    <xf numFmtId="0" fontId="33" fillId="8" borderId="0" xfId="0" applyFont="1" applyFill="1" applyAlignment="1">
      <alignment horizontal="centerContinuous" vertical="center"/>
    </xf>
    <xf numFmtId="0" fontId="35" fillId="8" borderId="0" xfId="0" applyFont="1" applyFill="1" applyAlignment="1">
      <alignment horizontal="center" vertical="center"/>
    </xf>
    <xf numFmtId="0" fontId="5" fillId="0" borderId="0" xfId="0" applyFont="1"/>
    <xf numFmtId="1" fontId="5" fillId="0" borderId="0" xfId="0" applyNumberFormat="1" applyFont="1" applyAlignment="1">
      <alignment horizontal="center"/>
    </xf>
    <xf numFmtId="165" fontId="5" fillId="0" borderId="0" xfId="0" applyNumberFormat="1" applyFont="1" applyAlignment="1">
      <alignment horizontal="center"/>
    </xf>
    <xf numFmtId="0" fontId="6" fillId="0" borderId="0" xfId="0" applyFont="1" applyAlignment="1">
      <alignment horizontal="left" vertical="top" indent="1"/>
    </xf>
    <xf numFmtId="0" fontId="40" fillId="0" borderId="0" xfId="0" applyFont="1"/>
    <xf numFmtId="0" fontId="19" fillId="0" borderId="0" xfId="0" applyFont="1"/>
    <xf numFmtId="0" fontId="41" fillId="0" borderId="0" xfId="0" applyFont="1" applyAlignment="1">
      <alignment horizontal="center" vertical="center"/>
    </xf>
    <xf numFmtId="0" fontId="42" fillId="0" borderId="0" xfId="0" applyFont="1" applyAlignment="1">
      <alignment horizontal="center" wrapText="1"/>
    </xf>
    <xf numFmtId="0" fontId="29" fillId="0" borderId="0" xfId="0" applyFont="1" applyAlignment="1">
      <alignment horizontal="center"/>
    </xf>
    <xf numFmtId="1" fontId="29" fillId="0" borderId="0" xfId="2" applyNumberFormat="1" applyFont="1" applyAlignment="1">
      <alignment horizontal="center"/>
    </xf>
    <xf numFmtId="165" fontId="29" fillId="0" borderId="10" xfId="0" applyNumberFormat="1" applyFont="1" applyBorder="1" applyAlignment="1">
      <alignment horizontal="center"/>
    </xf>
    <xf numFmtId="1" fontId="29" fillId="0" borderId="10" xfId="0" applyNumberFormat="1" applyFont="1" applyBorder="1" applyAlignment="1">
      <alignment horizontal="center"/>
    </xf>
    <xf numFmtId="0" fontId="45" fillId="0" borderId="0" xfId="0" applyFont="1" applyAlignment="1">
      <alignment horizontal="center" vertical="center"/>
    </xf>
    <xf numFmtId="0" fontId="45" fillId="0" borderId="10" xfId="0" applyFont="1" applyBorder="1" applyAlignment="1">
      <alignment horizontal="center" vertical="center"/>
    </xf>
    <xf numFmtId="0" fontId="46" fillId="0" borderId="21" xfId="0" applyFont="1" applyBorder="1" applyAlignment="1">
      <alignment vertical="center"/>
    </xf>
    <xf numFmtId="0" fontId="45" fillId="0" borderId="10" xfId="0" applyFont="1" applyBorder="1" applyAlignment="1">
      <alignment horizontal="left" vertical="center"/>
    </xf>
    <xf numFmtId="0" fontId="45" fillId="16" borderId="40" xfId="0" applyFont="1" applyFill="1" applyBorder="1" applyAlignment="1">
      <alignment horizontal="left" vertical="center"/>
    </xf>
    <xf numFmtId="0" fontId="45" fillId="16" borderId="40" xfId="0" applyFont="1" applyFill="1" applyBorder="1" applyAlignment="1">
      <alignment horizontal="center" vertical="center"/>
    </xf>
    <xf numFmtId="0" fontId="45" fillId="0" borderId="0" xfId="0" applyFont="1" applyAlignment="1">
      <alignment horizontal="left" vertical="center"/>
    </xf>
    <xf numFmtId="0" fontId="7" fillId="10" borderId="8" xfId="0" applyFont="1" applyFill="1" applyBorder="1" applyAlignment="1">
      <alignment horizontal="center" wrapText="1"/>
    </xf>
    <xf numFmtId="0" fontId="5" fillId="0" borderId="0" xfId="0" applyFont="1" applyAlignment="1">
      <alignment horizontal="center" vertical="center"/>
    </xf>
    <xf numFmtId="1" fontId="47" fillId="0" borderId="0" xfId="0" applyNumberFormat="1" applyFont="1" applyAlignment="1">
      <alignment horizontal="center" vertical="center"/>
    </xf>
    <xf numFmtId="1" fontId="5" fillId="0" borderId="0" xfId="0" applyNumberFormat="1" applyFont="1" applyAlignment="1">
      <alignment horizontal="center" vertical="center"/>
    </xf>
    <xf numFmtId="0" fontId="47" fillId="0" borderId="0" xfId="0" applyFont="1" applyAlignment="1">
      <alignment horizontal="center" vertical="center"/>
    </xf>
    <xf numFmtId="1" fontId="5" fillId="0" borderId="7" xfId="0" applyNumberFormat="1" applyFont="1" applyBorder="1" applyAlignment="1">
      <alignment horizontal="center" vertical="center"/>
    </xf>
    <xf numFmtId="9" fontId="5" fillId="0" borderId="0" xfId="2" applyFont="1" applyAlignment="1">
      <alignment horizontal="center" vertical="center"/>
    </xf>
    <xf numFmtId="10" fontId="19" fillId="0" borderId="0" xfId="0" applyNumberFormat="1" applyFont="1" applyAlignment="1">
      <alignment vertical="center"/>
    </xf>
    <xf numFmtId="0" fontId="35" fillId="8" borderId="0" xfId="0" applyFont="1" applyFill="1" applyAlignment="1">
      <alignment horizontal="centerContinuous" vertical="center"/>
    </xf>
    <xf numFmtId="0" fontId="48" fillId="8" borderId="0" xfId="0" applyFont="1" applyFill="1" applyAlignment="1">
      <alignment horizontal="centerContinuous" vertical="center"/>
    </xf>
    <xf numFmtId="0" fontId="10" fillId="0" borderId="0" xfId="0" applyFont="1" applyAlignment="1">
      <alignment vertical="center"/>
    </xf>
    <xf numFmtId="0" fontId="10" fillId="0" borderId="0" xfId="0" applyFont="1" applyAlignment="1">
      <alignment horizontal="right" vertical="center" indent="1"/>
    </xf>
    <xf numFmtId="9" fontId="10" fillId="0" borderId="0" xfId="2" applyFont="1" applyAlignment="1">
      <alignment horizontal="center" vertical="center"/>
    </xf>
    <xf numFmtId="1" fontId="10" fillId="0" borderId="0" xfId="0" applyNumberFormat="1" applyFont="1" applyAlignment="1">
      <alignment horizontal="center" vertical="center"/>
    </xf>
    <xf numFmtId="0" fontId="10" fillId="0" borderId="0" xfId="0" applyFont="1" applyAlignment="1">
      <alignment horizontal="left" vertical="center" indent="1"/>
    </xf>
    <xf numFmtId="0" fontId="10" fillId="0" borderId="0" xfId="0" applyFont="1"/>
    <xf numFmtId="0" fontId="10" fillId="0" borderId="7" xfId="0" applyFont="1" applyBorder="1" applyAlignment="1">
      <alignment vertical="center"/>
    </xf>
    <xf numFmtId="0" fontId="10" fillId="0" borderId="7" xfId="0" applyFont="1" applyBorder="1"/>
    <xf numFmtId="0" fontId="5" fillId="0" borderId="7" xfId="0" applyFont="1" applyBorder="1" applyAlignment="1">
      <alignment horizontal="center"/>
    </xf>
    <xf numFmtId="9" fontId="5" fillId="0" borderId="0" xfId="2" applyFont="1" applyAlignment="1">
      <alignment horizontal="center"/>
    </xf>
    <xf numFmtId="0" fontId="5" fillId="0" borderId="9" xfId="0" applyFont="1" applyBorder="1" applyAlignment="1">
      <alignment horizontal="center"/>
    </xf>
    <xf numFmtId="0" fontId="39" fillId="17" borderId="0" xfId="0" applyFont="1" applyFill="1"/>
    <xf numFmtId="0" fontId="0" fillId="17" borderId="0" xfId="0" applyFill="1"/>
    <xf numFmtId="0" fontId="0" fillId="11" borderId="0" xfId="0" applyFill="1"/>
    <xf numFmtId="0" fontId="5" fillId="0" borderId="66" xfId="0" applyFont="1" applyBorder="1" applyAlignment="1">
      <alignment horizontal="center"/>
    </xf>
    <xf numFmtId="9" fontId="5" fillId="0" borderId="66" xfId="2" applyFont="1" applyBorder="1" applyAlignment="1">
      <alignment horizontal="center"/>
    </xf>
    <xf numFmtId="0" fontId="5" fillId="0" borderId="67" xfId="0" applyFont="1" applyBorder="1" applyAlignment="1">
      <alignment horizontal="center"/>
    </xf>
    <xf numFmtId="0" fontId="5" fillId="0" borderId="68" xfId="0" applyFont="1" applyBorder="1" applyAlignment="1">
      <alignment horizontal="center"/>
    </xf>
    <xf numFmtId="0" fontId="5" fillId="0" borderId="69" xfId="0" applyFont="1" applyBorder="1" applyAlignment="1">
      <alignment horizontal="center"/>
    </xf>
    <xf numFmtId="0" fontId="5" fillId="0" borderId="70" xfId="0" applyFont="1" applyBorder="1" applyAlignment="1">
      <alignment horizontal="center"/>
    </xf>
    <xf numFmtId="0" fontId="0" fillId="0" borderId="69" xfId="0" applyBorder="1"/>
    <xf numFmtId="0" fontId="5" fillId="0" borderId="67" xfId="0" applyFont="1" applyBorder="1" applyAlignment="1">
      <alignment horizontal="center" vertical="center"/>
    </xf>
    <xf numFmtId="9" fontId="5" fillId="0" borderId="0" xfId="2" applyFont="1" applyBorder="1" applyAlignment="1">
      <alignment horizontal="center" vertical="center"/>
    </xf>
    <xf numFmtId="0" fontId="5" fillId="0" borderId="70" xfId="0" applyFont="1" applyBorder="1" applyAlignment="1">
      <alignment horizontal="center" vertical="center"/>
    </xf>
    <xf numFmtId="0" fontId="5" fillId="0" borderId="69" xfId="0" applyFont="1" applyBorder="1" applyAlignment="1">
      <alignment horizontal="center" vertical="center"/>
    </xf>
    <xf numFmtId="9" fontId="5" fillId="0" borderId="69" xfId="2" applyFont="1" applyBorder="1" applyAlignment="1">
      <alignment horizontal="center" vertical="center"/>
    </xf>
    <xf numFmtId="0" fontId="22" fillId="0" borderId="0" xfId="0" applyFont="1"/>
    <xf numFmtId="167" fontId="5" fillId="0" borderId="0" xfId="2" applyNumberFormat="1" applyFont="1" applyBorder="1" applyAlignment="1">
      <alignment horizontal="center"/>
    </xf>
    <xf numFmtId="9" fontId="5" fillId="0" borderId="0" xfId="2" applyFont="1" applyBorder="1" applyAlignment="1">
      <alignment horizontal="center"/>
    </xf>
    <xf numFmtId="9" fontId="5" fillId="0" borderId="69" xfId="2" applyFont="1" applyBorder="1" applyAlignment="1">
      <alignment horizontal="center"/>
    </xf>
    <xf numFmtId="0" fontId="25" fillId="0" borderId="0" xfId="0" applyFont="1" applyAlignment="1">
      <alignment horizontal="left"/>
    </xf>
    <xf numFmtId="0" fontId="24" fillId="0" borderId="11" xfId="1" applyFont="1" applyFill="1" applyBorder="1" applyAlignment="1">
      <alignment horizontal="left"/>
    </xf>
    <xf numFmtId="166" fontId="51" fillId="0" borderId="0" xfId="0" applyNumberFormat="1" applyFont="1" applyAlignment="1">
      <alignment horizontal="center"/>
    </xf>
    <xf numFmtId="0" fontId="45" fillId="0" borderId="72" xfId="0" applyFont="1" applyBorder="1" applyAlignment="1">
      <alignment horizontal="center" vertical="center"/>
    </xf>
    <xf numFmtId="0" fontId="45" fillId="0" borderId="73" xfId="0" applyFont="1" applyBorder="1" applyAlignment="1">
      <alignment horizontal="center" vertical="center"/>
    </xf>
    <xf numFmtId="0" fontId="45" fillId="0" borderId="75" xfId="0" applyFont="1" applyBorder="1" applyAlignment="1">
      <alignment horizontal="center" vertical="center"/>
    </xf>
    <xf numFmtId="0" fontId="46" fillId="0" borderId="0" xfId="0" applyFont="1" applyAlignment="1">
      <alignment horizontal="left" vertical="center"/>
    </xf>
    <xf numFmtId="0" fontId="52" fillId="0" borderId="0" xfId="0" applyFont="1" applyAlignment="1">
      <alignment vertical="center"/>
    </xf>
    <xf numFmtId="0" fontId="24" fillId="0" borderId="77" xfId="1" applyNumberFormat="1" applyFont="1" applyFill="1" applyBorder="1" applyAlignment="1">
      <alignment horizontal="center"/>
    </xf>
    <xf numFmtId="0" fontId="44" fillId="0" borderId="21" xfId="0" applyFont="1" applyBorder="1" applyAlignment="1">
      <alignment horizontal="left" vertical="top" wrapText="1" indent="2"/>
    </xf>
    <xf numFmtId="0" fontId="22" fillId="0" borderId="0" xfId="0" applyFont="1" applyAlignment="1">
      <alignment vertical="top"/>
    </xf>
    <xf numFmtId="9" fontId="0" fillId="0" borderId="0" xfId="2" applyFont="1" applyBorder="1" applyAlignment="1">
      <alignment horizontal="center"/>
    </xf>
    <xf numFmtId="0" fontId="44" fillId="0" borderId="21" xfId="0" applyFont="1" applyBorder="1" applyAlignment="1">
      <alignment horizontal="left" vertical="top" indent="2"/>
    </xf>
    <xf numFmtId="0" fontId="45" fillId="16" borderId="80" xfId="0" applyFont="1" applyFill="1" applyBorder="1" applyAlignment="1">
      <alignment horizontal="center" vertical="center"/>
    </xf>
    <xf numFmtId="0" fontId="45" fillId="16" borderId="81" xfId="0" applyFont="1" applyFill="1" applyBorder="1" applyAlignment="1">
      <alignment horizontal="center" vertical="center"/>
    </xf>
    <xf numFmtId="0" fontId="45" fillId="0" borderId="20" xfId="0" applyFont="1" applyBorder="1" applyAlignment="1">
      <alignment horizontal="left" vertical="center"/>
    </xf>
    <xf numFmtId="0" fontId="45" fillId="0" borderId="82" xfId="0" applyFont="1" applyBorder="1" applyAlignment="1">
      <alignment horizontal="center" vertical="center"/>
    </xf>
    <xf numFmtId="0" fontId="45" fillId="0" borderId="83" xfId="0" applyFont="1" applyBorder="1" applyAlignment="1">
      <alignment horizontal="center" vertical="center"/>
    </xf>
    <xf numFmtId="0" fontId="45" fillId="0" borderId="20" xfId="0" applyFont="1" applyBorder="1" applyAlignment="1">
      <alignment horizontal="center" vertical="center"/>
    </xf>
    <xf numFmtId="0" fontId="43" fillId="15" borderId="21" xfId="0" applyFont="1" applyFill="1" applyBorder="1" applyAlignment="1">
      <alignment horizontal="center" vertical="center"/>
    </xf>
    <xf numFmtId="0" fontId="43" fillId="15" borderId="21" xfId="0" applyFont="1" applyFill="1" applyBorder="1" applyAlignment="1">
      <alignment vertical="center"/>
    </xf>
    <xf numFmtId="0" fontId="28" fillId="0" borderId="0" xfId="0" applyFont="1" applyAlignment="1">
      <alignment horizontal="left" vertical="center"/>
    </xf>
    <xf numFmtId="0" fontId="5" fillId="0" borderId="84" xfId="1" applyNumberFormat="1" applyFont="1" applyFill="1" applyBorder="1" applyAlignment="1">
      <alignment horizontal="center"/>
    </xf>
    <xf numFmtId="0" fontId="5" fillId="0" borderId="85" xfId="1" applyNumberFormat="1" applyFont="1" applyFill="1" applyBorder="1" applyAlignment="1">
      <alignment horizontal="center"/>
    </xf>
    <xf numFmtId="0" fontId="5" fillId="0" borderId="13" xfId="1" applyNumberFormat="1" applyFont="1" applyFill="1" applyBorder="1" applyAlignment="1">
      <alignment horizontal="left"/>
    </xf>
    <xf numFmtId="0" fontId="45" fillId="15" borderId="0" xfId="0" applyFont="1" applyFill="1" applyAlignment="1">
      <alignment horizontal="center" vertical="center" wrapText="1"/>
    </xf>
    <xf numFmtId="0" fontId="45" fillId="15" borderId="73" xfId="0" applyFont="1" applyFill="1" applyBorder="1" applyAlignment="1">
      <alignment horizontal="center" vertical="center" wrapText="1"/>
    </xf>
    <xf numFmtId="0" fontId="49" fillId="3" borderId="12" xfId="1" applyFont="1" applyFill="1" applyBorder="1" applyAlignment="1">
      <alignment horizontal="center"/>
    </xf>
    <xf numFmtId="0" fontId="49" fillId="0" borderId="12" xfId="1" applyFont="1" applyFill="1" applyBorder="1"/>
    <xf numFmtId="0" fontId="49" fillId="0" borderId="12" xfId="1" applyFont="1" applyFill="1" applyBorder="1" applyAlignment="1">
      <alignment horizontal="center"/>
    </xf>
    <xf numFmtId="1" fontId="45" fillId="0" borderId="74" xfId="0" applyNumberFormat="1" applyFont="1" applyBorder="1" applyAlignment="1">
      <alignment horizontal="center" vertical="center"/>
    </xf>
    <xf numFmtId="0" fontId="5" fillId="0" borderId="0" xfId="0" applyFont="1" applyAlignment="1" applyProtection="1">
      <alignment horizontal="left" wrapText="1"/>
      <protection locked="0"/>
    </xf>
    <xf numFmtId="0" fontId="24" fillId="3" borderId="12" xfId="1" applyFont="1" applyFill="1" applyBorder="1" applyAlignment="1">
      <alignment vertical="center"/>
    </xf>
    <xf numFmtId="0" fontId="24" fillId="3" borderId="12" xfId="1" applyFont="1" applyFill="1" applyBorder="1" applyAlignment="1">
      <alignment horizontal="center" vertical="center"/>
    </xf>
    <xf numFmtId="0" fontId="0" fillId="3" borderId="12" xfId="1" applyFont="1" applyFill="1" applyBorder="1" applyAlignment="1">
      <alignment horizontal="center" vertical="center"/>
    </xf>
    <xf numFmtId="0" fontId="24" fillId="0" borderId="12" xfId="1" applyFont="1" applyFill="1" applyBorder="1" applyAlignment="1">
      <alignment vertical="center"/>
    </xf>
    <xf numFmtId="0" fontId="24" fillId="0" borderId="12" xfId="1" applyFont="1" applyFill="1" applyBorder="1" applyAlignment="1">
      <alignment horizontal="center" vertical="center"/>
    </xf>
    <xf numFmtId="0" fontId="0" fillId="0" borderId="12" xfId="1" applyFont="1" applyFill="1" applyBorder="1" applyAlignment="1">
      <alignment horizontal="center" vertical="center"/>
    </xf>
    <xf numFmtId="0" fontId="49" fillId="3" borderId="12" xfId="1" applyFont="1" applyFill="1" applyBorder="1" applyAlignment="1">
      <alignment horizontal="center" vertical="center"/>
    </xf>
    <xf numFmtId="0" fontId="46" fillId="0" borderId="21" xfId="0" applyFont="1" applyBorder="1" applyAlignment="1">
      <alignment horizontal="left" vertical="center" indent="1"/>
    </xf>
    <xf numFmtId="0" fontId="24" fillId="3" borderId="0" xfId="1" applyFont="1" applyFill="1" applyBorder="1" applyAlignment="1">
      <alignment horizontal="center" vertical="center"/>
    </xf>
    <xf numFmtId="0" fontId="24" fillId="0" borderId="0" xfId="1" applyFont="1" applyFill="1" applyBorder="1" applyAlignment="1">
      <alignment horizontal="center" vertical="center"/>
    </xf>
    <xf numFmtId="0" fontId="49" fillId="3" borderId="0" xfId="1" applyFont="1" applyFill="1" applyBorder="1" applyAlignment="1">
      <alignment horizontal="center" vertical="center"/>
    </xf>
    <xf numFmtId="0" fontId="49" fillId="0" borderId="0" xfId="1" applyFont="1" applyFill="1" applyBorder="1" applyAlignment="1">
      <alignment horizontal="center"/>
    </xf>
    <xf numFmtId="0" fontId="49" fillId="3" borderId="0" xfId="1" applyFont="1" applyFill="1" applyBorder="1" applyAlignment="1">
      <alignment horizontal="center"/>
    </xf>
    <xf numFmtId="0" fontId="26" fillId="0" borderId="0" xfId="0" applyFont="1" applyAlignment="1">
      <alignment horizontal="center"/>
    </xf>
    <xf numFmtId="0" fontId="55" fillId="0" borderId="0" xfId="0" applyFont="1" applyAlignment="1">
      <alignment horizontal="center"/>
    </xf>
    <xf numFmtId="0" fontId="56" fillId="0" borderId="0" xfId="0" applyFont="1" applyAlignment="1">
      <alignment horizontal="center"/>
    </xf>
    <xf numFmtId="0" fontId="2" fillId="3" borderId="88" xfId="0" applyFont="1" applyFill="1" applyBorder="1" applyAlignment="1">
      <alignment horizontal="center"/>
    </xf>
    <xf numFmtId="0" fontId="2" fillId="3" borderId="4" xfId="0" applyFont="1" applyFill="1" applyBorder="1" applyAlignment="1">
      <alignment horizontal="center"/>
    </xf>
    <xf numFmtId="0" fontId="2" fillId="3" borderId="90" xfId="0" applyFont="1" applyFill="1" applyBorder="1" applyAlignment="1">
      <alignment horizontal="center"/>
    </xf>
    <xf numFmtId="0" fontId="2" fillId="3" borderId="89" xfId="0" applyFont="1" applyFill="1" applyBorder="1" applyAlignment="1">
      <alignment horizontal="centerContinuous"/>
    </xf>
    <xf numFmtId="0" fontId="2" fillId="3" borderId="88" xfId="0" applyFont="1" applyFill="1" applyBorder="1" applyAlignment="1">
      <alignment horizontal="centerContinuous"/>
    </xf>
    <xf numFmtId="0" fontId="2" fillId="3" borderId="87" xfId="0" applyFont="1" applyFill="1" applyBorder="1" applyAlignment="1">
      <alignment horizontal="center"/>
    </xf>
    <xf numFmtId="0" fontId="2" fillId="3" borderId="91" xfId="0" applyFont="1" applyFill="1" applyBorder="1" applyAlignment="1">
      <alignment horizontal="center"/>
    </xf>
    <xf numFmtId="9" fontId="47" fillId="0" borderId="0" xfId="2" applyFont="1" applyBorder="1" applyAlignment="1">
      <alignment horizontal="center" vertical="center"/>
    </xf>
    <xf numFmtId="9" fontId="47" fillId="0" borderId="69" xfId="2" applyFont="1" applyBorder="1" applyAlignment="1">
      <alignment horizontal="center" vertical="center"/>
    </xf>
    <xf numFmtId="9" fontId="47" fillId="0" borderId="66" xfId="2" applyFont="1" applyBorder="1" applyAlignment="1">
      <alignment horizontal="center"/>
    </xf>
    <xf numFmtId="0" fontId="5" fillId="0" borderId="0" xfId="0" applyFont="1" applyAlignment="1">
      <alignment vertical="center" wrapText="1"/>
    </xf>
    <xf numFmtId="0" fontId="5" fillId="0" borderId="69" xfId="0" applyFont="1" applyBorder="1" applyAlignment="1">
      <alignment vertical="center" wrapText="1"/>
    </xf>
    <xf numFmtId="0" fontId="55" fillId="0" borderId="0" xfId="0" applyFont="1" applyAlignment="1">
      <alignment horizontal="right"/>
    </xf>
    <xf numFmtId="0" fontId="56" fillId="0" borderId="0" xfId="0" applyFont="1" applyAlignment="1">
      <alignment horizontal="right"/>
    </xf>
    <xf numFmtId="0" fontId="57" fillId="0" borderId="0" xfId="0" applyFont="1" applyAlignment="1">
      <alignment horizontal="right"/>
    </xf>
    <xf numFmtId="0" fontId="7" fillId="6" borderId="92" xfId="0" applyFont="1" applyFill="1" applyBorder="1" applyAlignment="1">
      <alignment horizontal="center" wrapText="1"/>
    </xf>
    <xf numFmtId="0" fontId="5" fillId="0" borderId="93" xfId="0" applyFont="1" applyBorder="1" applyAlignment="1">
      <alignment horizontal="center"/>
    </xf>
    <xf numFmtId="0" fontId="5" fillId="0" borderId="94" xfId="0" applyFont="1" applyBorder="1" applyAlignment="1">
      <alignment horizontal="center"/>
    </xf>
    <xf numFmtId="0" fontId="5" fillId="0" borderId="0" xfId="0" applyFont="1" applyAlignment="1">
      <alignment horizontal="right" wrapText="1"/>
    </xf>
    <xf numFmtId="0" fontId="5" fillId="0" borderId="0" xfId="0" applyFont="1" applyAlignment="1">
      <alignment wrapText="1"/>
    </xf>
    <xf numFmtId="0" fontId="5" fillId="0" borderId="0" xfId="0" applyFont="1" applyAlignment="1">
      <alignment horizontal="right"/>
    </xf>
    <xf numFmtId="0" fontId="31" fillId="6" borderId="2" xfId="0" applyFont="1" applyFill="1" applyBorder="1" applyAlignment="1">
      <alignment horizontal="centerContinuous" wrapText="1"/>
    </xf>
    <xf numFmtId="0" fontId="31" fillId="6" borderId="0" xfId="0" applyFont="1" applyFill="1" applyAlignment="1">
      <alignment horizontal="centerContinuous" wrapText="1"/>
    </xf>
    <xf numFmtId="0" fontId="31" fillId="6" borderId="3" xfId="0" applyFont="1" applyFill="1" applyBorder="1" applyAlignment="1">
      <alignment horizontal="centerContinuous" wrapText="1"/>
    </xf>
    <xf numFmtId="1" fontId="0" fillId="0" borderId="25" xfId="0" applyNumberFormat="1" applyBorder="1" applyAlignment="1">
      <alignment horizontal="center" wrapText="1"/>
    </xf>
    <xf numFmtId="1" fontId="0" fillId="0" borderId="94" xfId="0" applyNumberFormat="1" applyBorder="1" applyAlignment="1">
      <alignment horizontal="center" wrapText="1"/>
    </xf>
    <xf numFmtId="1" fontId="0" fillId="0" borderId="7" xfId="0" applyNumberFormat="1" applyBorder="1" applyAlignment="1">
      <alignment horizontal="center" wrapText="1"/>
    </xf>
    <xf numFmtId="1" fontId="0" fillId="0" borderId="6" xfId="0" applyNumberFormat="1" applyBorder="1" applyAlignment="1">
      <alignment horizontal="center" wrapText="1"/>
    </xf>
    <xf numFmtId="1" fontId="0" fillId="0" borderId="0" xfId="0" applyNumberFormat="1" applyAlignment="1">
      <alignment horizontal="center" wrapText="1"/>
    </xf>
    <xf numFmtId="1" fontId="0" fillId="0" borderId="10" xfId="0" applyNumberFormat="1" applyBorder="1" applyAlignment="1">
      <alignment horizontal="center" wrapText="1"/>
    </xf>
    <xf numFmtId="1" fontId="0" fillId="0" borderId="24" xfId="0" applyNumberFormat="1" applyBorder="1" applyAlignment="1">
      <alignment horizontal="center" wrapText="1"/>
    </xf>
    <xf numFmtId="0" fontId="2" fillId="6" borderId="22" xfId="0" quotePrefix="1" applyFont="1" applyFill="1" applyBorder="1" applyAlignment="1">
      <alignment horizontal="center" wrapText="1"/>
    </xf>
    <xf numFmtId="14" fontId="5" fillId="0" borderId="0" xfId="0" applyNumberFormat="1" applyFont="1" applyAlignment="1">
      <alignment horizontal="center" wrapText="1"/>
    </xf>
    <xf numFmtId="0" fontId="11" fillId="0" borderId="0" xfId="0" applyFont="1" applyAlignment="1">
      <alignment wrapText="1"/>
    </xf>
    <xf numFmtId="14" fontId="0" fillId="0" borderId="0" xfId="0" applyNumberFormat="1" applyAlignment="1">
      <alignment horizontal="center" wrapText="1"/>
    </xf>
    <xf numFmtId="1" fontId="2" fillId="6" borderId="21" xfId="0" applyNumberFormat="1" applyFont="1" applyFill="1" applyBorder="1" applyAlignment="1">
      <alignment horizontal="centerContinuous" wrapText="1"/>
    </xf>
    <xf numFmtId="0" fontId="0" fillId="7" borderId="0" xfId="0" applyFill="1" applyAlignment="1">
      <alignment horizontal="center" wrapText="1"/>
    </xf>
    <xf numFmtId="0" fontId="11" fillId="7" borderId="0" xfId="0" applyFont="1" applyFill="1" applyAlignment="1">
      <alignment wrapText="1"/>
    </xf>
    <xf numFmtId="0" fontId="0" fillId="7" borderId="0" xfId="0" applyFill="1" applyAlignment="1">
      <alignment wrapText="1"/>
    </xf>
    <xf numFmtId="0" fontId="11" fillId="0" borderId="0" xfId="0" applyFont="1" applyAlignment="1">
      <alignment vertical="center"/>
    </xf>
    <xf numFmtId="17" fontId="0" fillId="0" borderId="0" xfId="0" applyNumberFormat="1"/>
    <xf numFmtId="0" fontId="0" fillId="0" borderId="20" xfId="0" applyBorder="1"/>
    <xf numFmtId="0" fontId="2" fillId="6" borderId="8" xfId="0" applyFont="1" applyFill="1" applyBorder="1" applyAlignment="1">
      <alignment horizontal="center"/>
    </xf>
    <xf numFmtId="0" fontId="2" fillId="6" borderId="8" xfId="0" applyFont="1" applyFill="1" applyBorder="1" applyAlignment="1">
      <alignment horizontal="center" wrapText="1"/>
    </xf>
    <xf numFmtId="0" fontId="31" fillId="6" borderId="21" xfId="0" applyFont="1" applyFill="1" applyBorder="1" applyAlignment="1">
      <alignment horizontal="centerContinuous" wrapText="1"/>
    </xf>
    <xf numFmtId="0" fontId="2" fillId="2" borderId="1" xfId="1" applyFont="1" applyAlignment="1">
      <alignment horizontal="center" wrapText="1"/>
    </xf>
    <xf numFmtId="0" fontId="2" fillId="6" borderId="86" xfId="0" applyFont="1" applyFill="1" applyBorder="1" applyAlignment="1">
      <alignment horizontal="center" wrapText="1"/>
    </xf>
    <xf numFmtId="1" fontId="56" fillId="0" borderId="10" xfId="0" applyNumberFormat="1" applyFont="1" applyBorder="1" applyAlignment="1">
      <alignment horizontal="center" wrapText="1"/>
    </xf>
    <xf numFmtId="0" fontId="56" fillId="0" borderId="0" xfId="0" applyFont="1" applyAlignment="1">
      <alignment horizontal="center" wrapText="1"/>
    </xf>
    <xf numFmtId="2" fontId="24" fillId="0" borderId="11" xfId="1" applyNumberFormat="1" applyFont="1" applyFill="1" applyBorder="1" applyAlignment="1">
      <alignment horizontal="center"/>
    </xf>
    <xf numFmtId="0" fontId="59" fillId="15" borderId="21" xfId="0" applyFont="1" applyFill="1" applyBorder="1" applyAlignment="1">
      <alignment horizontal="center" vertical="center"/>
    </xf>
    <xf numFmtId="0" fontId="60" fillId="0" borderId="0" xfId="0" applyFont="1" applyAlignment="1">
      <alignment horizontal="center" vertical="center"/>
    </xf>
    <xf numFmtId="0" fontId="60" fillId="0" borderId="20" xfId="0" applyFont="1" applyBorder="1" applyAlignment="1">
      <alignment horizontal="center" vertical="center"/>
    </xf>
    <xf numFmtId="0" fontId="60" fillId="0" borderId="10" xfId="0" applyFont="1" applyBorder="1" applyAlignment="1">
      <alignment horizontal="center" vertical="center"/>
    </xf>
    <xf numFmtId="0" fontId="61" fillId="0" borderId="0" xfId="0" applyFont="1" applyAlignment="1">
      <alignment vertical="center"/>
    </xf>
    <xf numFmtId="0" fontId="56" fillId="0" borderId="0" xfId="0" applyFont="1"/>
    <xf numFmtId="0" fontId="62" fillId="11" borderId="0" xfId="0" applyFont="1" applyFill="1" applyAlignment="1">
      <alignment horizontal="left" vertical="center"/>
    </xf>
    <xf numFmtId="0" fontId="56" fillId="12" borderId="40" xfId="0" applyFont="1" applyFill="1" applyBorder="1" applyAlignment="1">
      <alignment horizontal="center"/>
    </xf>
    <xf numFmtId="0" fontId="56" fillId="12" borderId="40" xfId="0" applyFont="1" applyFill="1" applyBorder="1"/>
    <xf numFmtId="0" fontId="5" fillId="12" borderId="40" xfId="0" applyFont="1" applyFill="1" applyBorder="1" applyAlignment="1">
      <alignment horizontal="center"/>
    </xf>
    <xf numFmtId="0" fontId="0" fillId="0" borderId="66" xfId="0" applyBorder="1" applyAlignment="1">
      <alignment horizontal="left"/>
    </xf>
    <xf numFmtId="167" fontId="5" fillId="0" borderId="66" xfId="2" applyNumberFormat="1" applyFont="1" applyBorder="1" applyAlignment="1">
      <alignment horizontal="center"/>
    </xf>
    <xf numFmtId="0" fontId="26" fillId="19" borderId="0" xfId="0" applyFont="1" applyFill="1"/>
    <xf numFmtId="0" fontId="26" fillId="0" borderId="0" xfId="0" applyFont="1"/>
    <xf numFmtId="0" fontId="63" fillId="0" borderId="0" xfId="0" applyFont="1" applyAlignment="1">
      <alignment horizontal="left" vertical="center"/>
    </xf>
    <xf numFmtId="0" fontId="5" fillId="0" borderId="7" xfId="0" applyFont="1" applyBorder="1" applyAlignment="1">
      <alignment horizontal="center" vertical="center"/>
    </xf>
    <xf numFmtId="0" fontId="2" fillId="13" borderId="56" xfId="0" applyFont="1" applyFill="1" applyBorder="1" applyAlignment="1">
      <alignment vertical="center"/>
    </xf>
    <xf numFmtId="0" fontId="2" fillId="13" borderId="7" xfId="0" applyFont="1" applyFill="1" applyBorder="1" applyAlignment="1">
      <alignment vertical="center"/>
    </xf>
    <xf numFmtId="0" fontId="2" fillId="13" borderId="95" xfId="0" applyFont="1" applyFill="1" applyBorder="1" applyAlignment="1">
      <alignment vertical="center"/>
    </xf>
    <xf numFmtId="0" fontId="4" fillId="0" borderId="50" xfId="0" applyFont="1" applyBorder="1" applyAlignment="1">
      <alignment horizontal="center"/>
    </xf>
    <xf numFmtId="0" fontId="4" fillId="0" borderId="60" xfId="0" applyFont="1" applyBorder="1" applyAlignment="1">
      <alignment horizontal="center"/>
    </xf>
    <xf numFmtId="0" fontId="0" fillId="0" borderId="7" xfId="0" applyBorder="1" applyAlignment="1">
      <alignment horizontal="center"/>
    </xf>
    <xf numFmtId="0" fontId="0" fillId="0" borderId="56" xfId="0" applyBorder="1" applyAlignment="1">
      <alignment horizontal="center"/>
    </xf>
    <xf numFmtId="0" fontId="0" fillId="0" borderId="95" xfId="0" applyBorder="1" applyAlignment="1">
      <alignment horizontal="center"/>
    </xf>
    <xf numFmtId="0" fontId="64" fillId="21" borderId="40" xfId="0" applyFont="1" applyFill="1" applyBorder="1" applyAlignment="1">
      <alignment horizontal="center"/>
    </xf>
    <xf numFmtId="0" fontId="50" fillId="18" borderId="65" xfId="4" applyAlignment="1"/>
    <xf numFmtId="165" fontId="0" fillId="0" borderId="52" xfId="0" applyNumberFormat="1" applyBorder="1"/>
    <xf numFmtId="0" fontId="2" fillId="13" borderId="54" xfId="0" applyFont="1" applyFill="1" applyBorder="1" applyAlignment="1">
      <alignment horizontal="centerContinuous" vertical="center"/>
    </xf>
    <xf numFmtId="0" fontId="2" fillId="13" borderId="40" xfId="0" applyFont="1" applyFill="1" applyBorder="1" applyAlignment="1">
      <alignment horizontal="centerContinuous" vertical="center"/>
    </xf>
    <xf numFmtId="0" fontId="2" fillId="13" borderId="55" xfId="0" applyFont="1" applyFill="1" applyBorder="1" applyAlignment="1">
      <alignment horizontal="centerContinuous" vertical="center"/>
    </xf>
    <xf numFmtId="2" fontId="2" fillId="13" borderId="40" xfId="0" applyNumberFormat="1" applyFont="1" applyFill="1" applyBorder="1" applyAlignment="1">
      <alignment horizontal="centerContinuous" vertical="center"/>
    </xf>
    <xf numFmtId="0" fontId="65" fillId="22" borderId="40" xfId="0" applyFont="1" applyFill="1" applyBorder="1" applyAlignment="1">
      <alignment vertical="center"/>
    </xf>
    <xf numFmtId="0" fontId="21" fillId="22" borderId="54" xfId="0" applyFont="1" applyFill="1" applyBorder="1" applyAlignment="1">
      <alignment vertical="center"/>
    </xf>
    <xf numFmtId="0" fontId="21" fillId="22" borderId="40" xfId="0" applyFont="1" applyFill="1" applyBorder="1" applyAlignment="1">
      <alignment vertical="center"/>
    </xf>
    <xf numFmtId="0" fontId="21" fillId="22" borderId="55" xfId="0" applyFont="1" applyFill="1" applyBorder="1" applyAlignment="1">
      <alignment vertical="center"/>
    </xf>
    <xf numFmtId="2" fontId="21" fillId="22" borderId="40" xfId="0" applyNumberFormat="1" applyFont="1" applyFill="1" applyBorder="1" applyAlignment="1">
      <alignment horizontal="center" vertical="center"/>
    </xf>
    <xf numFmtId="0" fontId="2" fillId="0" borderId="0" xfId="0" applyFont="1" applyAlignment="1">
      <alignment vertical="center"/>
    </xf>
    <xf numFmtId="0" fontId="0" fillId="7" borderId="7" xfId="0" applyFill="1" applyBorder="1"/>
    <xf numFmtId="0" fontId="0" fillId="7" borderId="56" xfId="0" applyFill="1" applyBorder="1"/>
    <xf numFmtId="0" fontId="0" fillId="7" borderId="95" xfId="0" applyFill="1" applyBorder="1"/>
    <xf numFmtId="2" fontId="0" fillId="7" borderId="7" xfId="0" applyNumberFormat="1" applyFill="1" applyBorder="1" applyAlignment="1">
      <alignment horizontal="center"/>
    </xf>
    <xf numFmtId="0" fontId="0" fillId="12" borderId="0" xfId="0" applyFill="1"/>
    <xf numFmtId="0" fontId="6" fillId="12" borderId="0" xfId="0" applyFont="1" applyFill="1" applyAlignment="1">
      <alignment horizontal="right" vertical="center"/>
    </xf>
    <xf numFmtId="0" fontId="0" fillId="12" borderId="61" xfId="0" applyFill="1" applyBorder="1" applyAlignment="1">
      <alignment horizontal="center" textRotation="90" wrapText="1"/>
    </xf>
    <xf numFmtId="0" fontId="0" fillId="12" borderId="49" xfId="0" applyFill="1" applyBorder="1" applyAlignment="1">
      <alignment horizontal="center" textRotation="90" wrapText="1"/>
    </xf>
    <xf numFmtId="0" fontId="0" fillId="12" borderId="62" xfId="0" applyFill="1" applyBorder="1" applyAlignment="1">
      <alignment horizontal="center" textRotation="90" wrapText="1"/>
    </xf>
    <xf numFmtId="0" fontId="2" fillId="12" borderId="0" xfId="0" applyFont="1" applyFill="1" applyAlignment="1">
      <alignment horizontal="center" textRotation="90" wrapText="1"/>
    </xf>
    <xf numFmtId="0" fontId="2" fillId="12" borderId="40" xfId="0" applyFont="1" applyFill="1" applyBorder="1" applyAlignment="1">
      <alignment vertical="center"/>
    </xf>
    <xf numFmtId="0" fontId="2" fillId="12" borderId="54" xfId="0" applyFont="1" applyFill="1" applyBorder="1" applyAlignment="1">
      <alignment vertical="center"/>
    </xf>
    <xf numFmtId="0" fontId="2" fillId="12" borderId="55" xfId="0" applyFont="1" applyFill="1" applyBorder="1" applyAlignment="1">
      <alignment vertical="center"/>
    </xf>
    <xf numFmtId="165" fontId="2" fillId="12" borderId="54" xfId="0" applyNumberFormat="1" applyFont="1" applyFill="1" applyBorder="1" applyAlignment="1">
      <alignment horizontal="center" vertical="center"/>
    </xf>
    <xf numFmtId="2" fontId="2" fillId="12" borderId="40" xfId="0" applyNumberFormat="1" applyFont="1" applyFill="1" applyBorder="1" applyAlignment="1">
      <alignment horizontal="center" vertical="center"/>
    </xf>
    <xf numFmtId="2" fontId="0" fillId="14" borderId="7" xfId="0" applyNumberFormat="1" applyFill="1" applyBorder="1" applyAlignment="1">
      <alignment horizontal="center"/>
    </xf>
    <xf numFmtId="0" fontId="4" fillId="0" borderId="50" xfId="0" applyFont="1" applyBorder="1" applyAlignment="1">
      <alignment horizontal="right"/>
    </xf>
    <xf numFmtId="165" fontId="0" fillId="0" borderId="50" xfId="0" applyNumberFormat="1" applyBorder="1" applyAlignment="1">
      <alignment horizontal="center"/>
    </xf>
    <xf numFmtId="0" fontId="0" fillId="0" borderId="96" xfId="0" applyBorder="1"/>
    <xf numFmtId="0" fontId="36" fillId="7" borderId="96" xfId="0" applyFont="1" applyFill="1" applyBorder="1" applyAlignment="1">
      <alignment horizontal="center"/>
    </xf>
    <xf numFmtId="2" fontId="0" fillId="14" borderId="96" xfId="0" applyNumberFormat="1" applyFill="1" applyBorder="1" applyAlignment="1">
      <alignment horizontal="center"/>
    </xf>
    <xf numFmtId="0" fontId="4" fillId="0" borderId="98" xfId="0" applyFont="1" applyBorder="1" applyAlignment="1">
      <alignment horizontal="center"/>
    </xf>
    <xf numFmtId="0" fontId="4" fillId="0" borderId="99" xfId="0" applyFont="1" applyBorder="1" applyAlignment="1">
      <alignment horizontal="center"/>
    </xf>
    <xf numFmtId="0" fontId="4" fillId="0" borderId="100" xfId="0" applyFont="1" applyBorder="1" applyAlignment="1">
      <alignment horizontal="center"/>
    </xf>
    <xf numFmtId="0" fontId="32" fillId="12" borderId="40" xfId="6" applyFill="1" applyBorder="1" applyAlignment="1">
      <alignment horizontal="right" vertical="center"/>
    </xf>
    <xf numFmtId="0" fontId="2" fillId="12" borderId="101" xfId="0" applyFont="1" applyFill="1" applyBorder="1" applyAlignment="1">
      <alignment vertical="center"/>
    </xf>
    <xf numFmtId="0" fontId="6" fillId="14" borderId="40" xfId="0" applyFont="1" applyFill="1" applyBorder="1" applyAlignment="1">
      <alignment horizontal="right" vertical="center"/>
    </xf>
    <xf numFmtId="0" fontId="0" fillId="14" borderId="40" xfId="0" applyFill="1" applyBorder="1" applyAlignment="1">
      <alignment vertical="center"/>
    </xf>
    <xf numFmtId="0" fontId="0" fillId="14" borderId="40" xfId="0" applyFill="1" applyBorder="1" applyAlignment="1">
      <alignment horizontal="right" vertical="center"/>
    </xf>
    <xf numFmtId="0" fontId="0" fillId="14" borderId="54" xfId="0" applyFill="1" applyBorder="1" applyAlignment="1">
      <alignment horizontal="center" vertical="center" wrapText="1"/>
    </xf>
    <xf numFmtId="0" fontId="0" fillId="14" borderId="40" xfId="0" applyFill="1" applyBorder="1" applyAlignment="1">
      <alignment horizontal="center" vertical="center" wrapText="1"/>
    </xf>
    <xf numFmtId="0" fontId="0" fillId="14" borderId="55" xfId="0" applyFill="1" applyBorder="1" applyAlignment="1">
      <alignment horizontal="center" vertical="center" wrapText="1"/>
    </xf>
    <xf numFmtId="0" fontId="2" fillId="14" borderId="40" xfId="0" applyFont="1" applyFill="1" applyBorder="1" applyAlignment="1">
      <alignment horizontal="center" vertical="center" textRotation="90" wrapText="1"/>
    </xf>
    <xf numFmtId="0" fontId="0" fillId="14" borderId="54" xfId="0" applyFill="1" applyBorder="1" applyAlignment="1">
      <alignment vertical="center" textRotation="90"/>
    </xf>
    <xf numFmtId="0" fontId="0" fillId="14" borderId="40" xfId="0" applyFill="1" applyBorder="1" applyAlignment="1">
      <alignment horizontal="center" vertical="center" textRotation="90" wrapText="1"/>
    </xf>
    <xf numFmtId="0" fontId="0" fillId="0" borderId="49" xfId="0" applyBorder="1" applyAlignment="1">
      <alignment horizontal="right"/>
    </xf>
    <xf numFmtId="0" fontId="0" fillId="0" borderId="42" xfId="0" applyBorder="1" applyAlignment="1">
      <alignment horizontal="right"/>
    </xf>
    <xf numFmtId="0" fontId="2" fillId="13" borderId="40" xfId="0" applyFont="1" applyFill="1" applyBorder="1" applyAlignment="1">
      <alignment horizontal="right" vertical="center"/>
    </xf>
    <xf numFmtId="0" fontId="0" fillId="0" borderId="51" xfId="0" applyBorder="1" applyAlignment="1">
      <alignment horizontal="center"/>
    </xf>
    <xf numFmtId="9" fontId="0" fillId="0" borderId="0" xfId="0" applyNumberFormat="1" applyAlignment="1">
      <alignment horizontal="center"/>
    </xf>
    <xf numFmtId="9" fontId="0" fillId="0" borderId="96" xfId="0" applyNumberFormat="1" applyBorder="1" applyAlignment="1">
      <alignment horizontal="center"/>
    </xf>
    <xf numFmtId="0" fontId="2" fillId="13" borderId="40" xfId="0" applyFont="1" applyFill="1" applyBorder="1" applyAlignment="1">
      <alignment horizontal="center" vertical="center"/>
    </xf>
    <xf numFmtId="2" fontId="2" fillId="13" borderId="102" xfId="0" applyNumberFormat="1" applyFont="1" applyFill="1" applyBorder="1" applyAlignment="1">
      <alignment horizontal="center" vertical="center"/>
    </xf>
    <xf numFmtId="0" fontId="0" fillId="7" borderId="0" xfId="0" applyFill="1" applyAlignment="1">
      <alignment horizontal="left" vertical="top" wrapText="1"/>
    </xf>
    <xf numFmtId="0" fontId="0" fillId="7" borderId="50" xfId="0" applyFill="1" applyBorder="1" applyAlignment="1">
      <alignment horizontal="left" vertical="top" wrapText="1"/>
    </xf>
    <xf numFmtId="0" fontId="0" fillId="0" borderId="0" xfId="0" applyAlignment="1">
      <alignment horizontal="left" vertical="top" wrapText="1"/>
    </xf>
    <xf numFmtId="2" fontId="21" fillId="22" borderId="40" xfId="0" applyNumberFormat="1" applyFont="1" applyFill="1" applyBorder="1" applyAlignment="1">
      <alignment horizontal="left" vertical="top" wrapText="1"/>
    </xf>
    <xf numFmtId="0" fontId="0" fillId="12" borderId="0" xfId="0" applyFill="1" applyAlignment="1">
      <alignment horizontal="left" vertical="top" wrapText="1"/>
    </xf>
    <xf numFmtId="0" fontId="0" fillId="14" borderId="40" xfId="0" applyFill="1" applyBorder="1" applyAlignment="1">
      <alignment horizontal="left" vertical="top" wrapText="1"/>
    </xf>
    <xf numFmtId="165" fontId="0" fillId="0" borderId="0" xfId="0" applyNumberFormat="1" applyAlignment="1">
      <alignment horizontal="left" vertical="top" wrapText="1"/>
    </xf>
    <xf numFmtId="165" fontId="0" fillId="7" borderId="0" xfId="0" applyNumberFormat="1" applyFill="1" applyAlignment="1">
      <alignment horizontal="left" vertical="top" wrapText="1"/>
    </xf>
    <xf numFmtId="2" fontId="0" fillId="7" borderId="50" xfId="0" applyNumberFormat="1" applyFill="1" applyBorder="1" applyAlignment="1">
      <alignment horizontal="left" vertical="top" wrapText="1"/>
    </xf>
    <xf numFmtId="2" fontId="0" fillId="0" borderId="0" xfId="0" applyNumberFormat="1" applyAlignment="1">
      <alignment horizontal="left" vertical="top" wrapText="1"/>
    </xf>
    <xf numFmtId="165" fontId="2" fillId="12" borderId="40" xfId="0" applyNumberFormat="1" applyFont="1" applyFill="1" applyBorder="1" applyAlignment="1">
      <alignment horizontal="left" vertical="top" wrapText="1"/>
    </xf>
    <xf numFmtId="0" fontId="0" fillId="7" borderId="7" xfId="0" applyFill="1" applyBorder="1" applyAlignment="1">
      <alignment horizontal="left" vertical="top" wrapText="1"/>
    </xf>
    <xf numFmtId="2" fontId="0" fillId="0" borderId="49" xfId="0" applyNumberFormat="1" applyBorder="1" applyAlignment="1">
      <alignment horizontal="left" vertical="top" wrapText="1"/>
    </xf>
    <xf numFmtId="165" fontId="0" fillId="0" borderId="51" xfId="0" applyNumberFormat="1" applyBorder="1" applyAlignment="1">
      <alignment horizontal="left" vertical="top" wrapText="1"/>
    </xf>
    <xf numFmtId="165" fontId="0" fillId="0" borderId="42" xfId="0" applyNumberFormat="1" applyBorder="1" applyAlignment="1">
      <alignment horizontal="left" vertical="top" wrapText="1"/>
    </xf>
    <xf numFmtId="2" fontId="0" fillId="0" borderId="96" xfId="0" applyNumberFormat="1" applyBorder="1" applyAlignment="1">
      <alignment horizontal="left" vertical="top" wrapText="1"/>
    </xf>
    <xf numFmtId="165" fontId="0" fillId="0" borderId="50" xfId="0" applyNumberFormat="1" applyBorder="1" applyAlignment="1">
      <alignment horizontal="left" vertical="top" wrapText="1"/>
    </xf>
    <xf numFmtId="165" fontId="2" fillId="13" borderId="40" xfId="0" applyNumberFormat="1" applyFont="1" applyFill="1" applyBorder="1" applyAlignment="1">
      <alignment horizontal="center" vertical="top" wrapText="1"/>
    </xf>
    <xf numFmtId="165" fontId="2" fillId="12" borderId="40" xfId="0" applyNumberFormat="1" applyFont="1" applyFill="1" applyBorder="1" applyAlignment="1">
      <alignment horizontal="center" vertical="top" wrapText="1"/>
    </xf>
    <xf numFmtId="0" fontId="0" fillId="7" borderId="95" xfId="0" applyFill="1" applyBorder="1" applyAlignment="1">
      <alignment horizontal="right"/>
    </xf>
    <xf numFmtId="0" fontId="0" fillId="7" borderId="53" xfId="0" applyFill="1" applyBorder="1" applyAlignment="1">
      <alignment horizontal="right"/>
    </xf>
    <xf numFmtId="0" fontId="0" fillId="7" borderId="60" xfId="0" applyFill="1" applyBorder="1" applyAlignment="1">
      <alignment horizontal="right"/>
    </xf>
    <xf numFmtId="0" fontId="0" fillId="12" borderId="61" xfId="0" applyFill="1" applyBorder="1" applyAlignment="1">
      <alignment horizontal="center" textRotation="90"/>
    </xf>
    <xf numFmtId="0" fontId="0" fillId="0" borderId="103" xfId="0" applyBorder="1"/>
    <xf numFmtId="9" fontId="0" fillId="0" borderId="103" xfId="0" applyNumberFormat="1" applyBorder="1" applyAlignment="1">
      <alignment horizontal="center"/>
    </xf>
    <xf numFmtId="0" fontId="36" fillId="7" borderId="103" xfId="0" applyFont="1" applyFill="1" applyBorder="1" applyAlignment="1">
      <alignment horizontal="center"/>
    </xf>
    <xf numFmtId="0" fontId="0" fillId="0" borderId="104" xfId="0" applyBorder="1" applyAlignment="1">
      <alignment horizontal="center"/>
    </xf>
    <xf numFmtId="0" fontId="0" fillId="0" borderId="103" xfId="0" applyBorder="1" applyAlignment="1">
      <alignment horizontal="center"/>
    </xf>
    <xf numFmtId="0" fontId="0" fillId="0" borderId="105" xfId="0" applyBorder="1" applyAlignment="1">
      <alignment horizontal="center"/>
    </xf>
    <xf numFmtId="2" fontId="0" fillId="14" borderId="103" xfId="0" applyNumberFormat="1" applyFill="1" applyBorder="1" applyAlignment="1">
      <alignment horizontal="center"/>
    </xf>
    <xf numFmtId="2" fontId="0" fillId="0" borderId="103" xfId="0" applyNumberFormat="1" applyBorder="1" applyAlignment="1">
      <alignment horizontal="left" vertical="top" wrapText="1"/>
    </xf>
    <xf numFmtId="2" fontId="0" fillId="13" borderId="106" xfId="0" applyNumberFormat="1" applyFill="1" applyBorder="1" applyAlignment="1">
      <alignment horizontal="center" vertical="center"/>
    </xf>
    <xf numFmtId="165" fontId="0" fillId="23" borderId="107" xfId="0" applyNumberFormat="1" applyFill="1" applyBorder="1" applyAlignment="1">
      <alignment horizontal="center"/>
    </xf>
    <xf numFmtId="0" fontId="4" fillId="0" borderId="52" xfId="0" applyFont="1" applyBorder="1" applyAlignment="1">
      <alignment horizontal="center"/>
    </xf>
    <xf numFmtId="0" fontId="4" fillId="0" borderId="96" xfId="0" applyFont="1" applyBorder="1" applyAlignment="1">
      <alignment horizontal="center"/>
    </xf>
    <xf numFmtId="0" fontId="4" fillId="0" borderId="97" xfId="0" applyFont="1" applyBorder="1" applyAlignment="1">
      <alignment horizontal="center"/>
    </xf>
    <xf numFmtId="165" fontId="66" fillId="4" borderId="61" xfId="0" applyNumberFormat="1" applyFont="1" applyFill="1" applyBorder="1" applyAlignment="1">
      <alignment horizontal="center"/>
    </xf>
    <xf numFmtId="2" fontId="66" fillId="0" borderId="49" xfId="0" applyNumberFormat="1" applyFont="1" applyBorder="1" applyAlignment="1">
      <alignment horizontal="center"/>
    </xf>
    <xf numFmtId="165" fontId="66" fillId="4" borderId="52" xfId="0" applyNumberFormat="1" applyFont="1" applyFill="1" applyBorder="1" applyAlignment="1">
      <alignment horizontal="center"/>
    </xf>
    <xf numFmtId="2" fontId="66" fillId="0" borderId="0" xfId="0" applyNumberFormat="1" applyFont="1" applyAlignment="1">
      <alignment horizontal="center"/>
    </xf>
    <xf numFmtId="165" fontId="66" fillId="4" borderId="63" xfId="0" applyNumberFormat="1" applyFont="1" applyFill="1" applyBorder="1" applyAlignment="1">
      <alignment horizontal="center"/>
    </xf>
    <xf numFmtId="165" fontId="66" fillId="23" borderId="107" xfId="0" applyNumberFormat="1" applyFont="1" applyFill="1" applyBorder="1" applyAlignment="1">
      <alignment horizontal="center"/>
    </xf>
    <xf numFmtId="2" fontId="66" fillId="13" borderId="106" xfId="0" applyNumberFormat="1" applyFont="1" applyFill="1" applyBorder="1" applyAlignment="1">
      <alignment horizontal="center" vertical="center"/>
    </xf>
    <xf numFmtId="2" fontId="66" fillId="0" borderId="42" xfId="0" applyNumberFormat="1" applyFont="1" applyBorder="1" applyAlignment="1">
      <alignment horizontal="center"/>
    </xf>
    <xf numFmtId="2" fontId="0" fillId="14" borderId="0" xfId="0" applyNumberFormat="1" applyFill="1" applyAlignment="1">
      <alignment horizontal="center"/>
    </xf>
    <xf numFmtId="165" fontId="0" fillId="23" borderId="22" xfId="0" applyNumberFormat="1" applyFill="1" applyBorder="1" applyAlignment="1">
      <alignment horizontal="center"/>
    </xf>
    <xf numFmtId="2" fontId="0" fillId="13" borderId="20" xfId="0" applyNumberFormat="1" applyFill="1" applyBorder="1" applyAlignment="1">
      <alignment horizontal="center" vertical="center"/>
    </xf>
    <xf numFmtId="2" fontId="0" fillId="14" borderId="50" xfId="0" applyNumberFormat="1" applyFill="1" applyBorder="1"/>
    <xf numFmtId="165" fontId="4" fillId="4" borderId="108" xfId="0" applyNumberFormat="1" applyFont="1" applyFill="1" applyBorder="1" applyAlignment="1">
      <alignment horizontal="center"/>
    </xf>
    <xf numFmtId="2" fontId="4" fillId="0" borderId="109" xfId="0" applyNumberFormat="1" applyFont="1" applyBorder="1" applyAlignment="1">
      <alignment horizontal="center"/>
    </xf>
    <xf numFmtId="2" fontId="0" fillId="14" borderId="109" xfId="0" applyNumberFormat="1" applyFill="1" applyBorder="1" applyAlignment="1">
      <alignment horizontal="center"/>
    </xf>
    <xf numFmtId="2" fontId="0" fillId="0" borderId="109" xfId="0" applyNumberFormat="1" applyBorder="1" applyAlignment="1">
      <alignment horizontal="left" vertical="top" wrapText="1"/>
    </xf>
    <xf numFmtId="9" fontId="0" fillId="0" borderId="103" xfId="2" applyFont="1" applyBorder="1" applyAlignment="1">
      <alignment horizontal="center"/>
    </xf>
    <xf numFmtId="9" fontId="4" fillId="0" borderId="0" xfId="2" applyFont="1" applyBorder="1" applyAlignment="1">
      <alignment horizontal="center"/>
    </xf>
    <xf numFmtId="165" fontId="0" fillId="0" borderId="52" xfId="0" applyNumberFormat="1" applyBorder="1" applyAlignment="1">
      <alignment horizontal="center"/>
    </xf>
    <xf numFmtId="165" fontId="0" fillId="0" borderId="104" xfId="0" applyNumberFormat="1" applyBorder="1" applyAlignment="1">
      <alignment horizontal="center"/>
    </xf>
    <xf numFmtId="165" fontId="4" fillId="0" borderId="52" xfId="0" applyNumberFormat="1" applyFont="1" applyBorder="1" applyAlignment="1">
      <alignment horizontal="center"/>
    </xf>
    <xf numFmtId="0" fontId="32" fillId="2" borderId="1" xfId="1" applyFont="1" applyAlignment="1">
      <alignment horizontal="center" vertical="center"/>
    </xf>
    <xf numFmtId="1" fontId="0" fillId="2" borderId="1" xfId="1" applyNumberFormat="1" applyFont="1" applyAlignment="1">
      <alignment horizontal="center"/>
    </xf>
    <xf numFmtId="9" fontId="0" fillId="2" borderId="1" xfId="1" applyNumberFormat="1" applyFont="1" applyAlignment="1">
      <alignment horizontal="center"/>
    </xf>
    <xf numFmtId="1" fontId="24" fillId="0" borderId="110" xfId="1" applyNumberFormat="1" applyFont="1" applyFill="1" applyBorder="1" applyAlignment="1">
      <alignment horizontal="center"/>
    </xf>
    <xf numFmtId="1" fontId="24" fillId="0" borderId="78" xfId="1" applyNumberFormat="1" applyFont="1" applyFill="1" applyBorder="1" applyAlignment="1">
      <alignment horizontal="center"/>
    </xf>
    <xf numFmtId="1" fontId="24" fillId="0" borderId="79" xfId="1" applyNumberFormat="1" applyFont="1" applyFill="1" applyBorder="1" applyAlignment="1">
      <alignment horizontal="center"/>
    </xf>
    <xf numFmtId="0" fontId="24" fillId="0" borderId="35" xfId="1" applyFont="1" applyFill="1" applyBorder="1" applyAlignment="1">
      <alignment horizontal="center"/>
    </xf>
    <xf numFmtId="0" fontId="24" fillId="0" borderId="31" xfId="1" applyFont="1" applyFill="1" applyBorder="1" applyAlignment="1">
      <alignment horizontal="center"/>
    </xf>
    <xf numFmtId="0" fontId="24" fillId="0" borderId="33" xfId="1" applyFont="1" applyFill="1" applyBorder="1" applyAlignment="1">
      <alignment horizontal="center"/>
    </xf>
    <xf numFmtId="0" fontId="5" fillId="0" borderId="14" xfId="0" applyFont="1" applyBorder="1" applyAlignment="1">
      <alignment horizontal="center"/>
    </xf>
    <xf numFmtId="0" fontId="5" fillId="0" borderId="14" xfId="0" applyFont="1" applyBorder="1" applyAlignment="1">
      <alignment horizontal="left"/>
    </xf>
    <xf numFmtId="0" fontId="67" fillId="15" borderId="21" xfId="0" applyFont="1" applyFill="1" applyBorder="1" applyAlignment="1">
      <alignment horizontal="center" vertical="center"/>
    </xf>
    <xf numFmtId="0" fontId="29" fillId="12" borderId="40" xfId="0" applyFont="1" applyFill="1" applyBorder="1" applyAlignment="1">
      <alignment horizontal="center"/>
    </xf>
    <xf numFmtId="0" fontId="68" fillId="0" borderId="0" xfId="0" applyFont="1" applyAlignment="1">
      <alignment horizontal="center" vertical="center"/>
    </xf>
    <xf numFmtId="0" fontId="29" fillId="12" borderId="40" xfId="0" applyFont="1" applyFill="1" applyBorder="1"/>
    <xf numFmtId="0" fontId="68" fillId="0" borderId="20" xfId="0" applyFont="1" applyBorder="1" applyAlignment="1">
      <alignment horizontal="center" vertical="center"/>
    </xf>
    <xf numFmtId="0" fontId="68" fillId="0" borderId="10" xfId="0" applyFont="1" applyBorder="1" applyAlignment="1">
      <alignment horizontal="center" vertical="center"/>
    </xf>
    <xf numFmtId="0" fontId="69" fillId="0" borderId="0" xfId="0" applyFont="1" applyAlignment="1">
      <alignment horizontal="center" vertical="center"/>
    </xf>
    <xf numFmtId="9" fontId="69" fillId="0" borderId="0" xfId="2" applyFont="1" applyBorder="1" applyAlignment="1">
      <alignment horizontal="center" vertical="center"/>
    </xf>
    <xf numFmtId="1" fontId="69" fillId="0" borderId="0" xfId="0" applyNumberFormat="1" applyFont="1" applyAlignment="1">
      <alignment horizontal="center" vertical="center"/>
    </xf>
    <xf numFmtId="1" fontId="26" fillId="0" borderId="45" xfId="0" applyNumberFormat="1" applyFont="1" applyBorder="1" applyAlignment="1">
      <alignment horizontal="center"/>
    </xf>
    <xf numFmtId="9" fontId="26" fillId="0" borderId="46" xfId="2" applyFont="1" applyBorder="1" applyAlignment="1">
      <alignment horizontal="center"/>
    </xf>
    <xf numFmtId="165" fontId="26" fillId="0" borderId="0" xfId="0" applyNumberFormat="1" applyFont="1" applyAlignment="1">
      <alignment horizontal="center"/>
    </xf>
    <xf numFmtId="9" fontId="26" fillId="0" borderId="0" xfId="2" applyFont="1" applyBorder="1" applyAlignment="1">
      <alignment horizontal="center"/>
    </xf>
    <xf numFmtId="0" fontId="26" fillId="0" borderId="10" xfId="0" applyFont="1" applyBorder="1" applyAlignment="1">
      <alignment horizontal="center"/>
    </xf>
    <xf numFmtId="1" fontId="26" fillId="0" borderId="47" xfId="0" applyNumberFormat="1" applyFont="1" applyBorder="1" applyAlignment="1">
      <alignment horizontal="center"/>
    </xf>
    <xf numFmtId="9" fontId="26" fillId="0" borderId="48" xfId="2" applyFont="1" applyBorder="1" applyAlignment="1">
      <alignment horizontal="center"/>
    </xf>
    <xf numFmtId="165" fontId="26" fillId="0" borderId="10" xfId="0" applyNumberFormat="1" applyFont="1" applyBorder="1" applyAlignment="1">
      <alignment horizontal="center"/>
    </xf>
    <xf numFmtId="9" fontId="26" fillId="0" borderId="10" xfId="2" applyFont="1" applyBorder="1" applyAlignment="1">
      <alignment horizontal="center"/>
    </xf>
    <xf numFmtId="1" fontId="24" fillId="0" borderId="11" xfId="1" applyNumberFormat="1" applyFont="1" applyFill="1" applyBorder="1" applyAlignment="1">
      <alignment horizontal="center"/>
    </xf>
    <xf numFmtId="0" fontId="0" fillId="12" borderId="94" xfId="0" applyFill="1" applyBorder="1"/>
    <xf numFmtId="0" fontId="0" fillId="12" borderId="7" xfId="0" applyFill="1" applyBorder="1" applyAlignment="1">
      <alignment horizontal="right"/>
    </xf>
    <xf numFmtId="0" fontId="0" fillId="12" borderId="7" xfId="0" applyFill="1" applyBorder="1" applyAlignment="1">
      <alignment horizontal="center"/>
    </xf>
    <xf numFmtId="9" fontId="0" fillId="12" borderId="6" xfId="2" applyFont="1" applyFill="1" applyBorder="1" applyAlignment="1">
      <alignment horizontal="center"/>
    </xf>
    <xf numFmtId="0" fontId="0" fillId="12" borderId="22" xfId="0" applyFill="1" applyBorder="1"/>
    <xf numFmtId="0" fontId="0" fillId="12" borderId="20" xfId="0" applyFill="1" applyBorder="1" applyAlignment="1">
      <alignment horizontal="right"/>
    </xf>
    <xf numFmtId="0" fontId="0" fillId="12" borderId="20" xfId="0" applyFill="1" applyBorder="1" applyAlignment="1">
      <alignment horizontal="center"/>
    </xf>
    <xf numFmtId="9" fontId="0" fillId="12" borderId="23" xfId="2" applyFont="1" applyFill="1" applyBorder="1" applyAlignment="1">
      <alignment horizontal="center"/>
    </xf>
    <xf numFmtId="0" fontId="57" fillId="20" borderId="0" xfId="0" applyFont="1" applyFill="1"/>
    <xf numFmtId="0" fontId="5" fillId="0" borderId="111" xfId="1" applyNumberFormat="1" applyFont="1" applyFill="1" applyBorder="1" applyAlignment="1">
      <alignment horizontal="center"/>
    </xf>
    <xf numFmtId="0" fontId="5" fillId="0" borderId="112" xfId="1" applyNumberFormat="1" applyFont="1" applyFill="1" applyBorder="1" applyAlignment="1">
      <alignment horizontal="center"/>
    </xf>
    <xf numFmtId="0" fontId="5" fillId="0" borderId="84" xfId="1" applyNumberFormat="1" applyFont="1" applyFill="1" applyBorder="1" applyAlignment="1">
      <alignment horizontal="left"/>
    </xf>
    <xf numFmtId="0" fontId="5" fillId="0" borderId="1" xfId="1" applyNumberFormat="1" applyFont="1" applyFill="1" applyAlignment="1">
      <alignment horizontal="left"/>
    </xf>
    <xf numFmtId="0" fontId="5" fillId="0" borderId="1" xfId="1" applyFont="1" applyFill="1" applyAlignment="1">
      <alignment horizontal="left"/>
    </xf>
    <xf numFmtId="0" fontId="70" fillId="0" borderId="0" xfId="0" applyFont="1"/>
    <xf numFmtId="0" fontId="10" fillId="14" borderId="0" xfId="0" applyFont="1" applyFill="1" applyAlignment="1">
      <alignment horizontal="left" vertical="center"/>
    </xf>
    <xf numFmtId="0" fontId="43" fillId="15" borderId="76" xfId="0" applyFont="1" applyFill="1" applyBorder="1" applyAlignment="1">
      <alignment horizontal="center" vertical="center" wrapText="1"/>
    </xf>
    <xf numFmtId="0" fontId="43" fillId="15" borderId="21" xfId="0" applyFont="1" applyFill="1" applyBorder="1" applyAlignment="1">
      <alignment horizontal="center" vertical="center" wrapText="1"/>
    </xf>
    <xf numFmtId="0" fontId="46" fillId="0" borderId="21" xfId="0" applyFont="1" applyBorder="1" applyAlignment="1">
      <alignment horizontal="left" vertical="center" indent="2"/>
    </xf>
    <xf numFmtId="0" fontId="43" fillId="15" borderId="71" xfId="0" applyFont="1" applyFill="1" applyBorder="1" applyAlignment="1">
      <alignment horizontal="center" vertical="center" wrapText="1"/>
    </xf>
    <xf numFmtId="0" fontId="43" fillId="15" borderId="83" xfId="0" applyFont="1" applyFill="1" applyBorder="1" applyAlignment="1">
      <alignment horizontal="center" vertical="center" wrapText="1"/>
    </xf>
    <xf numFmtId="0" fontId="50" fillId="18" borderId="65" xfId="4" applyAlignment="1">
      <alignment horizontal="center"/>
    </xf>
    <xf numFmtId="0" fontId="58" fillId="3" borderId="88" xfId="0" applyFont="1" applyFill="1" applyBorder="1" applyAlignment="1">
      <alignment horizontal="center" wrapText="1"/>
    </xf>
    <xf numFmtId="0" fontId="58" fillId="3" borderId="4" xfId="0" applyFont="1" applyFill="1" applyBorder="1" applyAlignment="1">
      <alignment horizontal="center" wrapText="1"/>
    </xf>
    <xf numFmtId="0" fontId="0" fillId="2" borderId="1" xfId="1" applyFont="1" applyAlignment="1">
      <alignment horizontal="center"/>
    </xf>
    <xf numFmtId="0" fontId="2" fillId="6" borderId="3" xfId="0" applyFont="1" applyFill="1" applyBorder="1" applyAlignment="1">
      <alignment horizontal="center" wrapText="1"/>
    </xf>
    <xf numFmtId="0" fontId="2" fillId="6" borderId="23" xfId="0" applyFont="1" applyFill="1" applyBorder="1" applyAlignment="1">
      <alignment horizontal="center" wrapText="1"/>
    </xf>
  </cellXfs>
  <cellStyles count="7">
    <cellStyle name="Normal" xfId="0" builtinId="0"/>
    <cellStyle name="Normal 2" xfId="3" xr:uid="{8BEACC4A-29DC-4465-91FB-E155D0258AD8}"/>
    <cellStyle name="Normal 2 2" xfId="5" xr:uid="{7EEAAB16-8D13-4A15-94E1-0DBF45FE816A}"/>
    <cellStyle name="Note" xfId="1" builtinId="10"/>
    <cellStyle name="Output" xfId="4" builtinId="21"/>
    <cellStyle name="Percent" xfId="2" builtinId="5"/>
    <cellStyle name="Warning Text" xfId="6" builtinId="11"/>
  </cellStyles>
  <dxfs count="101">
    <dxf>
      <font>
        <color rgb="FF9C0006"/>
      </font>
      <fill>
        <patternFill>
          <bgColor rgb="FFFFC7CE"/>
        </patternFill>
      </fill>
    </dxf>
    <dxf>
      <font>
        <color rgb="FF9C0006"/>
      </font>
      <fill>
        <patternFill>
          <bgColor rgb="FFFFC7CE"/>
        </patternFill>
      </fill>
    </dxf>
    <dxf>
      <font>
        <b/>
        <i val="0"/>
        <color rgb="FF9C0006"/>
      </font>
    </dxf>
    <dxf>
      <font>
        <color rgb="FF9C0006"/>
      </font>
      <fill>
        <patternFill>
          <bgColor rgb="FFFFC7CE"/>
        </patternFill>
      </fill>
    </dxf>
    <dxf>
      <font>
        <b/>
        <i val="0"/>
        <color rgb="FF9C0006"/>
      </font>
    </dxf>
    <dxf>
      <font>
        <b/>
        <i val="0"/>
        <color rgb="FF9C0006"/>
      </font>
    </dxf>
    <dxf>
      <font>
        <b/>
        <i val="0"/>
        <color rgb="FF9C0006"/>
      </font>
    </dxf>
    <dxf>
      <font>
        <color rgb="FF9C0006"/>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theme="9" tint="0.79998168889431442"/>
        </patternFill>
      </fill>
    </dxf>
    <dxf>
      <font>
        <color rgb="FF006100"/>
      </font>
      <fill>
        <patternFill>
          <bgColor theme="9" tint="0.39994506668294322"/>
        </patternFill>
      </fill>
    </dxf>
    <dxf>
      <fill>
        <patternFill>
          <bgColor theme="9" tint="0.79998168889431442"/>
        </patternFill>
      </fill>
    </dxf>
    <dxf>
      <font>
        <color rgb="FF9C0006"/>
      </font>
      <fill>
        <patternFill>
          <bgColor rgb="FFFFC7CE"/>
        </patternFill>
      </fill>
    </dxf>
    <dxf>
      <font>
        <color rgb="FFFF0000"/>
      </font>
    </dxf>
    <dxf>
      <font>
        <color rgb="FFFF0000"/>
      </font>
    </dxf>
    <dxf>
      <font>
        <color rgb="FFFF0000"/>
      </font>
    </dxf>
    <dxf>
      <font>
        <color rgb="FFFF0000"/>
      </font>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indent="0" justifyLastLine="0" shrinkToFit="0" readingOrder="0"/>
      <border diagonalUp="0" diagonalDown="0">
        <left style="thin">
          <color theme="4" tint="0.59996337778862885"/>
        </left>
        <right style="thin">
          <color theme="4" tint="0.59996337778862885"/>
        </right>
        <vertical/>
      </border>
    </dxf>
    <dxf>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4" tint="0.39997558519241921"/>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4" tint="0.39997558519241921"/>
        </left>
        <right/>
        <top style="thin">
          <color theme="4" tint="0.39997558519241921"/>
        </top>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border>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outline="0">
        <left style="thin">
          <color rgb="FFB2B2B2"/>
        </left>
      </border>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outline="0">
        <left style="thin">
          <color rgb="FFB2B2B2"/>
        </left>
        <right style="thin">
          <color rgb="FFB2B2B2"/>
        </right>
      </border>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left" vertical="bottom" textRotation="0" wrapText="0" indent="0" justifyLastLine="0" shrinkToFit="0" readingOrder="0"/>
      <border outline="0">
        <left style="thin">
          <color rgb="FFB2B2B2"/>
        </left>
      </border>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left" vertical="bottom" textRotation="0" wrapText="0" indent="0" justifyLastLine="0" shrinkToFit="0" readingOrder="0"/>
      <border outline="0">
        <right style="thin">
          <color rgb="FFB2B2B2"/>
        </right>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border>
    </dxf>
    <dxf>
      <font>
        <b val="0"/>
        <i val="0"/>
        <strike val="0"/>
        <condense val="0"/>
        <extend val="0"/>
        <outline val="0"/>
        <shadow val="0"/>
        <u val="none"/>
        <vertAlign val="baseline"/>
        <sz val="10"/>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left style="thin">
          <color rgb="FFB2B2B2"/>
        </left>
        <right style="thin">
          <color rgb="FFB2B2B2"/>
        </right>
        <top style="thin">
          <color theme="4" tint="0.39997558519241921"/>
        </top>
        <bottom style="thin">
          <color theme="4" tint="0.39997558519241921"/>
        </bottom>
        <vertical style="thin">
          <color rgb="FFB2B2B2"/>
        </vertical>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4" tint="0.39994506668294322"/>
        </left>
        <right style="thin">
          <color rgb="FFB2B2B2"/>
        </right>
        <top style="thin">
          <color theme="4" tint="0.39997558519241921"/>
        </top>
        <bottom style="thin">
          <color theme="4" tint="0.39997558519241921"/>
        </bottom>
        <vertical/>
        <horizontal style="thin">
          <color theme="4" tint="0.39997558519241921"/>
        </horizontal>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style="thin">
          <color theme="4" tint="0.39997558519241921"/>
        </top>
        <bottom style="thin">
          <color theme="4" tint="0.39997558519241921"/>
        </bottom>
        <vertical/>
        <horizontal style="thin">
          <color theme="4" tint="0.39997558519241921"/>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theme="4" tint="0.79998168889431442"/>
          <bgColor auto="1"/>
        </patternFill>
      </fill>
      <alignment horizontal="left" vertical="bottom" textRotation="0" indent="0" justifyLastLine="0" shrinkToFit="0" readingOrder="0"/>
      <border diagonalUp="0" diagonalDown="0" outline="0">
        <left style="thin">
          <color indexed="64"/>
        </left>
        <right/>
        <top style="thin">
          <color theme="4" tint="0.39997558519241921"/>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style="thin">
          <color indexed="64"/>
        </left>
        <right/>
        <top style="thin">
          <color theme="4" tint="0.39997558519241921"/>
        </top>
        <bottom/>
      </border>
    </dxf>
    <dxf>
      <font>
        <strike val="0"/>
        <outline val="0"/>
        <shadow val="0"/>
        <u val="none"/>
        <vertAlign val="baseline"/>
        <sz val="10"/>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strike val="0"/>
        <outline val="0"/>
        <shadow val="0"/>
        <u val="none"/>
        <vertAlign val="baseline"/>
        <sz val="10"/>
        <name val="Calibri"/>
        <family val="2"/>
        <scheme val="minor"/>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0"/>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1" formatCode="0"/>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24994659260841701"/>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outline="0">
        <left style="thin">
          <color indexed="64"/>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outline="0">
        <left style="thin">
          <color indexed="64"/>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outline="0">
        <left style="thin">
          <color indexed="64"/>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165" formatCode="0.0"/>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24994659260841701"/>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left style="thin">
          <color indexed="64"/>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0" formatCode="General"/>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rgb="FFB2B2B2"/>
        </top>
        <bottom style="thin">
          <color rgb="FFB2B2B2"/>
        </bottom>
        <vertical/>
        <horizontal/>
      </border>
    </dxf>
    <dxf>
      <font>
        <b val="0"/>
        <i val="0"/>
        <strike val="0"/>
        <condense val="0"/>
        <extend val="0"/>
        <outline val="0"/>
        <shadow val="0"/>
        <u val="none"/>
        <vertAlign val="baseline"/>
        <sz val="9"/>
        <color theme="1"/>
        <name val="Calibri"/>
        <family val="2"/>
        <scheme val="minor"/>
      </font>
      <numFmt numFmtId="1"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19" formatCode="m/d/yyyy"/>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164" formatCode="m/d/yy\ h:mm;@"/>
      <fill>
        <patternFill patternType="none">
          <fgColor theme="4" tint="0.79998168889431442"/>
          <bgColor auto="1"/>
        </patternFill>
      </fill>
      <alignment horizontal="center" vertical="bottom"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9"/>
        <color theme="1"/>
        <name val="Calibri"/>
        <family val="2"/>
        <scheme val="minor"/>
      </font>
      <numFmt numFmtId="164" formatCode="m/d/yy\ h:mm;@"/>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9"/>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i val="0"/>
        <strike val="0"/>
        <condense val="0"/>
        <extend val="0"/>
        <outline val="0"/>
        <shadow val="0"/>
        <u val="none"/>
        <vertAlign val="baseline"/>
        <sz val="10"/>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border outline="0">
        <left style="thin">
          <color theme="4" tint="0.39997558519241921"/>
        </left>
        <right style="thin">
          <color indexed="64"/>
        </right>
      </border>
    </dxf>
    <dxf>
      <font>
        <b val="0"/>
        <i val="0"/>
        <strike val="0"/>
        <condense val="0"/>
        <extend val="0"/>
        <outline val="0"/>
        <shadow val="0"/>
        <u val="none"/>
        <vertAlign val="baseline"/>
        <sz val="10"/>
        <color theme="1"/>
        <name val="Calibri"/>
        <family val="2"/>
        <scheme val="minor"/>
      </font>
      <fill>
        <patternFill patternType="none">
          <fgColor theme="4" tint="0.79998168889431442"/>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family val="2"/>
        <scheme val="minor"/>
      </font>
      <fill>
        <patternFill patternType="none">
          <fgColor indexed="64"/>
          <bgColor auto="1"/>
        </patternFill>
      </fill>
      <alignment horizontal="center" vertical="bottom" textRotation="0" wrapText="1" indent="0" justifyLastLine="0" shrinkToFit="0" readingOrder="0"/>
    </dxf>
  </dxfs>
  <tableStyles count="0" defaultTableStyle="TableStyleMedium2" defaultPivotStyle="PivotStyleLight16"/>
  <colors>
    <mruColors>
      <color rgb="FFB686DA"/>
      <color rgb="FFF8D1B6"/>
      <color rgb="FFFEC6C6"/>
      <color rgb="FFFFFFCC"/>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1" Type="http://schemas.openxmlformats.org/officeDocument/2006/relationships/worksheet" Target="worksheets/sheet1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54"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1"/>
          <c:tx>
            <c:strRef>
              <c:f>Use!$C$6</c:f>
              <c:strCache>
                <c:ptCount val="1"/>
                <c:pt idx="0">
                  <c:v>Target</c:v>
                </c:pt>
              </c:strCache>
            </c:strRef>
          </c:tx>
          <c:spPr>
            <a:blipFill>
              <a:blip xmlns:r="http://schemas.openxmlformats.org/officeDocument/2006/relationships" r:embed="rId1"/>
              <a:stretch>
                <a:fillRect/>
              </a:stretch>
            </a:blipFill>
            <a:ln>
              <a:noFill/>
            </a:ln>
            <a:effectLst/>
          </c:spPr>
          <c:invertIfNegative val="0"/>
          <c:trendline>
            <c:trendlineType val="linear"/>
            <c:dispRSqr val="0"/>
            <c:dispEq val="0"/>
          </c:trendline>
          <c:val>
            <c:numRef>
              <c:f>Use!$E$6</c:f>
              <c:numCache>
                <c:formatCode>0%</c:formatCode>
                <c:ptCount val="1"/>
                <c:pt idx="0">
                  <c:v>1</c:v>
                </c:pt>
              </c:numCache>
            </c:numRef>
          </c:val>
          <c:extLst>
            <c:ext xmlns:c16="http://schemas.microsoft.com/office/drawing/2014/chart" uri="{C3380CC4-5D6E-409C-BE32-E72D297353CC}">
              <c16:uniqueId val="{00000000-B333-4D8A-A7D8-04E07752A9F1}"/>
            </c:ext>
          </c:extLst>
        </c:ser>
        <c:ser>
          <c:idx val="1"/>
          <c:order val="2"/>
          <c:tx>
            <c:strRef>
              <c:f>Use!$C$7</c:f>
              <c:strCache>
                <c:ptCount val="1"/>
                <c:pt idx="0">
                  <c:v>Observations</c:v>
                </c:pt>
              </c:strCache>
            </c:strRef>
          </c:tx>
          <c:spPr>
            <a:blipFill>
              <a:blip xmlns:r="http://schemas.openxmlformats.org/officeDocument/2006/relationships" r:embed="rId2"/>
              <a:stretch>
                <a:fillRect/>
              </a:stretch>
            </a:blip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33-4D8A-A7D8-04E07752A9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Use!$E$7</c:f>
              <c:numCache>
                <c:formatCode>0%</c:formatCode>
                <c:ptCount val="1"/>
                <c:pt idx="0">
                  <c:v>0.92800000000000005</c:v>
                </c:pt>
              </c:numCache>
            </c:numRef>
          </c:val>
          <c:extLst>
            <c:ext xmlns:c16="http://schemas.microsoft.com/office/drawing/2014/chart" uri="{C3380CC4-5D6E-409C-BE32-E72D297353CC}">
              <c16:uniqueId val="{00000003-B333-4D8A-A7D8-04E07752A9F1}"/>
            </c:ext>
          </c:extLst>
        </c:ser>
        <c:dLbls>
          <c:showLegendKey val="0"/>
          <c:showVal val="0"/>
          <c:showCatName val="0"/>
          <c:showSerName val="0"/>
          <c:showPercent val="0"/>
          <c:showBubbleSize val="0"/>
        </c:dLbls>
        <c:gapWidth val="0"/>
        <c:overlap val="100"/>
        <c:axId val="1208864624"/>
        <c:axId val="1208871512"/>
      </c:barChart>
      <c:scatterChart>
        <c:scatterStyle val="lineMarker"/>
        <c:varyColors val="0"/>
        <c:ser>
          <c:idx val="2"/>
          <c:order val="0"/>
          <c:tx>
            <c:v>Fish</c:v>
          </c:tx>
          <c:spPr>
            <a:ln w="25400" cap="rnd">
              <a:noFill/>
              <a:round/>
            </a:ln>
            <a:effectLst/>
          </c:spPr>
          <c:marker>
            <c:symbol val="picture"/>
            <c:spPr>
              <a:blipFill>
                <a:blip xmlns:r="http://schemas.openxmlformats.org/officeDocument/2006/relationships" r:embed="rId3"/>
                <a:stretch>
                  <a:fillRect/>
                </a:stretch>
              </a:blipFill>
              <a:ln w="25400">
                <a:noFill/>
              </a:ln>
              <a:effectLst/>
            </c:spPr>
          </c:marker>
          <c:xVal>
            <c:numRef>
              <c:f>Use!$F$7</c:f>
              <c:numCache>
                <c:formatCode>0.00%</c:formatCode>
                <c:ptCount val="1"/>
                <c:pt idx="0">
                  <c:v>0.878</c:v>
                </c:pt>
              </c:numCache>
            </c:numRef>
          </c:xVal>
          <c:yVal>
            <c:numLit>
              <c:formatCode>General</c:formatCode>
              <c:ptCount val="1"/>
              <c:pt idx="0">
                <c:v>0.5</c:v>
              </c:pt>
            </c:numLit>
          </c:yVal>
          <c:smooth val="0"/>
          <c:extLst>
            <c:ext xmlns:c16="http://schemas.microsoft.com/office/drawing/2014/chart" uri="{C3380CC4-5D6E-409C-BE32-E72D297353CC}">
              <c16:uniqueId val="{00000006-B333-4D8A-A7D8-04E07752A9F1}"/>
            </c:ext>
          </c:extLst>
        </c:ser>
        <c:dLbls>
          <c:showLegendKey val="0"/>
          <c:showVal val="0"/>
          <c:showCatName val="0"/>
          <c:showSerName val="0"/>
          <c:showPercent val="0"/>
          <c:showBubbleSize val="0"/>
        </c:dLbls>
        <c:axId val="548955416"/>
        <c:axId val="548964928"/>
      </c:scatterChart>
      <c:catAx>
        <c:axId val="1208864624"/>
        <c:scaling>
          <c:orientation val="minMax"/>
        </c:scaling>
        <c:delete val="1"/>
        <c:axPos val="l"/>
        <c:numFmt formatCode="General" sourceLinked="1"/>
        <c:majorTickMark val="out"/>
        <c:minorTickMark val="none"/>
        <c:tickLblPos val="nextTo"/>
        <c:crossAx val="1208871512"/>
        <c:crosses val="autoZero"/>
        <c:auto val="1"/>
        <c:lblAlgn val="ctr"/>
        <c:lblOffset val="100"/>
        <c:noMultiLvlLbl val="0"/>
      </c:catAx>
      <c:valAx>
        <c:axId val="1208871512"/>
        <c:scaling>
          <c:orientation val="minMax"/>
          <c:max val="1"/>
          <c:min val="0"/>
        </c:scaling>
        <c:delete val="1"/>
        <c:axPos val="b"/>
        <c:numFmt formatCode="0%" sourceLinked="1"/>
        <c:majorTickMark val="out"/>
        <c:minorTickMark val="none"/>
        <c:tickLblPos val="nextTo"/>
        <c:crossAx val="1208864624"/>
        <c:crosses val="autoZero"/>
        <c:crossBetween val="between"/>
      </c:valAx>
      <c:valAx>
        <c:axId val="548964928"/>
        <c:scaling>
          <c:orientation val="minMax"/>
          <c:max val="1"/>
          <c:min val="0"/>
        </c:scaling>
        <c:delete val="1"/>
        <c:axPos val="r"/>
        <c:numFmt formatCode="General" sourceLinked="1"/>
        <c:majorTickMark val="out"/>
        <c:minorTickMark val="none"/>
        <c:tickLblPos val="nextTo"/>
        <c:crossAx val="548955416"/>
        <c:crosses val="max"/>
        <c:crossBetween val="midCat"/>
      </c:valAx>
      <c:valAx>
        <c:axId val="548955416"/>
        <c:scaling>
          <c:orientation val="minMax"/>
        </c:scaling>
        <c:delete val="1"/>
        <c:axPos val="t"/>
        <c:numFmt formatCode="0.00%" sourceLinked="1"/>
        <c:majorTickMark val="out"/>
        <c:minorTickMark val="none"/>
        <c:tickLblPos val="nextTo"/>
        <c:crossAx val="548964928"/>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46981627296588"/>
          <c:y val="0.1115277777777778"/>
          <c:w val="0.86397462817147852"/>
          <c:h val="0.65144320501603969"/>
        </c:manualLayout>
      </c:layout>
      <c:barChart>
        <c:barDir val="col"/>
        <c:grouping val="clustered"/>
        <c:varyColors val="0"/>
        <c:ser>
          <c:idx val="1"/>
          <c:order val="0"/>
          <c:tx>
            <c:strRef>
              <c:f>Use!$U$30</c:f>
              <c:strCache>
                <c:ptCount val="1"/>
                <c:pt idx="0">
                  <c:v>2020</c:v>
                </c:pt>
              </c:strCache>
            </c:strRef>
          </c:tx>
          <c:spPr>
            <a:solidFill>
              <a:schemeClr val="accent2"/>
            </a:solidFill>
            <a:ln>
              <a:solidFill>
                <a:schemeClr val="accent2">
                  <a:lumMod val="75000"/>
                </a:schemeClr>
              </a:solidFill>
            </a:ln>
            <a:effectLst/>
          </c:spPr>
          <c:invertIfNegative val="0"/>
          <c:cat>
            <c:strRef>
              <c:f>Use!$S$31:$S$41</c:f>
              <c:strCache>
                <c:ptCount val="9"/>
                <c:pt idx="0">
                  <c:v>0-1</c:v>
                </c:pt>
                <c:pt idx="1">
                  <c:v>2-5</c:v>
                </c:pt>
                <c:pt idx="2">
                  <c:v>6-10</c:v>
                </c:pt>
                <c:pt idx="3">
                  <c:v>11-15</c:v>
                </c:pt>
                <c:pt idx="4">
                  <c:v>16-20</c:v>
                </c:pt>
                <c:pt idx="5">
                  <c:v>21-25</c:v>
                </c:pt>
                <c:pt idx="6">
                  <c:v>26-30</c:v>
                </c:pt>
                <c:pt idx="7">
                  <c:v>31-35</c:v>
                </c:pt>
                <c:pt idx="8">
                  <c:v>36-40+</c:v>
                </c:pt>
              </c:strCache>
            </c:strRef>
          </c:cat>
          <c:val>
            <c:numRef>
              <c:f>Use!$U$31:$U$41</c:f>
              <c:numCache>
                <c:formatCode>0</c:formatCode>
                <c:ptCount val="11"/>
                <c:pt idx="0">
                  <c:v>4</c:v>
                </c:pt>
                <c:pt idx="1">
                  <c:v>4</c:v>
                </c:pt>
                <c:pt idx="2">
                  <c:v>1</c:v>
                </c:pt>
                <c:pt idx="3">
                  <c:v>1</c:v>
                </c:pt>
                <c:pt idx="4">
                  <c:v>0</c:v>
                </c:pt>
                <c:pt idx="5">
                  <c:v>0</c:v>
                </c:pt>
                <c:pt idx="6">
                  <c:v>0</c:v>
                </c:pt>
                <c:pt idx="7">
                  <c:v>1</c:v>
                </c:pt>
                <c:pt idx="8">
                  <c:v>0</c:v>
                </c:pt>
                <c:pt idx="9">
                  <c:v>11</c:v>
                </c:pt>
              </c:numCache>
            </c:numRef>
          </c:val>
          <c:extLst>
            <c:ext xmlns:c16="http://schemas.microsoft.com/office/drawing/2014/chart" uri="{C3380CC4-5D6E-409C-BE32-E72D297353CC}">
              <c16:uniqueId val="{00000001-E5CC-44CD-9CEA-4FBBD1B35CB2}"/>
            </c:ext>
          </c:extLst>
        </c:ser>
        <c:ser>
          <c:idx val="2"/>
          <c:order val="1"/>
          <c:tx>
            <c:strRef>
              <c:f>Use!$V$30</c:f>
              <c:strCache>
                <c:ptCount val="1"/>
                <c:pt idx="0">
                  <c:v>2021</c:v>
                </c:pt>
              </c:strCache>
            </c:strRef>
          </c:tx>
          <c:spPr>
            <a:solidFill>
              <a:schemeClr val="accent1">
                <a:lumMod val="60000"/>
                <a:lumOff val="40000"/>
              </a:schemeClr>
            </a:solidFill>
            <a:ln>
              <a:solidFill>
                <a:srgbClr val="0070C0"/>
              </a:solidFill>
            </a:ln>
            <a:effectLst/>
          </c:spPr>
          <c:invertIfNegative val="0"/>
          <c:cat>
            <c:strRef>
              <c:f>Use!$S$31:$S$41</c:f>
              <c:strCache>
                <c:ptCount val="9"/>
                <c:pt idx="0">
                  <c:v>0-1</c:v>
                </c:pt>
                <c:pt idx="1">
                  <c:v>2-5</c:v>
                </c:pt>
                <c:pt idx="2">
                  <c:v>6-10</c:v>
                </c:pt>
                <c:pt idx="3">
                  <c:v>11-15</c:v>
                </c:pt>
                <c:pt idx="4">
                  <c:v>16-20</c:v>
                </c:pt>
                <c:pt idx="5">
                  <c:v>21-25</c:v>
                </c:pt>
                <c:pt idx="6">
                  <c:v>26-30</c:v>
                </c:pt>
                <c:pt idx="7">
                  <c:v>31-35</c:v>
                </c:pt>
                <c:pt idx="8">
                  <c:v>36-40+</c:v>
                </c:pt>
              </c:strCache>
            </c:strRef>
          </c:cat>
          <c:val>
            <c:numRef>
              <c:f>Use!$V$31:$V$41</c:f>
              <c:numCache>
                <c:formatCode>0</c:formatCode>
                <c:ptCount val="11"/>
                <c:pt idx="0">
                  <c:v>2</c:v>
                </c:pt>
                <c:pt idx="1">
                  <c:v>10</c:v>
                </c:pt>
                <c:pt idx="2">
                  <c:v>11</c:v>
                </c:pt>
                <c:pt idx="3">
                  <c:v>3</c:v>
                </c:pt>
                <c:pt idx="4">
                  <c:v>3</c:v>
                </c:pt>
                <c:pt idx="5">
                  <c:v>2</c:v>
                </c:pt>
                <c:pt idx="6">
                  <c:v>2</c:v>
                </c:pt>
                <c:pt idx="7">
                  <c:v>0</c:v>
                </c:pt>
                <c:pt idx="8">
                  <c:v>0</c:v>
                </c:pt>
                <c:pt idx="9">
                  <c:v>33</c:v>
                </c:pt>
              </c:numCache>
            </c:numRef>
          </c:val>
          <c:extLst>
            <c:ext xmlns:c16="http://schemas.microsoft.com/office/drawing/2014/chart" uri="{C3380CC4-5D6E-409C-BE32-E72D297353CC}">
              <c16:uniqueId val="{00000002-E5CC-44CD-9CEA-4FBBD1B35CB2}"/>
            </c:ext>
          </c:extLst>
        </c:ser>
        <c:ser>
          <c:idx val="0"/>
          <c:order val="2"/>
          <c:tx>
            <c:strRef>
              <c:f>Use!$W$30</c:f>
              <c:strCache>
                <c:ptCount val="1"/>
                <c:pt idx="0">
                  <c:v>2022</c:v>
                </c:pt>
              </c:strCache>
            </c:strRef>
          </c:tx>
          <c:spPr>
            <a:solidFill>
              <a:schemeClr val="accent1"/>
            </a:solidFill>
            <a:ln>
              <a:solidFill>
                <a:srgbClr val="002060"/>
              </a:solidFill>
            </a:ln>
            <a:effectLst/>
          </c:spPr>
          <c:invertIfNegative val="0"/>
          <c:cat>
            <c:strRef>
              <c:f>Use!$S$31:$S$41</c:f>
              <c:strCache>
                <c:ptCount val="9"/>
                <c:pt idx="0">
                  <c:v>0-1</c:v>
                </c:pt>
                <c:pt idx="1">
                  <c:v>2-5</c:v>
                </c:pt>
                <c:pt idx="2">
                  <c:v>6-10</c:v>
                </c:pt>
                <c:pt idx="3">
                  <c:v>11-15</c:v>
                </c:pt>
                <c:pt idx="4">
                  <c:v>16-20</c:v>
                </c:pt>
                <c:pt idx="5">
                  <c:v>21-25</c:v>
                </c:pt>
                <c:pt idx="6">
                  <c:v>26-30</c:v>
                </c:pt>
                <c:pt idx="7">
                  <c:v>31-35</c:v>
                </c:pt>
                <c:pt idx="8">
                  <c:v>36-40+</c:v>
                </c:pt>
              </c:strCache>
            </c:strRef>
          </c:cat>
          <c:val>
            <c:numRef>
              <c:f>Use!$W$31:$W$41</c:f>
              <c:numCache>
                <c:formatCode>0</c:formatCode>
                <c:ptCount val="11"/>
                <c:pt idx="0">
                  <c:v>12</c:v>
                </c:pt>
                <c:pt idx="1">
                  <c:v>26</c:v>
                </c:pt>
                <c:pt idx="2">
                  <c:v>10</c:v>
                </c:pt>
                <c:pt idx="3">
                  <c:v>7</c:v>
                </c:pt>
                <c:pt idx="4">
                  <c:v>2</c:v>
                </c:pt>
                <c:pt idx="5">
                  <c:v>0</c:v>
                </c:pt>
                <c:pt idx="6">
                  <c:v>1</c:v>
                </c:pt>
                <c:pt idx="7">
                  <c:v>1</c:v>
                </c:pt>
                <c:pt idx="8">
                  <c:v>2</c:v>
                </c:pt>
                <c:pt idx="9">
                  <c:v>61</c:v>
                </c:pt>
              </c:numCache>
            </c:numRef>
          </c:val>
          <c:extLst>
            <c:ext xmlns:c16="http://schemas.microsoft.com/office/drawing/2014/chart" uri="{C3380CC4-5D6E-409C-BE32-E72D297353CC}">
              <c16:uniqueId val="{00000001-2847-4B99-92DB-E44B68D3FA6C}"/>
            </c:ext>
          </c:extLst>
        </c:ser>
        <c:ser>
          <c:idx val="3"/>
          <c:order val="3"/>
          <c:tx>
            <c:strRef>
              <c:f>Use!$X$30</c:f>
              <c:strCache>
                <c:ptCount val="1"/>
                <c:pt idx="0">
                  <c:v>2023</c:v>
                </c:pt>
              </c:strCache>
            </c:strRef>
          </c:tx>
          <c:spPr>
            <a:solidFill>
              <a:schemeClr val="accent4"/>
            </a:solidFill>
            <a:ln>
              <a:solidFill>
                <a:srgbClr val="C00000"/>
              </a:solidFill>
            </a:ln>
            <a:effectLst/>
          </c:spPr>
          <c:invertIfNegative val="0"/>
          <c:cat>
            <c:strRef>
              <c:f>Use!$S$31:$S$41</c:f>
              <c:strCache>
                <c:ptCount val="9"/>
                <c:pt idx="0">
                  <c:v>0-1</c:v>
                </c:pt>
                <c:pt idx="1">
                  <c:v>2-5</c:v>
                </c:pt>
                <c:pt idx="2">
                  <c:v>6-10</c:v>
                </c:pt>
                <c:pt idx="3">
                  <c:v>11-15</c:v>
                </c:pt>
                <c:pt idx="4">
                  <c:v>16-20</c:v>
                </c:pt>
                <c:pt idx="5">
                  <c:v>21-25</c:v>
                </c:pt>
                <c:pt idx="6">
                  <c:v>26-30</c:v>
                </c:pt>
                <c:pt idx="7">
                  <c:v>31-35</c:v>
                </c:pt>
                <c:pt idx="8">
                  <c:v>36-40+</c:v>
                </c:pt>
              </c:strCache>
            </c:strRef>
          </c:cat>
          <c:val>
            <c:numRef>
              <c:f>Use!$X$31:$X$41</c:f>
              <c:numCache>
                <c:formatCode>0</c:formatCode>
                <c:ptCount val="11"/>
                <c:pt idx="0">
                  <c:v>19</c:v>
                </c:pt>
                <c:pt idx="1">
                  <c:v>26</c:v>
                </c:pt>
                <c:pt idx="2">
                  <c:v>18</c:v>
                </c:pt>
                <c:pt idx="3">
                  <c:v>5</c:v>
                </c:pt>
                <c:pt idx="4">
                  <c:v>1</c:v>
                </c:pt>
                <c:pt idx="5">
                  <c:v>2</c:v>
                </c:pt>
                <c:pt idx="6">
                  <c:v>2</c:v>
                </c:pt>
                <c:pt idx="7">
                  <c:v>0</c:v>
                </c:pt>
                <c:pt idx="8">
                  <c:v>8</c:v>
                </c:pt>
                <c:pt idx="9">
                  <c:v>81</c:v>
                </c:pt>
              </c:numCache>
            </c:numRef>
          </c:val>
          <c:extLst>
            <c:ext xmlns:c16="http://schemas.microsoft.com/office/drawing/2014/chart" uri="{C3380CC4-5D6E-409C-BE32-E72D297353CC}">
              <c16:uniqueId val="{00000000-D238-42F2-ADB8-FD030D4B3E10}"/>
            </c:ext>
          </c:extLst>
        </c:ser>
        <c:ser>
          <c:idx val="4"/>
          <c:order val="4"/>
          <c:tx>
            <c:strRef>
              <c:f>Use!$Y$30</c:f>
              <c:strCache>
                <c:ptCount val="1"/>
                <c:pt idx="0">
                  <c:v>2024</c:v>
                </c:pt>
              </c:strCache>
              <c:extLst xmlns:c15="http://schemas.microsoft.com/office/drawing/2012/chart"/>
            </c:strRef>
          </c:tx>
          <c:spPr>
            <a:solidFill>
              <a:schemeClr val="accent5"/>
            </a:solidFill>
            <a:ln>
              <a:solidFill>
                <a:srgbClr val="002060"/>
              </a:solidFill>
            </a:ln>
            <a:effectLst/>
          </c:spPr>
          <c:invertIfNegative val="0"/>
          <c:cat>
            <c:strRef>
              <c:f>Use!$S$31:$S$41</c:f>
              <c:strCache>
                <c:ptCount val="9"/>
                <c:pt idx="0">
                  <c:v>0-1</c:v>
                </c:pt>
                <c:pt idx="1">
                  <c:v>2-5</c:v>
                </c:pt>
                <c:pt idx="2">
                  <c:v>6-10</c:v>
                </c:pt>
                <c:pt idx="3">
                  <c:v>11-15</c:v>
                </c:pt>
                <c:pt idx="4">
                  <c:v>16-20</c:v>
                </c:pt>
                <c:pt idx="5">
                  <c:v>21-25</c:v>
                </c:pt>
                <c:pt idx="6">
                  <c:v>26-30</c:v>
                </c:pt>
                <c:pt idx="7">
                  <c:v>31-35</c:v>
                </c:pt>
                <c:pt idx="8">
                  <c:v>36-40+</c:v>
                </c:pt>
              </c:strCache>
              <c:extLst xmlns:c15="http://schemas.microsoft.com/office/drawing/2012/chart"/>
            </c:strRef>
          </c:cat>
          <c:val>
            <c:numRef>
              <c:f>Use!$Y$31:$Y$41</c:f>
              <c:numCache>
                <c:formatCode>0</c:formatCode>
                <c:ptCount val="11"/>
                <c:pt idx="0">
                  <c:v>9</c:v>
                </c:pt>
                <c:pt idx="1">
                  <c:v>11</c:v>
                </c:pt>
                <c:pt idx="2">
                  <c:v>7</c:v>
                </c:pt>
                <c:pt idx="3">
                  <c:v>2</c:v>
                </c:pt>
                <c:pt idx="4">
                  <c:v>1</c:v>
                </c:pt>
                <c:pt idx="5">
                  <c:v>1</c:v>
                </c:pt>
                <c:pt idx="6">
                  <c:v>1</c:v>
                </c:pt>
                <c:pt idx="7">
                  <c:v>0</c:v>
                </c:pt>
                <c:pt idx="8">
                  <c:v>5</c:v>
                </c:pt>
                <c:pt idx="9">
                  <c:v>37</c:v>
                </c:pt>
              </c:numCache>
              <c:extLst xmlns:c15="http://schemas.microsoft.com/office/drawing/2012/chart"/>
            </c:numRef>
          </c:val>
          <c:extLst xmlns:c15="http://schemas.microsoft.com/office/drawing/2012/chart">
            <c:ext xmlns:c16="http://schemas.microsoft.com/office/drawing/2014/chart" uri="{C3380CC4-5D6E-409C-BE32-E72D297353CC}">
              <c16:uniqueId val="{00000001-D238-42F2-ADB8-FD030D4B3E10}"/>
            </c:ext>
          </c:extLst>
        </c:ser>
        <c:dLbls>
          <c:showLegendKey val="0"/>
          <c:showVal val="0"/>
          <c:showCatName val="0"/>
          <c:showSerName val="0"/>
          <c:showPercent val="0"/>
          <c:showBubbleSize val="0"/>
        </c:dLbls>
        <c:gapWidth val="54"/>
        <c:overlap val="-27"/>
        <c:axId val="1104606344"/>
        <c:axId val="1104606672"/>
        <c:extLst/>
      </c:barChart>
      <c:catAx>
        <c:axId val="1104606344"/>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Observations/Observer</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4606672"/>
        <c:crosses val="autoZero"/>
        <c:auto val="1"/>
        <c:lblAlgn val="ctr"/>
        <c:lblOffset val="100"/>
        <c:noMultiLvlLbl val="0"/>
      </c:catAx>
      <c:valAx>
        <c:axId val="110460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Observers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4606344"/>
        <c:crosses val="autoZero"/>
        <c:crossBetween val="between"/>
      </c:valAx>
      <c:spPr>
        <a:noFill/>
        <a:ln>
          <a:noFill/>
        </a:ln>
        <a:effectLst/>
      </c:spPr>
    </c:plotArea>
    <c:legend>
      <c:legendPos val="r"/>
      <c:layout>
        <c:manualLayout>
          <c:xMode val="edge"/>
          <c:yMode val="edge"/>
          <c:x val="0.87398005367148668"/>
          <c:y val="8.464503249156452E-2"/>
          <c:w val="9.539897711210571E-2"/>
          <c:h val="0.3509776948020045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Participating Users</a:t>
            </a:r>
          </a:p>
        </c:rich>
      </c:tx>
      <c:layout>
        <c:manualLayout>
          <c:xMode val="edge"/>
          <c:yMode val="edge"/>
          <c:x val="0.35550678040244971"/>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C00000"/>
              </a:solidFill>
              <a:round/>
            </a:ln>
            <a:effectLst/>
          </c:spPr>
          <c:marker>
            <c:symbol val="circle"/>
            <c:size val="5"/>
            <c:spPr>
              <a:solidFill>
                <a:schemeClr val="accent1"/>
              </a:solidFill>
              <a:ln w="9525">
                <a:solidFill>
                  <a:schemeClr val="accent1"/>
                </a:solidFill>
              </a:ln>
              <a:effectLst/>
            </c:spPr>
          </c:marker>
          <c:xVal>
            <c:numRef>
              <c:f>Use!$B$31:$B$36</c:f>
              <c:numCache>
                <c:formatCode>General</c:formatCode>
                <c:ptCount val="6"/>
                <c:pt idx="0">
                  <c:v>2019</c:v>
                </c:pt>
                <c:pt idx="1">
                  <c:v>2020</c:v>
                </c:pt>
                <c:pt idx="2">
                  <c:v>2021</c:v>
                </c:pt>
                <c:pt idx="3">
                  <c:v>2022</c:v>
                </c:pt>
                <c:pt idx="4">
                  <c:v>2023</c:v>
                </c:pt>
                <c:pt idx="5">
                  <c:v>2024</c:v>
                </c:pt>
              </c:numCache>
            </c:numRef>
          </c:xVal>
          <c:yVal>
            <c:numRef>
              <c:f>Use!$C$31:$C$36</c:f>
              <c:numCache>
                <c:formatCode>0</c:formatCode>
                <c:ptCount val="6"/>
                <c:pt idx="0">
                  <c:v>16</c:v>
                </c:pt>
                <c:pt idx="1">
                  <c:v>31</c:v>
                </c:pt>
                <c:pt idx="2">
                  <c:v>54</c:v>
                </c:pt>
                <c:pt idx="3">
                  <c:v>61</c:v>
                </c:pt>
                <c:pt idx="4">
                  <c:v>81</c:v>
                </c:pt>
                <c:pt idx="5">
                  <c:v>37</c:v>
                </c:pt>
              </c:numCache>
            </c:numRef>
          </c:yVal>
          <c:smooth val="0"/>
          <c:extLst>
            <c:ext xmlns:c16="http://schemas.microsoft.com/office/drawing/2014/chart" uri="{C3380CC4-5D6E-409C-BE32-E72D297353CC}">
              <c16:uniqueId val="{00000000-C043-41DE-ACCB-4E2A3CB05D3C}"/>
            </c:ext>
          </c:extLst>
        </c:ser>
        <c:dLbls>
          <c:showLegendKey val="0"/>
          <c:showVal val="0"/>
          <c:showCatName val="0"/>
          <c:showSerName val="0"/>
          <c:showPercent val="0"/>
          <c:showBubbleSize val="0"/>
        </c:dLbls>
        <c:axId val="1308849120"/>
        <c:axId val="1308850560"/>
      </c:scatterChart>
      <c:valAx>
        <c:axId val="1308849120"/>
        <c:scaling>
          <c:orientation val="minMax"/>
          <c:max val="2024"/>
          <c:min val="2019"/>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850560"/>
        <c:crosses val="autoZero"/>
        <c:crossBetween val="midCat"/>
        <c:majorUnit val="1"/>
      </c:valAx>
      <c:valAx>
        <c:axId val="13088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849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95712091962369E-2"/>
          <c:y val="5.0154834149034724E-2"/>
          <c:w val="0.80083679687587839"/>
          <c:h val="0.70198908217691069"/>
        </c:manualLayout>
      </c:layout>
      <c:barChart>
        <c:barDir val="col"/>
        <c:grouping val="clustered"/>
        <c:varyColors val="0"/>
        <c:ser>
          <c:idx val="0"/>
          <c:order val="0"/>
          <c:tx>
            <c:v>Observations</c:v>
          </c:tx>
          <c:spPr>
            <a:solidFill>
              <a:schemeClr val="accent1"/>
            </a:solidFill>
            <a:ln>
              <a:noFill/>
            </a:ln>
            <a:effectLst>
              <a:outerShdw blurRad="50800" dist="38100" dir="2700000" algn="tl" rotWithShape="0">
                <a:prstClr val="black">
                  <a:alpha val="40000"/>
                </a:prstClr>
              </a:outerShdw>
            </a:effectLst>
          </c:spPr>
          <c:invertIfNegative val="0"/>
          <c:cat>
            <c:numRef>
              <c:f>ALK!$B$7:$B$12</c:f>
              <c:numCache>
                <c:formatCode>General</c:formatCode>
                <c:ptCount val="6"/>
                <c:pt idx="0">
                  <c:v>0</c:v>
                </c:pt>
                <c:pt idx="1">
                  <c:v>40</c:v>
                </c:pt>
                <c:pt idx="2">
                  <c:v>80</c:v>
                </c:pt>
                <c:pt idx="3">
                  <c:v>120</c:v>
                </c:pt>
                <c:pt idx="4">
                  <c:v>180</c:v>
                </c:pt>
                <c:pt idx="5">
                  <c:v>240</c:v>
                </c:pt>
              </c:numCache>
            </c:numRef>
          </c:cat>
          <c:val>
            <c:numRef>
              <c:f>ALK!$C$7:$C$12</c:f>
              <c:numCache>
                <c:formatCode>General</c:formatCode>
                <c:ptCount val="6"/>
                <c:pt idx="0">
                  <c:v>184</c:v>
                </c:pt>
                <c:pt idx="1">
                  <c:v>203</c:v>
                </c:pt>
                <c:pt idx="2">
                  <c:v>405</c:v>
                </c:pt>
                <c:pt idx="3">
                  <c:v>290</c:v>
                </c:pt>
                <c:pt idx="4">
                  <c:v>897</c:v>
                </c:pt>
                <c:pt idx="5">
                  <c:v>24</c:v>
                </c:pt>
              </c:numCache>
            </c:numRef>
          </c:val>
          <c:extLst>
            <c:ext xmlns:c16="http://schemas.microsoft.com/office/drawing/2014/chart" uri="{C3380CC4-5D6E-409C-BE32-E72D297353CC}">
              <c16:uniqueId val="{00000000-65C2-425A-AB60-2D6A3C390B45}"/>
            </c:ext>
          </c:extLst>
        </c:ser>
        <c:dLbls>
          <c:showLegendKey val="0"/>
          <c:showVal val="0"/>
          <c:showCatName val="0"/>
          <c:showSerName val="0"/>
          <c:showPercent val="0"/>
          <c:showBubbleSize val="0"/>
        </c:dLbls>
        <c:gapWidth val="52"/>
        <c:axId val="763072256"/>
        <c:axId val="763065696"/>
      </c:barChart>
      <c:lineChart>
        <c:grouping val="standard"/>
        <c:varyColors val="0"/>
        <c:ser>
          <c:idx val="1"/>
          <c:order val="1"/>
          <c:tx>
            <c:v>Cum. %</c:v>
          </c:tx>
          <c:spPr>
            <a:ln w="28575" cap="rnd">
              <a:solidFill>
                <a:schemeClr val="accent2"/>
              </a:solidFill>
              <a:round/>
            </a:ln>
            <a:effectLst/>
          </c:spPr>
          <c:marker>
            <c:symbol val="none"/>
          </c:marker>
          <c:cat>
            <c:numRef>
              <c:f>ALK!$B$7:$B$12</c:f>
              <c:numCache>
                <c:formatCode>General</c:formatCode>
                <c:ptCount val="6"/>
                <c:pt idx="0">
                  <c:v>0</c:v>
                </c:pt>
                <c:pt idx="1">
                  <c:v>40</c:v>
                </c:pt>
                <c:pt idx="2">
                  <c:v>80</c:v>
                </c:pt>
                <c:pt idx="3">
                  <c:v>120</c:v>
                </c:pt>
                <c:pt idx="4">
                  <c:v>180</c:v>
                </c:pt>
                <c:pt idx="5">
                  <c:v>240</c:v>
                </c:pt>
              </c:numCache>
            </c:numRef>
          </c:cat>
          <c:val>
            <c:numRef>
              <c:f>ALK!$E$7:$E$12</c:f>
              <c:numCache>
                <c:formatCode>0%</c:formatCode>
                <c:ptCount val="6"/>
                <c:pt idx="0">
                  <c:v>9.1862206689965059E-2</c:v>
                </c:pt>
                <c:pt idx="1">
                  <c:v>0.19321018472291562</c:v>
                </c:pt>
                <c:pt idx="2">
                  <c:v>0.39540688966550175</c:v>
                </c:pt>
                <c:pt idx="3">
                  <c:v>0.54018971542685967</c:v>
                </c:pt>
                <c:pt idx="4">
                  <c:v>0.98801797304043926</c:v>
                </c:pt>
                <c:pt idx="5">
                  <c:v>0.99999999999999989</c:v>
                </c:pt>
              </c:numCache>
            </c:numRef>
          </c:val>
          <c:smooth val="0"/>
          <c:extLst>
            <c:ext xmlns:c16="http://schemas.microsoft.com/office/drawing/2014/chart" uri="{C3380CC4-5D6E-409C-BE32-E72D297353CC}">
              <c16:uniqueId val="{00000001-3E39-4E65-B5E7-B94AE2767F56}"/>
            </c:ext>
          </c:extLst>
        </c:ser>
        <c:dLbls>
          <c:showLegendKey val="0"/>
          <c:showVal val="0"/>
          <c:showCatName val="0"/>
          <c:showSerName val="0"/>
          <c:showPercent val="0"/>
          <c:showBubbleSize val="0"/>
        </c:dLbls>
        <c:marker val="1"/>
        <c:smooth val="0"/>
        <c:axId val="449691463"/>
        <c:axId val="449693759"/>
      </c:lineChart>
      <c:catAx>
        <c:axId val="7630722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Alkalinity (ppm CaCO3)</a:t>
                </a:r>
              </a:p>
            </c:rich>
          </c:tx>
          <c:layout>
            <c:manualLayout>
              <c:xMode val="edge"/>
              <c:yMode val="edge"/>
              <c:x val="0.38841976261772609"/>
              <c:y val="0.864695398723022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65696"/>
        <c:crosses val="autoZero"/>
        <c:auto val="1"/>
        <c:lblAlgn val="ctr"/>
        <c:lblOffset val="100"/>
        <c:noMultiLvlLbl val="0"/>
      </c:catAx>
      <c:valAx>
        <c:axId val="7630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Observations</a:t>
                </a:r>
              </a:p>
            </c:rich>
          </c:tx>
          <c:layout>
            <c:manualLayout>
              <c:xMode val="edge"/>
              <c:yMode val="edge"/>
              <c:x val="1.3013371646455803E-2"/>
              <c:y val="0.2542825786323733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72256"/>
        <c:crosses val="autoZero"/>
        <c:crossBetween val="between"/>
      </c:valAx>
      <c:valAx>
        <c:axId val="449693759"/>
        <c:scaling>
          <c:orientation val="minMax"/>
          <c:max val="1.05"/>
          <c:min val="0"/>
        </c:scaling>
        <c:delete val="0"/>
        <c:axPos val="r"/>
        <c:title>
          <c:tx>
            <c:rich>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Cumulative %</a:t>
                </a:r>
              </a:p>
            </c:rich>
          </c:tx>
          <c:overlay val="0"/>
          <c:spPr>
            <a:noFill/>
            <a:ln>
              <a:noFill/>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1463"/>
        <c:crosses val="max"/>
        <c:crossBetween val="between"/>
      </c:valAx>
      <c:catAx>
        <c:axId val="449691463"/>
        <c:scaling>
          <c:orientation val="minMax"/>
        </c:scaling>
        <c:delete val="1"/>
        <c:axPos val="b"/>
        <c:numFmt formatCode="General" sourceLinked="1"/>
        <c:majorTickMark val="out"/>
        <c:minorTickMark val="none"/>
        <c:tickLblPos val="nextTo"/>
        <c:crossAx val="449693759"/>
        <c:crosses val="autoZero"/>
        <c:auto val="1"/>
        <c:lblAlgn val="ctr"/>
        <c:lblOffset val="100"/>
        <c:noMultiLvlLbl val="0"/>
      </c:catAx>
      <c:spPr>
        <a:noFill/>
        <a:ln>
          <a:noFill/>
        </a:ln>
        <a:effectLst/>
      </c:spPr>
    </c:plotArea>
    <c:legend>
      <c:legendPos val="r"/>
      <c:layout>
        <c:manualLayout>
          <c:xMode val="edge"/>
          <c:yMode val="edge"/>
          <c:x val="0.74147672565005074"/>
          <c:y val="0.85514000728671313"/>
          <c:w val="0.24216119447333234"/>
          <c:h val="0.1399069328210635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Weather</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20981370025886E-2"/>
          <c:y val="9.4434123878227791E-2"/>
          <c:w val="0.81303636113763489"/>
          <c:h val="0.71953270816267678"/>
        </c:manualLayout>
      </c:layout>
      <c:barChart>
        <c:barDir val="col"/>
        <c:grouping val="clustered"/>
        <c:varyColors val="0"/>
        <c:ser>
          <c:idx val="0"/>
          <c:order val="0"/>
          <c:tx>
            <c:strRef>
              <c:f>ALK!$C$19</c:f>
              <c:strCache>
                <c:ptCount val="1"/>
                <c:pt idx="0">
                  <c:v>0</c:v>
                </c:pt>
              </c:strCache>
            </c:strRef>
          </c:tx>
          <c:spPr>
            <a:solidFill>
              <a:schemeClr val="accent3">
                <a:tint val="50000"/>
              </a:schemeClr>
            </a:solidFill>
            <a:ln>
              <a:noFill/>
            </a:ln>
            <a:effectLst/>
          </c:spPr>
          <c:invertIfNegative val="0"/>
          <c:cat>
            <c:strRef>
              <c:f>ALK!$K$20:$K$25</c:f>
              <c:strCache>
                <c:ptCount val="6"/>
                <c:pt idx="0">
                  <c:v>LT</c:v>
                </c:pt>
                <c:pt idx="1">
                  <c:v>RR</c:v>
                </c:pt>
                <c:pt idx="2">
                  <c:v>RR, LT</c:v>
                </c:pt>
                <c:pt idx="3">
                  <c:v>RR, SM</c:v>
                </c:pt>
                <c:pt idx="4">
                  <c:v>SM</c:v>
                </c:pt>
                <c:pt idx="5">
                  <c:v>None</c:v>
                </c:pt>
              </c:strCache>
            </c:strRef>
          </c:cat>
          <c:val>
            <c:numRef>
              <c:f>ALK!$C$20:$C$25</c:f>
              <c:numCache>
                <c:formatCode>General</c:formatCode>
                <c:ptCount val="6"/>
                <c:pt idx="0">
                  <c:v>7</c:v>
                </c:pt>
                <c:pt idx="1">
                  <c:v>24</c:v>
                </c:pt>
                <c:pt idx="2">
                  <c:v>0</c:v>
                </c:pt>
                <c:pt idx="3">
                  <c:v>0</c:v>
                </c:pt>
                <c:pt idx="4">
                  <c:v>2</c:v>
                </c:pt>
                <c:pt idx="5">
                  <c:v>122</c:v>
                </c:pt>
              </c:numCache>
            </c:numRef>
          </c:val>
          <c:extLst>
            <c:ext xmlns:c16="http://schemas.microsoft.com/office/drawing/2014/chart" uri="{C3380CC4-5D6E-409C-BE32-E72D297353CC}">
              <c16:uniqueId val="{00000000-7B51-4953-BEED-6164EAB547BC}"/>
            </c:ext>
          </c:extLst>
        </c:ser>
        <c:ser>
          <c:idx val="1"/>
          <c:order val="1"/>
          <c:tx>
            <c:strRef>
              <c:f>ALK!$D$19</c:f>
              <c:strCache>
                <c:ptCount val="1"/>
                <c:pt idx="0">
                  <c:v>40</c:v>
                </c:pt>
              </c:strCache>
            </c:strRef>
          </c:tx>
          <c:spPr>
            <a:solidFill>
              <a:schemeClr val="accent3">
                <a:tint val="70000"/>
              </a:schemeClr>
            </a:solidFill>
            <a:ln>
              <a:noFill/>
            </a:ln>
            <a:effectLst/>
          </c:spPr>
          <c:invertIfNegative val="0"/>
          <c:cat>
            <c:strRef>
              <c:f>ALK!$K$20:$K$25</c:f>
              <c:strCache>
                <c:ptCount val="6"/>
                <c:pt idx="0">
                  <c:v>LT</c:v>
                </c:pt>
                <c:pt idx="1">
                  <c:v>RR</c:v>
                </c:pt>
                <c:pt idx="2">
                  <c:v>RR, LT</c:v>
                </c:pt>
                <c:pt idx="3">
                  <c:v>RR, SM</c:v>
                </c:pt>
                <c:pt idx="4">
                  <c:v>SM</c:v>
                </c:pt>
                <c:pt idx="5">
                  <c:v>None</c:v>
                </c:pt>
              </c:strCache>
            </c:strRef>
          </c:cat>
          <c:val>
            <c:numRef>
              <c:f>ALK!$D$20:$D$25</c:f>
              <c:numCache>
                <c:formatCode>General</c:formatCode>
                <c:ptCount val="6"/>
                <c:pt idx="0">
                  <c:v>7</c:v>
                </c:pt>
                <c:pt idx="1">
                  <c:v>39</c:v>
                </c:pt>
                <c:pt idx="2">
                  <c:v>1</c:v>
                </c:pt>
                <c:pt idx="3">
                  <c:v>0</c:v>
                </c:pt>
                <c:pt idx="4">
                  <c:v>2</c:v>
                </c:pt>
                <c:pt idx="5">
                  <c:v>130</c:v>
                </c:pt>
              </c:numCache>
            </c:numRef>
          </c:val>
          <c:extLst>
            <c:ext xmlns:c16="http://schemas.microsoft.com/office/drawing/2014/chart" uri="{C3380CC4-5D6E-409C-BE32-E72D297353CC}">
              <c16:uniqueId val="{00000001-7B51-4953-BEED-6164EAB547BC}"/>
            </c:ext>
          </c:extLst>
        </c:ser>
        <c:ser>
          <c:idx val="2"/>
          <c:order val="2"/>
          <c:tx>
            <c:strRef>
              <c:f>ALK!$E$19</c:f>
              <c:strCache>
                <c:ptCount val="1"/>
                <c:pt idx="0">
                  <c:v>80</c:v>
                </c:pt>
              </c:strCache>
            </c:strRef>
          </c:tx>
          <c:spPr>
            <a:solidFill>
              <a:schemeClr val="accent3">
                <a:tint val="90000"/>
              </a:schemeClr>
            </a:solidFill>
            <a:ln>
              <a:noFill/>
            </a:ln>
            <a:effectLst/>
          </c:spPr>
          <c:invertIfNegative val="0"/>
          <c:cat>
            <c:strRef>
              <c:f>ALK!$K$20:$K$25</c:f>
              <c:strCache>
                <c:ptCount val="6"/>
                <c:pt idx="0">
                  <c:v>LT</c:v>
                </c:pt>
                <c:pt idx="1">
                  <c:v>RR</c:v>
                </c:pt>
                <c:pt idx="2">
                  <c:v>RR, LT</c:v>
                </c:pt>
                <c:pt idx="3">
                  <c:v>RR, SM</c:v>
                </c:pt>
                <c:pt idx="4">
                  <c:v>SM</c:v>
                </c:pt>
                <c:pt idx="5">
                  <c:v>None</c:v>
                </c:pt>
              </c:strCache>
            </c:strRef>
          </c:cat>
          <c:val>
            <c:numRef>
              <c:f>ALK!$E$20:$E$25</c:f>
              <c:numCache>
                <c:formatCode>General</c:formatCode>
                <c:ptCount val="6"/>
                <c:pt idx="0">
                  <c:v>25</c:v>
                </c:pt>
                <c:pt idx="1">
                  <c:v>51</c:v>
                </c:pt>
                <c:pt idx="2">
                  <c:v>5</c:v>
                </c:pt>
                <c:pt idx="3">
                  <c:v>0</c:v>
                </c:pt>
                <c:pt idx="4">
                  <c:v>4</c:v>
                </c:pt>
                <c:pt idx="5">
                  <c:v>279</c:v>
                </c:pt>
              </c:numCache>
            </c:numRef>
          </c:val>
          <c:extLst>
            <c:ext xmlns:c16="http://schemas.microsoft.com/office/drawing/2014/chart" uri="{C3380CC4-5D6E-409C-BE32-E72D297353CC}">
              <c16:uniqueId val="{00000002-7B51-4953-BEED-6164EAB547BC}"/>
            </c:ext>
          </c:extLst>
        </c:ser>
        <c:ser>
          <c:idx val="3"/>
          <c:order val="3"/>
          <c:tx>
            <c:strRef>
              <c:f>ALK!$F$19</c:f>
              <c:strCache>
                <c:ptCount val="1"/>
                <c:pt idx="0">
                  <c:v>120</c:v>
                </c:pt>
              </c:strCache>
            </c:strRef>
          </c:tx>
          <c:spPr>
            <a:solidFill>
              <a:schemeClr val="accent3">
                <a:shade val="90000"/>
              </a:schemeClr>
            </a:solidFill>
            <a:ln>
              <a:noFill/>
            </a:ln>
            <a:effectLst/>
          </c:spPr>
          <c:invertIfNegative val="0"/>
          <c:cat>
            <c:strRef>
              <c:f>ALK!$K$20:$K$25</c:f>
              <c:strCache>
                <c:ptCount val="6"/>
                <c:pt idx="0">
                  <c:v>LT</c:v>
                </c:pt>
                <c:pt idx="1">
                  <c:v>RR</c:v>
                </c:pt>
                <c:pt idx="2">
                  <c:v>RR, LT</c:v>
                </c:pt>
                <c:pt idx="3">
                  <c:v>RR, SM</c:v>
                </c:pt>
                <c:pt idx="4">
                  <c:v>SM</c:v>
                </c:pt>
                <c:pt idx="5">
                  <c:v>None</c:v>
                </c:pt>
              </c:strCache>
            </c:strRef>
          </c:cat>
          <c:val>
            <c:numRef>
              <c:f>ALK!$F$20:$F$25</c:f>
              <c:numCache>
                <c:formatCode>General</c:formatCode>
                <c:ptCount val="6"/>
                <c:pt idx="0">
                  <c:v>7</c:v>
                </c:pt>
                <c:pt idx="1">
                  <c:v>40</c:v>
                </c:pt>
                <c:pt idx="2">
                  <c:v>1</c:v>
                </c:pt>
                <c:pt idx="3">
                  <c:v>2</c:v>
                </c:pt>
                <c:pt idx="4">
                  <c:v>0</c:v>
                </c:pt>
                <c:pt idx="5">
                  <c:v>200</c:v>
                </c:pt>
              </c:numCache>
            </c:numRef>
          </c:val>
          <c:extLst>
            <c:ext xmlns:c16="http://schemas.microsoft.com/office/drawing/2014/chart" uri="{C3380CC4-5D6E-409C-BE32-E72D297353CC}">
              <c16:uniqueId val="{00000003-7B51-4953-BEED-6164EAB547BC}"/>
            </c:ext>
          </c:extLst>
        </c:ser>
        <c:ser>
          <c:idx val="4"/>
          <c:order val="4"/>
          <c:tx>
            <c:strRef>
              <c:f>ALK!$G$19</c:f>
              <c:strCache>
                <c:ptCount val="1"/>
                <c:pt idx="0">
                  <c:v>180</c:v>
                </c:pt>
              </c:strCache>
            </c:strRef>
          </c:tx>
          <c:spPr>
            <a:solidFill>
              <a:schemeClr val="accent3">
                <a:shade val="70000"/>
              </a:schemeClr>
            </a:solidFill>
            <a:ln>
              <a:noFill/>
            </a:ln>
            <a:effectLst/>
          </c:spPr>
          <c:invertIfNegative val="0"/>
          <c:cat>
            <c:strRef>
              <c:f>ALK!$K$20:$K$25</c:f>
              <c:strCache>
                <c:ptCount val="6"/>
                <c:pt idx="0">
                  <c:v>LT</c:v>
                </c:pt>
                <c:pt idx="1">
                  <c:v>RR</c:v>
                </c:pt>
                <c:pt idx="2">
                  <c:v>RR, LT</c:v>
                </c:pt>
                <c:pt idx="3">
                  <c:v>RR, SM</c:v>
                </c:pt>
                <c:pt idx="4">
                  <c:v>SM</c:v>
                </c:pt>
                <c:pt idx="5">
                  <c:v>None</c:v>
                </c:pt>
              </c:strCache>
            </c:strRef>
          </c:cat>
          <c:val>
            <c:numRef>
              <c:f>ALK!$G$20:$G$25</c:f>
              <c:numCache>
                <c:formatCode>General</c:formatCode>
                <c:ptCount val="6"/>
                <c:pt idx="0">
                  <c:v>37</c:v>
                </c:pt>
                <c:pt idx="1">
                  <c:v>89</c:v>
                </c:pt>
                <c:pt idx="2">
                  <c:v>3</c:v>
                </c:pt>
                <c:pt idx="3">
                  <c:v>2</c:v>
                </c:pt>
                <c:pt idx="4">
                  <c:v>8</c:v>
                </c:pt>
                <c:pt idx="5">
                  <c:v>661</c:v>
                </c:pt>
              </c:numCache>
            </c:numRef>
          </c:val>
          <c:extLst>
            <c:ext xmlns:c16="http://schemas.microsoft.com/office/drawing/2014/chart" uri="{C3380CC4-5D6E-409C-BE32-E72D297353CC}">
              <c16:uniqueId val="{00000004-7B51-4953-BEED-6164EAB547BC}"/>
            </c:ext>
          </c:extLst>
        </c:ser>
        <c:ser>
          <c:idx val="5"/>
          <c:order val="5"/>
          <c:tx>
            <c:strRef>
              <c:f>ALK!$H$19</c:f>
              <c:strCache>
                <c:ptCount val="1"/>
                <c:pt idx="0">
                  <c:v>240</c:v>
                </c:pt>
              </c:strCache>
            </c:strRef>
          </c:tx>
          <c:spPr>
            <a:solidFill>
              <a:schemeClr val="accent3">
                <a:shade val="50000"/>
              </a:schemeClr>
            </a:solidFill>
            <a:ln>
              <a:noFill/>
            </a:ln>
            <a:effectLst/>
          </c:spPr>
          <c:invertIfNegative val="0"/>
          <c:cat>
            <c:strRef>
              <c:f>ALK!$K$20:$K$25</c:f>
              <c:strCache>
                <c:ptCount val="6"/>
                <c:pt idx="0">
                  <c:v>LT</c:v>
                </c:pt>
                <c:pt idx="1">
                  <c:v>RR</c:v>
                </c:pt>
                <c:pt idx="2">
                  <c:v>RR, LT</c:v>
                </c:pt>
                <c:pt idx="3">
                  <c:v>RR, SM</c:v>
                </c:pt>
                <c:pt idx="4">
                  <c:v>SM</c:v>
                </c:pt>
                <c:pt idx="5">
                  <c:v>None</c:v>
                </c:pt>
              </c:strCache>
            </c:strRef>
          </c:cat>
          <c:val>
            <c:numRef>
              <c:f>ALK!$H$20:$H$25</c:f>
              <c:numCache>
                <c:formatCode>General</c:formatCode>
                <c:ptCount val="6"/>
                <c:pt idx="0">
                  <c:v>1</c:v>
                </c:pt>
                <c:pt idx="1">
                  <c:v>2</c:v>
                </c:pt>
                <c:pt idx="2">
                  <c:v>0</c:v>
                </c:pt>
                <c:pt idx="3">
                  <c:v>1</c:v>
                </c:pt>
                <c:pt idx="4">
                  <c:v>4</c:v>
                </c:pt>
                <c:pt idx="5">
                  <c:v>14</c:v>
                </c:pt>
              </c:numCache>
            </c:numRef>
          </c:val>
          <c:extLst>
            <c:ext xmlns:c16="http://schemas.microsoft.com/office/drawing/2014/chart" uri="{C3380CC4-5D6E-409C-BE32-E72D297353CC}">
              <c16:uniqueId val="{00000005-7B51-4953-BEED-6164EAB547BC}"/>
            </c:ext>
          </c:extLst>
        </c:ser>
        <c:dLbls>
          <c:showLegendKey val="0"/>
          <c:showVal val="0"/>
          <c:showCatName val="0"/>
          <c:showSerName val="0"/>
          <c:showPercent val="0"/>
          <c:showBubbleSize val="0"/>
        </c:dLbls>
        <c:gapWidth val="97"/>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Weather Conditions</a:t>
                </a:r>
              </a:p>
            </c:rich>
          </c:tx>
          <c:layout>
            <c:manualLayout>
              <c:xMode val="edge"/>
              <c:yMode val="edge"/>
              <c:x val="0.39586177207579076"/>
              <c:y val="0.91272329167839727"/>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259047489806289"/>
          <c:y val="0.16075375331047909"/>
          <c:w val="5.7578090335483015E-2"/>
          <c:h val="0.62871958795974825"/>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Level</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729364057854791E-2"/>
          <c:y val="9.4434123878227791E-2"/>
          <c:w val="0.81112811183411782"/>
          <c:h val="0.74885122318014552"/>
        </c:manualLayout>
      </c:layout>
      <c:barChart>
        <c:barDir val="col"/>
        <c:grouping val="clustered"/>
        <c:varyColors val="0"/>
        <c:ser>
          <c:idx val="0"/>
          <c:order val="0"/>
          <c:tx>
            <c:strRef>
              <c:f>ALK!$C$19</c:f>
              <c:strCache>
                <c:ptCount val="1"/>
                <c:pt idx="0">
                  <c:v>0</c:v>
                </c:pt>
              </c:strCache>
            </c:strRef>
          </c:tx>
          <c:spPr>
            <a:solidFill>
              <a:schemeClr val="accent1">
                <a:tint val="50000"/>
              </a:schemeClr>
            </a:solidFill>
            <a:ln>
              <a:noFill/>
            </a:ln>
            <a:effectLst/>
          </c:spPr>
          <c:invertIfNegative val="0"/>
          <c:cat>
            <c:strRef>
              <c:f>ALK!$B$31:$B$34</c:f>
              <c:strCache>
                <c:ptCount val="4"/>
                <c:pt idx="0">
                  <c:v>Baseflow</c:v>
                </c:pt>
                <c:pt idx="1">
                  <c:v>Mid-Stage</c:v>
                </c:pt>
                <c:pt idx="2">
                  <c:v>Bankfull Stage</c:v>
                </c:pt>
                <c:pt idx="3">
                  <c:v>Overbank Flooding</c:v>
                </c:pt>
              </c:strCache>
            </c:strRef>
          </c:cat>
          <c:val>
            <c:numRef>
              <c:f>ALK!$C$31:$C$34</c:f>
              <c:numCache>
                <c:formatCode>General</c:formatCode>
                <c:ptCount val="4"/>
                <c:pt idx="0">
                  <c:v>112</c:v>
                </c:pt>
                <c:pt idx="1">
                  <c:v>35</c:v>
                </c:pt>
                <c:pt idx="2">
                  <c:v>5</c:v>
                </c:pt>
                <c:pt idx="3">
                  <c:v>1</c:v>
                </c:pt>
              </c:numCache>
            </c:numRef>
          </c:val>
          <c:extLst>
            <c:ext xmlns:c16="http://schemas.microsoft.com/office/drawing/2014/chart" uri="{C3380CC4-5D6E-409C-BE32-E72D297353CC}">
              <c16:uniqueId val="{00000000-7B51-4953-BEED-6164EAB547BC}"/>
            </c:ext>
          </c:extLst>
        </c:ser>
        <c:ser>
          <c:idx val="1"/>
          <c:order val="1"/>
          <c:tx>
            <c:strRef>
              <c:f>ALK!$D$19</c:f>
              <c:strCache>
                <c:ptCount val="1"/>
                <c:pt idx="0">
                  <c:v>40</c:v>
                </c:pt>
              </c:strCache>
            </c:strRef>
          </c:tx>
          <c:spPr>
            <a:solidFill>
              <a:schemeClr val="accent1">
                <a:tint val="70000"/>
              </a:schemeClr>
            </a:solidFill>
            <a:ln>
              <a:noFill/>
            </a:ln>
            <a:effectLst/>
          </c:spPr>
          <c:invertIfNegative val="0"/>
          <c:cat>
            <c:strRef>
              <c:f>ALK!$B$31:$B$34</c:f>
              <c:strCache>
                <c:ptCount val="4"/>
                <c:pt idx="0">
                  <c:v>Baseflow</c:v>
                </c:pt>
                <c:pt idx="1">
                  <c:v>Mid-Stage</c:v>
                </c:pt>
                <c:pt idx="2">
                  <c:v>Bankfull Stage</c:v>
                </c:pt>
                <c:pt idx="3">
                  <c:v>Overbank Flooding</c:v>
                </c:pt>
              </c:strCache>
            </c:strRef>
          </c:cat>
          <c:val>
            <c:numRef>
              <c:f>ALK!$D$31:$D$34</c:f>
              <c:numCache>
                <c:formatCode>General</c:formatCode>
                <c:ptCount val="4"/>
                <c:pt idx="0">
                  <c:v>132</c:v>
                </c:pt>
                <c:pt idx="1">
                  <c:v>47</c:v>
                </c:pt>
                <c:pt idx="2">
                  <c:v>3</c:v>
                </c:pt>
                <c:pt idx="3">
                  <c:v>1</c:v>
                </c:pt>
              </c:numCache>
            </c:numRef>
          </c:val>
          <c:extLst>
            <c:ext xmlns:c16="http://schemas.microsoft.com/office/drawing/2014/chart" uri="{C3380CC4-5D6E-409C-BE32-E72D297353CC}">
              <c16:uniqueId val="{00000001-7B51-4953-BEED-6164EAB547BC}"/>
            </c:ext>
          </c:extLst>
        </c:ser>
        <c:ser>
          <c:idx val="2"/>
          <c:order val="2"/>
          <c:tx>
            <c:strRef>
              <c:f>ALK!$E$19</c:f>
              <c:strCache>
                <c:ptCount val="1"/>
                <c:pt idx="0">
                  <c:v>80</c:v>
                </c:pt>
              </c:strCache>
            </c:strRef>
          </c:tx>
          <c:spPr>
            <a:solidFill>
              <a:schemeClr val="accent1">
                <a:tint val="90000"/>
              </a:schemeClr>
            </a:solidFill>
            <a:ln>
              <a:noFill/>
            </a:ln>
            <a:effectLst/>
          </c:spPr>
          <c:invertIfNegative val="0"/>
          <c:cat>
            <c:strRef>
              <c:f>ALK!$B$31:$B$34</c:f>
              <c:strCache>
                <c:ptCount val="4"/>
                <c:pt idx="0">
                  <c:v>Baseflow</c:v>
                </c:pt>
                <c:pt idx="1">
                  <c:v>Mid-Stage</c:v>
                </c:pt>
                <c:pt idx="2">
                  <c:v>Bankfull Stage</c:v>
                </c:pt>
                <c:pt idx="3">
                  <c:v>Overbank Flooding</c:v>
                </c:pt>
              </c:strCache>
            </c:strRef>
          </c:cat>
          <c:val>
            <c:numRef>
              <c:f>ALK!$E$31:$E$34</c:f>
              <c:numCache>
                <c:formatCode>General</c:formatCode>
                <c:ptCount val="4"/>
                <c:pt idx="0">
                  <c:v>252</c:v>
                </c:pt>
                <c:pt idx="1">
                  <c:v>90</c:v>
                </c:pt>
                <c:pt idx="2">
                  <c:v>24</c:v>
                </c:pt>
                <c:pt idx="3">
                  <c:v>1</c:v>
                </c:pt>
              </c:numCache>
            </c:numRef>
          </c:val>
          <c:extLst>
            <c:ext xmlns:c16="http://schemas.microsoft.com/office/drawing/2014/chart" uri="{C3380CC4-5D6E-409C-BE32-E72D297353CC}">
              <c16:uniqueId val="{00000002-7B51-4953-BEED-6164EAB547BC}"/>
            </c:ext>
          </c:extLst>
        </c:ser>
        <c:ser>
          <c:idx val="3"/>
          <c:order val="3"/>
          <c:tx>
            <c:strRef>
              <c:f>ALK!$F$19</c:f>
              <c:strCache>
                <c:ptCount val="1"/>
                <c:pt idx="0">
                  <c:v>120</c:v>
                </c:pt>
              </c:strCache>
            </c:strRef>
          </c:tx>
          <c:spPr>
            <a:solidFill>
              <a:schemeClr val="accent1">
                <a:shade val="90000"/>
              </a:schemeClr>
            </a:solidFill>
            <a:ln>
              <a:noFill/>
            </a:ln>
            <a:effectLst/>
          </c:spPr>
          <c:invertIfNegative val="0"/>
          <c:cat>
            <c:strRef>
              <c:f>ALK!$B$31:$B$34</c:f>
              <c:strCache>
                <c:ptCount val="4"/>
                <c:pt idx="0">
                  <c:v>Baseflow</c:v>
                </c:pt>
                <c:pt idx="1">
                  <c:v>Mid-Stage</c:v>
                </c:pt>
                <c:pt idx="2">
                  <c:v>Bankfull Stage</c:v>
                </c:pt>
                <c:pt idx="3">
                  <c:v>Overbank Flooding</c:v>
                </c:pt>
              </c:strCache>
            </c:strRef>
          </c:cat>
          <c:val>
            <c:numRef>
              <c:f>ALK!$F$31:$F$34</c:f>
              <c:numCache>
                <c:formatCode>General</c:formatCode>
                <c:ptCount val="4"/>
                <c:pt idx="0">
                  <c:v>206</c:v>
                </c:pt>
                <c:pt idx="1">
                  <c:v>34</c:v>
                </c:pt>
                <c:pt idx="2">
                  <c:v>19</c:v>
                </c:pt>
                <c:pt idx="3">
                  <c:v>1</c:v>
                </c:pt>
              </c:numCache>
            </c:numRef>
          </c:val>
          <c:extLst>
            <c:ext xmlns:c16="http://schemas.microsoft.com/office/drawing/2014/chart" uri="{C3380CC4-5D6E-409C-BE32-E72D297353CC}">
              <c16:uniqueId val="{00000003-7B51-4953-BEED-6164EAB547BC}"/>
            </c:ext>
          </c:extLst>
        </c:ser>
        <c:ser>
          <c:idx val="4"/>
          <c:order val="4"/>
          <c:tx>
            <c:strRef>
              <c:f>ALK!$G$19</c:f>
              <c:strCache>
                <c:ptCount val="1"/>
                <c:pt idx="0">
                  <c:v>180</c:v>
                </c:pt>
              </c:strCache>
            </c:strRef>
          </c:tx>
          <c:spPr>
            <a:solidFill>
              <a:schemeClr val="accent1">
                <a:shade val="70000"/>
              </a:schemeClr>
            </a:solidFill>
            <a:ln>
              <a:noFill/>
            </a:ln>
            <a:effectLst/>
          </c:spPr>
          <c:invertIfNegative val="0"/>
          <c:cat>
            <c:strRef>
              <c:f>ALK!$B$31:$B$34</c:f>
              <c:strCache>
                <c:ptCount val="4"/>
                <c:pt idx="0">
                  <c:v>Baseflow</c:v>
                </c:pt>
                <c:pt idx="1">
                  <c:v>Mid-Stage</c:v>
                </c:pt>
                <c:pt idx="2">
                  <c:v>Bankfull Stage</c:v>
                </c:pt>
                <c:pt idx="3">
                  <c:v>Overbank Flooding</c:v>
                </c:pt>
              </c:strCache>
            </c:strRef>
          </c:cat>
          <c:val>
            <c:numRef>
              <c:f>ALK!$G$31:$G$34</c:f>
              <c:numCache>
                <c:formatCode>General</c:formatCode>
                <c:ptCount val="4"/>
                <c:pt idx="0">
                  <c:v>655</c:v>
                </c:pt>
                <c:pt idx="1">
                  <c:v>145</c:v>
                </c:pt>
                <c:pt idx="2">
                  <c:v>24</c:v>
                </c:pt>
                <c:pt idx="3">
                  <c:v>2</c:v>
                </c:pt>
              </c:numCache>
            </c:numRef>
          </c:val>
          <c:extLst>
            <c:ext xmlns:c16="http://schemas.microsoft.com/office/drawing/2014/chart" uri="{C3380CC4-5D6E-409C-BE32-E72D297353CC}">
              <c16:uniqueId val="{00000004-7B51-4953-BEED-6164EAB547BC}"/>
            </c:ext>
          </c:extLst>
        </c:ser>
        <c:ser>
          <c:idx val="5"/>
          <c:order val="5"/>
          <c:tx>
            <c:strRef>
              <c:f>ALK!$H$19</c:f>
              <c:strCache>
                <c:ptCount val="1"/>
                <c:pt idx="0">
                  <c:v>240</c:v>
                </c:pt>
              </c:strCache>
            </c:strRef>
          </c:tx>
          <c:spPr>
            <a:solidFill>
              <a:schemeClr val="accent1">
                <a:shade val="50000"/>
              </a:schemeClr>
            </a:solidFill>
            <a:ln>
              <a:noFill/>
            </a:ln>
            <a:effectLst/>
          </c:spPr>
          <c:invertIfNegative val="0"/>
          <c:cat>
            <c:strRef>
              <c:f>ALK!$B$31:$B$34</c:f>
              <c:strCache>
                <c:ptCount val="4"/>
                <c:pt idx="0">
                  <c:v>Baseflow</c:v>
                </c:pt>
                <c:pt idx="1">
                  <c:v>Mid-Stage</c:v>
                </c:pt>
                <c:pt idx="2">
                  <c:v>Bankfull Stage</c:v>
                </c:pt>
                <c:pt idx="3">
                  <c:v>Overbank Flooding</c:v>
                </c:pt>
              </c:strCache>
            </c:strRef>
          </c:cat>
          <c:val>
            <c:numRef>
              <c:f>ALK!$H$31:$H$34</c:f>
              <c:numCache>
                <c:formatCode>General</c:formatCode>
                <c:ptCount val="4"/>
                <c:pt idx="0">
                  <c:v>16</c:v>
                </c:pt>
                <c:pt idx="1">
                  <c:v>6</c:v>
                </c:pt>
                <c:pt idx="2">
                  <c:v>0</c:v>
                </c:pt>
                <c:pt idx="3">
                  <c:v>0</c:v>
                </c:pt>
              </c:numCache>
            </c:numRef>
          </c:val>
          <c:extLst>
            <c:ext xmlns:c16="http://schemas.microsoft.com/office/drawing/2014/chart" uri="{C3380CC4-5D6E-409C-BE32-E72D297353CC}">
              <c16:uniqueId val="{00000005-7B51-4953-BEED-6164EAB547BC}"/>
            </c:ext>
          </c:extLst>
        </c:ser>
        <c:dLbls>
          <c:showLegendKey val="0"/>
          <c:showVal val="0"/>
          <c:showCatName val="0"/>
          <c:showSerName val="0"/>
          <c:showPercent val="0"/>
          <c:showBubbleSize val="0"/>
        </c:dLbls>
        <c:gapWidth val="9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Level</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5479918473500612E-2"/>
          <c:h val="0.64370704041469329"/>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Clarity</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42584432027132E-2"/>
          <c:y val="9.4434123878227791E-2"/>
          <c:w val="0.82788214188249087"/>
          <c:h val="0.72363838859564111"/>
        </c:manualLayout>
      </c:layout>
      <c:barChart>
        <c:barDir val="col"/>
        <c:grouping val="clustered"/>
        <c:varyColors val="0"/>
        <c:ser>
          <c:idx val="0"/>
          <c:order val="0"/>
          <c:tx>
            <c:strRef>
              <c:f>ALK!$C$19</c:f>
              <c:strCache>
                <c:ptCount val="1"/>
                <c:pt idx="0">
                  <c:v>0</c:v>
                </c:pt>
              </c:strCache>
            </c:strRef>
          </c:tx>
          <c:spPr>
            <a:solidFill>
              <a:schemeClr val="accent4">
                <a:tint val="50000"/>
              </a:schemeClr>
            </a:solidFill>
            <a:ln>
              <a:noFill/>
            </a:ln>
            <a:effectLst/>
          </c:spPr>
          <c:invertIfNegative val="0"/>
          <c:cat>
            <c:strRef>
              <c:f>ALK!$B$47:$B$49</c:f>
              <c:strCache>
                <c:ptCount val="3"/>
                <c:pt idx="0">
                  <c:v>Clear</c:v>
                </c:pt>
                <c:pt idx="1">
                  <c:v>Muddy</c:v>
                </c:pt>
                <c:pt idx="2">
                  <c:v>Murky</c:v>
                </c:pt>
              </c:strCache>
            </c:strRef>
          </c:cat>
          <c:val>
            <c:numRef>
              <c:f>ALK!$C$47:$C$49</c:f>
              <c:numCache>
                <c:formatCode>General</c:formatCode>
                <c:ptCount val="3"/>
                <c:pt idx="0">
                  <c:v>117</c:v>
                </c:pt>
                <c:pt idx="1">
                  <c:v>7</c:v>
                </c:pt>
                <c:pt idx="2">
                  <c:v>32</c:v>
                </c:pt>
              </c:numCache>
            </c:numRef>
          </c:val>
          <c:extLst>
            <c:ext xmlns:c16="http://schemas.microsoft.com/office/drawing/2014/chart" uri="{C3380CC4-5D6E-409C-BE32-E72D297353CC}">
              <c16:uniqueId val="{00000000-2625-46D7-A884-FA351BEAA576}"/>
            </c:ext>
          </c:extLst>
        </c:ser>
        <c:ser>
          <c:idx val="1"/>
          <c:order val="1"/>
          <c:tx>
            <c:strRef>
              <c:f>ALK!$D$19</c:f>
              <c:strCache>
                <c:ptCount val="1"/>
                <c:pt idx="0">
                  <c:v>40</c:v>
                </c:pt>
              </c:strCache>
            </c:strRef>
          </c:tx>
          <c:spPr>
            <a:solidFill>
              <a:schemeClr val="accent4">
                <a:tint val="70000"/>
              </a:schemeClr>
            </a:solidFill>
            <a:ln>
              <a:noFill/>
            </a:ln>
            <a:effectLst/>
          </c:spPr>
          <c:invertIfNegative val="0"/>
          <c:cat>
            <c:strRef>
              <c:f>ALK!$B$47:$B$49</c:f>
              <c:strCache>
                <c:ptCount val="3"/>
                <c:pt idx="0">
                  <c:v>Clear</c:v>
                </c:pt>
                <c:pt idx="1">
                  <c:v>Muddy</c:v>
                </c:pt>
                <c:pt idx="2">
                  <c:v>Murky</c:v>
                </c:pt>
              </c:strCache>
            </c:strRef>
          </c:cat>
          <c:val>
            <c:numRef>
              <c:f>ALK!$D$47:$D$49</c:f>
              <c:numCache>
                <c:formatCode>General</c:formatCode>
                <c:ptCount val="3"/>
                <c:pt idx="0">
                  <c:v>125</c:v>
                </c:pt>
                <c:pt idx="1">
                  <c:v>8</c:v>
                </c:pt>
                <c:pt idx="2">
                  <c:v>49</c:v>
                </c:pt>
              </c:numCache>
            </c:numRef>
          </c:val>
          <c:extLst>
            <c:ext xmlns:c16="http://schemas.microsoft.com/office/drawing/2014/chart" uri="{C3380CC4-5D6E-409C-BE32-E72D297353CC}">
              <c16:uniqueId val="{00000001-2625-46D7-A884-FA351BEAA576}"/>
            </c:ext>
          </c:extLst>
        </c:ser>
        <c:ser>
          <c:idx val="2"/>
          <c:order val="2"/>
          <c:tx>
            <c:strRef>
              <c:f>ALK!$E$19</c:f>
              <c:strCache>
                <c:ptCount val="1"/>
                <c:pt idx="0">
                  <c:v>80</c:v>
                </c:pt>
              </c:strCache>
            </c:strRef>
          </c:tx>
          <c:spPr>
            <a:solidFill>
              <a:schemeClr val="accent4">
                <a:tint val="90000"/>
              </a:schemeClr>
            </a:solidFill>
            <a:ln>
              <a:noFill/>
            </a:ln>
            <a:effectLst/>
          </c:spPr>
          <c:invertIfNegative val="0"/>
          <c:cat>
            <c:strRef>
              <c:f>ALK!$B$47:$B$49</c:f>
              <c:strCache>
                <c:ptCount val="3"/>
                <c:pt idx="0">
                  <c:v>Clear</c:v>
                </c:pt>
                <c:pt idx="1">
                  <c:v>Muddy</c:v>
                </c:pt>
                <c:pt idx="2">
                  <c:v>Murky</c:v>
                </c:pt>
              </c:strCache>
            </c:strRef>
          </c:cat>
          <c:val>
            <c:numRef>
              <c:f>ALK!$E$47:$E$49</c:f>
              <c:numCache>
                <c:formatCode>General</c:formatCode>
                <c:ptCount val="3"/>
                <c:pt idx="0">
                  <c:v>279</c:v>
                </c:pt>
                <c:pt idx="1">
                  <c:v>31</c:v>
                </c:pt>
                <c:pt idx="2">
                  <c:v>66</c:v>
                </c:pt>
              </c:numCache>
            </c:numRef>
          </c:val>
          <c:extLst>
            <c:ext xmlns:c16="http://schemas.microsoft.com/office/drawing/2014/chart" uri="{C3380CC4-5D6E-409C-BE32-E72D297353CC}">
              <c16:uniqueId val="{00000002-2625-46D7-A884-FA351BEAA576}"/>
            </c:ext>
          </c:extLst>
        </c:ser>
        <c:ser>
          <c:idx val="3"/>
          <c:order val="3"/>
          <c:tx>
            <c:strRef>
              <c:f>ALK!$F$19</c:f>
              <c:strCache>
                <c:ptCount val="1"/>
                <c:pt idx="0">
                  <c:v>120</c:v>
                </c:pt>
              </c:strCache>
            </c:strRef>
          </c:tx>
          <c:spPr>
            <a:solidFill>
              <a:schemeClr val="accent4">
                <a:shade val="90000"/>
              </a:schemeClr>
            </a:solidFill>
            <a:ln>
              <a:noFill/>
            </a:ln>
            <a:effectLst/>
          </c:spPr>
          <c:invertIfNegative val="0"/>
          <c:cat>
            <c:strRef>
              <c:f>ALK!$B$47:$B$49</c:f>
              <c:strCache>
                <c:ptCount val="3"/>
                <c:pt idx="0">
                  <c:v>Clear</c:v>
                </c:pt>
                <c:pt idx="1">
                  <c:v>Muddy</c:v>
                </c:pt>
                <c:pt idx="2">
                  <c:v>Murky</c:v>
                </c:pt>
              </c:strCache>
            </c:strRef>
          </c:cat>
          <c:val>
            <c:numRef>
              <c:f>ALK!$F$47:$F$49</c:f>
              <c:numCache>
                <c:formatCode>General</c:formatCode>
                <c:ptCount val="3"/>
                <c:pt idx="0">
                  <c:v>204</c:v>
                </c:pt>
                <c:pt idx="1">
                  <c:v>14</c:v>
                </c:pt>
                <c:pt idx="2">
                  <c:v>43</c:v>
                </c:pt>
              </c:numCache>
            </c:numRef>
          </c:val>
          <c:extLst>
            <c:ext xmlns:c16="http://schemas.microsoft.com/office/drawing/2014/chart" uri="{C3380CC4-5D6E-409C-BE32-E72D297353CC}">
              <c16:uniqueId val="{00000003-2625-46D7-A884-FA351BEAA576}"/>
            </c:ext>
          </c:extLst>
        </c:ser>
        <c:ser>
          <c:idx val="4"/>
          <c:order val="4"/>
          <c:tx>
            <c:strRef>
              <c:f>ALK!$G$19</c:f>
              <c:strCache>
                <c:ptCount val="1"/>
                <c:pt idx="0">
                  <c:v>180</c:v>
                </c:pt>
              </c:strCache>
            </c:strRef>
          </c:tx>
          <c:spPr>
            <a:solidFill>
              <a:schemeClr val="accent4">
                <a:shade val="70000"/>
              </a:schemeClr>
            </a:solidFill>
            <a:ln>
              <a:noFill/>
            </a:ln>
            <a:effectLst/>
          </c:spPr>
          <c:invertIfNegative val="0"/>
          <c:cat>
            <c:strRef>
              <c:f>ALK!$B$47:$B$49</c:f>
              <c:strCache>
                <c:ptCount val="3"/>
                <c:pt idx="0">
                  <c:v>Clear</c:v>
                </c:pt>
                <c:pt idx="1">
                  <c:v>Muddy</c:v>
                </c:pt>
                <c:pt idx="2">
                  <c:v>Murky</c:v>
                </c:pt>
              </c:strCache>
            </c:strRef>
          </c:cat>
          <c:val>
            <c:numRef>
              <c:f>ALK!$G$47:$G$49</c:f>
              <c:numCache>
                <c:formatCode>General</c:formatCode>
                <c:ptCount val="3"/>
                <c:pt idx="0">
                  <c:v>664</c:v>
                </c:pt>
                <c:pt idx="1">
                  <c:v>26</c:v>
                </c:pt>
                <c:pt idx="2">
                  <c:v>136</c:v>
                </c:pt>
              </c:numCache>
            </c:numRef>
          </c:val>
          <c:extLst>
            <c:ext xmlns:c16="http://schemas.microsoft.com/office/drawing/2014/chart" uri="{C3380CC4-5D6E-409C-BE32-E72D297353CC}">
              <c16:uniqueId val="{00000004-2625-46D7-A884-FA351BEAA576}"/>
            </c:ext>
          </c:extLst>
        </c:ser>
        <c:ser>
          <c:idx val="5"/>
          <c:order val="5"/>
          <c:tx>
            <c:strRef>
              <c:f>ALK!$H$19</c:f>
              <c:strCache>
                <c:ptCount val="1"/>
                <c:pt idx="0">
                  <c:v>240</c:v>
                </c:pt>
              </c:strCache>
            </c:strRef>
          </c:tx>
          <c:spPr>
            <a:solidFill>
              <a:schemeClr val="accent4">
                <a:shade val="50000"/>
              </a:schemeClr>
            </a:solidFill>
            <a:ln>
              <a:noFill/>
            </a:ln>
            <a:effectLst/>
          </c:spPr>
          <c:invertIfNegative val="0"/>
          <c:cat>
            <c:strRef>
              <c:f>ALK!$B$47:$B$49</c:f>
              <c:strCache>
                <c:ptCount val="3"/>
                <c:pt idx="0">
                  <c:v>Clear</c:v>
                </c:pt>
                <c:pt idx="1">
                  <c:v>Muddy</c:v>
                </c:pt>
                <c:pt idx="2">
                  <c:v>Murky</c:v>
                </c:pt>
              </c:strCache>
            </c:strRef>
          </c:cat>
          <c:val>
            <c:numRef>
              <c:f>ALK!$H$47:$H$49</c:f>
              <c:numCache>
                <c:formatCode>General</c:formatCode>
                <c:ptCount val="3"/>
                <c:pt idx="0">
                  <c:v>17</c:v>
                </c:pt>
                <c:pt idx="1">
                  <c:v>1</c:v>
                </c:pt>
                <c:pt idx="2">
                  <c:v>4</c:v>
                </c:pt>
              </c:numCache>
            </c:numRef>
          </c:val>
          <c:extLst>
            <c:ext xmlns:c16="http://schemas.microsoft.com/office/drawing/2014/chart" uri="{C3380CC4-5D6E-409C-BE32-E72D297353CC}">
              <c16:uniqueId val="{00000005-2625-46D7-A884-FA351BEAA576}"/>
            </c:ext>
          </c:extLst>
        </c:ser>
        <c:dLbls>
          <c:showLegendKey val="0"/>
          <c:showVal val="0"/>
          <c:showCatName val="0"/>
          <c:showSerName val="0"/>
          <c:showPercent val="0"/>
          <c:showBubbleSize val="0"/>
        </c:dLbls>
        <c:gapWidth val="10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Clarity</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5479918473500612E-2"/>
          <c:h val="0.64370704041469329"/>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902478865901553"/>
          <c:y val="6.2646828504306969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3738808356427205E-2"/>
          <c:y val="8.1991379895054228E-2"/>
          <c:w val="0.86315808028496643"/>
          <c:h val="0.76200099889628126"/>
        </c:manualLayout>
      </c:layout>
      <c:barChart>
        <c:barDir val="col"/>
        <c:grouping val="clustered"/>
        <c:varyColors val="0"/>
        <c:ser>
          <c:idx val="1"/>
          <c:order val="0"/>
          <c:tx>
            <c:strRef>
              <c:f>ALK!$N$62</c:f>
              <c:strCache>
                <c:ptCount val="1"/>
                <c:pt idx="0">
                  <c:v>Kiat-TU-Wish</c:v>
                </c:pt>
              </c:strCache>
            </c:strRef>
          </c:tx>
          <c:spPr>
            <a:solidFill>
              <a:schemeClr val="accent2"/>
            </a:solidFill>
            <a:ln>
              <a:noFill/>
            </a:ln>
            <a:effectLst/>
          </c:spPr>
          <c:invertIfNegative val="0"/>
          <c:cat>
            <c:numRef>
              <c:f>ALK!$C$63:$H$63</c:f>
              <c:numCache>
                <c:formatCode>General</c:formatCode>
                <c:ptCount val="6"/>
                <c:pt idx="0">
                  <c:v>0</c:v>
                </c:pt>
                <c:pt idx="1">
                  <c:v>40</c:v>
                </c:pt>
                <c:pt idx="2">
                  <c:v>80</c:v>
                </c:pt>
                <c:pt idx="3">
                  <c:v>120</c:v>
                </c:pt>
                <c:pt idx="4">
                  <c:v>180</c:v>
                </c:pt>
                <c:pt idx="5">
                  <c:v>240</c:v>
                </c:pt>
              </c:numCache>
            </c:numRef>
          </c:cat>
          <c:val>
            <c:numRef>
              <c:f>ALK!$N$87:$S$87</c:f>
              <c:numCache>
                <c:formatCode>General</c:formatCode>
                <c:ptCount val="6"/>
                <c:pt idx="0">
                  <c:v>17</c:v>
                </c:pt>
                <c:pt idx="1">
                  <c:v>5</c:v>
                </c:pt>
                <c:pt idx="2">
                  <c:v>40</c:v>
                </c:pt>
                <c:pt idx="3">
                  <c:v>27</c:v>
                </c:pt>
                <c:pt idx="4">
                  <c:v>92</c:v>
                </c:pt>
                <c:pt idx="5">
                  <c:v>6</c:v>
                </c:pt>
              </c:numCache>
            </c:numRef>
          </c:val>
          <c:extLst>
            <c:ext xmlns:c16="http://schemas.microsoft.com/office/drawing/2014/chart" uri="{C3380CC4-5D6E-409C-BE32-E72D297353CC}">
              <c16:uniqueId val="{00000001-B621-41AB-8813-FFFF91C4E5B4}"/>
            </c:ext>
          </c:extLst>
        </c:ser>
        <c:dLbls>
          <c:showLegendKey val="0"/>
          <c:showVal val="0"/>
          <c:showCatName val="0"/>
          <c:showSerName val="0"/>
          <c:showPercent val="0"/>
          <c:showBubbleSize val="0"/>
        </c:dLbls>
        <c:gapWidth val="219"/>
        <c:overlap val="-27"/>
        <c:axId val="549948080"/>
        <c:axId val="549943088"/>
      </c:barChart>
      <c:catAx>
        <c:axId val="549948080"/>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Concentration [ppm CaCO3]</a:t>
                </a:r>
              </a:p>
            </c:rich>
          </c:tx>
          <c:layout>
            <c:manualLayout>
              <c:xMode val="edge"/>
              <c:yMode val="edge"/>
              <c:x val="0.38949835974324354"/>
              <c:y val="0.91387331946984152"/>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3088"/>
        <c:crosses val="autoZero"/>
        <c:auto val="1"/>
        <c:lblAlgn val="ctr"/>
        <c:lblOffset val="100"/>
        <c:noMultiLvlLbl val="0"/>
      </c:catAx>
      <c:valAx>
        <c:axId val="5499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Occurrences</a:t>
                </a:r>
              </a:p>
            </c:rich>
          </c:tx>
          <c:layout>
            <c:manualLayout>
              <c:xMode val="edge"/>
              <c:yMode val="edge"/>
              <c:x val="7.2933111954263724E-3"/>
              <c:y val="0.39122495363215049"/>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03444809900128E-2"/>
          <c:y val="7.1756570100895534E-2"/>
          <c:w val="0.8176228684815785"/>
          <c:h val="0.68163736115108464"/>
        </c:manualLayout>
      </c:layout>
      <c:barChart>
        <c:barDir val="col"/>
        <c:grouping val="clustered"/>
        <c:varyColors val="0"/>
        <c:ser>
          <c:idx val="0"/>
          <c:order val="0"/>
          <c:tx>
            <c:v>Observations</c:v>
          </c:tx>
          <c:spPr>
            <a:solidFill>
              <a:schemeClr val="accent1"/>
            </a:solidFill>
            <a:ln>
              <a:noFill/>
            </a:ln>
            <a:effectLst>
              <a:outerShdw blurRad="50800" dist="38100" dir="2700000" algn="tl" rotWithShape="0">
                <a:prstClr val="black">
                  <a:alpha val="40000"/>
                </a:prstClr>
              </a:outerShdw>
            </a:effectLst>
          </c:spPr>
          <c:invertIfNegative val="0"/>
          <c:cat>
            <c:strRef>
              <c:f>HRD!$B$7:$B$12</c:f>
              <c:strCache>
                <c:ptCount val="6"/>
                <c:pt idx="0">
                  <c:v>0</c:v>
                </c:pt>
                <c:pt idx="1">
                  <c:v>30</c:v>
                </c:pt>
                <c:pt idx="2">
                  <c:v>60</c:v>
                </c:pt>
                <c:pt idx="3">
                  <c:v>120</c:v>
                </c:pt>
                <c:pt idx="4">
                  <c:v>180</c:v>
                </c:pt>
                <c:pt idx="5">
                  <c:v>Total</c:v>
                </c:pt>
              </c:strCache>
            </c:strRef>
          </c:cat>
          <c:val>
            <c:numRef>
              <c:f>HRD!$C$7:$C$11</c:f>
              <c:numCache>
                <c:formatCode>General</c:formatCode>
                <c:ptCount val="5"/>
                <c:pt idx="0">
                  <c:v>122</c:v>
                </c:pt>
                <c:pt idx="1">
                  <c:v>139</c:v>
                </c:pt>
                <c:pt idx="2">
                  <c:v>206</c:v>
                </c:pt>
                <c:pt idx="3">
                  <c:v>674</c:v>
                </c:pt>
                <c:pt idx="4">
                  <c:v>862</c:v>
                </c:pt>
              </c:numCache>
            </c:numRef>
          </c:val>
          <c:extLst>
            <c:ext xmlns:c16="http://schemas.microsoft.com/office/drawing/2014/chart" uri="{C3380CC4-5D6E-409C-BE32-E72D297353CC}">
              <c16:uniqueId val="{00000000-A010-4A5A-8C77-D6C47ABEBA0B}"/>
            </c:ext>
          </c:extLst>
        </c:ser>
        <c:dLbls>
          <c:showLegendKey val="0"/>
          <c:showVal val="0"/>
          <c:showCatName val="0"/>
          <c:showSerName val="0"/>
          <c:showPercent val="0"/>
          <c:showBubbleSize val="0"/>
        </c:dLbls>
        <c:gapWidth val="52"/>
        <c:axId val="763072256"/>
        <c:axId val="763065696"/>
      </c:barChart>
      <c:lineChart>
        <c:grouping val="standard"/>
        <c:varyColors val="0"/>
        <c:ser>
          <c:idx val="1"/>
          <c:order val="1"/>
          <c:tx>
            <c:v>Cum. %</c:v>
          </c:tx>
          <c:spPr>
            <a:ln w="28575" cap="rnd">
              <a:solidFill>
                <a:schemeClr val="accent2"/>
              </a:solidFill>
              <a:round/>
            </a:ln>
            <a:effectLst/>
          </c:spPr>
          <c:marker>
            <c:symbol val="none"/>
          </c:marker>
          <c:cat>
            <c:numRef>
              <c:f>HRD!$B$7:$B$11</c:f>
              <c:numCache>
                <c:formatCode>General</c:formatCode>
                <c:ptCount val="5"/>
                <c:pt idx="0">
                  <c:v>0</c:v>
                </c:pt>
                <c:pt idx="1">
                  <c:v>30</c:v>
                </c:pt>
                <c:pt idx="2">
                  <c:v>60</c:v>
                </c:pt>
                <c:pt idx="3">
                  <c:v>120</c:v>
                </c:pt>
                <c:pt idx="4">
                  <c:v>180</c:v>
                </c:pt>
              </c:numCache>
            </c:numRef>
          </c:cat>
          <c:val>
            <c:numRef>
              <c:f>HRD!$E$7:$E$11</c:f>
              <c:numCache>
                <c:formatCode>0%</c:formatCode>
                <c:ptCount val="5"/>
                <c:pt idx="0">
                  <c:v>6.0908637044433347E-2</c:v>
                </c:pt>
                <c:pt idx="1">
                  <c:v>0.13030454318522217</c:v>
                </c:pt>
                <c:pt idx="2">
                  <c:v>0.23315027458811782</c:v>
                </c:pt>
                <c:pt idx="3">
                  <c:v>0.56964553170244625</c:v>
                </c:pt>
                <c:pt idx="4">
                  <c:v>1</c:v>
                </c:pt>
              </c:numCache>
            </c:numRef>
          </c:val>
          <c:smooth val="0"/>
          <c:extLst>
            <c:ext xmlns:c16="http://schemas.microsoft.com/office/drawing/2014/chart" uri="{C3380CC4-5D6E-409C-BE32-E72D297353CC}">
              <c16:uniqueId val="{00000001-A010-4A5A-8C77-D6C47ABEBA0B}"/>
            </c:ext>
          </c:extLst>
        </c:ser>
        <c:dLbls>
          <c:showLegendKey val="0"/>
          <c:showVal val="0"/>
          <c:showCatName val="0"/>
          <c:showSerName val="0"/>
          <c:showPercent val="0"/>
          <c:showBubbleSize val="0"/>
        </c:dLbls>
        <c:marker val="1"/>
        <c:smooth val="0"/>
        <c:axId val="449691463"/>
        <c:axId val="449693759"/>
      </c:lineChart>
      <c:catAx>
        <c:axId val="7630722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Hardness (ppm CaCO3)</a:t>
                </a:r>
              </a:p>
            </c:rich>
          </c:tx>
          <c:layout>
            <c:manualLayout>
              <c:xMode val="edge"/>
              <c:yMode val="edge"/>
              <c:x val="0.39996942619431952"/>
              <c:y val="0.8390817270372467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65696"/>
        <c:crosses val="autoZero"/>
        <c:auto val="1"/>
        <c:lblAlgn val="ctr"/>
        <c:lblOffset val="100"/>
        <c:noMultiLvlLbl val="0"/>
      </c:catAx>
      <c:valAx>
        <c:axId val="7630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Observations</a:t>
                </a:r>
              </a:p>
            </c:rich>
          </c:tx>
          <c:layout>
            <c:manualLayout>
              <c:xMode val="edge"/>
              <c:yMode val="edge"/>
              <c:x val="9.1765223383644175E-3"/>
              <c:y val="0.27463448497781179"/>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72256"/>
        <c:crosses val="autoZero"/>
        <c:crossBetween val="between"/>
      </c:valAx>
      <c:valAx>
        <c:axId val="449693759"/>
        <c:scaling>
          <c:orientation val="minMax"/>
          <c:max val="1.05"/>
          <c:min val="0"/>
        </c:scaling>
        <c:delete val="0"/>
        <c:axPos val="r"/>
        <c:title>
          <c:tx>
            <c:rich>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Cumulative %</a:t>
                </a:r>
              </a:p>
            </c:rich>
          </c:tx>
          <c:layout>
            <c:manualLayout>
              <c:xMode val="edge"/>
              <c:yMode val="edge"/>
              <c:x val="0.96602478551000959"/>
              <c:y val="0.27884982176446604"/>
            </c:manualLayout>
          </c:layout>
          <c:overlay val="0"/>
          <c:spPr>
            <a:noFill/>
            <a:ln>
              <a:noFill/>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49691463"/>
        <c:crosses val="max"/>
        <c:crossBetween val="between"/>
      </c:valAx>
      <c:catAx>
        <c:axId val="449691463"/>
        <c:scaling>
          <c:orientation val="minMax"/>
        </c:scaling>
        <c:delete val="1"/>
        <c:axPos val="b"/>
        <c:numFmt formatCode="General" sourceLinked="1"/>
        <c:majorTickMark val="out"/>
        <c:minorTickMark val="none"/>
        <c:tickLblPos val="nextTo"/>
        <c:crossAx val="449693759"/>
        <c:crosses val="autoZero"/>
        <c:auto val="1"/>
        <c:lblAlgn val="ctr"/>
        <c:lblOffset val="100"/>
        <c:noMultiLvlLbl val="0"/>
      </c:catAx>
      <c:spPr>
        <a:noFill/>
        <a:ln>
          <a:noFill/>
        </a:ln>
        <a:effectLst/>
      </c:spPr>
    </c:plotArea>
    <c:legend>
      <c:legendPos val="r"/>
      <c:layout>
        <c:manualLayout>
          <c:xMode val="edge"/>
          <c:yMode val="edge"/>
          <c:x val="0.79035523318115919"/>
          <c:y val="0.87907671073869498"/>
          <c:w val="0.14924720205970438"/>
          <c:h val="0.113068477671872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Weather</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20981370025886E-2"/>
          <c:y val="9.4434123878227791E-2"/>
          <c:w val="0.81303636113763489"/>
          <c:h val="0.71953270816267678"/>
        </c:manualLayout>
      </c:layout>
      <c:barChart>
        <c:barDir val="col"/>
        <c:grouping val="clustered"/>
        <c:varyColors val="0"/>
        <c:ser>
          <c:idx val="0"/>
          <c:order val="0"/>
          <c:tx>
            <c:strRef>
              <c:f>HRD!$C$19</c:f>
              <c:strCache>
                <c:ptCount val="1"/>
                <c:pt idx="0">
                  <c:v>0</c:v>
                </c:pt>
              </c:strCache>
            </c:strRef>
          </c:tx>
          <c:spPr>
            <a:solidFill>
              <a:schemeClr val="accent3">
                <a:tint val="54000"/>
              </a:schemeClr>
            </a:solidFill>
            <a:ln>
              <a:noFill/>
            </a:ln>
            <a:effectLst/>
          </c:spPr>
          <c:invertIfNegative val="0"/>
          <c:cat>
            <c:strRef>
              <c:f>HRD!$J$20:$J$25</c:f>
              <c:strCache>
                <c:ptCount val="6"/>
                <c:pt idx="0">
                  <c:v>LT</c:v>
                </c:pt>
                <c:pt idx="1">
                  <c:v>RR</c:v>
                </c:pt>
                <c:pt idx="2">
                  <c:v>RR, LT</c:v>
                </c:pt>
                <c:pt idx="3">
                  <c:v>RR, SM</c:v>
                </c:pt>
                <c:pt idx="4">
                  <c:v>SM</c:v>
                </c:pt>
                <c:pt idx="5">
                  <c:v>None</c:v>
                </c:pt>
              </c:strCache>
            </c:strRef>
          </c:cat>
          <c:val>
            <c:numRef>
              <c:f>HRD!$C$20:$C$25</c:f>
              <c:numCache>
                <c:formatCode>General</c:formatCode>
                <c:ptCount val="6"/>
                <c:pt idx="0">
                  <c:v>2</c:v>
                </c:pt>
                <c:pt idx="1">
                  <c:v>25</c:v>
                </c:pt>
                <c:pt idx="2">
                  <c:v>1</c:v>
                </c:pt>
                <c:pt idx="3">
                  <c:v>0</c:v>
                </c:pt>
                <c:pt idx="4">
                  <c:v>0</c:v>
                </c:pt>
                <c:pt idx="5">
                  <c:v>76</c:v>
                </c:pt>
              </c:numCache>
            </c:numRef>
          </c:val>
          <c:extLst>
            <c:ext xmlns:c16="http://schemas.microsoft.com/office/drawing/2014/chart" uri="{C3380CC4-5D6E-409C-BE32-E72D297353CC}">
              <c16:uniqueId val="{00000000-EE44-4442-AC66-467FEBF7D067}"/>
            </c:ext>
          </c:extLst>
        </c:ser>
        <c:ser>
          <c:idx val="1"/>
          <c:order val="1"/>
          <c:tx>
            <c:strRef>
              <c:f>HRD!$D$19</c:f>
              <c:strCache>
                <c:ptCount val="1"/>
                <c:pt idx="0">
                  <c:v>30</c:v>
                </c:pt>
              </c:strCache>
            </c:strRef>
          </c:tx>
          <c:spPr>
            <a:solidFill>
              <a:schemeClr val="accent3">
                <a:tint val="77000"/>
              </a:schemeClr>
            </a:solidFill>
            <a:ln>
              <a:noFill/>
            </a:ln>
            <a:effectLst/>
          </c:spPr>
          <c:invertIfNegative val="0"/>
          <c:cat>
            <c:strRef>
              <c:f>HRD!$J$20:$J$25</c:f>
              <c:strCache>
                <c:ptCount val="6"/>
                <c:pt idx="0">
                  <c:v>LT</c:v>
                </c:pt>
                <c:pt idx="1">
                  <c:v>RR</c:v>
                </c:pt>
                <c:pt idx="2">
                  <c:v>RR, LT</c:v>
                </c:pt>
                <c:pt idx="3">
                  <c:v>RR, SM</c:v>
                </c:pt>
                <c:pt idx="4">
                  <c:v>SM</c:v>
                </c:pt>
                <c:pt idx="5">
                  <c:v>None</c:v>
                </c:pt>
              </c:strCache>
            </c:strRef>
          </c:cat>
          <c:val>
            <c:numRef>
              <c:f>HRD!$D$20:$D$25</c:f>
              <c:numCache>
                <c:formatCode>General</c:formatCode>
                <c:ptCount val="6"/>
                <c:pt idx="0">
                  <c:v>5</c:v>
                </c:pt>
                <c:pt idx="1">
                  <c:v>16</c:v>
                </c:pt>
                <c:pt idx="2">
                  <c:v>0</c:v>
                </c:pt>
                <c:pt idx="3">
                  <c:v>0</c:v>
                </c:pt>
                <c:pt idx="4">
                  <c:v>1</c:v>
                </c:pt>
                <c:pt idx="5">
                  <c:v>91</c:v>
                </c:pt>
              </c:numCache>
            </c:numRef>
          </c:val>
          <c:extLst>
            <c:ext xmlns:c16="http://schemas.microsoft.com/office/drawing/2014/chart" uri="{C3380CC4-5D6E-409C-BE32-E72D297353CC}">
              <c16:uniqueId val="{00000001-EE44-4442-AC66-467FEBF7D067}"/>
            </c:ext>
          </c:extLst>
        </c:ser>
        <c:ser>
          <c:idx val="2"/>
          <c:order val="2"/>
          <c:tx>
            <c:strRef>
              <c:f>HRD!$E$19</c:f>
              <c:strCache>
                <c:ptCount val="1"/>
                <c:pt idx="0">
                  <c:v>60</c:v>
                </c:pt>
              </c:strCache>
            </c:strRef>
          </c:tx>
          <c:spPr>
            <a:solidFill>
              <a:schemeClr val="accent3"/>
            </a:solidFill>
            <a:ln>
              <a:noFill/>
            </a:ln>
            <a:effectLst/>
          </c:spPr>
          <c:invertIfNegative val="0"/>
          <c:cat>
            <c:strRef>
              <c:f>HRD!$J$20:$J$25</c:f>
              <c:strCache>
                <c:ptCount val="6"/>
                <c:pt idx="0">
                  <c:v>LT</c:v>
                </c:pt>
                <c:pt idx="1">
                  <c:v>RR</c:v>
                </c:pt>
                <c:pt idx="2">
                  <c:v>RR, LT</c:v>
                </c:pt>
                <c:pt idx="3">
                  <c:v>RR, SM</c:v>
                </c:pt>
                <c:pt idx="4">
                  <c:v>SM</c:v>
                </c:pt>
                <c:pt idx="5">
                  <c:v>None</c:v>
                </c:pt>
              </c:strCache>
            </c:strRef>
          </c:cat>
          <c:val>
            <c:numRef>
              <c:f>HRD!$E$20:$E$25</c:f>
              <c:numCache>
                <c:formatCode>General</c:formatCode>
                <c:ptCount val="6"/>
                <c:pt idx="0">
                  <c:v>19</c:v>
                </c:pt>
                <c:pt idx="1">
                  <c:v>33</c:v>
                </c:pt>
                <c:pt idx="2">
                  <c:v>0</c:v>
                </c:pt>
                <c:pt idx="3">
                  <c:v>1</c:v>
                </c:pt>
                <c:pt idx="4">
                  <c:v>6</c:v>
                </c:pt>
                <c:pt idx="5">
                  <c:v>122</c:v>
                </c:pt>
              </c:numCache>
            </c:numRef>
          </c:val>
          <c:extLst>
            <c:ext xmlns:c16="http://schemas.microsoft.com/office/drawing/2014/chart" uri="{C3380CC4-5D6E-409C-BE32-E72D297353CC}">
              <c16:uniqueId val="{00000002-EE44-4442-AC66-467FEBF7D067}"/>
            </c:ext>
          </c:extLst>
        </c:ser>
        <c:ser>
          <c:idx val="3"/>
          <c:order val="3"/>
          <c:tx>
            <c:strRef>
              <c:f>HRD!$F$19</c:f>
              <c:strCache>
                <c:ptCount val="1"/>
                <c:pt idx="0">
                  <c:v>120</c:v>
                </c:pt>
              </c:strCache>
            </c:strRef>
          </c:tx>
          <c:spPr>
            <a:solidFill>
              <a:schemeClr val="accent3">
                <a:shade val="76000"/>
              </a:schemeClr>
            </a:solidFill>
            <a:ln>
              <a:noFill/>
            </a:ln>
            <a:effectLst/>
          </c:spPr>
          <c:invertIfNegative val="0"/>
          <c:cat>
            <c:strRef>
              <c:f>HRD!$J$20:$J$25</c:f>
              <c:strCache>
                <c:ptCount val="6"/>
                <c:pt idx="0">
                  <c:v>LT</c:v>
                </c:pt>
                <c:pt idx="1">
                  <c:v>RR</c:v>
                </c:pt>
                <c:pt idx="2">
                  <c:v>RR, LT</c:v>
                </c:pt>
                <c:pt idx="3">
                  <c:v>RR, SM</c:v>
                </c:pt>
                <c:pt idx="4">
                  <c:v>SM</c:v>
                </c:pt>
                <c:pt idx="5">
                  <c:v>None</c:v>
                </c:pt>
              </c:strCache>
            </c:strRef>
          </c:cat>
          <c:val>
            <c:numRef>
              <c:f>HRD!$F$20:$F$25</c:f>
              <c:numCache>
                <c:formatCode>General</c:formatCode>
                <c:ptCount val="6"/>
                <c:pt idx="0">
                  <c:v>27</c:v>
                </c:pt>
                <c:pt idx="1">
                  <c:v>87</c:v>
                </c:pt>
                <c:pt idx="2">
                  <c:v>6</c:v>
                </c:pt>
                <c:pt idx="3">
                  <c:v>2</c:v>
                </c:pt>
                <c:pt idx="4">
                  <c:v>7</c:v>
                </c:pt>
                <c:pt idx="5">
                  <c:v>489</c:v>
                </c:pt>
              </c:numCache>
            </c:numRef>
          </c:val>
          <c:extLst>
            <c:ext xmlns:c16="http://schemas.microsoft.com/office/drawing/2014/chart" uri="{C3380CC4-5D6E-409C-BE32-E72D297353CC}">
              <c16:uniqueId val="{00000003-EE44-4442-AC66-467FEBF7D067}"/>
            </c:ext>
          </c:extLst>
        </c:ser>
        <c:ser>
          <c:idx val="4"/>
          <c:order val="4"/>
          <c:tx>
            <c:strRef>
              <c:f>HRD!$G$19</c:f>
              <c:strCache>
                <c:ptCount val="1"/>
                <c:pt idx="0">
                  <c:v>180</c:v>
                </c:pt>
              </c:strCache>
            </c:strRef>
          </c:tx>
          <c:spPr>
            <a:solidFill>
              <a:schemeClr val="accent3">
                <a:shade val="53000"/>
              </a:schemeClr>
            </a:solidFill>
            <a:ln>
              <a:noFill/>
            </a:ln>
            <a:effectLst/>
          </c:spPr>
          <c:invertIfNegative val="0"/>
          <c:cat>
            <c:strRef>
              <c:f>HRD!$J$20:$J$25</c:f>
              <c:strCache>
                <c:ptCount val="6"/>
                <c:pt idx="0">
                  <c:v>LT</c:v>
                </c:pt>
                <c:pt idx="1">
                  <c:v>RR</c:v>
                </c:pt>
                <c:pt idx="2">
                  <c:v>RR, LT</c:v>
                </c:pt>
                <c:pt idx="3">
                  <c:v>RR, SM</c:v>
                </c:pt>
                <c:pt idx="4">
                  <c:v>SM</c:v>
                </c:pt>
                <c:pt idx="5">
                  <c:v>None</c:v>
                </c:pt>
              </c:strCache>
            </c:strRef>
          </c:cat>
          <c:val>
            <c:numRef>
              <c:f>HRD!$G$20:$G$25</c:f>
              <c:numCache>
                <c:formatCode>General</c:formatCode>
                <c:ptCount val="6"/>
                <c:pt idx="0">
                  <c:v>31</c:v>
                </c:pt>
                <c:pt idx="1">
                  <c:v>84</c:v>
                </c:pt>
                <c:pt idx="2">
                  <c:v>3</c:v>
                </c:pt>
                <c:pt idx="3">
                  <c:v>2</c:v>
                </c:pt>
                <c:pt idx="4">
                  <c:v>6</c:v>
                </c:pt>
                <c:pt idx="5">
                  <c:v>628</c:v>
                </c:pt>
              </c:numCache>
            </c:numRef>
          </c:val>
          <c:extLst>
            <c:ext xmlns:c16="http://schemas.microsoft.com/office/drawing/2014/chart" uri="{C3380CC4-5D6E-409C-BE32-E72D297353CC}">
              <c16:uniqueId val="{00000004-EE44-4442-AC66-467FEBF7D067}"/>
            </c:ext>
          </c:extLst>
        </c:ser>
        <c:dLbls>
          <c:showLegendKey val="0"/>
          <c:showVal val="0"/>
          <c:showCatName val="0"/>
          <c:showSerName val="0"/>
          <c:showPercent val="0"/>
          <c:showBubbleSize val="0"/>
        </c:dLbls>
        <c:gapWidth val="97"/>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Weather Conditions</a:t>
                </a:r>
              </a:p>
            </c:rich>
          </c:tx>
          <c:layout>
            <c:manualLayout>
              <c:xMode val="edge"/>
              <c:yMode val="edge"/>
              <c:x val="0.39586177207579076"/>
              <c:y val="0.91272329167839727"/>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259047489806289"/>
          <c:y val="0.16075375331047909"/>
          <c:w val="7.6577552363168183E-2"/>
          <c:h val="0.62871958795974825"/>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Level</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729364057854791E-2"/>
          <c:y val="9.4434123878227791E-2"/>
          <c:w val="0.81112811183411782"/>
          <c:h val="0.74885122318014552"/>
        </c:manualLayout>
      </c:layout>
      <c:barChart>
        <c:barDir val="col"/>
        <c:grouping val="clustered"/>
        <c:varyColors val="0"/>
        <c:ser>
          <c:idx val="0"/>
          <c:order val="0"/>
          <c:tx>
            <c:strRef>
              <c:f>HRD!$C$19</c:f>
              <c:strCache>
                <c:ptCount val="1"/>
                <c:pt idx="0">
                  <c:v>0</c:v>
                </c:pt>
              </c:strCache>
            </c:strRef>
          </c:tx>
          <c:spPr>
            <a:solidFill>
              <a:schemeClr val="accent1">
                <a:tint val="54000"/>
              </a:schemeClr>
            </a:solidFill>
            <a:ln>
              <a:noFill/>
            </a:ln>
            <a:effectLst/>
          </c:spPr>
          <c:invertIfNegative val="0"/>
          <c:cat>
            <c:strRef>
              <c:f>HRD!$B$31:$B$34</c:f>
              <c:strCache>
                <c:ptCount val="4"/>
                <c:pt idx="0">
                  <c:v>Baseflow</c:v>
                </c:pt>
                <c:pt idx="1">
                  <c:v>Mid-Stage</c:v>
                </c:pt>
                <c:pt idx="2">
                  <c:v>Bankfull Stage</c:v>
                </c:pt>
                <c:pt idx="3">
                  <c:v>Overbank Flooding</c:v>
                </c:pt>
              </c:strCache>
            </c:strRef>
          </c:cat>
          <c:val>
            <c:numRef>
              <c:f>HRD!$C$31:$C$34</c:f>
              <c:numCache>
                <c:formatCode>General</c:formatCode>
                <c:ptCount val="4"/>
                <c:pt idx="0">
                  <c:v>71</c:v>
                </c:pt>
                <c:pt idx="1">
                  <c:v>32</c:v>
                </c:pt>
                <c:pt idx="2">
                  <c:v>2</c:v>
                </c:pt>
                <c:pt idx="3">
                  <c:v>1</c:v>
                </c:pt>
              </c:numCache>
            </c:numRef>
          </c:val>
          <c:extLst>
            <c:ext xmlns:c16="http://schemas.microsoft.com/office/drawing/2014/chart" uri="{C3380CC4-5D6E-409C-BE32-E72D297353CC}">
              <c16:uniqueId val="{00000000-5B14-42C0-9F55-48542C9F1F3C}"/>
            </c:ext>
          </c:extLst>
        </c:ser>
        <c:ser>
          <c:idx val="1"/>
          <c:order val="1"/>
          <c:tx>
            <c:strRef>
              <c:f>HRD!$D$19</c:f>
              <c:strCache>
                <c:ptCount val="1"/>
                <c:pt idx="0">
                  <c:v>30</c:v>
                </c:pt>
              </c:strCache>
            </c:strRef>
          </c:tx>
          <c:spPr>
            <a:solidFill>
              <a:schemeClr val="accent1">
                <a:tint val="77000"/>
              </a:schemeClr>
            </a:solidFill>
            <a:ln>
              <a:noFill/>
            </a:ln>
            <a:effectLst/>
          </c:spPr>
          <c:invertIfNegative val="0"/>
          <c:cat>
            <c:strRef>
              <c:f>HRD!$B$31:$B$34</c:f>
              <c:strCache>
                <c:ptCount val="4"/>
                <c:pt idx="0">
                  <c:v>Baseflow</c:v>
                </c:pt>
                <c:pt idx="1">
                  <c:v>Mid-Stage</c:v>
                </c:pt>
                <c:pt idx="2">
                  <c:v>Bankfull Stage</c:v>
                </c:pt>
                <c:pt idx="3">
                  <c:v>Overbank Flooding</c:v>
                </c:pt>
              </c:strCache>
            </c:strRef>
          </c:cat>
          <c:val>
            <c:numRef>
              <c:f>HRD!$D$31:$D$34</c:f>
              <c:numCache>
                <c:formatCode>General</c:formatCode>
                <c:ptCount val="4"/>
                <c:pt idx="0">
                  <c:v>83</c:v>
                </c:pt>
                <c:pt idx="1">
                  <c:v>26</c:v>
                </c:pt>
                <c:pt idx="2">
                  <c:v>4</c:v>
                </c:pt>
                <c:pt idx="3">
                  <c:v>1</c:v>
                </c:pt>
              </c:numCache>
            </c:numRef>
          </c:val>
          <c:extLst>
            <c:ext xmlns:c16="http://schemas.microsoft.com/office/drawing/2014/chart" uri="{C3380CC4-5D6E-409C-BE32-E72D297353CC}">
              <c16:uniqueId val="{00000001-5B14-42C0-9F55-48542C9F1F3C}"/>
            </c:ext>
          </c:extLst>
        </c:ser>
        <c:ser>
          <c:idx val="2"/>
          <c:order val="2"/>
          <c:tx>
            <c:strRef>
              <c:f>HRD!$E$19</c:f>
              <c:strCache>
                <c:ptCount val="1"/>
                <c:pt idx="0">
                  <c:v>60</c:v>
                </c:pt>
              </c:strCache>
            </c:strRef>
          </c:tx>
          <c:spPr>
            <a:solidFill>
              <a:schemeClr val="accent1"/>
            </a:solidFill>
            <a:ln>
              <a:noFill/>
            </a:ln>
            <a:effectLst/>
          </c:spPr>
          <c:invertIfNegative val="0"/>
          <c:cat>
            <c:strRef>
              <c:f>HRD!$B$31:$B$34</c:f>
              <c:strCache>
                <c:ptCount val="4"/>
                <c:pt idx="0">
                  <c:v>Baseflow</c:v>
                </c:pt>
                <c:pt idx="1">
                  <c:v>Mid-Stage</c:v>
                </c:pt>
                <c:pt idx="2">
                  <c:v>Bankfull Stage</c:v>
                </c:pt>
                <c:pt idx="3">
                  <c:v>Overbank Flooding</c:v>
                </c:pt>
              </c:strCache>
            </c:strRef>
          </c:cat>
          <c:val>
            <c:numRef>
              <c:f>HRD!$E$31:$E$34</c:f>
              <c:numCache>
                <c:formatCode>General</c:formatCode>
                <c:ptCount val="4"/>
                <c:pt idx="0">
                  <c:v>137</c:v>
                </c:pt>
                <c:pt idx="1">
                  <c:v>28</c:v>
                </c:pt>
                <c:pt idx="2">
                  <c:v>12</c:v>
                </c:pt>
                <c:pt idx="3">
                  <c:v>1</c:v>
                </c:pt>
              </c:numCache>
            </c:numRef>
          </c:val>
          <c:extLst>
            <c:ext xmlns:c16="http://schemas.microsoft.com/office/drawing/2014/chart" uri="{C3380CC4-5D6E-409C-BE32-E72D297353CC}">
              <c16:uniqueId val="{00000002-5B14-42C0-9F55-48542C9F1F3C}"/>
            </c:ext>
          </c:extLst>
        </c:ser>
        <c:ser>
          <c:idx val="3"/>
          <c:order val="3"/>
          <c:tx>
            <c:strRef>
              <c:f>HRD!$F$19</c:f>
              <c:strCache>
                <c:ptCount val="1"/>
                <c:pt idx="0">
                  <c:v>120</c:v>
                </c:pt>
              </c:strCache>
            </c:strRef>
          </c:tx>
          <c:spPr>
            <a:solidFill>
              <a:schemeClr val="accent1">
                <a:shade val="76000"/>
              </a:schemeClr>
            </a:solidFill>
            <a:ln>
              <a:noFill/>
            </a:ln>
            <a:effectLst/>
          </c:spPr>
          <c:invertIfNegative val="0"/>
          <c:cat>
            <c:strRef>
              <c:f>HRD!$B$31:$B$34</c:f>
              <c:strCache>
                <c:ptCount val="4"/>
                <c:pt idx="0">
                  <c:v>Baseflow</c:v>
                </c:pt>
                <c:pt idx="1">
                  <c:v>Mid-Stage</c:v>
                </c:pt>
                <c:pt idx="2">
                  <c:v>Bankfull Stage</c:v>
                </c:pt>
                <c:pt idx="3">
                  <c:v>Overbank Flooding</c:v>
                </c:pt>
              </c:strCache>
            </c:strRef>
          </c:cat>
          <c:val>
            <c:numRef>
              <c:f>HRD!$F$31:$F$34</c:f>
              <c:numCache>
                <c:formatCode>General</c:formatCode>
                <c:ptCount val="4"/>
                <c:pt idx="0">
                  <c:v>485</c:v>
                </c:pt>
                <c:pt idx="1">
                  <c:v>118</c:v>
                </c:pt>
                <c:pt idx="2">
                  <c:v>20</c:v>
                </c:pt>
                <c:pt idx="3">
                  <c:v>1</c:v>
                </c:pt>
              </c:numCache>
            </c:numRef>
          </c:val>
          <c:extLst>
            <c:ext xmlns:c16="http://schemas.microsoft.com/office/drawing/2014/chart" uri="{C3380CC4-5D6E-409C-BE32-E72D297353CC}">
              <c16:uniqueId val="{00000003-5B14-42C0-9F55-48542C9F1F3C}"/>
            </c:ext>
          </c:extLst>
        </c:ser>
        <c:ser>
          <c:idx val="4"/>
          <c:order val="4"/>
          <c:tx>
            <c:strRef>
              <c:f>HRD!$G$19</c:f>
              <c:strCache>
                <c:ptCount val="1"/>
                <c:pt idx="0">
                  <c:v>180</c:v>
                </c:pt>
              </c:strCache>
            </c:strRef>
          </c:tx>
          <c:spPr>
            <a:solidFill>
              <a:schemeClr val="accent1">
                <a:shade val="53000"/>
              </a:schemeClr>
            </a:solidFill>
            <a:ln>
              <a:noFill/>
            </a:ln>
            <a:effectLst/>
          </c:spPr>
          <c:invertIfNegative val="0"/>
          <c:cat>
            <c:strRef>
              <c:f>HRD!$B$31:$B$34</c:f>
              <c:strCache>
                <c:ptCount val="4"/>
                <c:pt idx="0">
                  <c:v>Baseflow</c:v>
                </c:pt>
                <c:pt idx="1">
                  <c:v>Mid-Stage</c:v>
                </c:pt>
                <c:pt idx="2">
                  <c:v>Bankfull Stage</c:v>
                </c:pt>
                <c:pt idx="3">
                  <c:v>Overbank Flooding</c:v>
                </c:pt>
              </c:strCache>
            </c:strRef>
          </c:cat>
          <c:val>
            <c:numRef>
              <c:f>HRD!$G$31:$G$34</c:f>
              <c:numCache>
                <c:formatCode>General</c:formatCode>
                <c:ptCount val="4"/>
                <c:pt idx="0">
                  <c:v>597</c:v>
                </c:pt>
                <c:pt idx="1">
                  <c:v>153</c:v>
                </c:pt>
                <c:pt idx="2">
                  <c:v>37</c:v>
                </c:pt>
                <c:pt idx="3">
                  <c:v>2</c:v>
                </c:pt>
              </c:numCache>
            </c:numRef>
          </c:val>
          <c:extLst>
            <c:ext xmlns:c16="http://schemas.microsoft.com/office/drawing/2014/chart" uri="{C3380CC4-5D6E-409C-BE32-E72D297353CC}">
              <c16:uniqueId val="{00000004-5B14-42C0-9F55-48542C9F1F3C}"/>
            </c:ext>
          </c:extLst>
        </c:ser>
        <c:dLbls>
          <c:showLegendKey val="0"/>
          <c:showVal val="0"/>
          <c:showCatName val="0"/>
          <c:showSerName val="0"/>
          <c:showPercent val="0"/>
          <c:showBubbleSize val="0"/>
        </c:dLbls>
        <c:gapWidth val="9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Level</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5479918473500612E-2"/>
          <c:h val="0.64370704041469329"/>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Clarity</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42584432027132E-2"/>
          <c:y val="9.4434123878227791E-2"/>
          <c:w val="0.82788214188249087"/>
          <c:h val="0.72363838859564111"/>
        </c:manualLayout>
      </c:layout>
      <c:barChart>
        <c:barDir val="col"/>
        <c:grouping val="clustered"/>
        <c:varyColors val="0"/>
        <c:ser>
          <c:idx val="0"/>
          <c:order val="0"/>
          <c:tx>
            <c:strRef>
              <c:f>HRD!$C$19</c:f>
              <c:strCache>
                <c:ptCount val="1"/>
                <c:pt idx="0">
                  <c:v>0</c:v>
                </c:pt>
              </c:strCache>
            </c:strRef>
          </c:tx>
          <c:spPr>
            <a:solidFill>
              <a:schemeClr val="accent4">
                <a:tint val="54000"/>
              </a:schemeClr>
            </a:solidFill>
            <a:ln>
              <a:noFill/>
            </a:ln>
            <a:effectLst/>
          </c:spPr>
          <c:invertIfNegative val="0"/>
          <c:cat>
            <c:strRef>
              <c:f>HRD!$B$47:$B$49</c:f>
              <c:strCache>
                <c:ptCount val="3"/>
                <c:pt idx="0">
                  <c:v>Clear</c:v>
                </c:pt>
                <c:pt idx="1">
                  <c:v>Muddy</c:v>
                </c:pt>
                <c:pt idx="2">
                  <c:v>Murky</c:v>
                </c:pt>
              </c:strCache>
            </c:strRef>
          </c:cat>
          <c:val>
            <c:numRef>
              <c:f>HRD!$C$47:$C$49</c:f>
              <c:numCache>
                <c:formatCode>General</c:formatCode>
                <c:ptCount val="3"/>
                <c:pt idx="0">
                  <c:v>78</c:v>
                </c:pt>
                <c:pt idx="1">
                  <c:v>2</c:v>
                </c:pt>
                <c:pt idx="2">
                  <c:v>25</c:v>
                </c:pt>
              </c:numCache>
            </c:numRef>
          </c:val>
          <c:extLst>
            <c:ext xmlns:c16="http://schemas.microsoft.com/office/drawing/2014/chart" uri="{C3380CC4-5D6E-409C-BE32-E72D297353CC}">
              <c16:uniqueId val="{00000000-6540-46EC-A3D3-EAC6F0536FC2}"/>
            </c:ext>
          </c:extLst>
        </c:ser>
        <c:ser>
          <c:idx val="1"/>
          <c:order val="1"/>
          <c:tx>
            <c:strRef>
              <c:f>HRD!$D$19</c:f>
              <c:strCache>
                <c:ptCount val="1"/>
                <c:pt idx="0">
                  <c:v>30</c:v>
                </c:pt>
              </c:strCache>
            </c:strRef>
          </c:tx>
          <c:spPr>
            <a:solidFill>
              <a:schemeClr val="accent4">
                <a:tint val="77000"/>
              </a:schemeClr>
            </a:solidFill>
            <a:ln>
              <a:noFill/>
            </a:ln>
            <a:effectLst/>
          </c:spPr>
          <c:invertIfNegative val="0"/>
          <c:cat>
            <c:strRef>
              <c:f>HRD!$B$47:$B$49</c:f>
              <c:strCache>
                <c:ptCount val="3"/>
                <c:pt idx="0">
                  <c:v>Clear</c:v>
                </c:pt>
                <c:pt idx="1">
                  <c:v>Muddy</c:v>
                </c:pt>
                <c:pt idx="2">
                  <c:v>Murky</c:v>
                </c:pt>
              </c:strCache>
            </c:strRef>
          </c:cat>
          <c:val>
            <c:numRef>
              <c:f>HRD!$D$47:$D$49</c:f>
              <c:numCache>
                <c:formatCode>General</c:formatCode>
                <c:ptCount val="3"/>
                <c:pt idx="0">
                  <c:v>80</c:v>
                </c:pt>
                <c:pt idx="1">
                  <c:v>5</c:v>
                </c:pt>
                <c:pt idx="2">
                  <c:v>28</c:v>
                </c:pt>
              </c:numCache>
            </c:numRef>
          </c:val>
          <c:extLst>
            <c:ext xmlns:c16="http://schemas.microsoft.com/office/drawing/2014/chart" uri="{C3380CC4-5D6E-409C-BE32-E72D297353CC}">
              <c16:uniqueId val="{00000001-6540-46EC-A3D3-EAC6F0536FC2}"/>
            </c:ext>
          </c:extLst>
        </c:ser>
        <c:ser>
          <c:idx val="2"/>
          <c:order val="2"/>
          <c:tx>
            <c:strRef>
              <c:f>HRD!$E$19</c:f>
              <c:strCache>
                <c:ptCount val="1"/>
                <c:pt idx="0">
                  <c:v>60</c:v>
                </c:pt>
              </c:strCache>
            </c:strRef>
          </c:tx>
          <c:spPr>
            <a:solidFill>
              <a:schemeClr val="accent4"/>
            </a:solidFill>
            <a:ln>
              <a:noFill/>
            </a:ln>
            <a:effectLst/>
          </c:spPr>
          <c:invertIfNegative val="0"/>
          <c:cat>
            <c:strRef>
              <c:f>HRD!$B$47:$B$49</c:f>
              <c:strCache>
                <c:ptCount val="3"/>
                <c:pt idx="0">
                  <c:v>Clear</c:v>
                </c:pt>
                <c:pt idx="1">
                  <c:v>Muddy</c:v>
                </c:pt>
                <c:pt idx="2">
                  <c:v>Murky</c:v>
                </c:pt>
              </c:strCache>
            </c:strRef>
          </c:cat>
          <c:val>
            <c:numRef>
              <c:f>HRD!$E$47:$E$49</c:f>
              <c:numCache>
                <c:formatCode>General</c:formatCode>
                <c:ptCount val="3"/>
                <c:pt idx="0">
                  <c:v>130</c:v>
                </c:pt>
                <c:pt idx="1">
                  <c:v>19</c:v>
                </c:pt>
                <c:pt idx="2">
                  <c:v>36</c:v>
                </c:pt>
              </c:numCache>
            </c:numRef>
          </c:val>
          <c:extLst>
            <c:ext xmlns:c16="http://schemas.microsoft.com/office/drawing/2014/chart" uri="{C3380CC4-5D6E-409C-BE32-E72D297353CC}">
              <c16:uniqueId val="{00000002-6540-46EC-A3D3-EAC6F0536FC2}"/>
            </c:ext>
          </c:extLst>
        </c:ser>
        <c:ser>
          <c:idx val="3"/>
          <c:order val="3"/>
          <c:tx>
            <c:strRef>
              <c:f>HRD!$F$19</c:f>
              <c:strCache>
                <c:ptCount val="1"/>
                <c:pt idx="0">
                  <c:v>120</c:v>
                </c:pt>
              </c:strCache>
            </c:strRef>
          </c:tx>
          <c:spPr>
            <a:solidFill>
              <a:schemeClr val="accent4">
                <a:shade val="76000"/>
              </a:schemeClr>
            </a:solidFill>
            <a:ln>
              <a:noFill/>
            </a:ln>
            <a:effectLst/>
          </c:spPr>
          <c:invertIfNegative val="0"/>
          <c:cat>
            <c:strRef>
              <c:f>HRD!$B$47:$B$49</c:f>
              <c:strCache>
                <c:ptCount val="3"/>
                <c:pt idx="0">
                  <c:v>Clear</c:v>
                </c:pt>
                <c:pt idx="1">
                  <c:v>Muddy</c:v>
                </c:pt>
                <c:pt idx="2">
                  <c:v>Murky</c:v>
                </c:pt>
              </c:strCache>
            </c:strRef>
          </c:cat>
          <c:val>
            <c:numRef>
              <c:f>HRD!$F$47:$F$49</c:f>
              <c:numCache>
                <c:formatCode>General</c:formatCode>
                <c:ptCount val="3"/>
                <c:pt idx="0">
                  <c:v>495</c:v>
                </c:pt>
                <c:pt idx="1">
                  <c:v>30</c:v>
                </c:pt>
                <c:pt idx="2">
                  <c:v>107</c:v>
                </c:pt>
              </c:numCache>
            </c:numRef>
          </c:val>
          <c:extLst>
            <c:ext xmlns:c16="http://schemas.microsoft.com/office/drawing/2014/chart" uri="{C3380CC4-5D6E-409C-BE32-E72D297353CC}">
              <c16:uniqueId val="{00000003-6540-46EC-A3D3-EAC6F0536FC2}"/>
            </c:ext>
          </c:extLst>
        </c:ser>
        <c:ser>
          <c:idx val="4"/>
          <c:order val="4"/>
          <c:tx>
            <c:strRef>
              <c:f>HRD!$G$19</c:f>
              <c:strCache>
                <c:ptCount val="1"/>
                <c:pt idx="0">
                  <c:v>180</c:v>
                </c:pt>
              </c:strCache>
            </c:strRef>
          </c:tx>
          <c:spPr>
            <a:solidFill>
              <a:schemeClr val="accent4">
                <a:shade val="53000"/>
              </a:schemeClr>
            </a:solidFill>
            <a:ln>
              <a:noFill/>
            </a:ln>
            <a:effectLst/>
          </c:spPr>
          <c:invertIfNegative val="0"/>
          <c:cat>
            <c:strRef>
              <c:f>HRD!$B$47:$B$49</c:f>
              <c:strCache>
                <c:ptCount val="3"/>
                <c:pt idx="0">
                  <c:v>Clear</c:v>
                </c:pt>
                <c:pt idx="1">
                  <c:v>Muddy</c:v>
                </c:pt>
                <c:pt idx="2">
                  <c:v>Murky</c:v>
                </c:pt>
              </c:strCache>
            </c:strRef>
          </c:cat>
          <c:val>
            <c:numRef>
              <c:f>HRD!$G$47:$G$49</c:f>
              <c:numCache>
                <c:formatCode>General</c:formatCode>
                <c:ptCount val="3"/>
                <c:pt idx="0">
                  <c:v>623</c:v>
                </c:pt>
                <c:pt idx="1">
                  <c:v>31</c:v>
                </c:pt>
                <c:pt idx="2">
                  <c:v>134</c:v>
                </c:pt>
              </c:numCache>
            </c:numRef>
          </c:val>
          <c:extLst>
            <c:ext xmlns:c16="http://schemas.microsoft.com/office/drawing/2014/chart" uri="{C3380CC4-5D6E-409C-BE32-E72D297353CC}">
              <c16:uniqueId val="{00000004-6540-46EC-A3D3-EAC6F0536FC2}"/>
            </c:ext>
          </c:extLst>
        </c:ser>
        <c:dLbls>
          <c:showLegendKey val="0"/>
          <c:showVal val="0"/>
          <c:showCatName val="0"/>
          <c:showSerName val="0"/>
          <c:showPercent val="0"/>
          <c:showBubbleSize val="0"/>
        </c:dLbls>
        <c:gapWidth val="10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Clarity</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5479918473500612E-2"/>
          <c:h val="0.64370704041469329"/>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3738808356427205E-2"/>
          <c:y val="0.10704999325644636"/>
          <c:w val="0.86315808028496643"/>
          <c:h val="0.73694233686611899"/>
        </c:manualLayout>
      </c:layout>
      <c:barChart>
        <c:barDir val="col"/>
        <c:grouping val="clustered"/>
        <c:varyColors val="0"/>
        <c:ser>
          <c:idx val="1"/>
          <c:order val="0"/>
          <c:tx>
            <c:strRef>
              <c:f>HRD!$M$62</c:f>
              <c:strCache>
                <c:ptCount val="1"/>
                <c:pt idx="0">
                  <c:v>Kiat-TU-Wish</c:v>
                </c:pt>
              </c:strCache>
            </c:strRef>
          </c:tx>
          <c:spPr>
            <a:solidFill>
              <a:schemeClr val="accent2"/>
            </a:solidFill>
            <a:ln>
              <a:noFill/>
            </a:ln>
            <a:effectLst/>
          </c:spPr>
          <c:invertIfNegative val="0"/>
          <c:cat>
            <c:numRef>
              <c:f>HRD!$C$63:$G$63</c:f>
              <c:numCache>
                <c:formatCode>General</c:formatCode>
                <c:ptCount val="5"/>
                <c:pt idx="0">
                  <c:v>0</c:v>
                </c:pt>
                <c:pt idx="1">
                  <c:v>30</c:v>
                </c:pt>
                <c:pt idx="2">
                  <c:v>60</c:v>
                </c:pt>
                <c:pt idx="3">
                  <c:v>120</c:v>
                </c:pt>
                <c:pt idx="4">
                  <c:v>180</c:v>
                </c:pt>
              </c:numCache>
            </c:numRef>
          </c:cat>
          <c:val>
            <c:numRef>
              <c:f>HRD!$M$86:$Q$86</c:f>
              <c:numCache>
                <c:formatCode>General</c:formatCode>
                <c:ptCount val="5"/>
                <c:pt idx="0">
                  <c:v>23</c:v>
                </c:pt>
                <c:pt idx="1">
                  <c:v>20</c:v>
                </c:pt>
                <c:pt idx="2">
                  <c:v>80</c:v>
                </c:pt>
                <c:pt idx="3">
                  <c:v>62</c:v>
                </c:pt>
                <c:pt idx="4">
                  <c:v>0</c:v>
                </c:pt>
              </c:numCache>
            </c:numRef>
          </c:val>
          <c:extLst>
            <c:ext xmlns:c16="http://schemas.microsoft.com/office/drawing/2014/chart" uri="{C3380CC4-5D6E-409C-BE32-E72D297353CC}">
              <c16:uniqueId val="{00000000-7205-4D9B-B799-FE75984B903A}"/>
            </c:ext>
          </c:extLst>
        </c:ser>
        <c:dLbls>
          <c:showLegendKey val="0"/>
          <c:showVal val="0"/>
          <c:showCatName val="0"/>
          <c:showSerName val="0"/>
          <c:showPercent val="0"/>
          <c:showBubbleSize val="0"/>
        </c:dLbls>
        <c:gapWidth val="219"/>
        <c:overlap val="-27"/>
        <c:axId val="549948080"/>
        <c:axId val="549943088"/>
      </c:barChart>
      <c:catAx>
        <c:axId val="549948080"/>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Hardness [ppm CaCO3]</a:t>
                </a:r>
              </a:p>
            </c:rich>
          </c:tx>
          <c:layout>
            <c:manualLayout>
              <c:xMode val="edge"/>
              <c:yMode val="edge"/>
              <c:x val="0.38949835974324354"/>
              <c:y val="0.91387331946984152"/>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3088"/>
        <c:crosses val="autoZero"/>
        <c:auto val="1"/>
        <c:lblAlgn val="ctr"/>
        <c:lblOffset val="100"/>
        <c:noMultiLvlLbl val="0"/>
      </c:catAx>
      <c:valAx>
        <c:axId val="5499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Occurrences</a:t>
                </a:r>
              </a:p>
            </c:rich>
          </c:tx>
          <c:layout>
            <c:manualLayout>
              <c:xMode val="edge"/>
              <c:yMode val="edge"/>
              <c:x val="7.2933111954263724E-3"/>
              <c:y val="0.39122495363215049"/>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95712091962369E-2"/>
          <c:y val="5.0154834149034724E-2"/>
          <c:w val="0.80083679687587839"/>
          <c:h val="0.70198908217691069"/>
        </c:manualLayout>
      </c:layout>
      <c:barChart>
        <c:barDir val="col"/>
        <c:grouping val="clustered"/>
        <c:varyColors val="0"/>
        <c:ser>
          <c:idx val="0"/>
          <c:order val="0"/>
          <c:tx>
            <c:v>Observations</c:v>
          </c:tx>
          <c:spPr>
            <a:solidFill>
              <a:schemeClr val="accent1"/>
            </a:solidFill>
            <a:ln>
              <a:noFill/>
            </a:ln>
            <a:effectLst>
              <a:outerShdw blurRad="50800" dist="38100" dir="2700000" algn="tl" rotWithShape="0">
                <a:prstClr val="black">
                  <a:alpha val="40000"/>
                </a:prstClr>
              </a:outerShdw>
            </a:effectLst>
          </c:spPr>
          <c:invertIfNegative val="0"/>
          <c:cat>
            <c:numRef>
              <c:f>pH!$B$7:$B$13</c:f>
              <c:numCache>
                <c:formatCode>General</c:formatCode>
                <c:ptCount val="7"/>
                <c:pt idx="0">
                  <c:v>6</c:v>
                </c:pt>
                <c:pt idx="1">
                  <c:v>6.5</c:v>
                </c:pt>
                <c:pt idx="2">
                  <c:v>7</c:v>
                </c:pt>
                <c:pt idx="3">
                  <c:v>7.5</c:v>
                </c:pt>
                <c:pt idx="4">
                  <c:v>8</c:v>
                </c:pt>
                <c:pt idx="5">
                  <c:v>8.5</c:v>
                </c:pt>
                <c:pt idx="6">
                  <c:v>9</c:v>
                </c:pt>
              </c:numCache>
            </c:numRef>
          </c:cat>
          <c:val>
            <c:numRef>
              <c:f>pH!$C$7:$C$13</c:f>
              <c:numCache>
                <c:formatCode>General</c:formatCode>
                <c:ptCount val="7"/>
                <c:pt idx="0">
                  <c:v>70</c:v>
                </c:pt>
                <c:pt idx="1">
                  <c:v>62</c:v>
                </c:pt>
                <c:pt idx="2">
                  <c:v>594</c:v>
                </c:pt>
                <c:pt idx="3">
                  <c:v>629</c:v>
                </c:pt>
                <c:pt idx="4">
                  <c:v>562</c:v>
                </c:pt>
                <c:pt idx="5">
                  <c:v>20</c:v>
                </c:pt>
                <c:pt idx="6">
                  <c:v>66</c:v>
                </c:pt>
              </c:numCache>
            </c:numRef>
          </c:val>
          <c:extLst>
            <c:ext xmlns:c16="http://schemas.microsoft.com/office/drawing/2014/chart" uri="{C3380CC4-5D6E-409C-BE32-E72D297353CC}">
              <c16:uniqueId val="{00000000-124C-4C62-8AA2-78D4D47B1AF5}"/>
            </c:ext>
          </c:extLst>
        </c:ser>
        <c:dLbls>
          <c:showLegendKey val="0"/>
          <c:showVal val="0"/>
          <c:showCatName val="0"/>
          <c:showSerName val="0"/>
          <c:showPercent val="0"/>
          <c:showBubbleSize val="0"/>
        </c:dLbls>
        <c:gapWidth val="52"/>
        <c:axId val="763072256"/>
        <c:axId val="763065696"/>
      </c:barChart>
      <c:lineChart>
        <c:grouping val="standard"/>
        <c:varyColors val="0"/>
        <c:ser>
          <c:idx val="1"/>
          <c:order val="1"/>
          <c:tx>
            <c:v>Cum. %</c:v>
          </c:tx>
          <c:spPr>
            <a:ln w="28575" cap="rnd">
              <a:solidFill>
                <a:schemeClr val="accent2"/>
              </a:solidFill>
              <a:round/>
            </a:ln>
            <a:effectLst/>
          </c:spPr>
          <c:marker>
            <c:symbol val="none"/>
          </c:marker>
          <c:cat>
            <c:numRef>
              <c:f>pH!$B$7:$B$13</c:f>
              <c:numCache>
                <c:formatCode>General</c:formatCode>
                <c:ptCount val="7"/>
                <c:pt idx="0">
                  <c:v>6</c:v>
                </c:pt>
                <c:pt idx="1">
                  <c:v>6.5</c:v>
                </c:pt>
                <c:pt idx="2">
                  <c:v>7</c:v>
                </c:pt>
                <c:pt idx="3">
                  <c:v>7.5</c:v>
                </c:pt>
                <c:pt idx="4">
                  <c:v>8</c:v>
                </c:pt>
                <c:pt idx="5">
                  <c:v>8.5</c:v>
                </c:pt>
                <c:pt idx="6">
                  <c:v>9</c:v>
                </c:pt>
              </c:numCache>
            </c:numRef>
          </c:cat>
          <c:val>
            <c:numRef>
              <c:f>pH!$E$7:$E$13</c:f>
              <c:numCache>
                <c:formatCode>0%</c:formatCode>
                <c:ptCount val="7"/>
                <c:pt idx="0">
                  <c:v>3.4947578632051925E-2</c:v>
                </c:pt>
                <c:pt idx="1">
                  <c:v>6.5901148277583629E-2</c:v>
                </c:pt>
                <c:pt idx="2">
                  <c:v>0.36245631552670993</c:v>
                </c:pt>
                <c:pt idx="3">
                  <c:v>0.67648527209186216</c:v>
                </c:pt>
                <c:pt idx="4">
                  <c:v>0.95706440339490761</c:v>
                </c:pt>
                <c:pt idx="5">
                  <c:v>0.96704942586120812</c:v>
                </c:pt>
                <c:pt idx="6">
                  <c:v>0.99999999999999989</c:v>
                </c:pt>
              </c:numCache>
            </c:numRef>
          </c:val>
          <c:smooth val="0"/>
          <c:extLst>
            <c:ext xmlns:c16="http://schemas.microsoft.com/office/drawing/2014/chart" uri="{C3380CC4-5D6E-409C-BE32-E72D297353CC}">
              <c16:uniqueId val="{00000001-124C-4C62-8AA2-78D4D47B1AF5}"/>
            </c:ext>
          </c:extLst>
        </c:ser>
        <c:dLbls>
          <c:showLegendKey val="0"/>
          <c:showVal val="0"/>
          <c:showCatName val="0"/>
          <c:showSerName val="0"/>
          <c:showPercent val="0"/>
          <c:showBubbleSize val="0"/>
        </c:dLbls>
        <c:marker val="1"/>
        <c:smooth val="0"/>
        <c:axId val="449691463"/>
        <c:axId val="449693759"/>
      </c:lineChart>
      <c:catAx>
        <c:axId val="7630722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pH</a:t>
                </a:r>
              </a:p>
            </c:rich>
          </c:tx>
          <c:layout>
            <c:manualLayout>
              <c:xMode val="edge"/>
              <c:yMode val="edge"/>
              <c:x val="0.45823108872843393"/>
              <c:y val="0.8863637061618653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65696"/>
        <c:crosses val="autoZero"/>
        <c:auto val="1"/>
        <c:lblAlgn val="ctr"/>
        <c:lblOffset val="100"/>
        <c:noMultiLvlLbl val="0"/>
      </c:catAx>
      <c:valAx>
        <c:axId val="7630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Observations</a:t>
                </a:r>
              </a:p>
            </c:rich>
          </c:tx>
          <c:layout>
            <c:manualLayout>
              <c:xMode val="edge"/>
              <c:yMode val="edge"/>
              <c:x val="1.3013371646455803E-2"/>
              <c:y val="0.2542825786323733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72256"/>
        <c:crosses val="autoZero"/>
        <c:crossBetween val="between"/>
      </c:valAx>
      <c:valAx>
        <c:axId val="449693759"/>
        <c:scaling>
          <c:orientation val="minMax"/>
          <c:max val="1.05"/>
          <c:min val="0"/>
        </c:scaling>
        <c:delete val="0"/>
        <c:axPos val="r"/>
        <c:title>
          <c:tx>
            <c:rich>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Cumulative %</a:t>
                </a:r>
              </a:p>
            </c:rich>
          </c:tx>
          <c:overlay val="0"/>
          <c:spPr>
            <a:noFill/>
            <a:ln>
              <a:noFill/>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1463"/>
        <c:crosses val="max"/>
        <c:crossBetween val="between"/>
      </c:valAx>
      <c:catAx>
        <c:axId val="449691463"/>
        <c:scaling>
          <c:orientation val="minMax"/>
        </c:scaling>
        <c:delete val="1"/>
        <c:axPos val="b"/>
        <c:numFmt formatCode="General" sourceLinked="1"/>
        <c:majorTickMark val="out"/>
        <c:minorTickMark val="none"/>
        <c:tickLblPos val="nextTo"/>
        <c:crossAx val="449693759"/>
        <c:crosses val="autoZero"/>
        <c:auto val="1"/>
        <c:lblAlgn val="ctr"/>
        <c:lblOffset val="100"/>
        <c:noMultiLvlLbl val="0"/>
      </c:catAx>
      <c:spPr>
        <a:noFill/>
        <a:ln>
          <a:noFill/>
        </a:ln>
        <a:effectLst/>
      </c:spPr>
    </c:plotArea>
    <c:legend>
      <c:legendPos val="r"/>
      <c:layout>
        <c:manualLayout>
          <c:xMode val="edge"/>
          <c:yMode val="edge"/>
          <c:x val="0.74147672565005074"/>
          <c:y val="0.85514000728671313"/>
          <c:w val="0.24216119447333234"/>
          <c:h val="0.1399069328210635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Weather</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20981370025886E-2"/>
          <c:y val="9.4434123878227791E-2"/>
          <c:w val="0.81303636113763489"/>
          <c:h val="0.71953270816267678"/>
        </c:manualLayout>
      </c:layout>
      <c:barChart>
        <c:barDir val="col"/>
        <c:grouping val="clustered"/>
        <c:varyColors val="0"/>
        <c:ser>
          <c:idx val="0"/>
          <c:order val="0"/>
          <c:tx>
            <c:strRef>
              <c:f>pH!$C$19</c:f>
              <c:strCache>
                <c:ptCount val="1"/>
                <c:pt idx="0">
                  <c:v>6</c:v>
                </c:pt>
              </c:strCache>
            </c:strRef>
          </c:tx>
          <c:spPr>
            <a:solidFill>
              <a:schemeClr val="accent3">
                <a:tint val="48000"/>
              </a:schemeClr>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pH!$C$20:$C$25</c:f>
              <c:numCache>
                <c:formatCode>General</c:formatCode>
                <c:ptCount val="6"/>
                <c:pt idx="0">
                  <c:v>2</c:v>
                </c:pt>
                <c:pt idx="1">
                  <c:v>8</c:v>
                </c:pt>
                <c:pt idx="2">
                  <c:v>0</c:v>
                </c:pt>
                <c:pt idx="3">
                  <c:v>0</c:v>
                </c:pt>
                <c:pt idx="4">
                  <c:v>0</c:v>
                </c:pt>
                <c:pt idx="5">
                  <c:v>49</c:v>
                </c:pt>
              </c:numCache>
            </c:numRef>
          </c:val>
          <c:extLst>
            <c:ext xmlns:c16="http://schemas.microsoft.com/office/drawing/2014/chart" uri="{C3380CC4-5D6E-409C-BE32-E72D297353CC}">
              <c16:uniqueId val="{00000000-1300-4500-A130-C7661C6FF844}"/>
            </c:ext>
          </c:extLst>
        </c:ser>
        <c:ser>
          <c:idx val="1"/>
          <c:order val="1"/>
          <c:tx>
            <c:strRef>
              <c:f>pH!$D$19</c:f>
              <c:strCache>
                <c:ptCount val="1"/>
                <c:pt idx="0">
                  <c:v>6.5</c:v>
                </c:pt>
              </c:strCache>
            </c:strRef>
          </c:tx>
          <c:spPr>
            <a:solidFill>
              <a:schemeClr val="accent3">
                <a:tint val="65000"/>
              </a:schemeClr>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pH!$D$20:$D$25</c:f>
              <c:numCache>
                <c:formatCode>General</c:formatCode>
                <c:ptCount val="6"/>
                <c:pt idx="0">
                  <c:v>2</c:v>
                </c:pt>
                <c:pt idx="1">
                  <c:v>8</c:v>
                </c:pt>
                <c:pt idx="2">
                  <c:v>0</c:v>
                </c:pt>
                <c:pt idx="3">
                  <c:v>3</c:v>
                </c:pt>
                <c:pt idx="4">
                  <c:v>1</c:v>
                </c:pt>
                <c:pt idx="5">
                  <c:v>46</c:v>
                </c:pt>
              </c:numCache>
            </c:numRef>
          </c:val>
          <c:extLst>
            <c:ext xmlns:c16="http://schemas.microsoft.com/office/drawing/2014/chart" uri="{C3380CC4-5D6E-409C-BE32-E72D297353CC}">
              <c16:uniqueId val="{00000001-1300-4500-A130-C7661C6FF844}"/>
            </c:ext>
          </c:extLst>
        </c:ser>
        <c:ser>
          <c:idx val="2"/>
          <c:order val="2"/>
          <c:tx>
            <c:strRef>
              <c:f>pH!$E$19</c:f>
              <c:strCache>
                <c:ptCount val="1"/>
                <c:pt idx="0">
                  <c:v>7</c:v>
                </c:pt>
              </c:strCache>
            </c:strRef>
          </c:tx>
          <c:spPr>
            <a:solidFill>
              <a:schemeClr val="accent3">
                <a:tint val="83000"/>
              </a:schemeClr>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pH!$E$20:$E$25</c:f>
              <c:numCache>
                <c:formatCode>General</c:formatCode>
                <c:ptCount val="6"/>
                <c:pt idx="0">
                  <c:v>28</c:v>
                </c:pt>
                <c:pt idx="1">
                  <c:v>97</c:v>
                </c:pt>
                <c:pt idx="2">
                  <c:v>0</c:v>
                </c:pt>
                <c:pt idx="3">
                  <c:v>1</c:v>
                </c:pt>
                <c:pt idx="4">
                  <c:v>9</c:v>
                </c:pt>
                <c:pt idx="5">
                  <c:v>387</c:v>
                </c:pt>
              </c:numCache>
            </c:numRef>
          </c:val>
          <c:extLst>
            <c:ext xmlns:c16="http://schemas.microsoft.com/office/drawing/2014/chart" uri="{C3380CC4-5D6E-409C-BE32-E72D297353CC}">
              <c16:uniqueId val="{00000002-1300-4500-A130-C7661C6FF844}"/>
            </c:ext>
          </c:extLst>
        </c:ser>
        <c:ser>
          <c:idx val="3"/>
          <c:order val="3"/>
          <c:tx>
            <c:strRef>
              <c:f>pH!$F$19</c:f>
              <c:strCache>
                <c:ptCount val="1"/>
                <c:pt idx="0">
                  <c:v>7.5</c:v>
                </c:pt>
              </c:strCache>
            </c:strRef>
          </c:tx>
          <c:spPr>
            <a:solidFill>
              <a:schemeClr val="accent3"/>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pH!$F$20:$F$25</c:f>
              <c:numCache>
                <c:formatCode>General</c:formatCode>
                <c:ptCount val="6"/>
                <c:pt idx="0">
                  <c:v>36</c:v>
                </c:pt>
                <c:pt idx="1">
                  <c:v>76</c:v>
                </c:pt>
                <c:pt idx="2">
                  <c:v>9</c:v>
                </c:pt>
                <c:pt idx="3">
                  <c:v>1</c:v>
                </c:pt>
                <c:pt idx="4">
                  <c:v>7</c:v>
                </c:pt>
                <c:pt idx="5">
                  <c:v>441</c:v>
                </c:pt>
              </c:numCache>
            </c:numRef>
          </c:val>
          <c:extLst>
            <c:ext xmlns:c16="http://schemas.microsoft.com/office/drawing/2014/chart" uri="{C3380CC4-5D6E-409C-BE32-E72D297353CC}">
              <c16:uniqueId val="{00000003-1300-4500-A130-C7661C6FF844}"/>
            </c:ext>
          </c:extLst>
        </c:ser>
        <c:ser>
          <c:idx val="4"/>
          <c:order val="4"/>
          <c:tx>
            <c:strRef>
              <c:f>pH!$G$19</c:f>
              <c:strCache>
                <c:ptCount val="1"/>
                <c:pt idx="0">
                  <c:v>8</c:v>
                </c:pt>
              </c:strCache>
            </c:strRef>
          </c:tx>
          <c:spPr>
            <a:solidFill>
              <a:schemeClr val="accent3">
                <a:shade val="82000"/>
              </a:schemeClr>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pH!$G$20:$G$25</c:f>
              <c:numCache>
                <c:formatCode>General</c:formatCode>
                <c:ptCount val="6"/>
                <c:pt idx="0">
                  <c:v>16</c:v>
                </c:pt>
                <c:pt idx="1">
                  <c:v>47</c:v>
                </c:pt>
                <c:pt idx="2">
                  <c:v>1</c:v>
                </c:pt>
                <c:pt idx="3">
                  <c:v>0</c:v>
                </c:pt>
                <c:pt idx="4">
                  <c:v>3</c:v>
                </c:pt>
                <c:pt idx="5">
                  <c:v>420</c:v>
                </c:pt>
              </c:numCache>
            </c:numRef>
          </c:val>
          <c:extLst>
            <c:ext xmlns:c16="http://schemas.microsoft.com/office/drawing/2014/chart" uri="{C3380CC4-5D6E-409C-BE32-E72D297353CC}">
              <c16:uniqueId val="{00000004-1300-4500-A130-C7661C6FF844}"/>
            </c:ext>
          </c:extLst>
        </c:ser>
        <c:ser>
          <c:idx val="5"/>
          <c:order val="5"/>
          <c:tx>
            <c:strRef>
              <c:f>pH!$H$19</c:f>
              <c:strCache>
                <c:ptCount val="1"/>
                <c:pt idx="0">
                  <c:v>8.5</c:v>
                </c:pt>
              </c:strCache>
            </c:strRef>
          </c:tx>
          <c:spPr>
            <a:solidFill>
              <a:schemeClr val="accent3">
                <a:shade val="65000"/>
              </a:schemeClr>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pH!$H$20:$H$25</c:f>
              <c:numCache>
                <c:formatCode>General</c:formatCode>
                <c:ptCount val="6"/>
                <c:pt idx="0">
                  <c:v>0</c:v>
                </c:pt>
                <c:pt idx="1">
                  <c:v>0</c:v>
                </c:pt>
                <c:pt idx="2">
                  <c:v>0</c:v>
                </c:pt>
                <c:pt idx="3">
                  <c:v>0</c:v>
                </c:pt>
                <c:pt idx="4">
                  <c:v>0</c:v>
                </c:pt>
                <c:pt idx="5">
                  <c:v>19</c:v>
                </c:pt>
              </c:numCache>
            </c:numRef>
          </c:val>
          <c:extLst>
            <c:ext xmlns:c16="http://schemas.microsoft.com/office/drawing/2014/chart" uri="{C3380CC4-5D6E-409C-BE32-E72D297353CC}">
              <c16:uniqueId val="{00000005-1300-4500-A130-C7661C6FF844}"/>
            </c:ext>
          </c:extLst>
        </c:ser>
        <c:ser>
          <c:idx val="6"/>
          <c:order val="6"/>
          <c:tx>
            <c:v>9</c:v>
          </c:tx>
          <c:spPr>
            <a:solidFill>
              <a:schemeClr val="accent3">
                <a:shade val="47000"/>
              </a:schemeClr>
            </a:solidFill>
            <a:ln>
              <a:noFill/>
            </a:ln>
            <a:effectLst/>
          </c:spPr>
          <c:invertIfNegative val="0"/>
          <c:cat>
            <c:strRef>
              <c:f>pH!$L$20:$L$25</c:f>
              <c:strCache>
                <c:ptCount val="6"/>
                <c:pt idx="0">
                  <c:v>LT</c:v>
                </c:pt>
                <c:pt idx="1">
                  <c:v>RR</c:v>
                </c:pt>
                <c:pt idx="2">
                  <c:v>RR, LT</c:v>
                </c:pt>
                <c:pt idx="3">
                  <c:v>RR, SM</c:v>
                </c:pt>
                <c:pt idx="4">
                  <c:v>SM</c:v>
                </c:pt>
                <c:pt idx="5">
                  <c:v>None</c:v>
                </c:pt>
              </c:strCache>
            </c:strRef>
          </c:cat>
          <c:val>
            <c:numRef>
              <c:f>pH!$I$20:$I$25</c:f>
              <c:numCache>
                <c:formatCode>General</c:formatCode>
                <c:ptCount val="6"/>
                <c:pt idx="0">
                  <c:v>0</c:v>
                </c:pt>
                <c:pt idx="1">
                  <c:v>9</c:v>
                </c:pt>
                <c:pt idx="2">
                  <c:v>0</c:v>
                </c:pt>
                <c:pt idx="3">
                  <c:v>0</c:v>
                </c:pt>
                <c:pt idx="4">
                  <c:v>0</c:v>
                </c:pt>
                <c:pt idx="5">
                  <c:v>44</c:v>
                </c:pt>
              </c:numCache>
            </c:numRef>
          </c:val>
          <c:extLst>
            <c:ext xmlns:c16="http://schemas.microsoft.com/office/drawing/2014/chart" uri="{C3380CC4-5D6E-409C-BE32-E72D297353CC}">
              <c16:uniqueId val="{00000006-1300-4500-A130-C7661C6FF844}"/>
            </c:ext>
          </c:extLst>
        </c:ser>
        <c:dLbls>
          <c:showLegendKey val="0"/>
          <c:showVal val="0"/>
          <c:showCatName val="0"/>
          <c:showSerName val="0"/>
          <c:showPercent val="0"/>
          <c:showBubbleSize val="0"/>
        </c:dLbls>
        <c:gapWidth val="97"/>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Weather Conditions</a:t>
                </a:r>
              </a:p>
            </c:rich>
          </c:tx>
          <c:layout>
            <c:manualLayout>
              <c:xMode val="edge"/>
              <c:yMode val="edge"/>
              <c:x val="0.39586177207579076"/>
              <c:y val="0.91272329167839727"/>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259047489806289"/>
          <c:y val="0.16075375331047909"/>
          <c:w val="6.0341178475145703E-2"/>
          <c:h val="0.6664798274701127"/>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Level</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729364057854791E-2"/>
          <c:y val="9.4434123878227791E-2"/>
          <c:w val="0.81112811183411782"/>
          <c:h val="0.74885122318014552"/>
        </c:manualLayout>
      </c:layout>
      <c:barChart>
        <c:barDir val="col"/>
        <c:grouping val="clustered"/>
        <c:varyColors val="0"/>
        <c:ser>
          <c:idx val="0"/>
          <c:order val="0"/>
          <c:tx>
            <c:strRef>
              <c:f>pH!$C$19</c:f>
              <c:strCache>
                <c:ptCount val="1"/>
                <c:pt idx="0">
                  <c:v>6</c:v>
                </c:pt>
              </c:strCache>
            </c:strRef>
          </c:tx>
          <c:spPr>
            <a:solidFill>
              <a:schemeClr val="accent1">
                <a:tint val="48000"/>
              </a:schemeClr>
            </a:solidFill>
            <a:ln>
              <a:noFill/>
            </a:ln>
            <a:effectLst/>
          </c:spPr>
          <c:invertIfNegative val="0"/>
          <c:cat>
            <c:strRef>
              <c:f>pH!$B$31:$B$34</c:f>
              <c:strCache>
                <c:ptCount val="4"/>
                <c:pt idx="0">
                  <c:v>Baseflow</c:v>
                </c:pt>
                <c:pt idx="1">
                  <c:v>Mid-Stage</c:v>
                </c:pt>
                <c:pt idx="2">
                  <c:v>Bankfull Stage</c:v>
                </c:pt>
                <c:pt idx="3">
                  <c:v>Overbank Flooding</c:v>
                </c:pt>
              </c:strCache>
            </c:strRef>
          </c:cat>
          <c:val>
            <c:numRef>
              <c:f>pH!$C$31:$C$34</c:f>
              <c:numCache>
                <c:formatCode>General</c:formatCode>
                <c:ptCount val="4"/>
                <c:pt idx="0">
                  <c:v>44</c:v>
                </c:pt>
                <c:pt idx="1">
                  <c:v>15</c:v>
                </c:pt>
                <c:pt idx="2">
                  <c:v>2</c:v>
                </c:pt>
                <c:pt idx="3">
                  <c:v>1</c:v>
                </c:pt>
              </c:numCache>
            </c:numRef>
          </c:val>
          <c:extLst>
            <c:ext xmlns:c16="http://schemas.microsoft.com/office/drawing/2014/chart" uri="{C3380CC4-5D6E-409C-BE32-E72D297353CC}">
              <c16:uniqueId val="{00000000-191F-48FC-82D7-9B1466FA9000}"/>
            </c:ext>
          </c:extLst>
        </c:ser>
        <c:ser>
          <c:idx val="1"/>
          <c:order val="1"/>
          <c:tx>
            <c:strRef>
              <c:f>pH!$D$19</c:f>
              <c:strCache>
                <c:ptCount val="1"/>
                <c:pt idx="0">
                  <c:v>6.5</c:v>
                </c:pt>
              </c:strCache>
            </c:strRef>
          </c:tx>
          <c:spPr>
            <a:solidFill>
              <a:schemeClr val="accent1">
                <a:tint val="65000"/>
              </a:schemeClr>
            </a:solidFill>
            <a:ln>
              <a:noFill/>
            </a:ln>
            <a:effectLst/>
          </c:spPr>
          <c:invertIfNegative val="0"/>
          <c:cat>
            <c:strRef>
              <c:f>pH!$B$31:$B$34</c:f>
              <c:strCache>
                <c:ptCount val="4"/>
                <c:pt idx="0">
                  <c:v>Baseflow</c:v>
                </c:pt>
                <c:pt idx="1">
                  <c:v>Mid-Stage</c:v>
                </c:pt>
                <c:pt idx="2">
                  <c:v>Bankfull Stage</c:v>
                </c:pt>
                <c:pt idx="3">
                  <c:v>Overbank Flooding</c:v>
                </c:pt>
              </c:strCache>
            </c:strRef>
          </c:cat>
          <c:val>
            <c:numRef>
              <c:f>pH!$D$31:$D$34</c:f>
              <c:numCache>
                <c:formatCode>General</c:formatCode>
                <c:ptCount val="4"/>
                <c:pt idx="0">
                  <c:v>45</c:v>
                </c:pt>
                <c:pt idx="1">
                  <c:v>12</c:v>
                </c:pt>
                <c:pt idx="2">
                  <c:v>2</c:v>
                </c:pt>
                <c:pt idx="3">
                  <c:v>1</c:v>
                </c:pt>
              </c:numCache>
            </c:numRef>
          </c:val>
          <c:extLst>
            <c:ext xmlns:c16="http://schemas.microsoft.com/office/drawing/2014/chart" uri="{C3380CC4-5D6E-409C-BE32-E72D297353CC}">
              <c16:uniqueId val="{00000001-191F-48FC-82D7-9B1466FA9000}"/>
            </c:ext>
          </c:extLst>
        </c:ser>
        <c:ser>
          <c:idx val="2"/>
          <c:order val="2"/>
          <c:tx>
            <c:strRef>
              <c:f>pH!$E$19</c:f>
              <c:strCache>
                <c:ptCount val="1"/>
                <c:pt idx="0">
                  <c:v>7</c:v>
                </c:pt>
              </c:strCache>
            </c:strRef>
          </c:tx>
          <c:spPr>
            <a:solidFill>
              <a:schemeClr val="accent1">
                <a:tint val="83000"/>
              </a:schemeClr>
            </a:solidFill>
            <a:ln>
              <a:noFill/>
            </a:ln>
            <a:effectLst/>
          </c:spPr>
          <c:invertIfNegative val="0"/>
          <c:cat>
            <c:strRef>
              <c:f>pH!$B$31:$B$34</c:f>
              <c:strCache>
                <c:ptCount val="4"/>
                <c:pt idx="0">
                  <c:v>Baseflow</c:v>
                </c:pt>
                <c:pt idx="1">
                  <c:v>Mid-Stage</c:v>
                </c:pt>
                <c:pt idx="2">
                  <c:v>Bankfull Stage</c:v>
                </c:pt>
                <c:pt idx="3">
                  <c:v>Overbank Flooding</c:v>
                </c:pt>
              </c:strCache>
            </c:strRef>
          </c:cat>
          <c:val>
            <c:numRef>
              <c:f>pH!$E$31:$E$34</c:f>
              <c:numCache>
                <c:formatCode>General</c:formatCode>
                <c:ptCount val="4"/>
                <c:pt idx="0">
                  <c:v>380</c:v>
                </c:pt>
                <c:pt idx="1">
                  <c:v>117</c:v>
                </c:pt>
                <c:pt idx="2">
                  <c:v>26</c:v>
                </c:pt>
                <c:pt idx="3">
                  <c:v>1</c:v>
                </c:pt>
              </c:numCache>
            </c:numRef>
          </c:val>
          <c:extLst>
            <c:ext xmlns:c16="http://schemas.microsoft.com/office/drawing/2014/chart" uri="{C3380CC4-5D6E-409C-BE32-E72D297353CC}">
              <c16:uniqueId val="{00000002-191F-48FC-82D7-9B1466FA9000}"/>
            </c:ext>
          </c:extLst>
        </c:ser>
        <c:ser>
          <c:idx val="3"/>
          <c:order val="3"/>
          <c:tx>
            <c:strRef>
              <c:f>pH!$F$19</c:f>
              <c:strCache>
                <c:ptCount val="1"/>
                <c:pt idx="0">
                  <c:v>7.5</c:v>
                </c:pt>
              </c:strCache>
            </c:strRef>
          </c:tx>
          <c:spPr>
            <a:solidFill>
              <a:schemeClr val="accent1"/>
            </a:solidFill>
            <a:ln>
              <a:noFill/>
            </a:ln>
            <a:effectLst/>
          </c:spPr>
          <c:invertIfNegative val="0"/>
          <c:cat>
            <c:strRef>
              <c:f>pH!$B$31:$B$34</c:f>
              <c:strCache>
                <c:ptCount val="4"/>
                <c:pt idx="0">
                  <c:v>Baseflow</c:v>
                </c:pt>
                <c:pt idx="1">
                  <c:v>Mid-Stage</c:v>
                </c:pt>
                <c:pt idx="2">
                  <c:v>Bankfull Stage</c:v>
                </c:pt>
                <c:pt idx="3">
                  <c:v>Overbank Flooding</c:v>
                </c:pt>
              </c:strCache>
            </c:strRef>
          </c:cat>
          <c:val>
            <c:numRef>
              <c:f>pH!$F$31:$F$34</c:f>
              <c:numCache>
                <c:formatCode>General</c:formatCode>
                <c:ptCount val="4"/>
                <c:pt idx="0">
                  <c:v>444</c:v>
                </c:pt>
                <c:pt idx="1">
                  <c:v>117</c:v>
                </c:pt>
                <c:pt idx="2">
                  <c:v>24</c:v>
                </c:pt>
                <c:pt idx="3">
                  <c:v>1</c:v>
                </c:pt>
              </c:numCache>
            </c:numRef>
          </c:val>
          <c:extLst>
            <c:ext xmlns:c16="http://schemas.microsoft.com/office/drawing/2014/chart" uri="{C3380CC4-5D6E-409C-BE32-E72D297353CC}">
              <c16:uniqueId val="{00000003-191F-48FC-82D7-9B1466FA9000}"/>
            </c:ext>
          </c:extLst>
        </c:ser>
        <c:ser>
          <c:idx val="4"/>
          <c:order val="4"/>
          <c:tx>
            <c:strRef>
              <c:f>pH!$G$19</c:f>
              <c:strCache>
                <c:ptCount val="1"/>
                <c:pt idx="0">
                  <c:v>8</c:v>
                </c:pt>
              </c:strCache>
            </c:strRef>
          </c:tx>
          <c:spPr>
            <a:solidFill>
              <a:schemeClr val="accent1">
                <a:shade val="82000"/>
              </a:schemeClr>
            </a:solidFill>
            <a:ln>
              <a:noFill/>
            </a:ln>
            <a:effectLst/>
          </c:spPr>
          <c:invertIfNegative val="0"/>
          <c:cat>
            <c:strRef>
              <c:f>pH!$B$31:$B$34</c:f>
              <c:strCache>
                <c:ptCount val="4"/>
                <c:pt idx="0">
                  <c:v>Baseflow</c:v>
                </c:pt>
                <c:pt idx="1">
                  <c:v>Mid-Stage</c:v>
                </c:pt>
                <c:pt idx="2">
                  <c:v>Bankfull Stage</c:v>
                </c:pt>
                <c:pt idx="3">
                  <c:v>Overbank Flooding</c:v>
                </c:pt>
              </c:strCache>
            </c:strRef>
          </c:cat>
          <c:val>
            <c:numRef>
              <c:f>pH!$G$31:$G$34</c:f>
              <c:numCache>
                <c:formatCode>General</c:formatCode>
                <c:ptCount val="4"/>
                <c:pt idx="0">
                  <c:v>407</c:v>
                </c:pt>
                <c:pt idx="1">
                  <c:v>76</c:v>
                </c:pt>
                <c:pt idx="2">
                  <c:v>18</c:v>
                </c:pt>
                <c:pt idx="3">
                  <c:v>2</c:v>
                </c:pt>
              </c:numCache>
            </c:numRef>
          </c:val>
          <c:extLst>
            <c:ext xmlns:c16="http://schemas.microsoft.com/office/drawing/2014/chart" uri="{C3380CC4-5D6E-409C-BE32-E72D297353CC}">
              <c16:uniqueId val="{00000004-191F-48FC-82D7-9B1466FA9000}"/>
            </c:ext>
          </c:extLst>
        </c:ser>
        <c:ser>
          <c:idx val="5"/>
          <c:order val="5"/>
          <c:tx>
            <c:strRef>
              <c:f>pH!$H$19</c:f>
              <c:strCache>
                <c:ptCount val="1"/>
                <c:pt idx="0">
                  <c:v>8.5</c:v>
                </c:pt>
              </c:strCache>
            </c:strRef>
          </c:tx>
          <c:spPr>
            <a:solidFill>
              <a:schemeClr val="accent1">
                <a:shade val="65000"/>
              </a:schemeClr>
            </a:solidFill>
            <a:ln>
              <a:noFill/>
            </a:ln>
            <a:effectLst/>
          </c:spPr>
          <c:invertIfNegative val="0"/>
          <c:cat>
            <c:strRef>
              <c:f>pH!$B$31:$B$34</c:f>
              <c:strCache>
                <c:ptCount val="4"/>
                <c:pt idx="0">
                  <c:v>Baseflow</c:v>
                </c:pt>
                <c:pt idx="1">
                  <c:v>Mid-Stage</c:v>
                </c:pt>
                <c:pt idx="2">
                  <c:v>Bankfull Stage</c:v>
                </c:pt>
                <c:pt idx="3">
                  <c:v>Overbank Flooding</c:v>
                </c:pt>
              </c:strCache>
            </c:strRef>
          </c:cat>
          <c:val>
            <c:numRef>
              <c:f>pH!$H$31:$H$34</c:f>
              <c:numCache>
                <c:formatCode>General</c:formatCode>
                <c:ptCount val="4"/>
                <c:pt idx="0">
                  <c:v>15</c:v>
                </c:pt>
                <c:pt idx="1">
                  <c:v>4</c:v>
                </c:pt>
                <c:pt idx="2">
                  <c:v>0</c:v>
                </c:pt>
                <c:pt idx="3">
                  <c:v>0</c:v>
                </c:pt>
              </c:numCache>
            </c:numRef>
          </c:val>
          <c:extLst>
            <c:ext xmlns:c16="http://schemas.microsoft.com/office/drawing/2014/chart" uri="{C3380CC4-5D6E-409C-BE32-E72D297353CC}">
              <c16:uniqueId val="{00000005-191F-48FC-82D7-9B1466FA9000}"/>
            </c:ext>
          </c:extLst>
        </c:ser>
        <c:ser>
          <c:idx val="6"/>
          <c:order val="6"/>
          <c:tx>
            <c:strRef>
              <c:f>pH!$I$19</c:f>
              <c:strCache>
                <c:ptCount val="1"/>
                <c:pt idx="0">
                  <c:v>9</c:v>
                </c:pt>
              </c:strCache>
            </c:strRef>
          </c:tx>
          <c:spPr>
            <a:solidFill>
              <a:schemeClr val="accent1">
                <a:shade val="47000"/>
              </a:schemeClr>
            </a:solidFill>
            <a:ln>
              <a:noFill/>
            </a:ln>
            <a:effectLst/>
          </c:spPr>
          <c:invertIfNegative val="0"/>
          <c:cat>
            <c:strRef>
              <c:f>pH!$B$31:$B$34</c:f>
              <c:strCache>
                <c:ptCount val="4"/>
                <c:pt idx="0">
                  <c:v>Baseflow</c:v>
                </c:pt>
                <c:pt idx="1">
                  <c:v>Mid-Stage</c:v>
                </c:pt>
                <c:pt idx="2">
                  <c:v>Bankfull Stage</c:v>
                </c:pt>
                <c:pt idx="3">
                  <c:v>Overbank Flooding</c:v>
                </c:pt>
              </c:strCache>
            </c:strRef>
          </c:cat>
          <c:val>
            <c:numRef>
              <c:f>pH!$I$31:$I$34</c:f>
              <c:numCache>
                <c:formatCode>General</c:formatCode>
                <c:ptCount val="4"/>
                <c:pt idx="0">
                  <c:v>38</c:v>
                </c:pt>
                <c:pt idx="1">
                  <c:v>16</c:v>
                </c:pt>
                <c:pt idx="2">
                  <c:v>3</c:v>
                </c:pt>
                <c:pt idx="3">
                  <c:v>1</c:v>
                </c:pt>
              </c:numCache>
            </c:numRef>
          </c:val>
          <c:extLst>
            <c:ext xmlns:c16="http://schemas.microsoft.com/office/drawing/2014/chart" uri="{C3380CC4-5D6E-409C-BE32-E72D297353CC}">
              <c16:uniqueId val="{00000006-191F-48FC-82D7-9B1466FA9000}"/>
            </c:ext>
          </c:extLst>
        </c:ser>
        <c:dLbls>
          <c:showLegendKey val="0"/>
          <c:showVal val="0"/>
          <c:showCatName val="0"/>
          <c:showSerName val="0"/>
          <c:showPercent val="0"/>
          <c:showBubbleSize val="0"/>
        </c:dLbls>
        <c:gapWidth val="9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Level</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0398084156856685E-2"/>
          <c:h val="0.71060455766414032"/>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Clarity</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42584432027132E-2"/>
          <c:y val="9.4434123878227791E-2"/>
          <c:w val="0.82788214188249087"/>
          <c:h val="0.72363838859564111"/>
        </c:manualLayout>
      </c:layout>
      <c:barChart>
        <c:barDir val="col"/>
        <c:grouping val="clustered"/>
        <c:varyColors val="0"/>
        <c:ser>
          <c:idx val="0"/>
          <c:order val="0"/>
          <c:tx>
            <c:strRef>
              <c:f>pH!$C$19</c:f>
              <c:strCache>
                <c:ptCount val="1"/>
                <c:pt idx="0">
                  <c:v>6</c:v>
                </c:pt>
              </c:strCache>
            </c:strRef>
          </c:tx>
          <c:spPr>
            <a:solidFill>
              <a:schemeClr val="accent4">
                <a:tint val="48000"/>
              </a:schemeClr>
            </a:solidFill>
            <a:ln>
              <a:noFill/>
            </a:ln>
            <a:effectLst/>
          </c:spPr>
          <c:invertIfNegative val="0"/>
          <c:cat>
            <c:strRef>
              <c:f>pH!$B$47:$B$49</c:f>
              <c:strCache>
                <c:ptCount val="3"/>
                <c:pt idx="0">
                  <c:v>Clear</c:v>
                </c:pt>
                <c:pt idx="1">
                  <c:v>Muddy</c:v>
                </c:pt>
                <c:pt idx="2">
                  <c:v>Murky</c:v>
                </c:pt>
              </c:strCache>
            </c:strRef>
          </c:cat>
          <c:val>
            <c:numRef>
              <c:f>pH!$C$47:$C$49</c:f>
              <c:numCache>
                <c:formatCode>General</c:formatCode>
                <c:ptCount val="3"/>
                <c:pt idx="0">
                  <c:v>47</c:v>
                </c:pt>
                <c:pt idx="1">
                  <c:v>2</c:v>
                </c:pt>
                <c:pt idx="2">
                  <c:v>14</c:v>
                </c:pt>
              </c:numCache>
            </c:numRef>
          </c:val>
          <c:extLst>
            <c:ext xmlns:c16="http://schemas.microsoft.com/office/drawing/2014/chart" uri="{C3380CC4-5D6E-409C-BE32-E72D297353CC}">
              <c16:uniqueId val="{00000000-3207-4060-8E29-FA4B4435590C}"/>
            </c:ext>
          </c:extLst>
        </c:ser>
        <c:ser>
          <c:idx val="1"/>
          <c:order val="1"/>
          <c:tx>
            <c:strRef>
              <c:f>pH!$D$19</c:f>
              <c:strCache>
                <c:ptCount val="1"/>
                <c:pt idx="0">
                  <c:v>6.5</c:v>
                </c:pt>
              </c:strCache>
            </c:strRef>
          </c:tx>
          <c:spPr>
            <a:solidFill>
              <a:schemeClr val="accent4">
                <a:tint val="65000"/>
              </a:schemeClr>
            </a:solidFill>
            <a:ln>
              <a:noFill/>
            </a:ln>
            <a:effectLst/>
          </c:spPr>
          <c:invertIfNegative val="0"/>
          <c:cat>
            <c:strRef>
              <c:f>pH!$B$47:$B$49</c:f>
              <c:strCache>
                <c:ptCount val="3"/>
                <c:pt idx="0">
                  <c:v>Clear</c:v>
                </c:pt>
                <c:pt idx="1">
                  <c:v>Muddy</c:v>
                </c:pt>
                <c:pt idx="2">
                  <c:v>Murky</c:v>
                </c:pt>
              </c:strCache>
            </c:strRef>
          </c:cat>
          <c:val>
            <c:numRef>
              <c:f>pH!$D$47:$D$49</c:f>
              <c:numCache>
                <c:formatCode>General</c:formatCode>
                <c:ptCount val="3"/>
                <c:pt idx="0">
                  <c:v>39</c:v>
                </c:pt>
                <c:pt idx="1">
                  <c:v>2</c:v>
                </c:pt>
                <c:pt idx="2">
                  <c:v>18</c:v>
                </c:pt>
              </c:numCache>
            </c:numRef>
          </c:val>
          <c:extLst>
            <c:ext xmlns:c16="http://schemas.microsoft.com/office/drawing/2014/chart" uri="{C3380CC4-5D6E-409C-BE32-E72D297353CC}">
              <c16:uniqueId val="{00000001-3207-4060-8E29-FA4B4435590C}"/>
            </c:ext>
          </c:extLst>
        </c:ser>
        <c:ser>
          <c:idx val="2"/>
          <c:order val="2"/>
          <c:tx>
            <c:strRef>
              <c:f>pH!$E$19</c:f>
              <c:strCache>
                <c:ptCount val="1"/>
                <c:pt idx="0">
                  <c:v>7</c:v>
                </c:pt>
              </c:strCache>
            </c:strRef>
          </c:tx>
          <c:spPr>
            <a:solidFill>
              <a:schemeClr val="accent4">
                <a:tint val="83000"/>
              </a:schemeClr>
            </a:solidFill>
            <a:ln>
              <a:noFill/>
            </a:ln>
            <a:effectLst/>
          </c:spPr>
          <c:invertIfNegative val="0"/>
          <c:cat>
            <c:strRef>
              <c:f>pH!$B$47:$B$49</c:f>
              <c:strCache>
                <c:ptCount val="3"/>
                <c:pt idx="0">
                  <c:v>Clear</c:v>
                </c:pt>
                <c:pt idx="1">
                  <c:v>Muddy</c:v>
                </c:pt>
                <c:pt idx="2">
                  <c:v>Murky</c:v>
                </c:pt>
              </c:strCache>
            </c:strRef>
          </c:cat>
          <c:val>
            <c:numRef>
              <c:f>pH!$E$47:$E$49</c:f>
              <c:numCache>
                <c:formatCode>General</c:formatCode>
                <c:ptCount val="3"/>
                <c:pt idx="0">
                  <c:v>389</c:v>
                </c:pt>
                <c:pt idx="1">
                  <c:v>31</c:v>
                </c:pt>
                <c:pt idx="2">
                  <c:v>104</c:v>
                </c:pt>
              </c:numCache>
            </c:numRef>
          </c:val>
          <c:extLst>
            <c:ext xmlns:c16="http://schemas.microsoft.com/office/drawing/2014/chart" uri="{C3380CC4-5D6E-409C-BE32-E72D297353CC}">
              <c16:uniqueId val="{00000002-3207-4060-8E29-FA4B4435590C}"/>
            </c:ext>
          </c:extLst>
        </c:ser>
        <c:ser>
          <c:idx val="3"/>
          <c:order val="3"/>
          <c:tx>
            <c:strRef>
              <c:f>pH!$F$19</c:f>
              <c:strCache>
                <c:ptCount val="1"/>
                <c:pt idx="0">
                  <c:v>7.5</c:v>
                </c:pt>
              </c:strCache>
            </c:strRef>
          </c:tx>
          <c:spPr>
            <a:solidFill>
              <a:schemeClr val="accent4"/>
            </a:solidFill>
            <a:ln>
              <a:noFill/>
            </a:ln>
            <a:effectLst/>
          </c:spPr>
          <c:invertIfNegative val="0"/>
          <c:cat>
            <c:strRef>
              <c:f>pH!$B$47:$B$49</c:f>
              <c:strCache>
                <c:ptCount val="3"/>
                <c:pt idx="0">
                  <c:v>Clear</c:v>
                </c:pt>
                <c:pt idx="1">
                  <c:v>Muddy</c:v>
                </c:pt>
                <c:pt idx="2">
                  <c:v>Murky</c:v>
                </c:pt>
              </c:strCache>
            </c:strRef>
          </c:cat>
          <c:val>
            <c:numRef>
              <c:f>pH!$F$47:$F$49</c:f>
              <c:numCache>
                <c:formatCode>General</c:formatCode>
                <c:ptCount val="3"/>
                <c:pt idx="0">
                  <c:v>461</c:v>
                </c:pt>
                <c:pt idx="1">
                  <c:v>32</c:v>
                </c:pt>
                <c:pt idx="2">
                  <c:v>98</c:v>
                </c:pt>
              </c:numCache>
            </c:numRef>
          </c:val>
          <c:extLst>
            <c:ext xmlns:c16="http://schemas.microsoft.com/office/drawing/2014/chart" uri="{C3380CC4-5D6E-409C-BE32-E72D297353CC}">
              <c16:uniqueId val="{00000003-3207-4060-8E29-FA4B4435590C}"/>
            </c:ext>
          </c:extLst>
        </c:ser>
        <c:ser>
          <c:idx val="4"/>
          <c:order val="4"/>
          <c:tx>
            <c:strRef>
              <c:f>pH!$G$19</c:f>
              <c:strCache>
                <c:ptCount val="1"/>
                <c:pt idx="0">
                  <c:v>8</c:v>
                </c:pt>
              </c:strCache>
            </c:strRef>
          </c:tx>
          <c:spPr>
            <a:solidFill>
              <a:schemeClr val="accent4">
                <a:shade val="82000"/>
              </a:schemeClr>
            </a:solidFill>
            <a:ln>
              <a:noFill/>
            </a:ln>
            <a:effectLst/>
          </c:spPr>
          <c:invertIfNegative val="0"/>
          <c:cat>
            <c:strRef>
              <c:f>pH!$B$47:$B$49</c:f>
              <c:strCache>
                <c:ptCount val="3"/>
                <c:pt idx="0">
                  <c:v>Clear</c:v>
                </c:pt>
                <c:pt idx="1">
                  <c:v>Muddy</c:v>
                </c:pt>
                <c:pt idx="2">
                  <c:v>Murky</c:v>
                </c:pt>
              </c:strCache>
            </c:strRef>
          </c:cat>
          <c:val>
            <c:numRef>
              <c:f>pH!$G$47:$G$49</c:f>
              <c:numCache>
                <c:formatCode>General</c:formatCode>
                <c:ptCount val="3"/>
                <c:pt idx="0">
                  <c:v>411</c:v>
                </c:pt>
                <c:pt idx="1">
                  <c:v>19</c:v>
                </c:pt>
                <c:pt idx="2">
                  <c:v>80</c:v>
                </c:pt>
              </c:numCache>
            </c:numRef>
          </c:val>
          <c:extLst>
            <c:ext xmlns:c16="http://schemas.microsoft.com/office/drawing/2014/chart" uri="{C3380CC4-5D6E-409C-BE32-E72D297353CC}">
              <c16:uniqueId val="{00000004-3207-4060-8E29-FA4B4435590C}"/>
            </c:ext>
          </c:extLst>
        </c:ser>
        <c:ser>
          <c:idx val="5"/>
          <c:order val="5"/>
          <c:tx>
            <c:strRef>
              <c:f>pH!$H$19</c:f>
              <c:strCache>
                <c:ptCount val="1"/>
                <c:pt idx="0">
                  <c:v>8.5</c:v>
                </c:pt>
              </c:strCache>
            </c:strRef>
          </c:tx>
          <c:spPr>
            <a:solidFill>
              <a:schemeClr val="accent4">
                <a:shade val="65000"/>
              </a:schemeClr>
            </a:solidFill>
            <a:ln>
              <a:noFill/>
            </a:ln>
            <a:effectLst/>
          </c:spPr>
          <c:invertIfNegative val="0"/>
          <c:cat>
            <c:strRef>
              <c:f>pH!$B$47:$B$49</c:f>
              <c:strCache>
                <c:ptCount val="3"/>
                <c:pt idx="0">
                  <c:v>Clear</c:v>
                </c:pt>
                <c:pt idx="1">
                  <c:v>Muddy</c:v>
                </c:pt>
                <c:pt idx="2">
                  <c:v>Murky</c:v>
                </c:pt>
              </c:strCache>
            </c:strRef>
          </c:cat>
          <c:val>
            <c:numRef>
              <c:f>pH!$H$47:$H$49</c:f>
              <c:numCache>
                <c:formatCode>General</c:formatCode>
                <c:ptCount val="3"/>
                <c:pt idx="0">
                  <c:v>18</c:v>
                </c:pt>
                <c:pt idx="1">
                  <c:v>0</c:v>
                </c:pt>
                <c:pt idx="2">
                  <c:v>1</c:v>
                </c:pt>
              </c:numCache>
            </c:numRef>
          </c:val>
          <c:extLst>
            <c:ext xmlns:c16="http://schemas.microsoft.com/office/drawing/2014/chart" uri="{C3380CC4-5D6E-409C-BE32-E72D297353CC}">
              <c16:uniqueId val="{00000005-3207-4060-8E29-FA4B4435590C}"/>
            </c:ext>
          </c:extLst>
        </c:ser>
        <c:ser>
          <c:idx val="6"/>
          <c:order val="6"/>
          <c:tx>
            <c:strRef>
              <c:f>pH!$I$19</c:f>
              <c:strCache>
                <c:ptCount val="1"/>
                <c:pt idx="0">
                  <c:v>9</c:v>
                </c:pt>
              </c:strCache>
            </c:strRef>
          </c:tx>
          <c:spPr>
            <a:solidFill>
              <a:schemeClr val="accent4">
                <a:shade val="47000"/>
              </a:schemeClr>
            </a:solidFill>
            <a:ln>
              <a:noFill/>
            </a:ln>
            <a:effectLst/>
          </c:spPr>
          <c:invertIfNegative val="0"/>
          <c:cat>
            <c:strRef>
              <c:f>pH!$B$47:$B$49</c:f>
              <c:strCache>
                <c:ptCount val="3"/>
                <c:pt idx="0">
                  <c:v>Clear</c:v>
                </c:pt>
                <c:pt idx="1">
                  <c:v>Muddy</c:v>
                </c:pt>
                <c:pt idx="2">
                  <c:v>Murky</c:v>
                </c:pt>
              </c:strCache>
            </c:strRef>
          </c:cat>
          <c:val>
            <c:numRef>
              <c:f>pH!$I$47:$I$49</c:f>
              <c:numCache>
                <c:formatCode>General</c:formatCode>
                <c:ptCount val="3"/>
                <c:pt idx="0">
                  <c:v>41</c:v>
                </c:pt>
                <c:pt idx="1">
                  <c:v>1</c:v>
                </c:pt>
                <c:pt idx="2">
                  <c:v>15</c:v>
                </c:pt>
              </c:numCache>
            </c:numRef>
          </c:val>
          <c:extLst>
            <c:ext xmlns:c16="http://schemas.microsoft.com/office/drawing/2014/chart" uri="{C3380CC4-5D6E-409C-BE32-E72D297353CC}">
              <c16:uniqueId val="{00000006-3207-4060-8E29-FA4B4435590C}"/>
            </c:ext>
          </c:extLst>
        </c:ser>
        <c:dLbls>
          <c:showLegendKey val="0"/>
          <c:showVal val="0"/>
          <c:showCatName val="0"/>
          <c:showSerName val="0"/>
          <c:showPercent val="0"/>
          <c:showBubbleSize val="0"/>
        </c:dLbls>
        <c:gapWidth val="10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Clarity</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0485020973538153E-2"/>
          <c:h val="0.64321739559134605"/>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3738808356427205E-2"/>
          <c:y val="0.10704999325644636"/>
          <c:w val="0.86315808028496643"/>
          <c:h val="0.73694233686611899"/>
        </c:manualLayout>
      </c:layout>
      <c:barChart>
        <c:barDir val="col"/>
        <c:grouping val="clustered"/>
        <c:varyColors val="0"/>
        <c:ser>
          <c:idx val="1"/>
          <c:order val="0"/>
          <c:tx>
            <c:strRef>
              <c:f>pH!$O$62</c:f>
              <c:strCache>
                <c:ptCount val="1"/>
                <c:pt idx="0">
                  <c:v>Hay Creek @ 320th St</c:v>
                </c:pt>
              </c:strCache>
            </c:strRef>
          </c:tx>
          <c:spPr>
            <a:solidFill>
              <a:schemeClr val="accent2"/>
            </a:solidFill>
            <a:ln>
              <a:noFill/>
            </a:ln>
            <a:effectLst/>
          </c:spPr>
          <c:invertIfNegative val="0"/>
          <c:cat>
            <c:numRef>
              <c:f>pH!$P$85:$V$85</c:f>
              <c:numCache>
                <c:formatCode>General</c:formatCode>
                <c:ptCount val="7"/>
                <c:pt idx="0">
                  <c:v>6</c:v>
                </c:pt>
                <c:pt idx="1">
                  <c:v>6.5</c:v>
                </c:pt>
                <c:pt idx="2">
                  <c:v>7</c:v>
                </c:pt>
                <c:pt idx="3">
                  <c:v>7.5</c:v>
                </c:pt>
                <c:pt idx="4">
                  <c:v>8</c:v>
                </c:pt>
                <c:pt idx="5">
                  <c:v>8.5</c:v>
                </c:pt>
                <c:pt idx="6">
                  <c:v>9</c:v>
                </c:pt>
              </c:numCache>
            </c:numRef>
          </c:cat>
          <c:val>
            <c:numRef>
              <c:f>pH!$P$86:$V$86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4582-4558-B68E-7880E95E5BD7}"/>
            </c:ext>
          </c:extLst>
        </c:ser>
        <c:dLbls>
          <c:showLegendKey val="0"/>
          <c:showVal val="0"/>
          <c:showCatName val="0"/>
          <c:showSerName val="0"/>
          <c:showPercent val="0"/>
          <c:showBubbleSize val="0"/>
        </c:dLbls>
        <c:gapWidth val="219"/>
        <c:overlap val="-27"/>
        <c:axId val="549948080"/>
        <c:axId val="549943088"/>
      </c:barChart>
      <c:catAx>
        <c:axId val="549948080"/>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pH</a:t>
                </a:r>
              </a:p>
            </c:rich>
          </c:tx>
          <c:layout>
            <c:manualLayout>
              <c:xMode val="edge"/>
              <c:yMode val="edge"/>
              <c:x val="0.50235601570825239"/>
              <c:y val="0.91387331510207281"/>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3088"/>
        <c:crosses val="autoZero"/>
        <c:auto val="1"/>
        <c:lblAlgn val="ctr"/>
        <c:lblOffset val="100"/>
        <c:noMultiLvlLbl val="0"/>
      </c:catAx>
      <c:valAx>
        <c:axId val="5499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Occurrences</a:t>
                </a:r>
              </a:p>
            </c:rich>
          </c:tx>
          <c:layout>
            <c:manualLayout>
              <c:xMode val="edge"/>
              <c:yMode val="edge"/>
              <c:x val="7.2933111954263724E-3"/>
              <c:y val="0.39122495363215049"/>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95712091962369E-2"/>
          <c:y val="5.0154834149034724E-2"/>
          <c:w val="0.80083679687587839"/>
          <c:h val="0.72791100276670573"/>
        </c:manualLayout>
      </c:layout>
      <c:barChart>
        <c:barDir val="col"/>
        <c:grouping val="clustered"/>
        <c:varyColors val="0"/>
        <c:ser>
          <c:idx val="0"/>
          <c:order val="0"/>
          <c:tx>
            <c:v>Observations</c:v>
          </c:tx>
          <c:spPr>
            <a:solidFill>
              <a:schemeClr val="accent1"/>
            </a:solidFill>
            <a:ln>
              <a:noFill/>
            </a:ln>
            <a:effectLst>
              <a:outerShdw blurRad="50800" dist="38100" dir="2700000" algn="tl" rotWithShape="0">
                <a:prstClr val="black">
                  <a:alpha val="40000"/>
                </a:prstClr>
              </a:outerShdw>
            </a:effectLst>
          </c:spPr>
          <c:invertIfNegative val="0"/>
          <c:cat>
            <c:numRef>
              <c:f>'NO2'!$B$7:$B$12</c:f>
              <c:numCache>
                <c:formatCode>General</c:formatCode>
                <c:ptCount val="6"/>
                <c:pt idx="0">
                  <c:v>0</c:v>
                </c:pt>
                <c:pt idx="1">
                  <c:v>0.15</c:v>
                </c:pt>
                <c:pt idx="2">
                  <c:v>0.3</c:v>
                </c:pt>
                <c:pt idx="3">
                  <c:v>1</c:v>
                </c:pt>
                <c:pt idx="4">
                  <c:v>1.5</c:v>
                </c:pt>
                <c:pt idx="5">
                  <c:v>3</c:v>
                </c:pt>
              </c:numCache>
            </c:numRef>
          </c:cat>
          <c:val>
            <c:numRef>
              <c:f>'NO2'!$C$7:$C$12</c:f>
              <c:numCache>
                <c:formatCode>General</c:formatCode>
                <c:ptCount val="6"/>
                <c:pt idx="0">
                  <c:v>1872</c:v>
                </c:pt>
                <c:pt idx="1">
                  <c:v>0</c:v>
                </c:pt>
                <c:pt idx="2">
                  <c:v>0</c:v>
                </c:pt>
                <c:pt idx="3">
                  <c:v>2</c:v>
                </c:pt>
                <c:pt idx="4">
                  <c:v>0</c:v>
                </c:pt>
                <c:pt idx="5">
                  <c:v>0</c:v>
                </c:pt>
              </c:numCache>
            </c:numRef>
          </c:val>
          <c:extLst>
            <c:ext xmlns:c16="http://schemas.microsoft.com/office/drawing/2014/chart" uri="{C3380CC4-5D6E-409C-BE32-E72D297353CC}">
              <c16:uniqueId val="{00000000-D4CD-4957-865B-30EBF547FE1D}"/>
            </c:ext>
          </c:extLst>
        </c:ser>
        <c:dLbls>
          <c:showLegendKey val="0"/>
          <c:showVal val="0"/>
          <c:showCatName val="0"/>
          <c:showSerName val="0"/>
          <c:showPercent val="0"/>
          <c:showBubbleSize val="0"/>
        </c:dLbls>
        <c:gapWidth val="52"/>
        <c:axId val="763072256"/>
        <c:axId val="763065696"/>
      </c:barChart>
      <c:lineChart>
        <c:grouping val="standard"/>
        <c:varyColors val="0"/>
        <c:ser>
          <c:idx val="1"/>
          <c:order val="1"/>
          <c:tx>
            <c:v>Cum. %</c:v>
          </c:tx>
          <c:spPr>
            <a:ln w="28575" cap="rnd">
              <a:solidFill>
                <a:schemeClr val="accent2"/>
              </a:solidFill>
              <a:round/>
            </a:ln>
            <a:effectLst/>
          </c:spPr>
          <c:marker>
            <c:symbol val="none"/>
          </c:marker>
          <c:cat>
            <c:numRef>
              <c:f>'NO2'!$B$7:$B$12</c:f>
              <c:numCache>
                <c:formatCode>General</c:formatCode>
                <c:ptCount val="6"/>
                <c:pt idx="0">
                  <c:v>0</c:v>
                </c:pt>
                <c:pt idx="1">
                  <c:v>0.15</c:v>
                </c:pt>
                <c:pt idx="2">
                  <c:v>0.3</c:v>
                </c:pt>
                <c:pt idx="3">
                  <c:v>1</c:v>
                </c:pt>
                <c:pt idx="4">
                  <c:v>1.5</c:v>
                </c:pt>
                <c:pt idx="5">
                  <c:v>3</c:v>
                </c:pt>
              </c:numCache>
            </c:numRef>
          </c:cat>
          <c:val>
            <c:numRef>
              <c:f>'NO2'!$E$7:$E$12</c:f>
              <c:numCache>
                <c:formatCode>0%</c:formatCode>
                <c:ptCount val="6"/>
                <c:pt idx="0">
                  <c:v>0.99893276414087517</c:v>
                </c:pt>
                <c:pt idx="1">
                  <c:v>0.99893276414087517</c:v>
                </c:pt>
                <c:pt idx="2">
                  <c:v>0.99893276414087517</c:v>
                </c:pt>
                <c:pt idx="3">
                  <c:v>1</c:v>
                </c:pt>
                <c:pt idx="4">
                  <c:v>1</c:v>
                </c:pt>
                <c:pt idx="5">
                  <c:v>1</c:v>
                </c:pt>
              </c:numCache>
            </c:numRef>
          </c:val>
          <c:smooth val="0"/>
          <c:extLst>
            <c:ext xmlns:c16="http://schemas.microsoft.com/office/drawing/2014/chart" uri="{C3380CC4-5D6E-409C-BE32-E72D297353CC}">
              <c16:uniqueId val="{00000001-D4CD-4957-865B-30EBF547FE1D}"/>
            </c:ext>
          </c:extLst>
        </c:ser>
        <c:dLbls>
          <c:showLegendKey val="0"/>
          <c:showVal val="0"/>
          <c:showCatName val="0"/>
          <c:showSerName val="0"/>
          <c:showPercent val="0"/>
          <c:showBubbleSize val="0"/>
        </c:dLbls>
        <c:marker val="1"/>
        <c:smooth val="0"/>
        <c:axId val="449691463"/>
        <c:axId val="449693759"/>
      </c:lineChart>
      <c:catAx>
        <c:axId val="7630722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i="0" u="none" strike="noStrike" kern="1200" baseline="0">
                    <a:solidFill>
                      <a:sysClr val="windowText" lastClr="000000">
                        <a:lumMod val="65000"/>
                        <a:lumOff val="35000"/>
                      </a:sysClr>
                    </a:solidFill>
                  </a:rPr>
                  <a:t>Nitrite (NO2) [ppm]</a:t>
                </a:r>
              </a:p>
            </c:rich>
          </c:tx>
          <c:layout>
            <c:manualLayout>
              <c:xMode val="edge"/>
              <c:yMode val="edge"/>
              <c:x val="0.41106120932996582"/>
              <c:y val="0.8733360389196206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65696"/>
        <c:crosses val="autoZero"/>
        <c:auto val="1"/>
        <c:lblAlgn val="ctr"/>
        <c:lblOffset val="100"/>
        <c:noMultiLvlLbl val="0"/>
      </c:catAx>
      <c:valAx>
        <c:axId val="7630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Observations</a:t>
                </a:r>
              </a:p>
            </c:rich>
          </c:tx>
          <c:layout>
            <c:manualLayout>
              <c:xMode val="edge"/>
              <c:yMode val="edge"/>
              <c:x val="1.3013371646455803E-2"/>
              <c:y val="0.2542825786323733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72256"/>
        <c:crosses val="autoZero"/>
        <c:crossBetween val="between"/>
      </c:valAx>
      <c:valAx>
        <c:axId val="449693759"/>
        <c:scaling>
          <c:orientation val="minMax"/>
          <c:max val="1.05"/>
          <c:min val="0"/>
        </c:scaling>
        <c:delete val="0"/>
        <c:axPos val="r"/>
        <c:title>
          <c:tx>
            <c:rich>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Cumulative %</a:t>
                </a:r>
              </a:p>
            </c:rich>
          </c:tx>
          <c:overlay val="0"/>
          <c:spPr>
            <a:noFill/>
            <a:ln>
              <a:noFill/>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1463"/>
        <c:crosses val="max"/>
        <c:crossBetween val="between"/>
      </c:valAx>
      <c:catAx>
        <c:axId val="449691463"/>
        <c:scaling>
          <c:orientation val="minMax"/>
        </c:scaling>
        <c:delete val="1"/>
        <c:axPos val="b"/>
        <c:numFmt formatCode="General" sourceLinked="1"/>
        <c:majorTickMark val="out"/>
        <c:minorTickMark val="none"/>
        <c:tickLblPos val="nextTo"/>
        <c:crossAx val="449693759"/>
        <c:crosses val="autoZero"/>
        <c:auto val="1"/>
        <c:lblAlgn val="ctr"/>
        <c:lblOffset val="100"/>
        <c:noMultiLvlLbl val="0"/>
      </c:catAx>
      <c:spPr>
        <a:noFill/>
        <a:ln>
          <a:noFill/>
        </a:ln>
        <a:effectLst/>
      </c:spPr>
    </c:plotArea>
    <c:legend>
      <c:legendPos val="r"/>
      <c:layout>
        <c:manualLayout>
          <c:xMode val="edge"/>
          <c:yMode val="edge"/>
          <c:x val="0.74147672565005074"/>
          <c:y val="0.85514000728671313"/>
          <c:w val="0.24216119447333234"/>
          <c:h val="0.1399069328210635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Weather</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20981370025886E-2"/>
          <c:y val="9.4434123878227791E-2"/>
          <c:w val="0.81303636113763489"/>
          <c:h val="0.71953270816267678"/>
        </c:manualLayout>
      </c:layout>
      <c:barChart>
        <c:barDir val="col"/>
        <c:grouping val="clustered"/>
        <c:varyColors val="0"/>
        <c:ser>
          <c:idx val="0"/>
          <c:order val="0"/>
          <c:tx>
            <c:strRef>
              <c:f>'NO2'!$C$19</c:f>
              <c:strCache>
                <c:ptCount val="1"/>
                <c:pt idx="0">
                  <c:v>0</c:v>
                </c:pt>
              </c:strCache>
            </c:strRef>
          </c:tx>
          <c:spPr>
            <a:solidFill>
              <a:schemeClr val="accent3">
                <a:tint val="50000"/>
              </a:schemeClr>
            </a:solidFill>
            <a:ln>
              <a:noFill/>
            </a:ln>
            <a:effectLst/>
          </c:spPr>
          <c:invertIfNegative val="0"/>
          <c:cat>
            <c:strRef>
              <c:f>'NO2'!$K$20:$K$25</c:f>
              <c:strCache>
                <c:ptCount val="6"/>
                <c:pt idx="0">
                  <c:v>LT</c:v>
                </c:pt>
                <c:pt idx="1">
                  <c:v>RR</c:v>
                </c:pt>
                <c:pt idx="2">
                  <c:v>RR, LT</c:v>
                </c:pt>
                <c:pt idx="3">
                  <c:v>RR, SM</c:v>
                </c:pt>
                <c:pt idx="4">
                  <c:v>SM</c:v>
                </c:pt>
                <c:pt idx="5">
                  <c:v>None</c:v>
                </c:pt>
              </c:strCache>
            </c:strRef>
          </c:cat>
          <c:val>
            <c:numRef>
              <c:f>'NO2'!$C$20:$C$25</c:f>
              <c:numCache>
                <c:formatCode>General</c:formatCode>
                <c:ptCount val="6"/>
                <c:pt idx="0">
                  <c:v>82</c:v>
                </c:pt>
                <c:pt idx="1">
                  <c:v>235</c:v>
                </c:pt>
                <c:pt idx="2">
                  <c:v>9</c:v>
                </c:pt>
                <c:pt idx="3">
                  <c:v>4</c:v>
                </c:pt>
                <c:pt idx="4">
                  <c:v>13</c:v>
                </c:pt>
                <c:pt idx="5">
                  <c:v>1329</c:v>
                </c:pt>
              </c:numCache>
            </c:numRef>
          </c:val>
          <c:extLst>
            <c:ext xmlns:c16="http://schemas.microsoft.com/office/drawing/2014/chart" uri="{C3380CC4-5D6E-409C-BE32-E72D297353CC}">
              <c16:uniqueId val="{00000000-CDB9-4A03-A6A6-E5650D8FD88A}"/>
            </c:ext>
          </c:extLst>
        </c:ser>
        <c:ser>
          <c:idx val="1"/>
          <c:order val="1"/>
          <c:tx>
            <c:strRef>
              <c:f>'NO2'!$D$19</c:f>
              <c:strCache>
                <c:ptCount val="1"/>
                <c:pt idx="0">
                  <c:v>0.15</c:v>
                </c:pt>
              </c:strCache>
            </c:strRef>
          </c:tx>
          <c:spPr>
            <a:solidFill>
              <a:schemeClr val="accent3">
                <a:tint val="70000"/>
              </a:schemeClr>
            </a:solidFill>
            <a:ln>
              <a:noFill/>
            </a:ln>
            <a:effectLst/>
          </c:spPr>
          <c:invertIfNegative val="0"/>
          <c:cat>
            <c:strRef>
              <c:f>'NO2'!$K$20:$K$25</c:f>
              <c:strCache>
                <c:ptCount val="6"/>
                <c:pt idx="0">
                  <c:v>LT</c:v>
                </c:pt>
                <c:pt idx="1">
                  <c:v>RR</c:v>
                </c:pt>
                <c:pt idx="2">
                  <c:v>RR, LT</c:v>
                </c:pt>
                <c:pt idx="3">
                  <c:v>RR, SM</c:v>
                </c:pt>
                <c:pt idx="4">
                  <c:v>SM</c:v>
                </c:pt>
                <c:pt idx="5">
                  <c:v>None</c:v>
                </c:pt>
              </c:strCache>
            </c:strRef>
          </c:cat>
          <c:val>
            <c:numRef>
              <c:f>'NO2'!$D$20:$D$25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DB9-4A03-A6A6-E5650D8FD88A}"/>
            </c:ext>
          </c:extLst>
        </c:ser>
        <c:ser>
          <c:idx val="2"/>
          <c:order val="2"/>
          <c:tx>
            <c:strRef>
              <c:f>'NO2'!$E$19</c:f>
              <c:strCache>
                <c:ptCount val="1"/>
                <c:pt idx="0">
                  <c:v>0.3</c:v>
                </c:pt>
              </c:strCache>
            </c:strRef>
          </c:tx>
          <c:spPr>
            <a:solidFill>
              <a:schemeClr val="accent3">
                <a:tint val="90000"/>
              </a:schemeClr>
            </a:solidFill>
            <a:ln>
              <a:noFill/>
            </a:ln>
            <a:effectLst/>
          </c:spPr>
          <c:invertIfNegative val="0"/>
          <c:cat>
            <c:strRef>
              <c:f>'NO2'!$K$20:$K$25</c:f>
              <c:strCache>
                <c:ptCount val="6"/>
                <c:pt idx="0">
                  <c:v>LT</c:v>
                </c:pt>
                <c:pt idx="1">
                  <c:v>RR</c:v>
                </c:pt>
                <c:pt idx="2">
                  <c:v>RR, LT</c:v>
                </c:pt>
                <c:pt idx="3">
                  <c:v>RR, SM</c:v>
                </c:pt>
                <c:pt idx="4">
                  <c:v>SM</c:v>
                </c:pt>
                <c:pt idx="5">
                  <c:v>None</c:v>
                </c:pt>
              </c:strCache>
            </c:strRef>
          </c:cat>
          <c:val>
            <c:numRef>
              <c:f>'NO2'!$E$20:$E$25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DB9-4A03-A6A6-E5650D8FD88A}"/>
            </c:ext>
          </c:extLst>
        </c:ser>
        <c:ser>
          <c:idx val="3"/>
          <c:order val="3"/>
          <c:tx>
            <c:strRef>
              <c:f>'NO2'!$F$19</c:f>
              <c:strCache>
                <c:ptCount val="1"/>
                <c:pt idx="0">
                  <c:v>1</c:v>
                </c:pt>
              </c:strCache>
            </c:strRef>
          </c:tx>
          <c:spPr>
            <a:solidFill>
              <a:schemeClr val="accent3">
                <a:shade val="90000"/>
              </a:schemeClr>
            </a:solidFill>
            <a:ln>
              <a:noFill/>
            </a:ln>
            <a:effectLst/>
          </c:spPr>
          <c:invertIfNegative val="0"/>
          <c:cat>
            <c:strRef>
              <c:f>'NO2'!$K$20:$K$25</c:f>
              <c:strCache>
                <c:ptCount val="6"/>
                <c:pt idx="0">
                  <c:v>LT</c:v>
                </c:pt>
                <c:pt idx="1">
                  <c:v>RR</c:v>
                </c:pt>
                <c:pt idx="2">
                  <c:v>RR, LT</c:v>
                </c:pt>
                <c:pt idx="3">
                  <c:v>RR, SM</c:v>
                </c:pt>
                <c:pt idx="4">
                  <c:v>SM</c:v>
                </c:pt>
                <c:pt idx="5">
                  <c:v>None</c:v>
                </c:pt>
              </c:strCache>
            </c:strRef>
          </c:cat>
          <c:val>
            <c:numRef>
              <c:f>'NO2'!$F$20:$F$25</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3-CDB9-4A03-A6A6-E5650D8FD88A}"/>
            </c:ext>
          </c:extLst>
        </c:ser>
        <c:ser>
          <c:idx val="4"/>
          <c:order val="4"/>
          <c:tx>
            <c:strRef>
              <c:f>'NO2'!$G$19</c:f>
              <c:strCache>
                <c:ptCount val="1"/>
                <c:pt idx="0">
                  <c:v>1.5</c:v>
                </c:pt>
              </c:strCache>
            </c:strRef>
          </c:tx>
          <c:spPr>
            <a:solidFill>
              <a:schemeClr val="accent3">
                <a:shade val="70000"/>
              </a:schemeClr>
            </a:solidFill>
            <a:ln>
              <a:noFill/>
            </a:ln>
            <a:effectLst/>
          </c:spPr>
          <c:invertIfNegative val="0"/>
          <c:cat>
            <c:strRef>
              <c:f>'NO2'!$K$20:$K$25</c:f>
              <c:strCache>
                <c:ptCount val="6"/>
                <c:pt idx="0">
                  <c:v>LT</c:v>
                </c:pt>
                <c:pt idx="1">
                  <c:v>RR</c:v>
                </c:pt>
                <c:pt idx="2">
                  <c:v>RR, LT</c:v>
                </c:pt>
                <c:pt idx="3">
                  <c:v>RR, SM</c:v>
                </c:pt>
                <c:pt idx="4">
                  <c:v>SM</c:v>
                </c:pt>
                <c:pt idx="5">
                  <c:v>None</c:v>
                </c:pt>
              </c:strCache>
            </c:strRef>
          </c:cat>
          <c:val>
            <c:numRef>
              <c:f>'NO2'!$G$20:$G$25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CDB9-4A03-A6A6-E5650D8FD88A}"/>
            </c:ext>
          </c:extLst>
        </c:ser>
        <c:ser>
          <c:idx val="5"/>
          <c:order val="5"/>
          <c:tx>
            <c:strRef>
              <c:f>'NO2'!$H$19</c:f>
              <c:strCache>
                <c:ptCount val="1"/>
                <c:pt idx="0">
                  <c:v>3</c:v>
                </c:pt>
              </c:strCache>
            </c:strRef>
          </c:tx>
          <c:spPr>
            <a:solidFill>
              <a:schemeClr val="accent3">
                <a:shade val="50000"/>
              </a:schemeClr>
            </a:solidFill>
            <a:ln>
              <a:noFill/>
            </a:ln>
            <a:effectLst/>
          </c:spPr>
          <c:invertIfNegative val="0"/>
          <c:cat>
            <c:strRef>
              <c:f>'NO2'!$K$20:$K$25</c:f>
              <c:strCache>
                <c:ptCount val="6"/>
                <c:pt idx="0">
                  <c:v>LT</c:v>
                </c:pt>
                <c:pt idx="1">
                  <c:v>RR</c:v>
                </c:pt>
                <c:pt idx="2">
                  <c:v>RR, LT</c:v>
                </c:pt>
                <c:pt idx="3">
                  <c:v>RR, SM</c:v>
                </c:pt>
                <c:pt idx="4">
                  <c:v>SM</c:v>
                </c:pt>
                <c:pt idx="5">
                  <c:v>None</c:v>
                </c:pt>
              </c:strCache>
            </c:strRef>
          </c:cat>
          <c:val>
            <c:numRef>
              <c:f>'NO2'!$H$20:$H$25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CDB9-4A03-A6A6-E5650D8FD88A}"/>
            </c:ext>
          </c:extLst>
        </c:ser>
        <c:dLbls>
          <c:showLegendKey val="0"/>
          <c:showVal val="0"/>
          <c:showCatName val="0"/>
          <c:showSerName val="0"/>
          <c:showPercent val="0"/>
          <c:showBubbleSize val="0"/>
        </c:dLbls>
        <c:gapWidth val="97"/>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Weather Conditions</a:t>
                </a:r>
              </a:p>
            </c:rich>
          </c:tx>
          <c:layout>
            <c:manualLayout>
              <c:xMode val="edge"/>
              <c:yMode val="edge"/>
              <c:x val="0.39586177207579076"/>
              <c:y val="0.91272329167839727"/>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259047489806289"/>
          <c:y val="0.16075375331047909"/>
          <c:w val="6.7002899701955693E-2"/>
          <c:h val="0.70832696881390977"/>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Level</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729364057854791E-2"/>
          <c:y val="9.4434123878227791E-2"/>
          <c:w val="0.81112811183411782"/>
          <c:h val="0.74885122318014552"/>
        </c:manualLayout>
      </c:layout>
      <c:barChart>
        <c:barDir val="col"/>
        <c:grouping val="clustered"/>
        <c:varyColors val="0"/>
        <c:ser>
          <c:idx val="0"/>
          <c:order val="0"/>
          <c:tx>
            <c:strRef>
              <c:f>'NO2'!$C$19</c:f>
              <c:strCache>
                <c:ptCount val="1"/>
                <c:pt idx="0">
                  <c:v>0</c:v>
                </c:pt>
              </c:strCache>
            </c:strRef>
          </c:tx>
          <c:spPr>
            <a:solidFill>
              <a:schemeClr val="accent1">
                <a:tint val="50000"/>
              </a:schemeClr>
            </a:solidFill>
            <a:ln>
              <a:noFill/>
            </a:ln>
            <a:effectLst/>
          </c:spPr>
          <c:invertIfNegative val="0"/>
          <c:cat>
            <c:strRef>
              <c:f>'NO2'!$B$31:$B$34</c:f>
              <c:strCache>
                <c:ptCount val="4"/>
                <c:pt idx="0">
                  <c:v>Baseflow</c:v>
                </c:pt>
                <c:pt idx="1">
                  <c:v>Mid-Stage</c:v>
                </c:pt>
                <c:pt idx="2">
                  <c:v>Bankfull Stage</c:v>
                </c:pt>
                <c:pt idx="3">
                  <c:v>Overbank Flooding</c:v>
                </c:pt>
              </c:strCache>
            </c:strRef>
          </c:cat>
          <c:val>
            <c:numRef>
              <c:f>'NO2'!$C$31:$C$34</c:f>
              <c:numCache>
                <c:formatCode>General</c:formatCode>
                <c:ptCount val="4"/>
                <c:pt idx="0">
                  <c:v>1293</c:v>
                </c:pt>
                <c:pt idx="1">
                  <c:v>336</c:v>
                </c:pt>
                <c:pt idx="2">
                  <c:v>78</c:v>
                </c:pt>
                <c:pt idx="3">
                  <c:v>1</c:v>
                </c:pt>
              </c:numCache>
            </c:numRef>
          </c:val>
          <c:extLst>
            <c:ext xmlns:c16="http://schemas.microsoft.com/office/drawing/2014/chart" uri="{C3380CC4-5D6E-409C-BE32-E72D297353CC}">
              <c16:uniqueId val="{00000000-FA5A-434A-A8D3-FCE98F0366C8}"/>
            </c:ext>
          </c:extLst>
        </c:ser>
        <c:ser>
          <c:idx val="1"/>
          <c:order val="1"/>
          <c:tx>
            <c:strRef>
              <c:f>'NO2'!$D$19</c:f>
              <c:strCache>
                <c:ptCount val="1"/>
                <c:pt idx="0">
                  <c:v>0.15</c:v>
                </c:pt>
              </c:strCache>
            </c:strRef>
          </c:tx>
          <c:spPr>
            <a:solidFill>
              <a:schemeClr val="accent1">
                <a:tint val="70000"/>
              </a:schemeClr>
            </a:solidFill>
            <a:ln>
              <a:noFill/>
            </a:ln>
            <a:effectLst/>
          </c:spPr>
          <c:invertIfNegative val="0"/>
          <c:cat>
            <c:strRef>
              <c:f>'NO2'!$B$31:$B$34</c:f>
              <c:strCache>
                <c:ptCount val="4"/>
                <c:pt idx="0">
                  <c:v>Baseflow</c:v>
                </c:pt>
                <c:pt idx="1">
                  <c:v>Mid-Stage</c:v>
                </c:pt>
                <c:pt idx="2">
                  <c:v>Bankfull Stage</c:v>
                </c:pt>
                <c:pt idx="3">
                  <c:v>Overbank Flooding</c:v>
                </c:pt>
              </c:strCache>
            </c:strRef>
          </c:cat>
          <c:val>
            <c:numRef>
              <c:f>'NO2'!$D$31:$D$34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1-FA5A-434A-A8D3-FCE98F0366C8}"/>
            </c:ext>
          </c:extLst>
        </c:ser>
        <c:ser>
          <c:idx val="2"/>
          <c:order val="2"/>
          <c:tx>
            <c:strRef>
              <c:f>'NO2'!$E$19</c:f>
              <c:strCache>
                <c:ptCount val="1"/>
                <c:pt idx="0">
                  <c:v>0.3</c:v>
                </c:pt>
              </c:strCache>
            </c:strRef>
          </c:tx>
          <c:spPr>
            <a:solidFill>
              <a:schemeClr val="accent1">
                <a:tint val="90000"/>
              </a:schemeClr>
            </a:solidFill>
            <a:ln>
              <a:noFill/>
            </a:ln>
            <a:effectLst/>
          </c:spPr>
          <c:invertIfNegative val="0"/>
          <c:cat>
            <c:strRef>
              <c:f>'NO2'!$B$31:$B$34</c:f>
              <c:strCache>
                <c:ptCount val="4"/>
                <c:pt idx="0">
                  <c:v>Baseflow</c:v>
                </c:pt>
                <c:pt idx="1">
                  <c:v>Mid-Stage</c:v>
                </c:pt>
                <c:pt idx="2">
                  <c:v>Bankfull Stage</c:v>
                </c:pt>
                <c:pt idx="3">
                  <c:v>Overbank Flooding</c:v>
                </c:pt>
              </c:strCache>
            </c:strRef>
          </c:cat>
          <c:val>
            <c:numRef>
              <c:f>'NO2'!$E$31:$E$34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2-FA5A-434A-A8D3-FCE98F0366C8}"/>
            </c:ext>
          </c:extLst>
        </c:ser>
        <c:ser>
          <c:idx val="3"/>
          <c:order val="3"/>
          <c:tx>
            <c:strRef>
              <c:f>'NO2'!$F$19</c:f>
              <c:strCache>
                <c:ptCount val="1"/>
                <c:pt idx="0">
                  <c:v>1</c:v>
                </c:pt>
              </c:strCache>
            </c:strRef>
          </c:tx>
          <c:spPr>
            <a:solidFill>
              <a:schemeClr val="accent1">
                <a:shade val="90000"/>
              </a:schemeClr>
            </a:solidFill>
            <a:ln>
              <a:noFill/>
            </a:ln>
            <a:effectLst/>
          </c:spPr>
          <c:invertIfNegative val="0"/>
          <c:cat>
            <c:strRef>
              <c:f>'NO2'!$B$31:$B$34</c:f>
              <c:strCache>
                <c:ptCount val="4"/>
                <c:pt idx="0">
                  <c:v>Baseflow</c:v>
                </c:pt>
                <c:pt idx="1">
                  <c:v>Mid-Stage</c:v>
                </c:pt>
                <c:pt idx="2">
                  <c:v>Bankfull Stage</c:v>
                </c:pt>
                <c:pt idx="3">
                  <c:v>Overbank Flooding</c:v>
                </c:pt>
              </c:strCache>
            </c:strRef>
          </c:cat>
          <c:val>
            <c:numRef>
              <c:f>'NO2'!$F$31:$F$34</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03-FA5A-434A-A8D3-FCE98F0366C8}"/>
            </c:ext>
          </c:extLst>
        </c:ser>
        <c:ser>
          <c:idx val="4"/>
          <c:order val="4"/>
          <c:tx>
            <c:strRef>
              <c:f>'NO2'!$G$19</c:f>
              <c:strCache>
                <c:ptCount val="1"/>
                <c:pt idx="0">
                  <c:v>1.5</c:v>
                </c:pt>
              </c:strCache>
            </c:strRef>
          </c:tx>
          <c:spPr>
            <a:solidFill>
              <a:schemeClr val="accent1">
                <a:shade val="70000"/>
              </a:schemeClr>
            </a:solidFill>
            <a:ln>
              <a:noFill/>
            </a:ln>
            <a:effectLst/>
          </c:spPr>
          <c:invertIfNegative val="0"/>
          <c:cat>
            <c:strRef>
              <c:f>'NO2'!$B$31:$B$34</c:f>
              <c:strCache>
                <c:ptCount val="4"/>
                <c:pt idx="0">
                  <c:v>Baseflow</c:v>
                </c:pt>
                <c:pt idx="1">
                  <c:v>Mid-Stage</c:v>
                </c:pt>
                <c:pt idx="2">
                  <c:v>Bankfull Stage</c:v>
                </c:pt>
                <c:pt idx="3">
                  <c:v>Overbank Flooding</c:v>
                </c:pt>
              </c:strCache>
            </c:strRef>
          </c:cat>
          <c:val>
            <c:numRef>
              <c:f>'NO2'!$G$31:$G$34</c:f>
              <c:numCache>
                <c:formatCode>General</c:formatCode>
                <c:ptCount val="4"/>
                <c:pt idx="0">
                  <c:v>0</c:v>
                </c:pt>
                <c:pt idx="1">
                  <c:v>0</c:v>
                </c:pt>
                <c:pt idx="2">
                  <c:v>0</c:v>
                </c:pt>
                <c:pt idx="3">
                  <c:v>2</c:v>
                </c:pt>
              </c:numCache>
            </c:numRef>
          </c:val>
          <c:extLst>
            <c:ext xmlns:c16="http://schemas.microsoft.com/office/drawing/2014/chart" uri="{C3380CC4-5D6E-409C-BE32-E72D297353CC}">
              <c16:uniqueId val="{00000004-FA5A-434A-A8D3-FCE98F0366C8}"/>
            </c:ext>
          </c:extLst>
        </c:ser>
        <c:ser>
          <c:idx val="5"/>
          <c:order val="5"/>
          <c:tx>
            <c:strRef>
              <c:f>'NO2'!$H$19</c:f>
              <c:strCache>
                <c:ptCount val="1"/>
                <c:pt idx="0">
                  <c:v>3</c:v>
                </c:pt>
              </c:strCache>
            </c:strRef>
          </c:tx>
          <c:spPr>
            <a:solidFill>
              <a:schemeClr val="accent1">
                <a:shade val="50000"/>
              </a:schemeClr>
            </a:solidFill>
            <a:ln>
              <a:noFill/>
            </a:ln>
            <a:effectLst/>
          </c:spPr>
          <c:invertIfNegative val="0"/>
          <c:cat>
            <c:strRef>
              <c:f>'NO2'!$B$31:$B$34</c:f>
              <c:strCache>
                <c:ptCount val="4"/>
                <c:pt idx="0">
                  <c:v>Baseflow</c:v>
                </c:pt>
                <c:pt idx="1">
                  <c:v>Mid-Stage</c:v>
                </c:pt>
                <c:pt idx="2">
                  <c:v>Bankfull Stage</c:v>
                </c:pt>
                <c:pt idx="3">
                  <c:v>Overbank Flooding</c:v>
                </c:pt>
              </c:strCache>
            </c:strRef>
          </c:cat>
          <c:val>
            <c:numRef>
              <c:f>'NO2'!$H$31:$H$34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5-FA5A-434A-A8D3-FCE98F0366C8}"/>
            </c:ext>
          </c:extLst>
        </c:ser>
        <c:dLbls>
          <c:showLegendKey val="0"/>
          <c:showVal val="0"/>
          <c:showCatName val="0"/>
          <c:showSerName val="0"/>
          <c:showPercent val="0"/>
          <c:showBubbleSize val="0"/>
        </c:dLbls>
        <c:gapWidth val="9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Level</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5479918473500612E-2"/>
          <c:h val="0.67297464310017818"/>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Clarity</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42584432027132E-2"/>
          <c:y val="9.4434123878227791E-2"/>
          <c:w val="0.82788214188249087"/>
          <c:h val="0.72363838859564111"/>
        </c:manualLayout>
      </c:layout>
      <c:barChart>
        <c:barDir val="col"/>
        <c:grouping val="clustered"/>
        <c:varyColors val="0"/>
        <c:ser>
          <c:idx val="0"/>
          <c:order val="0"/>
          <c:tx>
            <c:strRef>
              <c:f>'NO2'!$C$19</c:f>
              <c:strCache>
                <c:ptCount val="1"/>
                <c:pt idx="0">
                  <c:v>0</c:v>
                </c:pt>
              </c:strCache>
            </c:strRef>
          </c:tx>
          <c:spPr>
            <a:solidFill>
              <a:schemeClr val="accent4">
                <a:tint val="50000"/>
              </a:schemeClr>
            </a:solidFill>
            <a:ln>
              <a:noFill/>
            </a:ln>
            <a:effectLst/>
          </c:spPr>
          <c:invertIfNegative val="0"/>
          <c:cat>
            <c:strRef>
              <c:f>'NO2'!$B$47:$B$49</c:f>
              <c:strCache>
                <c:ptCount val="3"/>
                <c:pt idx="0">
                  <c:v>Clear</c:v>
                </c:pt>
                <c:pt idx="1">
                  <c:v>Muddy</c:v>
                </c:pt>
                <c:pt idx="2">
                  <c:v>Murky</c:v>
                </c:pt>
              </c:strCache>
            </c:strRef>
          </c:cat>
          <c:val>
            <c:numRef>
              <c:f>'NO2'!$C$47:$C$49</c:f>
              <c:numCache>
                <c:formatCode>General</c:formatCode>
                <c:ptCount val="3"/>
                <c:pt idx="0">
                  <c:v>1315</c:v>
                </c:pt>
                <c:pt idx="1">
                  <c:v>85</c:v>
                </c:pt>
                <c:pt idx="2">
                  <c:v>322</c:v>
                </c:pt>
              </c:numCache>
            </c:numRef>
          </c:val>
          <c:extLst>
            <c:ext xmlns:c16="http://schemas.microsoft.com/office/drawing/2014/chart" uri="{C3380CC4-5D6E-409C-BE32-E72D297353CC}">
              <c16:uniqueId val="{00000000-77AC-4A20-9AB2-CE09B5696643}"/>
            </c:ext>
          </c:extLst>
        </c:ser>
        <c:ser>
          <c:idx val="1"/>
          <c:order val="1"/>
          <c:tx>
            <c:strRef>
              <c:f>'NO2'!$D$19</c:f>
              <c:strCache>
                <c:ptCount val="1"/>
                <c:pt idx="0">
                  <c:v>0.15</c:v>
                </c:pt>
              </c:strCache>
            </c:strRef>
          </c:tx>
          <c:spPr>
            <a:solidFill>
              <a:schemeClr val="accent4">
                <a:tint val="70000"/>
              </a:schemeClr>
            </a:solidFill>
            <a:ln>
              <a:noFill/>
            </a:ln>
            <a:effectLst/>
          </c:spPr>
          <c:invertIfNegative val="0"/>
          <c:cat>
            <c:strRef>
              <c:f>'NO2'!$B$47:$B$49</c:f>
              <c:strCache>
                <c:ptCount val="3"/>
                <c:pt idx="0">
                  <c:v>Clear</c:v>
                </c:pt>
                <c:pt idx="1">
                  <c:v>Muddy</c:v>
                </c:pt>
                <c:pt idx="2">
                  <c:v>Murky</c:v>
                </c:pt>
              </c:strCache>
            </c:strRef>
          </c:cat>
          <c:val>
            <c:numRef>
              <c:f>'NO2'!$D$47:$D$49</c:f>
              <c:numCache>
                <c:formatCode>General</c:formatCode>
                <c:ptCount val="3"/>
                <c:pt idx="0">
                  <c:v>0</c:v>
                </c:pt>
                <c:pt idx="1">
                  <c:v>0</c:v>
                </c:pt>
                <c:pt idx="2">
                  <c:v>0</c:v>
                </c:pt>
              </c:numCache>
            </c:numRef>
          </c:val>
          <c:extLst>
            <c:ext xmlns:c16="http://schemas.microsoft.com/office/drawing/2014/chart" uri="{C3380CC4-5D6E-409C-BE32-E72D297353CC}">
              <c16:uniqueId val="{00000001-77AC-4A20-9AB2-CE09B5696643}"/>
            </c:ext>
          </c:extLst>
        </c:ser>
        <c:ser>
          <c:idx val="2"/>
          <c:order val="2"/>
          <c:tx>
            <c:strRef>
              <c:f>'NO2'!$E$19</c:f>
              <c:strCache>
                <c:ptCount val="1"/>
                <c:pt idx="0">
                  <c:v>0.3</c:v>
                </c:pt>
              </c:strCache>
            </c:strRef>
          </c:tx>
          <c:spPr>
            <a:solidFill>
              <a:schemeClr val="accent4">
                <a:tint val="90000"/>
              </a:schemeClr>
            </a:solidFill>
            <a:ln>
              <a:noFill/>
            </a:ln>
            <a:effectLst/>
          </c:spPr>
          <c:invertIfNegative val="0"/>
          <c:cat>
            <c:strRef>
              <c:f>'NO2'!$B$47:$B$49</c:f>
              <c:strCache>
                <c:ptCount val="3"/>
                <c:pt idx="0">
                  <c:v>Clear</c:v>
                </c:pt>
                <c:pt idx="1">
                  <c:v>Muddy</c:v>
                </c:pt>
                <c:pt idx="2">
                  <c:v>Murky</c:v>
                </c:pt>
              </c:strCache>
            </c:strRef>
          </c:cat>
          <c:val>
            <c:numRef>
              <c:f>'NO2'!$E$47:$E$49</c:f>
              <c:numCache>
                <c:formatCode>General</c:formatCode>
                <c:ptCount val="3"/>
                <c:pt idx="0">
                  <c:v>0</c:v>
                </c:pt>
                <c:pt idx="1">
                  <c:v>0</c:v>
                </c:pt>
                <c:pt idx="2">
                  <c:v>0</c:v>
                </c:pt>
              </c:numCache>
            </c:numRef>
          </c:val>
          <c:extLst>
            <c:ext xmlns:c16="http://schemas.microsoft.com/office/drawing/2014/chart" uri="{C3380CC4-5D6E-409C-BE32-E72D297353CC}">
              <c16:uniqueId val="{00000002-77AC-4A20-9AB2-CE09B5696643}"/>
            </c:ext>
          </c:extLst>
        </c:ser>
        <c:ser>
          <c:idx val="3"/>
          <c:order val="3"/>
          <c:tx>
            <c:strRef>
              <c:f>'NO2'!$F$19</c:f>
              <c:strCache>
                <c:ptCount val="1"/>
                <c:pt idx="0">
                  <c:v>1</c:v>
                </c:pt>
              </c:strCache>
            </c:strRef>
          </c:tx>
          <c:spPr>
            <a:solidFill>
              <a:schemeClr val="accent4">
                <a:shade val="90000"/>
              </a:schemeClr>
            </a:solidFill>
            <a:ln>
              <a:noFill/>
            </a:ln>
            <a:effectLst/>
          </c:spPr>
          <c:invertIfNegative val="0"/>
          <c:cat>
            <c:strRef>
              <c:f>'NO2'!$B$47:$B$49</c:f>
              <c:strCache>
                <c:ptCount val="3"/>
                <c:pt idx="0">
                  <c:v>Clear</c:v>
                </c:pt>
                <c:pt idx="1">
                  <c:v>Muddy</c:v>
                </c:pt>
                <c:pt idx="2">
                  <c:v>Murky</c:v>
                </c:pt>
              </c:strCache>
            </c:strRef>
          </c:cat>
          <c:val>
            <c:numRef>
              <c:f>'NO2'!$F$47:$F$49</c:f>
              <c:numCache>
                <c:formatCode>General</c:formatCode>
                <c:ptCount val="3"/>
                <c:pt idx="0">
                  <c:v>1</c:v>
                </c:pt>
                <c:pt idx="1">
                  <c:v>0</c:v>
                </c:pt>
                <c:pt idx="2">
                  <c:v>0</c:v>
                </c:pt>
              </c:numCache>
            </c:numRef>
          </c:val>
          <c:extLst>
            <c:ext xmlns:c16="http://schemas.microsoft.com/office/drawing/2014/chart" uri="{C3380CC4-5D6E-409C-BE32-E72D297353CC}">
              <c16:uniqueId val="{00000003-77AC-4A20-9AB2-CE09B5696643}"/>
            </c:ext>
          </c:extLst>
        </c:ser>
        <c:ser>
          <c:idx val="4"/>
          <c:order val="4"/>
          <c:tx>
            <c:strRef>
              <c:f>'NO2'!$G$19</c:f>
              <c:strCache>
                <c:ptCount val="1"/>
                <c:pt idx="0">
                  <c:v>1.5</c:v>
                </c:pt>
              </c:strCache>
            </c:strRef>
          </c:tx>
          <c:spPr>
            <a:solidFill>
              <a:schemeClr val="accent4">
                <a:shade val="70000"/>
              </a:schemeClr>
            </a:solidFill>
            <a:ln>
              <a:noFill/>
            </a:ln>
            <a:effectLst/>
          </c:spPr>
          <c:invertIfNegative val="0"/>
          <c:cat>
            <c:strRef>
              <c:f>'NO2'!$B$47:$B$49</c:f>
              <c:strCache>
                <c:ptCount val="3"/>
                <c:pt idx="0">
                  <c:v>Clear</c:v>
                </c:pt>
                <c:pt idx="1">
                  <c:v>Muddy</c:v>
                </c:pt>
                <c:pt idx="2">
                  <c:v>Murky</c:v>
                </c:pt>
              </c:strCache>
            </c:strRef>
          </c:cat>
          <c:val>
            <c:numRef>
              <c:f>'NO2'!$G$47:$G$49</c:f>
              <c:numCache>
                <c:formatCode>General</c:formatCode>
                <c:ptCount val="3"/>
                <c:pt idx="0">
                  <c:v>0</c:v>
                </c:pt>
                <c:pt idx="1">
                  <c:v>0</c:v>
                </c:pt>
                <c:pt idx="2">
                  <c:v>0</c:v>
                </c:pt>
              </c:numCache>
            </c:numRef>
          </c:val>
          <c:extLst>
            <c:ext xmlns:c16="http://schemas.microsoft.com/office/drawing/2014/chart" uri="{C3380CC4-5D6E-409C-BE32-E72D297353CC}">
              <c16:uniqueId val="{00000004-77AC-4A20-9AB2-CE09B5696643}"/>
            </c:ext>
          </c:extLst>
        </c:ser>
        <c:ser>
          <c:idx val="5"/>
          <c:order val="5"/>
          <c:tx>
            <c:strRef>
              <c:f>'NO2'!$H$19</c:f>
              <c:strCache>
                <c:ptCount val="1"/>
                <c:pt idx="0">
                  <c:v>3</c:v>
                </c:pt>
              </c:strCache>
            </c:strRef>
          </c:tx>
          <c:spPr>
            <a:solidFill>
              <a:schemeClr val="accent4">
                <a:shade val="50000"/>
              </a:schemeClr>
            </a:solidFill>
            <a:ln>
              <a:noFill/>
            </a:ln>
            <a:effectLst/>
          </c:spPr>
          <c:invertIfNegative val="0"/>
          <c:cat>
            <c:strRef>
              <c:f>'NO2'!$B$47:$B$49</c:f>
              <c:strCache>
                <c:ptCount val="3"/>
                <c:pt idx="0">
                  <c:v>Clear</c:v>
                </c:pt>
                <c:pt idx="1">
                  <c:v>Muddy</c:v>
                </c:pt>
                <c:pt idx="2">
                  <c:v>Murky</c:v>
                </c:pt>
              </c:strCache>
            </c:strRef>
          </c:cat>
          <c:val>
            <c:numRef>
              <c:f>'NO2'!$H$47:$H$49</c:f>
              <c:numCache>
                <c:formatCode>General</c:formatCode>
                <c:ptCount val="3"/>
                <c:pt idx="0">
                  <c:v>0</c:v>
                </c:pt>
                <c:pt idx="1">
                  <c:v>0</c:v>
                </c:pt>
                <c:pt idx="2">
                  <c:v>0</c:v>
                </c:pt>
              </c:numCache>
            </c:numRef>
          </c:val>
          <c:extLst>
            <c:ext xmlns:c16="http://schemas.microsoft.com/office/drawing/2014/chart" uri="{C3380CC4-5D6E-409C-BE32-E72D297353CC}">
              <c16:uniqueId val="{00000005-77AC-4A20-9AB2-CE09B5696643}"/>
            </c:ext>
          </c:extLst>
        </c:ser>
        <c:dLbls>
          <c:showLegendKey val="0"/>
          <c:showVal val="0"/>
          <c:showCatName val="0"/>
          <c:showSerName val="0"/>
          <c:showPercent val="0"/>
          <c:showBubbleSize val="0"/>
        </c:dLbls>
        <c:gapWidth val="10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Clarity</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5479918473500612E-2"/>
          <c:h val="0.64370704041469329"/>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902478865901553"/>
          <c:y val="6.2646828504306969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3738808356427205E-2"/>
          <c:y val="8.1991379895054228E-2"/>
          <c:w val="0.86315808028496643"/>
          <c:h val="0.76200099889628126"/>
        </c:manualLayout>
      </c:layout>
      <c:barChart>
        <c:barDir val="col"/>
        <c:grouping val="clustered"/>
        <c:varyColors val="0"/>
        <c:ser>
          <c:idx val="1"/>
          <c:order val="0"/>
          <c:tx>
            <c:strRef>
              <c:f>'NO2'!$N$62</c:f>
              <c:strCache>
                <c:ptCount val="1"/>
                <c:pt idx="0">
                  <c:v>Rush River @ 570th Ave</c:v>
                </c:pt>
              </c:strCache>
            </c:strRef>
          </c:tx>
          <c:spPr>
            <a:solidFill>
              <a:schemeClr val="accent2"/>
            </a:solidFill>
            <a:ln>
              <a:noFill/>
            </a:ln>
            <a:effectLst/>
          </c:spPr>
          <c:invertIfNegative val="0"/>
          <c:cat>
            <c:numRef>
              <c:f>'NO2'!$C$63:$H$63</c:f>
              <c:numCache>
                <c:formatCode>General</c:formatCode>
                <c:ptCount val="6"/>
                <c:pt idx="0">
                  <c:v>0</c:v>
                </c:pt>
                <c:pt idx="1">
                  <c:v>0.15</c:v>
                </c:pt>
                <c:pt idx="2">
                  <c:v>0.3</c:v>
                </c:pt>
                <c:pt idx="3">
                  <c:v>1</c:v>
                </c:pt>
                <c:pt idx="4">
                  <c:v>1.5</c:v>
                </c:pt>
                <c:pt idx="5">
                  <c:v>3</c:v>
                </c:pt>
              </c:numCache>
            </c:numRef>
          </c:cat>
          <c:val>
            <c:numRef>
              <c:f>'NO2'!$N$87:$S$87</c:f>
              <c:numCache>
                <c:formatCode>General</c:formatCode>
                <c:ptCount val="6"/>
                <c:pt idx="0">
                  <c:v>20</c:v>
                </c:pt>
                <c:pt idx="1">
                  <c:v>0</c:v>
                </c:pt>
                <c:pt idx="2">
                  <c:v>0</c:v>
                </c:pt>
                <c:pt idx="3">
                  <c:v>1</c:v>
                </c:pt>
                <c:pt idx="4">
                  <c:v>0</c:v>
                </c:pt>
                <c:pt idx="5">
                  <c:v>0</c:v>
                </c:pt>
              </c:numCache>
            </c:numRef>
          </c:val>
          <c:extLst>
            <c:ext xmlns:c16="http://schemas.microsoft.com/office/drawing/2014/chart" uri="{C3380CC4-5D6E-409C-BE32-E72D297353CC}">
              <c16:uniqueId val="{00000000-EDF0-4585-9C50-CC458C6E8CB0}"/>
            </c:ext>
          </c:extLst>
        </c:ser>
        <c:dLbls>
          <c:showLegendKey val="0"/>
          <c:showVal val="0"/>
          <c:showCatName val="0"/>
          <c:showSerName val="0"/>
          <c:showPercent val="0"/>
          <c:showBubbleSize val="0"/>
        </c:dLbls>
        <c:gapWidth val="219"/>
        <c:overlap val="-27"/>
        <c:axId val="549948080"/>
        <c:axId val="549943088"/>
      </c:barChart>
      <c:catAx>
        <c:axId val="549948080"/>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Concentration [ppm]</a:t>
                </a:r>
              </a:p>
            </c:rich>
          </c:tx>
          <c:layout>
            <c:manualLayout>
              <c:xMode val="edge"/>
              <c:yMode val="edge"/>
              <c:x val="0.38949835974324354"/>
              <c:y val="0.91387331946984152"/>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3088"/>
        <c:crosses val="autoZero"/>
        <c:auto val="1"/>
        <c:lblAlgn val="ctr"/>
        <c:lblOffset val="100"/>
        <c:noMultiLvlLbl val="0"/>
      </c:catAx>
      <c:valAx>
        <c:axId val="5499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Occurrences</a:t>
                </a:r>
              </a:p>
            </c:rich>
          </c:tx>
          <c:layout>
            <c:manualLayout>
              <c:xMode val="edge"/>
              <c:yMode val="edge"/>
              <c:x val="7.2933111954263724E-3"/>
              <c:y val="0.39122495363215049"/>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08913699140349E-2"/>
          <c:y val="5.0154834149034724E-2"/>
          <c:w val="0.80272363730851837"/>
          <c:h val="0.7323250953327477"/>
        </c:manualLayout>
      </c:layout>
      <c:barChart>
        <c:barDir val="col"/>
        <c:grouping val="clustered"/>
        <c:varyColors val="0"/>
        <c:ser>
          <c:idx val="0"/>
          <c:order val="0"/>
          <c:tx>
            <c:v>Observations</c:v>
          </c:tx>
          <c:spPr>
            <a:solidFill>
              <a:schemeClr val="accent1"/>
            </a:solidFill>
            <a:ln>
              <a:noFill/>
            </a:ln>
            <a:effectLst>
              <a:outerShdw blurRad="50800" dist="38100" dir="2700000" algn="tl" rotWithShape="0">
                <a:prstClr val="black">
                  <a:alpha val="40000"/>
                </a:prstClr>
              </a:outerShdw>
            </a:effectLst>
          </c:spPr>
          <c:invertIfNegative val="0"/>
          <c:cat>
            <c:numRef>
              <c:f>'NO3'!$B$7:$B$13</c:f>
              <c:numCache>
                <c:formatCode>General</c:formatCode>
                <c:ptCount val="7"/>
                <c:pt idx="0">
                  <c:v>0</c:v>
                </c:pt>
                <c:pt idx="1">
                  <c:v>1</c:v>
                </c:pt>
                <c:pt idx="2">
                  <c:v>2</c:v>
                </c:pt>
                <c:pt idx="3">
                  <c:v>5</c:v>
                </c:pt>
                <c:pt idx="4">
                  <c:v>10</c:v>
                </c:pt>
                <c:pt idx="5">
                  <c:v>20</c:v>
                </c:pt>
                <c:pt idx="6">
                  <c:v>50</c:v>
                </c:pt>
              </c:numCache>
            </c:numRef>
          </c:cat>
          <c:val>
            <c:numRef>
              <c:f>'NO3'!$C$7:$C$13</c:f>
              <c:numCache>
                <c:formatCode>General</c:formatCode>
                <c:ptCount val="7"/>
                <c:pt idx="0">
                  <c:v>257</c:v>
                </c:pt>
                <c:pt idx="1">
                  <c:v>67</c:v>
                </c:pt>
                <c:pt idx="2">
                  <c:v>645</c:v>
                </c:pt>
                <c:pt idx="3">
                  <c:v>729</c:v>
                </c:pt>
                <c:pt idx="4">
                  <c:v>150</c:v>
                </c:pt>
                <c:pt idx="5">
                  <c:v>32</c:v>
                </c:pt>
                <c:pt idx="6">
                  <c:v>0</c:v>
                </c:pt>
              </c:numCache>
            </c:numRef>
          </c:val>
          <c:extLst>
            <c:ext xmlns:c16="http://schemas.microsoft.com/office/drawing/2014/chart" uri="{C3380CC4-5D6E-409C-BE32-E72D297353CC}">
              <c16:uniqueId val="{00000000-4EC0-4006-ADE0-94FF8EB89B35}"/>
            </c:ext>
          </c:extLst>
        </c:ser>
        <c:dLbls>
          <c:showLegendKey val="0"/>
          <c:showVal val="0"/>
          <c:showCatName val="0"/>
          <c:showSerName val="0"/>
          <c:showPercent val="0"/>
          <c:showBubbleSize val="0"/>
        </c:dLbls>
        <c:gapWidth val="52"/>
        <c:axId val="763072256"/>
        <c:axId val="763065696"/>
      </c:barChart>
      <c:lineChart>
        <c:grouping val="standard"/>
        <c:varyColors val="0"/>
        <c:ser>
          <c:idx val="1"/>
          <c:order val="1"/>
          <c:tx>
            <c:v>Cum. %</c:v>
          </c:tx>
          <c:spPr>
            <a:ln w="28575" cap="rnd">
              <a:solidFill>
                <a:schemeClr val="accent2"/>
              </a:solidFill>
              <a:round/>
            </a:ln>
            <a:effectLst/>
          </c:spPr>
          <c:marker>
            <c:symbol val="none"/>
          </c:marker>
          <c:cat>
            <c:numRef>
              <c:f>'NO3'!$B$7:$B$13</c:f>
              <c:numCache>
                <c:formatCode>General</c:formatCode>
                <c:ptCount val="7"/>
                <c:pt idx="0">
                  <c:v>0</c:v>
                </c:pt>
                <c:pt idx="1">
                  <c:v>1</c:v>
                </c:pt>
                <c:pt idx="2">
                  <c:v>2</c:v>
                </c:pt>
                <c:pt idx="3">
                  <c:v>5</c:v>
                </c:pt>
                <c:pt idx="4">
                  <c:v>10</c:v>
                </c:pt>
                <c:pt idx="5">
                  <c:v>20</c:v>
                </c:pt>
                <c:pt idx="6">
                  <c:v>50</c:v>
                </c:pt>
              </c:numCache>
            </c:numRef>
          </c:cat>
          <c:val>
            <c:numRef>
              <c:f>'NO3'!$E$7:$E$13</c:f>
              <c:numCache>
                <c:formatCode>0%</c:formatCode>
                <c:ptCount val="7"/>
                <c:pt idx="0">
                  <c:v>0.13670212765957446</c:v>
                </c:pt>
                <c:pt idx="1">
                  <c:v>0.17234042553191489</c:v>
                </c:pt>
                <c:pt idx="2">
                  <c:v>0.5154255319148936</c:v>
                </c:pt>
                <c:pt idx="3">
                  <c:v>0.90319148936170213</c:v>
                </c:pt>
                <c:pt idx="4">
                  <c:v>0.98297872340425529</c:v>
                </c:pt>
                <c:pt idx="5">
                  <c:v>1</c:v>
                </c:pt>
                <c:pt idx="6">
                  <c:v>1</c:v>
                </c:pt>
              </c:numCache>
            </c:numRef>
          </c:val>
          <c:smooth val="0"/>
          <c:extLst>
            <c:ext xmlns:c16="http://schemas.microsoft.com/office/drawing/2014/chart" uri="{C3380CC4-5D6E-409C-BE32-E72D297353CC}">
              <c16:uniqueId val="{00000001-4EC0-4006-ADE0-94FF8EB89B35}"/>
            </c:ext>
          </c:extLst>
        </c:ser>
        <c:dLbls>
          <c:showLegendKey val="0"/>
          <c:showVal val="0"/>
          <c:showCatName val="0"/>
          <c:showSerName val="0"/>
          <c:showPercent val="0"/>
          <c:showBubbleSize val="0"/>
        </c:dLbls>
        <c:marker val="1"/>
        <c:smooth val="0"/>
        <c:axId val="449691463"/>
        <c:axId val="449693759"/>
      </c:lineChart>
      <c:catAx>
        <c:axId val="7630722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Nitrate (NO3) [ppm]</a:t>
                </a:r>
              </a:p>
            </c:rich>
          </c:tx>
          <c:layout>
            <c:manualLayout>
              <c:xMode val="edge"/>
              <c:yMode val="edge"/>
              <c:x val="0.41860844133240843"/>
              <c:y val="0.8646952337891674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65696"/>
        <c:crosses val="autoZero"/>
        <c:auto val="1"/>
        <c:lblAlgn val="ctr"/>
        <c:lblOffset val="100"/>
        <c:noMultiLvlLbl val="0"/>
      </c:catAx>
      <c:valAx>
        <c:axId val="7630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Observations</a:t>
                </a:r>
              </a:p>
            </c:rich>
          </c:tx>
          <c:layout>
            <c:manualLayout>
              <c:xMode val="edge"/>
              <c:yMode val="edge"/>
              <c:x val="1.3013371646455803E-2"/>
              <c:y val="0.2542825786323733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72256"/>
        <c:crosses val="autoZero"/>
        <c:crossBetween val="between"/>
      </c:valAx>
      <c:valAx>
        <c:axId val="449693759"/>
        <c:scaling>
          <c:orientation val="minMax"/>
          <c:max val="1.05"/>
          <c:min val="0"/>
        </c:scaling>
        <c:delete val="0"/>
        <c:axPos val="r"/>
        <c:title>
          <c:tx>
            <c:rich>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Cumulative %</a:t>
                </a:r>
              </a:p>
            </c:rich>
          </c:tx>
          <c:overlay val="0"/>
          <c:spPr>
            <a:noFill/>
            <a:ln>
              <a:noFill/>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1463"/>
        <c:crosses val="max"/>
        <c:crossBetween val="between"/>
      </c:valAx>
      <c:catAx>
        <c:axId val="449691463"/>
        <c:scaling>
          <c:orientation val="minMax"/>
        </c:scaling>
        <c:delete val="1"/>
        <c:axPos val="b"/>
        <c:numFmt formatCode="General" sourceLinked="1"/>
        <c:majorTickMark val="out"/>
        <c:minorTickMark val="none"/>
        <c:tickLblPos val="nextTo"/>
        <c:crossAx val="449693759"/>
        <c:crosses val="autoZero"/>
        <c:auto val="1"/>
        <c:lblAlgn val="ctr"/>
        <c:lblOffset val="100"/>
        <c:noMultiLvlLbl val="0"/>
      </c:catAx>
      <c:spPr>
        <a:noFill/>
        <a:ln>
          <a:noFill/>
        </a:ln>
        <a:effectLst/>
      </c:spPr>
    </c:plotArea>
    <c:legend>
      <c:legendPos val="r"/>
      <c:layout>
        <c:manualLayout>
          <c:xMode val="edge"/>
          <c:yMode val="edge"/>
          <c:x val="0.74147672565005074"/>
          <c:y val="0.88980950512280221"/>
          <c:w val="0.24216119447333234"/>
          <c:h val="0.1052374574521630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Weather</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20981370025886E-2"/>
          <c:y val="9.4434123878227791E-2"/>
          <c:w val="0.81303636113763489"/>
          <c:h val="0.71953270816267678"/>
        </c:manualLayout>
      </c:layout>
      <c:barChart>
        <c:barDir val="col"/>
        <c:grouping val="clustered"/>
        <c:varyColors val="0"/>
        <c:ser>
          <c:idx val="0"/>
          <c:order val="0"/>
          <c:tx>
            <c:strRef>
              <c:f>'NO3'!$C$19</c:f>
              <c:strCache>
                <c:ptCount val="1"/>
                <c:pt idx="0">
                  <c:v>0</c:v>
                </c:pt>
              </c:strCache>
            </c:strRef>
          </c:tx>
          <c:spPr>
            <a:solidFill>
              <a:schemeClr val="accent3">
                <a:tint val="48000"/>
              </a:schemeClr>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'NO3'!$C$20:$C$25</c:f>
              <c:numCache>
                <c:formatCode>General</c:formatCode>
                <c:ptCount val="6"/>
                <c:pt idx="0">
                  <c:v>15</c:v>
                </c:pt>
                <c:pt idx="1">
                  <c:v>41</c:v>
                </c:pt>
                <c:pt idx="2">
                  <c:v>0</c:v>
                </c:pt>
                <c:pt idx="3">
                  <c:v>2</c:v>
                </c:pt>
                <c:pt idx="4">
                  <c:v>2</c:v>
                </c:pt>
                <c:pt idx="5">
                  <c:v>161</c:v>
                </c:pt>
              </c:numCache>
            </c:numRef>
          </c:val>
          <c:extLst>
            <c:ext xmlns:c16="http://schemas.microsoft.com/office/drawing/2014/chart" uri="{C3380CC4-5D6E-409C-BE32-E72D297353CC}">
              <c16:uniqueId val="{00000000-045B-48A7-9ADD-B40FE2B2520D}"/>
            </c:ext>
          </c:extLst>
        </c:ser>
        <c:ser>
          <c:idx val="1"/>
          <c:order val="1"/>
          <c:tx>
            <c:strRef>
              <c:f>'NO3'!$D$19</c:f>
              <c:strCache>
                <c:ptCount val="1"/>
                <c:pt idx="0">
                  <c:v>1</c:v>
                </c:pt>
              </c:strCache>
            </c:strRef>
          </c:tx>
          <c:spPr>
            <a:solidFill>
              <a:schemeClr val="accent3">
                <a:tint val="65000"/>
              </a:schemeClr>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'NO3'!$D$20:$D$25</c:f>
              <c:numCache>
                <c:formatCode>General</c:formatCode>
                <c:ptCount val="6"/>
                <c:pt idx="0">
                  <c:v>3</c:v>
                </c:pt>
                <c:pt idx="1">
                  <c:v>5</c:v>
                </c:pt>
                <c:pt idx="2">
                  <c:v>0</c:v>
                </c:pt>
                <c:pt idx="3">
                  <c:v>0</c:v>
                </c:pt>
                <c:pt idx="4">
                  <c:v>0</c:v>
                </c:pt>
                <c:pt idx="5">
                  <c:v>46</c:v>
                </c:pt>
              </c:numCache>
            </c:numRef>
          </c:val>
          <c:extLst>
            <c:ext xmlns:c16="http://schemas.microsoft.com/office/drawing/2014/chart" uri="{C3380CC4-5D6E-409C-BE32-E72D297353CC}">
              <c16:uniqueId val="{00000001-045B-48A7-9ADD-B40FE2B2520D}"/>
            </c:ext>
          </c:extLst>
        </c:ser>
        <c:ser>
          <c:idx val="2"/>
          <c:order val="2"/>
          <c:tx>
            <c:strRef>
              <c:f>'NO3'!$E$19</c:f>
              <c:strCache>
                <c:ptCount val="1"/>
                <c:pt idx="0">
                  <c:v>2</c:v>
                </c:pt>
              </c:strCache>
            </c:strRef>
          </c:tx>
          <c:spPr>
            <a:solidFill>
              <a:schemeClr val="accent3">
                <a:tint val="83000"/>
              </a:schemeClr>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'NO3'!$E$20:$E$25</c:f>
              <c:numCache>
                <c:formatCode>General</c:formatCode>
                <c:ptCount val="6"/>
                <c:pt idx="0">
                  <c:v>35</c:v>
                </c:pt>
                <c:pt idx="1">
                  <c:v>82</c:v>
                </c:pt>
                <c:pt idx="2">
                  <c:v>4</c:v>
                </c:pt>
                <c:pt idx="3">
                  <c:v>1</c:v>
                </c:pt>
                <c:pt idx="4">
                  <c:v>6</c:v>
                </c:pt>
                <c:pt idx="5">
                  <c:v>442</c:v>
                </c:pt>
              </c:numCache>
            </c:numRef>
          </c:val>
          <c:extLst>
            <c:ext xmlns:c16="http://schemas.microsoft.com/office/drawing/2014/chart" uri="{C3380CC4-5D6E-409C-BE32-E72D297353CC}">
              <c16:uniqueId val="{00000002-045B-48A7-9ADD-B40FE2B2520D}"/>
            </c:ext>
          </c:extLst>
        </c:ser>
        <c:ser>
          <c:idx val="3"/>
          <c:order val="3"/>
          <c:tx>
            <c:strRef>
              <c:f>'NO3'!$F$19</c:f>
              <c:strCache>
                <c:ptCount val="1"/>
                <c:pt idx="0">
                  <c:v>5</c:v>
                </c:pt>
              </c:strCache>
            </c:strRef>
          </c:tx>
          <c:spPr>
            <a:solidFill>
              <a:schemeClr val="accent3"/>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'NO3'!$F$20:$F$25</c:f>
              <c:numCache>
                <c:formatCode>General</c:formatCode>
                <c:ptCount val="6"/>
                <c:pt idx="0">
                  <c:v>26</c:v>
                </c:pt>
                <c:pt idx="1">
                  <c:v>78</c:v>
                </c:pt>
                <c:pt idx="2">
                  <c:v>1</c:v>
                </c:pt>
                <c:pt idx="3">
                  <c:v>1</c:v>
                </c:pt>
                <c:pt idx="4">
                  <c:v>5</c:v>
                </c:pt>
                <c:pt idx="5">
                  <c:v>563</c:v>
                </c:pt>
              </c:numCache>
            </c:numRef>
          </c:val>
          <c:extLst>
            <c:ext xmlns:c16="http://schemas.microsoft.com/office/drawing/2014/chart" uri="{C3380CC4-5D6E-409C-BE32-E72D297353CC}">
              <c16:uniqueId val="{00000003-045B-48A7-9ADD-B40FE2B2520D}"/>
            </c:ext>
          </c:extLst>
        </c:ser>
        <c:ser>
          <c:idx val="4"/>
          <c:order val="4"/>
          <c:tx>
            <c:strRef>
              <c:f>'NO3'!$G$19</c:f>
              <c:strCache>
                <c:ptCount val="1"/>
                <c:pt idx="0">
                  <c:v>10</c:v>
                </c:pt>
              </c:strCache>
            </c:strRef>
          </c:tx>
          <c:spPr>
            <a:solidFill>
              <a:schemeClr val="accent3">
                <a:shade val="82000"/>
              </a:schemeClr>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'NO3'!$G$20:$G$25</c:f>
              <c:numCache>
                <c:formatCode>General</c:formatCode>
                <c:ptCount val="6"/>
                <c:pt idx="0">
                  <c:v>3</c:v>
                </c:pt>
                <c:pt idx="1">
                  <c:v>18</c:v>
                </c:pt>
                <c:pt idx="2">
                  <c:v>4</c:v>
                </c:pt>
                <c:pt idx="3">
                  <c:v>0</c:v>
                </c:pt>
                <c:pt idx="4">
                  <c:v>0</c:v>
                </c:pt>
                <c:pt idx="5">
                  <c:v>107</c:v>
                </c:pt>
              </c:numCache>
            </c:numRef>
          </c:val>
          <c:extLst>
            <c:ext xmlns:c16="http://schemas.microsoft.com/office/drawing/2014/chart" uri="{C3380CC4-5D6E-409C-BE32-E72D297353CC}">
              <c16:uniqueId val="{00000004-045B-48A7-9ADD-B40FE2B2520D}"/>
            </c:ext>
          </c:extLst>
        </c:ser>
        <c:ser>
          <c:idx val="5"/>
          <c:order val="5"/>
          <c:tx>
            <c:strRef>
              <c:f>'NO3'!$H$19</c:f>
              <c:strCache>
                <c:ptCount val="1"/>
                <c:pt idx="0">
                  <c:v>20</c:v>
                </c:pt>
              </c:strCache>
            </c:strRef>
          </c:tx>
          <c:spPr>
            <a:solidFill>
              <a:schemeClr val="accent3">
                <a:shade val="65000"/>
              </a:schemeClr>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'NO3'!$H$20:$H$25</c:f>
              <c:numCache>
                <c:formatCode>General</c:formatCode>
                <c:ptCount val="6"/>
                <c:pt idx="0">
                  <c:v>0</c:v>
                </c:pt>
                <c:pt idx="1">
                  <c:v>12</c:v>
                </c:pt>
                <c:pt idx="2">
                  <c:v>0</c:v>
                </c:pt>
                <c:pt idx="3">
                  <c:v>0</c:v>
                </c:pt>
                <c:pt idx="4">
                  <c:v>0</c:v>
                </c:pt>
                <c:pt idx="5">
                  <c:v>16</c:v>
                </c:pt>
              </c:numCache>
            </c:numRef>
          </c:val>
          <c:extLst>
            <c:ext xmlns:c16="http://schemas.microsoft.com/office/drawing/2014/chart" uri="{C3380CC4-5D6E-409C-BE32-E72D297353CC}">
              <c16:uniqueId val="{00000005-045B-48A7-9ADD-B40FE2B2520D}"/>
            </c:ext>
          </c:extLst>
        </c:ser>
        <c:ser>
          <c:idx val="6"/>
          <c:order val="6"/>
          <c:tx>
            <c:v>9</c:v>
          </c:tx>
          <c:spPr>
            <a:solidFill>
              <a:schemeClr val="accent3">
                <a:shade val="47000"/>
              </a:schemeClr>
            </a:solidFill>
            <a:ln>
              <a:noFill/>
            </a:ln>
            <a:effectLst/>
          </c:spPr>
          <c:invertIfNegative val="0"/>
          <c:cat>
            <c:strRef>
              <c:f>'NO3'!$L$20:$L$25</c:f>
              <c:strCache>
                <c:ptCount val="6"/>
                <c:pt idx="0">
                  <c:v>LT</c:v>
                </c:pt>
                <c:pt idx="1">
                  <c:v>RR</c:v>
                </c:pt>
                <c:pt idx="2">
                  <c:v>RR, LT</c:v>
                </c:pt>
                <c:pt idx="3">
                  <c:v>RR, SM</c:v>
                </c:pt>
                <c:pt idx="4">
                  <c:v>SM</c:v>
                </c:pt>
                <c:pt idx="5">
                  <c:v>None</c:v>
                </c:pt>
              </c:strCache>
            </c:strRef>
          </c:cat>
          <c:val>
            <c:numRef>
              <c:f>'NO3'!$I$20:$I$25</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045B-48A7-9ADD-B40FE2B2520D}"/>
            </c:ext>
          </c:extLst>
        </c:ser>
        <c:dLbls>
          <c:showLegendKey val="0"/>
          <c:showVal val="0"/>
          <c:showCatName val="0"/>
          <c:showSerName val="0"/>
          <c:showPercent val="0"/>
          <c:showBubbleSize val="0"/>
        </c:dLbls>
        <c:gapWidth val="97"/>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Weather Conditions</a:t>
                </a:r>
              </a:p>
            </c:rich>
          </c:tx>
          <c:layout>
            <c:manualLayout>
              <c:xMode val="edge"/>
              <c:yMode val="edge"/>
              <c:x val="0.39586177207579076"/>
              <c:y val="0.91272329167839727"/>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259047489806289"/>
          <c:y val="0.16075375331047909"/>
          <c:w val="6.0341178475145703E-2"/>
          <c:h val="0.6664798274701127"/>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Level</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729364057854791E-2"/>
          <c:y val="9.4434123878227791E-2"/>
          <c:w val="0.81112811183411782"/>
          <c:h val="0.74885122318014552"/>
        </c:manualLayout>
      </c:layout>
      <c:barChart>
        <c:barDir val="col"/>
        <c:grouping val="clustered"/>
        <c:varyColors val="0"/>
        <c:ser>
          <c:idx val="0"/>
          <c:order val="0"/>
          <c:tx>
            <c:strRef>
              <c:f>'NO3'!$C$19</c:f>
              <c:strCache>
                <c:ptCount val="1"/>
                <c:pt idx="0">
                  <c:v>0</c:v>
                </c:pt>
              </c:strCache>
            </c:strRef>
          </c:tx>
          <c:spPr>
            <a:solidFill>
              <a:schemeClr val="accent1">
                <a:tint val="48000"/>
              </a:schemeClr>
            </a:solidFill>
            <a:ln>
              <a:noFill/>
            </a:ln>
            <a:effectLst/>
          </c:spPr>
          <c:invertIfNegative val="0"/>
          <c:cat>
            <c:strRef>
              <c:f>'NO3'!$B$31:$B$34</c:f>
              <c:strCache>
                <c:ptCount val="4"/>
                <c:pt idx="0">
                  <c:v>Baseflow</c:v>
                </c:pt>
                <c:pt idx="1">
                  <c:v>Mid-Stage</c:v>
                </c:pt>
                <c:pt idx="2">
                  <c:v>Bankfull Stage</c:v>
                </c:pt>
                <c:pt idx="3">
                  <c:v>Overbank Flooding</c:v>
                </c:pt>
              </c:strCache>
            </c:strRef>
          </c:cat>
          <c:val>
            <c:numRef>
              <c:f>'NO3'!$C$31:$C$34</c:f>
              <c:numCache>
                <c:formatCode>General</c:formatCode>
                <c:ptCount val="4"/>
                <c:pt idx="0">
                  <c:v>159</c:v>
                </c:pt>
                <c:pt idx="1">
                  <c:v>44</c:v>
                </c:pt>
                <c:pt idx="2">
                  <c:v>16</c:v>
                </c:pt>
                <c:pt idx="3">
                  <c:v>1</c:v>
                </c:pt>
              </c:numCache>
            </c:numRef>
          </c:val>
          <c:extLst>
            <c:ext xmlns:c16="http://schemas.microsoft.com/office/drawing/2014/chart" uri="{C3380CC4-5D6E-409C-BE32-E72D297353CC}">
              <c16:uniqueId val="{00000000-01B4-456E-8E8E-787ACC6B30C7}"/>
            </c:ext>
          </c:extLst>
        </c:ser>
        <c:ser>
          <c:idx val="1"/>
          <c:order val="1"/>
          <c:tx>
            <c:strRef>
              <c:f>'NO3'!$D$19</c:f>
              <c:strCache>
                <c:ptCount val="1"/>
                <c:pt idx="0">
                  <c:v>1</c:v>
                </c:pt>
              </c:strCache>
            </c:strRef>
          </c:tx>
          <c:spPr>
            <a:solidFill>
              <a:schemeClr val="accent1">
                <a:tint val="65000"/>
              </a:schemeClr>
            </a:solidFill>
            <a:ln>
              <a:noFill/>
            </a:ln>
            <a:effectLst/>
          </c:spPr>
          <c:invertIfNegative val="0"/>
          <c:cat>
            <c:strRef>
              <c:f>'NO3'!$B$31:$B$34</c:f>
              <c:strCache>
                <c:ptCount val="4"/>
                <c:pt idx="0">
                  <c:v>Baseflow</c:v>
                </c:pt>
                <c:pt idx="1">
                  <c:v>Mid-Stage</c:v>
                </c:pt>
                <c:pt idx="2">
                  <c:v>Bankfull Stage</c:v>
                </c:pt>
                <c:pt idx="3">
                  <c:v>Overbank Flooding</c:v>
                </c:pt>
              </c:strCache>
            </c:strRef>
          </c:cat>
          <c:val>
            <c:numRef>
              <c:f>'NO3'!$D$31:$D$34</c:f>
              <c:numCache>
                <c:formatCode>General</c:formatCode>
                <c:ptCount val="4"/>
                <c:pt idx="0">
                  <c:v>45</c:v>
                </c:pt>
                <c:pt idx="1">
                  <c:v>7</c:v>
                </c:pt>
                <c:pt idx="2">
                  <c:v>3</c:v>
                </c:pt>
                <c:pt idx="3">
                  <c:v>1</c:v>
                </c:pt>
              </c:numCache>
            </c:numRef>
          </c:val>
          <c:extLst>
            <c:ext xmlns:c16="http://schemas.microsoft.com/office/drawing/2014/chart" uri="{C3380CC4-5D6E-409C-BE32-E72D297353CC}">
              <c16:uniqueId val="{00000001-01B4-456E-8E8E-787ACC6B30C7}"/>
            </c:ext>
          </c:extLst>
        </c:ser>
        <c:ser>
          <c:idx val="2"/>
          <c:order val="2"/>
          <c:tx>
            <c:strRef>
              <c:f>'NO3'!$E$19</c:f>
              <c:strCache>
                <c:ptCount val="1"/>
                <c:pt idx="0">
                  <c:v>2</c:v>
                </c:pt>
              </c:strCache>
            </c:strRef>
          </c:tx>
          <c:spPr>
            <a:solidFill>
              <a:schemeClr val="accent1">
                <a:tint val="83000"/>
              </a:schemeClr>
            </a:solidFill>
            <a:ln>
              <a:noFill/>
            </a:ln>
            <a:effectLst/>
          </c:spPr>
          <c:invertIfNegative val="0"/>
          <c:cat>
            <c:strRef>
              <c:f>'NO3'!$B$31:$B$34</c:f>
              <c:strCache>
                <c:ptCount val="4"/>
                <c:pt idx="0">
                  <c:v>Baseflow</c:v>
                </c:pt>
                <c:pt idx="1">
                  <c:v>Mid-Stage</c:v>
                </c:pt>
                <c:pt idx="2">
                  <c:v>Bankfull Stage</c:v>
                </c:pt>
                <c:pt idx="3">
                  <c:v>Overbank Flooding</c:v>
                </c:pt>
              </c:strCache>
            </c:strRef>
          </c:cat>
          <c:val>
            <c:numRef>
              <c:f>'NO3'!$E$31:$E$34</c:f>
              <c:numCache>
                <c:formatCode>General</c:formatCode>
                <c:ptCount val="4"/>
                <c:pt idx="0">
                  <c:v>443</c:v>
                </c:pt>
                <c:pt idx="1">
                  <c:v>110</c:v>
                </c:pt>
                <c:pt idx="2">
                  <c:v>23</c:v>
                </c:pt>
                <c:pt idx="3">
                  <c:v>1</c:v>
                </c:pt>
              </c:numCache>
            </c:numRef>
          </c:val>
          <c:extLst>
            <c:ext xmlns:c16="http://schemas.microsoft.com/office/drawing/2014/chart" uri="{C3380CC4-5D6E-409C-BE32-E72D297353CC}">
              <c16:uniqueId val="{00000002-01B4-456E-8E8E-787ACC6B30C7}"/>
            </c:ext>
          </c:extLst>
        </c:ser>
        <c:ser>
          <c:idx val="3"/>
          <c:order val="3"/>
          <c:tx>
            <c:strRef>
              <c:f>'NO3'!$F$19</c:f>
              <c:strCache>
                <c:ptCount val="1"/>
                <c:pt idx="0">
                  <c:v>5</c:v>
                </c:pt>
              </c:strCache>
            </c:strRef>
          </c:tx>
          <c:spPr>
            <a:solidFill>
              <a:schemeClr val="accent1"/>
            </a:solidFill>
            <a:ln>
              <a:noFill/>
            </a:ln>
            <a:effectLst/>
          </c:spPr>
          <c:invertIfNegative val="0"/>
          <c:cat>
            <c:strRef>
              <c:f>'NO3'!$B$31:$B$34</c:f>
              <c:strCache>
                <c:ptCount val="4"/>
                <c:pt idx="0">
                  <c:v>Baseflow</c:v>
                </c:pt>
                <c:pt idx="1">
                  <c:v>Mid-Stage</c:v>
                </c:pt>
                <c:pt idx="2">
                  <c:v>Bankfull Stage</c:v>
                </c:pt>
                <c:pt idx="3">
                  <c:v>Overbank Flooding</c:v>
                </c:pt>
              </c:strCache>
            </c:strRef>
          </c:cat>
          <c:val>
            <c:numRef>
              <c:f>'NO3'!$F$31:$F$34</c:f>
              <c:numCache>
                <c:formatCode>General</c:formatCode>
                <c:ptCount val="4"/>
                <c:pt idx="0">
                  <c:v>554</c:v>
                </c:pt>
                <c:pt idx="1">
                  <c:v>114</c:v>
                </c:pt>
                <c:pt idx="2">
                  <c:v>28</c:v>
                </c:pt>
                <c:pt idx="3">
                  <c:v>1</c:v>
                </c:pt>
              </c:numCache>
            </c:numRef>
          </c:val>
          <c:extLst>
            <c:ext xmlns:c16="http://schemas.microsoft.com/office/drawing/2014/chart" uri="{C3380CC4-5D6E-409C-BE32-E72D297353CC}">
              <c16:uniqueId val="{00000003-01B4-456E-8E8E-787ACC6B30C7}"/>
            </c:ext>
          </c:extLst>
        </c:ser>
        <c:ser>
          <c:idx val="4"/>
          <c:order val="4"/>
          <c:tx>
            <c:strRef>
              <c:f>'NO3'!$G$19</c:f>
              <c:strCache>
                <c:ptCount val="1"/>
                <c:pt idx="0">
                  <c:v>10</c:v>
                </c:pt>
              </c:strCache>
            </c:strRef>
          </c:tx>
          <c:spPr>
            <a:solidFill>
              <a:schemeClr val="accent1">
                <a:shade val="82000"/>
              </a:schemeClr>
            </a:solidFill>
            <a:ln>
              <a:noFill/>
            </a:ln>
            <a:effectLst/>
          </c:spPr>
          <c:invertIfNegative val="0"/>
          <c:cat>
            <c:strRef>
              <c:f>'NO3'!$B$31:$B$34</c:f>
              <c:strCache>
                <c:ptCount val="4"/>
                <c:pt idx="0">
                  <c:v>Baseflow</c:v>
                </c:pt>
                <c:pt idx="1">
                  <c:v>Mid-Stage</c:v>
                </c:pt>
                <c:pt idx="2">
                  <c:v>Bankfull Stage</c:v>
                </c:pt>
                <c:pt idx="3">
                  <c:v>Overbank Flooding</c:v>
                </c:pt>
              </c:strCache>
            </c:strRef>
          </c:cat>
          <c:val>
            <c:numRef>
              <c:f>'NO3'!$G$31:$G$34</c:f>
              <c:numCache>
                <c:formatCode>General</c:formatCode>
                <c:ptCount val="4"/>
                <c:pt idx="0">
                  <c:v>93</c:v>
                </c:pt>
                <c:pt idx="1">
                  <c:v>37</c:v>
                </c:pt>
                <c:pt idx="2">
                  <c:v>7</c:v>
                </c:pt>
                <c:pt idx="3">
                  <c:v>2</c:v>
                </c:pt>
              </c:numCache>
            </c:numRef>
          </c:val>
          <c:extLst>
            <c:ext xmlns:c16="http://schemas.microsoft.com/office/drawing/2014/chart" uri="{C3380CC4-5D6E-409C-BE32-E72D297353CC}">
              <c16:uniqueId val="{00000004-01B4-456E-8E8E-787ACC6B30C7}"/>
            </c:ext>
          </c:extLst>
        </c:ser>
        <c:ser>
          <c:idx val="5"/>
          <c:order val="5"/>
          <c:tx>
            <c:strRef>
              <c:f>'NO3'!$H$19</c:f>
              <c:strCache>
                <c:ptCount val="1"/>
                <c:pt idx="0">
                  <c:v>20</c:v>
                </c:pt>
              </c:strCache>
            </c:strRef>
          </c:tx>
          <c:spPr>
            <a:solidFill>
              <a:schemeClr val="accent1">
                <a:shade val="65000"/>
              </a:schemeClr>
            </a:solidFill>
            <a:ln>
              <a:noFill/>
            </a:ln>
            <a:effectLst/>
          </c:spPr>
          <c:invertIfNegative val="0"/>
          <c:cat>
            <c:strRef>
              <c:f>'NO3'!$B$31:$B$34</c:f>
              <c:strCache>
                <c:ptCount val="4"/>
                <c:pt idx="0">
                  <c:v>Baseflow</c:v>
                </c:pt>
                <c:pt idx="1">
                  <c:v>Mid-Stage</c:v>
                </c:pt>
                <c:pt idx="2">
                  <c:v>Bankfull Stage</c:v>
                </c:pt>
                <c:pt idx="3">
                  <c:v>Overbank Flooding</c:v>
                </c:pt>
              </c:strCache>
            </c:strRef>
          </c:cat>
          <c:val>
            <c:numRef>
              <c:f>'NO3'!$H$31:$H$34</c:f>
              <c:numCache>
                <c:formatCode>General</c:formatCode>
                <c:ptCount val="4"/>
                <c:pt idx="0">
                  <c:v>6</c:v>
                </c:pt>
                <c:pt idx="1">
                  <c:v>24</c:v>
                </c:pt>
                <c:pt idx="2">
                  <c:v>1</c:v>
                </c:pt>
                <c:pt idx="3">
                  <c:v>0</c:v>
                </c:pt>
              </c:numCache>
            </c:numRef>
          </c:val>
          <c:extLst>
            <c:ext xmlns:c16="http://schemas.microsoft.com/office/drawing/2014/chart" uri="{C3380CC4-5D6E-409C-BE32-E72D297353CC}">
              <c16:uniqueId val="{00000005-01B4-456E-8E8E-787ACC6B30C7}"/>
            </c:ext>
          </c:extLst>
        </c:ser>
        <c:ser>
          <c:idx val="6"/>
          <c:order val="6"/>
          <c:tx>
            <c:strRef>
              <c:f>'NO3'!$I$19</c:f>
              <c:strCache>
                <c:ptCount val="1"/>
                <c:pt idx="0">
                  <c:v>50</c:v>
                </c:pt>
              </c:strCache>
            </c:strRef>
          </c:tx>
          <c:spPr>
            <a:solidFill>
              <a:schemeClr val="accent1">
                <a:shade val="47000"/>
              </a:schemeClr>
            </a:solidFill>
            <a:ln>
              <a:noFill/>
            </a:ln>
            <a:effectLst/>
          </c:spPr>
          <c:invertIfNegative val="0"/>
          <c:cat>
            <c:strRef>
              <c:f>'NO3'!$B$31:$B$34</c:f>
              <c:strCache>
                <c:ptCount val="4"/>
                <c:pt idx="0">
                  <c:v>Baseflow</c:v>
                </c:pt>
                <c:pt idx="1">
                  <c:v>Mid-Stage</c:v>
                </c:pt>
                <c:pt idx="2">
                  <c:v>Bankfull Stage</c:v>
                </c:pt>
                <c:pt idx="3">
                  <c:v>Overbank Flooding</c:v>
                </c:pt>
              </c:strCache>
            </c:strRef>
          </c:cat>
          <c:val>
            <c:numRef>
              <c:f>'NO3'!$I$31:$I$34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6-01B4-456E-8E8E-787ACC6B30C7}"/>
            </c:ext>
          </c:extLst>
        </c:ser>
        <c:dLbls>
          <c:showLegendKey val="0"/>
          <c:showVal val="0"/>
          <c:showCatName val="0"/>
          <c:showSerName val="0"/>
          <c:showPercent val="0"/>
          <c:showBubbleSize val="0"/>
        </c:dLbls>
        <c:gapWidth val="9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Level</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0398084156856685E-2"/>
          <c:h val="0.71060455766414032"/>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Clarity</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42584432027132E-2"/>
          <c:y val="9.4434123878227791E-2"/>
          <c:w val="0.82788214188249087"/>
          <c:h val="0.72363838859564111"/>
        </c:manualLayout>
      </c:layout>
      <c:barChart>
        <c:barDir val="col"/>
        <c:grouping val="clustered"/>
        <c:varyColors val="0"/>
        <c:ser>
          <c:idx val="0"/>
          <c:order val="0"/>
          <c:tx>
            <c:strRef>
              <c:f>'NO3'!$C$19</c:f>
              <c:strCache>
                <c:ptCount val="1"/>
                <c:pt idx="0">
                  <c:v>0</c:v>
                </c:pt>
              </c:strCache>
            </c:strRef>
          </c:tx>
          <c:spPr>
            <a:solidFill>
              <a:schemeClr val="accent4">
                <a:tint val="48000"/>
              </a:schemeClr>
            </a:solidFill>
            <a:ln>
              <a:noFill/>
            </a:ln>
            <a:effectLst/>
          </c:spPr>
          <c:invertIfNegative val="0"/>
          <c:cat>
            <c:strRef>
              <c:f>'NO3'!$B$47:$B$49</c:f>
              <c:strCache>
                <c:ptCount val="3"/>
                <c:pt idx="0">
                  <c:v>Clear</c:v>
                </c:pt>
                <c:pt idx="1">
                  <c:v>Muddy</c:v>
                </c:pt>
                <c:pt idx="2">
                  <c:v>Murky</c:v>
                </c:pt>
              </c:strCache>
            </c:strRef>
          </c:cat>
          <c:val>
            <c:numRef>
              <c:f>'NO3'!$C$47:$C$49</c:f>
              <c:numCache>
                <c:formatCode>General</c:formatCode>
                <c:ptCount val="3"/>
                <c:pt idx="0">
                  <c:v>165</c:v>
                </c:pt>
                <c:pt idx="1">
                  <c:v>8</c:v>
                </c:pt>
                <c:pt idx="2">
                  <c:v>55</c:v>
                </c:pt>
              </c:numCache>
            </c:numRef>
          </c:val>
          <c:extLst>
            <c:ext xmlns:c16="http://schemas.microsoft.com/office/drawing/2014/chart" uri="{C3380CC4-5D6E-409C-BE32-E72D297353CC}">
              <c16:uniqueId val="{00000000-E7B5-4B81-8F97-20901F407DBF}"/>
            </c:ext>
          </c:extLst>
        </c:ser>
        <c:ser>
          <c:idx val="1"/>
          <c:order val="1"/>
          <c:tx>
            <c:strRef>
              <c:f>'NO3'!$D$19</c:f>
              <c:strCache>
                <c:ptCount val="1"/>
                <c:pt idx="0">
                  <c:v>1</c:v>
                </c:pt>
              </c:strCache>
            </c:strRef>
          </c:tx>
          <c:spPr>
            <a:solidFill>
              <a:schemeClr val="accent4">
                <a:tint val="65000"/>
              </a:schemeClr>
            </a:solidFill>
            <a:ln>
              <a:noFill/>
            </a:ln>
            <a:effectLst/>
          </c:spPr>
          <c:invertIfNegative val="0"/>
          <c:cat>
            <c:strRef>
              <c:f>'NO3'!$B$47:$B$49</c:f>
              <c:strCache>
                <c:ptCount val="3"/>
                <c:pt idx="0">
                  <c:v>Clear</c:v>
                </c:pt>
                <c:pt idx="1">
                  <c:v>Muddy</c:v>
                </c:pt>
                <c:pt idx="2">
                  <c:v>Murky</c:v>
                </c:pt>
              </c:strCache>
            </c:strRef>
          </c:cat>
          <c:val>
            <c:numRef>
              <c:f>'NO3'!$D$47:$D$49</c:f>
              <c:numCache>
                <c:formatCode>General</c:formatCode>
                <c:ptCount val="3"/>
                <c:pt idx="0">
                  <c:v>38</c:v>
                </c:pt>
                <c:pt idx="1">
                  <c:v>6</c:v>
                </c:pt>
                <c:pt idx="2">
                  <c:v>12</c:v>
                </c:pt>
              </c:numCache>
            </c:numRef>
          </c:val>
          <c:extLst>
            <c:ext xmlns:c16="http://schemas.microsoft.com/office/drawing/2014/chart" uri="{C3380CC4-5D6E-409C-BE32-E72D297353CC}">
              <c16:uniqueId val="{00000001-E7B5-4B81-8F97-20901F407DBF}"/>
            </c:ext>
          </c:extLst>
        </c:ser>
        <c:ser>
          <c:idx val="2"/>
          <c:order val="2"/>
          <c:tx>
            <c:strRef>
              <c:f>'NO3'!$E$19</c:f>
              <c:strCache>
                <c:ptCount val="1"/>
                <c:pt idx="0">
                  <c:v>2</c:v>
                </c:pt>
              </c:strCache>
            </c:strRef>
          </c:tx>
          <c:spPr>
            <a:solidFill>
              <a:schemeClr val="accent4">
                <a:tint val="83000"/>
              </a:schemeClr>
            </a:solidFill>
            <a:ln>
              <a:noFill/>
            </a:ln>
            <a:effectLst/>
          </c:spPr>
          <c:invertIfNegative val="0"/>
          <c:cat>
            <c:strRef>
              <c:f>'NO3'!$B$47:$B$49</c:f>
              <c:strCache>
                <c:ptCount val="3"/>
                <c:pt idx="0">
                  <c:v>Clear</c:v>
                </c:pt>
                <c:pt idx="1">
                  <c:v>Muddy</c:v>
                </c:pt>
                <c:pt idx="2">
                  <c:v>Murky</c:v>
                </c:pt>
              </c:strCache>
            </c:strRef>
          </c:cat>
          <c:val>
            <c:numRef>
              <c:f>'NO3'!$E$47:$E$49</c:f>
              <c:numCache>
                <c:formatCode>General</c:formatCode>
                <c:ptCount val="3"/>
                <c:pt idx="0">
                  <c:v>436</c:v>
                </c:pt>
                <c:pt idx="1">
                  <c:v>42</c:v>
                </c:pt>
                <c:pt idx="2">
                  <c:v>112</c:v>
                </c:pt>
              </c:numCache>
            </c:numRef>
          </c:val>
          <c:extLst>
            <c:ext xmlns:c16="http://schemas.microsoft.com/office/drawing/2014/chart" uri="{C3380CC4-5D6E-409C-BE32-E72D297353CC}">
              <c16:uniqueId val="{00000002-E7B5-4B81-8F97-20901F407DBF}"/>
            </c:ext>
          </c:extLst>
        </c:ser>
        <c:ser>
          <c:idx val="3"/>
          <c:order val="3"/>
          <c:tx>
            <c:strRef>
              <c:f>'NO3'!$F$19</c:f>
              <c:strCache>
                <c:ptCount val="1"/>
                <c:pt idx="0">
                  <c:v>5</c:v>
                </c:pt>
              </c:strCache>
            </c:strRef>
          </c:tx>
          <c:spPr>
            <a:solidFill>
              <a:schemeClr val="accent4"/>
            </a:solidFill>
            <a:ln>
              <a:noFill/>
            </a:ln>
            <a:effectLst/>
          </c:spPr>
          <c:invertIfNegative val="0"/>
          <c:cat>
            <c:strRef>
              <c:f>'NO3'!$B$47:$B$49</c:f>
              <c:strCache>
                <c:ptCount val="3"/>
                <c:pt idx="0">
                  <c:v>Clear</c:v>
                </c:pt>
                <c:pt idx="1">
                  <c:v>Muddy</c:v>
                </c:pt>
                <c:pt idx="2">
                  <c:v>Murky</c:v>
                </c:pt>
              </c:strCache>
            </c:strRef>
          </c:cat>
          <c:val>
            <c:numRef>
              <c:f>'NO3'!$F$47:$F$49</c:f>
              <c:numCache>
                <c:formatCode>General</c:formatCode>
                <c:ptCount val="3"/>
                <c:pt idx="0">
                  <c:v>568</c:v>
                </c:pt>
                <c:pt idx="1">
                  <c:v>18</c:v>
                </c:pt>
                <c:pt idx="2">
                  <c:v>107</c:v>
                </c:pt>
              </c:numCache>
            </c:numRef>
          </c:val>
          <c:extLst>
            <c:ext xmlns:c16="http://schemas.microsoft.com/office/drawing/2014/chart" uri="{C3380CC4-5D6E-409C-BE32-E72D297353CC}">
              <c16:uniqueId val="{00000003-E7B5-4B81-8F97-20901F407DBF}"/>
            </c:ext>
          </c:extLst>
        </c:ser>
        <c:ser>
          <c:idx val="4"/>
          <c:order val="4"/>
          <c:tx>
            <c:strRef>
              <c:f>'NO3'!$G$19</c:f>
              <c:strCache>
                <c:ptCount val="1"/>
                <c:pt idx="0">
                  <c:v>10</c:v>
                </c:pt>
              </c:strCache>
            </c:strRef>
          </c:tx>
          <c:spPr>
            <a:solidFill>
              <a:schemeClr val="accent4">
                <a:shade val="82000"/>
              </a:schemeClr>
            </a:solidFill>
            <a:ln>
              <a:noFill/>
            </a:ln>
            <a:effectLst/>
          </c:spPr>
          <c:invertIfNegative val="0"/>
          <c:cat>
            <c:strRef>
              <c:f>'NO3'!$B$47:$B$49</c:f>
              <c:strCache>
                <c:ptCount val="3"/>
                <c:pt idx="0">
                  <c:v>Clear</c:v>
                </c:pt>
                <c:pt idx="1">
                  <c:v>Muddy</c:v>
                </c:pt>
                <c:pt idx="2">
                  <c:v>Murky</c:v>
                </c:pt>
              </c:strCache>
            </c:strRef>
          </c:cat>
          <c:val>
            <c:numRef>
              <c:f>'NO3'!$G$47:$G$49</c:f>
              <c:numCache>
                <c:formatCode>General</c:formatCode>
                <c:ptCount val="3"/>
                <c:pt idx="0">
                  <c:v>104</c:v>
                </c:pt>
                <c:pt idx="1">
                  <c:v>7</c:v>
                </c:pt>
                <c:pt idx="2">
                  <c:v>23</c:v>
                </c:pt>
              </c:numCache>
            </c:numRef>
          </c:val>
          <c:extLst>
            <c:ext xmlns:c16="http://schemas.microsoft.com/office/drawing/2014/chart" uri="{C3380CC4-5D6E-409C-BE32-E72D297353CC}">
              <c16:uniqueId val="{00000004-E7B5-4B81-8F97-20901F407DBF}"/>
            </c:ext>
          </c:extLst>
        </c:ser>
        <c:ser>
          <c:idx val="5"/>
          <c:order val="5"/>
          <c:tx>
            <c:strRef>
              <c:f>'NO3'!$H$19</c:f>
              <c:strCache>
                <c:ptCount val="1"/>
                <c:pt idx="0">
                  <c:v>20</c:v>
                </c:pt>
              </c:strCache>
            </c:strRef>
          </c:tx>
          <c:spPr>
            <a:solidFill>
              <a:schemeClr val="accent4">
                <a:shade val="65000"/>
              </a:schemeClr>
            </a:solidFill>
            <a:ln>
              <a:noFill/>
            </a:ln>
            <a:effectLst/>
          </c:spPr>
          <c:invertIfNegative val="0"/>
          <c:cat>
            <c:strRef>
              <c:f>'NO3'!$B$47:$B$49</c:f>
              <c:strCache>
                <c:ptCount val="3"/>
                <c:pt idx="0">
                  <c:v>Clear</c:v>
                </c:pt>
                <c:pt idx="1">
                  <c:v>Muddy</c:v>
                </c:pt>
                <c:pt idx="2">
                  <c:v>Murky</c:v>
                </c:pt>
              </c:strCache>
            </c:strRef>
          </c:cat>
          <c:val>
            <c:numRef>
              <c:f>'NO3'!$H$47:$H$49</c:f>
              <c:numCache>
                <c:formatCode>General</c:formatCode>
                <c:ptCount val="3"/>
                <c:pt idx="0">
                  <c:v>10</c:v>
                </c:pt>
                <c:pt idx="1">
                  <c:v>4</c:v>
                </c:pt>
                <c:pt idx="2">
                  <c:v>14</c:v>
                </c:pt>
              </c:numCache>
            </c:numRef>
          </c:val>
          <c:extLst>
            <c:ext xmlns:c16="http://schemas.microsoft.com/office/drawing/2014/chart" uri="{C3380CC4-5D6E-409C-BE32-E72D297353CC}">
              <c16:uniqueId val="{00000005-E7B5-4B81-8F97-20901F407DBF}"/>
            </c:ext>
          </c:extLst>
        </c:ser>
        <c:ser>
          <c:idx val="6"/>
          <c:order val="6"/>
          <c:tx>
            <c:strRef>
              <c:f>'NO3'!$I$19</c:f>
              <c:strCache>
                <c:ptCount val="1"/>
                <c:pt idx="0">
                  <c:v>50</c:v>
                </c:pt>
              </c:strCache>
            </c:strRef>
          </c:tx>
          <c:spPr>
            <a:solidFill>
              <a:schemeClr val="accent4">
                <a:shade val="47000"/>
              </a:schemeClr>
            </a:solidFill>
            <a:ln>
              <a:noFill/>
            </a:ln>
            <a:effectLst/>
          </c:spPr>
          <c:invertIfNegative val="0"/>
          <c:cat>
            <c:strRef>
              <c:f>'NO3'!$B$47:$B$49</c:f>
              <c:strCache>
                <c:ptCount val="3"/>
                <c:pt idx="0">
                  <c:v>Clear</c:v>
                </c:pt>
                <c:pt idx="1">
                  <c:v>Muddy</c:v>
                </c:pt>
                <c:pt idx="2">
                  <c:v>Murky</c:v>
                </c:pt>
              </c:strCache>
            </c:strRef>
          </c:cat>
          <c:val>
            <c:numRef>
              <c:f>'NO3'!$I$47:$I$49</c:f>
              <c:numCache>
                <c:formatCode>General</c:formatCode>
                <c:ptCount val="3"/>
                <c:pt idx="0">
                  <c:v>0</c:v>
                </c:pt>
                <c:pt idx="1">
                  <c:v>0</c:v>
                </c:pt>
                <c:pt idx="2">
                  <c:v>0</c:v>
                </c:pt>
              </c:numCache>
            </c:numRef>
          </c:val>
          <c:extLst>
            <c:ext xmlns:c16="http://schemas.microsoft.com/office/drawing/2014/chart" uri="{C3380CC4-5D6E-409C-BE32-E72D297353CC}">
              <c16:uniqueId val="{00000006-E7B5-4B81-8F97-20901F407DBF}"/>
            </c:ext>
          </c:extLst>
        </c:ser>
        <c:dLbls>
          <c:showLegendKey val="0"/>
          <c:showVal val="0"/>
          <c:showCatName val="0"/>
          <c:showSerName val="0"/>
          <c:showPercent val="0"/>
          <c:showBubbleSize val="0"/>
        </c:dLbls>
        <c:gapWidth val="10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Clarity</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0485020973538153E-2"/>
          <c:h val="0.64321739559134605"/>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1857827429902705E-2"/>
          <c:y val="0.10704999325644636"/>
          <c:w val="0.86503906698371491"/>
          <c:h val="0.73694233686611899"/>
        </c:manualLayout>
      </c:layout>
      <c:barChart>
        <c:barDir val="col"/>
        <c:grouping val="clustered"/>
        <c:varyColors val="0"/>
        <c:ser>
          <c:idx val="1"/>
          <c:order val="0"/>
          <c:tx>
            <c:strRef>
              <c:f>'NO3'!$O$62</c:f>
              <c:strCache>
                <c:ptCount val="1"/>
                <c:pt idx="0">
                  <c:v>Hay Creek @ 320th St</c:v>
                </c:pt>
              </c:strCache>
            </c:strRef>
          </c:tx>
          <c:spPr>
            <a:solidFill>
              <a:schemeClr val="accent2"/>
            </a:solidFill>
            <a:ln>
              <a:noFill/>
            </a:ln>
            <a:effectLst/>
          </c:spPr>
          <c:invertIfNegative val="0"/>
          <c:cat>
            <c:numRef>
              <c:f>'NO3'!$P$85:$V$85</c:f>
              <c:numCache>
                <c:formatCode>General</c:formatCode>
                <c:ptCount val="7"/>
                <c:pt idx="0">
                  <c:v>0</c:v>
                </c:pt>
                <c:pt idx="1">
                  <c:v>1</c:v>
                </c:pt>
                <c:pt idx="2">
                  <c:v>2</c:v>
                </c:pt>
                <c:pt idx="3">
                  <c:v>5</c:v>
                </c:pt>
                <c:pt idx="4">
                  <c:v>10</c:v>
                </c:pt>
                <c:pt idx="5">
                  <c:v>20</c:v>
                </c:pt>
                <c:pt idx="6">
                  <c:v>50</c:v>
                </c:pt>
              </c:numCache>
            </c:numRef>
          </c:cat>
          <c:val>
            <c:numRef>
              <c:f>'NO3'!$P$86:$V$86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AC4E-4DDE-AB0D-F4FFBED57405}"/>
            </c:ext>
          </c:extLst>
        </c:ser>
        <c:dLbls>
          <c:showLegendKey val="0"/>
          <c:showVal val="0"/>
          <c:showCatName val="0"/>
          <c:showSerName val="0"/>
          <c:showPercent val="0"/>
          <c:showBubbleSize val="0"/>
        </c:dLbls>
        <c:gapWidth val="219"/>
        <c:overlap val="-27"/>
        <c:axId val="549948080"/>
        <c:axId val="549943088"/>
      </c:barChart>
      <c:catAx>
        <c:axId val="549948080"/>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i="0" u="none" strike="noStrike" kern="1200" baseline="0">
                    <a:solidFill>
                      <a:sysClr val="windowText" lastClr="000000">
                        <a:lumMod val="65000"/>
                        <a:lumOff val="35000"/>
                      </a:sysClr>
                    </a:solidFill>
                  </a:rPr>
                  <a:t>Nitrate (NO3) [ppm]</a:t>
                </a:r>
              </a:p>
            </c:rich>
          </c:tx>
          <c:layout>
            <c:manualLayout>
              <c:xMode val="edge"/>
              <c:yMode val="edge"/>
              <c:x val="0.40830792677282501"/>
              <c:y val="0.90751473738072674"/>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3088"/>
        <c:crosses val="autoZero"/>
        <c:auto val="1"/>
        <c:lblAlgn val="ctr"/>
        <c:lblOffset val="100"/>
        <c:noMultiLvlLbl val="0"/>
      </c:catAx>
      <c:valAx>
        <c:axId val="5499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Occurrences</a:t>
                </a:r>
              </a:p>
            </c:rich>
          </c:tx>
          <c:layout>
            <c:manualLayout>
              <c:xMode val="edge"/>
              <c:yMode val="edge"/>
              <c:x val="5.4122823842005143E-3"/>
              <c:y val="0.38168714595989989"/>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08913699140349E-2"/>
          <c:y val="5.0154834149034724E-2"/>
          <c:w val="0.80272363730851837"/>
          <c:h val="0.7323250953327477"/>
        </c:manualLayout>
      </c:layout>
      <c:barChart>
        <c:barDir val="col"/>
        <c:grouping val="clustered"/>
        <c:varyColors val="0"/>
        <c:ser>
          <c:idx val="0"/>
          <c:order val="0"/>
          <c:tx>
            <c:v>Observations</c:v>
          </c:tx>
          <c:spPr>
            <a:solidFill>
              <a:schemeClr val="accent1"/>
            </a:solidFill>
            <a:ln>
              <a:noFill/>
            </a:ln>
            <a:effectLst>
              <a:outerShdw blurRad="50800" dist="38100" dir="2700000" algn="tl" rotWithShape="0">
                <a:prstClr val="black">
                  <a:alpha val="40000"/>
                </a:prstClr>
              </a:outerShdw>
            </a:effectLst>
          </c:spPr>
          <c:invertIfNegative val="0"/>
          <c:cat>
            <c:numRef>
              <c:f>OPhos!$B$7:$B$13</c:f>
              <c:numCache>
                <c:formatCode>General</c:formatCode>
                <c:ptCount val="7"/>
                <c:pt idx="0">
                  <c:v>0</c:v>
                </c:pt>
                <c:pt idx="1">
                  <c:v>100</c:v>
                </c:pt>
                <c:pt idx="2">
                  <c:v>200</c:v>
                </c:pt>
                <c:pt idx="3">
                  <c:v>300</c:v>
                </c:pt>
                <c:pt idx="4">
                  <c:v>500</c:v>
                </c:pt>
                <c:pt idx="5">
                  <c:v>1000</c:v>
                </c:pt>
                <c:pt idx="6">
                  <c:v>2500</c:v>
                </c:pt>
              </c:numCache>
            </c:numRef>
          </c:cat>
          <c:val>
            <c:numRef>
              <c:f>OPhos!$C$7:$C$13</c:f>
              <c:numCache>
                <c:formatCode>General</c:formatCode>
                <c:ptCount val="7"/>
                <c:pt idx="0">
                  <c:v>1155</c:v>
                </c:pt>
                <c:pt idx="1">
                  <c:v>480</c:v>
                </c:pt>
                <c:pt idx="2">
                  <c:v>148</c:v>
                </c:pt>
                <c:pt idx="3">
                  <c:v>42</c:v>
                </c:pt>
                <c:pt idx="4">
                  <c:v>16</c:v>
                </c:pt>
                <c:pt idx="5">
                  <c:v>4</c:v>
                </c:pt>
                <c:pt idx="6">
                  <c:v>5</c:v>
                </c:pt>
              </c:numCache>
            </c:numRef>
          </c:val>
          <c:extLst>
            <c:ext xmlns:c16="http://schemas.microsoft.com/office/drawing/2014/chart" uri="{C3380CC4-5D6E-409C-BE32-E72D297353CC}">
              <c16:uniqueId val="{00000000-A37D-4EFF-AFCB-B6E77E40E56B}"/>
            </c:ext>
          </c:extLst>
        </c:ser>
        <c:dLbls>
          <c:showLegendKey val="0"/>
          <c:showVal val="0"/>
          <c:showCatName val="0"/>
          <c:showSerName val="0"/>
          <c:showPercent val="0"/>
          <c:showBubbleSize val="0"/>
        </c:dLbls>
        <c:gapWidth val="52"/>
        <c:axId val="763072256"/>
        <c:axId val="763065696"/>
      </c:barChart>
      <c:lineChart>
        <c:grouping val="standard"/>
        <c:varyColors val="0"/>
        <c:ser>
          <c:idx val="1"/>
          <c:order val="1"/>
          <c:tx>
            <c:v>Cum. %</c:v>
          </c:tx>
          <c:spPr>
            <a:ln w="28575" cap="rnd">
              <a:solidFill>
                <a:schemeClr val="accent2"/>
              </a:solidFill>
              <a:round/>
            </a:ln>
            <a:effectLst/>
          </c:spPr>
          <c:marker>
            <c:symbol val="none"/>
          </c:marker>
          <c:cat>
            <c:numRef>
              <c:f>OPhos!$B$7:$B$13</c:f>
              <c:numCache>
                <c:formatCode>General</c:formatCode>
                <c:ptCount val="7"/>
                <c:pt idx="0">
                  <c:v>0</c:v>
                </c:pt>
                <c:pt idx="1">
                  <c:v>100</c:v>
                </c:pt>
                <c:pt idx="2">
                  <c:v>200</c:v>
                </c:pt>
                <c:pt idx="3">
                  <c:v>300</c:v>
                </c:pt>
                <c:pt idx="4">
                  <c:v>500</c:v>
                </c:pt>
                <c:pt idx="5">
                  <c:v>1000</c:v>
                </c:pt>
                <c:pt idx="6">
                  <c:v>2500</c:v>
                </c:pt>
              </c:numCache>
            </c:numRef>
          </c:cat>
          <c:val>
            <c:numRef>
              <c:f>OPhos!$E$7:$E$13</c:f>
              <c:numCache>
                <c:formatCode>0%</c:formatCode>
                <c:ptCount val="7"/>
                <c:pt idx="0">
                  <c:v>0.62432432432432428</c:v>
                </c:pt>
                <c:pt idx="1">
                  <c:v>0.88378378378378375</c:v>
                </c:pt>
                <c:pt idx="2">
                  <c:v>0.96378378378378371</c:v>
                </c:pt>
                <c:pt idx="3">
                  <c:v>0.9864864864864864</c:v>
                </c:pt>
                <c:pt idx="4">
                  <c:v>0.99513513513513507</c:v>
                </c:pt>
                <c:pt idx="5">
                  <c:v>0.99729729729729721</c:v>
                </c:pt>
                <c:pt idx="6">
                  <c:v>0.99999999999999989</c:v>
                </c:pt>
              </c:numCache>
            </c:numRef>
          </c:val>
          <c:smooth val="0"/>
          <c:extLst>
            <c:ext xmlns:c16="http://schemas.microsoft.com/office/drawing/2014/chart" uri="{C3380CC4-5D6E-409C-BE32-E72D297353CC}">
              <c16:uniqueId val="{00000001-A37D-4EFF-AFCB-B6E77E40E56B}"/>
            </c:ext>
          </c:extLst>
        </c:ser>
        <c:dLbls>
          <c:showLegendKey val="0"/>
          <c:showVal val="0"/>
          <c:showCatName val="0"/>
          <c:showSerName val="0"/>
          <c:showPercent val="0"/>
          <c:showBubbleSize val="0"/>
        </c:dLbls>
        <c:marker val="1"/>
        <c:smooth val="0"/>
        <c:axId val="449691463"/>
        <c:axId val="449693759"/>
      </c:lineChart>
      <c:catAx>
        <c:axId val="7630722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Ortho-Phosphate [ppb]</a:t>
                </a:r>
              </a:p>
            </c:rich>
          </c:tx>
          <c:layout>
            <c:manualLayout>
              <c:xMode val="edge"/>
              <c:yMode val="edge"/>
              <c:x val="0.41860844133240843"/>
              <c:y val="0.8646952337891674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65696"/>
        <c:crosses val="autoZero"/>
        <c:auto val="1"/>
        <c:lblAlgn val="ctr"/>
        <c:lblOffset val="100"/>
        <c:noMultiLvlLbl val="0"/>
      </c:catAx>
      <c:valAx>
        <c:axId val="7630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Observations</a:t>
                </a:r>
              </a:p>
            </c:rich>
          </c:tx>
          <c:layout>
            <c:manualLayout>
              <c:xMode val="edge"/>
              <c:yMode val="edge"/>
              <c:x val="1.3013371646455803E-2"/>
              <c:y val="0.2542825786323733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3072256"/>
        <c:crosses val="autoZero"/>
        <c:crossBetween val="between"/>
      </c:valAx>
      <c:valAx>
        <c:axId val="449693759"/>
        <c:scaling>
          <c:orientation val="minMax"/>
          <c:max val="1.05"/>
          <c:min val="0"/>
        </c:scaling>
        <c:delete val="0"/>
        <c:axPos val="r"/>
        <c:title>
          <c:tx>
            <c:rich>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Cumulative %</a:t>
                </a:r>
              </a:p>
            </c:rich>
          </c:tx>
          <c:overlay val="0"/>
          <c:spPr>
            <a:noFill/>
            <a:ln>
              <a:noFill/>
            </a:ln>
            <a:effectLst/>
          </c:spPr>
          <c:txPr>
            <a:bodyPr rot="5400000" spcFirstLastPara="1" vertOverflow="ellipsis"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1463"/>
        <c:crosses val="max"/>
        <c:crossBetween val="between"/>
      </c:valAx>
      <c:catAx>
        <c:axId val="449691463"/>
        <c:scaling>
          <c:orientation val="minMax"/>
        </c:scaling>
        <c:delete val="1"/>
        <c:axPos val="b"/>
        <c:numFmt formatCode="General" sourceLinked="1"/>
        <c:majorTickMark val="out"/>
        <c:minorTickMark val="none"/>
        <c:tickLblPos val="nextTo"/>
        <c:crossAx val="449693759"/>
        <c:crosses val="autoZero"/>
        <c:auto val="1"/>
        <c:lblAlgn val="ctr"/>
        <c:lblOffset val="100"/>
        <c:noMultiLvlLbl val="0"/>
      </c:catAx>
      <c:spPr>
        <a:noFill/>
        <a:ln>
          <a:noFill/>
        </a:ln>
        <a:effectLst/>
      </c:spPr>
    </c:plotArea>
    <c:legend>
      <c:legendPos val="r"/>
      <c:layout>
        <c:manualLayout>
          <c:xMode val="edge"/>
          <c:yMode val="edge"/>
          <c:x val="0.74147672565005074"/>
          <c:y val="0.88980950512280221"/>
          <c:w val="0.24216119447333234"/>
          <c:h val="0.1052374574521630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Weather</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20981370025886E-2"/>
          <c:y val="9.4434123878227791E-2"/>
          <c:w val="0.81303636113763489"/>
          <c:h val="0.71953270816267678"/>
        </c:manualLayout>
      </c:layout>
      <c:barChart>
        <c:barDir val="col"/>
        <c:grouping val="clustered"/>
        <c:varyColors val="0"/>
        <c:ser>
          <c:idx val="0"/>
          <c:order val="0"/>
          <c:tx>
            <c:strRef>
              <c:f>OPhos!$C$19</c:f>
              <c:strCache>
                <c:ptCount val="1"/>
                <c:pt idx="0">
                  <c:v>0</c:v>
                </c:pt>
              </c:strCache>
            </c:strRef>
          </c:tx>
          <c:spPr>
            <a:solidFill>
              <a:schemeClr val="accent3">
                <a:tint val="48000"/>
              </a:schemeClr>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OPhos!$C$20:$C$25</c:f>
              <c:numCache>
                <c:formatCode>General</c:formatCode>
                <c:ptCount val="6"/>
                <c:pt idx="0">
                  <c:v>47</c:v>
                </c:pt>
                <c:pt idx="1">
                  <c:v>108</c:v>
                </c:pt>
                <c:pt idx="2">
                  <c:v>6</c:v>
                </c:pt>
                <c:pt idx="3">
                  <c:v>5</c:v>
                </c:pt>
                <c:pt idx="4">
                  <c:v>13</c:v>
                </c:pt>
                <c:pt idx="5">
                  <c:v>871</c:v>
                </c:pt>
              </c:numCache>
            </c:numRef>
          </c:val>
          <c:extLst>
            <c:ext xmlns:c16="http://schemas.microsoft.com/office/drawing/2014/chart" uri="{C3380CC4-5D6E-409C-BE32-E72D297353CC}">
              <c16:uniqueId val="{00000000-8A40-4B0B-AD3C-BD917B348B52}"/>
            </c:ext>
          </c:extLst>
        </c:ser>
        <c:ser>
          <c:idx val="1"/>
          <c:order val="1"/>
          <c:tx>
            <c:strRef>
              <c:f>OPhos!$D$19</c:f>
              <c:strCache>
                <c:ptCount val="1"/>
                <c:pt idx="0">
                  <c:v>100</c:v>
                </c:pt>
              </c:strCache>
            </c:strRef>
          </c:tx>
          <c:spPr>
            <a:solidFill>
              <a:schemeClr val="accent3">
                <a:tint val="65000"/>
              </a:schemeClr>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OPhos!$D$20:$D$25</c:f>
              <c:numCache>
                <c:formatCode>General</c:formatCode>
                <c:ptCount val="6"/>
                <c:pt idx="0">
                  <c:v>24</c:v>
                </c:pt>
                <c:pt idx="1">
                  <c:v>85</c:v>
                </c:pt>
                <c:pt idx="2">
                  <c:v>1</c:v>
                </c:pt>
                <c:pt idx="3">
                  <c:v>0</c:v>
                </c:pt>
                <c:pt idx="4">
                  <c:v>5</c:v>
                </c:pt>
                <c:pt idx="5">
                  <c:v>316</c:v>
                </c:pt>
              </c:numCache>
            </c:numRef>
          </c:val>
          <c:extLst>
            <c:ext xmlns:c16="http://schemas.microsoft.com/office/drawing/2014/chart" uri="{C3380CC4-5D6E-409C-BE32-E72D297353CC}">
              <c16:uniqueId val="{00000001-8A40-4B0B-AD3C-BD917B348B52}"/>
            </c:ext>
          </c:extLst>
        </c:ser>
        <c:ser>
          <c:idx val="2"/>
          <c:order val="2"/>
          <c:tx>
            <c:strRef>
              <c:f>OPhos!$E$19</c:f>
              <c:strCache>
                <c:ptCount val="1"/>
                <c:pt idx="0">
                  <c:v>200</c:v>
                </c:pt>
              </c:strCache>
            </c:strRef>
          </c:tx>
          <c:spPr>
            <a:solidFill>
              <a:schemeClr val="accent3">
                <a:tint val="83000"/>
              </a:schemeClr>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OPhos!$E$20:$E$25</c:f>
              <c:numCache>
                <c:formatCode>General</c:formatCode>
                <c:ptCount val="6"/>
                <c:pt idx="0">
                  <c:v>9</c:v>
                </c:pt>
                <c:pt idx="1">
                  <c:v>26</c:v>
                </c:pt>
                <c:pt idx="2">
                  <c:v>1</c:v>
                </c:pt>
                <c:pt idx="3">
                  <c:v>0</c:v>
                </c:pt>
                <c:pt idx="4">
                  <c:v>3</c:v>
                </c:pt>
                <c:pt idx="5">
                  <c:v>90</c:v>
                </c:pt>
              </c:numCache>
            </c:numRef>
          </c:val>
          <c:extLst>
            <c:ext xmlns:c16="http://schemas.microsoft.com/office/drawing/2014/chart" uri="{C3380CC4-5D6E-409C-BE32-E72D297353CC}">
              <c16:uniqueId val="{00000002-8A40-4B0B-AD3C-BD917B348B52}"/>
            </c:ext>
          </c:extLst>
        </c:ser>
        <c:ser>
          <c:idx val="3"/>
          <c:order val="3"/>
          <c:tx>
            <c:strRef>
              <c:f>OPhos!$F$19</c:f>
              <c:strCache>
                <c:ptCount val="1"/>
                <c:pt idx="0">
                  <c:v>300</c:v>
                </c:pt>
              </c:strCache>
            </c:strRef>
          </c:tx>
          <c:spPr>
            <a:solidFill>
              <a:schemeClr val="accent3"/>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OPhos!$F$20:$F$25</c:f>
              <c:numCache>
                <c:formatCode>General</c:formatCode>
                <c:ptCount val="6"/>
                <c:pt idx="0">
                  <c:v>3</c:v>
                </c:pt>
                <c:pt idx="1">
                  <c:v>8</c:v>
                </c:pt>
                <c:pt idx="2">
                  <c:v>0</c:v>
                </c:pt>
                <c:pt idx="3">
                  <c:v>0</c:v>
                </c:pt>
                <c:pt idx="4">
                  <c:v>0</c:v>
                </c:pt>
                <c:pt idx="5">
                  <c:v>23</c:v>
                </c:pt>
              </c:numCache>
            </c:numRef>
          </c:val>
          <c:extLst>
            <c:ext xmlns:c16="http://schemas.microsoft.com/office/drawing/2014/chart" uri="{C3380CC4-5D6E-409C-BE32-E72D297353CC}">
              <c16:uniqueId val="{00000003-8A40-4B0B-AD3C-BD917B348B52}"/>
            </c:ext>
          </c:extLst>
        </c:ser>
        <c:ser>
          <c:idx val="4"/>
          <c:order val="4"/>
          <c:tx>
            <c:strRef>
              <c:f>OPhos!$G$19</c:f>
              <c:strCache>
                <c:ptCount val="1"/>
                <c:pt idx="0">
                  <c:v>500</c:v>
                </c:pt>
              </c:strCache>
            </c:strRef>
          </c:tx>
          <c:spPr>
            <a:solidFill>
              <a:schemeClr val="accent3">
                <a:shade val="82000"/>
              </a:schemeClr>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OPhos!$G$20:$G$25</c:f>
              <c:numCache>
                <c:formatCode>General</c:formatCode>
                <c:ptCount val="6"/>
                <c:pt idx="0">
                  <c:v>3</c:v>
                </c:pt>
                <c:pt idx="1">
                  <c:v>2</c:v>
                </c:pt>
                <c:pt idx="2">
                  <c:v>0</c:v>
                </c:pt>
                <c:pt idx="3">
                  <c:v>0</c:v>
                </c:pt>
                <c:pt idx="4">
                  <c:v>0</c:v>
                </c:pt>
                <c:pt idx="5">
                  <c:v>7</c:v>
                </c:pt>
              </c:numCache>
            </c:numRef>
          </c:val>
          <c:extLst>
            <c:ext xmlns:c16="http://schemas.microsoft.com/office/drawing/2014/chart" uri="{C3380CC4-5D6E-409C-BE32-E72D297353CC}">
              <c16:uniqueId val="{00000004-8A40-4B0B-AD3C-BD917B348B52}"/>
            </c:ext>
          </c:extLst>
        </c:ser>
        <c:ser>
          <c:idx val="5"/>
          <c:order val="5"/>
          <c:tx>
            <c:strRef>
              <c:f>OPhos!$H$19</c:f>
              <c:strCache>
                <c:ptCount val="1"/>
                <c:pt idx="0">
                  <c:v>1000</c:v>
                </c:pt>
              </c:strCache>
            </c:strRef>
          </c:tx>
          <c:spPr>
            <a:solidFill>
              <a:schemeClr val="accent3">
                <a:shade val="65000"/>
              </a:schemeClr>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OPhos!$H$20:$H$25</c:f>
              <c:numCache>
                <c:formatCode>General</c:formatCode>
                <c:ptCount val="6"/>
                <c:pt idx="0">
                  <c:v>1</c:v>
                </c:pt>
                <c:pt idx="1">
                  <c:v>0</c:v>
                </c:pt>
                <c:pt idx="2">
                  <c:v>0</c:v>
                </c:pt>
                <c:pt idx="3">
                  <c:v>0</c:v>
                </c:pt>
                <c:pt idx="4">
                  <c:v>0</c:v>
                </c:pt>
                <c:pt idx="5">
                  <c:v>3</c:v>
                </c:pt>
              </c:numCache>
            </c:numRef>
          </c:val>
          <c:extLst>
            <c:ext xmlns:c16="http://schemas.microsoft.com/office/drawing/2014/chart" uri="{C3380CC4-5D6E-409C-BE32-E72D297353CC}">
              <c16:uniqueId val="{00000005-8A40-4B0B-AD3C-BD917B348B52}"/>
            </c:ext>
          </c:extLst>
        </c:ser>
        <c:ser>
          <c:idx val="6"/>
          <c:order val="6"/>
          <c:tx>
            <c:v>9</c:v>
          </c:tx>
          <c:spPr>
            <a:solidFill>
              <a:schemeClr val="accent3">
                <a:shade val="47000"/>
              </a:schemeClr>
            </a:solidFill>
            <a:ln>
              <a:noFill/>
            </a:ln>
            <a:effectLst/>
          </c:spPr>
          <c:invertIfNegative val="0"/>
          <c:cat>
            <c:strRef>
              <c:f>OPhos!$L$20:$L$25</c:f>
              <c:strCache>
                <c:ptCount val="6"/>
                <c:pt idx="0">
                  <c:v>LT</c:v>
                </c:pt>
                <c:pt idx="1">
                  <c:v>RR</c:v>
                </c:pt>
                <c:pt idx="2">
                  <c:v>RR, LT</c:v>
                </c:pt>
                <c:pt idx="3">
                  <c:v>RR, SM</c:v>
                </c:pt>
                <c:pt idx="4">
                  <c:v>SM</c:v>
                </c:pt>
                <c:pt idx="5">
                  <c:v>None</c:v>
                </c:pt>
              </c:strCache>
            </c:strRef>
          </c:cat>
          <c:val>
            <c:numRef>
              <c:f>OPhos!$I$20:$I$25</c:f>
              <c:numCache>
                <c:formatCode>General</c:formatCode>
                <c:ptCount val="6"/>
                <c:pt idx="0">
                  <c:v>0</c:v>
                </c:pt>
                <c:pt idx="1">
                  <c:v>0</c:v>
                </c:pt>
                <c:pt idx="2">
                  <c:v>0</c:v>
                </c:pt>
                <c:pt idx="3">
                  <c:v>0</c:v>
                </c:pt>
                <c:pt idx="4">
                  <c:v>1</c:v>
                </c:pt>
                <c:pt idx="5">
                  <c:v>3</c:v>
                </c:pt>
              </c:numCache>
            </c:numRef>
          </c:val>
          <c:extLst>
            <c:ext xmlns:c16="http://schemas.microsoft.com/office/drawing/2014/chart" uri="{C3380CC4-5D6E-409C-BE32-E72D297353CC}">
              <c16:uniqueId val="{00000006-8A40-4B0B-AD3C-BD917B348B52}"/>
            </c:ext>
          </c:extLst>
        </c:ser>
        <c:dLbls>
          <c:showLegendKey val="0"/>
          <c:showVal val="0"/>
          <c:showCatName val="0"/>
          <c:showSerName val="0"/>
          <c:showPercent val="0"/>
          <c:showBubbleSize val="0"/>
        </c:dLbls>
        <c:gapWidth val="97"/>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Weather Conditions</a:t>
                </a:r>
              </a:p>
            </c:rich>
          </c:tx>
          <c:layout>
            <c:manualLayout>
              <c:xMode val="edge"/>
              <c:yMode val="edge"/>
              <c:x val="0.39586177207579076"/>
              <c:y val="0.91272329167839727"/>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259047489806289"/>
          <c:y val="0.16075375331047909"/>
          <c:w val="6.0341178475145703E-2"/>
          <c:h val="0.6664798274701127"/>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Level</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729364057854791E-2"/>
          <c:y val="9.4434123878227791E-2"/>
          <c:w val="0.81112811183411782"/>
          <c:h val="0.74885122318014552"/>
        </c:manualLayout>
      </c:layout>
      <c:barChart>
        <c:barDir val="col"/>
        <c:grouping val="clustered"/>
        <c:varyColors val="0"/>
        <c:ser>
          <c:idx val="0"/>
          <c:order val="0"/>
          <c:tx>
            <c:strRef>
              <c:f>OPhos!$C$19</c:f>
              <c:strCache>
                <c:ptCount val="1"/>
                <c:pt idx="0">
                  <c:v>0</c:v>
                </c:pt>
              </c:strCache>
            </c:strRef>
          </c:tx>
          <c:spPr>
            <a:solidFill>
              <a:schemeClr val="accent1">
                <a:tint val="48000"/>
              </a:schemeClr>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OPhos!$C$31:$C$34</c:f>
              <c:numCache>
                <c:formatCode>General</c:formatCode>
                <c:ptCount val="4"/>
                <c:pt idx="0">
                  <c:v>873</c:v>
                </c:pt>
                <c:pt idx="1">
                  <c:v>153</c:v>
                </c:pt>
                <c:pt idx="2">
                  <c:v>41</c:v>
                </c:pt>
                <c:pt idx="3">
                  <c:v>1</c:v>
                </c:pt>
              </c:numCache>
            </c:numRef>
          </c:val>
          <c:extLst>
            <c:ext xmlns:c16="http://schemas.microsoft.com/office/drawing/2014/chart" uri="{C3380CC4-5D6E-409C-BE32-E72D297353CC}">
              <c16:uniqueId val="{00000000-5DBD-4B28-92E9-40DA7915CD28}"/>
            </c:ext>
          </c:extLst>
        </c:ser>
        <c:ser>
          <c:idx val="1"/>
          <c:order val="1"/>
          <c:tx>
            <c:strRef>
              <c:f>OPhos!$D$19</c:f>
              <c:strCache>
                <c:ptCount val="1"/>
                <c:pt idx="0">
                  <c:v>100</c:v>
                </c:pt>
              </c:strCache>
            </c:strRef>
          </c:tx>
          <c:spPr>
            <a:solidFill>
              <a:schemeClr val="accent1">
                <a:tint val="65000"/>
              </a:schemeClr>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OPhos!$D$31:$D$34</c:f>
              <c:numCache>
                <c:formatCode>General</c:formatCode>
                <c:ptCount val="4"/>
                <c:pt idx="0">
                  <c:v>309</c:v>
                </c:pt>
                <c:pt idx="1">
                  <c:v>116</c:v>
                </c:pt>
                <c:pt idx="2">
                  <c:v>18</c:v>
                </c:pt>
                <c:pt idx="3">
                  <c:v>1</c:v>
                </c:pt>
              </c:numCache>
            </c:numRef>
          </c:val>
          <c:extLst>
            <c:ext xmlns:c16="http://schemas.microsoft.com/office/drawing/2014/chart" uri="{C3380CC4-5D6E-409C-BE32-E72D297353CC}">
              <c16:uniqueId val="{00000001-5DBD-4B28-92E9-40DA7915CD28}"/>
            </c:ext>
          </c:extLst>
        </c:ser>
        <c:ser>
          <c:idx val="2"/>
          <c:order val="2"/>
          <c:tx>
            <c:strRef>
              <c:f>OPhos!$E$19</c:f>
              <c:strCache>
                <c:ptCount val="1"/>
                <c:pt idx="0">
                  <c:v>200</c:v>
                </c:pt>
              </c:strCache>
            </c:strRef>
          </c:tx>
          <c:spPr>
            <a:solidFill>
              <a:schemeClr val="accent1">
                <a:tint val="83000"/>
              </a:schemeClr>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OPhos!$E$31:$E$34</c:f>
              <c:numCache>
                <c:formatCode>General</c:formatCode>
                <c:ptCount val="4"/>
                <c:pt idx="0">
                  <c:v>79</c:v>
                </c:pt>
                <c:pt idx="1">
                  <c:v>40</c:v>
                </c:pt>
                <c:pt idx="2">
                  <c:v>9</c:v>
                </c:pt>
                <c:pt idx="3">
                  <c:v>1</c:v>
                </c:pt>
              </c:numCache>
            </c:numRef>
          </c:val>
          <c:extLst>
            <c:ext xmlns:c16="http://schemas.microsoft.com/office/drawing/2014/chart" uri="{C3380CC4-5D6E-409C-BE32-E72D297353CC}">
              <c16:uniqueId val="{00000002-5DBD-4B28-92E9-40DA7915CD28}"/>
            </c:ext>
          </c:extLst>
        </c:ser>
        <c:ser>
          <c:idx val="3"/>
          <c:order val="3"/>
          <c:tx>
            <c:strRef>
              <c:f>OPhos!$F$19</c:f>
              <c:strCache>
                <c:ptCount val="1"/>
                <c:pt idx="0">
                  <c:v>300</c:v>
                </c:pt>
              </c:strCache>
            </c:strRef>
          </c:tx>
          <c:spPr>
            <a:solidFill>
              <a:schemeClr val="accent1"/>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OPhos!$F$31:$F$34</c:f>
              <c:numCache>
                <c:formatCode>General</c:formatCode>
                <c:ptCount val="4"/>
                <c:pt idx="0">
                  <c:v>21</c:v>
                </c:pt>
                <c:pt idx="1">
                  <c:v>10</c:v>
                </c:pt>
                <c:pt idx="2">
                  <c:v>2</c:v>
                </c:pt>
                <c:pt idx="3">
                  <c:v>1</c:v>
                </c:pt>
              </c:numCache>
            </c:numRef>
          </c:val>
          <c:extLst>
            <c:ext xmlns:c16="http://schemas.microsoft.com/office/drawing/2014/chart" uri="{C3380CC4-5D6E-409C-BE32-E72D297353CC}">
              <c16:uniqueId val="{00000003-5DBD-4B28-92E9-40DA7915CD28}"/>
            </c:ext>
          </c:extLst>
        </c:ser>
        <c:ser>
          <c:idx val="4"/>
          <c:order val="4"/>
          <c:tx>
            <c:strRef>
              <c:f>OPhos!$G$19</c:f>
              <c:strCache>
                <c:ptCount val="1"/>
                <c:pt idx="0">
                  <c:v>500</c:v>
                </c:pt>
              </c:strCache>
            </c:strRef>
          </c:tx>
          <c:spPr>
            <a:solidFill>
              <a:schemeClr val="accent1">
                <a:shade val="82000"/>
              </a:schemeClr>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OPhos!$G$31:$G$34</c:f>
              <c:numCache>
                <c:formatCode>General</c:formatCode>
                <c:ptCount val="4"/>
                <c:pt idx="0">
                  <c:v>6</c:v>
                </c:pt>
                <c:pt idx="1">
                  <c:v>3</c:v>
                </c:pt>
                <c:pt idx="2">
                  <c:v>2</c:v>
                </c:pt>
                <c:pt idx="3">
                  <c:v>2</c:v>
                </c:pt>
              </c:numCache>
            </c:numRef>
          </c:val>
          <c:extLst>
            <c:ext xmlns:c16="http://schemas.microsoft.com/office/drawing/2014/chart" uri="{C3380CC4-5D6E-409C-BE32-E72D297353CC}">
              <c16:uniqueId val="{00000004-5DBD-4B28-92E9-40DA7915CD28}"/>
            </c:ext>
          </c:extLst>
        </c:ser>
        <c:ser>
          <c:idx val="5"/>
          <c:order val="5"/>
          <c:tx>
            <c:strRef>
              <c:f>OPhos!$H$19</c:f>
              <c:strCache>
                <c:ptCount val="1"/>
                <c:pt idx="0">
                  <c:v>1000</c:v>
                </c:pt>
              </c:strCache>
            </c:strRef>
          </c:tx>
          <c:spPr>
            <a:solidFill>
              <a:schemeClr val="accent1">
                <a:shade val="65000"/>
              </a:schemeClr>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OPhos!$H$31:$H$34</c:f>
              <c:numCache>
                <c:formatCode>General</c:formatCode>
                <c:ptCount val="4"/>
                <c:pt idx="0">
                  <c:v>1</c:v>
                </c:pt>
                <c:pt idx="1">
                  <c:v>3</c:v>
                </c:pt>
                <c:pt idx="2">
                  <c:v>0</c:v>
                </c:pt>
                <c:pt idx="3">
                  <c:v>0</c:v>
                </c:pt>
              </c:numCache>
            </c:numRef>
          </c:val>
          <c:extLst>
            <c:ext xmlns:c16="http://schemas.microsoft.com/office/drawing/2014/chart" uri="{C3380CC4-5D6E-409C-BE32-E72D297353CC}">
              <c16:uniqueId val="{00000005-5DBD-4B28-92E9-40DA7915CD28}"/>
            </c:ext>
          </c:extLst>
        </c:ser>
        <c:ser>
          <c:idx val="6"/>
          <c:order val="6"/>
          <c:tx>
            <c:strRef>
              <c:f>OPhos!$I$19</c:f>
              <c:strCache>
                <c:ptCount val="1"/>
                <c:pt idx="0">
                  <c:v>2500</c:v>
                </c:pt>
              </c:strCache>
            </c:strRef>
          </c:tx>
          <c:spPr>
            <a:solidFill>
              <a:schemeClr val="accent1">
                <a:shade val="47000"/>
              </a:schemeClr>
            </a:solidFill>
            <a:ln>
              <a:noFill/>
            </a:ln>
            <a:effectLst/>
          </c:spPr>
          <c:invertIfNegative val="0"/>
          <c:cat>
            <c:strRef>
              <c:f>OPhos!$B$31:$B$34</c:f>
              <c:strCache>
                <c:ptCount val="4"/>
                <c:pt idx="0">
                  <c:v>Baseflow</c:v>
                </c:pt>
                <c:pt idx="1">
                  <c:v>Mid-Stage</c:v>
                </c:pt>
                <c:pt idx="2">
                  <c:v>Bankfull Stage</c:v>
                </c:pt>
                <c:pt idx="3">
                  <c:v>Overbank Flooding</c:v>
                </c:pt>
              </c:strCache>
            </c:strRef>
          </c:cat>
          <c:val>
            <c:numRef>
              <c:f>OPhos!$I$31:$I$34</c:f>
              <c:numCache>
                <c:formatCode>General</c:formatCode>
                <c:ptCount val="4"/>
                <c:pt idx="0">
                  <c:v>1</c:v>
                </c:pt>
                <c:pt idx="1">
                  <c:v>1</c:v>
                </c:pt>
                <c:pt idx="2">
                  <c:v>0</c:v>
                </c:pt>
                <c:pt idx="3">
                  <c:v>1</c:v>
                </c:pt>
              </c:numCache>
            </c:numRef>
          </c:val>
          <c:extLst>
            <c:ext xmlns:c16="http://schemas.microsoft.com/office/drawing/2014/chart" uri="{C3380CC4-5D6E-409C-BE32-E72D297353CC}">
              <c16:uniqueId val="{00000006-5DBD-4B28-92E9-40DA7915CD28}"/>
            </c:ext>
          </c:extLst>
        </c:ser>
        <c:dLbls>
          <c:showLegendKey val="0"/>
          <c:showVal val="0"/>
          <c:showCatName val="0"/>
          <c:showSerName val="0"/>
          <c:showPercent val="0"/>
          <c:showBubbleSize val="0"/>
        </c:dLbls>
        <c:gapWidth val="9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Level</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0398084156856685E-2"/>
          <c:h val="0.71060455766414032"/>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Water Clarity</a:t>
            </a:r>
          </a:p>
        </c:rich>
      </c:tx>
      <c:layout>
        <c:manualLayout>
          <c:xMode val="edge"/>
          <c:yMode val="edge"/>
          <c:x val="0.45351542620069568"/>
          <c:y val="8.6021505376344086E-3"/>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842584432027132E-2"/>
          <c:y val="9.4434123878227791E-2"/>
          <c:w val="0.82788214188249087"/>
          <c:h val="0.72363838859564111"/>
        </c:manualLayout>
      </c:layout>
      <c:barChart>
        <c:barDir val="col"/>
        <c:grouping val="clustered"/>
        <c:varyColors val="0"/>
        <c:ser>
          <c:idx val="0"/>
          <c:order val="0"/>
          <c:tx>
            <c:strRef>
              <c:f>OPhos!$C$19</c:f>
              <c:strCache>
                <c:ptCount val="1"/>
                <c:pt idx="0">
                  <c:v>0</c:v>
                </c:pt>
              </c:strCache>
            </c:strRef>
          </c:tx>
          <c:spPr>
            <a:solidFill>
              <a:schemeClr val="accent4">
                <a:tint val="48000"/>
              </a:schemeClr>
            </a:solidFill>
            <a:ln>
              <a:noFill/>
            </a:ln>
            <a:effectLst/>
          </c:spPr>
          <c:invertIfNegative val="0"/>
          <c:cat>
            <c:strRef>
              <c:f>OPhos!$B$47:$B$49</c:f>
              <c:strCache>
                <c:ptCount val="3"/>
                <c:pt idx="0">
                  <c:v>Clear</c:v>
                </c:pt>
                <c:pt idx="1">
                  <c:v>Muddy</c:v>
                </c:pt>
                <c:pt idx="2">
                  <c:v>Murky</c:v>
                </c:pt>
              </c:strCache>
            </c:strRef>
          </c:cat>
          <c:val>
            <c:numRef>
              <c:f>OPhos!$C$47:$C$49</c:f>
              <c:numCache>
                <c:formatCode>General</c:formatCode>
                <c:ptCount val="3"/>
                <c:pt idx="0">
                  <c:v>889</c:v>
                </c:pt>
                <c:pt idx="1">
                  <c:v>26</c:v>
                </c:pt>
                <c:pt idx="2">
                  <c:v>154</c:v>
                </c:pt>
              </c:numCache>
            </c:numRef>
          </c:val>
          <c:extLst>
            <c:ext xmlns:c16="http://schemas.microsoft.com/office/drawing/2014/chart" uri="{C3380CC4-5D6E-409C-BE32-E72D297353CC}">
              <c16:uniqueId val="{00000000-C6EC-4598-85D0-F841C89B7BCF}"/>
            </c:ext>
          </c:extLst>
        </c:ser>
        <c:ser>
          <c:idx val="1"/>
          <c:order val="1"/>
          <c:tx>
            <c:strRef>
              <c:f>OPhos!$D$19</c:f>
              <c:strCache>
                <c:ptCount val="1"/>
                <c:pt idx="0">
                  <c:v>100</c:v>
                </c:pt>
              </c:strCache>
            </c:strRef>
          </c:tx>
          <c:spPr>
            <a:solidFill>
              <a:schemeClr val="accent4">
                <a:tint val="65000"/>
              </a:schemeClr>
            </a:solidFill>
            <a:ln>
              <a:noFill/>
            </a:ln>
            <a:effectLst/>
          </c:spPr>
          <c:invertIfNegative val="0"/>
          <c:cat>
            <c:strRef>
              <c:f>OPhos!$B$47:$B$49</c:f>
              <c:strCache>
                <c:ptCount val="3"/>
                <c:pt idx="0">
                  <c:v>Clear</c:v>
                </c:pt>
                <c:pt idx="1">
                  <c:v>Muddy</c:v>
                </c:pt>
                <c:pt idx="2">
                  <c:v>Murky</c:v>
                </c:pt>
              </c:strCache>
            </c:strRef>
          </c:cat>
          <c:val>
            <c:numRef>
              <c:f>OPhos!$D$47:$D$49</c:f>
              <c:numCache>
                <c:formatCode>General</c:formatCode>
                <c:ptCount val="3"/>
                <c:pt idx="0">
                  <c:v>304</c:v>
                </c:pt>
                <c:pt idx="1">
                  <c:v>29</c:v>
                </c:pt>
                <c:pt idx="2">
                  <c:v>116</c:v>
                </c:pt>
              </c:numCache>
            </c:numRef>
          </c:val>
          <c:extLst>
            <c:ext xmlns:c16="http://schemas.microsoft.com/office/drawing/2014/chart" uri="{C3380CC4-5D6E-409C-BE32-E72D297353CC}">
              <c16:uniqueId val="{00000001-C6EC-4598-85D0-F841C89B7BCF}"/>
            </c:ext>
          </c:extLst>
        </c:ser>
        <c:ser>
          <c:idx val="2"/>
          <c:order val="2"/>
          <c:tx>
            <c:strRef>
              <c:f>OPhos!$E$19</c:f>
              <c:strCache>
                <c:ptCount val="1"/>
                <c:pt idx="0">
                  <c:v>200</c:v>
                </c:pt>
              </c:strCache>
            </c:strRef>
          </c:tx>
          <c:spPr>
            <a:solidFill>
              <a:schemeClr val="accent4">
                <a:tint val="83000"/>
              </a:schemeClr>
            </a:solidFill>
            <a:ln>
              <a:noFill/>
            </a:ln>
            <a:effectLst/>
          </c:spPr>
          <c:invertIfNegative val="0"/>
          <c:cat>
            <c:strRef>
              <c:f>OPhos!$B$47:$B$49</c:f>
              <c:strCache>
                <c:ptCount val="3"/>
                <c:pt idx="0">
                  <c:v>Clear</c:v>
                </c:pt>
                <c:pt idx="1">
                  <c:v>Muddy</c:v>
                </c:pt>
                <c:pt idx="2">
                  <c:v>Murky</c:v>
                </c:pt>
              </c:strCache>
            </c:strRef>
          </c:cat>
          <c:val>
            <c:numRef>
              <c:f>OPhos!$E$47:$E$49</c:f>
              <c:numCache>
                <c:formatCode>General</c:formatCode>
                <c:ptCount val="3"/>
                <c:pt idx="0">
                  <c:v>89</c:v>
                </c:pt>
                <c:pt idx="1">
                  <c:v>15</c:v>
                </c:pt>
                <c:pt idx="2">
                  <c:v>30</c:v>
                </c:pt>
              </c:numCache>
            </c:numRef>
          </c:val>
          <c:extLst>
            <c:ext xmlns:c16="http://schemas.microsoft.com/office/drawing/2014/chart" uri="{C3380CC4-5D6E-409C-BE32-E72D297353CC}">
              <c16:uniqueId val="{00000002-C6EC-4598-85D0-F841C89B7BCF}"/>
            </c:ext>
          </c:extLst>
        </c:ser>
        <c:ser>
          <c:idx val="3"/>
          <c:order val="3"/>
          <c:tx>
            <c:strRef>
              <c:f>OPhos!$F$19</c:f>
              <c:strCache>
                <c:ptCount val="1"/>
                <c:pt idx="0">
                  <c:v>300</c:v>
                </c:pt>
              </c:strCache>
            </c:strRef>
          </c:tx>
          <c:spPr>
            <a:solidFill>
              <a:schemeClr val="accent4"/>
            </a:solidFill>
            <a:ln>
              <a:noFill/>
            </a:ln>
            <a:effectLst/>
          </c:spPr>
          <c:invertIfNegative val="0"/>
          <c:cat>
            <c:strRef>
              <c:f>OPhos!$B$47:$B$49</c:f>
              <c:strCache>
                <c:ptCount val="3"/>
                <c:pt idx="0">
                  <c:v>Clear</c:v>
                </c:pt>
                <c:pt idx="1">
                  <c:v>Muddy</c:v>
                </c:pt>
                <c:pt idx="2">
                  <c:v>Murky</c:v>
                </c:pt>
              </c:strCache>
            </c:strRef>
          </c:cat>
          <c:val>
            <c:numRef>
              <c:f>OPhos!$F$47:$F$49</c:f>
              <c:numCache>
                <c:formatCode>General</c:formatCode>
                <c:ptCount val="3"/>
                <c:pt idx="0">
                  <c:v>24</c:v>
                </c:pt>
                <c:pt idx="1">
                  <c:v>6</c:v>
                </c:pt>
                <c:pt idx="2">
                  <c:v>9</c:v>
                </c:pt>
              </c:numCache>
            </c:numRef>
          </c:val>
          <c:extLst>
            <c:ext xmlns:c16="http://schemas.microsoft.com/office/drawing/2014/chart" uri="{C3380CC4-5D6E-409C-BE32-E72D297353CC}">
              <c16:uniqueId val="{00000003-C6EC-4598-85D0-F841C89B7BCF}"/>
            </c:ext>
          </c:extLst>
        </c:ser>
        <c:ser>
          <c:idx val="4"/>
          <c:order val="4"/>
          <c:tx>
            <c:strRef>
              <c:f>OPhos!$G$19</c:f>
              <c:strCache>
                <c:ptCount val="1"/>
                <c:pt idx="0">
                  <c:v>500</c:v>
                </c:pt>
              </c:strCache>
            </c:strRef>
          </c:tx>
          <c:spPr>
            <a:solidFill>
              <a:schemeClr val="accent4">
                <a:shade val="82000"/>
              </a:schemeClr>
            </a:solidFill>
            <a:ln>
              <a:noFill/>
            </a:ln>
            <a:effectLst/>
          </c:spPr>
          <c:invertIfNegative val="0"/>
          <c:cat>
            <c:strRef>
              <c:f>OPhos!$B$47:$B$49</c:f>
              <c:strCache>
                <c:ptCount val="3"/>
                <c:pt idx="0">
                  <c:v>Clear</c:v>
                </c:pt>
                <c:pt idx="1">
                  <c:v>Muddy</c:v>
                </c:pt>
                <c:pt idx="2">
                  <c:v>Murky</c:v>
                </c:pt>
              </c:strCache>
            </c:strRef>
          </c:cat>
          <c:val>
            <c:numRef>
              <c:f>OPhos!$G$47:$G$49</c:f>
              <c:numCache>
                <c:formatCode>General</c:formatCode>
                <c:ptCount val="3"/>
                <c:pt idx="0">
                  <c:v>7</c:v>
                </c:pt>
                <c:pt idx="1">
                  <c:v>4</c:v>
                </c:pt>
                <c:pt idx="2">
                  <c:v>2</c:v>
                </c:pt>
              </c:numCache>
            </c:numRef>
          </c:val>
          <c:extLst>
            <c:ext xmlns:c16="http://schemas.microsoft.com/office/drawing/2014/chart" uri="{C3380CC4-5D6E-409C-BE32-E72D297353CC}">
              <c16:uniqueId val="{00000004-C6EC-4598-85D0-F841C89B7BCF}"/>
            </c:ext>
          </c:extLst>
        </c:ser>
        <c:ser>
          <c:idx val="5"/>
          <c:order val="5"/>
          <c:tx>
            <c:strRef>
              <c:f>OPhos!$H$19</c:f>
              <c:strCache>
                <c:ptCount val="1"/>
                <c:pt idx="0">
                  <c:v>1000</c:v>
                </c:pt>
              </c:strCache>
            </c:strRef>
          </c:tx>
          <c:spPr>
            <a:solidFill>
              <a:schemeClr val="accent4">
                <a:shade val="65000"/>
              </a:schemeClr>
            </a:solidFill>
            <a:ln>
              <a:noFill/>
            </a:ln>
            <a:effectLst/>
          </c:spPr>
          <c:invertIfNegative val="0"/>
          <c:cat>
            <c:strRef>
              <c:f>OPhos!$B$47:$B$49</c:f>
              <c:strCache>
                <c:ptCount val="3"/>
                <c:pt idx="0">
                  <c:v>Clear</c:v>
                </c:pt>
                <c:pt idx="1">
                  <c:v>Muddy</c:v>
                </c:pt>
                <c:pt idx="2">
                  <c:v>Murky</c:v>
                </c:pt>
              </c:strCache>
            </c:strRef>
          </c:cat>
          <c:val>
            <c:numRef>
              <c:f>OPhos!$H$47:$H$49</c:f>
              <c:numCache>
                <c:formatCode>General</c:formatCode>
                <c:ptCount val="3"/>
                <c:pt idx="0">
                  <c:v>3</c:v>
                </c:pt>
                <c:pt idx="1">
                  <c:v>0</c:v>
                </c:pt>
                <c:pt idx="2">
                  <c:v>1</c:v>
                </c:pt>
              </c:numCache>
            </c:numRef>
          </c:val>
          <c:extLst>
            <c:ext xmlns:c16="http://schemas.microsoft.com/office/drawing/2014/chart" uri="{C3380CC4-5D6E-409C-BE32-E72D297353CC}">
              <c16:uniqueId val="{00000005-C6EC-4598-85D0-F841C89B7BCF}"/>
            </c:ext>
          </c:extLst>
        </c:ser>
        <c:ser>
          <c:idx val="6"/>
          <c:order val="6"/>
          <c:tx>
            <c:strRef>
              <c:f>OPhos!$I$19</c:f>
              <c:strCache>
                <c:ptCount val="1"/>
                <c:pt idx="0">
                  <c:v>2500</c:v>
                </c:pt>
              </c:strCache>
            </c:strRef>
          </c:tx>
          <c:spPr>
            <a:solidFill>
              <a:schemeClr val="accent4">
                <a:shade val="47000"/>
              </a:schemeClr>
            </a:solidFill>
            <a:ln>
              <a:noFill/>
            </a:ln>
            <a:effectLst/>
          </c:spPr>
          <c:invertIfNegative val="0"/>
          <c:cat>
            <c:strRef>
              <c:f>OPhos!$B$47:$B$49</c:f>
              <c:strCache>
                <c:ptCount val="3"/>
                <c:pt idx="0">
                  <c:v>Clear</c:v>
                </c:pt>
                <c:pt idx="1">
                  <c:v>Muddy</c:v>
                </c:pt>
                <c:pt idx="2">
                  <c:v>Murky</c:v>
                </c:pt>
              </c:strCache>
            </c:strRef>
          </c:cat>
          <c:val>
            <c:numRef>
              <c:f>OPhos!$I$47:$I$49</c:f>
              <c:numCache>
                <c:formatCode>General</c:formatCode>
                <c:ptCount val="3"/>
                <c:pt idx="0">
                  <c:v>2</c:v>
                </c:pt>
                <c:pt idx="1">
                  <c:v>1</c:v>
                </c:pt>
                <c:pt idx="2">
                  <c:v>1</c:v>
                </c:pt>
              </c:numCache>
            </c:numRef>
          </c:val>
          <c:extLst>
            <c:ext xmlns:c16="http://schemas.microsoft.com/office/drawing/2014/chart" uri="{C3380CC4-5D6E-409C-BE32-E72D297353CC}">
              <c16:uniqueId val="{00000006-C6EC-4598-85D0-F841C89B7BCF}"/>
            </c:ext>
          </c:extLst>
        </c:ser>
        <c:dLbls>
          <c:showLegendKey val="0"/>
          <c:showVal val="0"/>
          <c:showCatName val="0"/>
          <c:showSerName val="0"/>
          <c:showPercent val="0"/>
          <c:showBubbleSize val="0"/>
        </c:dLbls>
        <c:gapWidth val="102"/>
        <c:axId val="178795679"/>
        <c:axId val="178794847"/>
      </c:barChart>
      <c:catAx>
        <c:axId val="178795679"/>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Water Clarity</a:t>
                </a:r>
              </a:p>
            </c:rich>
          </c:tx>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4847"/>
        <c:crosses val="autoZero"/>
        <c:auto val="1"/>
        <c:lblAlgn val="ctr"/>
        <c:lblOffset val="100"/>
        <c:noMultiLvlLbl val="0"/>
      </c:catAx>
      <c:valAx>
        <c:axId val="1787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Occurrences</a:t>
                </a:r>
              </a:p>
            </c:rich>
          </c:tx>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178795679"/>
        <c:crosses val="autoZero"/>
        <c:crossBetween val="between"/>
      </c:valAx>
      <c:spPr>
        <a:noFill/>
        <a:ln>
          <a:noFill/>
        </a:ln>
        <a:effectLst/>
      </c:spPr>
    </c:plotArea>
    <c:legend>
      <c:legendPos val="r"/>
      <c:layout>
        <c:manualLayout>
          <c:xMode val="edge"/>
          <c:yMode val="edge"/>
          <c:x val="0.91093266492812397"/>
          <c:y val="0.18828568771309798"/>
          <c:w val="6.0485020973538153E-2"/>
          <c:h val="0.64321739559134605"/>
        </c:manualLayout>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1857827429902705E-2"/>
          <c:y val="0.10704999325644636"/>
          <c:w val="0.86503906698371491"/>
          <c:h val="0.73694233686611899"/>
        </c:manualLayout>
      </c:layout>
      <c:barChart>
        <c:barDir val="col"/>
        <c:grouping val="clustered"/>
        <c:varyColors val="0"/>
        <c:ser>
          <c:idx val="1"/>
          <c:order val="0"/>
          <c:tx>
            <c:strRef>
              <c:f>OPhos!$O$62</c:f>
              <c:strCache>
                <c:ptCount val="1"/>
                <c:pt idx="0">
                  <c:v>Hay Creek @ 320th St</c:v>
                </c:pt>
              </c:strCache>
            </c:strRef>
          </c:tx>
          <c:spPr>
            <a:solidFill>
              <a:schemeClr val="accent2"/>
            </a:solidFill>
            <a:ln>
              <a:noFill/>
            </a:ln>
            <a:effectLst/>
          </c:spPr>
          <c:invertIfNegative val="0"/>
          <c:cat>
            <c:numRef>
              <c:f>OPhos!$P$85:$V$85</c:f>
              <c:numCache>
                <c:formatCode>General</c:formatCode>
                <c:ptCount val="7"/>
                <c:pt idx="0">
                  <c:v>0</c:v>
                </c:pt>
                <c:pt idx="1">
                  <c:v>100</c:v>
                </c:pt>
                <c:pt idx="2">
                  <c:v>200</c:v>
                </c:pt>
                <c:pt idx="3">
                  <c:v>300</c:v>
                </c:pt>
                <c:pt idx="4">
                  <c:v>500</c:v>
                </c:pt>
                <c:pt idx="5">
                  <c:v>1000</c:v>
                </c:pt>
                <c:pt idx="6">
                  <c:v>2500</c:v>
                </c:pt>
              </c:numCache>
            </c:numRef>
          </c:cat>
          <c:val>
            <c:numRef>
              <c:f>OPhos!$P$86:$V$86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4E47-4ECB-A6D7-ECE4E37347B6}"/>
            </c:ext>
          </c:extLst>
        </c:ser>
        <c:dLbls>
          <c:showLegendKey val="0"/>
          <c:showVal val="0"/>
          <c:showCatName val="0"/>
          <c:showSerName val="0"/>
          <c:showPercent val="0"/>
          <c:showBubbleSize val="0"/>
        </c:dLbls>
        <c:gapWidth val="219"/>
        <c:overlap val="-27"/>
        <c:axId val="549948080"/>
        <c:axId val="549943088"/>
      </c:barChart>
      <c:catAx>
        <c:axId val="549948080"/>
        <c:scaling>
          <c:orientation val="minMax"/>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i="0" u="none" strike="noStrike" kern="1200" baseline="0">
                    <a:solidFill>
                      <a:sysClr val="windowText" lastClr="000000">
                        <a:lumMod val="65000"/>
                        <a:lumOff val="35000"/>
                      </a:sysClr>
                    </a:solidFill>
                  </a:rPr>
                  <a:t>Ortho-Phosphate [ppb]</a:t>
                </a:r>
              </a:p>
            </c:rich>
          </c:tx>
          <c:layout>
            <c:manualLayout>
              <c:xMode val="edge"/>
              <c:yMode val="edge"/>
              <c:x val="0.40830792677282501"/>
              <c:y val="0.90751473738072674"/>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3088"/>
        <c:crosses val="autoZero"/>
        <c:auto val="1"/>
        <c:lblAlgn val="ctr"/>
        <c:lblOffset val="100"/>
        <c:noMultiLvlLbl val="0"/>
      </c:catAx>
      <c:valAx>
        <c:axId val="5499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t>Occurrences</a:t>
                </a:r>
              </a:p>
            </c:rich>
          </c:tx>
          <c:layout>
            <c:manualLayout>
              <c:xMode val="edge"/>
              <c:yMode val="edge"/>
              <c:x val="5.4122823842005143E-3"/>
              <c:y val="0.38168714595989989"/>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99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lang="en-US" sz="1000" b="0" i="0" u="none" strike="noStrike"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607335045268188E-2"/>
          <c:y val="1.959930095927977E-2"/>
          <c:w val="0.83529819840926234"/>
          <c:h val="0.82194038426822569"/>
        </c:manualLayout>
      </c:layout>
      <c:barChart>
        <c:barDir val="col"/>
        <c:grouping val="stacked"/>
        <c:varyColors val="0"/>
        <c:ser>
          <c:idx val="9"/>
          <c:order val="9"/>
          <c:tx>
            <c:strRef>
              <c:f>'Water Temp'!$Y$9</c:f>
              <c:strCache>
                <c:ptCount val="1"/>
                <c:pt idx="0">
                  <c:v>Safe</c:v>
                </c:pt>
              </c:strCache>
            </c:strRef>
          </c:tx>
          <c:spPr>
            <a:solidFill>
              <a:schemeClr val="accent1">
                <a:lumMod val="20000"/>
                <a:lumOff val="80000"/>
              </a:schemeClr>
            </a:solidFill>
            <a:ln>
              <a:noFill/>
            </a:ln>
            <a:effectLst/>
          </c:spPr>
          <c:invertIfNegative val="0"/>
          <c:val>
            <c:numRef>
              <c:f>'Water Temp'!$Y$11:$Y$22</c:f>
              <c:numCache>
                <c:formatCode>General</c:formatCode>
                <c:ptCount val="12"/>
                <c:pt idx="0">
                  <c:v>67</c:v>
                </c:pt>
                <c:pt idx="1">
                  <c:v>67</c:v>
                </c:pt>
                <c:pt idx="2">
                  <c:v>67</c:v>
                </c:pt>
                <c:pt idx="3">
                  <c:v>67</c:v>
                </c:pt>
                <c:pt idx="4">
                  <c:v>67</c:v>
                </c:pt>
                <c:pt idx="5">
                  <c:v>67</c:v>
                </c:pt>
                <c:pt idx="6">
                  <c:v>67</c:v>
                </c:pt>
                <c:pt idx="7">
                  <c:v>67</c:v>
                </c:pt>
                <c:pt idx="8">
                  <c:v>67</c:v>
                </c:pt>
                <c:pt idx="9">
                  <c:v>67</c:v>
                </c:pt>
                <c:pt idx="10">
                  <c:v>67</c:v>
                </c:pt>
                <c:pt idx="11" formatCode="0">
                  <c:v>67</c:v>
                </c:pt>
              </c:numCache>
            </c:numRef>
          </c:val>
          <c:extLst>
            <c:ext xmlns:c16="http://schemas.microsoft.com/office/drawing/2014/chart" uri="{C3380CC4-5D6E-409C-BE32-E72D297353CC}">
              <c16:uniqueId val="{00000000-F601-4604-B2FD-C5D797F71F3D}"/>
            </c:ext>
          </c:extLst>
        </c:ser>
        <c:ser>
          <c:idx val="12"/>
          <c:order val="10"/>
          <c:tx>
            <c:strRef>
              <c:f>'Water Temp'!$Z$9</c:f>
              <c:strCache>
                <c:ptCount val="1"/>
                <c:pt idx="0">
                  <c:v>Fair</c:v>
                </c:pt>
              </c:strCache>
            </c:strRef>
          </c:tx>
          <c:spPr>
            <a:solidFill>
              <a:schemeClr val="accent4">
                <a:lumMod val="20000"/>
                <a:lumOff val="80000"/>
              </a:schemeClr>
            </a:solidFill>
            <a:ln>
              <a:noFill/>
            </a:ln>
            <a:effectLst/>
          </c:spPr>
          <c:invertIfNegative val="0"/>
          <c:val>
            <c:numRef>
              <c:f>'Water Temp'!$Z$11:$Z$22</c:f>
              <c:numCache>
                <c:formatCode>General</c:formatCode>
                <c:ptCount val="12"/>
                <c:pt idx="0">
                  <c:v>4</c:v>
                </c:pt>
                <c:pt idx="1">
                  <c:v>4</c:v>
                </c:pt>
                <c:pt idx="2">
                  <c:v>4</c:v>
                </c:pt>
                <c:pt idx="3">
                  <c:v>4</c:v>
                </c:pt>
                <c:pt idx="4">
                  <c:v>4</c:v>
                </c:pt>
                <c:pt idx="5">
                  <c:v>4</c:v>
                </c:pt>
                <c:pt idx="6">
                  <c:v>4</c:v>
                </c:pt>
                <c:pt idx="7">
                  <c:v>4</c:v>
                </c:pt>
                <c:pt idx="8">
                  <c:v>4</c:v>
                </c:pt>
                <c:pt idx="9">
                  <c:v>4</c:v>
                </c:pt>
                <c:pt idx="10">
                  <c:v>4</c:v>
                </c:pt>
                <c:pt idx="11" formatCode="0">
                  <c:v>4</c:v>
                </c:pt>
              </c:numCache>
            </c:numRef>
          </c:val>
          <c:extLst>
            <c:ext xmlns:c16="http://schemas.microsoft.com/office/drawing/2014/chart" uri="{C3380CC4-5D6E-409C-BE32-E72D297353CC}">
              <c16:uniqueId val="{00000003-F601-4604-B2FD-C5D797F71F3D}"/>
            </c:ext>
          </c:extLst>
        </c:ser>
        <c:ser>
          <c:idx val="10"/>
          <c:order val="11"/>
          <c:tx>
            <c:strRef>
              <c:f>'Water Temp'!$AA$9</c:f>
              <c:strCache>
                <c:ptCount val="1"/>
                <c:pt idx="0">
                  <c:v>Critical</c:v>
                </c:pt>
              </c:strCache>
            </c:strRef>
          </c:tx>
          <c:spPr>
            <a:solidFill>
              <a:srgbClr val="F8D1B6"/>
            </a:solidFill>
            <a:ln>
              <a:noFill/>
            </a:ln>
            <a:effectLst/>
          </c:spPr>
          <c:invertIfNegative val="0"/>
          <c:val>
            <c:numRef>
              <c:f>'Water Temp'!$AA$11:$AA$22</c:f>
              <c:numCache>
                <c:formatCode>General</c:formatCode>
                <c:ptCount val="12"/>
                <c:pt idx="0">
                  <c:v>5</c:v>
                </c:pt>
                <c:pt idx="1">
                  <c:v>5</c:v>
                </c:pt>
                <c:pt idx="2">
                  <c:v>5</c:v>
                </c:pt>
                <c:pt idx="3">
                  <c:v>5</c:v>
                </c:pt>
                <c:pt idx="4">
                  <c:v>5</c:v>
                </c:pt>
                <c:pt idx="5">
                  <c:v>5</c:v>
                </c:pt>
                <c:pt idx="6">
                  <c:v>5</c:v>
                </c:pt>
                <c:pt idx="7">
                  <c:v>5</c:v>
                </c:pt>
                <c:pt idx="8">
                  <c:v>5</c:v>
                </c:pt>
                <c:pt idx="9">
                  <c:v>5</c:v>
                </c:pt>
                <c:pt idx="10">
                  <c:v>5</c:v>
                </c:pt>
                <c:pt idx="11" formatCode="0">
                  <c:v>5</c:v>
                </c:pt>
              </c:numCache>
            </c:numRef>
          </c:val>
          <c:extLst>
            <c:ext xmlns:c16="http://schemas.microsoft.com/office/drawing/2014/chart" uri="{C3380CC4-5D6E-409C-BE32-E72D297353CC}">
              <c16:uniqueId val="{00000001-F601-4604-B2FD-C5D797F71F3D}"/>
            </c:ext>
          </c:extLst>
        </c:ser>
        <c:ser>
          <c:idx val="11"/>
          <c:order val="12"/>
          <c:tx>
            <c:strRef>
              <c:f>'Water Temp'!$AB$9</c:f>
              <c:strCache>
                <c:ptCount val="1"/>
                <c:pt idx="0">
                  <c:v>Lethal</c:v>
                </c:pt>
              </c:strCache>
            </c:strRef>
          </c:tx>
          <c:spPr>
            <a:solidFill>
              <a:srgbClr val="FEC6C6"/>
            </a:solidFill>
            <a:ln>
              <a:noFill/>
            </a:ln>
            <a:effectLst/>
          </c:spPr>
          <c:invertIfNegative val="0"/>
          <c:val>
            <c:numRef>
              <c:f>'Water Temp'!$AB$11:$AB$22</c:f>
              <c:numCache>
                <c:formatCode>General</c:formatCode>
                <c:ptCount val="12"/>
                <c:pt idx="0">
                  <c:v>24</c:v>
                </c:pt>
                <c:pt idx="1">
                  <c:v>24</c:v>
                </c:pt>
                <c:pt idx="2">
                  <c:v>24</c:v>
                </c:pt>
                <c:pt idx="3">
                  <c:v>24</c:v>
                </c:pt>
                <c:pt idx="4">
                  <c:v>24</c:v>
                </c:pt>
                <c:pt idx="5">
                  <c:v>24</c:v>
                </c:pt>
                <c:pt idx="6">
                  <c:v>24</c:v>
                </c:pt>
                <c:pt idx="7">
                  <c:v>24</c:v>
                </c:pt>
                <c:pt idx="8">
                  <c:v>24</c:v>
                </c:pt>
                <c:pt idx="9">
                  <c:v>24</c:v>
                </c:pt>
                <c:pt idx="10">
                  <c:v>24</c:v>
                </c:pt>
                <c:pt idx="11" formatCode="0">
                  <c:v>24</c:v>
                </c:pt>
              </c:numCache>
            </c:numRef>
          </c:val>
          <c:extLst>
            <c:ext xmlns:c16="http://schemas.microsoft.com/office/drawing/2014/chart" uri="{C3380CC4-5D6E-409C-BE32-E72D297353CC}">
              <c16:uniqueId val="{00000002-F601-4604-B2FD-C5D797F71F3D}"/>
            </c:ext>
          </c:extLst>
        </c:ser>
        <c:dLbls>
          <c:showLegendKey val="0"/>
          <c:showVal val="0"/>
          <c:showCatName val="0"/>
          <c:showSerName val="0"/>
          <c:showPercent val="0"/>
          <c:showBubbleSize val="0"/>
        </c:dLbls>
        <c:gapWidth val="0"/>
        <c:overlap val="100"/>
        <c:axId val="2009363384"/>
        <c:axId val="2009359448"/>
        <c:extLst>
          <c:ext xmlns:c15="http://schemas.microsoft.com/office/drawing/2012/chart" uri="{02D57815-91ED-43cb-92C2-25804820EDAC}">
            <c15:filteredBarSeries>
              <c15:ser>
                <c:idx val="8"/>
                <c:order val="8"/>
                <c:tx>
                  <c:v>Max'21</c:v>
                </c:tx>
                <c:spPr>
                  <a:solidFill>
                    <a:schemeClr val="accent3">
                      <a:lumMod val="60000"/>
                    </a:schemeClr>
                  </a:solidFill>
                  <a:ln>
                    <a:noFill/>
                  </a:ln>
                  <a:effectLst/>
                </c:spPr>
                <c:invertIfNegative val="0"/>
                <c:cat>
                  <c:strRef>
                    <c:extLst>
                      <c:ext uri="{02D57815-91ED-43cb-92C2-25804820EDAC}">
                        <c15:formulaRef>
                          <c15:sqref>'Water Temp'!$B$11:$B$22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'Water Temp'!$M$11:$M$22</c15:sqref>
                        </c15:formulaRef>
                      </c:ext>
                    </c:extLst>
                    <c:numCache>
                      <c:formatCode>0</c:formatCode>
                      <c:ptCount val="12"/>
                      <c:pt idx="0">
                        <c:v>0</c:v>
                      </c:pt>
                      <c:pt idx="1">
                        <c:v>44</c:v>
                      </c:pt>
                      <c:pt idx="2">
                        <c:v>41</c:v>
                      </c:pt>
                      <c:pt idx="3">
                        <c:v>37</c:v>
                      </c:pt>
                      <c:pt idx="4">
                        <c:v>0</c:v>
                      </c:pt>
                      <c:pt idx="5">
                        <c:v>51</c:v>
                      </c:pt>
                      <c:pt idx="6">
                        <c:v>0</c:v>
                      </c:pt>
                      <c:pt idx="7">
                        <c:v>0</c:v>
                      </c:pt>
                      <c:pt idx="8">
                        <c:v>0</c:v>
                      </c:pt>
                      <c:pt idx="9">
                        <c:v>42</c:v>
                      </c:pt>
                      <c:pt idx="10">
                        <c:v>40</c:v>
                      </c:pt>
                      <c:pt idx="11">
                        <c:v>0</c:v>
                      </c:pt>
                    </c:numCache>
                  </c:numRef>
                </c:val>
                <c:extLst>
                  <c:ext xmlns:c16="http://schemas.microsoft.com/office/drawing/2014/chart" uri="{C3380CC4-5D6E-409C-BE32-E72D297353CC}">
                    <c16:uniqueId val="{00000009-9AAC-402F-8B30-F1FDA6861858}"/>
                  </c:ext>
                </c:extLst>
              </c15:ser>
            </c15:filteredBarSeries>
          </c:ext>
        </c:extLst>
      </c:barChart>
      <c:lineChart>
        <c:grouping val="standard"/>
        <c:varyColors val="0"/>
        <c:ser>
          <c:idx val="1"/>
          <c:order val="0"/>
          <c:tx>
            <c:strRef>
              <c:f>'Water Temp'!$F$10</c:f>
              <c:strCache>
                <c:ptCount val="1"/>
                <c:pt idx="0">
                  <c:v>20 Ave</c:v>
                </c:pt>
              </c:strCache>
            </c:strRef>
          </c:tx>
          <c:spPr>
            <a:ln w="19050" cap="rnd">
              <a:solidFill>
                <a:schemeClr val="accent2"/>
              </a:solidFill>
              <a:round/>
            </a:ln>
            <a:effectLst/>
          </c:spPr>
          <c:marker>
            <c:symbol val="circle"/>
            <c:size val="6"/>
            <c:spPr>
              <a:noFill/>
              <a:ln w="12700">
                <a:solidFill>
                  <a:srgbClr val="0070C0"/>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 Temp'!$F$11:$F$22</c:f>
              <c:numCache>
                <c:formatCode>0</c:formatCode>
                <c:ptCount val="12"/>
                <c:pt idx="0">
                  <c:v>0</c:v>
                </c:pt>
                <c:pt idx="1">
                  <c:v>55</c:v>
                </c:pt>
                <c:pt idx="2">
                  <c:v>41.4</c:v>
                </c:pt>
                <c:pt idx="3">
                  <c:v>47.090909090909093</c:v>
                </c:pt>
                <c:pt idx="4">
                  <c:v>56</c:v>
                </c:pt>
                <c:pt idx="5">
                  <c:v>58.2</c:v>
                </c:pt>
                <c:pt idx="6">
                  <c:v>55.166666666666664</c:v>
                </c:pt>
                <c:pt idx="7">
                  <c:v>63.111111111111114</c:v>
                </c:pt>
                <c:pt idx="8">
                  <c:v>49.428571428571431</c:v>
                </c:pt>
                <c:pt idx="9">
                  <c:v>48.875</c:v>
                </c:pt>
                <c:pt idx="10">
                  <c:v>47</c:v>
                </c:pt>
                <c:pt idx="11">
                  <c:v>0</c:v>
                </c:pt>
              </c:numCache>
            </c:numRef>
          </c:val>
          <c:smooth val="0"/>
          <c:extLst>
            <c:ext xmlns:c16="http://schemas.microsoft.com/office/drawing/2014/chart" uri="{C3380CC4-5D6E-409C-BE32-E72D297353CC}">
              <c16:uniqueId val="{00000002-9AAC-402F-8B30-F1FDA6861858}"/>
            </c:ext>
          </c:extLst>
        </c:ser>
        <c:ser>
          <c:idx val="3"/>
          <c:order val="1"/>
          <c:tx>
            <c:strRef>
              <c:f>'Water Temp'!$G$10</c:f>
              <c:strCache>
                <c:ptCount val="1"/>
                <c:pt idx="0">
                  <c:v>20 Max</c:v>
                </c:pt>
              </c:strCache>
            </c:strRef>
          </c:tx>
          <c:spPr>
            <a:ln w="12700" cap="rnd">
              <a:solidFill>
                <a:schemeClr val="accent2"/>
              </a:solidFill>
              <a:prstDash val="sysDash"/>
              <a:round/>
            </a:ln>
            <a:effectLst/>
          </c:spPr>
          <c:marker>
            <c:symbol val="square"/>
            <c:size val="6"/>
            <c:spPr>
              <a:solidFill>
                <a:schemeClr val="accent4"/>
              </a:solidFill>
              <a:ln w="12700">
                <a:solidFill>
                  <a:schemeClr val="accent2"/>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 Temp'!$G$11:$G$22</c:f>
              <c:numCache>
                <c:formatCode>0</c:formatCode>
                <c:ptCount val="12"/>
                <c:pt idx="0">
                  <c:v>0</c:v>
                </c:pt>
                <c:pt idx="1">
                  <c:v>70</c:v>
                </c:pt>
                <c:pt idx="2">
                  <c:v>50</c:v>
                </c:pt>
                <c:pt idx="3">
                  <c:v>55</c:v>
                </c:pt>
                <c:pt idx="4">
                  <c:v>66</c:v>
                </c:pt>
                <c:pt idx="5">
                  <c:v>64</c:v>
                </c:pt>
                <c:pt idx="6">
                  <c:v>66</c:v>
                </c:pt>
                <c:pt idx="7">
                  <c:v>71</c:v>
                </c:pt>
                <c:pt idx="8">
                  <c:v>63</c:v>
                </c:pt>
                <c:pt idx="9">
                  <c:v>54</c:v>
                </c:pt>
                <c:pt idx="10">
                  <c:v>48</c:v>
                </c:pt>
                <c:pt idx="11">
                  <c:v>0</c:v>
                </c:pt>
              </c:numCache>
            </c:numRef>
          </c:val>
          <c:smooth val="0"/>
          <c:extLst>
            <c:ext xmlns:c16="http://schemas.microsoft.com/office/drawing/2014/chart" uri="{C3380CC4-5D6E-409C-BE32-E72D297353CC}">
              <c16:uniqueId val="{00000004-9AAC-402F-8B30-F1FDA6861858}"/>
            </c:ext>
          </c:extLst>
        </c:ser>
        <c:ser>
          <c:idx val="6"/>
          <c:order val="2"/>
          <c:tx>
            <c:strRef>
              <c:f>'Water Temp'!$J$10</c:f>
              <c:strCache>
                <c:ptCount val="1"/>
                <c:pt idx="0">
                  <c:v>21 Ave</c:v>
                </c:pt>
              </c:strCache>
            </c:strRef>
          </c:tx>
          <c:spPr>
            <a:ln w="19050" cap="rnd">
              <a:solidFill>
                <a:schemeClr val="bg1">
                  <a:lumMod val="65000"/>
                </a:schemeClr>
              </a:solidFill>
              <a:round/>
            </a:ln>
            <a:effectLst/>
          </c:spPr>
          <c:marker>
            <c:symbol val="square"/>
            <c:size val="6"/>
            <c:spPr>
              <a:solidFill>
                <a:schemeClr val="accent1">
                  <a:lumMod val="60000"/>
                </a:schemeClr>
              </a:solidFill>
              <a:ln w="9525">
                <a:solidFill>
                  <a:schemeClr val="accent1">
                    <a:lumMod val="60000"/>
                  </a:schemeClr>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 Temp'!$J$11:$J$22</c:f>
              <c:numCache>
                <c:formatCode>0</c:formatCode>
                <c:ptCount val="12"/>
                <c:pt idx="0">
                  <c:v>42.833333333333336</c:v>
                </c:pt>
                <c:pt idx="1">
                  <c:v>0</c:v>
                </c:pt>
                <c:pt idx="2">
                  <c:v>44.222222222222221</c:v>
                </c:pt>
                <c:pt idx="3">
                  <c:v>44.088888888888889</c:v>
                </c:pt>
                <c:pt idx="4">
                  <c:v>48.204081632653065</c:v>
                </c:pt>
                <c:pt idx="5">
                  <c:v>56.524999999999999</c:v>
                </c:pt>
                <c:pt idx="6">
                  <c:v>54</c:v>
                </c:pt>
                <c:pt idx="7">
                  <c:v>52.333333333333336</c:v>
                </c:pt>
                <c:pt idx="8">
                  <c:v>54.925925925925924</c:v>
                </c:pt>
                <c:pt idx="9">
                  <c:v>49.5625</c:v>
                </c:pt>
                <c:pt idx="10">
                  <c:v>46.571428571428569</c:v>
                </c:pt>
                <c:pt idx="11">
                  <c:v>42</c:v>
                </c:pt>
              </c:numCache>
            </c:numRef>
          </c:val>
          <c:smooth val="0"/>
          <c:extLst>
            <c:ext xmlns:c16="http://schemas.microsoft.com/office/drawing/2014/chart" uri="{C3380CC4-5D6E-409C-BE32-E72D297353CC}">
              <c16:uniqueId val="{00000007-9AAC-402F-8B30-F1FDA6861858}"/>
            </c:ext>
          </c:extLst>
        </c:ser>
        <c:ser>
          <c:idx val="0"/>
          <c:order val="3"/>
          <c:tx>
            <c:strRef>
              <c:f>'Water Temp'!$K$10</c:f>
              <c:strCache>
                <c:ptCount val="1"/>
                <c:pt idx="0">
                  <c:v>21 Max</c:v>
                </c:pt>
              </c:strCache>
            </c:strRef>
          </c:tx>
          <c:spPr>
            <a:ln w="12700" cap="rnd">
              <a:solidFill>
                <a:schemeClr val="bg1">
                  <a:lumMod val="65000"/>
                </a:schemeClr>
              </a:solidFill>
              <a:prstDash val="sysDash"/>
              <a:round/>
            </a:ln>
            <a:effectLst/>
          </c:spPr>
          <c:marker>
            <c:symbol val="diamond"/>
            <c:size val="8"/>
            <c:spPr>
              <a:noFill/>
              <a:ln w="9525">
                <a:solidFill>
                  <a:srgbClr val="FF6600"/>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 Temp'!$K$11:$K$22</c:f>
              <c:numCache>
                <c:formatCode>0</c:formatCode>
                <c:ptCount val="12"/>
                <c:pt idx="0">
                  <c:v>48</c:v>
                </c:pt>
                <c:pt idx="1">
                  <c:v>0</c:v>
                </c:pt>
                <c:pt idx="2">
                  <c:v>49</c:v>
                </c:pt>
                <c:pt idx="3">
                  <c:v>70</c:v>
                </c:pt>
                <c:pt idx="4">
                  <c:v>64</c:v>
                </c:pt>
                <c:pt idx="5">
                  <c:v>71</c:v>
                </c:pt>
                <c:pt idx="6">
                  <c:v>70</c:v>
                </c:pt>
                <c:pt idx="7">
                  <c:v>70</c:v>
                </c:pt>
                <c:pt idx="8">
                  <c:v>68</c:v>
                </c:pt>
                <c:pt idx="9">
                  <c:v>61</c:v>
                </c:pt>
                <c:pt idx="10">
                  <c:v>49</c:v>
                </c:pt>
                <c:pt idx="11">
                  <c:v>42</c:v>
                </c:pt>
              </c:numCache>
            </c:numRef>
          </c:val>
          <c:smooth val="0"/>
          <c:extLst>
            <c:ext xmlns:c16="http://schemas.microsoft.com/office/drawing/2014/chart" uri="{C3380CC4-5D6E-409C-BE32-E72D297353CC}">
              <c16:uniqueId val="{00000000-9AAC-402F-8B30-F1FDA6861858}"/>
            </c:ext>
          </c:extLst>
        </c:ser>
        <c:ser>
          <c:idx val="4"/>
          <c:order val="4"/>
          <c:tx>
            <c:strRef>
              <c:f>'Water Temp'!$N$10</c:f>
              <c:strCache>
                <c:ptCount val="1"/>
                <c:pt idx="0">
                  <c:v>22 Ave</c:v>
                </c:pt>
              </c:strCache>
            </c:strRef>
          </c:tx>
          <c:spPr>
            <a:ln w="28575" cap="rnd">
              <a:solidFill>
                <a:schemeClr val="accent5"/>
              </a:solidFill>
              <a:round/>
            </a:ln>
            <a:effectLst/>
          </c:spPr>
          <c:marker>
            <c:symbol val="square"/>
            <c:size val="8"/>
            <c:spPr>
              <a:noFill/>
              <a:ln w="9525">
                <a:solidFill>
                  <a:srgbClr val="002060"/>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 Temp'!$N$11:$N$22</c:f>
              <c:numCache>
                <c:formatCode>0</c:formatCode>
                <c:ptCount val="12"/>
                <c:pt idx="0">
                  <c:v>0</c:v>
                </c:pt>
                <c:pt idx="1">
                  <c:v>44</c:v>
                </c:pt>
                <c:pt idx="2">
                  <c:v>41</c:v>
                </c:pt>
                <c:pt idx="3">
                  <c:v>45.94736842105263</c:v>
                </c:pt>
                <c:pt idx="4">
                  <c:v>52.230769230769234</c:v>
                </c:pt>
                <c:pt idx="5">
                  <c:v>61.227272727272727</c:v>
                </c:pt>
                <c:pt idx="6">
                  <c:v>62.208955223880594</c:v>
                </c:pt>
                <c:pt idx="7">
                  <c:v>55.68333333333333</c:v>
                </c:pt>
                <c:pt idx="8">
                  <c:v>47.774999999999999</c:v>
                </c:pt>
                <c:pt idx="9">
                  <c:v>51.083333333333336</c:v>
                </c:pt>
                <c:pt idx="10">
                  <c:v>45.75</c:v>
                </c:pt>
                <c:pt idx="11">
                  <c:v>0</c:v>
                </c:pt>
              </c:numCache>
            </c:numRef>
          </c:val>
          <c:smooth val="0"/>
          <c:extLst>
            <c:ext xmlns:c16="http://schemas.microsoft.com/office/drawing/2014/chart" uri="{C3380CC4-5D6E-409C-BE32-E72D297353CC}">
              <c16:uniqueId val="{00000005-9AAC-402F-8B30-F1FDA6861858}"/>
            </c:ext>
          </c:extLst>
        </c:ser>
        <c:ser>
          <c:idx val="7"/>
          <c:order val="5"/>
          <c:tx>
            <c:strRef>
              <c:f>'Water Temp'!$O$10</c:f>
              <c:strCache>
                <c:ptCount val="1"/>
                <c:pt idx="0">
                  <c:v>22 Max</c:v>
                </c:pt>
              </c:strCache>
            </c:strRef>
          </c:tx>
          <c:spPr>
            <a:ln w="12700" cap="rnd">
              <a:solidFill>
                <a:srgbClr val="0070C0"/>
              </a:solidFill>
              <a:prstDash val="sysDash"/>
              <a:round/>
            </a:ln>
            <a:effectLst/>
          </c:spPr>
          <c:marker>
            <c:symbol val="diamond"/>
            <c:size val="8"/>
            <c:spPr>
              <a:noFill/>
              <a:ln w="12700">
                <a:solidFill>
                  <a:schemeClr val="tx1"/>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'Water Temp'!$O$11:$O$22</c:f>
              <c:numCache>
                <c:formatCode>0</c:formatCode>
                <c:ptCount val="12"/>
                <c:pt idx="0">
                  <c:v>0</c:v>
                </c:pt>
                <c:pt idx="1">
                  <c:v>44</c:v>
                </c:pt>
                <c:pt idx="2">
                  <c:v>41</c:v>
                </c:pt>
                <c:pt idx="3">
                  <c:v>57</c:v>
                </c:pt>
                <c:pt idx="4">
                  <c:v>68</c:v>
                </c:pt>
                <c:pt idx="5">
                  <c:v>74</c:v>
                </c:pt>
                <c:pt idx="6">
                  <c:v>84</c:v>
                </c:pt>
                <c:pt idx="7">
                  <c:v>76</c:v>
                </c:pt>
                <c:pt idx="8">
                  <c:v>74</c:v>
                </c:pt>
                <c:pt idx="9">
                  <c:v>58</c:v>
                </c:pt>
                <c:pt idx="10">
                  <c:v>55</c:v>
                </c:pt>
                <c:pt idx="11">
                  <c:v>0</c:v>
                </c:pt>
              </c:numCache>
            </c:numRef>
          </c:val>
          <c:smooth val="0"/>
          <c:extLst>
            <c:ext xmlns:c16="http://schemas.microsoft.com/office/drawing/2014/chart" uri="{C3380CC4-5D6E-409C-BE32-E72D297353CC}">
              <c16:uniqueId val="{00000008-9AAC-402F-8B30-F1FDA6861858}"/>
            </c:ext>
          </c:extLst>
        </c:ser>
        <c:ser>
          <c:idx val="2"/>
          <c:order val="6"/>
          <c:tx>
            <c:strRef>
              <c:f>'Water Temp'!$R$10</c:f>
              <c:strCache>
                <c:ptCount val="1"/>
                <c:pt idx="0">
                  <c:v>23 Ave</c:v>
                </c:pt>
              </c:strCache>
            </c:strRef>
          </c:tx>
          <c:spPr>
            <a:ln w="19050" cap="rnd">
              <a:solidFill>
                <a:schemeClr val="accent6">
                  <a:lumMod val="75000"/>
                </a:schemeClr>
              </a:solidFill>
              <a:round/>
            </a:ln>
            <a:effectLst/>
          </c:spPr>
          <c:marker>
            <c:symbol val="circle"/>
            <c:size val="5"/>
            <c:spPr>
              <a:solidFill>
                <a:schemeClr val="accent3"/>
              </a:solidFill>
              <a:ln w="12700">
                <a:solidFill>
                  <a:schemeClr val="accent2"/>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extLst xmlns:c15="http://schemas.microsoft.com/office/drawing/2012/chart"/>
            </c:strRef>
          </c:cat>
          <c:val>
            <c:numRef>
              <c:f>'Water Temp'!$R$11:$R$22</c:f>
              <c:numCache>
                <c:formatCode>0</c:formatCode>
                <c:ptCount val="12"/>
                <c:pt idx="0">
                  <c:v>0</c:v>
                </c:pt>
                <c:pt idx="1">
                  <c:v>39</c:v>
                </c:pt>
                <c:pt idx="2">
                  <c:v>44</c:v>
                </c:pt>
                <c:pt idx="3">
                  <c:v>52.87096774193548</c:v>
                </c:pt>
                <c:pt idx="4">
                  <c:v>58.194690265486727</c:v>
                </c:pt>
                <c:pt idx="5">
                  <c:v>61.242990654205606</c:v>
                </c:pt>
                <c:pt idx="6">
                  <c:v>61.487012987012989</c:v>
                </c:pt>
                <c:pt idx="7">
                  <c:v>61.296703296703299</c:v>
                </c:pt>
                <c:pt idx="8">
                  <c:v>58.736842105263158</c:v>
                </c:pt>
                <c:pt idx="9">
                  <c:v>50.702702702702702</c:v>
                </c:pt>
                <c:pt idx="10">
                  <c:v>0</c:v>
                </c:pt>
                <c:pt idx="11">
                  <c:v>48</c:v>
                </c:pt>
              </c:numCache>
            </c:numRef>
          </c:val>
          <c:smooth val="0"/>
          <c:extLst xmlns:c15="http://schemas.microsoft.com/office/drawing/2012/chart">
            <c:ext xmlns:c16="http://schemas.microsoft.com/office/drawing/2014/chart" uri="{C3380CC4-5D6E-409C-BE32-E72D297353CC}">
              <c16:uniqueId val="{00000003-9AAC-402F-8B30-F1FDA6861858}"/>
            </c:ext>
          </c:extLst>
        </c:ser>
        <c:ser>
          <c:idx val="5"/>
          <c:order val="7"/>
          <c:tx>
            <c:strRef>
              <c:f>'Water Temp'!$S$10</c:f>
              <c:strCache>
                <c:ptCount val="1"/>
                <c:pt idx="0">
                  <c:v>23 Max</c:v>
                </c:pt>
              </c:strCache>
            </c:strRef>
          </c:tx>
          <c:spPr>
            <a:ln w="12700" cap="rnd">
              <a:solidFill>
                <a:schemeClr val="accent6">
                  <a:lumMod val="75000"/>
                </a:schemeClr>
              </a:solidFill>
              <a:prstDash val="sysDash"/>
              <a:round/>
            </a:ln>
            <a:effectLst/>
          </c:spPr>
          <c:marker>
            <c:symbol val="circle"/>
            <c:size val="5"/>
            <c:spPr>
              <a:solidFill>
                <a:schemeClr val="accent6"/>
              </a:solidFill>
              <a:ln w="9525">
                <a:solidFill>
                  <a:schemeClr val="accent6"/>
                </a:solidFill>
              </a:ln>
              <a:effectLst/>
            </c:spPr>
          </c:marker>
          <c:cat>
            <c:strRef>
              <c:f>'Water Temp'!$B$11:$B$22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extLst xmlns:c15="http://schemas.microsoft.com/office/drawing/2012/chart"/>
            </c:strRef>
          </c:cat>
          <c:val>
            <c:numRef>
              <c:f>'Water Temp'!$S$11:$S$22</c:f>
              <c:numCache>
                <c:formatCode>0</c:formatCode>
                <c:ptCount val="12"/>
                <c:pt idx="0">
                  <c:v>0</c:v>
                </c:pt>
                <c:pt idx="1">
                  <c:v>39</c:v>
                </c:pt>
                <c:pt idx="2">
                  <c:v>44</c:v>
                </c:pt>
                <c:pt idx="3">
                  <c:v>62</c:v>
                </c:pt>
                <c:pt idx="4">
                  <c:v>80</c:v>
                </c:pt>
                <c:pt idx="5">
                  <c:v>81</c:v>
                </c:pt>
                <c:pt idx="6">
                  <c:v>81</c:v>
                </c:pt>
                <c:pt idx="7">
                  <c:v>77</c:v>
                </c:pt>
                <c:pt idx="8">
                  <c:v>76</c:v>
                </c:pt>
                <c:pt idx="9">
                  <c:v>65</c:v>
                </c:pt>
                <c:pt idx="10">
                  <c:v>0</c:v>
                </c:pt>
                <c:pt idx="11">
                  <c:v>48</c:v>
                </c:pt>
              </c:numCache>
            </c:numRef>
          </c:val>
          <c:smooth val="0"/>
          <c:extLst xmlns:c15="http://schemas.microsoft.com/office/drawing/2012/chart">
            <c:ext xmlns:c16="http://schemas.microsoft.com/office/drawing/2014/chart" uri="{C3380CC4-5D6E-409C-BE32-E72D297353CC}">
              <c16:uniqueId val="{00000006-9AAC-402F-8B30-F1FDA6861858}"/>
            </c:ext>
          </c:extLst>
        </c:ser>
        <c:ser>
          <c:idx val="13"/>
          <c:order val="13"/>
          <c:tx>
            <c:strRef>
              <c:f>'Water Temp'!$V$10</c:f>
              <c:strCache>
                <c:ptCount val="1"/>
                <c:pt idx="0">
                  <c:v>24 Ave</c:v>
                </c:pt>
              </c:strCache>
            </c:strRef>
          </c:tx>
          <c:spPr>
            <a:ln w="12700" cap="rnd">
              <a:solidFill>
                <a:srgbClr val="7030A0"/>
              </a:solidFill>
              <a:round/>
            </a:ln>
            <a:effectLst/>
          </c:spPr>
          <c:marker>
            <c:symbol val="circle"/>
            <c:size val="5"/>
            <c:spPr>
              <a:solidFill>
                <a:schemeClr val="accent2">
                  <a:lumMod val="80000"/>
                  <a:lumOff val="20000"/>
                </a:schemeClr>
              </a:solidFill>
              <a:ln w="12700">
                <a:solidFill>
                  <a:srgbClr val="7030A0"/>
                </a:solidFill>
              </a:ln>
              <a:effectLst/>
            </c:spPr>
          </c:marker>
          <c:val>
            <c:numRef>
              <c:f>'Water Temp'!$V$11:$V$22</c:f>
              <c:numCache>
                <c:formatCode>0</c:formatCode>
                <c:ptCount val="12"/>
                <c:pt idx="0">
                  <c:v>0</c:v>
                </c:pt>
                <c:pt idx="1">
                  <c:v>43</c:v>
                </c:pt>
                <c:pt idx="2">
                  <c:v>51.230769230769234</c:v>
                </c:pt>
                <c:pt idx="3">
                  <c:v>52.125</c:v>
                </c:pt>
                <c:pt idx="4">
                  <c:v>52.64</c:v>
                </c:pt>
                <c:pt idx="5">
                  <c:v>61.747126436781606</c:v>
                </c:pt>
                <c:pt idx="6">
                  <c:v>60.464566929133859</c:v>
                </c:pt>
                <c:pt idx="7">
                  <c:v>58.186046511627907</c:v>
                </c:pt>
                <c:pt idx="8">
                  <c:v>57.75</c:v>
                </c:pt>
                <c:pt idx="9">
                  <c:v>54</c:v>
                </c:pt>
                <c:pt idx="10">
                  <c:v>0</c:v>
                </c:pt>
                <c:pt idx="11">
                  <c:v>0</c:v>
                </c:pt>
              </c:numCache>
            </c:numRef>
          </c:val>
          <c:smooth val="0"/>
          <c:extLst>
            <c:ext xmlns:c16="http://schemas.microsoft.com/office/drawing/2014/chart" uri="{C3380CC4-5D6E-409C-BE32-E72D297353CC}">
              <c16:uniqueId val="{00000000-A36F-4C72-9900-75F3A00F587F}"/>
            </c:ext>
          </c:extLst>
        </c:ser>
        <c:ser>
          <c:idx val="14"/>
          <c:order val="14"/>
          <c:tx>
            <c:strRef>
              <c:f>'Water Temp'!$W$10</c:f>
              <c:strCache>
                <c:ptCount val="1"/>
                <c:pt idx="0">
                  <c:v>24 Max</c:v>
                </c:pt>
              </c:strCache>
            </c:strRef>
          </c:tx>
          <c:spPr>
            <a:ln w="12700" cap="rnd">
              <a:solidFill>
                <a:srgbClr val="B686DA"/>
              </a:solidFill>
              <a:prstDash val="sysDash"/>
              <a:round/>
            </a:ln>
            <a:effectLst/>
          </c:spPr>
          <c:marker>
            <c:symbol val="diamond"/>
            <c:size val="5"/>
            <c:spPr>
              <a:solidFill>
                <a:schemeClr val="accent2"/>
              </a:solidFill>
              <a:ln w="12700">
                <a:solidFill>
                  <a:srgbClr val="7030A0"/>
                </a:solidFill>
                <a:prstDash val="sysDash"/>
              </a:ln>
              <a:effectLst/>
            </c:spPr>
          </c:marker>
          <c:val>
            <c:numRef>
              <c:f>'Water Temp'!$W$11:$W$22</c:f>
              <c:numCache>
                <c:formatCode>0</c:formatCode>
                <c:ptCount val="12"/>
                <c:pt idx="0">
                  <c:v>0</c:v>
                </c:pt>
                <c:pt idx="1">
                  <c:v>43</c:v>
                </c:pt>
                <c:pt idx="2">
                  <c:v>57</c:v>
                </c:pt>
                <c:pt idx="3">
                  <c:v>62</c:v>
                </c:pt>
                <c:pt idx="4">
                  <c:v>66</c:v>
                </c:pt>
                <c:pt idx="5">
                  <c:v>74</c:v>
                </c:pt>
                <c:pt idx="6">
                  <c:v>79</c:v>
                </c:pt>
                <c:pt idx="7">
                  <c:v>73</c:v>
                </c:pt>
                <c:pt idx="8">
                  <c:v>69</c:v>
                </c:pt>
                <c:pt idx="9">
                  <c:v>64</c:v>
                </c:pt>
                <c:pt idx="10">
                  <c:v>0</c:v>
                </c:pt>
                <c:pt idx="11">
                  <c:v>0</c:v>
                </c:pt>
              </c:numCache>
            </c:numRef>
          </c:val>
          <c:smooth val="0"/>
          <c:extLst>
            <c:ext xmlns:c16="http://schemas.microsoft.com/office/drawing/2014/chart" uri="{C3380CC4-5D6E-409C-BE32-E72D297353CC}">
              <c16:uniqueId val="{00000001-A36F-4C72-9900-75F3A00F587F}"/>
            </c:ext>
          </c:extLst>
        </c:ser>
        <c:dLbls>
          <c:showLegendKey val="0"/>
          <c:showVal val="0"/>
          <c:showCatName val="0"/>
          <c:showSerName val="0"/>
          <c:showPercent val="0"/>
          <c:showBubbleSize val="0"/>
        </c:dLbls>
        <c:marker val="1"/>
        <c:smooth val="0"/>
        <c:axId val="2009363384"/>
        <c:axId val="2009359448"/>
      </c:lineChart>
      <c:catAx>
        <c:axId val="2009363384"/>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Month</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09359448"/>
        <c:crosses val="autoZero"/>
        <c:auto val="1"/>
        <c:lblAlgn val="ctr"/>
        <c:lblOffset val="100"/>
        <c:noMultiLvlLbl val="0"/>
      </c:catAx>
      <c:valAx>
        <c:axId val="2009359448"/>
        <c:scaling>
          <c:orientation val="minMax"/>
          <c:max val="100"/>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Water Tmperature [oF]</a:t>
                </a:r>
              </a:p>
            </c:rich>
          </c:tx>
          <c:layout>
            <c:manualLayout>
              <c:xMode val="edge"/>
              <c:yMode val="edge"/>
              <c:x val="9.6762752338367345E-3"/>
              <c:y val="0.27249862970793204"/>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09363384"/>
        <c:crosses val="autoZero"/>
        <c:crossBetween val="between"/>
      </c:valAx>
      <c:spPr>
        <a:noFill/>
        <a:ln>
          <a:noFill/>
        </a:ln>
        <a:effectLst/>
      </c:spPr>
    </c:plotArea>
    <c:legend>
      <c:legendPos val="r"/>
      <c:layout>
        <c:manualLayout>
          <c:xMode val="edge"/>
          <c:yMode val="edge"/>
          <c:x val="0.89147996140363261"/>
          <c:y val="2.1733085120370643E-2"/>
          <c:w val="6.5488402150266356E-2"/>
          <c:h val="0.91919380796941896"/>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120545421360705E-2"/>
          <c:y val="3.8869245405364829E-2"/>
          <c:w val="0.86676173556510172"/>
          <c:h val="0.79424785223465899"/>
        </c:manualLayout>
      </c:layout>
      <c:barChart>
        <c:barDir val="col"/>
        <c:grouping val="stacked"/>
        <c:varyColors val="0"/>
        <c:ser>
          <c:idx val="2"/>
          <c:order val="2"/>
          <c:tx>
            <c:strRef>
              <c:f>'Water Temp'!$I$47</c:f>
              <c:strCache>
                <c:ptCount val="1"/>
                <c:pt idx="0">
                  <c:v>Safe</c:v>
                </c:pt>
              </c:strCache>
            </c:strRef>
          </c:tx>
          <c:spPr>
            <a:solidFill>
              <a:schemeClr val="accent1">
                <a:lumMod val="20000"/>
                <a:lumOff val="80000"/>
              </a:schemeClr>
            </a:solidFill>
            <a:ln>
              <a:noFill/>
            </a:ln>
            <a:effectLst/>
          </c:spPr>
          <c:invertIfNegative val="0"/>
          <c:val>
            <c:numRef>
              <c:f>'Water Temp'!$I$48:$I$107</c:f>
              <c:numCache>
                <c:formatCode>General</c:formatCode>
                <c:ptCount val="60"/>
                <c:pt idx="0">
                  <c:v>67</c:v>
                </c:pt>
                <c:pt idx="1">
                  <c:v>67</c:v>
                </c:pt>
                <c:pt idx="2">
                  <c:v>67</c:v>
                </c:pt>
                <c:pt idx="3">
                  <c:v>67</c:v>
                </c:pt>
                <c:pt idx="4">
                  <c:v>67</c:v>
                </c:pt>
                <c:pt idx="5">
                  <c:v>67</c:v>
                </c:pt>
                <c:pt idx="6">
                  <c:v>67</c:v>
                </c:pt>
                <c:pt idx="7">
                  <c:v>67</c:v>
                </c:pt>
                <c:pt idx="8">
                  <c:v>67</c:v>
                </c:pt>
                <c:pt idx="9">
                  <c:v>67</c:v>
                </c:pt>
                <c:pt idx="10">
                  <c:v>67</c:v>
                </c:pt>
                <c:pt idx="11">
                  <c:v>67</c:v>
                </c:pt>
                <c:pt idx="12">
                  <c:v>67</c:v>
                </c:pt>
                <c:pt idx="13">
                  <c:v>67</c:v>
                </c:pt>
                <c:pt idx="14">
                  <c:v>67</c:v>
                </c:pt>
                <c:pt idx="15">
                  <c:v>67</c:v>
                </c:pt>
                <c:pt idx="16">
                  <c:v>67</c:v>
                </c:pt>
                <c:pt idx="17">
                  <c:v>67</c:v>
                </c:pt>
                <c:pt idx="18">
                  <c:v>67</c:v>
                </c:pt>
                <c:pt idx="19">
                  <c:v>67</c:v>
                </c:pt>
                <c:pt idx="20">
                  <c:v>67</c:v>
                </c:pt>
                <c:pt idx="21">
                  <c:v>67</c:v>
                </c:pt>
                <c:pt idx="22">
                  <c:v>67</c:v>
                </c:pt>
                <c:pt idx="23">
                  <c:v>67</c:v>
                </c:pt>
                <c:pt idx="24">
                  <c:v>67</c:v>
                </c:pt>
                <c:pt idx="25">
                  <c:v>67</c:v>
                </c:pt>
                <c:pt idx="26">
                  <c:v>67</c:v>
                </c:pt>
                <c:pt idx="27">
                  <c:v>67</c:v>
                </c:pt>
                <c:pt idx="28">
                  <c:v>67</c:v>
                </c:pt>
                <c:pt idx="29">
                  <c:v>67</c:v>
                </c:pt>
                <c:pt idx="30">
                  <c:v>67</c:v>
                </c:pt>
                <c:pt idx="31">
                  <c:v>67</c:v>
                </c:pt>
                <c:pt idx="32">
                  <c:v>67</c:v>
                </c:pt>
                <c:pt idx="33">
                  <c:v>67</c:v>
                </c:pt>
                <c:pt idx="34">
                  <c:v>67</c:v>
                </c:pt>
                <c:pt idx="35">
                  <c:v>67</c:v>
                </c:pt>
                <c:pt idx="36">
                  <c:v>67</c:v>
                </c:pt>
                <c:pt idx="37">
                  <c:v>67</c:v>
                </c:pt>
                <c:pt idx="38">
                  <c:v>67</c:v>
                </c:pt>
                <c:pt idx="39">
                  <c:v>67</c:v>
                </c:pt>
                <c:pt idx="40">
                  <c:v>67</c:v>
                </c:pt>
                <c:pt idx="41">
                  <c:v>67</c:v>
                </c:pt>
                <c:pt idx="42">
                  <c:v>67</c:v>
                </c:pt>
                <c:pt idx="43">
                  <c:v>67</c:v>
                </c:pt>
                <c:pt idx="44">
                  <c:v>67</c:v>
                </c:pt>
                <c:pt idx="45">
                  <c:v>67</c:v>
                </c:pt>
                <c:pt idx="46">
                  <c:v>67</c:v>
                </c:pt>
                <c:pt idx="47">
                  <c:v>67</c:v>
                </c:pt>
                <c:pt idx="48">
                  <c:v>67</c:v>
                </c:pt>
                <c:pt idx="49">
                  <c:v>67</c:v>
                </c:pt>
                <c:pt idx="50">
                  <c:v>67</c:v>
                </c:pt>
                <c:pt idx="51">
                  <c:v>67</c:v>
                </c:pt>
                <c:pt idx="52">
                  <c:v>67</c:v>
                </c:pt>
                <c:pt idx="53">
                  <c:v>67</c:v>
                </c:pt>
                <c:pt idx="54">
                  <c:v>67</c:v>
                </c:pt>
                <c:pt idx="55">
                  <c:v>67</c:v>
                </c:pt>
                <c:pt idx="56">
                  <c:v>67</c:v>
                </c:pt>
                <c:pt idx="57">
                  <c:v>67</c:v>
                </c:pt>
                <c:pt idx="58">
                  <c:v>67</c:v>
                </c:pt>
                <c:pt idx="59">
                  <c:v>67</c:v>
                </c:pt>
              </c:numCache>
            </c:numRef>
          </c:val>
          <c:extLst>
            <c:ext xmlns:c16="http://schemas.microsoft.com/office/drawing/2014/chart" uri="{C3380CC4-5D6E-409C-BE32-E72D297353CC}">
              <c16:uniqueId val="{00000004-7CC9-41EC-8DDC-051CE42FF471}"/>
            </c:ext>
          </c:extLst>
        </c:ser>
        <c:ser>
          <c:idx val="3"/>
          <c:order val="3"/>
          <c:tx>
            <c:strRef>
              <c:f>'Water Temp'!$J$47</c:f>
              <c:strCache>
                <c:ptCount val="1"/>
                <c:pt idx="0">
                  <c:v>Fair</c:v>
                </c:pt>
              </c:strCache>
            </c:strRef>
          </c:tx>
          <c:spPr>
            <a:solidFill>
              <a:srgbClr val="FFFFCC"/>
            </a:solidFill>
            <a:ln>
              <a:noFill/>
            </a:ln>
            <a:effectLst/>
          </c:spPr>
          <c:invertIfNegative val="0"/>
          <c:val>
            <c:numRef>
              <c:f>'Water Temp'!$J$48:$J$107</c:f>
              <c:numCache>
                <c:formatCode>General</c:formatCode>
                <c:ptCount val="60"/>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4</c:v>
                </c:pt>
              </c:numCache>
            </c:numRef>
          </c:val>
          <c:extLst>
            <c:ext xmlns:c16="http://schemas.microsoft.com/office/drawing/2014/chart" uri="{C3380CC4-5D6E-409C-BE32-E72D297353CC}">
              <c16:uniqueId val="{00000005-7CC9-41EC-8DDC-051CE42FF471}"/>
            </c:ext>
          </c:extLst>
        </c:ser>
        <c:ser>
          <c:idx val="4"/>
          <c:order val="4"/>
          <c:tx>
            <c:strRef>
              <c:f>'Water Temp'!$K$47</c:f>
              <c:strCache>
                <c:ptCount val="1"/>
                <c:pt idx="0">
                  <c:v>Critical</c:v>
                </c:pt>
              </c:strCache>
            </c:strRef>
          </c:tx>
          <c:spPr>
            <a:solidFill>
              <a:srgbClr val="F8D1B6"/>
            </a:solidFill>
            <a:ln>
              <a:noFill/>
            </a:ln>
            <a:effectLst/>
          </c:spPr>
          <c:invertIfNegative val="0"/>
          <c:val>
            <c:numRef>
              <c:f>'Water Temp'!$K$48:$K$107</c:f>
              <c:numCache>
                <c:formatCode>General</c:formatCode>
                <c:ptCount val="6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numCache>
            </c:numRef>
          </c:val>
          <c:extLst>
            <c:ext xmlns:c16="http://schemas.microsoft.com/office/drawing/2014/chart" uri="{C3380CC4-5D6E-409C-BE32-E72D297353CC}">
              <c16:uniqueId val="{00000006-7CC9-41EC-8DDC-051CE42FF471}"/>
            </c:ext>
          </c:extLst>
        </c:ser>
        <c:ser>
          <c:idx val="5"/>
          <c:order val="5"/>
          <c:tx>
            <c:strRef>
              <c:f>'Water Temp'!$L$47</c:f>
              <c:strCache>
                <c:ptCount val="1"/>
                <c:pt idx="0">
                  <c:v>Lethal</c:v>
                </c:pt>
              </c:strCache>
            </c:strRef>
          </c:tx>
          <c:spPr>
            <a:solidFill>
              <a:srgbClr val="FEC6C6"/>
            </a:solidFill>
            <a:ln>
              <a:noFill/>
            </a:ln>
            <a:effectLst/>
          </c:spPr>
          <c:invertIfNegative val="0"/>
          <c:val>
            <c:numRef>
              <c:f>'Water Temp'!$L$48:$L$107</c:f>
              <c:numCache>
                <c:formatCode>General</c:formatCode>
                <c:ptCount val="60"/>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pt idx="48">
                  <c:v>24</c:v>
                </c:pt>
                <c:pt idx="49">
                  <c:v>24</c:v>
                </c:pt>
                <c:pt idx="50">
                  <c:v>24</c:v>
                </c:pt>
                <c:pt idx="51">
                  <c:v>24</c:v>
                </c:pt>
                <c:pt idx="52">
                  <c:v>24</c:v>
                </c:pt>
                <c:pt idx="53">
                  <c:v>24</c:v>
                </c:pt>
                <c:pt idx="54">
                  <c:v>24</c:v>
                </c:pt>
                <c:pt idx="55">
                  <c:v>24</c:v>
                </c:pt>
                <c:pt idx="56">
                  <c:v>24</c:v>
                </c:pt>
                <c:pt idx="57">
                  <c:v>24</c:v>
                </c:pt>
                <c:pt idx="58">
                  <c:v>24</c:v>
                </c:pt>
                <c:pt idx="59">
                  <c:v>24</c:v>
                </c:pt>
              </c:numCache>
            </c:numRef>
          </c:val>
          <c:extLst>
            <c:ext xmlns:c16="http://schemas.microsoft.com/office/drawing/2014/chart" uri="{C3380CC4-5D6E-409C-BE32-E72D297353CC}">
              <c16:uniqueId val="{00000007-7CC9-41EC-8DDC-051CE42FF471}"/>
            </c:ext>
          </c:extLst>
        </c:ser>
        <c:dLbls>
          <c:showLegendKey val="0"/>
          <c:showVal val="0"/>
          <c:showCatName val="0"/>
          <c:showSerName val="0"/>
          <c:showPercent val="0"/>
          <c:showBubbleSize val="0"/>
        </c:dLbls>
        <c:gapWidth val="0"/>
        <c:overlap val="100"/>
        <c:axId val="692255280"/>
        <c:axId val="1109473904"/>
      </c:barChart>
      <c:lineChart>
        <c:grouping val="standard"/>
        <c:varyColors val="0"/>
        <c:ser>
          <c:idx val="1"/>
          <c:order val="0"/>
          <c:tx>
            <c:v>Max</c:v>
          </c:tx>
          <c:spPr>
            <a:ln w="28575" cap="rnd">
              <a:solidFill>
                <a:srgbClr val="FF0000"/>
              </a:solidFill>
              <a:round/>
            </a:ln>
            <a:effectLst/>
          </c:spPr>
          <c:marker>
            <c:symbol val="circle"/>
            <c:size val="5"/>
            <c:spPr>
              <a:solidFill>
                <a:schemeClr val="accent2"/>
              </a:solidFill>
              <a:ln w="9525">
                <a:solidFill>
                  <a:schemeClr val="accent2"/>
                </a:solidFill>
              </a:ln>
              <a:effectLst/>
            </c:spPr>
          </c:marker>
          <c:cat>
            <c:numRef>
              <c:f>'Water Temp'!$B$48:$B$107</c:f>
              <c:numCache>
                <c:formatCode>mmm\-yy</c:formatCode>
                <c:ptCount val="6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numCache>
            </c:numRef>
          </c:cat>
          <c:val>
            <c:numRef>
              <c:f>'Water Temp'!$G$48:$G$107</c:f>
              <c:numCache>
                <c:formatCode>0</c:formatCode>
                <c:ptCount val="60"/>
                <c:pt idx="0">
                  <c:v>0</c:v>
                </c:pt>
                <c:pt idx="1">
                  <c:v>0</c:v>
                </c:pt>
                <c:pt idx="2">
                  <c:v>45</c:v>
                </c:pt>
                <c:pt idx="3">
                  <c:v>47</c:v>
                </c:pt>
                <c:pt idx="4">
                  <c:v>56</c:v>
                </c:pt>
                <c:pt idx="5">
                  <c:v>0</c:v>
                </c:pt>
                <c:pt idx="6">
                  <c:v>0</c:v>
                </c:pt>
                <c:pt idx="7">
                  <c:v>63</c:v>
                </c:pt>
                <c:pt idx="8">
                  <c:v>54</c:v>
                </c:pt>
                <c:pt idx="9">
                  <c:v>47</c:v>
                </c:pt>
                <c:pt idx="10">
                  <c:v>0</c:v>
                </c:pt>
                <c:pt idx="11">
                  <c:v>0</c:v>
                </c:pt>
                <c:pt idx="12">
                  <c:v>0</c:v>
                </c:pt>
                <c:pt idx="13">
                  <c:v>0</c:v>
                </c:pt>
                <c:pt idx="14">
                  <c:v>43</c:v>
                </c:pt>
                <c:pt idx="15">
                  <c:v>44</c:v>
                </c:pt>
                <c:pt idx="16">
                  <c:v>61</c:v>
                </c:pt>
                <c:pt idx="17">
                  <c:v>0</c:v>
                </c:pt>
                <c:pt idx="18">
                  <c:v>60</c:v>
                </c:pt>
                <c:pt idx="19">
                  <c:v>0</c:v>
                </c:pt>
                <c:pt idx="20">
                  <c:v>0</c:v>
                </c:pt>
                <c:pt idx="21">
                  <c:v>0</c:v>
                </c:pt>
                <c:pt idx="22">
                  <c:v>0</c:v>
                </c:pt>
                <c:pt idx="23">
                  <c:v>0</c:v>
                </c:pt>
                <c:pt idx="24">
                  <c:v>0</c:v>
                </c:pt>
                <c:pt idx="25">
                  <c:v>0</c:v>
                </c:pt>
                <c:pt idx="26">
                  <c:v>0</c:v>
                </c:pt>
                <c:pt idx="27">
                  <c:v>0</c:v>
                </c:pt>
                <c:pt idx="28">
                  <c:v>0</c:v>
                </c:pt>
                <c:pt idx="29">
                  <c:v>65</c:v>
                </c:pt>
                <c:pt idx="30">
                  <c:v>0</c:v>
                </c:pt>
                <c:pt idx="31">
                  <c:v>61</c:v>
                </c:pt>
                <c:pt idx="32">
                  <c:v>0</c:v>
                </c:pt>
                <c:pt idx="33">
                  <c:v>48</c:v>
                </c:pt>
                <c:pt idx="34">
                  <c:v>0</c:v>
                </c:pt>
                <c:pt idx="35">
                  <c:v>0</c:v>
                </c:pt>
                <c:pt idx="36">
                  <c:v>0</c:v>
                </c:pt>
                <c:pt idx="37">
                  <c:v>0</c:v>
                </c:pt>
                <c:pt idx="38">
                  <c:v>0</c:v>
                </c:pt>
                <c:pt idx="39">
                  <c:v>0</c:v>
                </c:pt>
                <c:pt idx="40">
                  <c:v>58</c:v>
                </c:pt>
                <c:pt idx="41">
                  <c:v>0</c:v>
                </c:pt>
                <c:pt idx="42">
                  <c:v>0</c:v>
                </c:pt>
                <c:pt idx="43">
                  <c:v>0</c:v>
                </c:pt>
                <c:pt idx="44">
                  <c:v>0</c:v>
                </c:pt>
                <c:pt idx="45">
                  <c:v>0</c:v>
                </c:pt>
                <c:pt idx="46">
                  <c:v>0</c:v>
                </c:pt>
                <c:pt idx="47">
                  <c:v>0</c:v>
                </c:pt>
                <c:pt idx="48">
                  <c:v>0</c:v>
                </c:pt>
                <c:pt idx="49">
                  <c:v>0</c:v>
                </c:pt>
                <c:pt idx="50">
                  <c:v>0</c:v>
                </c:pt>
                <c:pt idx="51">
                  <c:v>0</c:v>
                </c:pt>
                <c:pt idx="52">
                  <c:v>59</c:v>
                </c:pt>
                <c:pt idx="53">
                  <c:v>60</c:v>
                </c:pt>
                <c:pt idx="54">
                  <c:v>60</c:v>
                </c:pt>
                <c:pt idx="55">
                  <c:v>0</c:v>
                </c:pt>
                <c:pt idx="56">
                  <c:v>0</c:v>
                </c:pt>
                <c:pt idx="57">
                  <c:v>50</c:v>
                </c:pt>
                <c:pt idx="58">
                  <c:v>0</c:v>
                </c:pt>
                <c:pt idx="59">
                  <c:v>0</c:v>
                </c:pt>
              </c:numCache>
            </c:numRef>
          </c:val>
          <c:smooth val="0"/>
          <c:extLst>
            <c:ext xmlns:c16="http://schemas.microsoft.com/office/drawing/2014/chart" uri="{C3380CC4-5D6E-409C-BE32-E72D297353CC}">
              <c16:uniqueId val="{00000001-7CC9-41EC-8DDC-051CE42FF471}"/>
            </c:ext>
          </c:extLst>
        </c:ser>
        <c:ser>
          <c:idx val="0"/>
          <c:order val="1"/>
          <c:tx>
            <c:v>Average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'Water Temp'!$B$48:$B$107</c:f>
              <c:numCache>
                <c:formatCode>mmm\-yy</c:formatCode>
                <c:ptCount val="60"/>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numCache>
            </c:numRef>
          </c:cat>
          <c:val>
            <c:numRef>
              <c:f>'Water Temp'!$F$48:$F$107</c:f>
              <c:numCache>
                <c:formatCode>0</c:formatCode>
                <c:ptCount val="60"/>
                <c:pt idx="0">
                  <c:v>0</c:v>
                </c:pt>
                <c:pt idx="1">
                  <c:v>0</c:v>
                </c:pt>
                <c:pt idx="2">
                  <c:v>38.75</c:v>
                </c:pt>
                <c:pt idx="3">
                  <c:v>44.25</c:v>
                </c:pt>
                <c:pt idx="4">
                  <c:v>56</c:v>
                </c:pt>
                <c:pt idx="5">
                  <c:v>0</c:v>
                </c:pt>
                <c:pt idx="6">
                  <c:v>0</c:v>
                </c:pt>
                <c:pt idx="7">
                  <c:v>63</c:v>
                </c:pt>
                <c:pt idx="8">
                  <c:v>54</c:v>
                </c:pt>
                <c:pt idx="9">
                  <c:v>47</c:v>
                </c:pt>
                <c:pt idx="10">
                  <c:v>0</c:v>
                </c:pt>
                <c:pt idx="11">
                  <c:v>0</c:v>
                </c:pt>
                <c:pt idx="12">
                  <c:v>0</c:v>
                </c:pt>
                <c:pt idx="13">
                  <c:v>0</c:v>
                </c:pt>
                <c:pt idx="14">
                  <c:v>43</c:v>
                </c:pt>
                <c:pt idx="15">
                  <c:v>43.5</c:v>
                </c:pt>
                <c:pt idx="16">
                  <c:v>57.5</c:v>
                </c:pt>
                <c:pt idx="17">
                  <c:v>0</c:v>
                </c:pt>
                <c:pt idx="18">
                  <c:v>60</c:v>
                </c:pt>
                <c:pt idx="19">
                  <c:v>0</c:v>
                </c:pt>
                <c:pt idx="20">
                  <c:v>0</c:v>
                </c:pt>
                <c:pt idx="21">
                  <c:v>0</c:v>
                </c:pt>
                <c:pt idx="22">
                  <c:v>0</c:v>
                </c:pt>
                <c:pt idx="23">
                  <c:v>0</c:v>
                </c:pt>
                <c:pt idx="24">
                  <c:v>0</c:v>
                </c:pt>
                <c:pt idx="25">
                  <c:v>0</c:v>
                </c:pt>
                <c:pt idx="26">
                  <c:v>0</c:v>
                </c:pt>
                <c:pt idx="27">
                  <c:v>0</c:v>
                </c:pt>
                <c:pt idx="28">
                  <c:v>0</c:v>
                </c:pt>
                <c:pt idx="29">
                  <c:v>65</c:v>
                </c:pt>
                <c:pt idx="30">
                  <c:v>0</c:v>
                </c:pt>
                <c:pt idx="31">
                  <c:v>61</c:v>
                </c:pt>
                <c:pt idx="32">
                  <c:v>0</c:v>
                </c:pt>
                <c:pt idx="33">
                  <c:v>48</c:v>
                </c:pt>
                <c:pt idx="34">
                  <c:v>0</c:v>
                </c:pt>
                <c:pt idx="35">
                  <c:v>0</c:v>
                </c:pt>
                <c:pt idx="36">
                  <c:v>0</c:v>
                </c:pt>
                <c:pt idx="37">
                  <c:v>0</c:v>
                </c:pt>
                <c:pt idx="38">
                  <c:v>0</c:v>
                </c:pt>
                <c:pt idx="39">
                  <c:v>0</c:v>
                </c:pt>
                <c:pt idx="40">
                  <c:v>58</c:v>
                </c:pt>
                <c:pt idx="41">
                  <c:v>0</c:v>
                </c:pt>
                <c:pt idx="42">
                  <c:v>0</c:v>
                </c:pt>
                <c:pt idx="43">
                  <c:v>0</c:v>
                </c:pt>
                <c:pt idx="44">
                  <c:v>0</c:v>
                </c:pt>
                <c:pt idx="45">
                  <c:v>0</c:v>
                </c:pt>
                <c:pt idx="46">
                  <c:v>0</c:v>
                </c:pt>
                <c:pt idx="47">
                  <c:v>0</c:v>
                </c:pt>
                <c:pt idx="48">
                  <c:v>0</c:v>
                </c:pt>
                <c:pt idx="49">
                  <c:v>0</c:v>
                </c:pt>
                <c:pt idx="50">
                  <c:v>0</c:v>
                </c:pt>
                <c:pt idx="51">
                  <c:v>0</c:v>
                </c:pt>
                <c:pt idx="52">
                  <c:v>59</c:v>
                </c:pt>
                <c:pt idx="53">
                  <c:v>59.5</c:v>
                </c:pt>
                <c:pt idx="54">
                  <c:v>60</c:v>
                </c:pt>
                <c:pt idx="55">
                  <c:v>0</c:v>
                </c:pt>
                <c:pt idx="56">
                  <c:v>0</c:v>
                </c:pt>
                <c:pt idx="57">
                  <c:v>50</c:v>
                </c:pt>
                <c:pt idx="58">
                  <c:v>0</c:v>
                </c:pt>
                <c:pt idx="59">
                  <c:v>0</c:v>
                </c:pt>
              </c:numCache>
            </c:numRef>
          </c:val>
          <c:smooth val="0"/>
          <c:extLst>
            <c:ext xmlns:c16="http://schemas.microsoft.com/office/drawing/2014/chart" uri="{C3380CC4-5D6E-409C-BE32-E72D297353CC}">
              <c16:uniqueId val="{00000000-7CC9-41EC-8DDC-051CE42FF471}"/>
            </c:ext>
          </c:extLst>
        </c:ser>
        <c:dLbls>
          <c:showLegendKey val="0"/>
          <c:showVal val="0"/>
          <c:showCatName val="0"/>
          <c:showSerName val="0"/>
          <c:showPercent val="0"/>
          <c:showBubbleSize val="0"/>
        </c:dLbls>
        <c:marker val="1"/>
        <c:smooth val="0"/>
        <c:axId val="692255280"/>
        <c:axId val="1109473904"/>
      </c:lineChart>
      <c:dateAx>
        <c:axId val="692255280"/>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Date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473904"/>
        <c:crosses val="autoZero"/>
        <c:auto val="1"/>
        <c:lblOffset val="100"/>
        <c:baseTimeUnit val="months"/>
      </c:dateAx>
      <c:valAx>
        <c:axId val="1109473904"/>
        <c:scaling>
          <c:orientation val="minMax"/>
          <c:max val="100"/>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Temperature [oF]</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55280"/>
        <c:crosses val="autoZero"/>
        <c:crossBetween val="between"/>
      </c:valAx>
      <c:spPr>
        <a:noFill/>
        <a:ln>
          <a:noFill/>
        </a:ln>
        <a:effectLst/>
      </c:spPr>
    </c:plotArea>
    <c:legend>
      <c:legendPos val="r"/>
      <c:layout>
        <c:manualLayout>
          <c:xMode val="edge"/>
          <c:yMode val="edge"/>
          <c:x val="0.91923142042139727"/>
          <c:y val="0.11452022212858068"/>
          <c:w val="7.0422122484813193E-2"/>
          <c:h val="0.71340657790181172"/>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r>
              <a:rPr lang="en-US" sz="1200" b="0" i="0" u="none" strike="noStrike" baseline="0">
                <a:solidFill>
                  <a:sysClr val="windowText" lastClr="000000">
                    <a:lumMod val="65000"/>
                    <a:lumOff val="35000"/>
                  </a:sysClr>
                </a:solidFill>
                <a:latin typeface="Calibri" panose="020F0502020204030204"/>
              </a:rPr>
              <a:t>Frequency of Disturbances (all years)</a:t>
            </a:r>
          </a:p>
        </c:rich>
      </c:tx>
      <c:layout>
        <c:manualLayout>
          <c:xMode val="edge"/>
          <c:yMode val="edge"/>
          <c:x val="0.40236129960373568"/>
          <c:y val="1.5168000535060176E-2"/>
        </c:manualLayout>
      </c:layout>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97934924283874"/>
          <c:y val="0.11436019580563429"/>
          <c:w val="0.85860181197271246"/>
          <c:h val="0.67005480500717385"/>
        </c:manualLayout>
      </c:layout>
      <c:barChart>
        <c:barDir val="col"/>
        <c:grouping val="clustered"/>
        <c:varyColors val="0"/>
        <c:ser>
          <c:idx val="0"/>
          <c:order val="0"/>
          <c:spPr>
            <a:solidFill>
              <a:schemeClr val="accent1"/>
            </a:solidFill>
            <a:ln w="6350">
              <a:solidFill>
                <a:sysClr val="windowText" lastClr="000000"/>
              </a:solidFill>
            </a:ln>
            <a:effectLst/>
          </c:spPr>
          <c:invertIfNegative val="0"/>
          <c:cat>
            <c:strRef>
              <c:f>Disturbances!$B$10:$B$16</c:f>
              <c:strCache>
                <c:ptCount val="7"/>
                <c:pt idx="0">
                  <c:v>Fish Barrier</c:v>
                </c:pt>
                <c:pt idx="1">
                  <c:v>Bank Erosion</c:v>
                </c:pt>
                <c:pt idx="2">
                  <c:v>Trash</c:v>
                </c:pt>
                <c:pt idx="3">
                  <c:v>Pipe/Drain Outflow</c:v>
                </c:pt>
                <c:pt idx="4">
                  <c:v>Livestock in Water</c:v>
                </c:pt>
                <c:pt idx="5">
                  <c:v>Algal Bloom</c:v>
                </c:pt>
                <c:pt idx="6">
                  <c:v>Fish Kill</c:v>
                </c:pt>
              </c:strCache>
            </c:strRef>
          </c:cat>
          <c:val>
            <c:numRef>
              <c:f>Disturbances!$C$10:$C$16</c:f>
              <c:numCache>
                <c:formatCode>General</c:formatCode>
                <c:ptCount val="7"/>
                <c:pt idx="0">
                  <c:v>86</c:v>
                </c:pt>
                <c:pt idx="1">
                  <c:v>386</c:v>
                </c:pt>
                <c:pt idx="2">
                  <c:v>135</c:v>
                </c:pt>
                <c:pt idx="3">
                  <c:v>55</c:v>
                </c:pt>
                <c:pt idx="4">
                  <c:v>61</c:v>
                </c:pt>
                <c:pt idx="5">
                  <c:v>16</c:v>
                </c:pt>
                <c:pt idx="6">
                  <c:v>2</c:v>
                </c:pt>
              </c:numCache>
            </c:numRef>
          </c:val>
          <c:extLst>
            <c:ext xmlns:c16="http://schemas.microsoft.com/office/drawing/2014/chart" uri="{C3380CC4-5D6E-409C-BE32-E72D297353CC}">
              <c16:uniqueId val="{00000000-6919-43E9-B222-C91F0B55169F}"/>
            </c:ext>
          </c:extLst>
        </c:ser>
        <c:dLbls>
          <c:showLegendKey val="0"/>
          <c:showVal val="0"/>
          <c:showCatName val="0"/>
          <c:showSerName val="0"/>
          <c:showPercent val="0"/>
          <c:showBubbleSize val="0"/>
        </c:dLbls>
        <c:gapWidth val="20"/>
        <c:axId val="2106045424"/>
        <c:axId val="2106039520"/>
      </c:barChart>
      <c:catAx>
        <c:axId val="2106045424"/>
        <c:scaling>
          <c:orientation val="minMax"/>
        </c:scaling>
        <c:delete val="0"/>
        <c:axPos val="b"/>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Disturbance Type</a:t>
                </a:r>
              </a:p>
            </c:rich>
          </c:tx>
          <c:layout>
            <c:manualLayout>
              <c:xMode val="edge"/>
              <c:yMode val="edge"/>
              <c:x val="0.42690752105026541"/>
              <c:y val="0.91058075542476669"/>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baseline="0">
                <a:solidFill>
                  <a:schemeClr val="tx1">
                    <a:lumMod val="65000"/>
                    <a:lumOff val="35000"/>
                  </a:schemeClr>
                </a:solidFill>
                <a:latin typeface="+mn-lt"/>
                <a:ea typeface="+mn-ea"/>
                <a:cs typeface="+mn-cs"/>
              </a:defRPr>
            </a:pPr>
            <a:endParaRPr lang="en-US"/>
          </a:p>
        </c:txPr>
        <c:crossAx val="2106039520"/>
        <c:crosses val="autoZero"/>
        <c:auto val="1"/>
        <c:lblAlgn val="ctr"/>
        <c:lblOffset val="100"/>
        <c:noMultiLvlLbl val="0"/>
      </c:catAx>
      <c:valAx>
        <c:axId val="210603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r>
                  <a:rPr lang="en-US" sz="1100" b="1"/>
                  <a:t>Occurences</a:t>
                </a:r>
              </a:p>
            </c:rich>
          </c:tx>
          <c:layout>
            <c:manualLayout>
              <c:xMode val="edge"/>
              <c:yMode val="edge"/>
              <c:x val="1.9847027591684812E-2"/>
              <c:y val="0.34082439790940933"/>
            </c:manualLayout>
          </c:layout>
          <c:overlay val="0"/>
          <c:spPr>
            <a:noFill/>
            <a:ln>
              <a:noFill/>
            </a:ln>
            <a:effectLst/>
          </c:spPr>
          <c:txPr>
            <a:bodyPr rot="-5400000" spcFirstLastPara="1" vertOverflow="ellipsis" vert="horz" wrap="square" anchor="ctr" anchorCtr="1"/>
            <a:lstStyle/>
            <a:p>
              <a:pPr>
                <a:defRPr sz="1100" b="1"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1050" b="0" i="0" u="none" strike="noStrike" baseline="0">
                <a:solidFill>
                  <a:schemeClr val="tx1">
                    <a:lumMod val="65000"/>
                    <a:lumOff val="35000"/>
                  </a:schemeClr>
                </a:solidFill>
                <a:latin typeface="+mn-lt"/>
                <a:ea typeface="+mn-ea"/>
                <a:cs typeface="+mn-cs"/>
              </a:defRPr>
            </a:pPr>
            <a:endParaRPr lang="en-US"/>
          </a:p>
        </c:txPr>
        <c:crossAx val="210604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3">
  <a:schemeClr val="accent3"/>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3">
  <a:schemeClr val="accent3"/>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withinLinearReversed" id="24">
  <a:schemeClr val="accent4"/>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3">
  <a:schemeClr val="accent3"/>
</cs:colorStyle>
</file>

<file path=xl/charts/colors25.xml><?xml version="1.0" encoding="utf-8"?>
<cs:colorStyle xmlns:cs="http://schemas.microsoft.com/office/drawing/2012/chartStyle" xmlns:a="http://schemas.openxmlformats.org/drawingml/2006/main" meth="withinLinearReversed" id="21">
  <a:schemeClr val="accent1"/>
</cs:colorStyle>
</file>

<file path=xl/charts/colors26.xml><?xml version="1.0" encoding="utf-8"?>
<cs:colorStyle xmlns:cs="http://schemas.microsoft.com/office/drawing/2012/chartStyle" xmlns:a="http://schemas.openxmlformats.org/drawingml/2006/main" meth="withinLinearReversed" id="24">
  <a:schemeClr val="accent4"/>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Reversed" id="23">
  <a:schemeClr val="accent3"/>
</cs:colorStyle>
</file>

<file path=xl/charts/colors30.xml><?xml version="1.0" encoding="utf-8"?>
<cs:colorStyle xmlns:cs="http://schemas.microsoft.com/office/drawing/2012/chartStyle" xmlns:a="http://schemas.openxmlformats.org/drawingml/2006/main" meth="withinLinearReversed" id="21">
  <a:schemeClr val="accent1"/>
</cs:colorStyle>
</file>

<file path=xl/charts/colors31.xml><?xml version="1.0" encoding="utf-8"?>
<cs:colorStyle xmlns:cs="http://schemas.microsoft.com/office/drawing/2012/chartStyle" xmlns:a="http://schemas.openxmlformats.org/drawingml/2006/main" meth="withinLinearReversed" id="24">
  <a:schemeClr val="accent4"/>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5" Type="http://schemas.openxmlformats.org/officeDocument/2006/relationships/chart" Target="../charts/chart33.xml"/><Relationship Id="rId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866775</xdr:colOff>
          <xdr:row>5</xdr:row>
          <xdr:rowOff>85725</xdr:rowOff>
        </xdr:from>
        <xdr:to>
          <xdr:col>1</xdr:col>
          <xdr:colOff>542925</xdr:colOff>
          <xdr:row>5</xdr:row>
          <xdr:rowOff>561975</xdr:rowOff>
        </xdr:to>
        <xdr:sp macro="" textlink="">
          <xdr:nvSpPr>
            <xdr:cNvPr id="11269" name="Button 5" descr="Load Raw Data&#10;" hidden="1">
              <a:extLst>
                <a:ext uri="{63B3BB69-23CF-44E3-9099-C40C66FF867C}">
                  <a14:compatExt spid="_x0000_s11269"/>
                </a:ext>
                <a:ext uri="{FF2B5EF4-FFF2-40B4-BE49-F238E27FC236}">
                  <a16:creationId xmlns:a16="http://schemas.microsoft.com/office/drawing/2014/main" id="{00000000-0008-0000-0000-000005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Load Raw Data</a:t>
              </a:r>
            </a:p>
            <a:p>
              <a:pPr algn="ctr" rtl="0">
                <a:defRPr sz="1000"/>
              </a:pPr>
              <a:endParaRPr lang="en-US" sz="1100" b="0" i="0" u="none" strike="noStrike" baseline="0">
                <a:solidFill>
                  <a:srgbClr val="000000"/>
                </a:solidFill>
                <a:latin typeface="Calibri"/>
                <a:ea typeface="Calibri"/>
                <a:cs typeface="Calibri"/>
              </a:endParaRP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93886</xdr:colOff>
      <xdr:row>7</xdr:row>
      <xdr:rowOff>227919</xdr:rowOff>
    </xdr:from>
    <xdr:to>
      <xdr:col>5</xdr:col>
      <xdr:colOff>898071</xdr:colOff>
      <xdr:row>8</xdr:row>
      <xdr:rowOff>732744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10660</xdr:colOff>
      <xdr:row>15</xdr:row>
      <xdr:rowOff>34021</xdr:rowOff>
    </xdr:from>
    <xdr:to>
      <xdr:col>24</xdr:col>
      <xdr:colOff>561975</xdr:colOff>
      <xdr:row>28</xdr:row>
      <xdr:rowOff>60325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234</xdr:row>
      <xdr:rowOff>152400</xdr:rowOff>
    </xdr:from>
    <xdr:to>
      <xdr:col>3</xdr:col>
      <xdr:colOff>557213</xdr:colOff>
      <xdr:row>240</xdr:row>
      <xdr:rowOff>139700</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628650" y="48958500"/>
          <a:ext cx="2538413" cy="1130300"/>
        </a:xfrm>
        <a:prstGeom prst="roundRect">
          <a:avLst>
            <a:gd name="adj" fmla="val 4244"/>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28804</xdr:colOff>
      <xdr:row>228</xdr:row>
      <xdr:rowOff>95933</xdr:rowOff>
    </xdr:from>
    <xdr:to>
      <xdr:col>3</xdr:col>
      <xdr:colOff>573317</xdr:colOff>
      <xdr:row>232</xdr:row>
      <xdr:rowOff>119745</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638404" y="46914483"/>
          <a:ext cx="2551113" cy="785812"/>
        </a:xfrm>
        <a:prstGeom prst="roundRect">
          <a:avLst>
            <a:gd name="adj" fmla="val 7472"/>
          </a:avLst>
        </a:prstGeom>
        <a:solidFill>
          <a:schemeClr val="bg1">
            <a:lumMod val="8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674916</xdr:colOff>
      <xdr:row>232</xdr:row>
      <xdr:rowOff>159430</xdr:rowOff>
    </xdr:from>
    <xdr:to>
      <xdr:col>1</xdr:col>
      <xdr:colOff>1133804</xdr:colOff>
      <xdr:row>235</xdr:row>
      <xdr:rowOff>59897</xdr:rowOff>
    </xdr:to>
    <xdr:pic>
      <xdr:nvPicPr>
        <xdr:cNvPr id="6" name="Graphic 1" descr="Fish with solid fill">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84516" y="47739980"/>
          <a:ext cx="460793" cy="464982"/>
        </a:xfrm>
        <a:prstGeom prst="rect">
          <a:avLst/>
        </a:prstGeom>
      </xdr:spPr>
    </xdr:pic>
    <xdr:clientData/>
  </xdr:twoCellAnchor>
  <xdr:twoCellAnchor>
    <xdr:from>
      <xdr:col>18</xdr:col>
      <xdr:colOff>42862</xdr:colOff>
      <xdr:row>5</xdr:row>
      <xdr:rowOff>71437</xdr:rowOff>
    </xdr:from>
    <xdr:to>
      <xdr:col>22</xdr:col>
      <xdr:colOff>471487</xdr:colOff>
      <xdr:row>12</xdr:row>
      <xdr:rowOff>195262</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462646</xdr:colOff>
      <xdr:row>2</xdr:row>
      <xdr:rowOff>35832</xdr:rowOff>
    </xdr:from>
    <xdr:to>
      <xdr:col>22</xdr:col>
      <xdr:colOff>807360</xdr:colOff>
      <xdr:row>15</xdr:row>
      <xdr:rowOff>90714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468303</xdr:colOff>
      <xdr:row>16</xdr:row>
      <xdr:rowOff>153756</xdr:rowOff>
    </xdr:from>
    <xdr:to>
      <xdr:col>23</xdr:col>
      <xdr:colOff>2</xdr:colOff>
      <xdr:row>26</xdr:row>
      <xdr:rowOff>708383</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459230</xdr:colOff>
      <xdr:row>27</xdr:row>
      <xdr:rowOff>16096</xdr:rowOff>
    </xdr:from>
    <xdr:to>
      <xdr:col>22</xdr:col>
      <xdr:colOff>807360</xdr:colOff>
      <xdr:row>42</xdr:row>
      <xdr:rowOff>168859</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463992</xdr:colOff>
      <xdr:row>43</xdr:row>
      <xdr:rowOff>22447</xdr:rowOff>
    </xdr:from>
    <xdr:to>
      <xdr:col>22</xdr:col>
      <xdr:colOff>796097</xdr:colOff>
      <xdr:row>58</xdr:row>
      <xdr:rowOff>187230</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507095</xdr:colOff>
      <xdr:row>62</xdr:row>
      <xdr:rowOff>106135</xdr:rowOff>
    </xdr:from>
    <xdr:to>
      <xdr:col>23</xdr:col>
      <xdr:colOff>56246</xdr:colOff>
      <xdr:row>83</xdr:row>
      <xdr:rowOff>154214</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558793</xdr:colOff>
      <xdr:row>17</xdr:row>
      <xdr:rowOff>0</xdr:rowOff>
    </xdr:from>
    <xdr:to>
      <xdr:col>22</xdr:col>
      <xdr:colOff>246283</xdr:colOff>
      <xdr:row>18</xdr:row>
      <xdr:rowOff>149678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3766793" y="3773714"/>
          <a:ext cx="268061"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A</a:t>
          </a:r>
        </a:p>
      </xdr:txBody>
    </xdr:sp>
    <xdr:clientData/>
  </xdr:twoCellAnchor>
  <xdr:twoCellAnchor>
    <xdr:from>
      <xdr:col>21</xdr:col>
      <xdr:colOff>558793</xdr:colOff>
      <xdr:row>27</xdr:row>
      <xdr:rowOff>186417</xdr:rowOff>
    </xdr:from>
    <xdr:to>
      <xdr:col>22</xdr:col>
      <xdr:colOff>246283</xdr:colOff>
      <xdr:row>29</xdr:row>
      <xdr:rowOff>74384</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13766793" y="7198631"/>
          <a:ext cx="268061" cy="2780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B</a:t>
          </a:r>
        </a:p>
      </xdr:txBody>
    </xdr:sp>
    <xdr:clientData/>
  </xdr:twoCellAnchor>
  <xdr:twoCellAnchor>
    <xdr:from>
      <xdr:col>21</xdr:col>
      <xdr:colOff>558793</xdr:colOff>
      <xdr:row>44</xdr:row>
      <xdr:rowOff>16780</xdr:rowOff>
    </xdr:from>
    <xdr:to>
      <xdr:col>22</xdr:col>
      <xdr:colOff>246283</xdr:colOff>
      <xdr:row>45</xdr:row>
      <xdr:rowOff>112030</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3766793" y="10276566"/>
          <a:ext cx="268061"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121100</xdr:colOff>
      <xdr:row>1</xdr:row>
      <xdr:rowOff>45810</xdr:rowOff>
    </xdr:from>
    <xdr:to>
      <xdr:col>22</xdr:col>
      <xdr:colOff>390068</xdr:colOff>
      <xdr:row>15</xdr:row>
      <xdr:rowOff>90713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114510</xdr:colOff>
      <xdr:row>16</xdr:row>
      <xdr:rowOff>153756</xdr:rowOff>
    </xdr:from>
    <xdr:to>
      <xdr:col>22</xdr:col>
      <xdr:colOff>403527</xdr:colOff>
      <xdr:row>26</xdr:row>
      <xdr:rowOff>708383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102262</xdr:colOff>
      <xdr:row>27</xdr:row>
      <xdr:rowOff>16096</xdr:rowOff>
    </xdr:from>
    <xdr:to>
      <xdr:col>22</xdr:col>
      <xdr:colOff>391278</xdr:colOff>
      <xdr:row>42</xdr:row>
      <xdr:rowOff>168859</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110199</xdr:colOff>
      <xdr:row>43</xdr:row>
      <xdr:rowOff>22447</xdr:rowOff>
    </xdr:from>
    <xdr:to>
      <xdr:col>22</xdr:col>
      <xdr:colOff>415090</xdr:colOff>
      <xdr:row>58</xdr:row>
      <xdr:rowOff>187230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29023</xdr:colOff>
      <xdr:row>62</xdr:row>
      <xdr:rowOff>90714</xdr:rowOff>
    </xdr:from>
    <xdr:to>
      <xdr:col>22</xdr:col>
      <xdr:colOff>378275</xdr:colOff>
      <xdr:row>83</xdr:row>
      <xdr:rowOff>72571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558793</xdr:colOff>
      <xdr:row>17</xdr:row>
      <xdr:rowOff>0</xdr:rowOff>
    </xdr:from>
    <xdr:to>
      <xdr:col>21</xdr:col>
      <xdr:colOff>246283</xdr:colOff>
      <xdr:row>18</xdr:row>
      <xdr:rowOff>149678</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4030318" y="3721100"/>
          <a:ext cx="268515" cy="340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A</a:t>
          </a:r>
        </a:p>
      </xdr:txBody>
    </xdr:sp>
    <xdr:clientData/>
  </xdr:twoCellAnchor>
  <xdr:twoCellAnchor>
    <xdr:from>
      <xdr:col>20</xdr:col>
      <xdr:colOff>558793</xdr:colOff>
      <xdr:row>27</xdr:row>
      <xdr:rowOff>186417</xdr:rowOff>
    </xdr:from>
    <xdr:to>
      <xdr:col>21</xdr:col>
      <xdr:colOff>246283</xdr:colOff>
      <xdr:row>29</xdr:row>
      <xdr:rowOff>74384</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4030318" y="6923767"/>
          <a:ext cx="268515" cy="288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B</a:t>
          </a:r>
        </a:p>
      </xdr:txBody>
    </xdr:sp>
    <xdr:clientData/>
  </xdr:twoCellAnchor>
  <xdr:twoCellAnchor>
    <xdr:from>
      <xdr:col>20</xdr:col>
      <xdr:colOff>558793</xdr:colOff>
      <xdr:row>44</xdr:row>
      <xdr:rowOff>16780</xdr:rowOff>
    </xdr:from>
    <xdr:to>
      <xdr:col>21</xdr:col>
      <xdr:colOff>246283</xdr:colOff>
      <xdr:row>45</xdr:row>
      <xdr:rowOff>112030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14030318" y="10024380"/>
          <a:ext cx="26851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54429</xdr:colOff>
      <xdr:row>2</xdr:row>
      <xdr:rowOff>35832</xdr:rowOff>
    </xdr:from>
    <xdr:to>
      <xdr:col>23</xdr:col>
      <xdr:colOff>399143</xdr:colOff>
      <xdr:row>15</xdr:row>
      <xdr:rowOff>90714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60086</xdr:colOff>
      <xdr:row>16</xdr:row>
      <xdr:rowOff>153756</xdr:rowOff>
    </xdr:from>
    <xdr:to>
      <xdr:col>23</xdr:col>
      <xdr:colOff>408214</xdr:colOff>
      <xdr:row>26</xdr:row>
      <xdr:rowOff>708383</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51013</xdr:colOff>
      <xdr:row>27</xdr:row>
      <xdr:rowOff>16096</xdr:rowOff>
    </xdr:from>
    <xdr:to>
      <xdr:col>23</xdr:col>
      <xdr:colOff>399143</xdr:colOff>
      <xdr:row>42</xdr:row>
      <xdr:rowOff>168859</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55775</xdr:colOff>
      <xdr:row>43</xdr:row>
      <xdr:rowOff>22447</xdr:rowOff>
    </xdr:from>
    <xdr:to>
      <xdr:col>23</xdr:col>
      <xdr:colOff>387880</xdr:colOff>
      <xdr:row>58</xdr:row>
      <xdr:rowOff>187230</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54882</xdr:colOff>
      <xdr:row>62</xdr:row>
      <xdr:rowOff>27215</xdr:rowOff>
    </xdr:from>
    <xdr:to>
      <xdr:col>23</xdr:col>
      <xdr:colOff>420462</xdr:colOff>
      <xdr:row>83</xdr:row>
      <xdr:rowOff>15422</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558793</xdr:colOff>
      <xdr:row>17</xdr:row>
      <xdr:rowOff>0</xdr:rowOff>
    </xdr:from>
    <xdr:to>
      <xdr:col>23</xdr:col>
      <xdr:colOff>246283</xdr:colOff>
      <xdr:row>18</xdr:row>
      <xdr:rowOff>149678</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4030318" y="3721100"/>
          <a:ext cx="268515" cy="340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A</a:t>
          </a:r>
        </a:p>
      </xdr:txBody>
    </xdr:sp>
    <xdr:clientData/>
  </xdr:twoCellAnchor>
  <xdr:twoCellAnchor>
    <xdr:from>
      <xdr:col>22</xdr:col>
      <xdr:colOff>558793</xdr:colOff>
      <xdr:row>27</xdr:row>
      <xdr:rowOff>186417</xdr:rowOff>
    </xdr:from>
    <xdr:to>
      <xdr:col>23</xdr:col>
      <xdr:colOff>246283</xdr:colOff>
      <xdr:row>29</xdr:row>
      <xdr:rowOff>74384</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4030318" y="6923767"/>
          <a:ext cx="268515" cy="288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B</a:t>
          </a:r>
        </a:p>
      </xdr:txBody>
    </xdr:sp>
    <xdr:clientData/>
  </xdr:twoCellAnchor>
  <xdr:twoCellAnchor>
    <xdr:from>
      <xdr:col>22</xdr:col>
      <xdr:colOff>558793</xdr:colOff>
      <xdr:row>44</xdr:row>
      <xdr:rowOff>16780</xdr:rowOff>
    </xdr:from>
    <xdr:to>
      <xdr:col>23</xdr:col>
      <xdr:colOff>246283</xdr:colOff>
      <xdr:row>45</xdr:row>
      <xdr:rowOff>112030</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14030318" y="10024380"/>
          <a:ext cx="26851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C</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54429</xdr:colOff>
      <xdr:row>2</xdr:row>
      <xdr:rowOff>35832</xdr:rowOff>
    </xdr:from>
    <xdr:to>
      <xdr:col>22</xdr:col>
      <xdr:colOff>399143</xdr:colOff>
      <xdr:row>15</xdr:row>
      <xdr:rowOff>90714</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60086</xdr:colOff>
      <xdr:row>16</xdr:row>
      <xdr:rowOff>153756</xdr:rowOff>
    </xdr:from>
    <xdr:to>
      <xdr:col>22</xdr:col>
      <xdr:colOff>408214</xdr:colOff>
      <xdr:row>26</xdr:row>
      <xdr:rowOff>708383</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51013</xdr:colOff>
      <xdr:row>27</xdr:row>
      <xdr:rowOff>16096</xdr:rowOff>
    </xdr:from>
    <xdr:to>
      <xdr:col>22</xdr:col>
      <xdr:colOff>399143</xdr:colOff>
      <xdr:row>42</xdr:row>
      <xdr:rowOff>168859</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55775</xdr:colOff>
      <xdr:row>43</xdr:row>
      <xdr:rowOff>22447</xdr:rowOff>
    </xdr:from>
    <xdr:to>
      <xdr:col>22</xdr:col>
      <xdr:colOff>387880</xdr:colOff>
      <xdr:row>58</xdr:row>
      <xdr:rowOff>187230</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30843</xdr:colOff>
      <xdr:row>62</xdr:row>
      <xdr:rowOff>106135</xdr:rowOff>
    </xdr:from>
    <xdr:to>
      <xdr:col>22</xdr:col>
      <xdr:colOff>396423</xdr:colOff>
      <xdr:row>83</xdr:row>
      <xdr:rowOff>154214</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558793</xdr:colOff>
      <xdr:row>17</xdr:row>
      <xdr:rowOff>0</xdr:rowOff>
    </xdr:from>
    <xdr:to>
      <xdr:col>22</xdr:col>
      <xdr:colOff>246283</xdr:colOff>
      <xdr:row>18</xdr:row>
      <xdr:rowOff>149678</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14030318" y="3721100"/>
          <a:ext cx="268515" cy="340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A</a:t>
          </a:r>
        </a:p>
      </xdr:txBody>
    </xdr:sp>
    <xdr:clientData/>
  </xdr:twoCellAnchor>
  <xdr:twoCellAnchor>
    <xdr:from>
      <xdr:col>21</xdr:col>
      <xdr:colOff>558793</xdr:colOff>
      <xdr:row>27</xdr:row>
      <xdr:rowOff>186417</xdr:rowOff>
    </xdr:from>
    <xdr:to>
      <xdr:col>22</xdr:col>
      <xdr:colOff>246283</xdr:colOff>
      <xdr:row>29</xdr:row>
      <xdr:rowOff>74384</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14030318" y="6923767"/>
          <a:ext cx="268515" cy="288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B</a:t>
          </a:r>
        </a:p>
      </xdr:txBody>
    </xdr:sp>
    <xdr:clientData/>
  </xdr:twoCellAnchor>
  <xdr:twoCellAnchor>
    <xdr:from>
      <xdr:col>21</xdr:col>
      <xdr:colOff>558793</xdr:colOff>
      <xdr:row>44</xdr:row>
      <xdr:rowOff>16780</xdr:rowOff>
    </xdr:from>
    <xdr:to>
      <xdr:col>22</xdr:col>
      <xdr:colOff>246283</xdr:colOff>
      <xdr:row>45</xdr:row>
      <xdr:rowOff>112030</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14030318" y="10024380"/>
          <a:ext cx="26851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C</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54429</xdr:colOff>
      <xdr:row>2</xdr:row>
      <xdr:rowOff>35832</xdr:rowOff>
    </xdr:from>
    <xdr:to>
      <xdr:col>23</xdr:col>
      <xdr:colOff>399143</xdr:colOff>
      <xdr:row>15</xdr:row>
      <xdr:rowOff>90714</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60086</xdr:colOff>
      <xdr:row>16</xdr:row>
      <xdr:rowOff>153756</xdr:rowOff>
    </xdr:from>
    <xdr:to>
      <xdr:col>23</xdr:col>
      <xdr:colOff>408214</xdr:colOff>
      <xdr:row>26</xdr:row>
      <xdr:rowOff>708383</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51013</xdr:colOff>
      <xdr:row>27</xdr:row>
      <xdr:rowOff>16096</xdr:rowOff>
    </xdr:from>
    <xdr:to>
      <xdr:col>23</xdr:col>
      <xdr:colOff>399143</xdr:colOff>
      <xdr:row>42</xdr:row>
      <xdr:rowOff>168859</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55775</xdr:colOff>
      <xdr:row>43</xdr:row>
      <xdr:rowOff>22447</xdr:rowOff>
    </xdr:from>
    <xdr:to>
      <xdr:col>23</xdr:col>
      <xdr:colOff>387880</xdr:colOff>
      <xdr:row>58</xdr:row>
      <xdr:rowOff>187230</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54882</xdr:colOff>
      <xdr:row>62</xdr:row>
      <xdr:rowOff>27215</xdr:rowOff>
    </xdr:from>
    <xdr:to>
      <xdr:col>23</xdr:col>
      <xdr:colOff>420462</xdr:colOff>
      <xdr:row>83</xdr:row>
      <xdr:rowOff>15422</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558793</xdr:colOff>
      <xdr:row>17</xdr:row>
      <xdr:rowOff>0</xdr:rowOff>
    </xdr:from>
    <xdr:to>
      <xdr:col>23</xdr:col>
      <xdr:colOff>246283</xdr:colOff>
      <xdr:row>18</xdr:row>
      <xdr:rowOff>149678</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14595468" y="3714750"/>
          <a:ext cx="268515" cy="340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A</a:t>
          </a:r>
        </a:p>
      </xdr:txBody>
    </xdr:sp>
    <xdr:clientData/>
  </xdr:twoCellAnchor>
  <xdr:twoCellAnchor>
    <xdr:from>
      <xdr:col>22</xdr:col>
      <xdr:colOff>558793</xdr:colOff>
      <xdr:row>27</xdr:row>
      <xdr:rowOff>186417</xdr:rowOff>
    </xdr:from>
    <xdr:to>
      <xdr:col>23</xdr:col>
      <xdr:colOff>246283</xdr:colOff>
      <xdr:row>29</xdr:row>
      <xdr:rowOff>74384</xdr:rowOff>
    </xdr:to>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14595468" y="6917417"/>
          <a:ext cx="268515" cy="288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B</a:t>
          </a:r>
        </a:p>
      </xdr:txBody>
    </xdr:sp>
    <xdr:clientData/>
  </xdr:twoCellAnchor>
  <xdr:twoCellAnchor>
    <xdr:from>
      <xdr:col>22</xdr:col>
      <xdr:colOff>558793</xdr:colOff>
      <xdr:row>44</xdr:row>
      <xdr:rowOff>16780</xdr:rowOff>
    </xdr:from>
    <xdr:to>
      <xdr:col>23</xdr:col>
      <xdr:colOff>246283</xdr:colOff>
      <xdr:row>45</xdr:row>
      <xdr:rowOff>112030</xdr:rowOff>
    </xdr:to>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14595468" y="10018030"/>
          <a:ext cx="26851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C</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54429</xdr:colOff>
      <xdr:row>2</xdr:row>
      <xdr:rowOff>35832</xdr:rowOff>
    </xdr:from>
    <xdr:to>
      <xdr:col>23</xdr:col>
      <xdr:colOff>399143</xdr:colOff>
      <xdr:row>15</xdr:row>
      <xdr:rowOff>90714</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60086</xdr:colOff>
      <xdr:row>16</xdr:row>
      <xdr:rowOff>153756</xdr:rowOff>
    </xdr:from>
    <xdr:to>
      <xdr:col>23</xdr:col>
      <xdr:colOff>408214</xdr:colOff>
      <xdr:row>26</xdr:row>
      <xdr:rowOff>708383</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51013</xdr:colOff>
      <xdr:row>27</xdr:row>
      <xdr:rowOff>16096</xdr:rowOff>
    </xdr:from>
    <xdr:to>
      <xdr:col>23</xdr:col>
      <xdr:colOff>399143</xdr:colOff>
      <xdr:row>42</xdr:row>
      <xdr:rowOff>168859</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55775</xdr:colOff>
      <xdr:row>43</xdr:row>
      <xdr:rowOff>22447</xdr:rowOff>
    </xdr:from>
    <xdr:to>
      <xdr:col>23</xdr:col>
      <xdr:colOff>387880</xdr:colOff>
      <xdr:row>58</xdr:row>
      <xdr:rowOff>187230</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54882</xdr:colOff>
      <xdr:row>62</xdr:row>
      <xdr:rowOff>27215</xdr:rowOff>
    </xdr:from>
    <xdr:to>
      <xdr:col>23</xdr:col>
      <xdr:colOff>420462</xdr:colOff>
      <xdr:row>83</xdr:row>
      <xdr:rowOff>15422</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558793</xdr:colOff>
      <xdr:row>17</xdr:row>
      <xdr:rowOff>0</xdr:rowOff>
    </xdr:from>
    <xdr:to>
      <xdr:col>23</xdr:col>
      <xdr:colOff>246283</xdr:colOff>
      <xdr:row>18</xdr:row>
      <xdr:rowOff>149678</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14595468" y="3714750"/>
          <a:ext cx="268515" cy="340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A</a:t>
          </a:r>
        </a:p>
      </xdr:txBody>
    </xdr:sp>
    <xdr:clientData/>
  </xdr:twoCellAnchor>
  <xdr:twoCellAnchor>
    <xdr:from>
      <xdr:col>22</xdr:col>
      <xdr:colOff>558793</xdr:colOff>
      <xdr:row>27</xdr:row>
      <xdr:rowOff>186417</xdr:rowOff>
    </xdr:from>
    <xdr:to>
      <xdr:col>23</xdr:col>
      <xdr:colOff>246283</xdr:colOff>
      <xdr:row>29</xdr:row>
      <xdr:rowOff>74384</xdr:rowOff>
    </xdr:to>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14595468" y="6917417"/>
          <a:ext cx="268515" cy="288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B</a:t>
          </a:r>
        </a:p>
      </xdr:txBody>
    </xdr:sp>
    <xdr:clientData/>
  </xdr:twoCellAnchor>
  <xdr:twoCellAnchor>
    <xdr:from>
      <xdr:col>22</xdr:col>
      <xdr:colOff>558793</xdr:colOff>
      <xdr:row>44</xdr:row>
      <xdr:rowOff>16780</xdr:rowOff>
    </xdr:from>
    <xdr:to>
      <xdr:col>23</xdr:col>
      <xdr:colOff>246283</xdr:colOff>
      <xdr:row>45</xdr:row>
      <xdr:rowOff>112030</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14595468" y="10018030"/>
          <a:ext cx="26851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C</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24</xdr:row>
      <xdr:rowOff>12450</xdr:rowOff>
    </xdr:from>
    <xdr:to>
      <xdr:col>23</xdr:col>
      <xdr:colOff>81643</xdr:colOff>
      <xdr:row>42</xdr:row>
      <xdr:rowOff>53293</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169637</xdr:rowOff>
    </xdr:from>
    <xdr:to>
      <xdr:col>23</xdr:col>
      <xdr:colOff>18143</xdr:colOff>
      <xdr:row>45</xdr:row>
      <xdr:rowOff>4112986</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xdr:colOff>
      <xdr:row>20</xdr:row>
      <xdr:rowOff>14462</xdr:rowOff>
    </xdr:from>
    <xdr:to>
      <xdr:col>9</xdr:col>
      <xdr:colOff>352778</xdr:colOff>
      <xdr:row>36</xdr:row>
      <xdr:rowOff>94544</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006\planning%20bureau\Documents%20and%20Settings\carterb\Local%20Settings\Temporary%20Internet%20Files\OLK102\FLOWA1.xl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Sheet1"/>
      <sheetName val="B"/>
      <sheetName val="C"/>
      <sheetName val="D"/>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204D7B-EE0D-4035-BF7E-E8D234454B4C}" name="TU_DB" displayName="TU_DB" ref="A7:BR2326" totalsRowShown="0" headerRowDxfId="100" dataDxfId="99" tableBorderDxfId="98" dataCellStyle="Note">
  <autoFilter ref="A7:BR2326" xr:uid="{61204D7B-EE0D-4035-BF7E-E8D234454B4C}"/>
  <sortState xmlns:xlrd2="http://schemas.microsoft.com/office/spreadsheetml/2017/richdata2" ref="A8:BN10">
    <sortCondition descending="1" ref="D7:D10"/>
  </sortState>
  <tableColumns count="70">
    <tableColumn id="1" xr3:uid="{0EC08E1A-6404-4512-A80F-173EF0084370}" name="Database" dataDxfId="97" dataCellStyle="Note"/>
    <tableColumn id="2" xr3:uid="{8C2B6415-2895-4FE7-B910-D3BA56BD44F1}" name="ObsNo" dataDxfId="96" dataCellStyle="Note"/>
    <tableColumn id="3" xr3:uid="{AEA53588-320D-4283-972E-6971793B0B79}" name="Observation Date/Time-UTC" dataDxfId="95" dataCellStyle="Note"/>
    <tableColumn id="4" xr3:uid="{0C88B940-E707-4272-ACB4-44B79211573E}" name="Observation Date/Time-Local" dataDxfId="94" dataCellStyle="Note"/>
    <tableColumn id="5" xr3:uid="{17D74286-77A9-49BE-910E-EF63015612BB}" name="Observation Date-Local" dataDxfId="93" dataCellStyle="Note"/>
    <tableColumn id="61" xr3:uid="{EEDB8636-3BBA-4A3A-B271-9A6B4262CE1C}" name="Year" dataDxfId="92" dataCellStyle="Note"/>
    <tableColumn id="11" xr3:uid="{9CB8C88C-CACB-491C-8B88-6276989973E9}" name="Month No." dataDxfId="91" dataCellStyle="Note"/>
    <tableColumn id="7" xr3:uid="{07F0B6EE-CE6E-4518-A38E-FFB34F0385E5}" name="ObserverID" dataDxfId="90" dataCellStyle="Note"/>
    <tableColumn id="8" xr3:uid="{E434698D-77C6-4FA8-B292-0F7A06F2CC4D}" name="Monitoring Site" dataDxfId="89" dataCellStyle="Note"/>
    <tableColumn id="9" xr3:uid="{D2B481E5-E3DC-436C-8667-97F823A99E2B}" name="Longitude" dataDxfId="88" dataCellStyle="Note"/>
    <tableColumn id="10" xr3:uid="{401EFC4F-324F-4596-86C7-370B0E860ADC}" name="Latitude" dataDxfId="87" dataCellStyle="Note"/>
    <tableColumn id="62" xr3:uid="{C33EF91B-BBDE-48D7-80ED-AAE56D6F3B01}" name="Zonal" dataDxfId="86" dataCellStyle="Note"/>
    <tableColumn id="54" xr3:uid="{483A6BF5-75C6-4EB0-864A-89EB0CE5699D}" name="Photo No." dataDxfId="85" dataCellStyle="Note"/>
    <tableColumn id="13" xr3:uid="{BC793D2C-9CA7-4EFD-8253-809C9990D86E}" name="Photo Flag" dataDxfId="84" dataCellStyle="Note"/>
    <tableColumn id="14" xr3:uid="{4C8E7546-8708-4C30-86F8-D52A2C7586FE}" name="Public" dataDxfId="83" dataCellStyle="Note"/>
    <tableColumn id="15" xr3:uid="{40724E7F-B439-4ECB-AC70-7E8BEA768F29}" name="5n1  Flag " dataDxfId="82" dataCellStyle="Note"/>
    <tableColumn id="16" xr3:uid="{6E92E9F8-9802-45BD-817C-4ED437BD65BB}" name="ALK Bin (ppm)" dataDxfId="81" dataCellStyle="Note"/>
    <tableColumn id="17" xr3:uid="{8F47EBFD-3ED5-4A1A-A189-BB7B496568D7}" name="HRD Bin (ppm)" dataDxfId="80" dataCellStyle="Note"/>
    <tableColumn id="18" xr3:uid="{9632A6A7-7267-457D-ADFD-56D8093ADE52}" name="NO2 Bin (5n1) (ppm)" dataDxfId="79" dataCellStyle="Note"/>
    <tableColumn id="19" xr3:uid="{97109DCA-BE5E-4FFF-BA91-2023BD3DE6FF}" name="NO3 Bin (5n1) (ppm)" dataDxfId="78" dataCellStyle="Note"/>
    <tableColumn id="20" xr3:uid="{F37F9ED3-457D-4858-A791-D72A85C27539}" name="pH Bin" dataDxfId="77" dataCellStyle="Note"/>
    <tableColumn id="21" xr3:uid="{3E7F8792-E6E7-4185-9FDF-DB9CE671F5BE}" name="Phos Flag" dataDxfId="76" dataCellStyle="Note"/>
    <tableColumn id="22" xr3:uid="{1413F8E3-6DDB-45F8-ADEE-0EB7C6AA7453}" name="Orthophosphate (ppb)" dataDxfId="75" dataCellStyle="Note"/>
    <tableColumn id="23" xr3:uid="{F8FE4F71-FF77-49F0-8B1F-205F8D15D062}" name="Water Temp Flag" dataDxfId="74" dataCellStyle="Note"/>
    <tableColumn id="24" xr3:uid="{3A407912-1286-4591-9B0B-02AB5D4D2C9E}" name="Water Temperature (oF)" dataDxfId="73" dataCellStyle="Note"/>
    <tableColumn id="25" xr3:uid="{EFD6FE27-4AD9-4C2E-96E3-73D488333971}" name="2n1  Flag " dataDxfId="72" dataCellStyle="Note"/>
    <tableColumn id="26" xr3:uid="{FA071DA8-FB87-4795-8256-69C80E3C2995}" name="NO2 Bin (2n1) (ppm)" dataDxfId="71" dataCellStyle="Note"/>
    <tableColumn id="27" xr3:uid="{2DE6B37F-934E-422F-8538-B4102DB7FBB2}" name="NO3 Bin (2n1) (ppm)" dataDxfId="70" dataCellStyle="Note"/>
    <tableColumn id="28" xr3:uid="{7F4D3890-C41F-42B5-A49F-721EEC0C7C52}" name="Source" dataDxfId="69" dataCellStyle="Note"/>
    <tableColumn id="29" xr3:uid="{D2285060-8A8D-41A0-BF08-C668BCF40A1F}" name="Disturbances" dataDxfId="68" dataCellStyle="Note"/>
    <tableColumn id="30" xr3:uid="{795C4EF9-6CEE-4F3B-A906-54577593196A}" name="Fish Barrier" dataDxfId="67" dataCellStyle="Note"/>
    <tableColumn id="31" xr3:uid="{A7B1654A-BCA3-476F-A14D-4AFEA6C16A8A}" name="Bank Erosion" dataDxfId="66" dataCellStyle="Note"/>
    <tableColumn id="32" xr3:uid="{16792E5A-2107-43E8-AD2C-DDA2B023E42A}" name="Trash" dataDxfId="65" dataCellStyle="Note"/>
    <tableColumn id="33" xr3:uid="{54D7D556-72B6-4506-838A-D7FA9AB7B596}" name="Pipe/Drain Outflow" dataDxfId="64" dataCellStyle="Note"/>
    <tableColumn id="55" xr3:uid="{EA73642E-DC5B-4410-BE4E-484554D43D35}" name="Livestock in Water" dataDxfId="63" dataCellStyle="Note"/>
    <tableColumn id="56" xr3:uid="{21723714-82A6-453D-935B-653BEDF76062}" name="Algal Bloom" dataDxfId="62" dataCellStyle="Note"/>
    <tableColumn id="57" xr3:uid="{C70A25F3-BCCB-4A16-9D0A-D4B87E8AA571}" name="Fish Kill" dataDxfId="61" dataCellStyle="Note"/>
    <tableColumn id="34" xr3:uid="{35AC7AAF-0A0F-4992-992F-8556F8E82480}" name="None (Disturbance)" dataDxfId="60" dataCellStyle="Note"/>
    <tableColumn id="35" xr3:uid="{717F5F71-EB1F-44B0-8F3B-8992A0262810}" name="Dis: Not Reported" dataDxfId="59" dataCellStyle="Note"/>
    <tableColumn id="36" xr3:uid="{EF3A860C-0994-473F-A948-CABBA3534371}" name="Water Level" dataDxfId="58"/>
    <tableColumn id="37" xr3:uid="{0764B259-AA3E-45F8-92E5-9786C6249236}" name="Water Level Flag" dataDxfId="57" dataCellStyle="Note"/>
    <tableColumn id="38" xr3:uid="{FBE535B3-8FF3-4A8A-9162-2791E7747DFA}" name="Clarity" dataDxfId="56" dataCellStyle="Note"/>
    <tableColumn id="39" xr3:uid="{55B755E6-B919-4F0B-88D5-0925FFBDD956}" name="Clarity Flag" dataDxfId="55" dataCellStyle="Note"/>
    <tableColumn id="40" xr3:uid="{FEF54782-3FFF-4C15-95F8-FA78045A11DB}" name="Weather" dataDxfId="54"/>
    <tableColumn id="41" xr3:uid="{D6A7CFBA-0A39-42B4-BA30-273503962C93}" name="Regional Rainfall" dataDxfId="53" dataCellStyle="Note"/>
    <tableColumn id="42" xr3:uid="{AEB48F05-C2A0-40F2-8A8C-5E802E2A277F}" name="Local Thunderstorm" dataDxfId="52" dataCellStyle="Note"/>
    <tableColumn id="43" xr3:uid="{7603108D-8A4E-42CD-BF28-5DD6D3065845}" name="Snowmelt" dataDxfId="51" dataCellStyle="Note"/>
    <tableColumn id="44" xr3:uid="{3575F634-4C56-4B14-B5CB-8ACC0DCCA607}" name="None (Weather)" dataDxfId="50" dataCellStyle="Note"/>
    <tableColumn id="45" xr3:uid="{3B73B49E-B2B4-4A7D-8AA1-1E9B934325A6}" name="Not Reported (Weather)" dataDxfId="49" dataCellStyle="Note"/>
    <tableColumn id="46" xr3:uid="{CFC798CD-5D46-4EF5-99D6-D1270872B2AC}" name="Observation Comments" dataDxfId="48"/>
    <tableColumn id="47" xr3:uid="{07BE04FE-BF9F-4A38-A930-33EBC3DCB30C}" name="Obs Com Flag" dataDxfId="47" dataCellStyle="Note"/>
    <tableColumn id="48" xr3:uid="{DFC7B6E9-E18C-4A3E-A5F5-B9AA3A53A75B}" name="Bank Erosion4" dataDxfId="46" dataCellStyle="Note"/>
    <tableColumn id="49" xr3:uid="{D8402A52-4BD5-4CA7-8A6E-6D9234E3F136}" name="Trash5" dataDxfId="45" dataCellStyle="Note"/>
    <tableColumn id="50" xr3:uid="{1EAC7149-4543-4FC8-A17B-E59B5668937E}" name="Pipe Drain6" dataDxfId="44" dataCellStyle="Note"/>
    <tableColumn id="51" xr3:uid="{7F9025A9-ABFB-452B-B74E-8C839F6685BD}" name="Livestock in Water2" dataDxfId="43" dataCellStyle="Note"/>
    <tableColumn id="58" xr3:uid="{29430C5D-CD32-4993-8417-509E95264FBC}" name="Algal Bloom3" dataDxfId="42" dataCellStyle="Note"/>
    <tableColumn id="59" xr3:uid="{969CD95C-B91D-4317-8263-E3307CE8D943}" name="Fish Kill4" dataDxfId="41" dataCellStyle="Note"/>
    <tableColumn id="60" xr3:uid="{431752D4-E097-4679-9476-22209F35B427}" name="None7" dataDxfId="40" dataCellStyle="Note"/>
    <tableColumn id="52" xr3:uid="{053B5937-80A4-48B2-A65E-D161917CC8A5}" name="Dis: Not Reported8" dataDxfId="39" dataCellStyle="Note"/>
    <tableColumn id="53" xr3:uid="{E032AA41-475D-45B0-8072-4372ED8EAA1D}" name="All Streams" dataDxfId="38" dataCellStyle="Note"/>
    <tableColumn id="68" xr3:uid="{A456F405-3793-4AEC-844D-9800F0617065}" name="Primary Stream" dataDxfId="37" dataCellStyle="Note"/>
    <tableColumn id="6" xr3:uid="{371BB455-FA8B-4C41-B779-2FCEBBB5B982}" name="Trout Stream Flag" dataDxfId="36" dataCellStyle="Note"/>
    <tableColumn id="12" xr3:uid="{E137E437-41DA-4E3A-AFF4-EE4DB09CAC9A}" name="Brook Trout Stream Flag" dataDxfId="35" dataCellStyle="Note"/>
    <tableColumn id="67" xr3:uid="{C81CE8E2-1E8A-49FE-9E5C-5DD380E4C533}" name="Plotting Zone" dataDxfId="34" dataCellStyle="Note"/>
    <tableColumn id="64" xr3:uid="{7AD59CD0-B2E1-4374-9B6F-E03B159E92EE}" name="TU Chapter Area" dataDxfId="33" dataCellStyle="Note"/>
    <tableColumn id="65" xr3:uid="{421CFCC0-8E2A-4308-BB45-74C754163D24}" name="Observer Chapter Affiliation" dataDxfId="32" dataCellStyle="Note"/>
    <tableColumn id="63" xr3:uid="{38208CEA-882F-4234-A821-4F47A4123A8E}" name="HUC12 Code" dataDxfId="31" dataCellStyle="Note"/>
    <tableColumn id="66" xr3:uid="{0CD4A49B-6463-496B-9AF4-E4CE0D1919BC}" name="HUC12 Name" dataDxfId="30" dataCellStyle="Note"/>
    <tableColumn id="69" xr3:uid="{F9B3A2A8-601A-4FC0-B4EA-17F5E845DBF2}" name="HUC10 Name" dataDxfId="29" dataCellStyle="Note"/>
    <tableColumn id="70" xr3:uid="{78B81A82-8D9B-488A-8679-3E41C327F092}" name="Column1" dataDxfId="28" dataCellStyl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13FDB9-6774-4636-8414-0CEAA58BF1C7}" name="Table27" displayName="Table27" ref="A5:F75" totalsRowShown="0" headerRowDxfId="27" dataDxfId="26" tableBorderDxfId="25">
  <autoFilter ref="A5:F75" xr:uid="{5913FDB9-6774-4636-8414-0CEAA58BF1C7}"/>
  <tableColumns count="6">
    <tableColumn id="1" xr3:uid="{D5C1E352-F185-4C0D-959F-6FDCEE8F5C30}" name="Col" dataDxfId="24"/>
    <tableColumn id="2" xr3:uid="{AD13A037-FD23-4B0C-9DF6-EF890FDC576A}" name="Production Headers" dataDxfId="23"/>
    <tableColumn id="3" xr3:uid="{FAACEDD2-A2FF-4881-8D41-BA9F2E976BBA}" name="Description" dataDxfId="22"/>
    <tableColumn id="4" xr3:uid="{901009DD-93CA-45C5-AD16-7B878934F512}" name="Data Col" dataDxfId="21"/>
    <tableColumn id="5" xr3:uid="{091650E4-F64B-486A-A4C1-799B8C06D57D}" name="Source/Raw Data Header" dataDxfId="20"/>
    <tableColumn id="6" xr3:uid="{6158BAF5-1DD0-43BF-984A-ABAA0C6CF3D6}" name="Loaded From Raw"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21F9-036D-4035-B7AA-54E69F82F9CE}">
  <sheetPr codeName="Sheet6">
    <tabColor theme="8" tint="0.79998168889431442"/>
  </sheetPr>
  <dimension ref="A1:BR2326"/>
  <sheetViews>
    <sheetView showGridLines="0" tabSelected="1" topLeftCell="D7" zoomScale="115" zoomScaleNormal="115" workbookViewId="0">
      <selection activeCell="AB7" sqref="AB7"/>
    </sheetView>
  </sheetViews>
  <sheetFormatPr defaultRowHeight="15" x14ac:dyDescent="0.25"/>
  <cols>
    <col min="1" max="1" width="29.28515625" customWidth="1"/>
    <col min="2" max="2" width="28" style="29" customWidth="1"/>
    <col min="3" max="3" width="19.140625" style="30" customWidth="1"/>
    <col min="4" max="4" width="18.28515625" style="30" customWidth="1"/>
    <col min="5" max="5" width="10.5703125" style="30" customWidth="1"/>
    <col min="6" max="7" width="6.85546875" style="42" customWidth="1"/>
    <col min="8" max="8" width="35.140625" style="29" customWidth="1"/>
    <col min="9" max="9" width="27.140625" style="29" customWidth="1"/>
    <col min="10" max="11" width="11.28515625" style="29" customWidth="1"/>
    <col min="12" max="12" width="8.7109375" style="29" customWidth="1"/>
    <col min="13" max="13" width="14.28515625" style="107" customWidth="1"/>
    <col min="14" max="14" width="9.42578125" style="29" customWidth="1"/>
    <col min="15" max="16" width="7" style="29" customWidth="1"/>
    <col min="17" max="17" width="7.5703125" style="32" customWidth="1"/>
    <col min="18" max="18" width="7.5703125" style="30" customWidth="1"/>
    <col min="19" max="19" width="15.85546875" style="30" customWidth="1"/>
    <col min="20" max="26" width="7" style="30" customWidth="1"/>
    <col min="27" max="27" width="7.5703125" style="30" customWidth="1"/>
    <col min="28" max="28" width="7" style="30" customWidth="1"/>
    <col min="29" max="29" width="13.7109375" style="30" customWidth="1"/>
    <col min="30" max="30" width="11.7109375" style="30" customWidth="1"/>
    <col min="31" max="39" width="7" style="30" customWidth="1"/>
    <col min="40" max="40" width="11.140625" style="30" customWidth="1"/>
    <col min="41" max="43" width="7" style="30" customWidth="1"/>
    <col min="44" max="44" width="12.42578125" style="30" customWidth="1"/>
    <col min="45" max="49" width="7" style="30" customWidth="1"/>
    <col min="50" max="50" width="31.5703125" style="107" customWidth="1"/>
    <col min="51" max="51" width="8.140625" style="30" customWidth="1"/>
    <col min="52" max="53" width="7.7109375" style="30" customWidth="1"/>
    <col min="54" max="54" width="8.85546875" style="30" customWidth="1"/>
    <col min="55" max="59" width="7.7109375" style="30" customWidth="1"/>
    <col min="60" max="60" width="10.85546875" style="30" customWidth="1"/>
    <col min="61" max="61" width="26.42578125" customWidth="1"/>
    <col min="62" max="62" width="11.28515625" style="1" customWidth="1"/>
    <col min="63" max="63" width="10.42578125" customWidth="1"/>
    <col min="64" max="64" width="10" customWidth="1"/>
    <col min="65" max="65" width="15.5703125" customWidth="1"/>
    <col min="66" max="66" width="18.5703125" customWidth="1"/>
    <col min="67" max="67" width="19.7109375" customWidth="1"/>
    <col min="68" max="68" width="22.140625" customWidth="1"/>
    <col min="69" max="69" width="21.5703125" customWidth="1"/>
  </cols>
  <sheetData>
    <row r="1" spans="1:70" ht="22.5" x14ac:dyDescent="0.45">
      <c r="A1" s="4" t="s">
        <v>1271</v>
      </c>
      <c r="N1" s="31"/>
      <c r="O1" s="30"/>
      <c r="P1" s="30"/>
    </row>
    <row r="2" spans="1:70" ht="15.75" customHeight="1" x14ac:dyDescent="0.25">
      <c r="A2" s="2" t="s">
        <v>72</v>
      </c>
      <c r="B2" s="34" t="s">
        <v>5815</v>
      </c>
      <c r="N2" s="31"/>
      <c r="O2" s="30"/>
      <c r="P2" s="30"/>
    </row>
    <row r="3" spans="1:70" x14ac:dyDescent="0.25">
      <c r="A3" s="3" t="s">
        <v>0</v>
      </c>
      <c r="B3" s="34">
        <v>45580</v>
      </c>
      <c r="D3" s="30" t="s">
        <v>627</v>
      </c>
      <c r="I3" s="33"/>
      <c r="J3" s="35"/>
      <c r="K3" s="35"/>
      <c r="L3" s="35"/>
      <c r="M3" s="271"/>
      <c r="N3" s="31"/>
      <c r="O3" s="30"/>
      <c r="P3" s="30"/>
    </row>
    <row r="4" spans="1:70" x14ac:dyDescent="0.25">
      <c r="A4" s="3" t="s">
        <v>134</v>
      </c>
      <c r="B4" s="36">
        <v>2320</v>
      </c>
      <c r="D4" s="36">
        <v>-6</v>
      </c>
      <c r="I4" s="35"/>
      <c r="J4" s="35"/>
      <c r="K4" s="35"/>
      <c r="L4" s="35"/>
      <c r="M4" s="271"/>
      <c r="N4" s="31"/>
      <c r="O4" s="30"/>
      <c r="P4" s="30"/>
    </row>
    <row r="5" spans="1:70" x14ac:dyDescent="0.25">
      <c r="A5" s="3" t="s">
        <v>955</v>
      </c>
      <c r="B5" s="36">
        <v>2024</v>
      </c>
      <c r="D5" s="42"/>
      <c r="E5" s="42"/>
      <c r="I5" s="35"/>
      <c r="J5" s="35"/>
      <c r="K5" s="35"/>
      <c r="L5" s="35"/>
      <c r="M5" s="271"/>
      <c r="N5" s="31"/>
      <c r="O5" s="30"/>
      <c r="P5" s="30"/>
      <c r="AL5" s="30">
        <f>COUNTIF(TU_DB[None (Disturbance)],1)</f>
        <v>1295</v>
      </c>
      <c r="BK5" s="1"/>
      <c r="BL5" s="1"/>
      <c r="BM5" s="1"/>
    </row>
    <row r="6" spans="1:70" ht="30" customHeight="1" x14ac:dyDescent="0.25">
      <c r="A6" s="3"/>
      <c r="B6" s="81"/>
      <c r="I6" s="35"/>
      <c r="J6" s="35"/>
      <c r="K6" s="35"/>
      <c r="L6" s="35"/>
      <c r="M6" s="271"/>
      <c r="N6" s="31"/>
      <c r="O6" s="30"/>
      <c r="P6" s="30"/>
      <c r="BK6" s="1"/>
      <c r="BM6" s="1"/>
      <c r="BO6" s="544" t="s">
        <v>5929</v>
      </c>
    </row>
    <row r="7" spans="1:70" s="43" customFormat="1" ht="71.25" customHeight="1" x14ac:dyDescent="0.25">
      <c r="A7" s="82" t="s">
        <v>72</v>
      </c>
      <c r="B7" s="82" t="s">
        <v>1</v>
      </c>
      <c r="C7" s="82" t="s">
        <v>148</v>
      </c>
      <c r="D7" s="82" t="s">
        <v>147</v>
      </c>
      <c r="E7" s="82" t="s">
        <v>123</v>
      </c>
      <c r="F7" s="82" t="s">
        <v>156</v>
      </c>
      <c r="G7" s="82" t="s">
        <v>4184</v>
      </c>
      <c r="H7" s="82" t="s">
        <v>2</v>
      </c>
      <c r="I7" s="82" t="s">
        <v>124</v>
      </c>
      <c r="J7" s="83" t="s">
        <v>71</v>
      </c>
      <c r="K7" s="82" t="s">
        <v>70</v>
      </c>
      <c r="L7" s="82" t="s">
        <v>957</v>
      </c>
      <c r="M7" s="108" t="s">
        <v>593</v>
      </c>
      <c r="N7" s="82" t="s">
        <v>92</v>
      </c>
      <c r="O7" s="82" t="s">
        <v>3</v>
      </c>
      <c r="P7" s="83" t="s">
        <v>91</v>
      </c>
      <c r="Q7" s="84" t="s">
        <v>2354</v>
      </c>
      <c r="R7" s="82" t="s">
        <v>2355</v>
      </c>
      <c r="S7" s="82" t="s">
        <v>2356</v>
      </c>
      <c r="T7" s="82" t="s">
        <v>2357</v>
      </c>
      <c r="U7" s="82" t="s">
        <v>4</v>
      </c>
      <c r="V7" s="83" t="s">
        <v>90</v>
      </c>
      <c r="W7" s="82" t="s">
        <v>4112</v>
      </c>
      <c r="X7" s="83" t="s">
        <v>107</v>
      </c>
      <c r="Y7" s="82" t="s">
        <v>2358</v>
      </c>
      <c r="Z7" s="83" t="s">
        <v>99</v>
      </c>
      <c r="AA7" s="85" t="s">
        <v>2359</v>
      </c>
      <c r="AB7" s="82" t="s">
        <v>2360</v>
      </c>
      <c r="AC7" s="83" t="s">
        <v>5</v>
      </c>
      <c r="AD7" s="83" t="s">
        <v>6</v>
      </c>
      <c r="AE7" s="86" t="s">
        <v>7</v>
      </c>
      <c r="AF7" s="86" t="s">
        <v>8</v>
      </c>
      <c r="AG7" s="86" t="s">
        <v>9</v>
      </c>
      <c r="AH7" s="86" t="s">
        <v>355</v>
      </c>
      <c r="AI7" s="86" t="s">
        <v>551</v>
      </c>
      <c r="AJ7" s="86" t="s">
        <v>427</v>
      </c>
      <c r="AK7" s="86" t="s">
        <v>558</v>
      </c>
      <c r="AL7" s="86" t="s">
        <v>4114</v>
      </c>
      <c r="AM7" s="86" t="s">
        <v>79</v>
      </c>
      <c r="AN7" s="83" t="s">
        <v>108</v>
      </c>
      <c r="AO7" s="82" t="s">
        <v>76</v>
      </c>
      <c r="AP7" s="82" t="s">
        <v>11</v>
      </c>
      <c r="AQ7" s="87" t="s">
        <v>77</v>
      </c>
      <c r="AR7" s="82" t="s">
        <v>12</v>
      </c>
      <c r="AS7" s="86" t="s">
        <v>13</v>
      </c>
      <c r="AT7" s="86" t="s">
        <v>35</v>
      </c>
      <c r="AU7" s="86" t="s">
        <v>4113</v>
      </c>
      <c r="AV7" s="86" t="s">
        <v>4115</v>
      </c>
      <c r="AW7" s="88" t="s">
        <v>4116</v>
      </c>
      <c r="AX7" s="108" t="s">
        <v>14</v>
      </c>
      <c r="AY7" s="89" t="s">
        <v>78</v>
      </c>
      <c r="AZ7" s="86" t="s">
        <v>149</v>
      </c>
      <c r="BA7" s="86" t="s">
        <v>150</v>
      </c>
      <c r="BB7" s="86" t="s">
        <v>151</v>
      </c>
      <c r="BC7" s="86" t="s">
        <v>572</v>
      </c>
      <c r="BD7" s="86" t="s">
        <v>573</v>
      </c>
      <c r="BE7" s="86" t="s">
        <v>574</v>
      </c>
      <c r="BF7" s="86" t="s">
        <v>152</v>
      </c>
      <c r="BG7" s="86" t="s">
        <v>153</v>
      </c>
      <c r="BH7" s="86" t="s">
        <v>2221</v>
      </c>
      <c r="BI7" s="131" t="s">
        <v>2220</v>
      </c>
      <c r="BJ7" s="131" t="s">
        <v>2105</v>
      </c>
      <c r="BK7" s="131" t="s">
        <v>4111</v>
      </c>
      <c r="BL7" s="131" t="s">
        <v>4784</v>
      </c>
      <c r="BM7" s="131" t="s">
        <v>4785</v>
      </c>
      <c r="BN7" s="131" t="s">
        <v>2219</v>
      </c>
      <c r="BO7" s="131" t="s">
        <v>4777</v>
      </c>
      <c r="BP7" s="131" t="s">
        <v>4778</v>
      </c>
      <c r="BQ7" s="131" t="s">
        <v>4779</v>
      </c>
      <c r="BR7" s="131" t="s">
        <v>4815</v>
      </c>
    </row>
    <row r="8" spans="1:70" x14ac:dyDescent="0.25">
      <c r="A8" s="19" t="s">
        <v>3686</v>
      </c>
      <c r="B8" s="37" t="s">
        <v>4824</v>
      </c>
      <c r="C8" s="90">
        <v>45587.676504629628</v>
      </c>
      <c r="D8" s="90">
        <v>45587.426504629628</v>
      </c>
      <c r="E8" s="38">
        <v>45587</v>
      </c>
      <c r="F8" s="91">
        <v>2024</v>
      </c>
      <c r="G8" s="93">
        <v>10</v>
      </c>
      <c r="H8" s="37" t="s">
        <v>461</v>
      </c>
      <c r="I8" s="37" t="s">
        <v>368</v>
      </c>
      <c r="J8" s="103">
        <v>-92.142296175607285</v>
      </c>
      <c r="K8" s="40">
        <v>44.790395538763136</v>
      </c>
      <c r="L8" s="74"/>
      <c r="M8" s="272" t="s">
        <v>4825</v>
      </c>
      <c r="N8" s="74">
        <v>1</v>
      </c>
      <c r="O8" s="94"/>
      <c r="P8" s="119">
        <v>1</v>
      </c>
      <c r="Q8" s="139">
        <v>180</v>
      </c>
      <c r="R8" s="140">
        <v>180</v>
      </c>
      <c r="S8" s="41"/>
      <c r="T8" s="40"/>
      <c r="U8" s="40">
        <v>7</v>
      </c>
      <c r="V8" s="119">
        <v>1</v>
      </c>
      <c r="W8" s="40">
        <v>100</v>
      </c>
      <c r="X8" s="119">
        <v>1</v>
      </c>
      <c r="Y8" s="40">
        <v>50</v>
      </c>
      <c r="Z8" s="119">
        <v>1</v>
      </c>
      <c r="AA8" s="368">
        <v>0</v>
      </c>
      <c r="AB8" s="535">
        <v>2</v>
      </c>
      <c r="AC8" s="39" t="s">
        <v>160</v>
      </c>
      <c r="AD8" s="76" t="s">
        <v>10</v>
      </c>
      <c r="AE8" s="95">
        <v>0</v>
      </c>
      <c r="AF8" s="95">
        <v>0</v>
      </c>
      <c r="AG8" s="95">
        <v>0</v>
      </c>
      <c r="AH8" s="95">
        <v>0</v>
      </c>
      <c r="AI8" s="95">
        <v>0</v>
      </c>
      <c r="AJ8" s="95">
        <v>0</v>
      </c>
      <c r="AK8" s="95">
        <v>0</v>
      </c>
      <c r="AL8" s="95">
        <v>1</v>
      </c>
      <c r="AM8" s="92">
        <v>0</v>
      </c>
      <c r="AN8" s="79" t="s">
        <v>80</v>
      </c>
      <c r="AO8" s="96">
        <v>1</v>
      </c>
      <c r="AP8" s="96" t="s">
        <v>83</v>
      </c>
      <c r="AQ8" s="97">
        <v>1</v>
      </c>
      <c r="AR8" s="102" t="s">
        <v>10</v>
      </c>
      <c r="AS8" s="95">
        <v>0</v>
      </c>
      <c r="AT8" s="96">
        <v>0</v>
      </c>
      <c r="AU8" s="96">
        <v>0</v>
      </c>
      <c r="AV8" s="96">
        <v>0</v>
      </c>
      <c r="AW8" s="98">
        <v>0</v>
      </c>
      <c r="AX8" s="109" t="s">
        <v>4826</v>
      </c>
      <c r="AY8" s="96">
        <v>1</v>
      </c>
      <c r="AZ8" s="77" t="s">
        <v>131</v>
      </c>
      <c r="BA8" s="78" t="s">
        <v>131</v>
      </c>
      <c r="BB8" s="78" t="s">
        <v>131</v>
      </c>
      <c r="BC8" s="78" t="s">
        <v>131</v>
      </c>
      <c r="BD8" s="78" t="s">
        <v>131</v>
      </c>
      <c r="BE8" s="78" t="s">
        <v>131</v>
      </c>
      <c r="BF8" s="78" t="s">
        <v>131</v>
      </c>
      <c r="BG8" s="78" t="s">
        <v>132</v>
      </c>
      <c r="BH8" s="96" t="s">
        <v>5970</v>
      </c>
      <c r="BI8" s="295" t="s">
        <v>16</v>
      </c>
      <c r="BJ8" s="545">
        <v>1</v>
      </c>
      <c r="BK8" s="293">
        <v>1</v>
      </c>
      <c r="BL8" s="293">
        <v>1</v>
      </c>
      <c r="BM8" s="547" t="s">
        <v>578</v>
      </c>
      <c r="BN8" s="549" t="s">
        <v>578</v>
      </c>
      <c r="BO8" s="155" t="s">
        <v>4317</v>
      </c>
      <c r="BP8" s="549" t="s">
        <v>2270</v>
      </c>
      <c r="BQ8" s="155" t="s">
        <v>4316</v>
      </c>
      <c r="BR8" s="157"/>
    </row>
    <row r="9" spans="1:70" x14ac:dyDescent="0.25">
      <c r="A9" s="19" t="s">
        <v>3686</v>
      </c>
      <c r="B9" s="37" t="s">
        <v>4827</v>
      </c>
      <c r="C9" s="90">
        <v>45580.678576388891</v>
      </c>
      <c r="D9" s="90">
        <v>45580.428576388891</v>
      </c>
      <c r="E9" s="38">
        <v>45580</v>
      </c>
      <c r="F9" s="91">
        <v>2024</v>
      </c>
      <c r="G9" s="93">
        <v>10</v>
      </c>
      <c r="H9" s="37" t="s">
        <v>599</v>
      </c>
      <c r="I9" s="37" t="s">
        <v>2361</v>
      </c>
      <c r="J9" s="103">
        <v>-92.442941243848963</v>
      </c>
      <c r="K9" s="40">
        <v>44.621466631265079</v>
      </c>
      <c r="L9" s="74"/>
      <c r="M9" s="272" t="s">
        <v>16</v>
      </c>
      <c r="N9" s="74">
        <v>0</v>
      </c>
      <c r="O9" s="94"/>
      <c r="P9" s="119">
        <v>1</v>
      </c>
      <c r="Q9" s="139">
        <v>0</v>
      </c>
      <c r="R9" s="140">
        <v>30</v>
      </c>
      <c r="S9" s="41"/>
      <c r="T9" s="40"/>
      <c r="U9" s="40">
        <v>7</v>
      </c>
      <c r="V9" s="119">
        <v>1</v>
      </c>
      <c r="W9" s="40">
        <v>0</v>
      </c>
      <c r="X9" s="119">
        <v>1</v>
      </c>
      <c r="Y9" s="40">
        <v>42</v>
      </c>
      <c r="Z9" s="119">
        <v>1</v>
      </c>
      <c r="AA9" s="368">
        <v>0</v>
      </c>
      <c r="AB9" s="535">
        <v>0</v>
      </c>
      <c r="AC9" s="39" t="s">
        <v>160</v>
      </c>
      <c r="AD9" s="76" t="s">
        <v>10</v>
      </c>
      <c r="AE9" s="95">
        <v>0</v>
      </c>
      <c r="AF9" s="95">
        <v>0</v>
      </c>
      <c r="AG9" s="95">
        <v>0</v>
      </c>
      <c r="AH9" s="95">
        <v>0</v>
      </c>
      <c r="AI9" s="95">
        <v>0</v>
      </c>
      <c r="AJ9" s="95">
        <v>0</v>
      </c>
      <c r="AK9" s="95">
        <v>0</v>
      </c>
      <c r="AL9" s="95">
        <v>1</v>
      </c>
      <c r="AM9" s="92">
        <v>0</v>
      </c>
      <c r="AN9" s="79" t="s">
        <v>80</v>
      </c>
      <c r="AO9" s="96">
        <v>1</v>
      </c>
      <c r="AP9" s="96" t="s">
        <v>83</v>
      </c>
      <c r="AQ9" s="97">
        <v>1</v>
      </c>
      <c r="AR9" s="102" t="s">
        <v>10</v>
      </c>
      <c r="AS9" s="95">
        <v>0</v>
      </c>
      <c r="AT9" s="96">
        <v>0</v>
      </c>
      <c r="AU9" s="96">
        <v>0</v>
      </c>
      <c r="AV9" s="96">
        <v>0</v>
      </c>
      <c r="AW9" s="98">
        <v>0</v>
      </c>
      <c r="AX9" s="109"/>
      <c r="AY9" s="96">
        <v>0</v>
      </c>
      <c r="AZ9" s="77" t="s">
        <v>131</v>
      </c>
      <c r="BA9" s="78" t="s">
        <v>131</v>
      </c>
      <c r="BB9" s="78" t="s">
        <v>131</v>
      </c>
      <c r="BC9" s="78" t="s">
        <v>131</v>
      </c>
      <c r="BD9" s="78" t="s">
        <v>131</v>
      </c>
      <c r="BE9" s="78" t="s">
        <v>131</v>
      </c>
      <c r="BF9" s="78" t="s">
        <v>131</v>
      </c>
      <c r="BG9" s="78" t="s">
        <v>132</v>
      </c>
      <c r="BH9" s="96" t="s">
        <v>5970</v>
      </c>
      <c r="BI9" s="295" t="s">
        <v>16</v>
      </c>
      <c r="BJ9" s="546">
        <v>1</v>
      </c>
      <c r="BK9" s="294" t="s">
        <v>16</v>
      </c>
      <c r="BL9" s="293" t="s">
        <v>16</v>
      </c>
      <c r="BM9" s="547" t="s">
        <v>578</v>
      </c>
      <c r="BN9" s="549" t="s">
        <v>544</v>
      </c>
      <c r="BO9" s="155" t="s">
        <v>4283</v>
      </c>
      <c r="BP9" s="549" t="s">
        <v>2289</v>
      </c>
      <c r="BQ9" s="155" t="s">
        <v>4214</v>
      </c>
      <c r="BR9" s="157"/>
    </row>
    <row r="10" spans="1:70" x14ac:dyDescent="0.25">
      <c r="A10" s="19" t="s">
        <v>3686</v>
      </c>
      <c r="B10" s="37" t="s">
        <v>4828</v>
      </c>
      <c r="C10" s="90">
        <v>45576.703483796293</v>
      </c>
      <c r="D10" s="90">
        <v>45576.453483796293</v>
      </c>
      <c r="E10" s="38">
        <v>45576</v>
      </c>
      <c r="F10" s="91">
        <v>2024</v>
      </c>
      <c r="G10" s="93">
        <v>10</v>
      </c>
      <c r="H10" s="37" t="s">
        <v>617</v>
      </c>
      <c r="I10" s="37" t="s">
        <v>1772</v>
      </c>
      <c r="J10" s="103">
        <v>-92.189547510313034</v>
      </c>
      <c r="K10" s="40">
        <v>44.632814419307806</v>
      </c>
      <c r="L10" s="74"/>
      <c r="M10" s="272" t="s">
        <v>16</v>
      </c>
      <c r="N10" s="74">
        <v>0</v>
      </c>
      <c r="O10" s="94"/>
      <c r="P10" s="119">
        <v>1</v>
      </c>
      <c r="Q10" s="139">
        <v>120</v>
      </c>
      <c r="R10" s="140">
        <v>180</v>
      </c>
      <c r="S10" s="41"/>
      <c r="T10" s="40"/>
      <c r="U10" s="40">
        <v>7</v>
      </c>
      <c r="V10" s="119">
        <v>1</v>
      </c>
      <c r="W10" s="40">
        <v>0</v>
      </c>
      <c r="X10" s="119">
        <v>1</v>
      </c>
      <c r="Y10" s="40">
        <v>59</v>
      </c>
      <c r="Z10" s="119">
        <v>0</v>
      </c>
      <c r="AA10" s="368">
        <v>0</v>
      </c>
      <c r="AB10" s="535">
        <v>2</v>
      </c>
      <c r="AC10" s="39" t="s">
        <v>160</v>
      </c>
      <c r="AD10" s="76" t="s">
        <v>16</v>
      </c>
      <c r="AE10" s="95">
        <v>-1</v>
      </c>
      <c r="AF10" s="95">
        <v>-1</v>
      </c>
      <c r="AG10" s="95">
        <v>-1</v>
      </c>
      <c r="AH10" s="95">
        <v>-1</v>
      </c>
      <c r="AI10" s="95">
        <v>-1</v>
      </c>
      <c r="AJ10" s="95">
        <v>-1</v>
      </c>
      <c r="AK10" s="95">
        <v>-1</v>
      </c>
      <c r="AL10" s="95">
        <v>-1</v>
      </c>
      <c r="AM10" s="92">
        <v>1</v>
      </c>
      <c r="AN10" s="79" t="s">
        <v>81</v>
      </c>
      <c r="AO10" s="96">
        <v>1</v>
      </c>
      <c r="AP10" s="96" t="s">
        <v>83</v>
      </c>
      <c r="AQ10" s="97">
        <v>1</v>
      </c>
      <c r="AR10" s="102" t="s">
        <v>10</v>
      </c>
      <c r="AS10" s="95">
        <v>0</v>
      </c>
      <c r="AT10" s="96">
        <v>0</v>
      </c>
      <c r="AU10" s="96">
        <v>0</v>
      </c>
      <c r="AV10" s="96">
        <v>0</v>
      </c>
      <c r="AW10" s="98">
        <v>0</v>
      </c>
      <c r="AX10" s="109"/>
      <c r="AY10" s="96">
        <v>0</v>
      </c>
      <c r="AZ10" s="77" t="s">
        <v>5971</v>
      </c>
      <c r="BA10" s="78" t="s">
        <v>5971</v>
      </c>
      <c r="BB10" s="78" t="s">
        <v>5971</v>
      </c>
      <c r="BC10" s="78" t="s">
        <v>5971</v>
      </c>
      <c r="BD10" s="78" t="s">
        <v>5971</v>
      </c>
      <c r="BE10" s="78" t="s">
        <v>5971</v>
      </c>
      <c r="BF10" s="78" t="s">
        <v>5971</v>
      </c>
      <c r="BG10" s="78" t="s">
        <v>5971</v>
      </c>
      <c r="BH10" s="96" t="s">
        <v>5971</v>
      </c>
      <c r="BI10" s="295" t="s">
        <v>2248</v>
      </c>
      <c r="BJ10" s="546">
        <v>1</v>
      </c>
      <c r="BK10" s="294">
        <v>1</v>
      </c>
      <c r="BL10" s="293">
        <v>1</v>
      </c>
      <c r="BM10" s="547" t="s">
        <v>578</v>
      </c>
      <c r="BN10" s="549" t="s">
        <v>578</v>
      </c>
      <c r="BO10" s="155" t="s">
        <v>4218</v>
      </c>
      <c r="BP10" s="549" t="s">
        <v>4221</v>
      </c>
      <c r="BQ10" s="155" t="s">
        <v>4217</v>
      </c>
      <c r="BR10" s="157"/>
    </row>
    <row r="11" spans="1:70" x14ac:dyDescent="0.25">
      <c r="A11" s="19" t="s">
        <v>3686</v>
      </c>
      <c r="B11" s="37" t="s">
        <v>4829</v>
      </c>
      <c r="C11" s="90">
        <v>45576.678287037037</v>
      </c>
      <c r="D11" s="113">
        <v>45576.428287037037</v>
      </c>
      <c r="E11" s="38">
        <v>45576</v>
      </c>
      <c r="F11" s="91">
        <v>2024</v>
      </c>
      <c r="G11" s="93">
        <v>10</v>
      </c>
      <c r="H11" s="37" t="s">
        <v>617</v>
      </c>
      <c r="I11" s="37" t="s">
        <v>2362</v>
      </c>
      <c r="J11" s="103">
        <v>-92.283924872304155</v>
      </c>
      <c r="K11" s="40">
        <v>44.54220067288766</v>
      </c>
      <c r="L11" s="74"/>
      <c r="M11" s="272" t="s">
        <v>16</v>
      </c>
      <c r="N11" s="74">
        <v>0</v>
      </c>
      <c r="O11" s="116"/>
      <c r="P11" s="117">
        <v>1</v>
      </c>
      <c r="Q11" s="509">
        <v>180</v>
      </c>
      <c r="R11" s="512">
        <v>180</v>
      </c>
      <c r="S11" s="41"/>
      <c r="T11" s="40"/>
      <c r="U11" s="40">
        <v>7.5</v>
      </c>
      <c r="V11" s="119">
        <v>1</v>
      </c>
      <c r="W11" s="40">
        <v>0</v>
      </c>
      <c r="X11" s="119">
        <v>1</v>
      </c>
      <c r="Y11" s="40">
        <v>52</v>
      </c>
      <c r="Z11" s="119">
        <v>1</v>
      </c>
      <c r="AA11" s="368">
        <v>0</v>
      </c>
      <c r="AB11" s="535">
        <v>5</v>
      </c>
      <c r="AC11" s="39" t="s">
        <v>160</v>
      </c>
      <c r="AD11" s="75" t="s">
        <v>16</v>
      </c>
      <c r="AE11" s="120">
        <v>-1</v>
      </c>
      <c r="AF11" s="75">
        <v>-1</v>
      </c>
      <c r="AG11" s="75">
        <v>-1</v>
      </c>
      <c r="AH11" s="75">
        <v>-1</v>
      </c>
      <c r="AI11" s="75">
        <v>-1</v>
      </c>
      <c r="AJ11" s="75">
        <v>-1</v>
      </c>
      <c r="AK11" s="75">
        <v>-1</v>
      </c>
      <c r="AL11" s="120">
        <v>-1</v>
      </c>
      <c r="AM11" s="92">
        <v>1</v>
      </c>
      <c r="AN11" s="79" t="s">
        <v>80</v>
      </c>
      <c r="AO11" s="75">
        <v>1</v>
      </c>
      <c r="AP11" s="75" t="s">
        <v>83</v>
      </c>
      <c r="AQ11" s="122">
        <v>1</v>
      </c>
      <c r="AR11" s="515" t="s">
        <v>10</v>
      </c>
      <c r="AS11" s="120">
        <v>0</v>
      </c>
      <c r="AT11" s="75">
        <v>0</v>
      </c>
      <c r="AU11" s="75">
        <v>0</v>
      </c>
      <c r="AV11" s="75">
        <v>0</v>
      </c>
      <c r="AW11" s="123">
        <v>0</v>
      </c>
      <c r="AX11" s="516"/>
      <c r="AY11" s="75">
        <v>0</v>
      </c>
      <c r="AZ11" s="77" t="s">
        <v>5971</v>
      </c>
      <c r="BA11" s="78" t="s">
        <v>5971</v>
      </c>
      <c r="BB11" s="78" t="s">
        <v>5971</v>
      </c>
      <c r="BC11" s="78" t="s">
        <v>5971</v>
      </c>
      <c r="BD11" s="78" t="s">
        <v>5971</v>
      </c>
      <c r="BE11" s="78" t="s">
        <v>5971</v>
      </c>
      <c r="BF11" s="78" t="s">
        <v>5971</v>
      </c>
      <c r="BG11" s="78" t="s">
        <v>5971</v>
      </c>
      <c r="BH11" s="75" t="s">
        <v>5971</v>
      </c>
      <c r="BI11" s="295" t="s">
        <v>2261</v>
      </c>
      <c r="BJ11" s="546">
        <v>1</v>
      </c>
      <c r="BK11" s="294">
        <v>1</v>
      </c>
      <c r="BL11" s="157">
        <v>1</v>
      </c>
      <c r="BM11" s="548" t="s">
        <v>1340</v>
      </c>
      <c r="BN11" s="548" t="s">
        <v>578</v>
      </c>
      <c r="BO11" s="157" t="s">
        <v>4268</v>
      </c>
      <c r="BP11" s="548" t="s">
        <v>2261</v>
      </c>
      <c r="BQ11" s="157" t="s">
        <v>4214</v>
      </c>
      <c r="BR11" s="157"/>
    </row>
    <row r="12" spans="1:70" x14ac:dyDescent="0.25">
      <c r="A12" s="19" t="s">
        <v>3686</v>
      </c>
      <c r="B12" s="37" t="s">
        <v>4830</v>
      </c>
      <c r="C12" s="90">
        <v>45575.627002314817</v>
      </c>
      <c r="D12" s="114">
        <v>45575.377002314817</v>
      </c>
      <c r="E12" s="38">
        <v>45575</v>
      </c>
      <c r="F12" s="91">
        <v>2024</v>
      </c>
      <c r="G12" s="93">
        <v>10</v>
      </c>
      <c r="H12" s="37" t="s">
        <v>1386</v>
      </c>
      <c r="I12" s="37"/>
      <c r="J12" s="103">
        <v>-92.614863</v>
      </c>
      <c r="K12" s="40">
        <v>44.454618500000002</v>
      </c>
      <c r="L12" s="74"/>
      <c r="M12" s="272" t="s">
        <v>16</v>
      </c>
      <c r="N12" s="74">
        <v>0</v>
      </c>
      <c r="O12" s="94"/>
      <c r="P12" s="118">
        <v>1</v>
      </c>
      <c r="Q12" s="510">
        <v>120</v>
      </c>
      <c r="R12" s="513">
        <v>180</v>
      </c>
      <c r="S12" s="41"/>
      <c r="T12" s="40"/>
      <c r="U12" s="40">
        <v>7.5</v>
      </c>
      <c r="V12" s="119">
        <v>1</v>
      </c>
      <c r="W12" s="40">
        <v>0</v>
      </c>
      <c r="X12" s="119">
        <v>1</v>
      </c>
      <c r="Y12" s="40">
        <v>50</v>
      </c>
      <c r="Z12" s="119">
        <v>1</v>
      </c>
      <c r="AA12" s="368">
        <v>0</v>
      </c>
      <c r="AB12" s="535">
        <v>10</v>
      </c>
      <c r="AC12" s="39" t="s">
        <v>162</v>
      </c>
      <c r="AD12" s="75" t="s">
        <v>10</v>
      </c>
      <c r="AE12" s="95">
        <v>0</v>
      </c>
      <c r="AF12" s="75">
        <v>0</v>
      </c>
      <c r="AG12" s="75">
        <v>0</v>
      </c>
      <c r="AH12" s="75">
        <v>0</v>
      </c>
      <c r="AI12" s="75">
        <v>0</v>
      </c>
      <c r="AJ12" s="75">
        <v>0</v>
      </c>
      <c r="AK12" s="75">
        <v>0</v>
      </c>
      <c r="AL12" s="95">
        <v>1</v>
      </c>
      <c r="AM12" s="92">
        <v>0</v>
      </c>
      <c r="AN12" s="79" t="s">
        <v>80</v>
      </c>
      <c r="AO12" s="75">
        <v>1</v>
      </c>
      <c r="AP12" s="75" t="s">
        <v>83</v>
      </c>
      <c r="AQ12" s="122">
        <v>1</v>
      </c>
      <c r="AR12" s="515" t="s">
        <v>10</v>
      </c>
      <c r="AS12" s="95">
        <v>0</v>
      </c>
      <c r="AT12" s="75">
        <v>0</v>
      </c>
      <c r="AU12" s="75">
        <v>0</v>
      </c>
      <c r="AV12" s="75">
        <v>0</v>
      </c>
      <c r="AW12" s="123">
        <v>0</v>
      </c>
      <c r="AX12" s="516"/>
      <c r="AY12" s="75">
        <v>0</v>
      </c>
      <c r="AZ12" s="77" t="s">
        <v>131</v>
      </c>
      <c r="BA12" s="78" t="s">
        <v>131</v>
      </c>
      <c r="BB12" s="78" t="s">
        <v>131</v>
      </c>
      <c r="BC12" s="78" t="s">
        <v>131</v>
      </c>
      <c r="BD12" s="78" t="s">
        <v>131</v>
      </c>
      <c r="BE12" s="78" t="s">
        <v>131</v>
      </c>
      <c r="BF12" s="78" t="s">
        <v>131</v>
      </c>
      <c r="BG12" s="78" t="s">
        <v>132</v>
      </c>
      <c r="BH12" s="75" t="s">
        <v>5970</v>
      </c>
      <c r="BI12" s="295" t="s">
        <v>2238</v>
      </c>
      <c r="BJ12" s="546">
        <v>1</v>
      </c>
      <c r="BK12" s="294" t="s">
        <v>16</v>
      </c>
      <c r="BL12" s="157" t="s">
        <v>16</v>
      </c>
      <c r="BM12" s="548" t="s">
        <v>2343</v>
      </c>
      <c r="BN12" s="548" t="s">
        <v>1339</v>
      </c>
      <c r="BO12" s="157" t="s">
        <v>4308</v>
      </c>
      <c r="BP12" s="548" t="s">
        <v>2238</v>
      </c>
      <c r="BQ12" s="157" t="s">
        <v>4307</v>
      </c>
      <c r="BR12" s="157"/>
    </row>
    <row r="13" spans="1:70" x14ac:dyDescent="0.25">
      <c r="A13" s="19" t="s">
        <v>3686</v>
      </c>
      <c r="B13" s="37" t="s">
        <v>4831</v>
      </c>
      <c r="C13" s="90">
        <v>45569.626493055555</v>
      </c>
      <c r="D13" s="114">
        <v>45569.376493055555</v>
      </c>
      <c r="E13" s="38">
        <v>45569</v>
      </c>
      <c r="F13" s="91">
        <v>2024</v>
      </c>
      <c r="G13" s="93">
        <v>10</v>
      </c>
      <c r="H13" s="37" t="s">
        <v>475</v>
      </c>
      <c r="I13" s="37"/>
      <c r="J13" s="103">
        <v>-92.195374936102553</v>
      </c>
      <c r="K13" s="40">
        <v>43.811325239914275</v>
      </c>
      <c r="L13" s="74"/>
      <c r="M13" s="272" t="s">
        <v>4832</v>
      </c>
      <c r="N13" s="74">
        <v>1</v>
      </c>
      <c r="O13" s="94"/>
      <c r="P13" s="118">
        <v>0</v>
      </c>
      <c r="Q13" s="510"/>
      <c r="R13" s="513"/>
      <c r="S13" s="41"/>
      <c r="T13" s="40"/>
      <c r="U13" s="40"/>
      <c r="V13" s="119">
        <v>1</v>
      </c>
      <c r="W13" s="40">
        <v>0</v>
      </c>
      <c r="X13" s="119">
        <v>1</v>
      </c>
      <c r="Y13" s="40">
        <v>48</v>
      </c>
      <c r="Z13" s="119">
        <v>1</v>
      </c>
      <c r="AA13" s="368">
        <v>0</v>
      </c>
      <c r="AB13" s="535">
        <v>5</v>
      </c>
      <c r="AC13" s="39" t="s">
        <v>160</v>
      </c>
      <c r="AD13" s="75" t="s">
        <v>10</v>
      </c>
      <c r="AE13" s="95">
        <v>0</v>
      </c>
      <c r="AF13" s="75">
        <v>0</v>
      </c>
      <c r="AG13" s="75">
        <v>0</v>
      </c>
      <c r="AH13" s="75">
        <v>0</v>
      </c>
      <c r="AI13" s="75">
        <v>0</v>
      </c>
      <c r="AJ13" s="75">
        <v>0</v>
      </c>
      <c r="AK13" s="75">
        <v>0</v>
      </c>
      <c r="AL13" s="95">
        <v>1</v>
      </c>
      <c r="AM13" s="92">
        <v>0</v>
      </c>
      <c r="AN13" s="79" t="s">
        <v>81</v>
      </c>
      <c r="AO13" s="75">
        <v>1</v>
      </c>
      <c r="AP13" s="75" t="s">
        <v>84</v>
      </c>
      <c r="AQ13" s="122">
        <v>1</v>
      </c>
      <c r="AR13" s="515" t="s">
        <v>10</v>
      </c>
      <c r="AS13" s="95">
        <v>0</v>
      </c>
      <c r="AT13" s="75">
        <v>0</v>
      </c>
      <c r="AU13" s="75">
        <v>0</v>
      </c>
      <c r="AV13" s="75">
        <v>0</v>
      </c>
      <c r="AW13" s="123">
        <v>0</v>
      </c>
      <c r="AX13" s="516" t="s">
        <v>4833</v>
      </c>
      <c r="AY13" s="75">
        <v>1</v>
      </c>
      <c r="AZ13" s="77" t="s">
        <v>131</v>
      </c>
      <c r="BA13" s="78" t="s">
        <v>131</v>
      </c>
      <c r="BB13" s="78" t="s">
        <v>131</v>
      </c>
      <c r="BC13" s="78" t="s">
        <v>131</v>
      </c>
      <c r="BD13" s="78" t="s">
        <v>131</v>
      </c>
      <c r="BE13" s="78" t="s">
        <v>131</v>
      </c>
      <c r="BF13" s="78" t="s">
        <v>131</v>
      </c>
      <c r="BG13" s="78" t="s">
        <v>132</v>
      </c>
      <c r="BH13" s="75" t="s">
        <v>5970</v>
      </c>
      <c r="BI13" s="295" t="s">
        <v>2260</v>
      </c>
      <c r="BJ13" s="546">
        <v>1</v>
      </c>
      <c r="BK13" s="294" t="s">
        <v>16</v>
      </c>
      <c r="BL13" s="157" t="s">
        <v>16</v>
      </c>
      <c r="BM13" s="548" t="s">
        <v>1339</v>
      </c>
      <c r="BN13" s="548" t="s">
        <v>1339</v>
      </c>
      <c r="BO13" s="157" t="s">
        <v>4726</v>
      </c>
      <c r="BP13" s="548" t="s">
        <v>2260</v>
      </c>
      <c r="BQ13" s="157" t="s">
        <v>4226</v>
      </c>
      <c r="BR13" s="157"/>
    </row>
    <row r="14" spans="1:70" x14ac:dyDescent="0.25">
      <c r="A14" s="19" t="s">
        <v>3686</v>
      </c>
      <c r="B14" s="37" t="s">
        <v>4834</v>
      </c>
      <c r="C14" s="90">
        <v>45569.616273148145</v>
      </c>
      <c r="D14" s="114">
        <v>45569.366273148145</v>
      </c>
      <c r="E14" s="38">
        <v>45569</v>
      </c>
      <c r="F14" s="91">
        <v>2024</v>
      </c>
      <c r="G14" s="93">
        <v>10</v>
      </c>
      <c r="H14" s="37" t="s">
        <v>475</v>
      </c>
      <c r="I14" s="37" t="s">
        <v>146</v>
      </c>
      <c r="J14" s="103">
        <v>-92.173816674578077</v>
      </c>
      <c r="K14" s="40">
        <v>43.822348230117939</v>
      </c>
      <c r="L14" s="74"/>
      <c r="M14" s="272" t="s">
        <v>4835</v>
      </c>
      <c r="N14" s="74">
        <v>1</v>
      </c>
      <c r="O14" s="94"/>
      <c r="P14" s="118">
        <v>0</v>
      </c>
      <c r="Q14" s="510"/>
      <c r="R14" s="513"/>
      <c r="S14" s="41"/>
      <c r="T14" s="40"/>
      <c r="U14" s="40"/>
      <c r="V14" s="119">
        <v>1</v>
      </c>
      <c r="W14" s="40">
        <v>0</v>
      </c>
      <c r="X14" s="119">
        <v>1</v>
      </c>
      <c r="Y14" s="40">
        <v>53</v>
      </c>
      <c r="Z14" s="119">
        <v>1</v>
      </c>
      <c r="AA14" s="368">
        <v>0</v>
      </c>
      <c r="AB14" s="535">
        <v>2</v>
      </c>
      <c r="AC14" s="39" t="s">
        <v>160</v>
      </c>
      <c r="AD14" s="75" t="s">
        <v>10</v>
      </c>
      <c r="AE14" s="95">
        <v>0</v>
      </c>
      <c r="AF14" s="75">
        <v>0</v>
      </c>
      <c r="AG14" s="75">
        <v>0</v>
      </c>
      <c r="AH14" s="75">
        <v>0</v>
      </c>
      <c r="AI14" s="75">
        <v>0</v>
      </c>
      <c r="AJ14" s="75">
        <v>0</v>
      </c>
      <c r="AK14" s="75">
        <v>0</v>
      </c>
      <c r="AL14" s="95">
        <v>1</v>
      </c>
      <c r="AM14" s="92">
        <v>0</v>
      </c>
      <c r="AN14" s="79" t="s">
        <v>81</v>
      </c>
      <c r="AO14" s="75">
        <v>1</v>
      </c>
      <c r="AP14" s="75" t="s">
        <v>84</v>
      </c>
      <c r="AQ14" s="122">
        <v>1</v>
      </c>
      <c r="AR14" s="515" t="s">
        <v>10</v>
      </c>
      <c r="AS14" s="95">
        <v>0</v>
      </c>
      <c r="AT14" s="75">
        <v>0</v>
      </c>
      <c r="AU14" s="75">
        <v>0</v>
      </c>
      <c r="AV14" s="75">
        <v>0</v>
      </c>
      <c r="AW14" s="123">
        <v>0</v>
      </c>
      <c r="AX14" s="516"/>
      <c r="AY14" s="75">
        <v>0</v>
      </c>
      <c r="AZ14" s="77" t="s">
        <v>131</v>
      </c>
      <c r="BA14" s="78" t="s">
        <v>131</v>
      </c>
      <c r="BB14" s="78" t="s">
        <v>131</v>
      </c>
      <c r="BC14" s="78" t="s">
        <v>131</v>
      </c>
      <c r="BD14" s="78" t="s">
        <v>131</v>
      </c>
      <c r="BE14" s="78" t="s">
        <v>131</v>
      </c>
      <c r="BF14" s="78" t="s">
        <v>131</v>
      </c>
      <c r="BG14" s="78" t="s">
        <v>132</v>
      </c>
      <c r="BH14" s="75" t="s">
        <v>5970</v>
      </c>
      <c r="BI14" s="295" t="s">
        <v>4675</v>
      </c>
      <c r="BJ14" s="546" t="s">
        <v>16</v>
      </c>
      <c r="BK14" s="294" t="s">
        <v>16</v>
      </c>
      <c r="BL14" s="157" t="s">
        <v>16</v>
      </c>
      <c r="BM14" s="548" t="s">
        <v>1339</v>
      </c>
      <c r="BN14" s="548" t="s">
        <v>1339</v>
      </c>
      <c r="BO14" s="157" t="s">
        <v>4674</v>
      </c>
      <c r="BP14" s="548" t="s">
        <v>4675</v>
      </c>
      <c r="BQ14" s="157" t="s">
        <v>4673</v>
      </c>
      <c r="BR14" s="157"/>
    </row>
    <row r="15" spans="1:70" x14ac:dyDescent="0.25">
      <c r="A15" s="19" t="s">
        <v>3686</v>
      </c>
      <c r="B15" s="37" t="s">
        <v>4836</v>
      </c>
      <c r="C15" s="90">
        <v>45568.723807870374</v>
      </c>
      <c r="D15" s="114">
        <v>45568.473807870374</v>
      </c>
      <c r="E15" s="38">
        <v>45568</v>
      </c>
      <c r="F15" s="91">
        <v>2024</v>
      </c>
      <c r="G15" s="93">
        <v>10</v>
      </c>
      <c r="H15" s="37" t="s">
        <v>1386</v>
      </c>
      <c r="I15" s="37"/>
      <c r="J15" s="103">
        <v>-92.689313400000003</v>
      </c>
      <c r="K15" s="40">
        <v>43.824756399999998</v>
      </c>
      <c r="L15" s="74"/>
      <c r="M15" s="272" t="s">
        <v>16</v>
      </c>
      <c r="N15" s="74">
        <v>0</v>
      </c>
      <c r="O15" s="94"/>
      <c r="P15" s="118">
        <v>1</v>
      </c>
      <c r="Q15" s="510">
        <v>0</v>
      </c>
      <c r="R15" s="513">
        <v>60</v>
      </c>
      <c r="S15" s="41"/>
      <c r="T15" s="40"/>
      <c r="U15" s="40">
        <v>7.5</v>
      </c>
      <c r="V15" s="119">
        <v>1</v>
      </c>
      <c r="W15" s="40">
        <v>0</v>
      </c>
      <c r="X15" s="119">
        <v>1</v>
      </c>
      <c r="Y15" s="40">
        <v>56</v>
      </c>
      <c r="Z15" s="119">
        <v>1</v>
      </c>
      <c r="AA15" s="368">
        <v>0</v>
      </c>
      <c r="AB15" s="535">
        <v>0</v>
      </c>
      <c r="AC15" s="39" t="s">
        <v>160</v>
      </c>
      <c r="AD15" s="75" t="s">
        <v>10</v>
      </c>
      <c r="AE15" s="95">
        <v>0</v>
      </c>
      <c r="AF15" s="75">
        <v>0</v>
      </c>
      <c r="AG15" s="75">
        <v>0</v>
      </c>
      <c r="AH15" s="75">
        <v>0</v>
      </c>
      <c r="AI15" s="75">
        <v>0</v>
      </c>
      <c r="AJ15" s="75">
        <v>0</v>
      </c>
      <c r="AK15" s="75">
        <v>0</v>
      </c>
      <c r="AL15" s="95">
        <v>1</v>
      </c>
      <c r="AM15" s="92">
        <v>0</v>
      </c>
      <c r="AN15" s="79" t="s">
        <v>80</v>
      </c>
      <c r="AO15" s="75">
        <v>1</v>
      </c>
      <c r="AP15" s="75" t="s">
        <v>83</v>
      </c>
      <c r="AQ15" s="122">
        <v>1</v>
      </c>
      <c r="AR15" s="515" t="s">
        <v>10</v>
      </c>
      <c r="AS15" s="95">
        <v>0</v>
      </c>
      <c r="AT15" s="75">
        <v>0</v>
      </c>
      <c r="AU15" s="75">
        <v>0</v>
      </c>
      <c r="AV15" s="75">
        <v>0</v>
      </c>
      <c r="AW15" s="123">
        <v>0</v>
      </c>
      <c r="AX15" s="516"/>
      <c r="AY15" s="75">
        <v>0</v>
      </c>
      <c r="AZ15" s="77" t="s">
        <v>131</v>
      </c>
      <c r="BA15" s="78" t="s">
        <v>131</v>
      </c>
      <c r="BB15" s="78" t="s">
        <v>131</v>
      </c>
      <c r="BC15" s="78" t="s">
        <v>131</v>
      </c>
      <c r="BD15" s="78" t="s">
        <v>131</v>
      </c>
      <c r="BE15" s="78" t="s">
        <v>131</v>
      </c>
      <c r="BF15" s="78" t="s">
        <v>131</v>
      </c>
      <c r="BG15" s="78" t="s">
        <v>132</v>
      </c>
      <c r="BH15" s="75" t="s">
        <v>5970</v>
      </c>
      <c r="BI15" s="295" t="s">
        <v>4675</v>
      </c>
      <c r="BJ15" s="546" t="s">
        <v>16</v>
      </c>
      <c r="BK15" s="294" t="s">
        <v>16</v>
      </c>
      <c r="BL15" s="157" t="s">
        <v>16</v>
      </c>
      <c r="BM15" s="548" t="s">
        <v>1339</v>
      </c>
      <c r="BN15" s="548" t="s">
        <v>1339</v>
      </c>
      <c r="BO15" s="157" t="s">
        <v>5817</v>
      </c>
      <c r="BP15" s="548" t="s">
        <v>5818</v>
      </c>
      <c r="BQ15" s="157" t="s">
        <v>4673</v>
      </c>
      <c r="BR15" s="157"/>
    </row>
    <row r="16" spans="1:70" x14ac:dyDescent="0.25">
      <c r="A16" s="19" t="s">
        <v>3686</v>
      </c>
      <c r="B16" s="37" t="s">
        <v>4837</v>
      </c>
      <c r="C16" s="90">
        <v>45568.688761574071</v>
      </c>
      <c r="D16" s="114">
        <v>45568.438761574071</v>
      </c>
      <c r="E16" s="38">
        <v>45568</v>
      </c>
      <c r="F16" s="91">
        <v>2024</v>
      </c>
      <c r="G16" s="93">
        <v>10</v>
      </c>
      <c r="H16" s="37" t="s">
        <v>1386</v>
      </c>
      <c r="I16" s="37"/>
      <c r="J16" s="103">
        <v>-92.488042800000002</v>
      </c>
      <c r="K16" s="40">
        <v>43.645086499999998</v>
      </c>
      <c r="L16" s="74"/>
      <c r="M16" s="272" t="s">
        <v>16</v>
      </c>
      <c r="N16" s="74">
        <v>0</v>
      </c>
      <c r="O16" s="94"/>
      <c r="P16" s="118">
        <v>1</v>
      </c>
      <c r="Q16" s="510">
        <v>0</v>
      </c>
      <c r="R16" s="513">
        <v>0</v>
      </c>
      <c r="S16" s="41"/>
      <c r="T16" s="40"/>
      <c r="U16" s="40">
        <v>7.5</v>
      </c>
      <c r="V16" s="119">
        <v>1</v>
      </c>
      <c r="W16" s="40">
        <v>0</v>
      </c>
      <c r="X16" s="119">
        <v>1</v>
      </c>
      <c r="Y16" s="40">
        <v>56</v>
      </c>
      <c r="Z16" s="119">
        <v>1</v>
      </c>
      <c r="AA16" s="368">
        <v>0</v>
      </c>
      <c r="AB16" s="535">
        <v>0</v>
      </c>
      <c r="AC16" s="39" t="s">
        <v>160</v>
      </c>
      <c r="AD16" s="75" t="s">
        <v>10</v>
      </c>
      <c r="AE16" s="95">
        <v>0</v>
      </c>
      <c r="AF16" s="75">
        <v>0</v>
      </c>
      <c r="AG16" s="75">
        <v>0</v>
      </c>
      <c r="AH16" s="75">
        <v>0</v>
      </c>
      <c r="AI16" s="75">
        <v>0</v>
      </c>
      <c r="AJ16" s="75">
        <v>0</v>
      </c>
      <c r="AK16" s="75">
        <v>0</v>
      </c>
      <c r="AL16" s="95">
        <v>1</v>
      </c>
      <c r="AM16" s="92">
        <v>0</v>
      </c>
      <c r="AN16" s="79" t="s">
        <v>80</v>
      </c>
      <c r="AO16" s="75">
        <v>1</v>
      </c>
      <c r="AP16" s="75" t="s">
        <v>83</v>
      </c>
      <c r="AQ16" s="122">
        <v>1</v>
      </c>
      <c r="AR16" s="515" t="s">
        <v>10</v>
      </c>
      <c r="AS16" s="95">
        <v>0</v>
      </c>
      <c r="AT16" s="75">
        <v>0</v>
      </c>
      <c r="AU16" s="75">
        <v>0</v>
      </c>
      <c r="AV16" s="75">
        <v>0</v>
      </c>
      <c r="AW16" s="123">
        <v>0</v>
      </c>
      <c r="AX16" s="516"/>
      <c r="AY16" s="75">
        <v>0</v>
      </c>
      <c r="AZ16" s="77" t="s">
        <v>131</v>
      </c>
      <c r="BA16" s="78" t="s">
        <v>131</v>
      </c>
      <c r="BB16" s="78" t="s">
        <v>131</v>
      </c>
      <c r="BC16" s="78" t="s">
        <v>131</v>
      </c>
      <c r="BD16" s="78" t="s">
        <v>131</v>
      </c>
      <c r="BE16" s="78" t="s">
        <v>131</v>
      </c>
      <c r="BF16" s="78" t="s">
        <v>131</v>
      </c>
      <c r="BG16" s="78" t="s">
        <v>132</v>
      </c>
      <c r="BH16" s="75" t="s">
        <v>5970</v>
      </c>
      <c r="BI16" s="295" t="s">
        <v>2268</v>
      </c>
      <c r="BJ16" s="546" t="s">
        <v>16</v>
      </c>
      <c r="BK16" s="294" t="s">
        <v>16</v>
      </c>
      <c r="BL16" s="157" t="s">
        <v>16</v>
      </c>
      <c r="BM16" s="548" t="s">
        <v>1339</v>
      </c>
      <c r="BN16" s="548" t="s">
        <v>1339</v>
      </c>
      <c r="BO16" s="157" t="s">
        <v>5819</v>
      </c>
      <c r="BP16" s="548" t="s">
        <v>5820</v>
      </c>
      <c r="BQ16" s="157" t="s">
        <v>4229</v>
      </c>
      <c r="BR16" s="157"/>
    </row>
    <row r="17" spans="1:70" x14ac:dyDescent="0.25">
      <c r="A17" s="19" t="s">
        <v>3686</v>
      </c>
      <c r="B17" s="37" t="s">
        <v>4838</v>
      </c>
      <c r="C17" s="90">
        <v>45567.959085648145</v>
      </c>
      <c r="D17" s="114">
        <v>45567.709085648145</v>
      </c>
      <c r="E17" s="38">
        <v>45567</v>
      </c>
      <c r="F17" s="91">
        <v>2024</v>
      </c>
      <c r="G17" s="93">
        <v>10</v>
      </c>
      <c r="H17" s="37" t="s">
        <v>606</v>
      </c>
      <c r="I17" s="37" t="s">
        <v>16</v>
      </c>
      <c r="J17" s="103">
        <v>-92.23631962976836</v>
      </c>
      <c r="K17" s="40">
        <v>44.230640824468125</v>
      </c>
      <c r="L17" s="74"/>
      <c r="M17" s="272" t="s">
        <v>4839</v>
      </c>
      <c r="N17" s="74">
        <v>1</v>
      </c>
      <c r="O17" s="94"/>
      <c r="P17" s="118">
        <v>1</v>
      </c>
      <c r="Q17" s="510">
        <v>40</v>
      </c>
      <c r="R17" s="513">
        <v>180</v>
      </c>
      <c r="S17" s="41"/>
      <c r="T17" s="40"/>
      <c r="U17" s="40">
        <v>7</v>
      </c>
      <c r="V17" s="119">
        <v>1</v>
      </c>
      <c r="W17" s="40">
        <v>100</v>
      </c>
      <c r="X17" s="119">
        <v>1</v>
      </c>
      <c r="Y17" s="40">
        <v>64</v>
      </c>
      <c r="Z17" s="119">
        <v>1</v>
      </c>
      <c r="AA17" s="368">
        <v>0</v>
      </c>
      <c r="AB17" s="535">
        <v>5</v>
      </c>
      <c r="AC17" s="39" t="s">
        <v>160</v>
      </c>
      <c r="AD17" s="75" t="s">
        <v>10</v>
      </c>
      <c r="AE17" s="95">
        <v>0</v>
      </c>
      <c r="AF17" s="75">
        <v>0</v>
      </c>
      <c r="AG17" s="75">
        <v>0</v>
      </c>
      <c r="AH17" s="75">
        <v>0</v>
      </c>
      <c r="AI17" s="75">
        <v>0</v>
      </c>
      <c r="AJ17" s="75">
        <v>0</v>
      </c>
      <c r="AK17" s="75">
        <v>0</v>
      </c>
      <c r="AL17" s="95">
        <v>1</v>
      </c>
      <c r="AM17" s="92">
        <v>0</v>
      </c>
      <c r="AN17" s="79" t="s">
        <v>80</v>
      </c>
      <c r="AO17" s="75">
        <v>1</v>
      </c>
      <c r="AP17" s="75" t="s">
        <v>83</v>
      </c>
      <c r="AQ17" s="122">
        <v>1</v>
      </c>
      <c r="AR17" s="515" t="s">
        <v>10</v>
      </c>
      <c r="AS17" s="95">
        <v>0</v>
      </c>
      <c r="AT17" s="75">
        <v>0</v>
      </c>
      <c r="AU17" s="75">
        <v>0</v>
      </c>
      <c r="AV17" s="75">
        <v>0</v>
      </c>
      <c r="AW17" s="123">
        <v>0</v>
      </c>
      <c r="AX17" s="516" t="s">
        <v>4840</v>
      </c>
      <c r="AY17" s="75">
        <v>1</v>
      </c>
      <c r="AZ17" s="77" t="s">
        <v>131</v>
      </c>
      <c r="BA17" s="78" t="s">
        <v>131</v>
      </c>
      <c r="BB17" s="78" t="s">
        <v>131</v>
      </c>
      <c r="BC17" s="78" t="s">
        <v>131</v>
      </c>
      <c r="BD17" s="78" t="s">
        <v>131</v>
      </c>
      <c r="BE17" s="78" t="s">
        <v>131</v>
      </c>
      <c r="BF17" s="78" t="s">
        <v>131</v>
      </c>
      <c r="BG17" s="78" t="s">
        <v>132</v>
      </c>
      <c r="BH17" s="75" t="s">
        <v>5970</v>
      </c>
      <c r="BI17" s="295" t="s">
        <v>3966</v>
      </c>
      <c r="BJ17" s="546">
        <v>1</v>
      </c>
      <c r="BK17" s="294">
        <v>1</v>
      </c>
      <c r="BL17" s="157">
        <v>1</v>
      </c>
      <c r="BM17" s="548" t="s">
        <v>1339</v>
      </c>
      <c r="BN17" s="548" t="s">
        <v>1339</v>
      </c>
      <c r="BO17" s="157" t="s">
        <v>4334</v>
      </c>
      <c r="BP17" s="548" t="s">
        <v>3966</v>
      </c>
      <c r="BQ17" s="157" t="s">
        <v>4330</v>
      </c>
      <c r="BR17" s="157"/>
    </row>
    <row r="18" spans="1:70" x14ac:dyDescent="0.25">
      <c r="A18" s="19" t="s">
        <v>3686</v>
      </c>
      <c r="B18" s="37" t="s">
        <v>4841</v>
      </c>
      <c r="C18" s="90">
        <v>45567.939849537041</v>
      </c>
      <c r="D18" s="114">
        <v>45567.689849537041</v>
      </c>
      <c r="E18" s="38">
        <v>45567</v>
      </c>
      <c r="F18" s="91">
        <v>2024</v>
      </c>
      <c r="G18" s="93">
        <v>10</v>
      </c>
      <c r="H18" s="37" t="s">
        <v>606</v>
      </c>
      <c r="I18" s="37"/>
      <c r="J18" s="103">
        <v>-92.149234281439476</v>
      </c>
      <c r="K18" s="40">
        <v>44.24882801910141</v>
      </c>
      <c r="L18" s="74"/>
      <c r="M18" s="272" t="s">
        <v>4842</v>
      </c>
      <c r="N18" s="74">
        <v>1</v>
      </c>
      <c r="O18" s="94"/>
      <c r="P18" s="118">
        <v>1</v>
      </c>
      <c r="Q18" s="510">
        <v>80</v>
      </c>
      <c r="R18" s="513">
        <v>0</v>
      </c>
      <c r="S18" s="41"/>
      <c r="T18" s="40"/>
      <c r="U18" s="40">
        <v>7</v>
      </c>
      <c r="V18" s="119">
        <v>1</v>
      </c>
      <c r="W18" s="40">
        <v>100</v>
      </c>
      <c r="X18" s="119">
        <v>1</v>
      </c>
      <c r="Y18" s="40">
        <v>63</v>
      </c>
      <c r="Z18" s="119">
        <v>1</v>
      </c>
      <c r="AA18" s="368">
        <v>0</v>
      </c>
      <c r="AB18" s="535">
        <v>5</v>
      </c>
      <c r="AC18" s="39" t="s">
        <v>160</v>
      </c>
      <c r="AD18" s="75" t="s">
        <v>10</v>
      </c>
      <c r="AE18" s="95">
        <v>0</v>
      </c>
      <c r="AF18" s="75">
        <v>0</v>
      </c>
      <c r="AG18" s="75">
        <v>0</v>
      </c>
      <c r="AH18" s="75">
        <v>0</v>
      </c>
      <c r="AI18" s="75">
        <v>0</v>
      </c>
      <c r="AJ18" s="75">
        <v>0</v>
      </c>
      <c r="AK18" s="75">
        <v>0</v>
      </c>
      <c r="AL18" s="95">
        <v>1</v>
      </c>
      <c r="AM18" s="92">
        <v>0</v>
      </c>
      <c r="AN18" s="79" t="s">
        <v>80</v>
      </c>
      <c r="AO18" s="75">
        <v>1</v>
      </c>
      <c r="AP18" s="75" t="s">
        <v>83</v>
      </c>
      <c r="AQ18" s="122">
        <v>1</v>
      </c>
      <c r="AR18" s="515" t="s">
        <v>10</v>
      </c>
      <c r="AS18" s="95">
        <v>0</v>
      </c>
      <c r="AT18" s="75">
        <v>0</v>
      </c>
      <c r="AU18" s="75">
        <v>0</v>
      </c>
      <c r="AV18" s="75">
        <v>0</v>
      </c>
      <c r="AW18" s="123">
        <v>0</v>
      </c>
      <c r="AX18" s="516" t="s">
        <v>4843</v>
      </c>
      <c r="AY18" s="75">
        <v>1</v>
      </c>
      <c r="AZ18" s="77" t="s">
        <v>131</v>
      </c>
      <c r="BA18" s="78" t="s">
        <v>131</v>
      </c>
      <c r="BB18" s="78" t="s">
        <v>131</v>
      </c>
      <c r="BC18" s="78" t="s">
        <v>131</v>
      </c>
      <c r="BD18" s="78" t="s">
        <v>131</v>
      </c>
      <c r="BE18" s="78" t="s">
        <v>131</v>
      </c>
      <c r="BF18" s="78" t="s">
        <v>131</v>
      </c>
      <c r="BG18" s="78" t="s">
        <v>132</v>
      </c>
      <c r="BH18" s="75" t="s">
        <v>5970</v>
      </c>
      <c r="BI18" s="295" t="s">
        <v>16</v>
      </c>
      <c r="BJ18" s="546">
        <v>1</v>
      </c>
      <c r="BK18" s="294">
        <v>1</v>
      </c>
      <c r="BL18" s="157">
        <v>1</v>
      </c>
      <c r="BM18" s="548" t="s">
        <v>1339</v>
      </c>
      <c r="BN18" s="548" t="s">
        <v>1339</v>
      </c>
      <c r="BO18" s="157" t="s">
        <v>4358</v>
      </c>
      <c r="BP18" s="548" t="s">
        <v>317</v>
      </c>
      <c r="BQ18" s="157" t="s">
        <v>4330</v>
      </c>
      <c r="BR18" s="157"/>
    </row>
    <row r="19" spans="1:70" x14ac:dyDescent="0.25">
      <c r="A19" s="19" t="s">
        <v>3686</v>
      </c>
      <c r="B19" s="37" t="s">
        <v>4844</v>
      </c>
      <c r="C19" s="90">
        <v>45567.78670138889</v>
      </c>
      <c r="D19" s="114">
        <v>45567.53670138889</v>
      </c>
      <c r="E19" s="38">
        <v>45567</v>
      </c>
      <c r="F19" s="91">
        <v>2024</v>
      </c>
      <c r="G19" s="93">
        <v>10</v>
      </c>
      <c r="H19" s="37" t="s">
        <v>1378</v>
      </c>
      <c r="I19" s="37"/>
      <c r="J19" s="103">
        <v>-90.887301215851636</v>
      </c>
      <c r="K19" s="40">
        <v>43.733606508360829</v>
      </c>
      <c r="L19" s="74"/>
      <c r="M19" s="272" t="s">
        <v>4845</v>
      </c>
      <c r="N19" s="74">
        <v>1</v>
      </c>
      <c r="O19" s="94"/>
      <c r="P19" s="118">
        <v>1</v>
      </c>
      <c r="Q19" s="510">
        <v>180</v>
      </c>
      <c r="R19" s="513">
        <v>120</v>
      </c>
      <c r="S19" s="41"/>
      <c r="T19" s="40"/>
      <c r="U19" s="40">
        <v>7.5</v>
      </c>
      <c r="V19" s="119">
        <v>1</v>
      </c>
      <c r="W19" s="40">
        <v>0</v>
      </c>
      <c r="X19" s="119">
        <v>1</v>
      </c>
      <c r="Y19" s="40">
        <v>55</v>
      </c>
      <c r="Z19" s="119">
        <v>1</v>
      </c>
      <c r="AA19" s="368">
        <v>0</v>
      </c>
      <c r="AB19" s="535">
        <v>2</v>
      </c>
      <c r="AC19" s="39" t="s">
        <v>160</v>
      </c>
      <c r="AD19" s="75" t="s">
        <v>10</v>
      </c>
      <c r="AE19" s="95">
        <v>0</v>
      </c>
      <c r="AF19" s="75">
        <v>0</v>
      </c>
      <c r="AG19" s="75">
        <v>0</v>
      </c>
      <c r="AH19" s="75">
        <v>0</v>
      </c>
      <c r="AI19" s="75">
        <v>0</v>
      </c>
      <c r="AJ19" s="75">
        <v>0</v>
      </c>
      <c r="AK19" s="75">
        <v>0</v>
      </c>
      <c r="AL19" s="95">
        <v>1</v>
      </c>
      <c r="AM19" s="92">
        <v>0</v>
      </c>
      <c r="AN19" s="79" t="s">
        <v>80</v>
      </c>
      <c r="AO19" s="75">
        <v>1</v>
      </c>
      <c r="AP19" s="75" t="s">
        <v>83</v>
      </c>
      <c r="AQ19" s="122">
        <v>1</v>
      </c>
      <c r="AR19" s="515" t="s">
        <v>10</v>
      </c>
      <c r="AS19" s="95">
        <v>0</v>
      </c>
      <c r="AT19" s="75">
        <v>0</v>
      </c>
      <c r="AU19" s="75">
        <v>0</v>
      </c>
      <c r="AV19" s="75">
        <v>0</v>
      </c>
      <c r="AW19" s="123">
        <v>0</v>
      </c>
      <c r="AX19" s="516" t="s">
        <v>16</v>
      </c>
      <c r="AY19" s="75">
        <v>0</v>
      </c>
      <c r="AZ19" s="77" t="s">
        <v>131</v>
      </c>
      <c r="BA19" s="78" t="s">
        <v>131</v>
      </c>
      <c r="BB19" s="78" t="s">
        <v>131</v>
      </c>
      <c r="BC19" s="78" t="s">
        <v>131</v>
      </c>
      <c r="BD19" s="78" t="s">
        <v>131</v>
      </c>
      <c r="BE19" s="78" t="s">
        <v>131</v>
      </c>
      <c r="BF19" s="78" t="s">
        <v>131</v>
      </c>
      <c r="BG19" s="78" t="s">
        <v>132</v>
      </c>
      <c r="BH19" s="75" t="s">
        <v>5970</v>
      </c>
      <c r="BI19" s="295" t="s">
        <v>2319</v>
      </c>
      <c r="BJ19" s="546">
        <v>1</v>
      </c>
      <c r="BK19" s="294" t="s">
        <v>16</v>
      </c>
      <c r="BL19" s="157" t="s">
        <v>16</v>
      </c>
      <c r="BM19" s="548" t="s">
        <v>1342</v>
      </c>
      <c r="BN19" s="548" t="s">
        <v>4158</v>
      </c>
      <c r="BO19" s="157" t="s">
        <v>4613</v>
      </c>
      <c r="BP19" s="548" t="s">
        <v>2275</v>
      </c>
      <c r="BQ19" s="157" t="s">
        <v>4383</v>
      </c>
      <c r="BR19" s="157"/>
    </row>
    <row r="20" spans="1:70" x14ac:dyDescent="0.25">
      <c r="A20" s="19" t="s">
        <v>3686</v>
      </c>
      <c r="B20" s="37" t="s">
        <v>4846</v>
      </c>
      <c r="C20" s="90">
        <v>45565.688668981478</v>
      </c>
      <c r="D20" s="114">
        <v>45565.438668981478</v>
      </c>
      <c r="E20" s="38">
        <v>45565</v>
      </c>
      <c r="F20" s="91">
        <v>2024</v>
      </c>
      <c r="G20" s="93">
        <v>9</v>
      </c>
      <c r="H20" s="37" t="s">
        <v>475</v>
      </c>
      <c r="I20" s="37"/>
      <c r="J20" s="103">
        <v>-92.649572752268483</v>
      </c>
      <c r="K20" s="40">
        <v>44.075224384474119</v>
      </c>
      <c r="L20" s="74"/>
      <c r="M20" s="272" t="s">
        <v>16</v>
      </c>
      <c r="N20" s="74">
        <v>0</v>
      </c>
      <c r="O20" s="94"/>
      <c r="P20" s="118">
        <v>0</v>
      </c>
      <c r="Q20" s="510"/>
      <c r="R20" s="513"/>
      <c r="S20" s="41"/>
      <c r="T20" s="40"/>
      <c r="U20" s="40"/>
      <c r="V20" s="119">
        <v>0</v>
      </c>
      <c r="W20" s="40"/>
      <c r="X20" s="119">
        <v>1</v>
      </c>
      <c r="Y20" s="40">
        <v>56</v>
      </c>
      <c r="Z20" s="119">
        <v>1</v>
      </c>
      <c r="AA20" s="368">
        <v>0</v>
      </c>
      <c r="AB20" s="535">
        <v>5</v>
      </c>
      <c r="AC20" s="39" t="s">
        <v>160</v>
      </c>
      <c r="AD20" s="75" t="s">
        <v>10</v>
      </c>
      <c r="AE20" s="95">
        <v>0</v>
      </c>
      <c r="AF20" s="75">
        <v>0</v>
      </c>
      <c r="AG20" s="75">
        <v>0</v>
      </c>
      <c r="AH20" s="75">
        <v>0</v>
      </c>
      <c r="AI20" s="75">
        <v>0</v>
      </c>
      <c r="AJ20" s="75">
        <v>0</v>
      </c>
      <c r="AK20" s="75">
        <v>0</v>
      </c>
      <c r="AL20" s="95">
        <v>1</v>
      </c>
      <c r="AM20" s="92">
        <v>0</v>
      </c>
      <c r="AN20" s="79" t="s">
        <v>80</v>
      </c>
      <c r="AO20" s="75">
        <v>1</v>
      </c>
      <c r="AP20" s="75" t="s">
        <v>84</v>
      </c>
      <c r="AQ20" s="122">
        <v>1</v>
      </c>
      <c r="AR20" s="515" t="s">
        <v>10</v>
      </c>
      <c r="AS20" s="95">
        <v>0</v>
      </c>
      <c r="AT20" s="75">
        <v>0</v>
      </c>
      <c r="AU20" s="75">
        <v>0</v>
      </c>
      <c r="AV20" s="75">
        <v>0</v>
      </c>
      <c r="AW20" s="123">
        <v>0</v>
      </c>
      <c r="AX20" s="516"/>
      <c r="AY20" s="75">
        <v>0</v>
      </c>
      <c r="AZ20" s="77" t="s">
        <v>131</v>
      </c>
      <c r="BA20" s="78" t="s">
        <v>131</v>
      </c>
      <c r="BB20" s="78" t="s">
        <v>131</v>
      </c>
      <c r="BC20" s="78" t="s">
        <v>131</v>
      </c>
      <c r="BD20" s="78" t="s">
        <v>131</v>
      </c>
      <c r="BE20" s="78" t="s">
        <v>131</v>
      </c>
      <c r="BF20" s="78" t="s">
        <v>131</v>
      </c>
      <c r="BG20" s="78" t="s">
        <v>132</v>
      </c>
      <c r="BH20" s="75" t="s">
        <v>5970</v>
      </c>
      <c r="BI20" s="295" t="s">
        <v>16</v>
      </c>
      <c r="BJ20" s="546" t="s">
        <v>16</v>
      </c>
      <c r="BK20" s="294" t="s">
        <v>16</v>
      </c>
      <c r="BL20" s="157" t="s">
        <v>16</v>
      </c>
      <c r="BM20" s="548" t="s">
        <v>1339</v>
      </c>
      <c r="BN20" s="548" t="s">
        <v>1339</v>
      </c>
      <c r="BO20" s="157" t="s">
        <v>5822</v>
      </c>
      <c r="BP20" s="548" t="s">
        <v>5823</v>
      </c>
      <c r="BQ20" s="157" t="s">
        <v>5821</v>
      </c>
      <c r="BR20" s="157"/>
    </row>
    <row r="21" spans="1:70" x14ac:dyDescent="0.25">
      <c r="A21" s="19" t="s">
        <v>3686</v>
      </c>
      <c r="B21" s="37" t="s">
        <v>4847</v>
      </c>
      <c r="C21" s="90">
        <v>45565.631249999999</v>
      </c>
      <c r="D21" s="114">
        <v>45565.381249999999</v>
      </c>
      <c r="E21" s="38">
        <v>45565</v>
      </c>
      <c r="F21" s="91">
        <v>2024</v>
      </c>
      <c r="G21" s="93">
        <v>9</v>
      </c>
      <c r="H21" s="37" t="s">
        <v>1386</v>
      </c>
      <c r="I21" s="37"/>
      <c r="J21" s="103">
        <v>-91.970467600000006</v>
      </c>
      <c r="K21" s="40">
        <v>44.005512299999999</v>
      </c>
      <c r="L21" s="74"/>
      <c r="M21" s="272" t="s">
        <v>16</v>
      </c>
      <c r="N21" s="74">
        <v>0</v>
      </c>
      <c r="O21" s="94"/>
      <c r="P21" s="118">
        <v>1</v>
      </c>
      <c r="Q21" s="510">
        <v>80</v>
      </c>
      <c r="R21" s="513">
        <v>180</v>
      </c>
      <c r="S21" s="41"/>
      <c r="T21" s="40"/>
      <c r="U21" s="40">
        <v>7</v>
      </c>
      <c r="V21" s="119">
        <v>1</v>
      </c>
      <c r="W21" s="40">
        <v>100</v>
      </c>
      <c r="X21" s="119">
        <v>1</v>
      </c>
      <c r="Y21" s="40">
        <v>56</v>
      </c>
      <c r="Z21" s="119">
        <v>1</v>
      </c>
      <c r="AA21" s="368">
        <v>0</v>
      </c>
      <c r="AB21" s="535">
        <v>2</v>
      </c>
      <c r="AC21" s="39" t="s">
        <v>162</v>
      </c>
      <c r="AD21" s="75" t="s">
        <v>10</v>
      </c>
      <c r="AE21" s="95">
        <v>0</v>
      </c>
      <c r="AF21" s="75">
        <v>0</v>
      </c>
      <c r="AG21" s="75">
        <v>0</v>
      </c>
      <c r="AH21" s="75">
        <v>0</v>
      </c>
      <c r="AI21" s="75">
        <v>0</v>
      </c>
      <c r="AJ21" s="75">
        <v>0</v>
      </c>
      <c r="AK21" s="75">
        <v>0</v>
      </c>
      <c r="AL21" s="95">
        <v>1</v>
      </c>
      <c r="AM21" s="92">
        <v>0</v>
      </c>
      <c r="AN21" s="79" t="s">
        <v>80</v>
      </c>
      <c r="AO21" s="75">
        <v>1</v>
      </c>
      <c r="AP21" s="75" t="s">
        <v>83</v>
      </c>
      <c r="AQ21" s="122">
        <v>1</v>
      </c>
      <c r="AR21" s="515" t="s">
        <v>10</v>
      </c>
      <c r="AS21" s="95">
        <v>0</v>
      </c>
      <c r="AT21" s="75">
        <v>0</v>
      </c>
      <c r="AU21" s="75">
        <v>0</v>
      </c>
      <c r="AV21" s="75">
        <v>0</v>
      </c>
      <c r="AW21" s="123">
        <v>0</v>
      </c>
      <c r="AX21" s="516"/>
      <c r="AY21" s="75">
        <v>0</v>
      </c>
      <c r="AZ21" s="77" t="s">
        <v>131</v>
      </c>
      <c r="BA21" s="78" t="s">
        <v>131</v>
      </c>
      <c r="BB21" s="78" t="s">
        <v>131</v>
      </c>
      <c r="BC21" s="78" t="s">
        <v>131</v>
      </c>
      <c r="BD21" s="78" t="s">
        <v>131</v>
      </c>
      <c r="BE21" s="78" t="s">
        <v>131</v>
      </c>
      <c r="BF21" s="78" t="s">
        <v>131</v>
      </c>
      <c r="BG21" s="78" t="s">
        <v>132</v>
      </c>
      <c r="BH21" s="75" t="s">
        <v>5970</v>
      </c>
      <c r="BI21" s="295" t="s">
        <v>2255</v>
      </c>
      <c r="BJ21" s="546">
        <v>1</v>
      </c>
      <c r="BK21" s="294" t="s">
        <v>16</v>
      </c>
      <c r="BL21" s="157" t="s">
        <v>16</v>
      </c>
      <c r="BM21" s="548" t="s">
        <v>1341</v>
      </c>
      <c r="BN21" s="548" t="s">
        <v>1339</v>
      </c>
      <c r="BO21" s="157" t="s">
        <v>4362</v>
      </c>
      <c r="BP21" s="548" t="s">
        <v>4363</v>
      </c>
      <c r="BQ21" s="157" t="s">
        <v>4361</v>
      </c>
      <c r="BR21" s="157"/>
    </row>
    <row r="22" spans="1:70" x14ac:dyDescent="0.25">
      <c r="A22" s="19" t="s">
        <v>3686</v>
      </c>
      <c r="B22" s="37" t="s">
        <v>4848</v>
      </c>
      <c r="C22" s="90">
        <v>45562.690023148149</v>
      </c>
      <c r="D22" s="114">
        <v>45562.440023148149</v>
      </c>
      <c r="E22" s="38">
        <v>45562</v>
      </c>
      <c r="F22" s="91">
        <v>2024</v>
      </c>
      <c r="G22" s="93">
        <v>9</v>
      </c>
      <c r="H22" s="37" t="s">
        <v>617</v>
      </c>
      <c r="I22" s="37" t="s">
        <v>1772</v>
      </c>
      <c r="J22" s="103">
        <v>-92.189503386132344</v>
      </c>
      <c r="K22" s="40">
        <v>44.632801524613747</v>
      </c>
      <c r="L22" s="74"/>
      <c r="M22" s="272" t="s">
        <v>16</v>
      </c>
      <c r="N22" s="74">
        <v>0</v>
      </c>
      <c r="O22" s="94"/>
      <c r="P22" s="118">
        <v>1</v>
      </c>
      <c r="Q22" s="510">
        <v>120</v>
      </c>
      <c r="R22" s="513">
        <v>180</v>
      </c>
      <c r="S22" s="41"/>
      <c r="T22" s="40"/>
      <c r="U22" s="40">
        <v>7</v>
      </c>
      <c r="V22" s="119">
        <v>1</v>
      </c>
      <c r="W22" s="40">
        <v>0</v>
      </c>
      <c r="X22" s="119">
        <v>1</v>
      </c>
      <c r="Y22" s="40">
        <v>60</v>
      </c>
      <c r="Z22" s="119">
        <v>1</v>
      </c>
      <c r="AA22" s="368">
        <v>0</v>
      </c>
      <c r="AB22" s="535">
        <v>2</v>
      </c>
      <c r="AC22" s="39" t="s">
        <v>160</v>
      </c>
      <c r="AD22" s="75" t="s">
        <v>16</v>
      </c>
      <c r="AE22" s="95">
        <v>-1</v>
      </c>
      <c r="AF22" s="75">
        <v>-1</v>
      </c>
      <c r="AG22" s="75">
        <v>-1</v>
      </c>
      <c r="AH22" s="75">
        <v>-1</v>
      </c>
      <c r="AI22" s="75">
        <v>-1</v>
      </c>
      <c r="AJ22" s="75">
        <v>-1</v>
      </c>
      <c r="AK22" s="75">
        <v>-1</v>
      </c>
      <c r="AL22" s="95">
        <v>-1</v>
      </c>
      <c r="AM22" s="92">
        <v>1</v>
      </c>
      <c r="AN22" s="79" t="s">
        <v>81</v>
      </c>
      <c r="AO22" s="75">
        <v>1</v>
      </c>
      <c r="AP22" s="75" t="s">
        <v>83</v>
      </c>
      <c r="AQ22" s="122">
        <v>1</v>
      </c>
      <c r="AR22" s="515" t="s">
        <v>10</v>
      </c>
      <c r="AS22" s="95">
        <v>0</v>
      </c>
      <c r="AT22" s="75">
        <v>0</v>
      </c>
      <c r="AU22" s="75">
        <v>0</v>
      </c>
      <c r="AV22" s="75">
        <v>0</v>
      </c>
      <c r="AW22" s="123">
        <v>0</v>
      </c>
      <c r="AX22" s="516"/>
      <c r="AY22" s="75">
        <v>0</v>
      </c>
      <c r="AZ22" s="77" t="s">
        <v>5971</v>
      </c>
      <c r="BA22" s="78" t="s">
        <v>5971</v>
      </c>
      <c r="BB22" s="78" t="s">
        <v>5971</v>
      </c>
      <c r="BC22" s="78" t="s">
        <v>5971</v>
      </c>
      <c r="BD22" s="78" t="s">
        <v>5971</v>
      </c>
      <c r="BE22" s="78" t="s">
        <v>5971</v>
      </c>
      <c r="BF22" s="78" t="s">
        <v>5971</v>
      </c>
      <c r="BG22" s="78" t="s">
        <v>5971</v>
      </c>
      <c r="BH22" s="75" t="s">
        <v>5971</v>
      </c>
      <c r="BI22" s="295" t="s">
        <v>2248</v>
      </c>
      <c r="BJ22" s="546">
        <v>1</v>
      </c>
      <c r="BK22" s="294">
        <v>1</v>
      </c>
      <c r="BL22" s="157">
        <v>1</v>
      </c>
      <c r="BM22" s="548" t="s">
        <v>578</v>
      </c>
      <c r="BN22" s="548" t="s">
        <v>578</v>
      </c>
      <c r="BO22" s="157" t="s">
        <v>4218</v>
      </c>
      <c r="BP22" s="548" t="s">
        <v>4221</v>
      </c>
      <c r="BQ22" s="157" t="s">
        <v>4217</v>
      </c>
      <c r="BR22" s="157"/>
    </row>
    <row r="23" spans="1:70" x14ac:dyDescent="0.25">
      <c r="A23" s="19" t="s">
        <v>3686</v>
      </c>
      <c r="B23" s="37" t="s">
        <v>4849</v>
      </c>
      <c r="C23" s="90">
        <v>45562.675486111111</v>
      </c>
      <c r="D23" s="114">
        <v>45562.425486111111</v>
      </c>
      <c r="E23" s="38">
        <v>45562</v>
      </c>
      <c r="F23" s="91">
        <v>2024</v>
      </c>
      <c r="G23" s="93">
        <v>9</v>
      </c>
      <c r="H23" s="37" t="s">
        <v>1386</v>
      </c>
      <c r="I23" s="37"/>
      <c r="J23" s="103">
        <v>-91.878951400000005</v>
      </c>
      <c r="K23" s="40">
        <v>43.878990899999998</v>
      </c>
      <c r="L23" s="74"/>
      <c r="M23" s="272" t="s">
        <v>16</v>
      </c>
      <c r="N23" s="74">
        <v>0</v>
      </c>
      <c r="O23" s="94"/>
      <c r="P23" s="118">
        <v>1</v>
      </c>
      <c r="Q23" s="510">
        <v>80</v>
      </c>
      <c r="R23" s="513">
        <v>120</v>
      </c>
      <c r="S23" s="41"/>
      <c r="T23" s="40"/>
      <c r="U23" s="40">
        <v>7.5</v>
      </c>
      <c r="V23" s="119">
        <v>1</v>
      </c>
      <c r="W23" s="40">
        <v>100</v>
      </c>
      <c r="X23" s="119">
        <v>1</v>
      </c>
      <c r="Y23" s="40">
        <v>56</v>
      </c>
      <c r="Z23" s="119">
        <v>1</v>
      </c>
      <c r="AA23" s="368">
        <v>0</v>
      </c>
      <c r="AB23" s="535">
        <v>5</v>
      </c>
      <c r="AC23" s="39" t="s">
        <v>162</v>
      </c>
      <c r="AD23" s="75" t="s">
        <v>10</v>
      </c>
      <c r="AE23" s="95">
        <v>0</v>
      </c>
      <c r="AF23" s="75">
        <v>0</v>
      </c>
      <c r="AG23" s="75">
        <v>0</v>
      </c>
      <c r="AH23" s="75">
        <v>0</v>
      </c>
      <c r="AI23" s="75">
        <v>0</v>
      </c>
      <c r="AJ23" s="75">
        <v>0</v>
      </c>
      <c r="AK23" s="75">
        <v>0</v>
      </c>
      <c r="AL23" s="95">
        <v>1</v>
      </c>
      <c r="AM23" s="92">
        <v>0</v>
      </c>
      <c r="AN23" s="79" t="s">
        <v>80</v>
      </c>
      <c r="AO23" s="75">
        <v>1</v>
      </c>
      <c r="AP23" s="75" t="s">
        <v>83</v>
      </c>
      <c r="AQ23" s="122">
        <v>1</v>
      </c>
      <c r="AR23" s="515" t="s">
        <v>10</v>
      </c>
      <c r="AS23" s="95">
        <v>0</v>
      </c>
      <c r="AT23" s="75">
        <v>0</v>
      </c>
      <c r="AU23" s="75">
        <v>0</v>
      </c>
      <c r="AV23" s="75">
        <v>0</v>
      </c>
      <c r="AW23" s="123">
        <v>0</v>
      </c>
      <c r="AX23" s="516"/>
      <c r="AY23" s="75">
        <v>0</v>
      </c>
      <c r="AZ23" s="77" t="s">
        <v>131</v>
      </c>
      <c r="BA23" s="78" t="s">
        <v>131</v>
      </c>
      <c r="BB23" s="78" t="s">
        <v>131</v>
      </c>
      <c r="BC23" s="78" t="s">
        <v>131</v>
      </c>
      <c r="BD23" s="78" t="s">
        <v>131</v>
      </c>
      <c r="BE23" s="78" t="s">
        <v>131</v>
      </c>
      <c r="BF23" s="78" t="s">
        <v>131</v>
      </c>
      <c r="BG23" s="78" t="s">
        <v>132</v>
      </c>
      <c r="BH23" s="75" t="s">
        <v>5970</v>
      </c>
      <c r="BI23" s="295">
        <v>0</v>
      </c>
      <c r="BJ23" s="546">
        <v>1</v>
      </c>
      <c r="BK23" s="294">
        <v>1</v>
      </c>
      <c r="BL23" s="157">
        <v>1</v>
      </c>
      <c r="BM23" s="548" t="s">
        <v>1341</v>
      </c>
      <c r="BN23" s="548" t="s">
        <v>1339</v>
      </c>
      <c r="BO23" s="157" t="s">
        <v>4640</v>
      </c>
      <c r="BP23" s="548" t="s">
        <v>2261</v>
      </c>
      <c r="BQ23" s="157" t="s">
        <v>4635</v>
      </c>
      <c r="BR23" s="157"/>
    </row>
    <row r="24" spans="1:70" x14ac:dyDescent="0.25">
      <c r="A24" s="19" t="s">
        <v>3686</v>
      </c>
      <c r="B24" s="37" t="s">
        <v>4850</v>
      </c>
      <c r="C24" s="90">
        <v>45561.697523148148</v>
      </c>
      <c r="D24" s="114">
        <v>45561.447523148148</v>
      </c>
      <c r="E24" s="38">
        <v>45561</v>
      </c>
      <c r="F24" s="91">
        <v>2024</v>
      </c>
      <c r="G24" s="93">
        <v>9</v>
      </c>
      <c r="H24" s="37" t="s">
        <v>617</v>
      </c>
      <c r="I24" s="37" t="s">
        <v>2362</v>
      </c>
      <c r="J24" s="103">
        <v>-92.284235243053757</v>
      </c>
      <c r="K24" s="40">
        <v>44.542188545649388</v>
      </c>
      <c r="L24" s="74"/>
      <c r="M24" s="272" t="s">
        <v>16</v>
      </c>
      <c r="N24" s="74">
        <v>0</v>
      </c>
      <c r="O24" s="94"/>
      <c r="P24" s="118">
        <v>1</v>
      </c>
      <c r="Q24" s="510">
        <v>180</v>
      </c>
      <c r="R24" s="513">
        <v>180</v>
      </c>
      <c r="S24" s="41"/>
      <c r="T24" s="40"/>
      <c r="U24" s="40">
        <v>7.5</v>
      </c>
      <c r="V24" s="119">
        <v>1</v>
      </c>
      <c r="W24" s="40">
        <v>0</v>
      </c>
      <c r="X24" s="119">
        <v>1</v>
      </c>
      <c r="Y24" s="40">
        <v>56</v>
      </c>
      <c r="Z24" s="119">
        <v>1</v>
      </c>
      <c r="AA24" s="368">
        <v>0</v>
      </c>
      <c r="AB24" s="535">
        <v>5</v>
      </c>
      <c r="AC24" s="39" t="s">
        <v>160</v>
      </c>
      <c r="AD24" s="75" t="s">
        <v>16</v>
      </c>
      <c r="AE24" s="95">
        <v>-1</v>
      </c>
      <c r="AF24" s="75">
        <v>-1</v>
      </c>
      <c r="AG24" s="75">
        <v>-1</v>
      </c>
      <c r="AH24" s="75">
        <v>-1</v>
      </c>
      <c r="AI24" s="75">
        <v>-1</v>
      </c>
      <c r="AJ24" s="75">
        <v>-1</v>
      </c>
      <c r="AK24" s="75">
        <v>-1</v>
      </c>
      <c r="AL24" s="95">
        <v>-1</v>
      </c>
      <c r="AM24" s="92">
        <v>1</v>
      </c>
      <c r="AN24" s="79" t="s">
        <v>80</v>
      </c>
      <c r="AO24" s="75">
        <v>1</v>
      </c>
      <c r="AP24" s="75" t="s">
        <v>83</v>
      </c>
      <c r="AQ24" s="122">
        <v>1</v>
      </c>
      <c r="AR24" s="515" t="s">
        <v>10</v>
      </c>
      <c r="AS24" s="95">
        <v>0</v>
      </c>
      <c r="AT24" s="75">
        <v>0</v>
      </c>
      <c r="AU24" s="75">
        <v>0</v>
      </c>
      <c r="AV24" s="75">
        <v>0</v>
      </c>
      <c r="AW24" s="123">
        <v>0</v>
      </c>
      <c r="AX24" s="516"/>
      <c r="AY24" s="75">
        <v>0</v>
      </c>
      <c r="AZ24" s="77" t="s">
        <v>5971</v>
      </c>
      <c r="BA24" s="78" t="s">
        <v>5971</v>
      </c>
      <c r="BB24" s="78" t="s">
        <v>5971</v>
      </c>
      <c r="BC24" s="78" t="s">
        <v>5971</v>
      </c>
      <c r="BD24" s="78" t="s">
        <v>5971</v>
      </c>
      <c r="BE24" s="78" t="s">
        <v>5971</v>
      </c>
      <c r="BF24" s="78" t="s">
        <v>5971</v>
      </c>
      <c r="BG24" s="78" t="s">
        <v>5971</v>
      </c>
      <c r="BH24" s="75" t="s">
        <v>5971</v>
      </c>
      <c r="BI24" s="295" t="s">
        <v>2261</v>
      </c>
      <c r="BJ24" s="546">
        <v>1</v>
      </c>
      <c r="BK24" s="294">
        <v>1</v>
      </c>
      <c r="BL24" s="157">
        <v>1</v>
      </c>
      <c r="BM24" s="548" t="s">
        <v>1340</v>
      </c>
      <c r="BN24" s="548" t="s">
        <v>578</v>
      </c>
      <c r="BO24" s="157" t="s">
        <v>4268</v>
      </c>
      <c r="BP24" s="548" t="s">
        <v>2261</v>
      </c>
      <c r="BQ24" s="157" t="s">
        <v>4214</v>
      </c>
      <c r="BR24" s="157"/>
    </row>
    <row r="25" spans="1:70" x14ac:dyDescent="0.25">
      <c r="A25" s="19" t="s">
        <v>3686</v>
      </c>
      <c r="B25" s="37" t="s">
        <v>4851</v>
      </c>
      <c r="C25" s="90">
        <v>45560.781840277778</v>
      </c>
      <c r="D25" s="114">
        <v>45560.531840277778</v>
      </c>
      <c r="E25" s="38">
        <v>45560</v>
      </c>
      <c r="F25" s="91">
        <v>2024</v>
      </c>
      <c r="G25" s="93">
        <v>9</v>
      </c>
      <c r="H25" s="37" t="s">
        <v>1386</v>
      </c>
      <c r="I25" s="37"/>
      <c r="J25" s="103">
        <v>-91.580956599999993</v>
      </c>
      <c r="K25" s="40">
        <v>43.641460899999998</v>
      </c>
      <c r="L25" s="74"/>
      <c r="M25" s="272" t="s">
        <v>16</v>
      </c>
      <c r="N25" s="74">
        <v>0</v>
      </c>
      <c r="O25" s="94"/>
      <c r="P25" s="118">
        <v>1</v>
      </c>
      <c r="Q25" s="510">
        <v>0</v>
      </c>
      <c r="R25" s="513">
        <v>60</v>
      </c>
      <c r="S25" s="41"/>
      <c r="T25" s="40"/>
      <c r="U25" s="40">
        <v>7</v>
      </c>
      <c r="V25" s="119">
        <v>1</v>
      </c>
      <c r="W25" s="40">
        <v>0</v>
      </c>
      <c r="X25" s="119">
        <v>1</v>
      </c>
      <c r="Y25" s="40">
        <v>52</v>
      </c>
      <c r="Z25" s="119">
        <v>1</v>
      </c>
      <c r="AA25" s="368">
        <v>0</v>
      </c>
      <c r="AB25" s="535">
        <v>5</v>
      </c>
      <c r="AC25" s="39" t="s">
        <v>160</v>
      </c>
      <c r="AD25" s="75" t="s">
        <v>10</v>
      </c>
      <c r="AE25" s="95">
        <v>0</v>
      </c>
      <c r="AF25" s="75">
        <v>0</v>
      </c>
      <c r="AG25" s="75">
        <v>0</v>
      </c>
      <c r="AH25" s="75">
        <v>0</v>
      </c>
      <c r="AI25" s="75">
        <v>0</v>
      </c>
      <c r="AJ25" s="75">
        <v>0</v>
      </c>
      <c r="AK25" s="75">
        <v>0</v>
      </c>
      <c r="AL25" s="95">
        <v>1</v>
      </c>
      <c r="AM25" s="92">
        <v>0</v>
      </c>
      <c r="AN25" s="79" t="s">
        <v>80</v>
      </c>
      <c r="AO25" s="75">
        <v>1</v>
      </c>
      <c r="AP25" s="75" t="s">
        <v>83</v>
      </c>
      <c r="AQ25" s="122">
        <v>1</v>
      </c>
      <c r="AR25" s="515" t="s">
        <v>10</v>
      </c>
      <c r="AS25" s="95">
        <v>0</v>
      </c>
      <c r="AT25" s="75">
        <v>0</v>
      </c>
      <c r="AU25" s="75">
        <v>0</v>
      </c>
      <c r="AV25" s="75">
        <v>0</v>
      </c>
      <c r="AW25" s="123">
        <v>0</v>
      </c>
      <c r="AX25" s="516"/>
      <c r="AY25" s="75">
        <v>0</v>
      </c>
      <c r="AZ25" s="77" t="s">
        <v>131</v>
      </c>
      <c r="BA25" s="78" t="s">
        <v>131</v>
      </c>
      <c r="BB25" s="78" t="s">
        <v>131</v>
      </c>
      <c r="BC25" s="78" t="s">
        <v>131</v>
      </c>
      <c r="BD25" s="78" t="s">
        <v>131</v>
      </c>
      <c r="BE25" s="78" t="s">
        <v>131</v>
      </c>
      <c r="BF25" s="78" t="s">
        <v>131</v>
      </c>
      <c r="BG25" s="78" t="s">
        <v>132</v>
      </c>
      <c r="BH25" s="75" t="s">
        <v>5970</v>
      </c>
      <c r="BI25" s="295" t="s">
        <v>16</v>
      </c>
      <c r="BJ25" s="546">
        <v>1</v>
      </c>
      <c r="BK25" s="294" t="s">
        <v>16</v>
      </c>
      <c r="BL25" s="157" t="s">
        <v>16</v>
      </c>
      <c r="BM25" s="548" t="s">
        <v>1341</v>
      </c>
      <c r="BN25" s="548" t="s">
        <v>1339</v>
      </c>
      <c r="BO25" s="157" t="s">
        <v>4233</v>
      </c>
      <c r="BP25" s="548" t="s">
        <v>307</v>
      </c>
      <c r="BQ25" s="157" t="s">
        <v>4232</v>
      </c>
      <c r="BR25" s="157"/>
    </row>
    <row r="26" spans="1:70" x14ac:dyDescent="0.25">
      <c r="A26" s="19" t="s">
        <v>3686</v>
      </c>
      <c r="B26" s="37" t="s">
        <v>4852</v>
      </c>
      <c r="C26" s="90">
        <v>45560.760011574072</v>
      </c>
      <c r="D26" s="114">
        <v>45560.510011574072</v>
      </c>
      <c r="E26" s="38">
        <v>45560</v>
      </c>
      <c r="F26" s="91">
        <v>2024</v>
      </c>
      <c r="G26" s="93">
        <v>9</v>
      </c>
      <c r="H26" s="37" t="s">
        <v>1386</v>
      </c>
      <c r="I26" s="37"/>
      <c r="J26" s="103">
        <v>-91.373366799999999</v>
      </c>
      <c r="K26" s="40">
        <v>43.603532399999999</v>
      </c>
      <c r="L26" s="74"/>
      <c r="M26" s="272" t="s">
        <v>16</v>
      </c>
      <c r="N26" s="74">
        <v>0</v>
      </c>
      <c r="O26" s="94"/>
      <c r="P26" s="118">
        <v>1</v>
      </c>
      <c r="Q26" s="510">
        <v>80</v>
      </c>
      <c r="R26" s="513">
        <v>180</v>
      </c>
      <c r="S26" s="41"/>
      <c r="T26" s="40"/>
      <c r="U26" s="40">
        <v>8</v>
      </c>
      <c r="V26" s="119">
        <v>1</v>
      </c>
      <c r="W26" s="40">
        <v>0</v>
      </c>
      <c r="X26" s="119">
        <v>1</v>
      </c>
      <c r="Y26" s="40">
        <v>60</v>
      </c>
      <c r="Z26" s="119">
        <v>1</v>
      </c>
      <c r="AA26" s="368">
        <v>0</v>
      </c>
      <c r="AB26" s="535">
        <v>2</v>
      </c>
      <c r="AC26" s="39" t="s">
        <v>160</v>
      </c>
      <c r="AD26" s="75" t="s">
        <v>10</v>
      </c>
      <c r="AE26" s="95">
        <v>0</v>
      </c>
      <c r="AF26" s="75">
        <v>0</v>
      </c>
      <c r="AG26" s="75">
        <v>0</v>
      </c>
      <c r="AH26" s="75">
        <v>0</v>
      </c>
      <c r="AI26" s="75">
        <v>0</v>
      </c>
      <c r="AJ26" s="75">
        <v>0</v>
      </c>
      <c r="AK26" s="75">
        <v>0</v>
      </c>
      <c r="AL26" s="95">
        <v>1</v>
      </c>
      <c r="AM26" s="92">
        <v>0</v>
      </c>
      <c r="AN26" s="79" t="s">
        <v>80</v>
      </c>
      <c r="AO26" s="75">
        <v>1</v>
      </c>
      <c r="AP26" s="75" t="s">
        <v>84</v>
      </c>
      <c r="AQ26" s="122">
        <v>1</v>
      </c>
      <c r="AR26" s="515" t="s">
        <v>10</v>
      </c>
      <c r="AS26" s="95">
        <v>0</v>
      </c>
      <c r="AT26" s="75">
        <v>0</v>
      </c>
      <c r="AU26" s="75">
        <v>0</v>
      </c>
      <c r="AV26" s="75">
        <v>0</v>
      </c>
      <c r="AW26" s="123">
        <v>0</v>
      </c>
      <c r="AX26" s="516"/>
      <c r="AY26" s="75">
        <v>0</v>
      </c>
      <c r="AZ26" s="77" t="s">
        <v>131</v>
      </c>
      <c r="BA26" s="78" t="s">
        <v>131</v>
      </c>
      <c r="BB26" s="78" t="s">
        <v>131</v>
      </c>
      <c r="BC26" s="78" t="s">
        <v>131</v>
      </c>
      <c r="BD26" s="78" t="s">
        <v>131</v>
      </c>
      <c r="BE26" s="78" t="s">
        <v>131</v>
      </c>
      <c r="BF26" s="78" t="s">
        <v>131</v>
      </c>
      <c r="BG26" s="78" t="s">
        <v>132</v>
      </c>
      <c r="BH26" s="75" t="s">
        <v>5970</v>
      </c>
      <c r="BI26" s="295" t="s">
        <v>4019</v>
      </c>
      <c r="BJ26" s="546">
        <v>1</v>
      </c>
      <c r="BK26" s="294" t="s">
        <v>16</v>
      </c>
      <c r="BL26" s="157" t="s">
        <v>16</v>
      </c>
      <c r="BM26" s="548" t="s">
        <v>1341</v>
      </c>
      <c r="BN26" s="548" t="s">
        <v>1339</v>
      </c>
      <c r="BO26" s="157" t="s">
        <v>4235</v>
      </c>
      <c r="BP26" s="548" t="s">
        <v>4237</v>
      </c>
      <c r="BQ26" s="157" t="s">
        <v>4234</v>
      </c>
      <c r="BR26" s="157"/>
    </row>
    <row r="27" spans="1:70" x14ac:dyDescent="0.25">
      <c r="A27" s="19" t="s">
        <v>3686</v>
      </c>
      <c r="B27" s="37" t="s">
        <v>4853</v>
      </c>
      <c r="C27" s="90">
        <v>45560.741805555554</v>
      </c>
      <c r="D27" s="114">
        <v>45560.491805555554</v>
      </c>
      <c r="E27" s="38">
        <v>45560</v>
      </c>
      <c r="F27" s="91">
        <v>2024</v>
      </c>
      <c r="G27" s="93">
        <v>9</v>
      </c>
      <c r="H27" s="37" t="s">
        <v>1386</v>
      </c>
      <c r="I27" s="37"/>
      <c r="J27" s="103">
        <v>-91.413098199999993</v>
      </c>
      <c r="K27" s="40">
        <v>43.540539500000001</v>
      </c>
      <c r="L27" s="74"/>
      <c r="M27" s="272" t="s">
        <v>16</v>
      </c>
      <c r="N27" s="74">
        <v>0</v>
      </c>
      <c r="O27" s="94"/>
      <c r="P27" s="118">
        <v>1</v>
      </c>
      <c r="Q27" s="510">
        <v>80</v>
      </c>
      <c r="R27" s="513">
        <v>120</v>
      </c>
      <c r="S27" s="41"/>
      <c r="T27" s="40"/>
      <c r="U27" s="40">
        <v>7.5</v>
      </c>
      <c r="V27" s="119">
        <v>1</v>
      </c>
      <c r="W27" s="40">
        <v>0</v>
      </c>
      <c r="X27" s="119">
        <v>0</v>
      </c>
      <c r="Y27" s="40"/>
      <c r="Z27" s="119">
        <v>1</v>
      </c>
      <c r="AA27" s="368">
        <v>0</v>
      </c>
      <c r="AB27" s="535">
        <v>5</v>
      </c>
      <c r="AC27" s="39" t="s">
        <v>160</v>
      </c>
      <c r="AD27" s="75" t="s">
        <v>10</v>
      </c>
      <c r="AE27" s="95">
        <v>0</v>
      </c>
      <c r="AF27" s="75">
        <v>0</v>
      </c>
      <c r="AG27" s="75">
        <v>0</v>
      </c>
      <c r="AH27" s="75">
        <v>0</v>
      </c>
      <c r="AI27" s="75">
        <v>0</v>
      </c>
      <c r="AJ27" s="75">
        <v>0</v>
      </c>
      <c r="AK27" s="75">
        <v>0</v>
      </c>
      <c r="AL27" s="95">
        <v>1</v>
      </c>
      <c r="AM27" s="92">
        <v>0</v>
      </c>
      <c r="AN27" s="79" t="s">
        <v>80</v>
      </c>
      <c r="AO27" s="75">
        <v>1</v>
      </c>
      <c r="AP27" s="75" t="s">
        <v>84</v>
      </c>
      <c r="AQ27" s="122">
        <v>1</v>
      </c>
      <c r="AR27" s="515" t="s">
        <v>10</v>
      </c>
      <c r="AS27" s="95">
        <v>0</v>
      </c>
      <c r="AT27" s="75">
        <v>0</v>
      </c>
      <c r="AU27" s="75">
        <v>0</v>
      </c>
      <c r="AV27" s="75">
        <v>0</v>
      </c>
      <c r="AW27" s="123">
        <v>0</v>
      </c>
      <c r="AX27" s="516"/>
      <c r="AY27" s="75">
        <v>0</v>
      </c>
      <c r="AZ27" s="77" t="s">
        <v>131</v>
      </c>
      <c r="BA27" s="78" t="s">
        <v>131</v>
      </c>
      <c r="BB27" s="78" t="s">
        <v>131</v>
      </c>
      <c r="BC27" s="78" t="s">
        <v>131</v>
      </c>
      <c r="BD27" s="78" t="s">
        <v>131</v>
      </c>
      <c r="BE27" s="78" t="s">
        <v>131</v>
      </c>
      <c r="BF27" s="78" t="s">
        <v>131</v>
      </c>
      <c r="BG27" s="78" t="s">
        <v>132</v>
      </c>
      <c r="BH27" s="75" t="s">
        <v>5970</v>
      </c>
      <c r="BI27" s="295" t="s">
        <v>4020</v>
      </c>
      <c r="BJ27" s="546">
        <v>1</v>
      </c>
      <c r="BK27" s="294">
        <v>1</v>
      </c>
      <c r="BL27" s="157">
        <v>1</v>
      </c>
      <c r="BM27" s="548" t="s">
        <v>1341</v>
      </c>
      <c r="BN27" s="548" t="s">
        <v>1339</v>
      </c>
      <c r="BO27" s="157" t="s">
        <v>4239</v>
      </c>
      <c r="BP27" s="548" t="s">
        <v>4240</v>
      </c>
      <c r="BQ27" s="157" t="s">
        <v>4238</v>
      </c>
      <c r="BR27" s="157"/>
    </row>
    <row r="28" spans="1:70" x14ac:dyDescent="0.25">
      <c r="A28" s="19" t="s">
        <v>3686</v>
      </c>
      <c r="B28" s="37" t="s">
        <v>4854</v>
      </c>
      <c r="C28" s="90">
        <v>45560.703159722223</v>
      </c>
      <c r="D28" s="114">
        <v>45560.453159722223</v>
      </c>
      <c r="E28" s="38">
        <v>45560</v>
      </c>
      <c r="F28" s="91">
        <v>2024</v>
      </c>
      <c r="G28" s="93">
        <v>9</v>
      </c>
      <c r="H28" s="37" t="s">
        <v>1386</v>
      </c>
      <c r="I28" s="37"/>
      <c r="J28" s="103">
        <v>-91.569788299999999</v>
      </c>
      <c r="K28" s="40">
        <v>43.502340599999997</v>
      </c>
      <c r="L28" s="74"/>
      <c r="M28" s="272" t="s">
        <v>16</v>
      </c>
      <c r="N28" s="74">
        <v>0</v>
      </c>
      <c r="O28" s="94"/>
      <c r="P28" s="118">
        <v>1</v>
      </c>
      <c r="Q28" s="510">
        <v>120</v>
      </c>
      <c r="R28" s="513">
        <v>180</v>
      </c>
      <c r="S28" s="41"/>
      <c r="T28" s="40"/>
      <c r="U28" s="40">
        <v>7.5</v>
      </c>
      <c r="V28" s="119">
        <v>1</v>
      </c>
      <c r="W28" s="40">
        <v>0</v>
      </c>
      <c r="X28" s="119">
        <v>1</v>
      </c>
      <c r="Y28" s="40">
        <v>52</v>
      </c>
      <c r="Z28" s="119">
        <v>1</v>
      </c>
      <c r="AA28" s="368">
        <v>0</v>
      </c>
      <c r="AB28" s="535">
        <v>0</v>
      </c>
      <c r="AC28" s="39" t="s">
        <v>160</v>
      </c>
      <c r="AD28" s="75" t="s">
        <v>10</v>
      </c>
      <c r="AE28" s="95">
        <v>0</v>
      </c>
      <c r="AF28" s="75">
        <v>0</v>
      </c>
      <c r="AG28" s="75">
        <v>0</v>
      </c>
      <c r="AH28" s="75">
        <v>0</v>
      </c>
      <c r="AI28" s="75">
        <v>0</v>
      </c>
      <c r="AJ28" s="75">
        <v>0</v>
      </c>
      <c r="AK28" s="75">
        <v>0</v>
      </c>
      <c r="AL28" s="95">
        <v>1</v>
      </c>
      <c r="AM28" s="92">
        <v>0</v>
      </c>
      <c r="AN28" s="79" t="s">
        <v>80</v>
      </c>
      <c r="AO28" s="75">
        <v>1</v>
      </c>
      <c r="AP28" s="75" t="s">
        <v>83</v>
      </c>
      <c r="AQ28" s="122">
        <v>1</v>
      </c>
      <c r="AR28" s="515" t="s">
        <v>10</v>
      </c>
      <c r="AS28" s="95">
        <v>0</v>
      </c>
      <c r="AT28" s="75">
        <v>0</v>
      </c>
      <c r="AU28" s="75">
        <v>0</v>
      </c>
      <c r="AV28" s="75">
        <v>0</v>
      </c>
      <c r="AW28" s="123">
        <v>0</v>
      </c>
      <c r="AX28" s="516"/>
      <c r="AY28" s="75">
        <v>0</v>
      </c>
      <c r="AZ28" s="77" t="s">
        <v>131</v>
      </c>
      <c r="BA28" s="78" t="s">
        <v>131</v>
      </c>
      <c r="BB28" s="78" t="s">
        <v>131</v>
      </c>
      <c r="BC28" s="78" t="s">
        <v>131</v>
      </c>
      <c r="BD28" s="78" t="s">
        <v>131</v>
      </c>
      <c r="BE28" s="78" t="s">
        <v>131</v>
      </c>
      <c r="BF28" s="78" t="s">
        <v>131</v>
      </c>
      <c r="BG28" s="78" t="s">
        <v>132</v>
      </c>
      <c r="BH28" s="75" t="s">
        <v>5970</v>
      </c>
      <c r="BI28" s="295" t="s">
        <v>2265</v>
      </c>
      <c r="BJ28" s="546">
        <v>1</v>
      </c>
      <c r="BK28" s="294">
        <v>1</v>
      </c>
      <c r="BL28" s="157">
        <v>1</v>
      </c>
      <c r="BM28" s="548" t="s">
        <v>1341</v>
      </c>
      <c r="BN28" s="548" t="s">
        <v>1339</v>
      </c>
      <c r="BO28" s="157" t="s">
        <v>4242</v>
      </c>
      <c r="BP28" s="548" t="s">
        <v>4041</v>
      </c>
      <c r="BQ28" s="157" t="s">
        <v>4241</v>
      </c>
      <c r="BR28" s="157"/>
    </row>
    <row r="29" spans="1:70" x14ac:dyDescent="0.25">
      <c r="A29" s="19" t="s">
        <v>3686</v>
      </c>
      <c r="B29" s="37" t="s">
        <v>4855</v>
      </c>
      <c r="C29" s="90">
        <v>45560.680706018517</v>
      </c>
      <c r="D29" s="114">
        <v>45560.430706018517</v>
      </c>
      <c r="E29" s="38">
        <v>45560</v>
      </c>
      <c r="F29" s="91">
        <v>2024</v>
      </c>
      <c r="G29" s="93">
        <v>9</v>
      </c>
      <c r="H29" s="37" t="s">
        <v>2475</v>
      </c>
      <c r="I29" s="37"/>
      <c r="J29" s="103">
        <v>-90.471891323895363</v>
      </c>
      <c r="K29" s="40">
        <v>43.047570795994325</v>
      </c>
      <c r="L29" s="74"/>
      <c r="M29" s="272" t="s">
        <v>4856</v>
      </c>
      <c r="N29" s="74">
        <v>1</v>
      </c>
      <c r="O29" s="94"/>
      <c r="P29" s="118">
        <v>1</v>
      </c>
      <c r="Q29" s="510">
        <v>180</v>
      </c>
      <c r="R29" s="513">
        <v>120</v>
      </c>
      <c r="S29" s="41"/>
      <c r="T29" s="40"/>
      <c r="U29" s="40">
        <v>7.5</v>
      </c>
      <c r="V29" s="119">
        <v>1</v>
      </c>
      <c r="W29" s="40">
        <v>0</v>
      </c>
      <c r="X29" s="119">
        <v>1</v>
      </c>
      <c r="Y29" s="40">
        <v>57</v>
      </c>
      <c r="Z29" s="119">
        <v>1</v>
      </c>
      <c r="AA29" s="368">
        <v>0</v>
      </c>
      <c r="AB29" s="535">
        <v>5</v>
      </c>
      <c r="AC29" s="39" t="s">
        <v>160</v>
      </c>
      <c r="AD29" s="75" t="s">
        <v>439</v>
      </c>
      <c r="AE29" s="95">
        <v>0</v>
      </c>
      <c r="AF29" s="75">
        <v>1</v>
      </c>
      <c r="AG29" s="75">
        <v>0</v>
      </c>
      <c r="AH29" s="75">
        <v>0</v>
      </c>
      <c r="AI29" s="75">
        <v>1</v>
      </c>
      <c r="AJ29" s="75">
        <v>0</v>
      </c>
      <c r="AK29" s="75">
        <v>0</v>
      </c>
      <c r="AL29" s="95">
        <v>0</v>
      </c>
      <c r="AM29" s="92">
        <v>0</v>
      </c>
      <c r="AN29" s="79" t="s">
        <v>81</v>
      </c>
      <c r="AO29" s="75">
        <v>1</v>
      </c>
      <c r="AP29" s="75" t="s">
        <v>84</v>
      </c>
      <c r="AQ29" s="122">
        <v>1</v>
      </c>
      <c r="AR29" s="515" t="s">
        <v>10</v>
      </c>
      <c r="AS29" s="95">
        <v>0</v>
      </c>
      <c r="AT29" s="75">
        <v>0</v>
      </c>
      <c r="AU29" s="75">
        <v>0</v>
      </c>
      <c r="AV29" s="75">
        <v>0</v>
      </c>
      <c r="AW29" s="123">
        <v>0</v>
      </c>
      <c r="AX29" s="516" t="s">
        <v>4857</v>
      </c>
      <c r="AY29" s="75">
        <v>1</v>
      </c>
      <c r="AZ29" s="77" t="s">
        <v>131</v>
      </c>
      <c r="BA29" s="78" t="s">
        <v>132</v>
      </c>
      <c r="BB29" s="78" t="s">
        <v>131</v>
      </c>
      <c r="BC29" s="78" t="s">
        <v>131</v>
      </c>
      <c r="BD29" s="78" t="s">
        <v>132</v>
      </c>
      <c r="BE29" s="78" t="s">
        <v>131</v>
      </c>
      <c r="BF29" s="78" t="s">
        <v>131</v>
      </c>
      <c r="BG29" s="78" t="s">
        <v>131</v>
      </c>
      <c r="BH29" s="75" t="s">
        <v>5970</v>
      </c>
      <c r="BI29" s="295" t="s">
        <v>5826</v>
      </c>
      <c r="BJ29" s="546">
        <v>1</v>
      </c>
      <c r="BK29" s="294" t="s">
        <v>16</v>
      </c>
      <c r="BL29" s="157" t="s">
        <v>16</v>
      </c>
      <c r="BM29" s="548" t="s">
        <v>1345</v>
      </c>
      <c r="BN29" s="548" t="s">
        <v>4162</v>
      </c>
      <c r="BO29" s="157" t="s">
        <v>5825</v>
      </c>
      <c r="BP29" s="548" t="s">
        <v>5827</v>
      </c>
      <c r="BQ29" s="157" t="s">
        <v>5824</v>
      </c>
      <c r="BR29" s="157"/>
    </row>
    <row r="30" spans="1:70" x14ac:dyDescent="0.25">
      <c r="A30" s="19" t="s">
        <v>3686</v>
      </c>
      <c r="B30" s="37" t="s">
        <v>4858</v>
      </c>
      <c r="C30" s="90">
        <v>45560.673807870371</v>
      </c>
      <c r="D30" s="114">
        <v>45560.423807870371</v>
      </c>
      <c r="E30" s="38">
        <v>45560</v>
      </c>
      <c r="F30" s="91">
        <v>2024</v>
      </c>
      <c r="G30" s="93">
        <v>9</v>
      </c>
      <c r="H30" s="37" t="s">
        <v>1386</v>
      </c>
      <c r="I30" s="37"/>
      <c r="J30" s="103">
        <v>-91.814810800000004</v>
      </c>
      <c r="K30" s="40">
        <v>43.597239199999997</v>
      </c>
      <c r="L30" s="74"/>
      <c r="M30" s="272" t="s">
        <v>16</v>
      </c>
      <c r="N30" s="74">
        <v>0</v>
      </c>
      <c r="O30" s="94"/>
      <c r="P30" s="118">
        <v>1</v>
      </c>
      <c r="Q30" s="510">
        <v>80</v>
      </c>
      <c r="R30" s="513">
        <v>180</v>
      </c>
      <c r="S30" s="41"/>
      <c r="T30" s="40"/>
      <c r="U30" s="40">
        <v>7.5</v>
      </c>
      <c r="V30" s="119">
        <v>1</v>
      </c>
      <c r="W30" s="40">
        <v>0</v>
      </c>
      <c r="X30" s="119">
        <v>1</v>
      </c>
      <c r="Y30" s="40">
        <v>54</v>
      </c>
      <c r="Z30" s="119">
        <v>1</v>
      </c>
      <c r="AA30" s="368">
        <v>0</v>
      </c>
      <c r="AB30" s="535">
        <v>5</v>
      </c>
      <c r="AC30" s="39" t="s">
        <v>160</v>
      </c>
      <c r="AD30" s="75" t="s">
        <v>10</v>
      </c>
      <c r="AE30" s="95">
        <v>0</v>
      </c>
      <c r="AF30" s="75">
        <v>0</v>
      </c>
      <c r="AG30" s="75">
        <v>0</v>
      </c>
      <c r="AH30" s="75">
        <v>0</v>
      </c>
      <c r="AI30" s="75">
        <v>0</v>
      </c>
      <c r="AJ30" s="75">
        <v>0</v>
      </c>
      <c r="AK30" s="75">
        <v>0</v>
      </c>
      <c r="AL30" s="95">
        <v>1</v>
      </c>
      <c r="AM30" s="92">
        <v>0</v>
      </c>
      <c r="AN30" s="79" t="s">
        <v>80</v>
      </c>
      <c r="AO30" s="75">
        <v>1</v>
      </c>
      <c r="AP30" s="75" t="s">
        <v>83</v>
      </c>
      <c r="AQ30" s="122">
        <v>1</v>
      </c>
      <c r="AR30" s="515" t="s">
        <v>10</v>
      </c>
      <c r="AS30" s="95">
        <v>0</v>
      </c>
      <c r="AT30" s="75">
        <v>0</v>
      </c>
      <c r="AU30" s="75">
        <v>0</v>
      </c>
      <c r="AV30" s="75">
        <v>0</v>
      </c>
      <c r="AW30" s="123">
        <v>0</v>
      </c>
      <c r="AX30" s="516"/>
      <c r="AY30" s="75">
        <v>0</v>
      </c>
      <c r="AZ30" s="77" t="s">
        <v>131</v>
      </c>
      <c r="BA30" s="78" t="s">
        <v>131</v>
      </c>
      <c r="BB30" s="78" t="s">
        <v>131</v>
      </c>
      <c r="BC30" s="78" t="s">
        <v>131</v>
      </c>
      <c r="BD30" s="78" t="s">
        <v>131</v>
      </c>
      <c r="BE30" s="78" t="s">
        <v>131</v>
      </c>
      <c r="BF30" s="78" t="s">
        <v>131</v>
      </c>
      <c r="BG30" s="78" t="s">
        <v>132</v>
      </c>
      <c r="BH30" s="75" t="s">
        <v>5970</v>
      </c>
      <c r="BI30" s="295" t="s">
        <v>2271</v>
      </c>
      <c r="BJ30" s="546">
        <v>1</v>
      </c>
      <c r="BK30" s="294">
        <v>1</v>
      </c>
      <c r="BL30" s="157">
        <v>1</v>
      </c>
      <c r="BM30" s="548" t="s">
        <v>1341</v>
      </c>
      <c r="BN30" s="548" t="s">
        <v>1339</v>
      </c>
      <c r="BO30" s="157" t="s">
        <v>4245</v>
      </c>
      <c r="BP30" s="548" t="s">
        <v>2271</v>
      </c>
      <c r="BQ30" s="157" t="s">
        <v>4232</v>
      </c>
      <c r="BR30" s="157"/>
    </row>
    <row r="31" spans="1:70" x14ac:dyDescent="0.25">
      <c r="A31" s="19" t="s">
        <v>3686</v>
      </c>
      <c r="B31" s="37" t="s">
        <v>4859</v>
      </c>
      <c r="C31" s="90">
        <v>45560.644236111111</v>
      </c>
      <c r="D31" s="114">
        <v>45560.394236111111</v>
      </c>
      <c r="E31" s="38">
        <v>45560</v>
      </c>
      <c r="F31" s="91">
        <v>2024</v>
      </c>
      <c r="G31" s="93">
        <v>9</v>
      </c>
      <c r="H31" s="37" t="s">
        <v>1386</v>
      </c>
      <c r="I31" s="37"/>
      <c r="J31" s="103">
        <v>-91.791960399999994</v>
      </c>
      <c r="K31" s="40">
        <v>43.6737696</v>
      </c>
      <c r="L31" s="74"/>
      <c r="M31" s="272" t="s">
        <v>16</v>
      </c>
      <c r="N31" s="74">
        <v>0</v>
      </c>
      <c r="O31" s="94"/>
      <c r="P31" s="118">
        <v>1</v>
      </c>
      <c r="Q31" s="510">
        <v>120</v>
      </c>
      <c r="R31" s="513">
        <v>180</v>
      </c>
      <c r="S31" s="41"/>
      <c r="T31" s="40"/>
      <c r="U31" s="40">
        <v>8</v>
      </c>
      <c r="V31" s="119">
        <v>1</v>
      </c>
      <c r="W31" s="40">
        <v>0</v>
      </c>
      <c r="X31" s="119">
        <v>1</v>
      </c>
      <c r="Y31" s="40">
        <v>54</v>
      </c>
      <c r="Z31" s="119">
        <v>1</v>
      </c>
      <c r="AA31" s="368">
        <v>0</v>
      </c>
      <c r="AB31" s="535">
        <v>5</v>
      </c>
      <c r="AC31" s="39" t="s">
        <v>160</v>
      </c>
      <c r="AD31" s="75" t="s">
        <v>10</v>
      </c>
      <c r="AE31" s="95">
        <v>0</v>
      </c>
      <c r="AF31" s="75">
        <v>0</v>
      </c>
      <c r="AG31" s="75">
        <v>0</v>
      </c>
      <c r="AH31" s="75">
        <v>0</v>
      </c>
      <c r="AI31" s="75">
        <v>0</v>
      </c>
      <c r="AJ31" s="75">
        <v>0</v>
      </c>
      <c r="AK31" s="75">
        <v>0</v>
      </c>
      <c r="AL31" s="95">
        <v>1</v>
      </c>
      <c r="AM31" s="92">
        <v>0</v>
      </c>
      <c r="AN31" s="79" t="s">
        <v>80</v>
      </c>
      <c r="AO31" s="75">
        <v>1</v>
      </c>
      <c r="AP31" s="75" t="s">
        <v>83</v>
      </c>
      <c r="AQ31" s="122">
        <v>1</v>
      </c>
      <c r="AR31" s="515" t="s">
        <v>10</v>
      </c>
      <c r="AS31" s="95">
        <v>0</v>
      </c>
      <c r="AT31" s="75">
        <v>0</v>
      </c>
      <c r="AU31" s="75">
        <v>0</v>
      </c>
      <c r="AV31" s="75">
        <v>0</v>
      </c>
      <c r="AW31" s="123">
        <v>0</v>
      </c>
      <c r="AX31" s="516"/>
      <c r="AY31" s="75">
        <v>0</v>
      </c>
      <c r="AZ31" s="77" t="s">
        <v>131</v>
      </c>
      <c r="BA31" s="78" t="s">
        <v>131</v>
      </c>
      <c r="BB31" s="78" t="s">
        <v>131</v>
      </c>
      <c r="BC31" s="78" t="s">
        <v>131</v>
      </c>
      <c r="BD31" s="78" t="s">
        <v>131</v>
      </c>
      <c r="BE31" s="78" t="s">
        <v>131</v>
      </c>
      <c r="BF31" s="78" t="s">
        <v>131</v>
      </c>
      <c r="BG31" s="78" t="s">
        <v>132</v>
      </c>
      <c r="BH31" s="75" t="s">
        <v>5970</v>
      </c>
      <c r="BI31" s="295">
        <v>0</v>
      </c>
      <c r="BJ31" s="546">
        <v>1</v>
      </c>
      <c r="BK31" s="294">
        <v>1</v>
      </c>
      <c r="BL31" s="157">
        <v>1</v>
      </c>
      <c r="BM31" s="548" t="s">
        <v>1341</v>
      </c>
      <c r="BN31" s="548" t="s">
        <v>1339</v>
      </c>
      <c r="BO31" s="157" t="s">
        <v>4418</v>
      </c>
      <c r="BP31" s="548" t="s">
        <v>4419</v>
      </c>
      <c r="BQ31" s="157" t="s">
        <v>4232</v>
      </c>
      <c r="BR31" s="157"/>
    </row>
    <row r="32" spans="1:70" x14ac:dyDescent="0.25">
      <c r="A32" s="19" t="s">
        <v>3686</v>
      </c>
      <c r="B32" s="37" t="s">
        <v>4860</v>
      </c>
      <c r="C32" s="90">
        <v>45559.708622685182</v>
      </c>
      <c r="D32" s="114">
        <v>45559.458622685182</v>
      </c>
      <c r="E32" s="38">
        <v>45559</v>
      </c>
      <c r="F32" s="91">
        <v>2024</v>
      </c>
      <c r="G32" s="93">
        <v>9</v>
      </c>
      <c r="H32" s="37" t="s">
        <v>1386</v>
      </c>
      <c r="I32" s="37"/>
      <c r="J32" s="103">
        <v>-92.293850500000005</v>
      </c>
      <c r="K32" s="40">
        <v>43.727873799999998</v>
      </c>
      <c r="L32" s="74"/>
      <c r="M32" s="272" t="s">
        <v>16</v>
      </c>
      <c r="N32" s="74">
        <v>0</v>
      </c>
      <c r="O32" s="94"/>
      <c r="P32" s="118">
        <v>1</v>
      </c>
      <c r="Q32" s="510">
        <v>80</v>
      </c>
      <c r="R32" s="513">
        <v>180</v>
      </c>
      <c r="S32" s="41"/>
      <c r="T32" s="40"/>
      <c r="U32" s="40">
        <v>7.5</v>
      </c>
      <c r="V32" s="119">
        <v>1</v>
      </c>
      <c r="W32" s="40">
        <v>0</v>
      </c>
      <c r="X32" s="119">
        <v>1</v>
      </c>
      <c r="Y32" s="40">
        <v>57</v>
      </c>
      <c r="Z32" s="119">
        <v>1</v>
      </c>
      <c r="AA32" s="368">
        <v>0</v>
      </c>
      <c r="AB32" s="535">
        <v>5</v>
      </c>
      <c r="AC32" s="39" t="s">
        <v>160</v>
      </c>
      <c r="AD32" s="75" t="s">
        <v>10</v>
      </c>
      <c r="AE32" s="95">
        <v>0</v>
      </c>
      <c r="AF32" s="75">
        <v>0</v>
      </c>
      <c r="AG32" s="75">
        <v>0</v>
      </c>
      <c r="AH32" s="75">
        <v>0</v>
      </c>
      <c r="AI32" s="75">
        <v>0</v>
      </c>
      <c r="AJ32" s="75">
        <v>0</v>
      </c>
      <c r="AK32" s="75">
        <v>0</v>
      </c>
      <c r="AL32" s="95">
        <v>1</v>
      </c>
      <c r="AM32" s="92">
        <v>0</v>
      </c>
      <c r="AN32" s="79" t="s">
        <v>80</v>
      </c>
      <c r="AO32" s="75">
        <v>1</v>
      </c>
      <c r="AP32" s="75" t="s">
        <v>83</v>
      </c>
      <c r="AQ32" s="122">
        <v>1</v>
      </c>
      <c r="AR32" s="515" t="s">
        <v>10</v>
      </c>
      <c r="AS32" s="95">
        <v>0</v>
      </c>
      <c r="AT32" s="75">
        <v>0</v>
      </c>
      <c r="AU32" s="75">
        <v>0</v>
      </c>
      <c r="AV32" s="75">
        <v>0</v>
      </c>
      <c r="AW32" s="123">
        <v>0</v>
      </c>
      <c r="AX32" s="516"/>
      <c r="AY32" s="75">
        <v>0</v>
      </c>
      <c r="AZ32" s="77" t="s">
        <v>131</v>
      </c>
      <c r="BA32" s="78" t="s">
        <v>131</v>
      </c>
      <c r="BB32" s="78" t="s">
        <v>131</v>
      </c>
      <c r="BC32" s="78" t="s">
        <v>131</v>
      </c>
      <c r="BD32" s="78" t="s">
        <v>131</v>
      </c>
      <c r="BE32" s="78" t="s">
        <v>131</v>
      </c>
      <c r="BF32" s="78" t="s">
        <v>131</v>
      </c>
      <c r="BG32" s="78" t="s">
        <v>132</v>
      </c>
      <c r="BH32" s="75" t="s">
        <v>5970</v>
      </c>
      <c r="BI32" s="295" t="s">
        <v>2230</v>
      </c>
      <c r="BJ32" s="546">
        <v>1</v>
      </c>
      <c r="BK32" s="294" t="s">
        <v>16</v>
      </c>
      <c r="BL32" s="157" t="s">
        <v>16</v>
      </c>
      <c r="BM32" s="548" t="s">
        <v>1339</v>
      </c>
      <c r="BN32" s="548" t="s">
        <v>1339</v>
      </c>
      <c r="BO32" s="157" t="s">
        <v>4227</v>
      </c>
      <c r="BP32" s="548" t="s">
        <v>2230</v>
      </c>
      <c r="BQ32" s="157" t="s">
        <v>4226</v>
      </c>
      <c r="BR32" s="157"/>
    </row>
    <row r="33" spans="1:70" x14ac:dyDescent="0.25">
      <c r="A33" s="19" t="s">
        <v>3686</v>
      </c>
      <c r="B33" s="37" t="s">
        <v>4861</v>
      </c>
      <c r="C33" s="90">
        <v>45559.681215277778</v>
      </c>
      <c r="D33" s="114">
        <v>45559.431215277778</v>
      </c>
      <c r="E33" s="38">
        <v>45559</v>
      </c>
      <c r="F33" s="91">
        <v>2024</v>
      </c>
      <c r="G33" s="93">
        <v>9</v>
      </c>
      <c r="H33" s="37" t="s">
        <v>1386</v>
      </c>
      <c r="I33" s="37"/>
      <c r="J33" s="103">
        <v>-92.343748099999999</v>
      </c>
      <c r="K33" s="40">
        <v>43.602327099999997</v>
      </c>
      <c r="L33" s="74"/>
      <c r="M33" s="272" t="s">
        <v>16</v>
      </c>
      <c r="N33" s="74">
        <v>0</v>
      </c>
      <c r="O33" s="94"/>
      <c r="P33" s="118">
        <v>1</v>
      </c>
      <c r="Q33" s="510">
        <v>120</v>
      </c>
      <c r="R33" s="513">
        <v>180</v>
      </c>
      <c r="S33" s="41"/>
      <c r="T33" s="40"/>
      <c r="U33" s="40">
        <v>7.5</v>
      </c>
      <c r="V33" s="119">
        <v>1</v>
      </c>
      <c r="W33" s="40">
        <v>0</v>
      </c>
      <c r="X33" s="119">
        <v>1</v>
      </c>
      <c r="Y33" s="40">
        <v>53</v>
      </c>
      <c r="Z33" s="119">
        <v>1</v>
      </c>
      <c r="AA33" s="368">
        <v>0</v>
      </c>
      <c r="AB33" s="535">
        <v>10</v>
      </c>
      <c r="AC33" s="39" t="s">
        <v>160</v>
      </c>
      <c r="AD33" s="75" t="s">
        <v>10</v>
      </c>
      <c r="AE33" s="95">
        <v>0</v>
      </c>
      <c r="AF33" s="75">
        <v>0</v>
      </c>
      <c r="AG33" s="75">
        <v>0</v>
      </c>
      <c r="AH33" s="75">
        <v>0</v>
      </c>
      <c r="AI33" s="75">
        <v>0</v>
      </c>
      <c r="AJ33" s="75">
        <v>0</v>
      </c>
      <c r="AK33" s="75">
        <v>0</v>
      </c>
      <c r="AL33" s="95">
        <v>1</v>
      </c>
      <c r="AM33" s="92">
        <v>0</v>
      </c>
      <c r="AN33" s="79" t="s">
        <v>80</v>
      </c>
      <c r="AO33" s="75">
        <v>1</v>
      </c>
      <c r="AP33" s="75" t="s">
        <v>83</v>
      </c>
      <c r="AQ33" s="122">
        <v>1</v>
      </c>
      <c r="AR33" s="515" t="s">
        <v>10</v>
      </c>
      <c r="AS33" s="95">
        <v>0</v>
      </c>
      <c r="AT33" s="75">
        <v>0</v>
      </c>
      <c r="AU33" s="75">
        <v>0</v>
      </c>
      <c r="AV33" s="75">
        <v>0</v>
      </c>
      <c r="AW33" s="123">
        <v>0</v>
      </c>
      <c r="AX33" s="516"/>
      <c r="AY33" s="75">
        <v>0</v>
      </c>
      <c r="AZ33" s="77" t="s">
        <v>131</v>
      </c>
      <c r="BA33" s="78" t="s">
        <v>131</v>
      </c>
      <c r="BB33" s="78" t="s">
        <v>131</v>
      </c>
      <c r="BC33" s="78" t="s">
        <v>131</v>
      </c>
      <c r="BD33" s="78" t="s">
        <v>131</v>
      </c>
      <c r="BE33" s="78" t="s">
        <v>131</v>
      </c>
      <c r="BF33" s="78" t="s">
        <v>131</v>
      </c>
      <c r="BG33" s="78" t="s">
        <v>132</v>
      </c>
      <c r="BH33" s="75" t="s">
        <v>5970</v>
      </c>
      <c r="BI33" s="295" t="s">
        <v>2294</v>
      </c>
      <c r="BJ33" s="546">
        <v>1</v>
      </c>
      <c r="BK33" s="294" t="s">
        <v>16</v>
      </c>
      <c r="BL33" s="157" t="s">
        <v>16</v>
      </c>
      <c r="BM33" s="548" t="s">
        <v>1339</v>
      </c>
      <c r="BN33" s="548" t="s">
        <v>1339</v>
      </c>
      <c r="BO33" s="157" t="s">
        <v>4230</v>
      </c>
      <c r="BP33" s="548" t="s">
        <v>4231</v>
      </c>
      <c r="BQ33" s="157" t="s">
        <v>4229</v>
      </c>
      <c r="BR33" s="157"/>
    </row>
    <row r="34" spans="1:70" x14ac:dyDescent="0.25">
      <c r="A34" s="19" t="s">
        <v>3686</v>
      </c>
      <c r="B34" s="37" t="s">
        <v>4862</v>
      </c>
      <c r="C34" s="90">
        <v>45548.603726851848</v>
      </c>
      <c r="D34" s="114">
        <v>45548.353726851848</v>
      </c>
      <c r="E34" s="38">
        <v>45548</v>
      </c>
      <c r="F34" s="91">
        <v>2024</v>
      </c>
      <c r="G34" s="93">
        <v>9</v>
      </c>
      <c r="H34" s="37" t="s">
        <v>475</v>
      </c>
      <c r="I34" s="37"/>
      <c r="J34" s="103">
        <v>-92.05535350260304</v>
      </c>
      <c r="K34" s="40">
        <v>44.092583227393966</v>
      </c>
      <c r="L34" s="74"/>
      <c r="M34" s="272" t="s">
        <v>4863</v>
      </c>
      <c r="N34" s="74">
        <v>1</v>
      </c>
      <c r="O34" s="94"/>
      <c r="P34" s="118">
        <v>1</v>
      </c>
      <c r="Q34" s="510">
        <v>180</v>
      </c>
      <c r="R34" s="513">
        <v>180</v>
      </c>
      <c r="S34" s="41"/>
      <c r="T34" s="40"/>
      <c r="U34" s="40">
        <v>8</v>
      </c>
      <c r="V34" s="119">
        <v>1</v>
      </c>
      <c r="W34" s="40">
        <v>0</v>
      </c>
      <c r="X34" s="119">
        <v>1</v>
      </c>
      <c r="Y34" s="40">
        <v>57</v>
      </c>
      <c r="Z34" s="119">
        <v>1</v>
      </c>
      <c r="AA34" s="368">
        <v>0</v>
      </c>
      <c r="AB34" s="535">
        <v>5</v>
      </c>
      <c r="AC34" s="39" t="s">
        <v>160</v>
      </c>
      <c r="AD34" s="75" t="s">
        <v>10</v>
      </c>
      <c r="AE34" s="95">
        <v>0</v>
      </c>
      <c r="AF34" s="75">
        <v>0</v>
      </c>
      <c r="AG34" s="75">
        <v>0</v>
      </c>
      <c r="AH34" s="75">
        <v>0</v>
      </c>
      <c r="AI34" s="75">
        <v>0</v>
      </c>
      <c r="AJ34" s="75">
        <v>0</v>
      </c>
      <c r="AK34" s="75">
        <v>0</v>
      </c>
      <c r="AL34" s="95">
        <v>1</v>
      </c>
      <c r="AM34" s="92">
        <v>0</v>
      </c>
      <c r="AN34" s="79" t="s">
        <v>81</v>
      </c>
      <c r="AO34" s="75">
        <v>1</v>
      </c>
      <c r="AP34" s="75" t="s">
        <v>84</v>
      </c>
      <c r="AQ34" s="122">
        <v>1</v>
      </c>
      <c r="AR34" s="515" t="s">
        <v>10</v>
      </c>
      <c r="AS34" s="95">
        <v>0</v>
      </c>
      <c r="AT34" s="75">
        <v>0</v>
      </c>
      <c r="AU34" s="75">
        <v>0</v>
      </c>
      <c r="AV34" s="75">
        <v>0</v>
      </c>
      <c r="AW34" s="123">
        <v>0</v>
      </c>
      <c r="AX34" s="516" t="s">
        <v>4864</v>
      </c>
      <c r="AY34" s="75">
        <v>1</v>
      </c>
      <c r="AZ34" s="77" t="s">
        <v>131</v>
      </c>
      <c r="BA34" s="78" t="s">
        <v>131</v>
      </c>
      <c r="BB34" s="78" t="s">
        <v>131</v>
      </c>
      <c r="BC34" s="78" t="s">
        <v>131</v>
      </c>
      <c r="BD34" s="78" t="s">
        <v>131</v>
      </c>
      <c r="BE34" s="78" t="s">
        <v>131</v>
      </c>
      <c r="BF34" s="78" t="s">
        <v>131</v>
      </c>
      <c r="BG34" s="78" t="s">
        <v>132</v>
      </c>
      <c r="BH34" s="75" t="s">
        <v>5970</v>
      </c>
      <c r="BI34" s="295" t="s">
        <v>3964</v>
      </c>
      <c r="BJ34" s="546">
        <v>1</v>
      </c>
      <c r="BK34" s="294" t="s">
        <v>16</v>
      </c>
      <c r="BL34" s="157" t="s">
        <v>16</v>
      </c>
      <c r="BM34" s="548" t="s">
        <v>1341</v>
      </c>
      <c r="BN34" s="548" t="s">
        <v>1339</v>
      </c>
      <c r="BO34" s="157" t="s">
        <v>4532</v>
      </c>
      <c r="BP34" s="548" t="s">
        <v>4533</v>
      </c>
      <c r="BQ34" s="157" t="s">
        <v>4361</v>
      </c>
      <c r="BR34" s="157"/>
    </row>
    <row r="35" spans="1:70" x14ac:dyDescent="0.25">
      <c r="A35" s="19" t="s">
        <v>3686</v>
      </c>
      <c r="B35" s="37" t="s">
        <v>4865</v>
      </c>
      <c r="C35" s="90">
        <v>45547.695393518516</v>
      </c>
      <c r="D35" s="114">
        <v>45547.445393518516</v>
      </c>
      <c r="E35" s="38">
        <v>45547</v>
      </c>
      <c r="F35" s="91">
        <v>2024</v>
      </c>
      <c r="G35" s="93">
        <v>9</v>
      </c>
      <c r="H35" s="37" t="s">
        <v>599</v>
      </c>
      <c r="I35" s="37" t="s">
        <v>2361</v>
      </c>
      <c r="J35" s="103">
        <v>-92.44277927644336</v>
      </c>
      <c r="K35" s="40">
        <v>44.621391159490322</v>
      </c>
      <c r="L35" s="74"/>
      <c r="M35" s="272" t="s">
        <v>16</v>
      </c>
      <c r="N35" s="74">
        <v>0</v>
      </c>
      <c r="O35" s="94"/>
      <c r="P35" s="118">
        <v>1</v>
      </c>
      <c r="Q35" s="510">
        <v>120</v>
      </c>
      <c r="R35" s="513">
        <v>180</v>
      </c>
      <c r="S35" s="41"/>
      <c r="T35" s="40"/>
      <c r="U35" s="40">
        <v>8</v>
      </c>
      <c r="V35" s="119">
        <v>1</v>
      </c>
      <c r="W35" s="40">
        <v>100</v>
      </c>
      <c r="X35" s="119">
        <v>1</v>
      </c>
      <c r="Y35" s="40">
        <v>69</v>
      </c>
      <c r="Z35" s="119">
        <v>1</v>
      </c>
      <c r="AA35" s="368">
        <v>0</v>
      </c>
      <c r="AB35" s="535">
        <v>5</v>
      </c>
      <c r="AC35" s="39" t="s">
        <v>160</v>
      </c>
      <c r="AD35" s="75" t="s">
        <v>10</v>
      </c>
      <c r="AE35" s="95">
        <v>0</v>
      </c>
      <c r="AF35" s="75">
        <v>0</v>
      </c>
      <c r="AG35" s="75">
        <v>0</v>
      </c>
      <c r="AH35" s="75">
        <v>0</v>
      </c>
      <c r="AI35" s="75">
        <v>0</v>
      </c>
      <c r="AJ35" s="75">
        <v>0</v>
      </c>
      <c r="AK35" s="75">
        <v>0</v>
      </c>
      <c r="AL35" s="95">
        <v>1</v>
      </c>
      <c r="AM35" s="92">
        <v>0</v>
      </c>
      <c r="AN35" s="79" t="s">
        <v>80</v>
      </c>
      <c r="AO35" s="75">
        <v>1</v>
      </c>
      <c r="AP35" s="75" t="s">
        <v>84</v>
      </c>
      <c r="AQ35" s="122">
        <v>1</v>
      </c>
      <c r="AR35" s="515" t="s">
        <v>10</v>
      </c>
      <c r="AS35" s="95">
        <v>0</v>
      </c>
      <c r="AT35" s="75">
        <v>0</v>
      </c>
      <c r="AU35" s="75">
        <v>0</v>
      </c>
      <c r="AV35" s="75">
        <v>0</v>
      </c>
      <c r="AW35" s="123">
        <v>0</v>
      </c>
      <c r="AX35" s="516"/>
      <c r="AY35" s="75">
        <v>0</v>
      </c>
      <c r="AZ35" s="77" t="s">
        <v>131</v>
      </c>
      <c r="BA35" s="78" t="s">
        <v>131</v>
      </c>
      <c r="BB35" s="78" t="s">
        <v>131</v>
      </c>
      <c r="BC35" s="78" t="s">
        <v>131</v>
      </c>
      <c r="BD35" s="78" t="s">
        <v>131</v>
      </c>
      <c r="BE35" s="78" t="s">
        <v>131</v>
      </c>
      <c r="BF35" s="78" t="s">
        <v>131</v>
      </c>
      <c r="BG35" s="78" t="s">
        <v>132</v>
      </c>
      <c r="BH35" s="75" t="s">
        <v>5970</v>
      </c>
      <c r="BI35" s="295" t="s">
        <v>2289</v>
      </c>
      <c r="BJ35" s="546">
        <v>1</v>
      </c>
      <c r="BK35" s="294" t="s">
        <v>16</v>
      </c>
      <c r="BL35" s="157" t="s">
        <v>16</v>
      </c>
      <c r="BM35" s="548" t="s">
        <v>578</v>
      </c>
      <c r="BN35" s="548" t="s">
        <v>544</v>
      </c>
      <c r="BO35" s="157" t="s">
        <v>4283</v>
      </c>
      <c r="BP35" s="548" t="s">
        <v>2289</v>
      </c>
      <c r="BQ35" s="157" t="s">
        <v>4214</v>
      </c>
      <c r="BR35" s="157"/>
    </row>
    <row r="36" spans="1:70" x14ac:dyDescent="0.25">
      <c r="A36" s="19" t="s">
        <v>3686</v>
      </c>
      <c r="B36" s="37" t="s">
        <v>4866</v>
      </c>
      <c r="C36" s="90">
        <v>45545.713043981479</v>
      </c>
      <c r="D36" s="114">
        <v>45545.463043981479</v>
      </c>
      <c r="E36" s="38">
        <v>45545</v>
      </c>
      <c r="F36" s="91">
        <v>2024</v>
      </c>
      <c r="G36" s="93">
        <v>9</v>
      </c>
      <c r="H36" s="37" t="s">
        <v>475</v>
      </c>
      <c r="I36" s="37"/>
      <c r="J36" s="103">
        <v>-92.650029068213996</v>
      </c>
      <c r="K36" s="40">
        <v>44.075179446493351</v>
      </c>
      <c r="L36" s="74"/>
      <c r="M36" s="272" t="s">
        <v>16</v>
      </c>
      <c r="N36" s="74">
        <v>0</v>
      </c>
      <c r="O36" s="94"/>
      <c r="P36" s="118">
        <v>0</v>
      </c>
      <c r="Q36" s="510"/>
      <c r="R36" s="513"/>
      <c r="S36" s="41"/>
      <c r="T36" s="40"/>
      <c r="U36" s="40"/>
      <c r="V36" s="119">
        <v>0</v>
      </c>
      <c r="W36" s="40"/>
      <c r="X36" s="119">
        <v>1</v>
      </c>
      <c r="Y36" s="40">
        <v>59</v>
      </c>
      <c r="Z36" s="119">
        <v>1</v>
      </c>
      <c r="AA36" s="368">
        <v>0</v>
      </c>
      <c r="AB36" s="535">
        <v>5</v>
      </c>
      <c r="AC36" s="39" t="s">
        <v>160</v>
      </c>
      <c r="AD36" s="75" t="s">
        <v>10</v>
      </c>
      <c r="AE36" s="95">
        <v>0</v>
      </c>
      <c r="AF36" s="75">
        <v>0</v>
      </c>
      <c r="AG36" s="75">
        <v>0</v>
      </c>
      <c r="AH36" s="75">
        <v>0</v>
      </c>
      <c r="AI36" s="75">
        <v>0</v>
      </c>
      <c r="AJ36" s="75">
        <v>0</v>
      </c>
      <c r="AK36" s="75">
        <v>0</v>
      </c>
      <c r="AL36" s="95">
        <v>1</v>
      </c>
      <c r="AM36" s="92">
        <v>0</v>
      </c>
      <c r="AN36" s="79" t="s">
        <v>81</v>
      </c>
      <c r="AO36" s="75">
        <v>1</v>
      </c>
      <c r="AP36" s="75" t="s">
        <v>84</v>
      </c>
      <c r="AQ36" s="122">
        <v>1</v>
      </c>
      <c r="AR36" s="515" t="s">
        <v>10</v>
      </c>
      <c r="AS36" s="95">
        <v>0</v>
      </c>
      <c r="AT36" s="75">
        <v>0</v>
      </c>
      <c r="AU36" s="75">
        <v>0</v>
      </c>
      <c r="AV36" s="75">
        <v>0</v>
      </c>
      <c r="AW36" s="123">
        <v>0</v>
      </c>
      <c r="AX36" s="516"/>
      <c r="AY36" s="75">
        <v>0</v>
      </c>
      <c r="AZ36" s="77" t="s">
        <v>131</v>
      </c>
      <c r="BA36" s="78" t="s">
        <v>131</v>
      </c>
      <c r="BB36" s="78" t="s">
        <v>131</v>
      </c>
      <c r="BC36" s="78" t="s">
        <v>131</v>
      </c>
      <c r="BD36" s="78" t="s">
        <v>131</v>
      </c>
      <c r="BE36" s="78" t="s">
        <v>131</v>
      </c>
      <c r="BF36" s="78" t="s">
        <v>131</v>
      </c>
      <c r="BG36" s="78" t="s">
        <v>132</v>
      </c>
      <c r="BH36" s="75" t="s">
        <v>5970</v>
      </c>
      <c r="BI36" s="295" t="s">
        <v>5823</v>
      </c>
      <c r="BJ36" s="546" t="s">
        <v>16</v>
      </c>
      <c r="BK36" s="294" t="s">
        <v>16</v>
      </c>
      <c r="BL36" s="157" t="s">
        <v>16</v>
      </c>
      <c r="BM36" s="548" t="s">
        <v>1339</v>
      </c>
      <c r="BN36" s="548" t="s">
        <v>1339</v>
      </c>
      <c r="BO36" s="157" t="s">
        <v>5822</v>
      </c>
      <c r="BP36" s="548" t="s">
        <v>5823</v>
      </c>
      <c r="BQ36" s="157" t="s">
        <v>5821</v>
      </c>
      <c r="BR36" s="157"/>
    </row>
    <row r="37" spans="1:70" x14ac:dyDescent="0.25">
      <c r="A37" s="19" t="s">
        <v>3686</v>
      </c>
      <c r="B37" s="37" t="s">
        <v>4867</v>
      </c>
      <c r="C37" s="90">
        <v>45543.701898148145</v>
      </c>
      <c r="D37" s="114">
        <v>45543.451898148145</v>
      </c>
      <c r="E37" s="38">
        <v>45543</v>
      </c>
      <c r="F37" s="91">
        <v>2024</v>
      </c>
      <c r="G37" s="93">
        <v>9</v>
      </c>
      <c r="H37" s="37" t="s">
        <v>2475</v>
      </c>
      <c r="I37" s="37"/>
      <c r="J37" s="103">
        <v>-90.827354075759047</v>
      </c>
      <c r="K37" s="40">
        <v>43.559227947399073</v>
      </c>
      <c r="L37" s="74"/>
      <c r="M37" s="272" t="s">
        <v>4868</v>
      </c>
      <c r="N37" s="74">
        <v>1</v>
      </c>
      <c r="O37" s="94"/>
      <c r="P37" s="118">
        <v>1</v>
      </c>
      <c r="Q37" s="510">
        <v>0</v>
      </c>
      <c r="R37" s="513">
        <v>30</v>
      </c>
      <c r="S37" s="41"/>
      <c r="T37" s="40"/>
      <c r="U37" s="40">
        <v>7.5</v>
      </c>
      <c r="V37" s="119">
        <v>1</v>
      </c>
      <c r="W37" s="40">
        <v>0</v>
      </c>
      <c r="X37" s="119">
        <v>1</v>
      </c>
      <c r="Y37" s="40">
        <v>56</v>
      </c>
      <c r="Z37" s="119">
        <v>1</v>
      </c>
      <c r="AA37" s="368">
        <v>0</v>
      </c>
      <c r="AB37" s="535">
        <v>2</v>
      </c>
      <c r="AC37" s="39" t="s">
        <v>160</v>
      </c>
      <c r="AD37" s="75" t="s">
        <v>8</v>
      </c>
      <c r="AE37" s="95">
        <v>0</v>
      </c>
      <c r="AF37" s="75">
        <v>1</v>
      </c>
      <c r="AG37" s="75">
        <v>0</v>
      </c>
      <c r="AH37" s="75">
        <v>0</v>
      </c>
      <c r="AI37" s="75">
        <v>0</v>
      </c>
      <c r="AJ37" s="75">
        <v>0</v>
      </c>
      <c r="AK37" s="75">
        <v>0</v>
      </c>
      <c r="AL37" s="95">
        <v>0</v>
      </c>
      <c r="AM37" s="92">
        <v>0</v>
      </c>
      <c r="AN37" s="79" t="s">
        <v>80</v>
      </c>
      <c r="AO37" s="75">
        <v>1</v>
      </c>
      <c r="AP37" s="75" t="s">
        <v>83</v>
      </c>
      <c r="AQ37" s="122">
        <v>1</v>
      </c>
      <c r="AR37" s="515" t="s">
        <v>10</v>
      </c>
      <c r="AS37" s="95">
        <v>0</v>
      </c>
      <c r="AT37" s="75">
        <v>0</v>
      </c>
      <c r="AU37" s="75">
        <v>0</v>
      </c>
      <c r="AV37" s="75">
        <v>0</v>
      </c>
      <c r="AW37" s="123">
        <v>0</v>
      </c>
      <c r="AX37" s="516" t="s">
        <v>4869</v>
      </c>
      <c r="AY37" s="75">
        <v>1</v>
      </c>
      <c r="AZ37" s="77" t="s">
        <v>131</v>
      </c>
      <c r="BA37" s="78" t="s">
        <v>132</v>
      </c>
      <c r="BB37" s="78" t="s">
        <v>131</v>
      </c>
      <c r="BC37" s="78" t="s">
        <v>131</v>
      </c>
      <c r="BD37" s="78" t="s">
        <v>131</v>
      </c>
      <c r="BE37" s="78" t="s">
        <v>131</v>
      </c>
      <c r="BF37" s="78" t="s">
        <v>131</v>
      </c>
      <c r="BG37" s="78" t="s">
        <v>131</v>
      </c>
      <c r="BH37" s="75" t="s">
        <v>5970</v>
      </c>
      <c r="BI37" s="295" t="s">
        <v>4058</v>
      </c>
      <c r="BJ37" s="546" t="s">
        <v>16</v>
      </c>
      <c r="BK37" s="294">
        <v>1</v>
      </c>
      <c r="BL37" s="157">
        <v>1</v>
      </c>
      <c r="BM37" s="548" t="s">
        <v>1342</v>
      </c>
      <c r="BN37" s="548" t="s">
        <v>4162</v>
      </c>
      <c r="BO37" s="157" t="s">
        <v>4276</v>
      </c>
      <c r="BP37" s="548" t="s">
        <v>4278</v>
      </c>
      <c r="BQ37" s="157" t="s">
        <v>4272</v>
      </c>
      <c r="BR37" s="157"/>
    </row>
    <row r="38" spans="1:70" x14ac:dyDescent="0.25">
      <c r="A38" s="19" t="s">
        <v>3686</v>
      </c>
      <c r="B38" s="37" t="s">
        <v>4870</v>
      </c>
      <c r="C38" s="90">
        <v>45541.852870370371</v>
      </c>
      <c r="D38" s="114">
        <v>45541.602870370371</v>
      </c>
      <c r="E38" s="38">
        <v>45541</v>
      </c>
      <c r="F38" s="91">
        <v>2024</v>
      </c>
      <c r="G38" s="93">
        <v>9</v>
      </c>
      <c r="H38" s="37" t="s">
        <v>4871</v>
      </c>
      <c r="I38" s="37" t="s">
        <v>16</v>
      </c>
      <c r="J38" s="103">
        <v>-90.524036670187954</v>
      </c>
      <c r="K38" s="40">
        <v>42.270182571413251</v>
      </c>
      <c r="L38" s="74"/>
      <c r="M38" s="272" t="s">
        <v>16</v>
      </c>
      <c r="N38" s="74">
        <v>0</v>
      </c>
      <c r="O38" s="94"/>
      <c r="P38" s="118">
        <v>1</v>
      </c>
      <c r="Q38" s="510">
        <v>120</v>
      </c>
      <c r="R38" s="513">
        <v>120</v>
      </c>
      <c r="S38" s="41"/>
      <c r="T38" s="40"/>
      <c r="U38" s="40">
        <v>7.5</v>
      </c>
      <c r="V38" s="119">
        <v>1</v>
      </c>
      <c r="W38" s="40">
        <v>0</v>
      </c>
      <c r="X38" s="119">
        <v>1</v>
      </c>
      <c r="Y38" s="40">
        <v>62</v>
      </c>
      <c r="Z38" s="119">
        <v>0</v>
      </c>
      <c r="AA38" s="368" t="s">
        <v>16</v>
      </c>
      <c r="AB38" s="535" t="s">
        <v>16</v>
      </c>
      <c r="AC38" s="39" t="s">
        <v>160</v>
      </c>
      <c r="AD38" s="75" t="s">
        <v>10</v>
      </c>
      <c r="AE38" s="95">
        <v>0</v>
      </c>
      <c r="AF38" s="75">
        <v>0</v>
      </c>
      <c r="AG38" s="75">
        <v>0</v>
      </c>
      <c r="AH38" s="75">
        <v>0</v>
      </c>
      <c r="AI38" s="75">
        <v>0</v>
      </c>
      <c r="AJ38" s="75">
        <v>0</v>
      </c>
      <c r="AK38" s="75">
        <v>0</v>
      </c>
      <c r="AL38" s="95">
        <v>1</v>
      </c>
      <c r="AM38" s="92">
        <v>0</v>
      </c>
      <c r="AN38" s="79" t="s">
        <v>80</v>
      </c>
      <c r="AO38" s="75">
        <v>1</v>
      </c>
      <c r="AP38" s="75" t="s">
        <v>83</v>
      </c>
      <c r="AQ38" s="122">
        <v>1</v>
      </c>
      <c r="AR38" s="515" t="s">
        <v>10</v>
      </c>
      <c r="AS38" s="95">
        <v>0</v>
      </c>
      <c r="AT38" s="75">
        <v>0</v>
      </c>
      <c r="AU38" s="75">
        <v>0</v>
      </c>
      <c r="AV38" s="75">
        <v>0</v>
      </c>
      <c r="AW38" s="123">
        <v>0</v>
      </c>
      <c r="AX38" s="516"/>
      <c r="AY38" s="75">
        <v>0</v>
      </c>
      <c r="AZ38" s="77" t="s">
        <v>131</v>
      </c>
      <c r="BA38" s="78" t="s">
        <v>131</v>
      </c>
      <c r="BB38" s="78" t="s">
        <v>131</v>
      </c>
      <c r="BC38" s="78" t="s">
        <v>131</v>
      </c>
      <c r="BD38" s="78" t="s">
        <v>131</v>
      </c>
      <c r="BE38" s="78" t="s">
        <v>131</v>
      </c>
      <c r="BF38" s="78" t="s">
        <v>131</v>
      </c>
      <c r="BG38" s="78" t="s">
        <v>132</v>
      </c>
      <c r="BH38" s="75" t="s">
        <v>5970</v>
      </c>
      <c r="BI38" s="295" t="s">
        <v>2243</v>
      </c>
      <c r="BJ38" s="546">
        <v>1</v>
      </c>
      <c r="BK38" s="294" t="s">
        <v>16</v>
      </c>
      <c r="BL38" s="157" t="s">
        <v>16</v>
      </c>
      <c r="BM38" s="548" t="s">
        <v>1347</v>
      </c>
      <c r="BN38" s="548" t="s">
        <v>1347</v>
      </c>
      <c r="BO38" s="157" t="s">
        <v>5828</v>
      </c>
      <c r="BP38" s="548" t="s">
        <v>5829</v>
      </c>
      <c r="BQ38" s="157" t="s">
        <v>4752</v>
      </c>
      <c r="BR38" s="157"/>
    </row>
    <row r="39" spans="1:70" x14ac:dyDescent="0.25">
      <c r="A39" s="19" t="s">
        <v>3686</v>
      </c>
      <c r="B39" s="37" t="s">
        <v>4872</v>
      </c>
      <c r="C39" s="90">
        <v>45538.944479166668</v>
      </c>
      <c r="D39" s="114">
        <v>45538.694479166668</v>
      </c>
      <c r="E39" s="38">
        <v>45538</v>
      </c>
      <c r="F39" s="91">
        <v>2024</v>
      </c>
      <c r="G39" s="93">
        <v>9</v>
      </c>
      <c r="H39" s="37" t="s">
        <v>1616</v>
      </c>
      <c r="I39" s="37" t="s">
        <v>1212</v>
      </c>
      <c r="J39" s="103">
        <v>-92.236398800000003</v>
      </c>
      <c r="K39" s="40">
        <v>44.8401742</v>
      </c>
      <c r="L39" s="74"/>
      <c r="M39" s="272" t="s">
        <v>4873</v>
      </c>
      <c r="N39" s="74">
        <v>1</v>
      </c>
      <c r="O39" s="94"/>
      <c r="P39" s="118">
        <v>1</v>
      </c>
      <c r="Q39" s="510">
        <v>0</v>
      </c>
      <c r="R39" s="513">
        <v>60</v>
      </c>
      <c r="S39" s="41"/>
      <c r="T39" s="40"/>
      <c r="U39" s="40">
        <v>7</v>
      </c>
      <c r="V39" s="119">
        <v>1</v>
      </c>
      <c r="W39" s="40">
        <v>0</v>
      </c>
      <c r="X39" s="119">
        <v>1</v>
      </c>
      <c r="Y39" s="40">
        <v>67</v>
      </c>
      <c r="Z39" s="119">
        <v>1</v>
      </c>
      <c r="AA39" s="368">
        <v>0</v>
      </c>
      <c r="AB39" s="535">
        <v>2</v>
      </c>
      <c r="AC39" s="39" t="s">
        <v>160</v>
      </c>
      <c r="AD39" s="75" t="s">
        <v>10</v>
      </c>
      <c r="AE39" s="95">
        <v>0</v>
      </c>
      <c r="AF39" s="75">
        <v>0</v>
      </c>
      <c r="AG39" s="75">
        <v>0</v>
      </c>
      <c r="AH39" s="75">
        <v>0</v>
      </c>
      <c r="AI39" s="75">
        <v>0</v>
      </c>
      <c r="AJ39" s="75">
        <v>0</v>
      </c>
      <c r="AK39" s="75">
        <v>0</v>
      </c>
      <c r="AL39" s="95">
        <v>1</v>
      </c>
      <c r="AM39" s="92">
        <v>0</v>
      </c>
      <c r="AN39" s="79" t="s">
        <v>81</v>
      </c>
      <c r="AO39" s="75">
        <v>1</v>
      </c>
      <c r="AP39" s="75" t="s">
        <v>83</v>
      </c>
      <c r="AQ39" s="122">
        <v>1</v>
      </c>
      <c r="AR39" s="515" t="s">
        <v>10</v>
      </c>
      <c r="AS39" s="95">
        <v>0</v>
      </c>
      <c r="AT39" s="75">
        <v>0</v>
      </c>
      <c r="AU39" s="75">
        <v>0</v>
      </c>
      <c r="AV39" s="75">
        <v>0</v>
      </c>
      <c r="AW39" s="123">
        <v>0</v>
      </c>
      <c r="AX39" s="516"/>
      <c r="AY39" s="75">
        <v>0</v>
      </c>
      <c r="AZ39" s="77" t="s">
        <v>131</v>
      </c>
      <c r="BA39" s="78" t="s">
        <v>131</v>
      </c>
      <c r="BB39" s="78" t="s">
        <v>131</v>
      </c>
      <c r="BC39" s="78" t="s">
        <v>131</v>
      </c>
      <c r="BD39" s="78" t="s">
        <v>131</v>
      </c>
      <c r="BE39" s="78" t="s">
        <v>131</v>
      </c>
      <c r="BF39" s="78" t="s">
        <v>131</v>
      </c>
      <c r="BG39" s="78" t="s">
        <v>132</v>
      </c>
      <c r="BH39" s="75" t="s">
        <v>5970</v>
      </c>
      <c r="BI39" s="295" t="s">
        <v>2247</v>
      </c>
      <c r="BJ39" s="546">
        <v>1</v>
      </c>
      <c r="BK39" s="294">
        <v>1</v>
      </c>
      <c r="BL39" s="157">
        <v>1</v>
      </c>
      <c r="BM39" s="548" t="s">
        <v>578</v>
      </c>
      <c r="BN39" s="548" t="s">
        <v>578</v>
      </c>
      <c r="BO39" s="157" t="s">
        <v>4318</v>
      </c>
      <c r="BP39" s="548" t="s">
        <v>4439</v>
      </c>
      <c r="BQ39" s="157" t="s">
        <v>4316</v>
      </c>
      <c r="BR39" s="157"/>
    </row>
    <row r="40" spans="1:70" x14ac:dyDescent="0.25">
      <c r="A40" s="19" t="s">
        <v>3686</v>
      </c>
      <c r="B40" s="37" t="s">
        <v>4874</v>
      </c>
      <c r="C40" s="90">
        <v>45538.818009259259</v>
      </c>
      <c r="D40" s="114">
        <v>45538.568009259259</v>
      </c>
      <c r="E40" s="38">
        <v>45538</v>
      </c>
      <c r="F40" s="91">
        <v>2024</v>
      </c>
      <c r="G40" s="93">
        <v>9</v>
      </c>
      <c r="H40" s="37" t="s">
        <v>475</v>
      </c>
      <c r="I40" s="37"/>
      <c r="J40" s="103">
        <v>-92.649970678324365</v>
      </c>
      <c r="K40" s="40">
        <v>44.075176890282819</v>
      </c>
      <c r="L40" s="74"/>
      <c r="M40" s="272" t="s">
        <v>16</v>
      </c>
      <c r="N40" s="74">
        <v>0</v>
      </c>
      <c r="O40" s="94"/>
      <c r="P40" s="118">
        <v>0</v>
      </c>
      <c r="Q40" s="510"/>
      <c r="R40" s="513"/>
      <c r="S40" s="41"/>
      <c r="T40" s="40"/>
      <c r="U40" s="40"/>
      <c r="V40" s="119">
        <v>0</v>
      </c>
      <c r="W40" s="40"/>
      <c r="X40" s="119">
        <v>1</v>
      </c>
      <c r="Y40" s="40">
        <v>62</v>
      </c>
      <c r="Z40" s="119">
        <v>1</v>
      </c>
      <c r="AA40" s="368">
        <v>0</v>
      </c>
      <c r="AB40" s="535">
        <v>2</v>
      </c>
      <c r="AC40" s="39" t="s">
        <v>160</v>
      </c>
      <c r="AD40" s="75" t="s">
        <v>10</v>
      </c>
      <c r="AE40" s="95">
        <v>0</v>
      </c>
      <c r="AF40" s="75">
        <v>0</v>
      </c>
      <c r="AG40" s="75">
        <v>0</v>
      </c>
      <c r="AH40" s="75">
        <v>0</v>
      </c>
      <c r="AI40" s="75">
        <v>0</v>
      </c>
      <c r="AJ40" s="75">
        <v>0</v>
      </c>
      <c r="AK40" s="75">
        <v>0</v>
      </c>
      <c r="AL40" s="95">
        <v>1</v>
      </c>
      <c r="AM40" s="92">
        <v>0</v>
      </c>
      <c r="AN40" s="79" t="s">
        <v>81</v>
      </c>
      <c r="AO40" s="75">
        <v>1</v>
      </c>
      <c r="AP40" s="75" t="s">
        <v>84</v>
      </c>
      <c r="AQ40" s="122">
        <v>1</v>
      </c>
      <c r="AR40" s="515" t="s">
        <v>10</v>
      </c>
      <c r="AS40" s="95">
        <v>0</v>
      </c>
      <c r="AT40" s="75">
        <v>0</v>
      </c>
      <c r="AU40" s="75">
        <v>0</v>
      </c>
      <c r="AV40" s="75">
        <v>0</v>
      </c>
      <c r="AW40" s="123">
        <v>0</v>
      </c>
      <c r="AX40" s="516" t="s">
        <v>4875</v>
      </c>
      <c r="AY40" s="75">
        <v>1</v>
      </c>
      <c r="AZ40" s="77" t="s">
        <v>131</v>
      </c>
      <c r="BA40" s="78" t="s">
        <v>131</v>
      </c>
      <c r="BB40" s="78" t="s">
        <v>131</v>
      </c>
      <c r="BC40" s="78" t="s">
        <v>131</v>
      </c>
      <c r="BD40" s="78" t="s">
        <v>131</v>
      </c>
      <c r="BE40" s="78" t="s">
        <v>131</v>
      </c>
      <c r="BF40" s="78" t="s">
        <v>131</v>
      </c>
      <c r="BG40" s="78" t="s">
        <v>132</v>
      </c>
      <c r="BH40" s="75" t="s">
        <v>5970</v>
      </c>
      <c r="BI40" s="295" t="s">
        <v>5823</v>
      </c>
      <c r="BJ40" s="546" t="s">
        <v>16</v>
      </c>
      <c r="BK40" s="294" t="s">
        <v>16</v>
      </c>
      <c r="BL40" s="157" t="s">
        <v>16</v>
      </c>
      <c r="BM40" s="548" t="s">
        <v>1339</v>
      </c>
      <c r="BN40" s="548" t="s">
        <v>1339</v>
      </c>
      <c r="BO40" s="157" t="s">
        <v>5822</v>
      </c>
      <c r="BP40" s="548" t="s">
        <v>5823</v>
      </c>
      <c r="BQ40" s="157" t="s">
        <v>5821</v>
      </c>
      <c r="BR40" s="157"/>
    </row>
    <row r="41" spans="1:70" x14ac:dyDescent="0.25">
      <c r="A41" s="19" t="s">
        <v>3686</v>
      </c>
      <c r="B41" s="37" t="s">
        <v>4876</v>
      </c>
      <c r="C41" s="90">
        <v>45534.713495370372</v>
      </c>
      <c r="D41" s="114">
        <v>45534.463495370372</v>
      </c>
      <c r="E41" s="38">
        <v>45534</v>
      </c>
      <c r="F41" s="91">
        <v>2024</v>
      </c>
      <c r="G41" s="93">
        <v>8</v>
      </c>
      <c r="H41" s="37" t="s">
        <v>201</v>
      </c>
      <c r="I41" s="37" t="s">
        <v>4877</v>
      </c>
      <c r="J41" s="103">
        <v>-92.645435545770596</v>
      </c>
      <c r="K41" s="40">
        <v>44.843623280079854</v>
      </c>
      <c r="L41" s="74"/>
      <c r="M41" s="272" t="s">
        <v>16</v>
      </c>
      <c r="N41" s="74">
        <v>0</v>
      </c>
      <c r="O41" s="94"/>
      <c r="P41" s="118">
        <v>1</v>
      </c>
      <c r="Q41" s="510">
        <v>180</v>
      </c>
      <c r="R41" s="513">
        <v>120</v>
      </c>
      <c r="S41" s="41"/>
      <c r="T41" s="40"/>
      <c r="U41" s="40">
        <v>7.5</v>
      </c>
      <c r="V41" s="119">
        <v>1</v>
      </c>
      <c r="W41" s="40">
        <v>100</v>
      </c>
      <c r="X41" s="119">
        <v>0</v>
      </c>
      <c r="Y41" s="40"/>
      <c r="Z41" s="119">
        <v>1</v>
      </c>
      <c r="AA41" s="368">
        <v>0</v>
      </c>
      <c r="AB41" s="535">
        <v>5</v>
      </c>
      <c r="AC41" s="39" t="s">
        <v>160</v>
      </c>
      <c r="AD41" s="75" t="s">
        <v>8</v>
      </c>
      <c r="AE41" s="95">
        <v>0</v>
      </c>
      <c r="AF41" s="75">
        <v>1</v>
      </c>
      <c r="AG41" s="75">
        <v>0</v>
      </c>
      <c r="AH41" s="75">
        <v>0</v>
      </c>
      <c r="AI41" s="75">
        <v>0</v>
      </c>
      <c r="AJ41" s="75">
        <v>0</v>
      </c>
      <c r="AK41" s="75">
        <v>0</v>
      </c>
      <c r="AL41" s="95">
        <v>0</v>
      </c>
      <c r="AM41" s="92">
        <v>0</v>
      </c>
      <c r="AN41" s="79" t="s">
        <v>81</v>
      </c>
      <c r="AO41" s="75">
        <v>1</v>
      </c>
      <c r="AP41" s="75" t="s">
        <v>83</v>
      </c>
      <c r="AQ41" s="122">
        <v>1</v>
      </c>
      <c r="AR41" s="515" t="s">
        <v>13</v>
      </c>
      <c r="AS41" s="95">
        <v>1</v>
      </c>
      <c r="AT41" s="75">
        <v>0</v>
      </c>
      <c r="AU41" s="75">
        <v>0</v>
      </c>
      <c r="AV41" s="75">
        <v>0</v>
      </c>
      <c r="AW41" s="123">
        <v>0</v>
      </c>
      <c r="AX41" s="516" t="s">
        <v>1537</v>
      </c>
      <c r="AY41" s="75">
        <v>1</v>
      </c>
      <c r="AZ41" s="77" t="s">
        <v>131</v>
      </c>
      <c r="BA41" s="78" t="s">
        <v>132</v>
      </c>
      <c r="BB41" s="78" t="s">
        <v>131</v>
      </c>
      <c r="BC41" s="78" t="s">
        <v>131</v>
      </c>
      <c r="BD41" s="78" t="s">
        <v>131</v>
      </c>
      <c r="BE41" s="78" t="s">
        <v>131</v>
      </c>
      <c r="BF41" s="78" t="s">
        <v>131</v>
      </c>
      <c r="BG41" s="78" t="s">
        <v>131</v>
      </c>
      <c r="BH41" s="75" t="s">
        <v>5970</v>
      </c>
      <c r="BI41" s="295" t="s">
        <v>2227</v>
      </c>
      <c r="BJ41" s="546">
        <v>1</v>
      </c>
      <c r="BK41" s="294" t="s">
        <v>16</v>
      </c>
      <c r="BL41" s="157" t="s">
        <v>16</v>
      </c>
      <c r="BM41" s="548" t="s">
        <v>578</v>
      </c>
      <c r="BN41" s="548" t="s">
        <v>578</v>
      </c>
      <c r="BO41" s="157" t="s">
        <v>4341</v>
      </c>
      <c r="BP41" s="548" t="s">
        <v>4343</v>
      </c>
      <c r="BQ41" s="157" t="s">
        <v>4309</v>
      </c>
      <c r="BR41" s="157"/>
    </row>
    <row r="42" spans="1:70" x14ac:dyDescent="0.25">
      <c r="A42" s="19" t="s">
        <v>3686</v>
      </c>
      <c r="B42" s="37" t="s">
        <v>4878</v>
      </c>
      <c r="C42" s="90">
        <v>45534.694548611114</v>
      </c>
      <c r="D42" s="114">
        <v>45534.444548611114</v>
      </c>
      <c r="E42" s="38">
        <v>45534</v>
      </c>
      <c r="F42" s="91">
        <v>2024</v>
      </c>
      <c r="G42" s="93">
        <v>8</v>
      </c>
      <c r="H42" s="37" t="s">
        <v>201</v>
      </c>
      <c r="I42" s="37" t="s">
        <v>4879</v>
      </c>
      <c r="J42" s="103">
        <v>-92.641664996154674</v>
      </c>
      <c r="K42" s="40">
        <v>44.849777010873865</v>
      </c>
      <c r="L42" s="74"/>
      <c r="M42" s="272" t="s">
        <v>16</v>
      </c>
      <c r="N42" s="74">
        <v>0</v>
      </c>
      <c r="O42" s="94"/>
      <c r="P42" s="118">
        <v>1</v>
      </c>
      <c r="Q42" s="510">
        <v>180</v>
      </c>
      <c r="R42" s="513">
        <v>120</v>
      </c>
      <c r="S42" s="41"/>
      <c r="T42" s="40"/>
      <c r="U42" s="40">
        <v>7.5</v>
      </c>
      <c r="V42" s="119">
        <v>1</v>
      </c>
      <c r="W42" s="40">
        <v>0</v>
      </c>
      <c r="X42" s="119">
        <v>0</v>
      </c>
      <c r="Y42" s="40"/>
      <c r="Z42" s="119">
        <v>1</v>
      </c>
      <c r="AA42" s="368">
        <v>0</v>
      </c>
      <c r="AB42" s="535">
        <v>5</v>
      </c>
      <c r="AC42" s="39" t="s">
        <v>160</v>
      </c>
      <c r="AD42" s="75" t="s">
        <v>8</v>
      </c>
      <c r="AE42" s="95">
        <v>0</v>
      </c>
      <c r="AF42" s="75">
        <v>1</v>
      </c>
      <c r="AG42" s="75">
        <v>0</v>
      </c>
      <c r="AH42" s="75">
        <v>0</v>
      </c>
      <c r="AI42" s="75">
        <v>0</v>
      </c>
      <c r="AJ42" s="75">
        <v>0</v>
      </c>
      <c r="AK42" s="75">
        <v>0</v>
      </c>
      <c r="AL42" s="95">
        <v>0</v>
      </c>
      <c r="AM42" s="92">
        <v>0</v>
      </c>
      <c r="AN42" s="79" t="s">
        <v>81</v>
      </c>
      <c r="AO42" s="75">
        <v>1</v>
      </c>
      <c r="AP42" s="75" t="s">
        <v>83</v>
      </c>
      <c r="AQ42" s="122">
        <v>1</v>
      </c>
      <c r="AR42" s="515" t="s">
        <v>13</v>
      </c>
      <c r="AS42" s="95">
        <v>1</v>
      </c>
      <c r="AT42" s="75">
        <v>0</v>
      </c>
      <c r="AU42" s="75">
        <v>0</v>
      </c>
      <c r="AV42" s="75">
        <v>0</v>
      </c>
      <c r="AW42" s="123">
        <v>0</v>
      </c>
      <c r="AX42" s="516" t="s">
        <v>4880</v>
      </c>
      <c r="AY42" s="75">
        <v>1</v>
      </c>
      <c r="AZ42" s="77" t="s">
        <v>131</v>
      </c>
      <c r="BA42" s="78" t="s">
        <v>132</v>
      </c>
      <c r="BB42" s="78" t="s">
        <v>131</v>
      </c>
      <c r="BC42" s="78" t="s">
        <v>131</v>
      </c>
      <c r="BD42" s="78" t="s">
        <v>131</v>
      </c>
      <c r="BE42" s="78" t="s">
        <v>131</v>
      </c>
      <c r="BF42" s="78" t="s">
        <v>131</v>
      </c>
      <c r="BG42" s="78" t="s">
        <v>131</v>
      </c>
      <c r="BH42" s="75" t="s">
        <v>5970</v>
      </c>
      <c r="BI42" s="295" t="s">
        <v>16</v>
      </c>
      <c r="BJ42" s="546">
        <v>1</v>
      </c>
      <c r="BK42" s="294">
        <v>1</v>
      </c>
      <c r="BL42" s="157">
        <v>1</v>
      </c>
      <c r="BM42" s="548" t="s">
        <v>578</v>
      </c>
      <c r="BN42" s="548" t="s">
        <v>578</v>
      </c>
      <c r="BO42" s="157" t="s">
        <v>4341</v>
      </c>
      <c r="BP42" s="548" t="s">
        <v>4343</v>
      </c>
      <c r="BQ42" s="157" t="s">
        <v>4309</v>
      </c>
      <c r="BR42" s="157"/>
    </row>
    <row r="43" spans="1:70" x14ac:dyDescent="0.25">
      <c r="A43" s="19" t="s">
        <v>3686</v>
      </c>
      <c r="B43" s="37" t="s">
        <v>4881</v>
      </c>
      <c r="C43" s="90">
        <v>45534.658263888887</v>
      </c>
      <c r="D43" s="114">
        <v>45534.408263888887</v>
      </c>
      <c r="E43" s="38">
        <v>45534</v>
      </c>
      <c r="F43" s="91">
        <v>2024</v>
      </c>
      <c r="G43" s="93">
        <v>8</v>
      </c>
      <c r="H43" s="37" t="s">
        <v>201</v>
      </c>
      <c r="I43" s="37" t="s">
        <v>4882</v>
      </c>
      <c r="J43" s="103">
        <v>-92.732134936581019</v>
      </c>
      <c r="K43" s="40">
        <v>44.83117414389708</v>
      </c>
      <c r="L43" s="74"/>
      <c r="M43" s="272" t="s">
        <v>16</v>
      </c>
      <c r="N43" s="74">
        <v>0</v>
      </c>
      <c r="O43" s="94"/>
      <c r="P43" s="118">
        <v>1</v>
      </c>
      <c r="Q43" s="510">
        <v>180</v>
      </c>
      <c r="R43" s="513">
        <v>120</v>
      </c>
      <c r="S43" s="41"/>
      <c r="T43" s="40"/>
      <c r="U43" s="40">
        <v>7.5</v>
      </c>
      <c r="V43" s="119">
        <v>1</v>
      </c>
      <c r="W43" s="40">
        <v>100</v>
      </c>
      <c r="X43" s="119">
        <v>0</v>
      </c>
      <c r="Y43" s="40"/>
      <c r="Z43" s="119">
        <v>1</v>
      </c>
      <c r="AA43" s="368">
        <v>0</v>
      </c>
      <c r="AB43" s="535">
        <v>5</v>
      </c>
      <c r="AC43" s="39"/>
      <c r="AD43" s="75" t="s">
        <v>8</v>
      </c>
      <c r="AE43" s="95">
        <v>0</v>
      </c>
      <c r="AF43" s="75">
        <v>1</v>
      </c>
      <c r="AG43" s="75">
        <v>0</v>
      </c>
      <c r="AH43" s="75">
        <v>0</v>
      </c>
      <c r="AI43" s="75">
        <v>0</v>
      </c>
      <c r="AJ43" s="75">
        <v>0</v>
      </c>
      <c r="AK43" s="75">
        <v>0</v>
      </c>
      <c r="AL43" s="95">
        <v>0</v>
      </c>
      <c r="AM43" s="92">
        <v>0</v>
      </c>
      <c r="AN43" s="79" t="s">
        <v>81</v>
      </c>
      <c r="AO43" s="75">
        <v>1</v>
      </c>
      <c r="AP43" s="75" t="s">
        <v>83</v>
      </c>
      <c r="AQ43" s="122">
        <v>1</v>
      </c>
      <c r="AR43" s="515" t="s">
        <v>13</v>
      </c>
      <c r="AS43" s="95">
        <v>1</v>
      </c>
      <c r="AT43" s="75">
        <v>0</v>
      </c>
      <c r="AU43" s="75">
        <v>0</v>
      </c>
      <c r="AV43" s="75">
        <v>0</v>
      </c>
      <c r="AW43" s="123">
        <v>0</v>
      </c>
      <c r="AX43" s="516" t="s">
        <v>1537</v>
      </c>
      <c r="AY43" s="75">
        <v>1</v>
      </c>
      <c r="AZ43" s="77" t="s">
        <v>131</v>
      </c>
      <c r="BA43" s="78" t="s">
        <v>132</v>
      </c>
      <c r="BB43" s="78" t="s">
        <v>131</v>
      </c>
      <c r="BC43" s="78" t="s">
        <v>131</v>
      </c>
      <c r="BD43" s="78" t="s">
        <v>131</v>
      </c>
      <c r="BE43" s="78" t="s">
        <v>131</v>
      </c>
      <c r="BF43" s="78" t="s">
        <v>131</v>
      </c>
      <c r="BG43" s="78" t="s">
        <v>131</v>
      </c>
      <c r="BH43" s="75" t="s">
        <v>5970</v>
      </c>
      <c r="BI43" s="295" t="s">
        <v>16</v>
      </c>
      <c r="BJ43" s="546">
        <v>1</v>
      </c>
      <c r="BK43" s="294" t="s">
        <v>16</v>
      </c>
      <c r="BL43" s="157" t="s">
        <v>16</v>
      </c>
      <c r="BM43" s="548" t="s">
        <v>578</v>
      </c>
      <c r="BN43" s="548" t="s">
        <v>578</v>
      </c>
      <c r="BO43" s="157" t="s">
        <v>4341</v>
      </c>
      <c r="BP43" s="548" t="s">
        <v>4343</v>
      </c>
      <c r="BQ43" s="157" t="s">
        <v>4309</v>
      </c>
      <c r="BR43" s="157"/>
    </row>
    <row r="44" spans="1:70" x14ac:dyDescent="0.25">
      <c r="A44" s="19" t="s">
        <v>3686</v>
      </c>
      <c r="B44" s="37" t="s">
        <v>4883</v>
      </c>
      <c r="C44" s="90">
        <v>45534.638101851851</v>
      </c>
      <c r="D44" s="114">
        <v>45534.388101851851</v>
      </c>
      <c r="E44" s="38">
        <v>45534</v>
      </c>
      <c r="F44" s="91">
        <v>2024</v>
      </c>
      <c r="G44" s="93">
        <v>8</v>
      </c>
      <c r="H44" s="37" t="s">
        <v>1514</v>
      </c>
      <c r="I44" s="37" t="s">
        <v>1772</v>
      </c>
      <c r="J44" s="103">
        <v>-92.189603930332567</v>
      </c>
      <c r="K44" s="40">
        <v>44.632836467342671</v>
      </c>
      <c r="L44" s="74"/>
      <c r="M44" s="272" t="s">
        <v>16</v>
      </c>
      <c r="N44" s="74">
        <v>0</v>
      </c>
      <c r="O44" s="94"/>
      <c r="P44" s="118">
        <v>1</v>
      </c>
      <c r="Q44" s="510">
        <v>80</v>
      </c>
      <c r="R44" s="513">
        <v>120</v>
      </c>
      <c r="S44" s="41"/>
      <c r="T44" s="40"/>
      <c r="U44" s="40">
        <v>7</v>
      </c>
      <c r="V44" s="119">
        <v>1</v>
      </c>
      <c r="W44" s="40">
        <v>0</v>
      </c>
      <c r="X44" s="119">
        <v>1</v>
      </c>
      <c r="Y44" s="40">
        <v>68</v>
      </c>
      <c r="Z44" s="119">
        <v>1</v>
      </c>
      <c r="AA44" s="368">
        <v>0</v>
      </c>
      <c r="AB44" s="535">
        <v>2</v>
      </c>
      <c r="AC44" s="39" t="s">
        <v>160</v>
      </c>
      <c r="AD44" s="75" t="s">
        <v>10</v>
      </c>
      <c r="AE44" s="95">
        <v>0</v>
      </c>
      <c r="AF44" s="75">
        <v>0</v>
      </c>
      <c r="AG44" s="75">
        <v>0</v>
      </c>
      <c r="AH44" s="75">
        <v>0</v>
      </c>
      <c r="AI44" s="75">
        <v>0</v>
      </c>
      <c r="AJ44" s="75">
        <v>0</v>
      </c>
      <c r="AK44" s="75">
        <v>0</v>
      </c>
      <c r="AL44" s="95">
        <v>1</v>
      </c>
      <c r="AM44" s="92">
        <v>0</v>
      </c>
      <c r="AN44" s="79" t="s">
        <v>195</v>
      </c>
      <c r="AO44" s="75">
        <v>1</v>
      </c>
      <c r="AP44" s="75" t="s">
        <v>85</v>
      </c>
      <c r="AQ44" s="122">
        <v>1</v>
      </c>
      <c r="AR44" s="515" t="s">
        <v>10</v>
      </c>
      <c r="AS44" s="95">
        <v>0</v>
      </c>
      <c r="AT44" s="75">
        <v>0</v>
      </c>
      <c r="AU44" s="75">
        <v>0</v>
      </c>
      <c r="AV44" s="75">
        <v>0</v>
      </c>
      <c r="AW44" s="123">
        <v>0</v>
      </c>
      <c r="AX44" s="516"/>
      <c r="AY44" s="75">
        <v>0</v>
      </c>
      <c r="AZ44" s="77" t="s">
        <v>131</v>
      </c>
      <c r="BA44" s="78" t="s">
        <v>131</v>
      </c>
      <c r="BB44" s="78" t="s">
        <v>131</v>
      </c>
      <c r="BC44" s="78" t="s">
        <v>131</v>
      </c>
      <c r="BD44" s="78" t="s">
        <v>131</v>
      </c>
      <c r="BE44" s="78" t="s">
        <v>131</v>
      </c>
      <c r="BF44" s="78" t="s">
        <v>131</v>
      </c>
      <c r="BG44" s="78" t="s">
        <v>132</v>
      </c>
      <c r="BH44" s="75" t="s">
        <v>5970</v>
      </c>
      <c r="BI44" s="295" t="s">
        <v>2248</v>
      </c>
      <c r="BJ44" s="546">
        <v>1</v>
      </c>
      <c r="BK44" s="294">
        <v>1</v>
      </c>
      <c r="BL44" s="157">
        <v>1</v>
      </c>
      <c r="BM44" s="548" t="s">
        <v>578</v>
      </c>
      <c r="BN44" s="548" t="s">
        <v>578</v>
      </c>
      <c r="BO44" s="157" t="s">
        <v>4218</v>
      </c>
      <c r="BP44" s="548" t="s">
        <v>4221</v>
      </c>
      <c r="BQ44" s="157" t="s">
        <v>4217</v>
      </c>
      <c r="BR44" s="157"/>
    </row>
    <row r="45" spans="1:70" x14ac:dyDescent="0.25">
      <c r="A45" s="19" t="s">
        <v>3686</v>
      </c>
      <c r="B45" s="37" t="s">
        <v>4884</v>
      </c>
      <c r="C45" s="90">
        <v>45532.757581018515</v>
      </c>
      <c r="D45" s="114">
        <v>45532.507581018515</v>
      </c>
      <c r="E45" s="38">
        <v>45532</v>
      </c>
      <c r="F45" s="91">
        <v>2024</v>
      </c>
      <c r="G45" s="93">
        <v>8</v>
      </c>
      <c r="H45" s="37" t="s">
        <v>1386</v>
      </c>
      <c r="I45" s="37"/>
      <c r="J45" s="103">
        <v>-91.580941300000006</v>
      </c>
      <c r="K45" s="40">
        <v>43.641427800000002</v>
      </c>
      <c r="L45" s="74"/>
      <c r="M45" s="272" t="s">
        <v>16</v>
      </c>
      <c r="N45" s="74">
        <v>0</v>
      </c>
      <c r="O45" s="94"/>
      <c r="P45" s="118">
        <v>1</v>
      </c>
      <c r="Q45" s="510">
        <v>0</v>
      </c>
      <c r="R45" s="513">
        <v>60</v>
      </c>
      <c r="S45" s="41"/>
      <c r="T45" s="40"/>
      <c r="U45" s="40">
        <v>7</v>
      </c>
      <c r="V45" s="119">
        <v>1</v>
      </c>
      <c r="W45" s="40">
        <v>100</v>
      </c>
      <c r="X45" s="119">
        <v>1</v>
      </c>
      <c r="Y45" s="40">
        <v>51</v>
      </c>
      <c r="Z45" s="119">
        <v>1</v>
      </c>
      <c r="AA45" s="368">
        <v>0</v>
      </c>
      <c r="AB45" s="535">
        <v>10</v>
      </c>
      <c r="AC45" s="39" t="s">
        <v>160</v>
      </c>
      <c r="AD45" s="75" t="s">
        <v>16</v>
      </c>
      <c r="AE45" s="95">
        <v>-1</v>
      </c>
      <c r="AF45" s="75">
        <v>-1</v>
      </c>
      <c r="AG45" s="75">
        <v>-1</v>
      </c>
      <c r="AH45" s="75">
        <v>-1</v>
      </c>
      <c r="AI45" s="75">
        <v>-1</v>
      </c>
      <c r="AJ45" s="75">
        <v>-1</v>
      </c>
      <c r="AK45" s="75">
        <v>-1</v>
      </c>
      <c r="AL45" s="95">
        <v>-1</v>
      </c>
      <c r="AM45" s="92">
        <v>1</v>
      </c>
      <c r="AN45" s="79" t="s">
        <v>80</v>
      </c>
      <c r="AO45" s="75">
        <v>1</v>
      </c>
      <c r="AP45" s="75" t="s">
        <v>83</v>
      </c>
      <c r="AQ45" s="122">
        <v>1</v>
      </c>
      <c r="AR45" s="515" t="s">
        <v>10</v>
      </c>
      <c r="AS45" s="95">
        <v>0</v>
      </c>
      <c r="AT45" s="75">
        <v>0</v>
      </c>
      <c r="AU45" s="75">
        <v>0</v>
      </c>
      <c r="AV45" s="75">
        <v>0</v>
      </c>
      <c r="AW45" s="123">
        <v>0</v>
      </c>
      <c r="AX45" s="516"/>
      <c r="AY45" s="75">
        <v>0</v>
      </c>
      <c r="AZ45" s="77" t="s">
        <v>5971</v>
      </c>
      <c r="BA45" s="78" t="s">
        <v>5971</v>
      </c>
      <c r="BB45" s="78" t="s">
        <v>5971</v>
      </c>
      <c r="BC45" s="78" t="s">
        <v>5971</v>
      </c>
      <c r="BD45" s="78" t="s">
        <v>5971</v>
      </c>
      <c r="BE45" s="78" t="s">
        <v>5971</v>
      </c>
      <c r="BF45" s="78" t="s">
        <v>5971</v>
      </c>
      <c r="BG45" s="78" t="s">
        <v>5971</v>
      </c>
      <c r="BH45" s="75" t="s">
        <v>5971</v>
      </c>
      <c r="BI45" s="295" t="s">
        <v>2259</v>
      </c>
      <c r="BJ45" s="546">
        <v>1</v>
      </c>
      <c r="BK45" s="294" t="s">
        <v>16</v>
      </c>
      <c r="BL45" s="157" t="s">
        <v>16</v>
      </c>
      <c r="BM45" s="548" t="s">
        <v>1341</v>
      </c>
      <c r="BN45" s="548" t="s">
        <v>1339</v>
      </c>
      <c r="BO45" s="157" t="s">
        <v>4233</v>
      </c>
      <c r="BP45" s="548" t="s">
        <v>307</v>
      </c>
      <c r="BQ45" s="157" t="s">
        <v>4232</v>
      </c>
      <c r="BR45" s="157"/>
    </row>
    <row r="46" spans="1:70" x14ac:dyDescent="0.25">
      <c r="A46" s="19" t="s">
        <v>3686</v>
      </c>
      <c r="B46" s="37" t="s">
        <v>4885</v>
      </c>
      <c r="C46" s="90">
        <v>45532.734884259262</v>
      </c>
      <c r="D46" s="114">
        <v>45532.484884259262</v>
      </c>
      <c r="E46" s="38">
        <v>45532</v>
      </c>
      <c r="F46" s="91">
        <v>2024</v>
      </c>
      <c r="G46" s="93">
        <v>8</v>
      </c>
      <c r="H46" s="37" t="s">
        <v>1386</v>
      </c>
      <c r="I46" s="37"/>
      <c r="J46" s="103">
        <v>-91.373385900000002</v>
      </c>
      <c r="K46" s="40">
        <v>43.603593400000001</v>
      </c>
      <c r="L46" s="74"/>
      <c r="M46" s="272" t="s">
        <v>16</v>
      </c>
      <c r="N46" s="74">
        <v>0</v>
      </c>
      <c r="O46" s="94"/>
      <c r="P46" s="118">
        <v>1</v>
      </c>
      <c r="Q46" s="510">
        <v>120</v>
      </c>
      <c r="R46" s="513">
        <v>180</v>
      </c>
      <c r="S46" s="41"/>
      <c r="T46" s="40"/>
      <c r="U46" s="40">
        <v>8.5</v>
      </c>
      <c r="V46" s="119">
        <v>1</v>
      </c>
      <c r="W46" s="40">
        <v>0</v>
      </c>
      <c r="X46" s="119">
        <v>1</v>
      </c>
      <c r="Y46" s="40">
        <v>67</v>
      </c>
      <c r="Z46" s="119">
        <v>1</v>
      </c>
      <c r="AA46" s="368">
        <v>0</v>
      </c>
      <c r="AB46" s="535">
        <v>2</v>
      </c>
      <c r="AC46" s="39" t="s">
        <v>160</v>
      </c>
      <c r="AD46" s="75" t="s">
        <v>10</v>
      </c>
      <c r="AE46" s="95">
        <v>0</v>
      </c>
      <c r="AF46" s="75">
        <v>0</v>
      </c>
      <c r="AG46" s="75">
        <v>0</v>
      </c>
      <c r="AH46" s="75">
        <v>0</v>
      </c>
      <c r="AI46" s="75">
        <v>0</v>
      </c>
      <c r="AJ46" s="75">
        <v>0</v>
      </c>
      <c r="AK46" s="75">
        <v>0</v>
      </c>
      <c r="AL46" s="95">
        <v>1</v>
      </c>
      <c r="AM46" s="92">
        <v>0</v>
      </c>
      <c r="AN46" s="79" t="s">
        <v>80</v>
      </c>
      <c r="AO46" s="75">
        <v>1</v>
      </c>
      <c r="AP46" s="75" t="s">
        <v>83</v>
      </c>
      <c r="AQ46" s="122">
        <v>1</v>
      </c>
      <c r="AR46" s="515" t="s">
        <v>10</v>
      </c>
      <c r="AS46" s="95">
        <v>0</v>
      </c>
      <c r="AT46" s="75">
        <v>0</v>
      </c>
      <c r="AU46" s="75">
        <v>0</v>
      </c>
      <c r="AV46" s="75">
        <v>0</v>
      </c>
      <c r="AW46" s="123">
        <v>0</v>
      </c>
      <c r="AX46" s="516"/>
      <c r="AY46" s="75">
        <v>0</v>
      </c>
      <c r="AZ46" s="77" t="s">
        <v>131</v>
      </c>
      <c r="BA46" s="78" t="s">
        <v>131</v>
      </c>
      <c r="BB46" s="78" t="s">
        <v>131</v>
      </c>
      <c r="BC46" s="78" t="s">
        <v>131</v>
      </c>
      <c r="BD46" s="78" t="s">
        <v>131</v>
      </c>
      <c r="BE46" s="78" t="s">
        <v>131</v>
      </c>
      <c r="BF46" s="78" t="s">
        <v>131</v>
      </c>
      <c r="BG46" s="78" t="s">
        <v>132</v>
      </c>
      <c r="BH46" s="75" t="s">
        <v>5970</v>
      </c>
      <c r="BI46" s="295" t="s">
        <v>16</v>
      </c>
      <c r="BJ46" s="546">
        <v>1</v>
      </c>
      <c r="BK46" s="294" t="s">
        <v>16</v>
      </c>
      <c r="BL46" s="157" t="s">
        <v>16</v>
      </c>
      <c r="BM46" s="548" t="s">
        <v>1341</v>
      </c>
      <c r="BN46" s="548" t="s">
        <v>1339</v>
      </c>
      <c r="BO46" s="157" t="s">
        <v>4235</v>
      </c>
      <c r="BP46" s="548" t="s">
        <v>4237</v>
      </c>
      <c r="BQ46" s="157" t="s">
        <v>4234</v>
      </c>
      <c r="BR46" s="157"/>
    </row>
    <row r="47" spans="1:70" x14ac:dyDescent="0.25">
      <c r="A47" s="19" t="s">
        <v>3686</v>
      </c>
      <c r="B47" s="37" t="s">
        <v>4886</v>
      </c>
      <c r="C47" s="90">
        <v>45532.714930555558</v>
      </c>
      <c r="D47" s="114">
        <v>45532.464930555558</v>
      </c>
      <c r="E47" s="38">
        <v>45532</v>
      </c>
      <c r="F47" s="91">
        <v>2024</v>
      </c>
      <c r="G47" s="93">
        <v>8</v>
      </c>
      <c r="H47" s="37" t="s">
        <v>1386</v>
      </c>
      <c r="I47" s="37"/>
      <c r="J47" s="103">
        <v>-91.413098700000006</v>
      </c>
      <c r="K47" s="40">
        <v>43.5405072</v>
      </c>
      <c r="L47" s="74"/>
      <c r="M47" s="272" t="s">
        <v>16</v>
      </c>
      <c r="N47" s="74">
        <v>0</v>
      </c>
      <c r="O47" s="94"/>
      <c r="P47" s="118">
        <v>1</v>
      </c>
      <c r="Q47" s="510">
        <v>40</v>
      </c>
      <c r="R47" s="513">
        <v>60</v>
      </c>
      <c r="S47" s="41"/>
      <c r="T47" s="40"/>
      <c r="U47" s="40">
        <v>7.5</v>
      </c>
      <c r="V47" s="119">
        <v>1</v>
      </c>
      <c r="W47" s="40">
        <v>0</v>
      </c>
      <c r="X47" s="119">
        <v>1</v>
      </c>
      <c r="Y47" s="40">
        <v>62</v>
      </c>
      <c r="Z47" s="119">
        <v>1</v>
      </c>
      <c r="AA47" s="368">
        <v>0</v>
      </c>
      <c r="AB47" s="535">
        <v>5</v>
      </c>
      <c r="AC47" s="39" t="s">
        <v>160</v>
      </c>
      <c r="AD47" s="75" t="s">
        <v>10</v>
      </c>
      <c r="AE47" s="95">
        <v>0</v>
      </c>
      <c r="AF47" s="75">
        <v>0</v>
      </c>
      <c r="AG47" s="75">
        <v>0</v>
      </c>
      <c r="AH47" s="75">
        <v>0</v>
      </c>
      <c r="AI47" s="75">
        <v>0</v>
      </c>
      <c r="AJ47" s="75">
        <v>0</v>
      </c>
      <c r="AK47" s="75">
        <v>0</v>
      </c>
      <c r="AL47" s="95">
        <v>1</v>
      </c>
      <c r="AM47" s="92">
        <v>0</v>
      </c>
      <c r="AN47" s="79" t="s">
        <v>80</v>
      </c>
      <c r="AO47" s="75">
        <v>1</v>
      </c>
      <c r="AP47" s="75" t="s">
        <v>83</v>
      </c>
      <c r="AQ47" s="122">
        <v>1</v>
      </c>
      <c r="AR47" s="515" t="s">
        <v>10</v>
      </c>
      <c r="AS47" s="95">
        <v>0</v>
      </c>
      <c r="AT47" s="75">
        <v>0</v>
      </c>
      <c r="AU47" s="75">
        <v>0</v>
      </c>
      <c r="AV47" s="75">
        <v>0</v>
      </c>
      <c r="AW47" s="123">
        <v>0</v>
      </c>
      <c r="AX47" s="516"/>
      <c r="AY47" s="75">
        <v>0</v>
      </c>
      <c r="AZ47" s="77" t="s">
        <v>131</v>
      </c>
      <c r="BA47" s="78" t="s">
        <v>131</v>
      </c>
      <c r="BB47" s="78" t="s">
        <v>131</v>
      </c>
      <c r="BC47" s="78" t="s">
        <v>131</v>
      </c>
      <c r="BD47" s="78" t="s">
        <v>131</v>
      </c>
      <c r="BE47" s="78" t="s">
        <v>131</v>
      </c>
      <c r="BF47" s="78" t="s">
        <v>131</v>
      </c>
      <c r="BG47" s="78" t="s">
        <v>132</v>
      </c>
      <c r="BH47" s="75" t="s">
        <v>5970</v>
      </c>
      <c r="BI47" s="295" t="s">
        <v>4020</v>
      </c>
      <c r="BJ47" s="546">
        <v>1</v>
      </c>
      <c r="BK47" s="294">
        <v>1</v>
      </c>
      <c r="BL47" s="157">
        <v>1</v>
      </c>
      <c r="BM47" s="548" t="s">
        <v>1341</v>
      </c>
      <c r="BN47" s="548" t="s">
        <v>1339</v>
      </c>
      <c r="BO47" s="157" t="s">
        <v>4239</v>
      </c>
      <c r="BP47" s="548" t="s">
        <v>4240</v>
      </c>
      <c r="BQ47" s="157" t="s">
        <v>4238</v>
      </c>
      <c r="BR47" s="157"/>
    </row>
    <row r="48" spans="1:70" x14ac:dyDescent="0.25">
      <c r="A48" s="19" t="s">
        <v>3686</v>
      </c>
      <c r="B48" s="37" t="s">
        <v>4887</v>
      </c>
      <c r="C48" s="90">
        <v>45532.687280092592</v>
      </c>
      <c r="D48" s="114">
        <v>45532.437280092592</v>
      </c>
      <c r="E48" s="38">
        <v>45532</v>
      </c>
      <c r="F48" s="91">
        <v>2024</v>
      </c>
      <c r="G48" s="93">
        <v>8</v>
      </c>
      <c r="H48" s="37" t="s">
        <v>1386</v>
      </c>
      <c r="I48" s="37"/>
      <c r="J48" s="103">
        <v>-91.569713300000004</v>
      </c>
      <c r="K48" s="40">
        <v>43.502306699999998</v>
      </c>
      <c r="L48" s="74"/>
      <c r="M48" s="272" t="s">
        <v>16</v>
      </c>
      <c r="N48" s="74">
        <v>0</v>
      </c>
      <c r="O48" s="94"/>
      <c r="P48" s="118">
        <v>1</v>
      </c>
      <c r="Q48" s="510">
        <v>0</v>
      </c>
      <c r="R48" s="513">
        <v>0</v>
      </c>
      <c r="S48" s="41"/>
      <c r="T48" s="40"/>
      <c r="U48" s="40">
        <v>7.5</v>
      </c>
      <c r="V48" s="119">
        <v>1</v>
      </c>
      <c r="W48" s="40">
        <v>0</v>
      </c>
      <c r="X48" s="119">
        <v>1</v>
      </c>
      <c r="Y48" s="40">
        <v>54</v>
      </c>
      <c r="Z48" s="119">
        <v>1</v>
      </c>
      <c r="AA48" s="368">
        <v>0</v>
      </c>
      <c r="AB48" s="535">
        <v>0</v>
      </c>
      <c r="AC48" s="39" t="s">
        <v>160</v>
      </c>
      <c r="AD48" s="75" t="s">
        <v>10</v>
      </c>
      <c r="AE48" s="95">
        <v>0</v>
      </c>
      <c r="AF48" s="75">
        <v>0</v>
      </c>
      <c r="AG48" s="75">
        <v>0</v>
      </c>
      <c r="AH48" s="75">
        <v>0</v>
      </c>
      <c r="AI48" s="75">
        <v>0</v>
      </c>
      <c r="AJ48" s="75">
        <v>0</v>
      </c>
      <c r="AK48" s="75">
        <v>0</v>
      </c>
      <c r="AL48" s="95">
        <v>1</v>
      </c>
      <c r="AM48" s="92">
        <v>0</v>
      </c>
      <c r="AN48" s="79" t="s">
        <v>80</v>
      </c>
      <c r="AO48" s="75">
        <v>1</v>
      </c>
      <c r="AP48" s="75" t="s">
        <v>83</v>
      </c>
      <c r="AQ48" s="122">
        <v>1</v>
      </c>
      <c r="AR48" s="515" t="s">
        <v>10</v>
      </c>
      <c r="AS48" s="95">
        <v>0</v>
      </c>
      <c r="AT48" s="75">
        <v>0</v>
      </c>
      <c r="AU48" s="75">
        <v>0</v>
      </c>
      <c r="AV48" s="75">
        <v>0</v>
      </c>
      <c r="AW48" s="123">
        <v>0</v>
      </c>
      <c r="AX48" s="516"/>
      <c r="AY48" s="75">
        <v>0</v>
      </c>
      <c r="AZ48" s="77" t="s">
        <v>131</v>
      </c>
      <c r="BA48" s="78" t="s">
        <v>131</v>
      </c>
      <c r="BB48" s="78" t="s">
        <v>131</v>
      </c>
      <c r="BC48" s="78" t="s">
        <v>131</v>
      </c>
      <c r="BD48" s="78" t="s">
        <v>131</v>
      </c>
      <c r="BE48" s="78" t="s">
        <v>131</v>
      </c>
      <c r="BF48" s="78" t="s">
        <v>131</v>
      </c>
      <c r="BG48" s="78" t="s">
        <v>132</v>
      </c>
      <c r="BH48" s="75" t="s">
        <v>5970</v>
      </c>
      <c r="BI48" s="295" t="s">
        <v>2265</v>
      </c>
      <c r="BJ48" s="546">
        <v>1</v>
      </c>
      <c r="BK48" s="294">
        <v>1</v>
      </c>
      <c r="BL48" s="157">
        <v>1</v>
      </c>
      <c r="BM48" s="548" t="s">
        <v>1341</v>
      </c>
      <c r="BN48" s="548" t="s">
        <v>1339</v>
      </c>
      <c r="BO48" s="157" t="s">
        <v>4242</v>
      </c>
      <c r="BP48" s="548" t="s">
        <v>4041</v>
      </c>
      <c r="BQ48" s="157" t="s">
        <v>4241</v>
      </c>
      <c r="BR48" s="157"/>
    </row>
    <row r="49" spans="1:70" x14ac:dyDescent="0.25">
      <c r="A49" s="19" t="s">
        <v>3686</v>
      </c>
      <c r="B49" s="37" t="s">
        <v>4888</v>
      </c>
      <c r="C49" s="90">
        <v>45532.655844907407</v>
      </c>
      <c r="D49" s="114">
        <v>45532.405844907407</v>
      </c>
      <c r="E49" s="38">
        <v>45532</v>
      </c>
      <c r="F49" s="91">
        <v>2024</v>
      </c>
      <c r="G49" s="93">
        <v>8</v>
      </c>
      <c r="H49" s="37" t="s">
        <v>1386</v>
      </c>
      <c r="I49" s="37"/>
      <c r="J49" s="103">
        <v>-91.791951600000004</v>
      </c>
      <c r="K49" s="40">
        <v>43.673759599999997</v>
      </c>
      <c r="L49" s="74"/>
      <c r="M49" s="272" t="s">
        <v>16</v>
      </c>
      <c r="N49" s="74">
        <v>0</v>
      </c>
      <c r="O49" s="94"/>
      <c r="P49" s="118">
        <v>1</v>
      </c>
      <c r="Q49" s="510">
        <v>80</v>
      </c>
      <c r="R49" s="513">
        <v>180</v>
      </c>
      <c r="S49" s="41"/>
      <c r="T49" s="40"/>
      <c r="U49" s="40">
        <v>7.5</v>
      </c>
      <c r="V49" s="119">
        <v>1</v>
      </c>
      <c r="W49" s="40">
        <v>0</v>
      </c>
      <c r="X49" s="119">
        <v>1</v>
      </c>
      <c r="Y49" s="40">
        <v>62</v>
      </c>
      <c r="Z49" s="119">
        <v>1</v>
      </c>
      <c r="AA49" s="368">
        <v>0</v>
      </c>
      <c r="AB49" s="535">
        <v>0</v>
      </c>
      <c r="AC49" s="39" t="s">
        <v>160</v>
      </c>
      <c r="AD49" s="75" t="s">
        <v>10</v>
      </c>
      <c r="AE49" s="95">
        <v>0</v>
      </c>
      <c r="AF49" s="75">
        <v>0</v>
      </c>
      <c r="AG49" s="75">
        <v>0</v>
      </c>
      <c r="AH49" s="75">
        <v>0</v>
      </c>
      <c r="AI49" s="75">
        <v>0</v>
      </c>
      <c r="AJ49" s="75">
        <v>0</v>
      </c>
      <c r="AK49" s="75">
        <v>0</v>
      </c>
      <c r="AL49" s="95">
        <v>1</v>
      </c>
      <c r="AM49" s="92">
        <v>0</v>
      </c>
      <c r="AN49" s="79" t="s">
        <v>80</v>
      </c>
      <c r="AO49" s="75">
        <v>1</v>
      </c>
      <c r="AP49" s="75" t="s">
        <v>83</v>
      </c>
      <c r="AQ49" s="122">
        <v>1</v>
      </c>
      <c r="AR49" s="515" t="s">
        <v>10</v>
      </c>
      <c r="AS49" s="95">
        <v>0</v>
      </c>
      <c r="AT49" s="75">
        <v>0</v>
      </c>
      <c r="AU49" s="75">
        <v>0</v>
      </c>
      <c r="AV49" s="75">
        <v>0</v>
      </c>
      <c r="AW49" s="123">
        <v>0</v>
      </c>
      <c r="AX49" s="516"/>
      <c r="AY49" s="75">
        <v>0</v>
      </c>
      <c r="AZ49" s="77" t="s">
        <v>131</v>
      </c>
      <c r="BA49" s="78" t="s">
        <v>131</v>
      </c>
      <c r="BB49" s="78" t="s">
        <v>131</v>
      </c>
      <c r="BC49" s="78" t="s">
        <v>131</v>
      </c>
      <c r="BD49" s="78" t="s">
        <v>131</v>
      </c>
      <c r="BE49" s="78" t="s">
        <v>131</v>
      </c>
      <c r="BF49" s="78" t="s">
        <v>131</v>
      </c>
      <c r="BG49" s="78" t="s">
        <v>132</v>
      </c>
      <c r="BH49" s="75" t="s">
        <v>5970</v>
      </c>
      <c r="BI49" s="295">
        <v>0</v>
      </c>
      <c r="BJ49" s="546">
        <v>1</v>
      </c>
      <c r="BK49" s="294">
        <v>1</v>
      </c>
      <c r="BL49" s="157">
        <v>1</v>
      </c>
      <c r="BM49" s="548" t="s">
        <v>1341</v>
      </c>
      <c r="BN49" s="548" t="s">
        <v>1339</v>
      </c>
      <c r="BO49" s="157" t="s">
        <v>4418</v>
      </c>
      <c r="BP49" s="548" t="s">
        <v>4419</v>
      </c>
      <c r="BQ49" s="157" t="s">
        <v>4232</v>
      </c>
      <c r="BR49" s="157"/>
    </row>
    <row r="50" spans="1:70" x14ac:dyDescent="0.25">
      <c r="A50" s="19" t="s">
        <v>3686</v>
      </c>
      <c r="B50" s="37" t="s">
        <v>4889</v>
      </c>
      <c r="C50" s="90">
        <v>45532.635613425926</v>
      </c>
      <c r="D50" s="114">
        <v>45532.385613425926</v>
      </c>
      <c r="E50" s="38">
        <v>45532</v>
      </c>
      <c r="F50" s="91">
        <v>2024</v>
      </c>
      <c r="G50" s="93">
        <v>8</v>
      </c>
      <c r="H50" s="37" t="s">
        <v>1386</v>
      </c>
      <c r="I50" s="37"/>
      <c r="J50" s="103">
        <v>-91.814795000000004</v>
      </c>
      <c r="K50" s="40">
        <v>43.597230400000001</v>
      </c>
      <c r="L50" s="74"/>
      <c r="M50" s="272" t="s">
        <v>16</v>
      </c>
      <c r="N50" s="74">
        <v>0</v>
      </c>
      <c r="O50" s="94"/>
      <c r="P50" s="118">
        <v>1</v>
      </c>
      <c r="Q50" s="510">
        <v>0</v>
      </c>
      <c r="R50" s="513">
        <v>60</v>
      </c>
      <c r="S50" s="41"/>
      <c r="T50" s="40"/>
      <c r="U50" s="40">
        <v>7</v>
      </c>
      <c r="V50" s="119">
        <v>1</v>
      </c>
      <c r="W50" s="40">
        <v>0</v>
      </c>
      <c r="X50" s="119">
        <v>1</v>
      </c>
      <c r="Y50" s="40">
        <v>61</v>
      </c>
      <c r="Z50" s="119">
        <v>1</v>
      </c>
      <c r="AA50" s="368">
        <v>0</v>
      </c>
      <c r="AB50" s="535">
        <v>0</v>
      </c>
      <c r="AC50" s="39" t="s">
        <v>160</v>
      </c>
      <c r="AD50" s="75" t="s">
        <v>10</v>
      </c>
      <c r="AE50" s="95">
        <v>0</v>
      </c>
      <c r="AF50" s="75">
        <v>0</v>
      </c>
      <c r="AG50" s="75">
        <v>0</v>
      </c>
      <c r="AH50" s="75">
        <v>0</v>
      </c>
      <c r="AI50" s="75">
        <v>0</v>
      </c>
      <c r="AJ50" s="75">
        <v>0</v>
      </c>
      <c r="AK50" s="75">
        <v>0</v>
      </c>
      <c r="AL50" s="95">
        <v>1</v>
      </c>
      <c r="AM50" s="92">
        <v>0</v>
      </c>
      <c r="AN50" s="79" t="s">
        <v>80</v>
      </c>
      <c r="AO50" s="75">
        <v>1</v>
      </c>
      <c r="AP50" s="75" t="s">
        <v>84</v>
      </c>
      <c r="AQ50" s="122">
        <v>1</v>
      </c>
      <c r="AR50" s="515" t="s">
        <v>10</v>
      </c>
      <c r="AS50" s="95">
        <v>0</v>
      </c>
      <c r="AT50" s="75">
        <v>0</v>
      </c>
      <c r="AU50" s="75">
        <v>0</v>
      </c>
      <c r="AV50" s="75">
        <v>0</v>
      </c>
      <c r="AW50" s="123">
        <v>0</v>
      </c>
      <c r="AX50" s="516"/>
      <c r="AY50" s="75">
        <v>0</v>
      </c>
      <c r="AZ50" s="77" t="s">
        <v>131</v>
      </c>
      <c r="BA50" s="78" t="s">
        <v>131</v>
      </c>
      <c r="BB50" s="78" t="s">
        <v>131</v>
      </c>
      <c r="BC50" s="78" t="s">
        <v>131</v>
      </c>
      <c r="BD50" s="78" t="s">
        <v>131</v>
      </c>
      <c r="BE50" s="78" t="s">
        <v>131</v>
      </c>
      <c r="BF50" s="78" t="s">
        <v>131</v>
      </c>
      <c r="BG50" s="78" t="s">
        <v>132</v>
      </c>
      <c r="BH50" s="75" t="s">
        <v>5970</v>
      </c>
      <c r="BI50" s="295" t="s">
        <v>2271</v>
      </c>
      <c r="BJ50" s="546">
        <v>1</v>
      </c>
      <c r="BK50" s="294">
        <v>1</v>
      </c>
      <c r="BL50" s="157">
        <v>1</v>
      </c>
      <c r="BM50" s="548" t="s">
        <v>1341</v>
      </c>
      <c r="BN50" s="548" t="s">
        <v>1339</v>
      </c>
      <c r="BO50" s="157" t="s">
        <v>4245</v>
      </c>
      <c r="BP50" s="548" t="s">
        <v>2271</v>
      </c>
      <c r="BQ50" s="157" t="s">
        <v>4232</v>
      </c>
      <c r="BR50" s="157"/>
    </row>
    <row r="51" spans="1:70" x14ac:dyDescent="0.25">
      <c r="A51" s="19" t="s">
        <v>3686</v>
      </c>
      <c r="B51" s="37" t="s">
        <v>4890</v>
      </c>
      <c r="C51" s="90">
        <v>45531.744768518518</v>
      </c>
      <c r="D51" s="114">
        <v>45531.494768518518</v>
      </c>
      <c r="E51" s="38">
        <v>45531</v>
      </c>
      <c r="F51" s="91">
        <v>2024</v>
      </c>
      <c r="G51" s="93">
        <v>8</v>
      </c>
      <c r="H51" s="37" t="s">
        <v>1386</v>
      </c>
      <c r="I51" s="37"/>
      <c r="J51" s="103">
        <v>-92.293857299999999</v>
      </c>
      <c r="K51" s="40">
        <v>43.727866599999999</v>
      </c>
      <c r="L51" s="74"/>
      <c r="M51" s="272" t="s">
        <v>16</v>
      </c>
      <c r="N51" s="74">
        <v>0</v>
      </c>
      <c r="O51" s="94"/>
      <c r="P51" s="118">
        <v>1</v>
      </c>
      <c r="Q51" s="510">
        <v>0</v>
      </c>
      <c r="R51" s="513">
        <v>60</v>
      </c>
      <c r="S51" s="41"/>
      <c r="T51" s="40"/>
      <c r="U51" s="40">
        <v>7</v>
      </c>
      <c r="V51" s="119">
        <v>1</v>
      </c>
      <c r="W51" s="40">
        <v>0</v>
      </c>
      <c r="X51" s="119">
        <v>1</v>
      </c>
      <c r="Y51" s="40">
        <v>68</v>
      </c>
      <c r="Z51" s="119">
        <v>1</v>
      </c>
      <c r="AA51" s="368">
        <v>0</v>
      </c>
      <c r="AB51" s="535">
        <v>5</v>
      </c>
      <c r="AC51" s="39" t="s">
        <v>160</v>
      </c>
      <c r="AD51" s="75" t="s">
        <v>10</v>
      </c>
      <c r="AE51" s="95">
        <v>0</v>
      </c>
      <c r="AF51" s="75">
        <v>0</v>
      </c>
      <c r="AG51" s="75">
        <v>0</v>
      </c>
      <c r="AH51" s="75">
        <v>0</v>
      </c>
      <c r="AI51" s="75">
        <v>0</v>
      </c>
      <c r="AJ51" s="75">
        <v>0</v>
      </c>
      <c r="AK51" s="75">
        <v>0</v>
      </c>
      <c r="AL51" s="95">
        <v>1</v>
      </c>
      <c r="AM51" s="92">
        <v>0</v>
      </c>
      <c r="AN51" s="79" t="s">
        <v>80</v>
      </c>
      <c r="AO51" s="75">
        <v>1</v>
      </c>
      <c r="AP51" s="75" t="s">
        <v>83</v>
      </c>
      <c r="AQ51" s="122">
        <v>1</v>
      </c>
      <c r="AR51" s="515" t="s">
        <v>10</v>
      </c>
      <c r="AS51" s="95">
        <v>0</v>
      </c>
      <c r="AT51" s="75">
        <v>0</v>
      </c>
      <c r="AU51" s="75">
        <v>0</v>
      </c>
      <c r="AV51" s="75">
        <v>0</v>
      </c>
      <c r="AW51" s="123">
        <v>0</v>
      </c>
      <c r="AX51" s="516"/>
      <c r="AY51" s="75">
        <v>0</v>
      </c>
      <c r="AZ51" s="77" t="s">
        <v>131</v>
      </c>
      <c r="BA51" s="78" t="s">
        <v>131</v>
      </c>
      <c r="BB51" s="78" t="s">
        <v>131</v>
      </c>
      <c r="BC51" s="78" t="s">
        <v>131</v>
      </c>
      <c r="BD51" s="78" t="s">
        <v>131</v>
      </c>
      <c r="BE51" s="78" t="s">
        <v>131</v>
      </c>
      <c r="BF51" s="78" t="s">
        <v>131</v>
      </c>
      <c r="BG51" s="78" t="s">
        <v>132</v>
      </c>
      <c r="BH51" s="75" t="s">
        <v>5970</v>
      </c>
      <c r="BI51" s="295" t="s">
        <v>2230</v>
      </c>
      <c r="BJ51" s="546">
        <v>1</v>
      </c>
      <c r="BK51" s="294" t="s">
        <v>16</v>
      </c>
      <c r="BL51" s="157" t="s">
        <v>16</v>
      </c>
      <c r="BM51" s="548" t="s">
        <v>1339</v>
      </c>
      <c r="BN51" s="548" t="s">
        <v>1339</v>
      </c>
      <c r="BO51" s="157" t="s">
        <v>4227</v>
      </c>
      <c r="BP51" s="548" t="s">
        <v>2230</v>
      </c>
      <c r="BQ51" s="157" t="s">
        <v>4226</v>
      </c>
      <c r="BR51" s="157"/>
    </row>
    <row r="52" spans="1:70" x14ac:dyDescent="0.25">
      <c r="A52" s="19" t="s">
        <v>3686</v>
      </c>
      <c r="B52" s="37" t="s">
        <v>4891</v>
      </c>
      <c r="C52" s="90">
        <v>45531.718865740739</v>
      </c>
      <c r="D52" s="114">
        <v>45531.468865740739</v>
      </c>
      <c r="E52" s="38">
        <v>45531</v>
      </c>
      <c r="F52" s="91">
        <v>2024</v>
      </c>
      <c r="G52" s="93">
        <v>8</v>
      </c>
      <c r="H52" s="37" t="s">
        <v>1386</v>
      </c>
      <c r="I52" s="37"/>
      <c r="J52" s="103">
        <v>-92.343704000000002</v>
      </c>
      <c r="K52" s="40">
        <v>43.602308700000002</v>
      </c>
      <c r="L52" s="74"/>
      <c r="M52" s="272" t="s">
        <v>16</v>
      </c>
      <c r="N52" s="74">
        <v>0</v>
      </c>
      <c r="O52" s="94"/>
      <c r="P52" s="118">
        <v>1</v>
      </c>
      <c r="Q52" s="510">
        <v>0</v>
      </c>
      <c r="R52" s="513">
        <v>60</v>
      </c>
      <c r="S52" s="41"/>
      <c r="T52" s="40"/>
      <c r="U52" s="40">
        <v>7.5</v>
      </c>
      <c r="V52" s="119">
        <v>1</v>
      </c>
      <c r="W52" s="40">
        <v>0</v>
      </c>
      <c r="X52" s="119">
        <v>1</v>
      </c>
      <c r="Y52" s="40">
        <v>61</v>
      </c>
      <c r="Z52" s="119">
        <v>1</v>
      </c>
      <c r="AA52" s="368">
        <v>0</v>
      </c>
      <c r="AB52" s="535">
        <v>10</v>
      </c>
      <c r="AC52" s="39" t="s">
        <v>160</v>
      </c>
      <c r="AD52" s="75" t="s">
        <v>10</v>
      </c>
      <c r="AE52" s="95">
        <v>0</v>
      </c>
      <c r="AF52" s="75">
        <v>0</v>
      </c>
      <c r="AG52" s="75">
        <v>0</v>
      </c>
      <c r="AH52" s="75">
        <v>0</v>
      </c>
      <c r="AI52" s="75">
        <v>0</v>
      </c>
      <c r="AJ52" s="75">
        <v>0</v>
      </c>
      <c r="AK52" s="75">
        <v>0</v>
      </c>
      <c r="AL52" s="95">
        <v>1</v>
      </c>
      <c r="AM52" s="92">
        <v>0</v>
      </c>
      <c r="AN52" s="79" t="s">
        <v>80</v>
      </c>
      <c r="AO52" s="75">
        <v>1</v>
      </c>
      <c r="AP52" s="75" t="s">
        <v>83</v>
      </c>
      <c r="AQ52" s="122">
        <v>1</v>
      </c>
      <c r="AR52" s="515" t="s">
        <v>10</v>
      </c>
      <c r="AS52" s="95">
        <v>0</v>
      </c>
      <c r="AT52" s="75">
        <v>0</v>
      </c>
      <c r="AU52" s="75">
        <v>0</v>
      </c>
      <c r="AV52" s="75">
        <v>0</v>
      </c>
      <c r="AW52" s="123">
        <v>0</v>
      </c>
      <c r="AX52" s="516"/>
      <c r="AY52" s="75">
        <v>0</v>
      </c>
      <c r="AZ52" s="77" t="s">
        <v>131</v>
      </c>
      <c r="BA52" s="78" t="s">
        <v>131</v>
      </c>
      <c r="BB52" s="78" t="s">
        <v>131</v>
      </c>
      <c r="BC52" s="78" t="s">
        <v>131</v>
      </c>
      <c r="BD52" s="78" t="s">
        <v>131</v>
      </c>
      <c r="BE52" s="78" t="s">
        <v>131</v>
      </c>
      <c r="BF52" s="78" t="s">
        <v>131</v>
      </c>
      <c r="BG52" s="78" t="s">
        <v>132</v>
      </c>
      <c r="BH52" s="75" t="s">
        <v>5970</v>
      </c>
      <c r="BI52" s="295" t="s">
        <v>2294</v>
      </c>
      <c r="BJ52" s="546">
        <v>1</v>
      </c>
      <c r="BK52" s="294" t="s">
        <v>16</v>
      </c>
      <c r="BL52" s="157" t="s">
        <v>16</v>
      </c>
      <c r="BM52" s="548" t="s">
        <v>1339</v>
      </c>
      <c r="BN52" s="548" t="s">
        <v>1339</v>
      </c>
      <c r="BO52" s="157" t="s">
        <v>4230</v>
      </c>
      <c r="BP52" s="548" t="s">
        <v>4231</v>
      </c>
      <c r="BQ52" s="157" t="s">
        <v>4229</v>
      </c>
      <c r="BR52" s="157"/>
    </row>
    <row r="53" spans="1:70" x14ac:dyDescent="0.25">
      <c r="A53" s="19" t="s">
        <v>3686</v>
      </c>
      <c r="B53" s="37" t="s">
        <v>4892</v>
      </c>
      <c r="C53" s="90">
        <v>45531.699525462966</v>
      </c>
      <c r="D53" s="114">
        <v>45531.449525462966</v>
      </c>
      <c r="E53" s="38">
        <v>45531</v>
      </c>
      <c r="F53" s="91">
        <v>2024</v>
      </c>
      <c r="G53" s="93">
        <v>8</v>
      </c>
      <c r="H53" s="37" t="s">
        <v>475</v>
      </c>
      <c r="I53" s="37"/>
      <c r="J53" s="103">
        <v>-92.221224438993517</v>
      </c>
      <c r="K53" s="40">
        <v>43.637180291111456</v>
      </c>
      <c r="L53" s="74"/>
      <c r="M53" s="272" t="s">
        <v>4893</v>
      </c>
      <c r="N53" s="74">
        <v>1</v>
      </c>
      <c r="O53" s="94"/>
      <c r="P53" s="118">
        <v>1</v>
      </c>
      <c r="Q53" s="510">
        <v>180</v>
      </c>
      <c r="R53" s="513">
        <v>180</v>
      </c>
      <c r="S53" s="41"/>
      <c r="T53" s="40"/>
      <c r="U53" s="40">
        <v>7</v>
      </c>
      <c r="V53" s="119">
        <v>0</v>
      </c>
      <c r="W53" s="40"/>
      <c r="X53" s="119">
        <v>1</v>
      </c>
      <c r="Y53" s="40">
        <v>58</v>
      </c>
      <c r="Z53" s="119">
        <v>1</v>
      </c>
      <c r="AA53" s="368">
        <v>0</v>
      </c>
      <c r="AB53" s="535">
        <v>5</v>
      </c>
      <c r="AC53" s="39" t="s">
        <v>160</v>
      </c>
      <c r="AD53" s="75" t="s">
        <v>10</v>
      </c>
      <c r="AE53" s="95">
        <v>0</v>
      </c>
      <c r="AF53" s="75">
        <v>0</v>
      </c>
      <c r="AG53" s="75">
        <v>0</v>
      </c>
      <c r="AH53" s="75">
        <v>0</v>
      </c>
      <c r="AI53" s="75">
        <v>0</v>
      </c>
      <c r="AJ53" s="75">
        <v>0</v>
      </c>
      <c r="AK53" s="75">
        <v>0</v>
      </c>
      <c r="AL53" s="95">
        <v>1</v>
      </c>
      <c r="AM53" s="92">
        <v>0</v>
      </c>
      <c r="AN53" s="79" t="s">
        <v>80</v>
      </c>
      <c r="AO53" s="75">
        <v>1</v>
      </c>
      <c r="AP53" s="75" t="s">
        <v>83</v>
      </c>
      <c r="AQ53" s="122">
        <v>1</v>
      </c>
      <c r="AR53" s="515" t="s">
        <v>10</v>
      </c>
      <c r="AS53" s="95">
        <v>0</v>
      </c>
      <c r="AT53" s="75">
        <v>0</v>
      </c>
      <c r="AU53" s="75">
        <v>0</v>
      </c>
      <c r="AV53" s="75">
        <v>0</v>
      </c>
      <c r="AW53" s="123">
        <v>0</v>
      </c>
      <c r="AX53" s="516" t="s">
        <v>4894</v>
      </c>
      <c r="AY53" s="75">
        <v>1</v>
      </c>
      <c r="AZ53" s="77" t="s">
        <v>131</v>
      </c>
      <c r="BA53" s="78" t="s">
        <v>131</v>
      </c>
      <c r="BB53" s="78" t="s">
        <v>131</v>
      </c>
      <c r="BC53" s="78" t="s">
        <v>131</v>
      </c>
      <c r="BD53" s="78" t="s">
        <v>131</v>
      </c>
      <c r="BE53" s="78" t="s">
        <v>131</v>
      </c>
      <c r="BF53" s="78" t="s">
        <v>131</v>
      </c>
      <c r="BG53" s="78" t="s">
        <v>132</v>
      </c>
      <c r="BH53" s="75" t="s">
        <v>5970</v>
      </c>
      <c r="BI53" s="295" t="s">
        <v>2263</v>
      </c>
      <c r="BJ53" s="546">
        <v>1</v>
      </c>
      <c r="BK53" s="294" t="s">
        <v>16</v>
      </c>
      <c r="BL53" s="157" t="s">
        <v>16</v>
      </c>
      <c r="BM53" s="548" t="s">
        <v>1339</v>
      </c>
      <c r="BN53" s="548" t="s">
        <v>1339</v>
      </c>
      <c r="BO53" s="157" t="s">
        <v>4694</v>
      </c>
      <c r="BP53" s="548" t="s">
        <v>2263</v>
      </c>
      <c r="BQ53" s="157" t="s">
        <v>4229</v>
      </c>
      <c r="BR53" s="157"/>
    </row>
    <row r="54" spans="1:70" x14ac:dyDescent="0.25">
      <c r="A54" s="19" t="s">
        <v>3686</v>
      </c>
      <c r="B54" s="37" t="s">
        <v>4895</v>
      </c>
      <c r="C54" s="90">
        <v>45531.561990740738</v>
      </c>
      <c r="D54" s="114">
        <v>45531.311990740738</v>
      </c>
      <c r="E54" s="38">
        <v>45531</v>
      </c>
      <c r="F54" s="91">
        <v>2024</v>
      </c>
      <c r="G54" s="93">
        <v>8</v>
      </c>
      <c r="H54" s="37" t="s">
        <v>475</v>
      </c>
      <c r="I54" s="37"/>
      <c r="J54" s="103">
        <v>-92.224467988620674</v>
      </c>
      <c r="K54" s="40">
        <v>43.622312811137697</v>
      </c>
      <c r="L54" s="74"/>
      <c r="M54" s="272" t="s">
        <v>4896</v>
      </c>
      <c r="N54" s="74">
        <v>1</v>
      </c>
      <c r="O54" s="94"/>
      <c r="P54" s="118">
        <v>1</v>
      </c>
      <c r="Q54" s="510">
        <v>180</v>
      </c>
      <c r="R54" s="513">
        <v>180</v>
      </c>
      <c r="S54" s="41"/>
      <c r="T54" s="40"/>
      <c r="U54" s="40">
        <v>7.5</v>
      </c>
      <c r="V54" s="119">
        <v>1</v>
      </c>
      <c r="W54" s="40">
        <v>0</v>
      </c>
      <c r="X54" s="119">
        <v>1</v>
      </c>
      <c r="Y54" s="40">
        <v>52</v>
      </c>
      <c r="Z54" s="119">
        <v>1</v>
      </c>
      <c r="AA54" s="368">
        <v>0</v>
      </c>
      <c r="AB54" s="535">
        <v>5</v>
      </c>
      <c r="AC54" s="39" t="s">
        <v>160</v>
      </c>
      <c r="AD54" s="75" t="s">
        <v>10</v>
      </c>
      <c r="AE54" s="95">
        <v>0</v>
      </c>
      <c r="AF54" s="75">
        <v>0</v>
      </c>
      <c r="AG54" s="75">
        <v>0</v>
      </c>
      <c r="AH54" s="75">
        <v>0</v>
      </c>
      <c r="AI54" s="75">
        <v>0</v>
      </c>
      <c r="AJ54" s="75">
        <v>0</v>
      </c>
      <c r="AK54" s="75">
        <v>0</v>
      </c>
      <c r="AL54" s="95">
        <v>1</v>
      </c>
      <c r="AM54" s="92">
        <v>0</v>
      </c>
      <c r="AN54" s="79" t="s">
        <v>80</v>
      </c>
      <c r="AO54" s="75">
        <v>1</v>
      </c>
      <c r="AP54" s="75" t="s">
        <v>83</v>
      </c>
      <c r="AQ54" s="122">
        <v>1</v>
      </c>
      <c r="AR54" s="515" t="s">
        <v>10</v>
      </c>
      <c r="AS54" s="95">
        <v>0</v>
      </c>
      <c r="AT54" s="75">
        <v>0</v>
      </c>
      <c r="AU54" s="75">
        <v>0</v>
      </c>
      <c r="AV54" s="75">
        <v>0</v>
      </c>
      <c r="AW54" s="123">
        <v>0</v>
      </c>
      <c r="AX54" s="516" t="s">
        <v>4897</v>
      </c>
      <c r="AY54" s="75">
        <v>1</v>
      </c>
      <c r="AZ54" s="77" t="s">
        <v>131</v>
      </c>
      <c r="BA54" s="78" t="s">
        <v>131</v>
      </c>
      <c r="BB54" s="78" t="s">
        <v>131</v>
      </c>
      <c r="BC54" s="78" t="s">
        <v>131</v>
      </c>
      <c r="BD54" s="78" t="s">
        <v>131</v>
      </c>
      <c r="BE54" s="78" t="s">
        <v>131</v>
      </c>
      <c r="BF54" s="78" t="s">
        <v>131</v>
      </c>
      <c r="BG54" s="78" t="s">
        <v>132</v>
      </c>
      <c r="BH54" s="75" t="s">
        <v>5970</v>
      </c>
      <c r="BI54" s="295" t="s">
        <v>16</v>
      </c>
      <c r="BJ54" s="546">
        <v>1</v>
      </c>
      <c r="BK54" s="294" t="s">
        <v>16</v>
      </c>
      <c r="BL54" s="157" t="s">
        <v>16</v>
      </c>
      <c r="BM54" s="548" t="s">
        <v>1339</v>
      </c>
      <c r="BN54" s="548" t="s">
        <v>1339</v>
      </c>
      <c r="BO54" s="157" t="s">
        <v>4332</v>
      </c>
      <c r="BP54" s="548" t="s">
        <v>4333</v>
      </c>
      <c r="BQ54" s="157" t="s">
        <v>4229</v>
      </c>
      <c r="BR54" s="157"/>
    </row>
    <row r="55" spans="1:70" x14ac:dyDescent="0.25">
      <c r="A55" s="19" t="s">
        <v>3686</v>
      </c>
      <c r="B55" s="37" t="s">
        <v>4898</v>
      </c>
      <c r="C55" s="90">
        <v>45531.555335648147</v>
      </c>
      <c r="D55" s="114">
        <v>45531.305335648147</v>
      </c>
      <c r="E55" s="38">
        <v>45531</v>
      </c>
      <c r="F55" s="91">
        <v>2024</v>
      </c>
      <c r="G55" s="93">
        <v>8</v>
      </c>
      <c r="H55" s="37" t="s">
        <v>475</v>
      </c>
      <c r="I55" s="37"/>
      <c r="J55" s="103">
        <v>-92.224451581960921</v>
      </c>
      <c r="K55" s="40">
        <v>43.622702298071488</v>
      </c>
      <c r="L55" s="74"/>
      <c r="M55" s="272" t="s">
        <v>4899</v>
      </c>
      <c r="N55" s="74">
        <v>1</v>
      </c>
      <c r="O55" s="94"/>
      <c r="P55" s="118">
        <v>1</v>
      </c>
      <c r="Q55" s="510">
        <v>180</v>
      </c>
      <c r="R55" s="513">
        <v>180</v>
      </c>
      <c r="S55" s="41"/>
      <c r="T55" s="40"/>
      <c r="U55" s="40">
        <v>7.5</v>
      </c>
      <c r="V55" s="119">
        <v>1</v>
      </c>
      <c r="W55" s="40">
        <v>0</v>
      </c>
      <c r="X55" s="119">
        <v>1</v>
      </c>
      <c r="Y55" s="40">
        <v>68</v>
      </c>
      <c r="Z55" s="119">
        <v>1</v>
      </c>
      <c r="AA55" s="368">
        <v>0</v>
      </c>
      <c r="AB55" s="535">
        <v>5</v>
      </c>
      <c r="AC55" s="39" t="s">
        <v>160</v>
      </c>
      <c r="AD55" s="75" t="s">
        <v>10</v>
      </c>
      <c r="AE55" s="95">
        <v>0</v>
      </c>
      <c r="AF55" s="75">
        <v>0</v>
      </c>
      <c r="AG55" s="75">
        <v>0</v>
      </c>
      <c r="AH55" s="75">
        <v>0</v>
      </c>
      <c r="AI55" s="75">
        <v>0</v>
      </c>
      <c r="AJ55" s="75">
        <v>0</v>
      </c>
      <c r="AK55" s="75">
        <v>0</v>
      </c>
      <c r="AL55" s="95">
        <v>1</v>
      </c>
      <c r="AM55" s="92">
        <v>0</v>
      </c>
      <c r="AN55" s="79" t="s">
        <v>80</v>
      </c>
      <c r="AO55" s="75">
        <v>1</v>
      </c>
      <c r="AP55" s="75" t="s">
        <v>83</v>
      </c>
      <c r="AQ55" s="122">
        <v>1</v>
      </c>
      <c r="AR55" s="515" t="s">
        <v>10</v>
      </c>
      <c r="AS55" s="95">
        <v>0</v>
      </c>
      <c r="AT55" s="75">
        <v>0</v>
      </c>
      <c r="AU55" s="75">
        <v>0</v>
      </c>
      <c r="AV55" s="75">
        <v>0</v>
      </c>
      <c r="AW55" s="123">
        <v>0</v>
      </c>
      <c r="AX55" s="516" t="s">
        <v>4900</v>
      </c>
      <c r="AY55" s="75">
        <v>1</v>
      </c>
      <c r="AZ55" s="77" t="s">
        <v>131</v>
      </c>
      <c r="BA55" s="78" t="s">
        <v>131</v>
      </c>
      <c r="BB55" s="78" t="s">
        <v>131</v>
      </c>
      <c r="BC55" s="78" t="s">
        <v>131</v>
      </c>
      <c r="BD55" s="78" t="s">
        <v>131</v>
      </c>
      <c r="BE55" s="78" t="s">
        <v>131</v>
      </c>
      <c r="BF55" s="78" t="s">
        <v>131</v>
      </c>
      <c r="BG55" s="78" t="s">
        <v>132</v>
      </c>
      <c r="BH55" s="75" t="s">
        <v>5970</v>
      </c>
      <c r="BI55" s="295" t="s">
        <v>2232</v>
      </c>
      <c r="BJ55" s="546">
        <v>1</v>
      </c>
      <c r="BK55" s="294" t="s">
        <v>16</v>
      </c>
      <c r="BL55" s="157" t="s">
        <v>16</v>
      </c>
      <c r="BM55" s="548" t="s">
        <v>1339</v>
      </c>
      <c r="BN55" s="548" t="s">
        <v>1339</v>
      </c>
      <c r="BO55" s="157" t="s">
        <v>4332</v>
      </c>
      <c r="BP55" s="548" t="s">
        <v>4333</v>
      </c>
      <c r="BQ55" s="157" t="s">
        <v>4229</v>
      </c>
      <c r="BR55" s="157"/>
    </row>
    <row r="56" spans="1:70" x14ac:dyDescent="0.25">
      <c r="A56" s="19" t="s">
        <v>3686</v>
      </c>
      <c r="B56" s="37" t="s">
        <v>4901</v>
      </c>
      <c r="C56" s="90">
        <v>45531.52008101852</v>
      </c>
      <c r="D56" s="114">
        <v>45531.27008101852</v>
      </c>
      <c r="E56" s="38">
        <v>45531</v>
      </c>
      <c r="F56" s="91">
        <v>2024</v>
      </c>
      <c r="G56" s="93">
        <v>8</v>
      </c>
      <c r="H56" s="37" t="s">
        <v>475</v>
      </c>
      <c r="I56" s="37"/>
      <c r="J56" s="103">
        <v>-92.27044941299728</v>
      </c>
      <c r="K56" s="40">
        <v>43.757770062844536</v>
      </c>
      <c r="L56" s="74"/>
      <c r="M56" s="272" t="s">
        <v>4902</v>
      </c>
      <c r="N56" s="74">
        <v>1</v>
      </c>
      <c r="O56" s="94"/>
      <c r="P56" s="118">
        <v>1</v>
      </c>
      <c r="Q56" s="510">
        <v>180</v>
      </c>
      <c r="R56" s="513">
        <v>180</v>
      </c>
      <c r="S56" s="41"/>
      <c r="T56" s="40"/>
      <c r="U56" s="40">
        <v>7.5</v>
      </c>
      <c r="V56" s="119">
        <v>1</v>
      </c>
      <c r="W56" s="40">
        <v>0</v>
      </c>
      <c r="X56" s="119">
        <v>1</v>
      </c>
      <c r="Y56" s="40">
        <v>73</v>
      </c>
      <c r="Z56" s="119">
        <v>1</v>
      </c>
      <c r="AA56" s="368">
        <v>0</v>
      </c>
      <c r="AB56" s="535">
        <v>5</v>
      </c>
      <c r="AC56" s="39"/>
      <c r="AD56" s="75" t="s">
        <v>10</v>
      </c>
      <c r="AE56" s="95">
        <v>0</v>
      </c>
      <c r="AF56" s="75">
        <v>0</v>
      </c>
      <c r="AG56" s="75">
        <v>0</v>
      </c>
      <c r="AH56" s="75">
        <v>0</v>
      </c>
      <c r="AI56" s="75">
        <v>0</v>
      </c>
      <c r="AJ56" s="75">
        <v>0</v>
      </c>
      <c r="AK56" s="75">
        <v>0</v>
      </c>
      <c r="AL56" s="95">
        <v>1</v>
      </c>
      <c r="AM56" s="92">
        <v>0</v>
      </c>
      <c r="AN56" s="79" t="s">
        <v>81</v>
      </c>
      <c r="AO56" s="75">
        <v>1</v>
      </c>
      <c r="AP56" s="75" t="s">
        <v>84</v>
      </c>
      <c r="AQ56" s="122">
        <v>1</v>
      </c>
      <c r="AR56" s="515" t="s">
        <v>35</v>
      </c>
      <c r="AS56" s="95">
        <v>0</v>
      </c>
      <c r="AT56" s="75">
        <v>1</v>
      </c>
      <c r="AU56" s="75">
        <v>0</v>
      </c>
      <c r="AV56" s="75">
        <v>0</v>
      </c>
      <c r="AW56" s="123">
        <v>0</v>
      </c>
      <c r="AX56" s="516" t="s">
        <v>4903</v>
      </c>
      <c r="AY56" s="75">
        <v>1</v>
      </c>
      <c r="AZ56" s="77" t="s">
        <v>131</v>
      </c>
      <c r="BA56" s="78" t="s">
        <v>131</v>
      </c>
      <c r="BB56" s="78" t="s">
        <v>131</v>
      </c>
      <c r="BC56" s="78" t="s">
        <v>131</v>
      </c>
      <c r="BD56" s="78" t="s">
        <v>131</v>
      </c>
      <c r="BE56" s="78" t="s">
        <v>131</v>
      </c>
      <c r="BF56" s="78" t="s">
        <v>131</v>
      </c>
      <c r="BG56" s="78" t="s">
        <v>132</v>
      </c>
      <c r="BH56" s="75" t="s">
        <v>5970</v>
      </c>
      <c r="BI56" s="295" t="s">
        <v>4228</v>
      </c>
      <c r="BJ56" s="546" t="s">
        <v>16</v>
      </c>
      <c r="BK56" s="294" t="s">
        <v>16</v>
      </c>
      <c r="BL56" s="157" t="s">
        <v>16</v>
      </c>
      <c r="BM56" s="548" t="s">
        <v>1339</v>
      </c>
      <c r="BN56" s="548" t="s">
        <v>1339</v>
      </c>
      <c r="BO56" s="157" t="s">
        <v>4329</v>
      </c>
      <c r="BP56" s="548" t="s">
        <v>4228</v>
      </c>
      <c r="BQ56" s="157" t="s">
        <v>4226</v>
      </c>
      <c r="BR56" s="157"/>
    </row>
    <row r="57" spans="1:70" x14ac:dyDescent="0.25">
      <c r="A57" s="19" t="s">
        <v>3686</v>
      </c>
      <c r="B57" s="37" t="s">
        <v>4904</v>
      </c>
      <c r="C57" s="90">
        <v>45531.507731481484</v>
      </c>
      <c r="D57" s="114">
        <v>45531.257731481484</v>
      </c>
      <c r="E57" s="38">
        <v>45531</v>
      </c>
      <c r="F57" s="91">
        <v>2024</v>
      </c>
      <c r="G57" s="93">
        <v>8</v>
      </c>
      <c r="H57" s="37" t="s">
        <v>475</v>
      </c>
      <c r="I57" s="37"/>
      <c r="J57" s="103">
        <v>-92.196781737796243</v>
      </c>
      <c r="K57" s="40">
        <v>43.810568875835486</v>
      </c>
      <c r="L57" s="74"/>
      <c r="M57" s="272" t="s">
        <v>4905</v>
      </c>
      <c r="N57" s="74">
        <v>1</v>
      </c>
      <c r="O57" s="94"/>
      <c r="P57" s="118">
        <v>0</v>
      </c>
      <c r="Q57" s="510"/>
      <c r="R57" s="513"/>
      <c r="S57" s="41"/>
      <c r="T57" s="40"/>
      <c r="U57" s="40"/>
      <c r="V57" s="119">
        <v>1</v>
      </c>
      <c r="W57" s="40">
        <v>0</v>
      </c>
      <c r="X57" s="119">
        <v>1</v>
      </c>
      <c r="Y57" s="40">
        <v>58</v>
      </c>
      <c r="Z57" s="119">
        <v>1</v>
      </c>
      <c r="AA57" s="368">
        <v>0</v>
      </c>
      <c r="AB57" s="535">
        <v>5</v>
      </c>
      <c r="AC57" s="39" t="s">
        <v>160</v>
      </c>
      <c r="AD57" s="75" t="s">
        <v>10</v>
      </c>
      <c r="AE57" s="95">
        <v>0</v>
      </c>
      <c r="AF57" s="75">
        <v>0</v>
      </c>
      <c r="AG57" s="75">
        <v>0</v>
      </c>
      <c r="AH57" s="75">
        <v>0</v>
      </c>
      <c r="AI57" s="75">
        <v>0</v>
      </c>
      <c r="AJ57" s="75">
        <v>0</v>
      </c>
      <c r="AK57" s="75">
        <v>0</v>
      </c>
      <c r="AL57" s="95">
        <v>1</v>
      </c>
      <c r="AM57" s="92">
        <v>0</v>
      </c>
      <c r="AN57" s="79" t="s">
        <v>80</v>
      </c>
      <c r="AO57" s="75">
        <v>1</v>
      </c>
      <c r="AP57" s="75" t="s">
        <v>84</v>
      </c>
      <c r="AQ57" s="122">
        <v>1</v>
      </c>
      <c r="AR57" s="515" t="s">
        <v>35</v>
      </c>
      <c r="AS57" s="95">
        <v>0</v>
      </c>
      <c r="AT57" s="75">
        <v>1</v>
      </c>
      <c r="AU57" s="75">
        <v>0</v>
      </c>
      <c r="AV57" s="75">
        <v>0</v>
      </c>
      <c r="AW57" s="123">
        <v>0</v>
      </c>
      <c r="AX57" s="516" t="s">
        <v>4906</v>
      </c>
      <c r="AY57" s="75">
        <v>1</v>
      </c>
      <c r="AZ57" s="77" t="s">
        <v>131</v>
      </c>
      <c r="BA57" s="78" t="s">
        <v>131</v>
      </c>
      <c r="BB57" s="78" t="s">
        <v>131</v>
      </c>
      <c r="BC57" s="78" t="s">
        <v>131</v>
      </c>
      <c r="BD57" s="78" t="s">
        <v>131</v>
      </c>
      <c r="BE57" s="78" t="s">
        <v>131</v>
      </c>
      <c r="BF57" s="78" t="s">
        <v>131</v>
      </c>
      <c r="BG57" s="78" t="s">
        <v>132</v>
      </c>
      <c r="BH57" s="75" t="s">
        <v>5970</v>
      </c>
      <c r="BI57" s="295" t="s">
        <v>2260</v>
      </c>
      <c r="BJ57" s="546">
        <v>1</v>
      </c>
      <c r="BK57" s="294" t="s">
        <v>16</v>
      </c>
      <c r="BL57" s="157" t="s">
        <v>16</v>
      </c>
      <c r="BM57" s="548" t="s">
        <v>1339</v>
      </c>
      <c r="BN57" s="548" t="s">
        <v>1339</v>
      </c>
      <c r="BO57" s="157" t="s">
        <v>4726</v>
      </c>
      <c r="BP57" s="548" t="s">
        <v>2260</v>
      </c>
      <c r="BQ57" s="157" t="s">
        <v>4226</v>
      </c>
      <c r="BR57" s="157"/>
    </row>
    <row r="58" spans="1:70" x14ac:dyDescent="0.25">
      <c r="A58" s="19" t="s">
        <v>3686</v>
      </c>
      <c r="B58" s="37" t="s">
        <v>4907</v>
      </c>
      <c r="C58" s="90">
        <v>45531.50172453704</v>
      </c>
      <c r="D58" s="114">
        <v>45531.25172453704</v>
      </c>
      <c r="E58" s="38">
        <v>45531</v>
      </c>
      <c r="F58" s="91">
        <v>2024</v>
      </c>
      <c r="G58" s="93">
        <v>8</v>
      </c>
      <c r="H58" s="37" t="s">
        <v>475</v>
      </c>
      <c r="I58" s="37"/>
      <c r="J58" s="103">
        <v>-92.196138929661544</v>
      </c>
      <c r="K58" s="40">
        <v>43.811007589142591</v>
      </c>
      <c r="L58" s="74"/>
      <c r="M58" s="272" t="s">
        <v>4908</v>
      </c>
      <c r="N58" s="74">
        <v>1</v>
      </c>
      <c r="O58" s="94"/>
      <c r="P58" s="118">
        <v>1</v>
      </c>
      <c r="Q58" s="510">
        <v>180</v>
      </c>
      <c r="R58" s="513">
        <v>180</v>
      </c>
      <c r="S58" s="41"/>
      <c r="T58" s="40"/>
      <c r="U58" s="40">
        <v>8</v>
      </c>
      <c r="V58" s="119">
        <v>1</v>
      </c>
      <c r="W58" s="40">
        <v>0</v>
      </c>
      <c r="X58" s="119">
        <v>1</v>
      </c>
      <c r="Y58" s="40">
        <v>72</v>
      </c>
      <c r="Z58" s="119">
        <v>1</v>
      </c>
      <c r="AA58" s="368">
        <v>0</v>
      </c>
      <c r="AB58" s="535">
        <v>5</v>
      </c>
      <c r="AC58" s="39" t="s">
        <v>160</v>
      </c>
      <c r="AD58" s="75" t="s">
        <v>10</v>
      </c>
      <c r="AE58" s="95">
        <v>0</v>
      </c>
      <c r="AF58" s="75">
        <v>0</v>
      </c>
      <c r="AG58" s="75">
        <v>0</v>
      </c>
      <c r="AH58" s="75">
        <v>0</v>
      </c>
      <c r="AI58" s="75">
        <v>0</v>
      </c>
      <c r="AJ58" s="75">
        <v>0</v>
      </c>
      <c r="AK58" s="75">
        <v>0</v>
      </c>
      <c r="AL58" s="95">
        <v>1</v>
      </c>
      <c r="AM58" s="92">
        <v>0</v>
      </c>
      <c r="AN58" s="79" t="s">
        <v>81</v>
      </c>
      <c r="AO58" s="75">
        <v>1</v>
      </c>
      <c r="AP58" s="75" t="s">
        <v>84</v>
      </c>
      <c r="AQ58" s="122">
        <v>1</v>
      </c>
      <c r="AR58" s="515" t="s">
        <v>35</v>
      </c>
      <c r="AS58" s="95">
        <v>0</v>
      </c>
      <c r="AT58" s="75">
        <v>1</v>
      </c>
      <c r="AU58" s="75">
        <v>0</v>
      </c>
      <c r="AV58" s="75">
        <v>0</v>
      </c>
      <c r="AW58" s="123">
        <v>0</v>
      </c>
      <c r="AX58" s="516" t="s">
        <v>4909</v>
      </c>
      <c r="AY58" s="75">
        <v>1</v>
      </c>
      <c r="AZ58" s="77" t="s">
        <v>131</v>
      </c>
      <c r="BA58" s="78" t="s">
        <v>131</v>
      </c>
      <c r="BB58" s="78" t="s">
        <v>131</v>
      </c>
      <c r="BC58" s="78" t="s">
        <v>131</v>
      </c>
      <c r="BD58" s="78" t="s">
        <v>131</v>
      </c>
      <c r="BE58" s="78" t="s">
        <v>131</v>
      </c>
      <c r="BF58" s="78" t="s">
        <v>131</v>
      </c>
      <c r="BG58" s="78" t="s">
        <v>132</v>
      </c>
      <c r="BH58" s="75" t="s">
        <v>5970</v>
      </c>
      <c r="BI58" s="295" t="s">
        <v>2260</v>
      </c>
      <c r="BJ58" s="546">
        <v>1</v>
      </c>
      <c r="BK58" s="294" t="s">
        <v>16</v>
      </c>
      <c r="BL58" s="157" t="s">
        <v>16</v>
      </c>
      <c r="BM58" s="548" t="s">
        <v>1339</v>
      </c>
      <c r="BN58" s="548" t="s">
        <v>1339</v>
      </c>
      <c r="BO58" s="157" t="s">
        <v>4726</v>
      </c>
      <c r="BP58" s="548" t="s">
        <v>2260</v>
      </c>
      <c r="BQ58" s="157" t="s">
        <v>4226</v>
      </c>
      <c r="BR58" s="157"/>
    </row>
    <row r="59" spans="1:70" x14ac:dyDescent="0.25">
      <c r="A59" s="19" t="s">
        <v>3686</v>
      </c>
      <c r="B59" s="37" t="s">
        <v>4910</v>
      </c>
      <c r="C59" s="90">
        <v>45530.708993055552</v>
      </c>
      <c r="D59" s="114">
        <v>45530.458993055552</v>
      </c>
      <c r="E59" s="38">
        <v>45530</v>
      </c>
      <c r="F59" s="91">
        <v>2024</v>
      </c>
      <c r="G59" s="93">
        <v>8</v>
      </c>
      <c r="H59" s="37" t="s">
        <v>201</v>
      </c>
      <c r="I59" s="37"/>
      <c r="J59" s="103">
        <v>-92.732258244854719</v>
      </c>
      <c r="K59" s="40">
        <v>44.83106254641482</v>
      </c>
      <c r="L59" s="74"/>
      <c r="M59" s="272" t="s">
        <v>16</v>
      </c>
      <c r="N59" s="74">
        <v>0</v>
      </c>
      <c r="O59" s="94"/>
      <c r="P59" s="118">
        <v>1</v>
      </c>
      <c r="Q59" s="510">
        <v>180</v>
      </c>
      <c r="R59" s="513">
        <v>180</v>
      </c>
      <c r="S59" s="41"/>
      <c r="T59" s="40"/>
      <c r="U59" s="40">
        <v>8</v>
      </c>
      <c r="V59" s="119">
        <v>1</v>
      </c>
      <c r="W59" s="40">
        <v>0</v>
      </c>
      <c r="X59" s="119">
        <v>1</v>
      </c>
      <c r="Y59" s="40">
        <v>64</v>
      </c>
      <c r="Z59" s="119">
        <v>1</v>
      </c>
      <c r="AA59" s="368">
        <v>0</v>
      </c>
      <c r="AB59" s="535">
        <v>5</v>
      </c>
      <c r="AC59" s="39" t="s">
        <v>160</v>
      </c>
      <c r="AD59" s="75" t="s">
        <v>8</v>
      </c>
      <c r="AE59" s="95">
        <v>0</v>
      </c>
      <c r="AF59" s="75">
        <v>1</v>
      </c>
      <c r="AG59" s="75">
        <v>0</v>
      </c>
      <c r="AH59" s="75">
        <v>0</v>
      </c>
      <c r="AI59" s="75">
        <v>0</v>
      </c>
      <c r="AJ59" s="75">
        <v>0</v>
      </c>
      <c r="AK59" s="75">
        <v>0</v>
      </c>
      <c r="AL59" s="95">
        <v>0</v>
      </c>
      <c r="AM59" s="92">
        <v>0</v>
      </c>
      <c r="AN59" s="79" t="s">
        <v>80</v>
      </c>
      <c r="AO59" s="75">
        <v>1</v>
      </c>
      <c r="AP59" s="75" t="s">
        <v>83</v>
      </c>
      <c r="AQ59" s="122">
        <v>1</v>
      </c>
      <c r="AR59" s="515" t="s">
        <v>10</v>
      </c>
      <c r="AS59" s="95">
        <v>0</v>
      </c>
      <c r="AT59" s="75">
        <v>0</v>
      </c>
      <c r="AU59" s="75">
        <v>0</v>
      </c>
      <c r="AV59" s="75">
        <v>0</v>
      </c>
      <c r="AW59" s="123">
        <v>0</v>
      </c>
      <c r="AX59" s="516" t="s">
        <v>1537</v>
      </c>
      <c r="AY59" s="75">
        <v>1</v>
      </c>
      <c r="AZ59" s="77" t="s">
        <v>131</v>
      </c>
      <c r="BA59" s="78" t="s">
        <v>132</v>
      </c>
      <c r="BB59" s="78" t="s">
        <v>131</v>
      </c>
      <c r="BC59" s="78" t="s">
        <v>131</v>
      </c>
      <c r="BD59" s="78" t="s">
        <v>131</v>
      </c>
      <c r="BE59" s="78" t="s">
        <v>131</v>
      </c>
      <c r="BF59" s="78" t="s">
        <v>131</v>
      </c>
      <c r="BG59" s="78" t="s">
        <v>131</v>
      </c>
      <c r="BH59" s="75" t="s">
        <v>5970</v>
      </c>
      <c r="BI59" s="295" t="s">
        <v>2227</v>
      </c>
      <c r="BJ59" s="546">
        <v>1</v>
      </c>
      <c r="BK59" s="294" t="s">
        <v>16</v>
      </c>
      <c r="BL59" s="157" t="s">
        <v>16</v>
      </c>
      <c r="BM59" s="548" t="s">
        <v>578</v>
      </c>
      <c r="BN59" s="548" t="s">
        <v>578</v>
      </c>
      <c r="BO59" s="157" t="s">
        <v>4341</v>
      </c>
      <c r="BP59" s="548" t="s">
        <v>4343</v>
      </c>
      <c r="BQ59" s="157" t="s">
        <v>4309</v>
      </c>
      <c r="BR59" s="157"/>
    </row>
    <row r="60" spans="1:70" x14ac:dyDescent="0.25">
      <c r="A60" s="19" t="s">
        <v>3686</v>
      </c>
      <c r="B60" s="37" t="s">
        <v>4911</v>
      </c>
      <c r="C60" s="90">
        <v>45530.672708333332</v>
      </c>
      <c r="D60" s="114">
        <v>45530.422708333332</v>
      </c>
      <c r="E60" s="38">
        <v>45530</v>
      </c>
      <c r="F60" s="91">
        <v>2024</v>
      </c>
      <c r="G60" s="93">
        <v>8</v>
      </c>
      <c r="H60" s="37" t="s">
        <v>475</v>
      </c>
      <c r="I60" s="37"/>
      <c r="J60" s="103">
        <v>-92.650193540912838</v>
      </c>
      <c r="K60" s="40">
        <v>44.075204198029937</v>
      </c>
      <c r="L60" s="74"/>
      <c r="M60" s="272" t="s">
        <v>16</v>
      </c>
      <c r="N60" s="74">
        <v>0</v>
      </c>
      <c r="O60" s="94"/>
      <c r="P60" s="118">
        <v>0</v>
      </c>
      <c r="Q60" s="510"/>
      <c r="R60" s="513"/>
      <c r="S60" s="41"/>
      <c r="T60" s="40"/>
      <c r="U60" s="40"/>
      <c r="V60" s="119">
        <v>0</v>
      </c>
      <c r="W60" s="40"/>
      <c r="X60" s="119">
        <v>1</v>
      </c>
      <c r="Y60" s="40">
        <v>69</v>
      </c>
      <c r="Z60" s="119">
        <v>1</v>
      </c>
      <c r="AA60" s="368">
        <v>0</v>
      </c>
      <c r="AB60" s="535">
        <v>5</v>
      </c>
      <c r="AC60" s="39" t="s">
        <v>160</v>
      </c>
      <c r="AD60" s="75" t="s">
        <v>10</v>
      </c>
      <c r="AE60" s="95">
        <v>0</v>
      </c>
      <c r="AF60" s="75">
        <v>0</v>
      </c>
      <c r="AG60" s="75">
        <v>0</v>
      </c>
      <c r="AH60" s="75">
        <v>0</v>
      </c>
      <c r="AI60" s="75">
        <v>0</v>
      </c>
      <c r="AJ60" s="75">
        <v>0</v>
      </c>
      <c r="AK60" s="75">
        <v>0</v>
      </c>
      <c r="AL60" s="95">
        <v>1</v>
      </c>
      <c r="AM60" s="92">
        <v>0</v>
      </c>
      <c r="AN60" s="79" t="s">
        <v>81</v>
      </c>
      <c r="AO60" s="75">
        <v>1</v>
      </c>
      <c r="AP60" s="75" t="s">
        <v>84</v>
      </c>
      <c r="AQ60" s="122">
        <v>1</v>
      </c>
      <c r="AR60" s="515" t="s">
        <v>10</v>
      </c>
      <c r="AS60" s="95">
        <v>0</v>
      </c>
      <c r="AT60" s="75">
        <v>0</v>
      </c>
      <c r="AU60" s="75">
        <v>0</v>
      </c>
      <c r="AV60" s="75">
        <v>0</v>
      </c>
      <c r="AW60" s="123">
        <v>0</v>
      </c>
      <c r="AX60" s="516"/>
      <c r="AY60" s="75">
        <v>0</v>
      </c>
      <c r="AZ60" s="77" t="s">
        <v>131</v>
      </c>
      <c r="BA60" s="78" t="s">
        <v>131</v>
      </c>
      <c r="BB60" s="78" t="s">
        <v>131</v>
      </c>
      <c r="BC60" s="78" t="s">
        <v>131</v>
      </c>
      <c r="BD60" s="78" t="s">
        <v>131</v>
      </c>
      <c r="BE60" s="78" t="s">
        <v>131</v>
      </c>
      <c r="BF60" s="78" t="s">
        <v>131</v>
      </c>
      <c r="BG60" s="78" t="s">
        <v>132</v>
      </c>
      <c r="BH60" s="75" t="s">
        <v>5970</v>
      </c>
      <c r="BI60" s="295" t="s">
        <v>5823</v>
      </c>
      <c r="BJ60" s="546" t="s">
        <v>16</v>
      </c>
      <c r="BK60" s="294" t="s">
        <v>16</v>
      </c>
      <c r="BL60" s="157" t="s">
        <v>16</v>
      </c>
      <c r="BM60" s="548" t="s">
        <v>1339</v>
      </c>
      <c r="BN60" s="548" t="s">
        <v>1339</v>
      </c>
      <c r="BO60" s="157" t="s">
        <v>5822</v>
      </c>
      <c r="BP60" s="548" t="s">
        <v>5823</v>
      </c>
      <c r="BQ60" s="157" t="s">
        <v>5821</v>
      </c>
      <c r="BR60" s="157"/>
    </row>
    <row r="61" spans="1:70" x14ac:dyDescent="0.25">
      <c r="A61" s="19" t="s">
        <v>3686</v>
      </c>
      <c r="B61" s="37" t="s">
        <v>4912</v>
      </c>
      <c r="C61" s="90">
        <v>45528.980567129627</v>
      </c>
      <c r="D61" s="114">
        <v>45528.730567129627</v>
      </c>
      <c r="E61" s="38">
        <v>45528</v>
      </c>
      <c r="F61" s="91">
        <v>2024</v>
      </c>
      <c r="G61" s="93">
        <v>8</v>
      </c>
      <c r="H61" s="37" t="s">
        <v>606</v>
      </c>
      <c r="I61" s="37" t="s">
        <v>16</v>
      </c>
      <c r="J61" s="103">
        <v>-92.23630889492334</v>
      </c>
      <c r="K61" s="40">
        <v>44.230629511110365</v>
      </c>
      <c r="L61" s="74"/>
      <c r="M61" s="272" t="s">
        <v>4913</v>
      </c>
      <c r="N61" s="74">
        <v>1</v>
      </c>
      <c r="O61" s="94"/>
      <c r="P61" s="118">
        <v>1</v>
      </c>
      <c r="Q61" s="510">
        <v>180</v>
      </c>
      <c r="R61" s="513">
        <v>180</v>
      </c>
      <c r="S61" s="41"/>
      <c r="T61" s="40"/>
      <c r="U61" s="40">
        <v>8</v>
      </c>
      <c r="V61" s="119">
        <v>1</v>
      </c>
      <c r="W61" s="40">
        <v>100</v>
      </c>
      <c r="X61" s="119">
        <v>1</v>
      </c>
      <c r="Y61" s="40">
        <v>62</v>
      </c>
      <c r="Z61" s="119">
        <v>1</v>
      </c>
      <c r="AA61" s="368">
        <v>0</v>
      </c>
      <c r="AB61" s="535">
        <v>2</v>
      </c>
      <c r="AC61" s="39" t="s">
        <v>160</v>
      </c>
      <c r="AD61" s="75" t="s">
        <v>10</v>
      </c>
      <c r="AE61" s="95">
        <v>0</v>
      </c>
      <c r="AF61" s="75">
        <v>0</v>
      </c>
      <c r="AG61" s="75">
        <v>0</v>
      </c>
      <c r="AH61" s="75">
        <v>0</v>
      </c>
      <c r="AI61" s="75">
        <v>0</v>
      </c>
      <c r="AJ61" s="75">
        <v>0</v>
      </c>
      <c r="AK61" s="75">
        <v>0</v>
      </c>
      <c r="AL61" s="95">
        <v>1</v>
      </c>
      <c r="AM61" s="92">
        <v>0</v>
      </c>
      <c r="AN61" s="79" t="s">
        <v>80</v>
      </c>
      <c r="AO61" s="75">
        <v>1</v>
      </c>
      <c r="AP61" s="75" t="s">
        <v>83</v>
      </c>
      <c r="AQ61" s="122">
        <v>1</v>
      </c>
      <c r="AR61" s="515" t="s">
        <v>10</v>
      </c>
      <c r="AS61" s="95">
        <v>0</v>
      </c>
      <c r="AT61" s="75">
        <v>0</v>
      </c>
      <c r="AU61" s="75">
        <v>0</v>
      </c>
      <c r="AV61" s="75">
        <v>0</v>
      </c>
      <c r="AW61" s="123">
        <v>0</v>
      </c>
      <c r="AX61" s="516" t="s">
        <v>4914</v>
      </c>
      <c r="AY61" s="75">
        <v>1</v>
      </c>
      <c r="AZ61" s="77" t="s">
        <v>131</v>
      </c>
      <c r="BA61" s="78" t="s">
        <v>131</v>
      </c>
      <c r="BB61" s="78" t="s">
        <v>131</v>
      </c>
      <c r="BC61" s="78" t="s">
        <v>131</v>
      </c>
      <c r="BD61" s="78" t="s">
        <v>131</v>
      </c>
      <c r="BE61" s="78" t="s">
        <v>131</v>
      </c>
      <c r="BF61" s="78" t="s">
        <v>131</v>
      </c>
      <c r="BG61" s="78" t="s">
        <v>132</v>
      </c>
      <c r="BH61" s="75" t="s">
        <v>5970</v>
      </c>
      <c r="BI61" s="295" t="s">
        <v>3966</v>
      </c>
      <c r="BJ61" s="546">
        <v>1</v>
      </c>
      <c r="BK61" s="294">
        <v>1</v>
      </c>
      <c r="BL61" s="157">
        <v>1</v>
      </c>
      <c r="BM61" s="548" t="s">
        <v>1339</v>
      </c>
      <c r="BN61" s="548" t="s">
        <v>1339</v>
      </c>
      <c r="BO61" s="157" t="s">
        <v>4334</v>
      </c>
      <c r="BP61" s="548" t="s">
        <v>3966</v>
      </c>
      <c r="BQ61" s="157" t="s">
        <v>4330</v>
      </c>
      <c r="BR61" s="157"/>
    </row>
    <row r="62" spans="1:70" x14ac:dyDescent="0.25">
      <c r="A62" s="19" t="s">
        <v>3686</v>
      </c>
      <c r="B62" s="37" t="s">
        <v>4915</v>
      </c>
      <c r="C62" s="90">
        <v>45528.952523148146</v>
      </c>
      <c r="D62" s="114">
        <v>45528.702523148146</v>
      </c>
      <c r="E62" s="38">
        <v>45528</v>
      </c>
      <c r="F62" s="91">
        <v>2024</v>
      </c>
      <c r="G62" s="93">
        <v>8</v>
      </c>
      <c r="H62" s="37" t="s">
        <v>606</v>
      </c>
      <c r="I62" s="37"/>
      <c r="J62" s="103">
        <v>-92.14924942551248</v>
      </c>
      <c r="K62" s="40">
        <v>44.24881004966683</v>
      </c>
      <c r="L62" s="74"/>
      <c r="M62" s="272" t="s">
        <v>4916</v>
      </c>
      <c r="N62" s="74">
        <v>1</v>
      </c>
      <c r="O62" s="94"/>
      <c r="P62" s="118">
        <v>1</v>
      </c>
      <c r="Q62" s="510">
        <v>0</v>
      </c>
      <c r="R62" s="513">
        <v>30</v>
      </c>
      <c r="S62" s="41"/>
      <c r="T62" s="40"/>
      <c r="U62" s="40">
        <v>7</v>
      </c>
      <c r="V62" s="119">
        <v>1</v>
      </c>
      <c r="W62" s="40">
        <v>100</v>
      </c>
      <c r="X62" s="119">
        <v>1</v>
      </c>
      <c r="Y62" s="40">
        <v>63</v>
      </c>
      <c r="Z62" s="119">
        <v>1</v>
      </c>
      <c r="AA62" s="368">
        <v>0</v>
      </c>
      <c r="AB62" s="535">
        <v>5</v>
      </c>
      <c r="AC62" s="39" t="s">
        <v>160</v>
      </c>
      <c r="AD62" s="75" t="s">
        <v>10</v>
      </c>
      <c r="AE62" s="95">
        <v>0</v>
      </c>
      <c r="AF62" s="75">
        <v>0</v>
      </c>
      <c r="AG62" s="75">
        <v>0</v>
      </c>
      <c r="AH62" s="75">
        <v>0</v>
      </c>
      <c r="AI62" s="75">
        <v>0</v>
      </c>
      <c r="AJ62" s="75">
        <v>0</v>
      </c>
      <c r="AK62" s="75">
        <v>0</v>
      </c>
      <c r="AL62" s="95">
        <v>1</v>
      </c>
      <c r="AM62" s="92">
        <v>0</v>
      </c>
      <c r="AN62" s="79" t="s">
        <v>80</v>
      </c>
      <c r="AO62" s="75">
        <v>1</v>
      </c>
      <c r="AP62" s="75" t="s">
        <v>83</v>
      </c>
      <c r="AQ62" s="122">
        <v>1</v>
      </c>
      <c r="AR62" s="515" t="s">
        <v>10</v>
      </c>
      <c r="AS62" s="95">
        <v>0</v>
      </c>
      <c r="AT62" s="75">
        <v>0</v>
      </c>
      <c r="AU62" s="75">
        <v>0</v>
      </c>
      <c r="AV62" s="75">
        <v>0</v>
      </c>
      <c r="AW62" s="123">
        <v>0</v>
      </c>
      <c r="AX62" s="516" t="s">
        <v>4917</v>
      </c>
      <c r="AY62" s="75">
        <v>1</v>
      </c>
      <c r="AZ62" s="77" t="s">
        <v>131</v>
      </c>
      <c r="BA62" s="78" t="s">
        <v>131</v>
      </c>
      <c r="BB62" s="78" t="s">
        <v>131</v>
      </c>
      <c r="BC62" s="78" t="s">
        <v>131</v>
      </c>
      <c r="BD62" s="78" t="s">
        <v>131</v>
      </c>
      <c r="BE62" s="78" t="s">
        <v>131</v>
      </c>
      <c r="BF62" s="78" t="s">
        <v>131</v>
      </c>
      <c r="BG62" s="78" t="s">
        <v>132</v>
      </c>
      <c r="BH62" s="75" t="s">
        <v>5970</v>
      </c>
      <c r="BI62" s="295" t="s">
        <v>317</v>
      </c>
      <c r="BJ62" s="546">
        <v>1</v>
      </c>
      <c r="BK62" s="294">
        <v>1</v>
      </c>
      <c r="BL62" s="157">
        <v>1</v>
      </c>
      <c r="BM62" s="548" t="s">
        <v>1339</v>
      </c>
      <c r="BN62" s="548" t="s">
        <v>1339</v>
      </c>
      <c r="BO62" s="157" t="s">
        <v>4358</v>
      </c>
      <c r="BP62" s="548" t="s">
        <v>317</v>
      </c>
      <c r="BQ62" s="157" t="s">
        <v>4330</v>
      </c>
      <c r="BR62" s="157"/>
    </row>
    <row r="63" spans="1:70" x14ac:dyDescent="0.25">
      <c r="A63" s="19" t="s">
        <v>3686</v>
      </c>
      <c r="B63" s="37" t="s">
        <v>4918</v>
      </c>
      <c r="C63" s="90">
        <v>45527.919641203705</v>
      </c>
      <c r="D63" s="114">
        <v>45527.669641203705</v>
      </c>
      <c r="E63" s="38">
        <v>45527</v>
      </c>
      <c r="F63" s="91">
        <v>2024</v>
      </c>
      <c r="G63" s="93">
        <v>8</v>
      </c>
      <c r="H63" s="37" t="s">
        <v>2457</v>
      </c>
      <c r="I63" s="37" t="s">
        <v>337</v>
      </c>
      <c r="J63" s="103">
        <v>-92.644986400009984</v>
      </c>
      <c r="K63" s="40">
        <v>44.843550129247411</v>
      </c>
      <c r="L63" s="74"/>
      <c r="M63" s="272" t="s">
        <v>4919</v>
      </c>
      <c r="N63" s="74">
        <v>1</v>
      </c>
      <c r="O63" s="94"/>
      <c r="P63" s="118">
        <v>1</v>
      </c>
      <c r="Q63" s="510">
        <v>180</v>
      </c>
      <c r="R63" s="513">
        <v>180</v>
      </c>
      <c r="S63" s="41"/>
      <c r="T63" s="40"/>
      <c r="U63" s="40">
        <v>8</v>
      </c>
      <c r="V63" s="119">
        <v>1</v>
      </c>
      <c r="W63" s="40">
        <v>0</v>
      </c>
      <c r="X63" s="119">
        <v>1</v>
      </c>
      <c r="Y63" s="40">
        <v>61</v>
      </c>
      <c r="Z63" s="119">
        <v>1</v>
      </c>
      <c r="AA63" s="368">
        <v>0</v>
      </c>
      <c r="AB63" s="535">
        <v>5</v>
      </c>
      <c r="AC63" s="39" t="s">
        <v>160</v>
      </c>
      <c r="AD63" s="75" t="s">
        <v>10</v>
      </c>
      <c r="AE63" s="95">
        <v>0</v>
      </c>
      <c r="AF63" s="75">
        <v>0</v>
      </c>
      <c r="AG63" s="75">
        <v>0</v>
      </c>
      <c r="AH63" s="75">
        <v>0</v>
      </c>
      <c r="AI63" s="75">
        <v>0</v>
      </c>
      <c r="AJ63" s="75">
        <v>0</v>
      </c>
      <c r="AK63" s="75">
        <v>0</v>
      </c>
      <c r="AL63" s="95">
        <v>1</v>
      </c>
      <c r="AM63" s="92">
        <v>0</v>
      </c>
      <c r="AN63" s="79" t="s">
        <v>80</v>
      </c>
      <c r="AO63" s="75">
        <v>1</v>
      </c>
      <c r="AP63" s="75" t="s">
        <v>83</v>
      </c>
      <c r="AQ63" s="122">
        <v>1</v>
      </c>
      <c r="AR63" s="515" t="s">
        <v>10</v>
      </c>
      <c r="AS63" s="95">
        <v>0</v>
      </c>
      <c r="AT63" s="75">
        <v>0</v>
      </c>
      <c r="AU63" s="75">
        <v>0</v>
      </c>
      <c r="AV63" s="75">
        <v>0</v>
      </c>
      <c r="AW63" s="123">
        <v>0</v>
      </c>
      <c r="AX63" s="516" t="s">
        <v>4920</v>
      </c>
      <c r="AY63" s="75">
        <v>1</v>
      </c>
      <c r="AZ63" s="77" t="s">
        <v>131</v>
      </c>
      <c r="BA63" s="78" t="s">
        <v>131</v>
      </c>
      <c r="BB63" s="78" t="s">
        <v>131</v>
      </c>
      <c r="BC63" s="78" t="s">
        <v>131</v>
      </c>
      <c r="BD63" s="78" t="s">
        <v>131</v>
      </c>
      <c r="BE63" s="78" t="s">
        <v>131</v>
      </c>
      <c r="BF63" s="78" t="s">
        <v>131</v>
      </c>
      <c r="BG63" s="78" t="s">
        <v>132</v>
      </c>
      <c r="BH63" s="75" t="s">
        <v>5970</v>
      </c>
      <c r="BI63" s="295" t="s">
        <v>2227</v>
      </c>
      <c r="BJ63" s="546">
        <v>1</v>
      </c>
      <c r="BK63" s="294" t="s">
        <v>16</v>
      </c>
      <c r="BL63" s="157" t="s">
        <v>16</v>
      </c>
      <c r="BM63" s="548" t="s">
        <v>578</v>
      </c>
      <c r="BN63" s="548" t="s">
        <v>578</v>
      </c>
      <c r="BO63" s="157" t="s">
        <v>4341</v>
      </c>
      <c r="BP63" s="548" t="s">
        <v>4343</v>
      </c>
      <c r="BQ63" s="157" t="s">
        <v>4309</v>
      </c>
      <c r="BR63" s="157"/>
    </row>
    <row r="64" spans="1:70" x14ac:dyDescent="0.25">
      <c r="A64" s="19" t="s">
        <v>3686</v>
      </c>
      <c r="B64" s="37" t="s">
        <v>4921</v>
      </c>
      <c r="C64" s="90">
        <v>45524.677025462966</v>
      </c>
      <c r="D64" s="114">
        <v>45524.427025462966</v>
      </c>
      <c r="E64" s="38">
        <v>45524</v>
      </c>
      <c r="F64" s="91">
        <v>2024</v>
      </c>
      <c r="G64" s="93">
        <v>8</v>
      </c>
      <c r="H64" s="37" t="s">
        <v>201</v>
      </c>
      <c r="I64" s="37"/>
      <c r="J64" s="103">
        <v>-92.732155574827758</v>
      </c>
      <c r="K64" s="40">
        <v>44.831131492223314</v>
      </c>
      <c r="L64" s="74"/>
      <c r="M64" s="272" t="s">
        <v>16</v>
      </c>
      <c r="N64" s="74">
        <v>0</v>
      </c>
      <c r="O64" s="94"/>
      <c r="P64" s="118">
        <v>1</v>
      </c>
      <c r="Q64" s="510">
        <v>180</v>
      </c>
      <c r="R64" s="513">
        <v>180</v>
      </c>
      <c r="S64" s="41"/>
      <c r="T64" s="40"/>
      <c r="U64" s="40">
        <v>8</v>
      </c>
      <c r="V64" s="119">
        <v>1</v>
      </c>
      <c r="W64" s="40">
        <v>0</v>
      </c>
      <c r="X64" s="119">
        <v>1</v>
      </c>
      <c r="Y64" s="40">
        <v>60</v>
      </c>
      <c r="Z64" s="119">
        <v>1</v>
      </c>
      <c r="AA64" s="368">
        <v>0</v>
      </c>
      <c r="AB64" s="535">
        <v>5</v>
      </c>
      <c r="AC64" s="39" t="s">
        <v>160</v>
      </c>
      <c r="AD64" s="75" t="s">
        <v>8</v>
      </c>
      <c r="AE64" s="95">
        <v>0</v>
      </c>
      <c r="AF64" s="75">
        <v>1</v>
      </c>
      <c r="AG64" s="75">
        <v>0</v>
      </c>
      <c r="AH64" s="75">
        <v>0</v>
      </c>
      <c r="AI64" s="75">
        <v>0</v>
      </c>
      <c r="AJ64" s="75">
        <v>0</v>
      </c>
      <c r="AK64" s="75">
        <v>0</v>
      </c>
      <c r="AL64" s="95">
        <v>0</v>
      </c>
      <c r="AM64" s="92">
        <v>0</v>
      </c>
      <c r="AN64" s="79" t="s">
        <v>80</v>
      </c>
      <c r="AO64" s="75">
        <v>1</v>
      </c>
      <c r="AP64" s="75" t="s">
        <v>83</v>
      </c>
      <c r="AQ64" s="122">
        <v>1</v>
      </c>
      <c r="AR64" s="515" t="s">
        <v>10</v>
      </c>
      <c r="AS64" s="95">
        <v>0</v>
      </c>
      <c r="AT64" s="75">
        <v>0</v>
      </c>
      <c r="AU64" s="75">
        <v>0</v>
      </c>
      <c r="AV64" s="75">
        <v>0</v>
      </c>
      <c r="AW64" s="123">
        <v>0</v>
      </c>
      <c r="AX64" s="516" t="s">
        <v>1537</v>
      </c>
      <c r="AY64" s="75">
        <v>1</v>
      </c>
      <c r="AZ64" s="77" t="s">
        <v>131</v>
      </c>
      <c r="BA64" s="78" t="s">
        <v>132</v>
      </c>
      <c r="BB64" s="78" t="s">
        <v>131</v>
      </c>
      <c r="BC64" s="78" t="s">
        <v>131</v>
      </c>
      <c r="BD64" s="78" t="s">
        <v>131</v>
      </c>
      <c r="BE64" s="78" t="s">
        <v>131</v>
      </c>
      <c r="BF64" s="78" t="s">
        <v>131</v>
      </c>
      <c r="BG64" s="78" t="s">
        <v>131</v>
      </c>
      <c r="BH64" s="75" t="s">
        <v>5970</v>
      </c>
      <c r="BI64" s="295" t="s">
        <v>2227</v>
      </c>
      <c r="BJ64" s="546">
        <v>1</v>
      </c>
      <c r="BK64" s="294" t="s">
        <v>16</v>
      </c>
      <c r="BL64" s="157" t="s">
        <v>16</v>
      </c>
      <c r="BM64" s="548" t="s">
        <v>578</v>
      </c>
      <c r="BN64" s="548" t="s">
        <v>578</v>
      </c>
      <c r="BO64" s="157" t="s">
        <v>4341</v>
      </c>
      <c r="BP64" s="548" t="s">
        <v>4343</v>
      </c>
      <c r="BQ64" s="157" t="s">
        <v>4309</v>
      </c>
      <c r="BR64" s="157"/>
    </row>
    <row r="65" spans="1:70" x14ac:dyDescent="0.25">
      <c r="A65" s="19" t="s">
        <v>3686</v>
      </c>
      <c r="B65" s="37" t="s">
        <v>4922</v>
      </c>
      <c r="C65" s="90">
        <v>45523.70003472222</v>
      </c>
      <c r="D65" s="114">
        <v>45523.45003472222</v>
      </c>
      <c r="E65" s="38">
        <v>45523</v>
      </c>
      <c r="F65" s="91">
        <v>2024</v>
      </c>
      <c r="G65" s="93">
        <v>8</v>
      </c>
      <c r="H65" s="37" t="s">
        <v>599</v>
      </c>
      <c r="I65" s="37" t="s">
        <v>2361</v>
      </c>
      <c r="J65" s="103">
        <v>-92.442864611937196</v>
      </c>
      <c r="K65" s="40">
        <v>44.621436385366103</v>
      </c>
      <c r="L65" s="74"/>
      <c r="M65" s="272" t="s">
        <v>16</v>
      </c>
      <c r="N65" s="74">
        <v>0</v>
      </c>
      <c r="O65" s="94"/>
      <c r="P65" s="118">
        <v>1</v>
      </c>
      <c r="Q65" s="510">
        <v>120</v>
      </c>
      <c r="R65" s="513">
        <v>180</v>
      </c>
      <c r="S65" s="41"/>
      <c r="T65" s="40"/>
      <c r="U65" s="40">
        <v>8</v>
      </c>
      <c r="V65" s="119">
        <v>1</v>
      </c>
      <c r="W65" s="40">
        <v>0</v>
      </c>
      <c r="X65" s="119">
        <v>1</v>
      </c>
      <c r="Y65" s="40">
        <v>57</v>
      </c>
      <c r="Z65" s="119">
        <v>1</v>
      </c>
      <c r="AA65" s="368">
        <v>0</v>
      </c>
      <c r="AB65" s="535">
        <v>5</v>
      </c>
      <c r="AC65" s="39" t="s">
        <v>160</v>
      </c>
      <c r="AD65" s="75" t="s">
        <v>10</v>
      </c>
      <c r="AE65" s="95">
        <v>0</v>
      </c>
      <c r="AF65" s="75">
        <v>0</v>
      </c>
      <c r="AG65" s="75">
        <v>0</v>
      </c>
      <c r="AH65" s="75">
        <v>0</v>
      </c>
      <c r="AI65" s="75">
        <v>0</v>
      </c>
      <c r="AJ65" s="75">
        <v>0</v>
      </c>
      <c r="AK65" s="75">
        <v>0</v>
      </c>
      <c r="AL65" s="95">
        <v>1</v>
      </c>
      <c r="AM65" s="92">
        <v>0</v>
      </c>
      <c r="AN65" s="79" t="s">
        <v>80</v>
      </c>
      <c r="AO65" s="75">
        <v>1</v>
      </c>
      <c r="AP65" s="75" t="s">
        <v>83</v>
      </c>
      <c r="AQ65" s="122">
        <v>1</v>
      </c>
      <c r="AR65" s="515" t="s">
        <v>10</v>
      </c>
      <c r="AS65" s="95">
        <v>0</v>
      </c>
      <c r="AT65" s="75">
        <v>0</v>
      </c>
      <c r="AU65" s="75">
        <v>0</v>
      </c>
      <c r="AV65" s="75">
        <v>0</v>
      </c>
      <c r="AW65" s="123">
        <v>0</v>
      </c>
      <c r="AX65" s="516"/>
      <c r="AY65" s="75">
        <v>0</v>
      </c>
      <c r="AZ65" s="77" t="s">
        <v>131</v>
      </c>
      <c r="BA65" s="78" t="s">
        <v>131</v>
      </c>
      <c r="BB65" s="78" t="s">
        <v>131</v>
      </c>
      <c r="BC65" s="78" t="s">
        <v>131</v>
      </c>
      <c r="BD65" s="78" t="s">
        <v>131</v>
      </c>
      <c r="BE65" s="78" t="s">
        <v>131</v>
      </c>
      <c r="BF65" s="78" t="s">
        <v>131</v>
      </c>
      <c r="BG65" s="78" t="s">
        <v>132</v>
      </c>
      <c r="BH65" s="75" t="s">
        <v>5970</v>
      </c>
      <c r="BI65" s="295" t="s">
        <v>2289</v>
      </c>
      <c r="BJ65" s="546">
        <v>1</v>
      </c>
      <c r="BK65" s="294" t="s">
        <v>16</v>
      </c>
      <c r="BL65" s="157" t="s">
        <v>16</v>
      </c>
      <c r="BM65" s="548" t="s">
        <v>578</v>
      </c>
      <c r="BN65" s="548" t="s">
        <v>544</v>
      </c>
      <c r="BO65" s="157" t="s">
        <v>4283</v>
      </c>
      <c r="BP65" s="548" t="s">
        <v>2289</v>
      </c>
      <c r="BQ65" s="157" t="s">
        <v>4214</v>
      </c>
      <c r="BR65" s="157"/>
    </row>
    <row r="66" spans="1:70" x14ac:dyDescent="0.25">
      <c r="A66" s="19" t="s">
        <v>3686</v>
      </c>
      <c r="B66" s="37" t="s">
        <v>4923</v>
      </c>
      <c r="C66" s="90">
        <v>45523.679270833331</v>
      </c>
      <c r="D66" s="114">
        <v>45523.429270833331</v>
      </c>
      <c r="E66" s="38">
        <v>45523</v>
      </c>
      <c r="F66" s="91">
        <v>2024</v>
      </c>
      <c r="G66" s="93">
        <v>8</v>
      </c>
      <c r="H66" s="37" t="s">
        <v>475</v>
      </c>
      <c r="I66" s="37" t="s">
        <v>16</v>
      </c>
      <c r="J66" s="103">
        <v>-92.649726955663553</v>
      </c>
      <c r="K66" s="40">
        <v>44.075212031318344</v>
      </c>
      <c r="L66" s="74"/>
      <c r="M66" s="272" t="s">
        <v>16</v>
      </c>
      <c r="N66" s="74">
        <v>0</v>
      </c>
      <c r="O66" s="94"/>
      <c r="P66" s="118">
        <v>0</v>
      </c>
      <c r="Q66" s="510"/>
      <c r="R66" s="513"/>
      <c r="S66" s="41"/>
      <c r="T66" s="40"/>
      <c r="U66" s="40"/>
      <c r="V66" s="119">
        <v>0</v>
      </c>
      <c r="W66" s="40"/>
      <c r="X66" s="119">
        <v>1</v>
      </c>
      <c r="Y66" s="40">
        <v>62</v>
      </c>
      <c r="Z66" s="119">
        <v>1</v>
      </c>
      <c r="AA66" s="368">
        <v>0</v>
      </c>
      <c r="AB66" s="535">
        <v>5</v>
      </c>
      <c r="AC66" s="39" t="s">
        <v>160</v>
      </c>
      <c r="AD66" s="75" t="s">
        <v>16</v>
      </c>
      <c r="AE66" s="95">
        <v>-1</v>
      </c>
      <c r="AF66" s="75">
        <v>-1</v>
      </c>
      <c r="AG66" s="75">
        <v>-1</v>
      </c>
      <c r="AH66" s="75">
        <v>-1</v>
      </c>
      <c r="AI66" s="75">
        <v>-1</v>
      </c>
      <c r="AJ66" s="75">
        <v>-1</v>
      </c>
      <c r="AK66" s="75">
        <v>-1</v>
      </c>
      <c r="AL66" s="95">
        <v>-1</v>
      </c>
      <c r="AM66" s="92">
        <v>1</v>
      </c>
      <c r="AN66" s="79" t="s">
        <v>81</v>
      </c>
      <c r="AO66" s="75">
        <v>1</v>
      </c>
      <c r="AP66" s="75" t="s">
        <v>84</v>
      </c>
      <c r="AQ66" s="122">
        <v>1</v>
      </c>
      <c r="AR66" s="515" t="s">
        <v>10</v>
      </c>
      <c r="AS66" s="95">
        <v>0</v>
      </c>
      <c r="AT66" s="75">
        <v>0</v>
      </c>
      <c r="AU66" s="75">
        <v>0</v>
      </c>
      <c r="AV66" s="75">
        <v>0</v>
      </c>
      <c r="AW66" s="123">
        <v>0</v>
      </c>
      <c r="AX66" s="516" t="s">
        <v>4924</v>
      </c>
      <c r="AY66" s="75">
        <v>1</v>
      </c>
      <c r="AZ66" s="77" t="s">
        <v>5971</v>
      </c>
      <c r="BA66" s="78" t="s">
        <v>5971</v>
      </c>
      <c r="BB66" s="78" t="s">
        <v>5971</v>
      </c>
      <c r="BC66" s="78" t="s">
        <v>5971</v>
      </c>
      <c r="BD66" s="78" t="s">
        <v>5971</v>
      </c>
      <c r="BE66" s="78" t="s">
        <v>5971</v>
      </c>
      <c r="BF66" s="78" t="s">
        <v>5971</v>
      </c>
      <c r="BG66" s="78" t="s">
        <v>5971</v>
      </c>
      <c r="BH66" s="75" t="s">
        <v>5971</v>
      </c>
      <c r="BI66" s="295" t="s">
        <v>5823</v>
      </c>
      <c r="BJ66" s="546" t="s">
        <v>16</v>
      </c>
      <c r="BK66" s="294" t="s">
        <v>16</v>
      </c>
      <c r="BL66" s="157" t="s">
        <v>16</v>
      </c>
      <c r="BM66" s="548" t="s">
        <v>1339</v>
      </c>
      <c r="BN66" s="548" t="s">
        <v>1339</v>
      </c>
      <c r="BO66" s="157" t="s">
        <v>5822</v>
      </c>
      <c r="BP66" s="548" t="s">
        <v>5823</v>
      </c>
      <c r="BQ66" s="157" t="s">
        <v>5821</v>
      </c>
      <c r="BR66" s="157"/>
    </row>
    <row r="67" spans="1:70" x14ac:dyDescent="0.25">
      <c r="A67" s="19" t="s">
        <v>3686</v>
      </c>
      <c r="B67" s="37" t="s">
        <v>4925</v>
      </c>
      <c r="C67" s="90">
        <v>45516.845868055556</v>
      </c>
      <c r="D67" s="114">
        <v>45516.595868055556</v>
      </c>
      <c r="E67" s="38">
        <v>45516</v>
      </c>
      <c r="F67" s="91">
        <v>2024</v>
      </c>
      <c r="G67" s="93">
        <v>8</v>
      </c>
      <c r="H67" s="37" t="s">
        <v>475</v>
      </c>
      <c r="I67" s="37"/>
      <c r="J67" s="103">
        <v>-92.649891031354485</v>
      </c>
      <c r="K67" s="40">
        <v>44.075197111278229</v>
      </c>
      <c r="L67" s="74"/>
      <c r="M67" s="272" t="s">
        <v>16</v>
      </c>
      <c r="N67" s="74">
        <v>0</v>
      </c>
      <c r="O67" s="94"/>
      <c r="P67" s="118">
        <v>0</v>
      </c>
      <c r="Q67" s="510"/>
      <c r="R67" s="513"/>
      <c r="S67" s="41"/>
      <c r="T67" s="40"/>
      <c r="U67" s="40"/>
      <c r="V67" s="119">
        <v>0</v>
      </c>
      <c r="W67" s="40"/>
      <c r="X67" s="119">
        <v>1</v>
      </c>
      <c r="Y67" s="40">
        <v>66</v>
      </c>
      <c r="Z67" s="119">
        <v>1</v>
      </c>
      <c r="AA67" s="368">
        <v>0</v>
      </c>
      <c r="AB67" s="535">
        <v>10</v>
      </c>
      <c r="AC67" s="39" t="s">
        <v>160</v>
      </c>
      <c r="AD67" s="75" t="s">
        <v>10</v>
      </c>
      <c r="AE67" s="95">
        <v>0</v>
      </c>
      <c r="AF67" s="75">
        <v>0</v>
      </c>
      <c r="AG67" s="75">
        <v>0</v>
      </c>
      <c r="AH67" s="75">
        <v>0</v>
      </c>
      <c r="AI67" s="75">
        <v>0</v>
      </c>
      <c r="AJ67" s="75">
        <v>0</v>
      </c>
      <c r="AK67" s="75">
        <v>0</v>
      </c>
      <c r="AL67" s="95">
        <v>1</v>
      </c>
      <c r="AM67" s="92">
        <v>0</v>
      </c>
      <c r="AN67" s="79" t="s">
        <v>81</v>
      </c>
      <c r="AO67" s="75">
        <v>1</v>
      </c>
      <c r="AP67" s="75" t="s">
        <v>84</v>
      </c>
      <c r="AQ67" s="122">
        <v>1</v>
      </c>
      <c r="AR67" s="515" t="s">
        <v>10</v>
      </c>
      <c r="AS67" s="95">
        <v>0</v>
      </c>
      <c r="AT67" s="75">
        <v>0</v>
      </c>
      <c r="AU67" s="75">
        <v>0</v>
      </c>
      <c r="AV67" s="75">
        <v>0</v>
      </c>
      <c r="AW67" s="123">
        <v>0</v>
      </c>
      <c r="AX67" s="516" t="s">
        <v>4926</v>
      </c>
      <c r="AY67" s="75">
        <v>1</v>
      </c>
      <c r="AZ67" s="77" t="s">
        <v>131</v>
      </c>
      <c r="BA67" s="78" t="s">
        <v>131</v>
      </c>
      <c r="BB67" s="78" t="s">
        <v>131</v>
      </c>
      <c r="BC67" s="78" t="s">
        <v>131</v>
      </c>
      <c r="BD67" s="78" t="s">
        <v>131</v>
      </c>
      <c r="BE67" s="78" t="s">
        <v>131</v>
      </c>
      <c r="BF67" s="78" t="s">
        <v>131</v>
      </c>
      <c r="BG67" s="78" t="s">
        <v>132</v>
      </c>
      <c r="BH67" s="75" t="s">
        <v>5970</v>
      </c>
      <c r="BI67" s="295" t="s">
        <v>5823</v>
      </c>
      <c r="BJ67" s="546" t="s">
        <v>16</v>
      </c>
      <c r="BK67" s="294" t="s">
        <v>16</v>
      </c>
      <c r="BL67" s="157" t="s">
        <v>16</v>
      </c>
      <c r="BM67" s="548" t="s">
        <v>1339</v>
      </c>
      <c r="BN67" s="548" t="s">
        <v>1339</v>
      </c>
      <c r="BO67" s="157" t="s">
        <v>5822</v>
      </c>
      <c r="BP67" s="548" t="s">
        <v>5823</v>
      </c>
      <c r="BQ67" s="157" t="s">
        <v>5821</v>
      </c>
      <c r="BR67" s="157"/>
    </row>
    <row r="68" spans="1:70" x14ac:dyDescent="0.25">
      <c r="A68" s="19" t="s">
        <v>3686</v>
      </c>
      <c r="B68" s="37" t="s">
        <v>4927</v>
      </c>
      <c r="C68" s="90">
        <v>45516.792997685188</v>
      </c>
      <c r="D68" s="114">
        <v>45516.542997685188</v>
      </c>
      <c r="E68" s="38">
        <v>45516</v>
      </c>
      <c r="F68" s="91">
        <v>2024</v>
      </c>
      <c r="G68" s="93">
        <v>8</v>
      </c>
      <c r="H68" s="37" t="s">
        <v>2446</v>
      </c>
      <c r="I68" s="37"/>
      <c r="J68" s="103">
        <v>-90.280878000092997</v>
      </c>
      <c r="K68" s="40">
        <v>43.076654391165526</v>
      </c>
      <c r="L68" s="74"/>
      <c r="M68" s="272" t="s">
        <v>4928</v>
      </c>
      <c r="N68" s="74">
        <v>1</v>
      </c>
      <c r="O68" s="94"/>
      <c r="P68" s="118">
        <v>1</v>
      </c>
      <c r="Q68" s="510">
        <v>180</v>
      </c>
      <c r="R68" s="513">
        <v>180</v>
      </c>
      <c r="S68" s="41"/>
      <c r="T68" s="40"/>
      <c r="U68" s="40">
        <v>8</v>
      </c>
      <c r="V68" s="119">
        <v>1</v>
      </c>
      <c r="W68" s="40">
        <v>0</v>
      </c>
      <c r="X68" s="119">
        <v>1</v>
      </c>
      <c r="Y68" s="40">
        <v>63</v>
      </c>
      <c r="Z68" s="119">
        <v>1</v>
      </c>
      <c r="AA68" s="368">
        <v>0</v>
      </c>
      <c r="AB68" s="535">
        <v>2</v>
      </c>
      <c r="AC68" s="39" t="s">
        <v>160</v>
      </c>
      <c r="AD68" s="75" t="s">
        <v>10</v>
      </c>
      <c r="AE68" s="95">
        <v>0</v>
      </c>
      <c r="AF68" s="75">
        <v>0</v>
      </c>
      <c r="AG68" s="75">
        <v>0</v>
      </c>
      <c r="AH68" s="75">
        <v>0</v>
      </c>
      <c r="AI68" s="75">
        <v>0</v>
      </c>
      <c r="AJ68" s="75">
        <v>0</v>
      </c>
      <c r="AK68" s="75">
        <v>0</v>
      </c>
      <c r="AL68" s="95">
        <v>1</v>
      </c>
      <c r="AM68" s="92">
        <v>0</v>
      </c>
      <c r="AN68" s="79" t="s">
        <v>80</v>
      </c>
      <c r="AO68" s="75">
        <v>1</v>
      </c>
      <c r="AP68" s="75" t="s">
        <v>84</v>
      </c>
      <c r="AQ68" s="122">
        <v>1</v>
      </c>
      <c r="AR68" s="515" t="s">
        <v>10</v>
      </c>
      <c r="AS68" s="95">
        <v>0</v>
      </c>
      <c r="AT68" s="75">
        <v>0</v>
      </c>
      <c r="AU68" s="75">
        <v>0</v>
      </c>
      <c r="AV68" s="75">
        <v>0</v>
      </c>
      <c r="AW68" s="123">
        <v>0</v>
      </c>
      <c r="AX68" s="516"/>
      <c r="AY68" s="75">
        <v>0</v>
      </c>
      <c r="AZ68" s="77" t="s">
        <v>131</v>
      </c>
      <c r="BA68" s="78" t="s">
        <v>131</v>
      </c>
      <c r="BB68" s="78" t="s">
        <v>131</v>
      </c>
      <c r="BC68" s="78" t="s">
        <v>131</v>
      </c>
      <c r="BD68" s="78" t="s">
        <v>131</v>
      </c>
      <c r="BE68" s="78" t="s">
        <v>131</v>
      </c>
      <c r="BF68" s="78" t="s">
        <v>131</v>
      </c>
      <c r="BG68" s="78" t="s">
        <v>132</v>
      </c>
      <c r="BH68" s="75" t="s">
        <v>5970</v>
      </c>
      <c r="BI68" s="295" t="s">
        <v>5962</v>
      </c>
      <c r="BJ68" s="546">
        <v>1</v>
      </c>
      <c r="BK68" s="294" t="s">
        <v>16</v>
      </c>
      <c r="BL68" s="157" t="s">
        <v>16</v>
      </c>
      <c r="BM68" s="548" t="s">
        <v>1345</v>
      </c>
      <c r="BN68" s="548" t="s">
        <v>4158</v>
      </c>
      <c r="BO68" s="157" t="s">
        <v>5830</v>
      </c>
      <c r="BP68" s="548" t="s">
        <v>5831</v>
      </c>
      <c r="BQ68" s="157" t="s">
        <v>4747</v>
      </c>
      <c r="BR68" s="157"/>
    </row>
    <row r="69" spans="1:70" x14ac:dyDescent="0.25">
      <c r="A69" s="19" t="s">
        <v>3686</v>
      </c>
      <c r="B69" s="37" t="s">
        <v>4929</v>
      </c>
      <c r="C69" s="90">
        <v>45515.807638888888</v>
      </c>
      <c r="D69" s="114">
        <v>45515.557638888888</v>
      </c>
      <c r="E69" s="38">
        <v>45515</v>
      </c>
      <c r="F69" s="91">
        <v>2024</v>
      </c>
      <c r="G69" s="93">
        <v>8</v>
      </c>
      <c r="H69" s="37" t="s">
        <v>2446</v>
      </c>
      <c r="I69" s="37"/>
      <c r="J69" s="103">
        <v>-91.542774654206923</v>
      </c>
      <c r="K69" s="40">
        <v>44.553071942063326</v>
      </c>
      <c r="L69" s="74"/>
      <c r="M69" s="272" t="s">
        <v>4930</v>
      </c>
      <c r="N69" s="74">
        <v>1</v>
      </c>
      <c r="O69" s="94"/>
      <c r="P69" s="118">
        <v>1</v>
      </c>
      <c r="Q69" s="510">
        <v>80</v>
      </c>
      <c r="R69" s="513">
        <v>120</v>
      </c>
      <c r="S69" s="41"/>
      <c r="T69" s="40"/>
      <c r="U69" s="40">
        <v>7</v>
      </c>
      <c r="V69" s="119">
        <v>1</v>
      </c>
      <c r="W69" s="40">
        <v>300</v>
      </c>
      <c r="X69" s="119">
        <v>1</v>
      </c>
      <c r="Y69" s="40">
        <v>59</v>
      </c>
      <c r="Z69" s="119">
        <v>1</v>
      </c>
      <c r="AA69" s="368">
        <v>0</v>
      </c>
      <c r="AB69" s="535">
        <v>2</v>
      </c>
      <c r="AC69" s="39" t="s">
        <v>160</v>
      </c>
      <c r="AD69" s="75" t="s">
        <v>10</v>
      </c>
      <c r="AE69" s="95">
        <v>0</v>
      </c>
      <c r="AF69" s="75">
        <v>0</v>
      </c>
      <c r="AG69" s="75">
        <v>0</v>
      </c>
      <c r="AH69" s="75">
        <v>0</v>
      </c>
      <c r="AI69" s="75">
        <v>0</v>
      </c>
      <c r="AJ69" s="75">
        <v>0</v>
      </c>
      <c r="AK69" s="75">
        <v>0</v>
      </c>
      <c r="AL69" s="95">
        <v>1</v>
      </c>
      <c r="AM69" s="92">
        <v>0</v>
      </c>
      <c r="AN69" s="79" t="s">
        <v>80</v>
      </c>
      <c r="AO69" s="75">
        <v>1</v>
      </c>
      <c r="AP69" s="75" t="s">
        <v>84</v>
      </c>
      <c r="AQ69" s="122">
        <v>1</v>
      </c>
      <c r="AR69" s="515" t="s">
        <v>10</v>
      </c>
      <c r="AS69" s="95">
        <v>0</v>
      </c>
      <c r="AT69" s="75">
        <v>0</v>
      </c>
      <c r="AU69" s="75">
        <v>0</v>
      </c>
      <c r="AV69" s="75">
        <v>0</v>
      </c>
      <c r="AW69" s="123">
        <v>0</v>
      </c>
      <c r="AX69" s="516" t="s">
        <v>4931</v>
      </c>
      <c r="AY69" s="75">
        <v>1</v>
      </c>
      <c r="AZ69" s="77" t="s">
        <v>131</v>
      </c>
      <c r="BA69" s="78" t="s">
        <v>131</v>
      </c>
      <c r="BB69" s="78" t="s">
        <v>131</v>
      </c>
      <c r="BC69" s="78" t="s">
        <v>131</v>
      </c>
      <c r="BD69" s="78" t="s">
        <v>131</v>
      </c>
      <c r="BE69" s="78" t="s">
        <v>131</v>
      </c>
      <c r="BF69" s="78" t="s">
        <v>131</v>
      </c>
      <c r="BG69" s="78" t="s">
        <v>132</v>
      </c>
      <c r="BH69" s="75" t="s">
        <v>5970</v>
      </c>
      <c r="BI69" s="295" t="s">
        <v>5932</v>
      </c>
      <c r="BJ69" s="546">
        <v>1</v>
      </c>
      <c r="BK69" s="294">
        <v>1</v>
      </c>
      <c r="BL69" s="157">
        <v>1</v>
      </c>
      <c r="BM69" s="548" t="s">
        <v>1340</v>
      </c>
      <c r="BN69" s="548" t="s">
        <v>4158</v>
      </c>
      <c r="BO69" s="157" t="s">
        <v>4762</v>
      </c>
      <c r="BP69" s="548" t="s">
        <v>5832</v>
      </c>
      <c r="BQ69" s="157" t="s">
        <v>4492</v>
      </c>
      <c r="BR69" s="157"/>
    </row>
    <row r="70" spans="1:70" x14ac:dyDescent="0.25">
      <c r="A70" s="19" t="s">
        <v>3686</v>
      </c>
      <c r="B70" s="37" t="s">
        <v>4932</v>
      </c>
      <c r="C70" s="90">
        <v>45515.791238425925</v>
      </c>
      <c r="D70" s="114">
        <v>45515.541238425925</v>
      </c>
      <c r="E70" s="38">
        <v>45515</v>
      </c>
      <c r="F70" s="91">
        <v>2024</v>
      </c>
      <c r="G70" s="93">
        <v>8</v>
      </c>
      <c r="H70" s="37" t="s">
        <v>1447</v>
      </c>
      <c r="I70" s="37"/>
      <c r="J70" s="103">
        <v>-92.801960092124361</v>
      </c>
      <c r="K70" s="40">
        <v>44.543097890023645</v>
      </c>
      <c r="L70" s="74"/>
      <c r="M70" s="272" t="s">
        <v>16</v>
      </c>
      <c r="N70" s="74">
        <v>0</v>
      </c>
      <c r="O70" s="94"/>
      <c r="P70" s="118">
        <v>0</v>
      </c>
      <c r="Q70" s="510"/>
      <c r="R70" s="513"/>
      <c r="S70" s="41"/>
      <c r="T70" s="40"/>
      <c r="U70" s="40"/>
      <c r="V70" s="119">
        <v>0</v>
      </c>
      <c r="W70" s="40"/>
      <c r="X70" s="119">
        <v>0</v>
      </c>
      <c r="Y70" s="40"/>
      <c r="Z70" s="119">
        <v>0</v>
      </c>
      <c r="AA70" s="368" t="s">
        <v>16</v>
      </c>
      <c r="AB70" s="535" t="s">
        <v>16</v>
      </c>
      <c r="AC70" s="39"/>
      <c r="AD70" s="75" t="s">
        <v>16</v>
      </c>
      <c r="AE70" s="95">
        <v>-1</v>
      </c>
      <c r="AF70" s="75">
        <v>-1</v>
      </c>
      <c r="AG70" s="75">
        <v>-1</v>
      </c>
      <c r="AH70" s="75">
        <v>-1</v>
      </c>
      <c r="AI70" s="75">
        <v>-1</v>
      </c>
      <c r="AJ70" s="75">
        <v>-1</v>
      </c>
      <c r="AK70" s="75">
        <v>-1</v>
      </c>
      <c r="AL70" s="95">
        <v>-1</v>
      </c>
      <c r="AM70" s="92">
        <v>1</v>
      </c>
      <c r="AN70" s="79"/>
      <c r="AO70" s="75">
        <v>0</v>
      </c>
      <c r="AP70" s="75"/>
      <c r="AQ70" s="122">
        <v>0</v>
      </c>
      <c r="AR70" s="515" t="s">
        <v>16</v>
      </c>
      <c r="AS70" s="95">
        <v>-1</v>
      </c>
      <c r="AT70" s="75">
        <v>-1</v>
      </c>
      <c r="AU70" s="75">
        <v>-1</v>
      </c>
      <c r="AV70" s="75">
        <v>-1</v>
      </c>
      <c r="AW70" s="123">
        <v>1</v>
      </c>
      <c r="AX70" s="516"/>
      <c r="AY70" s="75">
        <v>0</v>
      </c>
      <c r="AZ70" s="77" t="s">
        <v>5971</v>
      </c>
      <c r="BA70" s="78" t="s">
        <v>5971</v>
      </c>
      <c r="BB70" s="78" t="s">
        <v>5971</v>
      </c>
      <c r="BC70" s="78" t="s">
        <v>5971</v>
      </c>
      <c r="BD70" s="78" t="s">
        <v>5971</v>
      </c>
      <c r="BE70" s="78" t="s">
        <v>5971</v>
      </c>
      <c r="BF70" s="78" t="s">
        <v>5971</v>
      </c>
      <c r="BG70" s="78" t="s">
        <v>5971</v>
      </c>
      <c r="BH70" s="75" t="s">
        <v>5971</v>
      </c>
      <c r="BI70" s="295" t="s">
        <v>2224</v>
      </c>
      <c r="BJ70" s="546">
        <v>1</v>
      </c>
      <c r="BK70" s="294">
        <v>1</v>
      </c>
      <c r="BL70" s="157">
        <v>1</v>
      </c>
      <c r="BM70" s="548" t="s">
        <v>2343</v>
      </c>
      <c r="BN70" s="548" t="s">
        <v>4161</v>
      </c>
      <c r="BO70" s="157" t="s">
        <v>4510</v>
      </c>
      <c r="BP70" s="548" t="s">
        <v>753</v>
      </c>
      <c r="BQ70" s="157" t="s">
        <v>4389</v>
      </c>
      <c r="BR70" s="157"/>
    </row>
    <row r="71" spans="1:70" x14ac:dyDescent="0.25">
      <c r="A71" s="19" t="s">
        <v>3686</v>
      </c>
      <c r="B71" s="37" t="s">
        <v>4933</v>
      </c>
      <c r="C71" s="90">
        <v>45514.937581018516</v>
      </c>
      <c r="D71" s="114">
        <v>45514.687581018516</v>
      </c>
      <c r="E71" s="38">
        <v>45514</v>
      </c>
      <c r="F71" s="91">
        <v>2024</v>
      </c>
      <c r="G71" s="93">
        <v>8</v>
      </c>
      <c r="H71" s="37" t="s">
        <v>2446</v>
      </c>
      <c r="I71" s="37"/>
      <c r="J71" s="103">
        <v>-91.890561253663165</v>
      </c>
      <c r="K71" s="40">
        <v>44.617768049531769</v>
      </c>
      <c r="L71" s="74"/>
      <c r="M71" s="272" t="s">
        <v>4934</v>
      </c>
      <c r="N71" s="74">
        <v>1</v>
      </c>
      <c r="O71" s="94"/>
      <c r="P71" s="118">
        <v>1</v>
      </c>
      <c r="Q71" s="510">
        <v>120</v>
      </c>
      <c r="R71" s="513">
        <v>60</v>
      </c>
      <c r="S71" s="41"/>
      <c r="T71" s="40"/>
      <c r="U71" s="40">
        <v>7.5</v>
      </c>
      <c r="V71" s="119">
        <v>1</v>
      </c>
      <c r="W71" s="40">
        <v>100</v>
      </c>
      <c r="X71" s="119">
        <v>1</v>
      </c>
      <c r="Y71" s="40">
        <v>61</v>
      </c>
      <c r="Z71" s="119">
        <v>1</v>
      </c>
      <c r="AA71" s="368">
        <v>0</v>
      </c>
      <c r="AB71" s="535">
        <v>2</v>
      </c>
      <c r="AC71" s="39" t="s">
        <v>160</v>
      </c>
      <c r="AD71" s="75" t="s">
        <v>10</v>
      </c>
      <c r="AE71" s="95">
        <v>0</v>
      </c>
      <c r="AF71" s="75">
        <v>0</v>
      </c>
      <c r="AG71" s="75">
        <v>0</v>
      </c>
      <c r="AH71" s="75">
        <v>0</v>
      </c>
      <c r="AI71" s="75">
        <v>0</v>
      </c>
      <c r="AJ71" s="75">
        <v>0</v>
      </c>
      <c r="AK71" s="75">
        <v>0</v>
      </c>
      <c r="AL71" s="95">
        <v>1</v>
      </c>
      <c r="AM71" s="92">
        <v>0</v>
      </c>
      <c r="AN71" s="79" t="s">
        <v>80</v>
      </c>
      <c r="AO71" s="75">
        <v>1</v>
      </c>
      <c r="AP71" s="75" t="s">
        <v>84</v>
      </c>
      <c r="AQ71" s="122">
        <v>1</v>
      </c>
      <c r="AR71" s="515" t="s">
        <v>10</v>
      </c>
      <c r="AS71" s="95">
        <v>0</v>
      </c>
      <c r="AT71" s="75">
        <v>0</v>
      </c>
      <c r="AU71" s="75">
        <v>0</v>
      </c>
      <c r="AV71" s="75">
        <v>0</v>
      </c>
      <c r="AW71" s="123">
        <v>0</v>
      </c>
      <c r="AX71" s="516" t="s">
        <v>4935</v>
      </c>
      <c r="AY71" s="75">
        <v>1</v>
      </c>
      <c r="AZ71" s="77" t="s">
        <v>131</v>
      </c>
      <c r="BA71" s="78" t="s">
        <v>131</v>
      </c>
      <c r="BB71" s="78" t="s">
        <v>131</v>
      </c>
      <c r="BC71" s="78" t="s">
        <v>131</v>
      </c>
      <c r="BD71" s="78" t="s">
        <v>131</v>
      </c>
      <c r="BE71" s="78" t="s">
        <v>131</v>
      </c>
      <c r="BF71" s="78" t="s">
        <v>131</v>
      </c>
      <c r="BG71" s="78" t="s">
        <v>132</v>
      </c>
      <c r="BH71" s="75" t="s">
        <v>5970</v>
      </c>
      <c r="BI71" s="295" t="s">
        <v>2260</v>
      </c>
      <c r="BJ71" s="546">
        <v>1</v>
      </c>
      <c r="BK71" s="294">
        <v>1</v>
      </c>
      <c r="BL71" s="157">
        <v>1</v>
      </c>
      <c r="BM71" s="548" t="s">
        <v>1340</v>
      </c>
      <c r="BN71" s="548" t="s">
        <v>4158</v>
      </c>
      <c r="BO71" s="157" t="s">
        <v>5833</v>
      </c>
      <c r="BP71" s="548" t="s">
        <v>2260</v>
      </c>
      <c r="BQ71" s="157" t="s">
        <v>4219</v>
      </c>
      <c r="BR71" s="157"/>
    </row>
    <row r="72" spans="1:70" x14ac:dyDescent="0.25">
      <c r="A72" s="19" t="s">
        <v>3686</v>
      </c>
      <c r="B72" s="37" t="s">
        <v>4936</v>
      </c>
      <c r="C72" s="90">
        <v>45514.869155092594</v>
      </c>
      <c r="D72" s="114">
        <v>45514.619155092594</v>
      </c>
      <c r="E72" s="38">
        <v>45514</v>
      </c>
      <c r="F72" s="91">
        <v>2024</v>
      </c>
      <c r="G72" s="93">
        <v>8</v>
      </c>
      <c r="H72" s="37" t="s">
        <v>2446</v>
      </c>
      <c r="I72" s="37"/>
      <c r="J72" s="103">
        <v>-91.972052853793201</v>
      </c>
      <c r="K72" s="40">
        <v>44.57098138122997</v>
      </c>
      <c r="L72" s="74"/>
      <c r="M72" s="272" t="s">
        <v>4937</v>
      </c>
      <c r="N72" s="74">
        <v>1</v>
      </c>
      <c r="O72" s="94"/>
      <c r="P72" s="118">
        <v>1</v>
      </c>
      <c r="Q72" s="510">
        <v>120</v>
      </c>
      <c r="R72" s="513">
        <v>120</v>
      </c>
      <c r="S72" s="41"/>
      <c r="T72" s="40"/>
      <c r="U72" s="40">
        <v>7</v>
      </c>
      <c r="V72" s="119">
        <v>1</v>
      </c>
      <c r="W72" s="40">
        <v>100</v>
      </c>
      <c r="X72" s="119">
        <v>1</v>
      </c>
      <c r="Y72" s="40">
        <v>58</v>
      </c>
      <c r="Z72" s="119">
        <v>1</v>
      </c>
      <c r="AA72" s="368">
        <v>0</v>
      </c>
      <c r="AB72" s="535">
        <v>2</v>
      </c>
      <c r="AC72" s="39" t="s">
        <v>160</v>
      </c>
      <c r="AD72" s="75" t="s">
        <v>7</v>
      </c>
      <c r="AE72" s="95">
        <v>1</v>
      </c>
      <c r="AF72" s="75">
        <v>0</v>
      </c>
      <c r="AG72" s="75">
        <v>0</v>
      </c>
      <c r="AH72" s="75">
        <v>0</v>
      </c>
      <c r="AI72" s="75">
        <v>0</v>
      </c>
      <c r="AJ72" s="75">
        <v>0</v>
      </c>
      <c r="AK72" s="75">
        <v>0</v>
      </c>
      <c r="AL72" s="95">
        <v>0</v>
      </c>
      <c r="AM72" s="92">
        <v>0</v>
      </c>
      <c r="AN72" s="79" t="s">
        <v>80</v>
      </c>
      <c r="AO72" s="75">
        <v>1</v>
      </c>
      <c r="AP72" s="75" t="s">
        <v>83</v>
      </c>
      <c r="AQ72" s="122">
        <v>1</v>
      </c>
      <c r="AR72" s="515" t="s">
        <v>10</v>
      </c>
      <c r="AS72" s="95">
        <v>0</v>
      </c>
      <c r="AT72" s="75">
        <v>0</v>
      </c>
      <c r="AU72" s="75">
        <v>0</v>
      </c>
      <c r="AV72" s="75">
        <v>0</v>
      </c>
      <c r="AW72" s="123">
        <v>0</v>
      </c>
      <c r="AX72" s="516" t="s">
        <v>4938</v>
      </c>
      <c r="AY72" s="75">
        <v>1</v>
      </c>
      <c r="AZ72" s="77" t="s">
        <v>132</v>
      </c>
      <c r="BA72" s="78" t="s">
        <v>131</v>
      </c>
      <c r="BB72" s="78" t="s">
        <v>131</v>
      </c>
      <c r="BC72" s="78" t="s">
        <v>131</v>
      </c>
      <c r="BD72" s="78" t="s">
        <v>131</v>
      </c>
      <c r="BE72" s="78" t="s">
        <v>131</v>
      </c>
      <c r="BF72" s="78" t="s">
        <v>131</v>
      </c>
      <c r="BG72" s="78" t="s">
        <v>131</v>
      </c>
      <c r="BH72" s="75" t="s">
        <v>5970</v>
      </c>
      <c r="BI72" s="295" t="s">
        <v>2237</v>
      </c>
      <c r="BJ72" s="546">
        <v>1</v>
      </c>
      <c r="BK72" s="294">
        <v>1</v>
      </c>
      <c r="BL72" s="157">
        <v>1</v>
      </c>
      <c r="BM72" s="548" t="s">
        <v>1340</v>
      </c>
      <c r="BN72" s="548" t="s">
        <v>4158</v>
      </c>
      <c r="BO72" s="157" t="s">
        <v>5834</v>
      </c>
      <c r="BP72" s="548" t="s">
        <v>5835</v>
      </c>
      <c r="BQ72" s="157" t="s">
        <v>4219</v>
      </c>
      <c r="BR72" s="157"/>
    </row>
    <row r="73" spans="1:70" x14ac:dyDescent="0.25">
      <c r="A73" s="19" t="s">
        <v>3686</v>
      </c>
      <c r="B73" s="37" t="s">
        <v>4939</v>
      </c>
      <c r="C73" s="90">
        <v>45513.724374999998</v>
      </c>
      <c r="D73" s="114">
        <v>45513.474374999998</v>
      </c>
      <c r="E73" s="38">
        <v>45513</v>
      </c>
      <c r="F73" s="91">
        <v>2024</v>
      </c>
      <c r="G73" s="93">
        <v>8</v>
      </c>
      <c r="H73" s="37" t="s">
        <v>2446</v>
      </c>
      <c r="I73" s="37" t="s">
        <v>16</v>
      </c>
      <c r="J73" s="103">
        <v>-91.030597280259002</v>
      </c>
      <c r="K73" s="40">
        <v>44.381414524096513</v>
      </c>
      <c r="L73" s="74"/>
      <c r="M73" s="272" t="s">
        <v>4940</v>
      </c>
      <c r="N73" s="74">
        <v>1</v>
      </c>
      <c r="O73" s="94"/>
      <c r="P73" s="118">
        <v>1</v>
      </c>
      <c r="Q73" s="510">
        <v>40</v>
      </c>
      <c r="R73" s="513">
        <v>60</v>
      </c>
      <c r="S73" s="41"/>
      <c r="T73" s="40"/>
      <c r="U73" s="40">
        <v>6.5</v>
      </c>
      <c r="V73" s="119">
        <v>1</v>
      </c>
      <c r="W73" s="40">
        <v>200</v>
      </c>
      <c r="X73" s="119">
        <v>1</v>
      </c>
      <c r="Y73" s="40">
        <v>58</v>
      </c>
      <c r="Z73" s="119">
        <v>1</v>
      </c>
      <c r="AA73" s="368">
        <v>0</v>
      </c>
      <c r="AB73" s="535">
        <v>0</v>
      </c>
      <c r="AC73" s="39" t="s">
        <v>160</v>
      </c>
      <c r="AD73" s="75" t="s">
        <v>10</v>
      </c>
      <c r="AE73" s="95">
        <v>0</v>
      </c>
      <c r="AF73" s="75">
        <v>0</v>
      </c>
      <c r="AG73" s="75">
        <v>0</v>
      </c>
      <c r="AH73" s="75">
        <v>0</v>
      </c>
      <c r="AI73" s="75">
        <v>0</v>
      </c>
      <c r="AJ73" s="75">
        <v>0</v>
      </c>
      <c r="AK73" s="75">
        <v>0</v>
      </c>
      <c r="AL73" s="95">
        <v>1</v>
      </c>
      <c r="AM73" s="92">
        <v>0</v>
      </c>
      <c r="AN73" s="79" t="s">
        <v>80</v>
      </c>
      <c r="AO73" s="75">
        <v>1</v>
      </c>
      <c r="AP73" s="75" t="s">
        <v>84</v>
      </c>
      <c r="AQ73" s="122">
        <v>1</v>
      </c>
      <c r="AR73" s="515" t="s">
        <v>10</v>
      </c>
      <c r="AS73" s="95">
        <v>0</v>
      </c>
      <c r="AT73" s="75">
        <v>0</v>
      </c>
      <c r="AU73" s="75">
        <v>0</v>
      </c>
      <c r="AV73" s="75">
        <v>0</v>
      </c>
      <c r="AW73" s="123">
        <v>0</v>
      </c>
      <c r="AX73" s="516" t="s">
        <v>4941</v>
      </c>
      <c r="AY73" s="75">
        <v>1</v>
      </c>
      <c r="AZ73" s="77" t="s">
        <v>131</v>
      </c>
      <c r="BA73" s="78" t="s">
        <v>131</v>
      </c>
      <c r="BB73" s="78" t="s">
        <v>131</v>
      </c>
      <c r="BC73" s="78" t="s">
        <v>131</v>
      </c>
      <c r="BD73" s="78" t="s">
        <v>131</v>
      </c>
      <c r="BE73" s="78" t="s">
        <v>131</v>
      </c>
      <c r="BF73" s="78" t="s">
        <v>131</v>
      </c>
      <c r="BG73" s="78" t="s">
        <v>132</v>
      </c>
      <c r="BH73" s="75" t="s">
        <v>5970</v>
      </c>
      <c r="BI73" s="295" t="s">
        <v>5935</v>
      </c>
      <c r="BJ73" s="546">
        <v>1</v>
      </c>
      <c r="BK73" s="294">
        <v>1</v>
      </c>
      <c r="BL73" s="157">
        <v>1</v>
      </c>
      <c r="BM73" s="548" t="s">
        <v>1340</v>
      </c>
      <c r="BN73" s="548" t="s">
        <v>4158</v>
      </c>
      <c r="BO73" s="157" t="s">
        <v>4473</v>
      </c>
      <c r="BP73" s="548" t="s">
        <v>4484</v>
      </c>
      <c r="BQ73" s="157" t="s">
        <v>4460</v>
      </c>
      <c r="BR73" s="157"/>
    </row>
    <row r="74" spans="1:70" x14ac:dyDescent="0.25">
      <c r="A74" s="19" t="s">
        <v>3686</v>
      </c>
      <c r="B74" s="37" t="s">
        <v>4942</v>
      </c>
      <c r="C74" s="90">
        <v>45513.66814814815</v>
      </c>
      <c r="D74" s="114">
        <v>45513.41814814815</v>
      </c>
      <c r="E74" s="38">
        <v>45513</v>
      </c>
      <c r="F74" s="91">
        <v>2024</v>
      </c>
      <c r="G74" s="93">
        <v>8</v>
      </c>
      <c r="H74" s="37" t="s">
        <v>1364</v>
      </c>
      <c r="I74" s="37" t="s">
        <v>959</v>
      </c>
      <c r="J74" s="103">
        <v>-92.597080000000005</v>
      </c>
      <c r="K74" s="40">
        <v>44.472634999999997</v>
      </c>
      <c r="L74" s="74"/>
      <c r="M74" s="272" t="s">
        <v>4943</v>
      </c>
      <c r="N74" s="74">
        <v>1</v>
      </c>
      <c r="O74" s="94"/>
      <c r="P74" s="118">
        <v>1</v>
      </c>
      <c r="Q74" s="510">
        <v>0</v>
      </c>
      <c r="R74" s="513">
        <v>60</v>
      </c>
      <c r="S74" s="41"/>
      <c r="T74" s="40"/>
      <c r="U74" s="40">
        <v>7</v>
      </c>
      <c r="V74" s="119">
        <v>1</v>
      </c>
      <c r="W74" s="40">
        <v>100</v>
      </c>
      <c r="X74" s="119">
        <v>1</v>
      </c>
      <c r="Y74" s="40">
        <v>13</v>
      </c>
      <c r="Z74" s="119">
        <v>1</v>
      </c>
      <c r="AA74" s="368">
        <v>0</v>
      </c>
      <c r="AB74" s="535">
        <v>2</v>
      </c>
      <c r="AC74" s="39" t="s">
        <v>160</v>
      </c>
      <c r="AD74" s="75" t="s">
        <v>10</v>
      </c>
      <c r="AE74" s="95">
        <v>0</v>
      </c>
      <c r="AF74" s="75">
        <v>0</v>
      </c>
      <c r="AG74" s="75">
        <v>0</v>
      </c>
      <c r="AH74" s="75">
        <v>0</v>
      </c>
      <c r="AI74" s="75">
        <v>0</v>
      </c>
      <c r="AJ74" s="75">
        <v>0</v>
      </c>
      <c r="AK74" s="75">
        <v>0</v>
      </c>
      <c r="AL74" s="95">
        <v>1</v>
      </c>
      <c r="AM74" s="92">
        <v>0</v>
      </c>
      <c r="AN74" s="79" t="s">
        <v>80</v>
      </c>
      <c r="AO74" s="75">
        <v>1</v>
      </c>
      <c r="AP74" s="75" t="s">
        <v>83</v>
      </c>
      <c r="AQ74" s="122">
        <v>1</v>
      </c>
      <c r="AR74" s="515" t="s">
        <v>10</v>
      </c>
      <c r="AS74" s="95">
        <v>0</v>
      </c>
      <c r="AT74" s="75">
        <v>0</v>
      </c>
      <c r="AU74" s="75">
        <v>0</v>
      </c>
      <c r="AV74" s="75">
        <v>0</v>
      </c>
      <c r="AW74" s="123">
        <v>0</v>
      </c>
      <c r="AX74" s="516"/>
      <c r="AY74" s="75">
        <v>0</v>
      </c>
      <c r="AZ74" s="77" t="s">
        <v>131</v>
      </c>
      <c r="BA74" s="78" t="s">
        <v>131</v>
      </c>
      <c r="BB74" s="78" t="s">
        <v>131</v>
      </c>
      <c r="BC74" s="78" t="s">
        <v>131</v>
      </c>
      <c r="BD74" s="78" t="s">
        <v>131</v>
      </c>
      <c r="BE74" s="78" t="s">
        <v>131</v>
      </c>
      <c r="BF74" s="78" t="s">
        <v>131</v>
      </c>
      <c r="BG74" s="78" t="s">
        <v>132</v>
      </c>
      <c r="BH74" s="75" t="s">
        <v>5970</v>
      </c>
      <c r="BI74" s="295" t="s">
        <v>2238</v>
      </c>
      <c r="BJ74" s="546">
        <v>1</v>
      </c>
      <c r="BK74" s="294" t="s">
        <v>16</v>
      </c>
      <c r="BL74" s="157" t="s">
        <v>16</v>
      </c>
      <c r="BM74" s="548" t="s">
        <v>2343</v>
      </c>
      <c r="BN74" s="548" t="s">
        <v>4161</v>
      </c>
      <c r="BO74" s="157" t="s">
        <v>4308</v>
      </c>
      <c r="BP74" s="548" t="s">
        <v>2238</v>
      </c>
      <c r="BQ74" s="157" t="s">
        <v>4307</v>
      </c>
      <c r="BR74" s="157"/>
    </row>
    <row r="75" spans="1:70" x14ac:dyDescent="0.25">
      <c r="A75" s="19" t="s">
        <v>3686</v>
      </c>
      <c r="B75" s="37" t="s">
        <v>4944</v>
      </c>
      <c r="C75" s="90">
        <v>45513.635150462964</v>
      </c>
      <c r="D75" s="114">
        <v>45513.385150462964</v>
      </c>
      <c r="E75" s="38">
        <v>45513</v>
      </c>
      <c r="F75" s="91">
        <v>2024</v>
      </c>
      <c r="G75" s="93">
        <v>8</v>
      </c>
      <c r="H75" s="37" t="s">
        <v>2446</v>
      </c>
      <c r="I75" s="37"/>
      <c r="J75" s="103">
        <v>-90.991381037825207</v>
      </c>
      <c r="K75" s="40">
        <v>44.397237069737187</v>
      </c>
      <c r="L75" s="74"/>
      <c r="M75" s="272" t="s">
        <v>4945</v>
      </c>
      <c r="N75" s="74">
        <v>1</v>
      </c>
      <c r="O75" s="94"/>
      <c r="P75" s="118">
        <v>1</v>
      </c>
      <c r="Q75" s="510">
        <v>80</v>
      </c>
      <c r="R75" s="513">
        <v>0</v>
      </c>
      <c r="S75" s="41"/>
      <c r="T75" s="40"/>
      <c r="U75" s="40">
        <v>7.5</v>
      </c>
      <c r="V75" s="119">
        <v>1</v>
      </c>
      <c r="W75" s="40">
        <v>100</v>
      </c>
      <c r="X75" s="119">
        <v>1</v>
      </c>
      <c r="Y75" s="40">
        <v>58</v>
      </c>
      <c r="Z75" s="119">
        <v>1</v>
      </c>
      <c r="AA75" s="368">
        <v>0</v>
      </c>
      <c r="AB75" s="535">
        <v>2</v>
      </c>
      <c r="AC75" s="39" t="s">
        <v>160</v>
      </c>
      <c r="AD75" s="75" t="s">
        <v>10</v>
      </c>
      <c r="AE75" s="95">
        <v>0</v>
      </c>
      <c r="AF75" s="75">
        <v>0</v>
      </c>
      <c r="AG75" s="75">
        <v>0</v>
      </c>
      <c r="AH75" s="75">
        <v>0</v>
      </c>
      <c r="AI75" s="75">
        <v>0</v>
      </c>
      <c r="AJ75" s="75">
        <v>0</v>
      </c>
      <c r="AK75" s="75">
        <v>0</v>
      </c>
      <c r="AL75" s="95">
        <v>1</v>
      </c>
      <c r="AM75" s="92">
        <v>0</v>
      </c>
      <c r="AN75" s="79" t="s">
        <v>80</v>
      </c>
      <c r="AO75" s="75">
        <v>1</v>
      </c>
      <c r="AP75" s="75" t="s">
        <v>84</v>
      </c>
      <c r="AQ75" s="122">
        <v>1</v>
      </c>
      <c r="AR75" s="515" t="s">
        <v>10</v>
      </c>
      <c r="AS75" s="95">
        <v>0</v>
      </c>
      <c r="AT75" s="75">
        <v>0</v>
      </c>
      <c r="AU75" s="75">
        <v>0</v>
      </c>
      <c r="AV75" s="75">
        <v>0</v>
      </c>
      <c r="AW75" s="123">
        <v>0</v>
      </c>
      <c r="AX75" s="516" t="s">
        <v>4946</v>
      </c>
      <c r="AY75" s="75">
        <v>1</v>
      </c>
      <c r="AZ75" s="77" t="s">
        <v>131</v>
      </c>
      <c r="BA75" s="78" t="s">
        <v>131</v>
      </c>
      <c r="BB75" s="78" t="s">
        <v>131</v>
      </c>
      <c r="BC75" s="78" t="s">
        <v>131</v>
      </c>
      <c r="BD75" s="78" t="s">
        <v>131</v>
      </c>
      <c r="BE75" s="78" t="s">
        <v>131</v>
      </c>
      <c r="BF75" s="78" t="s">
        <v>131</v>
      </c>
      <c r="BG75" s="78" t="s">
        <v>132</v>
      </c>
      <c r="BH75" s="75" t="s">
        <v>5970</v>
      </c>
      <c r="BI75" s="295" t="s">
        <v>3978</v>
      </c>
      <c r="BJ75" s="546">
        <v>1</v>
      </c>
      <c r="BK75" s="294">
        <v>1</v>
      </c>
      <c r="BL75" s="157">
        <v>1</v>
      </c>
      <c r="BM75" s="548" t="s">
        <v>1340</v>
      </c>
      <c r="BN75" s="548" t="s">
        <v>4158</v>
      </c>
      <c r="BO75" s="157" t="s">
        <v>4471</v>
      </c>
      <c r="BP75" s="548" t="s">
        <v>4474</v>
      </c>
      <c r="BQ75" s="157" t="s">
        <v>4460</v>
      </c>
      <c r="BR75" s="157"/>
    </row>
    <row r="76" spans="1:70" x14ac:dyDescent="0.25">
      <c r="A76" s="19" t="s">
        <v>3686</v>
      </c>
      <c r="B76" s="37" t="s">
        <v>4947</v>
      </c>
      <c r="C76" s="90">
        <v>45513.617476851854</v>
      </c>
      <c r="D76" s="114">
        <v>45513.367476851854</v>
      </c>
      <c r="E76" s="38">
        <v>45513</v>
      </c>
      <c r="F76" s="91">
        <v>2024</v>
      </c>
      <c r="G76" s="93">
        <v>8</v>
      </c>
      <c r="H76" s="37" t="s">
        <v>1364</v>
      </c>
      <c r="I76" s="37" t="s">
        <v>958</v>
      </c>
      <c r="J76" s="103">
        <v>-92.575186700000003</v>
      </c>
      <c r="K76" s="40">
        <v>44.488506700000002</v>
      </c>
      <c r="L76" s="74"/>
      <c r="M76" s="272" t="s">
        <v>4948</v>
      </c>
      <c r="N76" s="74">
        <v>1</v>
      </c>
      <c r="O76" s="94"/>
      <c r="P76" s="118">
        <v>1</v>
      </c>
      <c r="Q76" s="510">
        <v>40</v>
      </c>
      <c r="R76" s="513">
        <v>0</v>
      </c>
      <c r="S76" s="41"/>
      <c r="T76" s="40"/>
      <c r="U76" s="40">
        <v>8</v>
      </c>
      <c r="V76" s="119">
        <v>1</v>
      </c>
      <c r="W76" s="40">
        <v>100</v>
      </c>
      <c r="X76" s="119">
        <v>1</v>
      </c>
      <c r="Y76" s="40">
        <v>13</v>
      </c>
      <c r="Z76" s="119">
        <v>1</v>
      </c>
      <c r="AA76" s="368">
        <v>0</v>
      </c>
      <c r="AB76" s="535">
        <v>0</v>
      </c>
      <c r="AC76" s="39" t="s">
        <v>160</v>
      </c>
      <c r="AD76" s="75" t="s">
        <v>10</v>
      </c>
      <c r="AE76" s="95">
        <v>0</v>
      </c>
      <c r="AF76" s="75">
        <v>0</v>
      </c>
      <c r="AG76" s="75">
        <v>0</v>
      </c>
      <c r="AH76" s="75">
        <v>0</v>
      </c>
      <c r="AI76" s="75">
        <v>0</v>
      </c>
      <c r="AJ76" s="75">
        <v>0</v>
      </c>
      <c r="AK76" s="75">
        <v>0</v>
      </c>
      <c r="AL76" s="95">
        <v>1</v>
      </c>
      <c r="AM76" s="92">
        <v>0</v>
      </c>
      <c r="AN76" s="79" t="s">
        <v>80</v>
      </c>
      <c r="AO76" s="75">
        <v>1</v>
      </c>
      <c r="AP76" s="75" t="s">
        <v>84</v>
      </c>
      <c r="AQ76" s="122">
        <v>1</v>
      </c>
      <c r="AR76" s="515" t="s">
        <v>10</v>
      </c>
      <c r="AS76" s="95">
        <v>0</v>
      </c>
      <c r="AT76" s="75">
        <v>0</v>
      </c>
      <c r="AU76" s="75">
        <v>0</v>
      </c>
      <c r="AV76" s="75">
        <v>0</v>
      </c>
      <c r="AW76" s="123">
        <v>0</v>
      </c>
      <c r="AX76" s="516"/>
      <c r="AY76" s="75">
        <v>0</v>
      </c>
      <c r="AZ76" s="77" t="s">
        <v>131</v>
      </c>
      <c r="BA76" s="78" t="s">
        <v>131</v>
      </c>
      <c r="BB76" s="78" t="s">
        <v>131</v>
      </c>
      <c r="BC76" s="78" t="s">
        <v>131</v>
      </c>
      <c r="BD76" s="78" t="s">
        <v>131</v>
      </c>
      <c r="BE76" s="78" t="s">
        <v>131</v>
      </c>
      <c r="BF76" s="78" t="s">
        <v>131</v>
      </c>
      <c r="BG76" s="78" t="s">
        <v>132</v>
      </c>
      <c r="BH76" s="75" t="s">
        <v>5970</v>
      </c>
      <c r="BI76" s="295" t="s">
        <v>2238</v>
      </c>
      <c r="BJ76" s="546">
        <v>1</v>
      </c>
      <c r="BK76" s="294" t="s">
        <v>16</v>
      </c>
      <c r="BL76" s="157" t="s">
        <v>16</v>
      </c>
      <c r="BM76" s="548" t="s">
        <v>2343</v>
      </c>
      <c r="BN76" s="548" t="s">
        <v>4161</v>
      </c>
      <c r="BO76" s="157" t="s">
        <v>4308</v>
      </c>
      <c r="BP76" s="548" t="s">
        <v>2238</v>
      </c>
      <c r="BQ76" s="157" t="s">
        <v>4307</v>
      </c>
      <c r="BR76" s="157"/>
    </row>
    <row r="77" spans="1:70" x14ac:dyDescent="0.25">
      <c r="A77" s="19" t="s">
        <v>3686</v>
      </c>
      <c r="B77" s="37" t="s">
        <v>4949</v>
      </c>
      <c r="C77" s="90">
        <v>45513.577870370369</v>
      </c>
      <c r="D77" s="114">
        <v>45513.327870370369</v>
      </c>
      <c r="E77" s="38">
        <v>45513</v>
      </c>
      <c r="F77" s="91">
        <v>2024</v>
      </c>
      <c r="G77" s="93">
        <v>8</v>
      </c>
      <c r="H77" s="37" t="s">
        <v>1364</v>
      </c>
      <c r="I77" s="37" t="s">
        <v>16</v>
      </c>
      <c r="J77" s="103">
        <v>-92.563699999999997</v>
      </c>
      <c r="K77" s="40">
        <v>44.502533300000003</v>
      </c>
      <c r="L77" s="74"/>
      <c r="M77" s="272" t="s">
        <v>4950</v>
      </c>
      <c r="N77" s="74">
        <v>1</v>
      </c>
      <c r="O77" s="94"/>
      <c r="P77" s="118">
        <v>1</v>
      </c>
      <c r="Q77" s="510">
        <v>80</v>
      </c>
      <c r="R77" s="513">
        <v>0</v>
      </c>
      <c r="S77" s="41"/>
      <c r="T77" s="40"/>
      <c r="U77" s="40">
        <v>7</v>
      </c>
      <c r="V77" s="119">
        <v>1</v>
      </c>
      <c r="W77" s="40">
        <v>100</v>
      </c>
      <c r="X77" s="119">
        <v>1</v>
      </c>
      <c r="Y77" s="40">
        <v>14</v>
      </c>
      <c r="Z77" s="119">
        <v>1</v>
      </c>
      <c r="AA77" s="368">
        <v>0</v>
      </c>
      <c r="AB77" s="535">
        <v>2</v>
      </c>
      <c r="AC77" s="39" t="s">
        <v>160</v>
      </c>
      <c r="AD77" s="75" t="s">
        <v>10</v>
      </c>
      <c r="AE77" s="95">
        <v>0</v>
      </c>
      <c r="AF77" s="75">
        <v>0</v>
      </c>
      <c r="AG77" s="75">
        <v>0</v>
      </c>
      <c r="AH77" s="75">
        <v>0</v>
      </c>
      <c r="AI77" s="75">
        <v>0</v>
      </c>
      <c r="AJ77" s="75">
        <v>0</v>
      </c>
      <c r="AK77" s="75">
        <v>0</v>
      </c>
      <c r="AL77" s="95">
        <v>1</v>
      </c>
      <c r="AM77" s="92">
        <v>0</v>
      </c>
      <c r="AN77" s="79" t="s">
        <v>80</v>
      </c>
      <c r="AO77" s="75">
        <v>1</v>
      </c>
      <c r="AP77" s="75"/>
      <c r="AQ77" s="122">
        <v>0</v>
      </c>
      <c r="AR77" s="515" t="s">
        <v>10</v>
      </c>
      <c r="AS77" s="95">
        <v>0</v>
      </c>
      <c r="AT77" s="75">
        <v>0</v>
      </c>
      <c r="AU77" s="75">
        <v>0</v>
      </c>
      <c r="AV77" s="75">
        <v>0</v>
      </c>
      <c r="AW77" s="123">
        <v>0</v>
      </c>
      <c r="AX77" s="516"/>
      <c r="AY77" s="75">
        <v>0</v>
      </c>
      <c r="AZ77" s="77" t="s">
        <v>131</v>
      </c>
      <c r="BA77" s="78" t="s">
        <v>131</v>
      </c>
      <c r="BB77" s="78" t="s">
        <v>131</v>
      </c>
      <c r="BC77" s="78" t="s">
        <v>131</v>
      </c>
      <c r="BD77" s="78" t="s">
        <v>131</v>
      </c>
      <c r="BE77" s="78" t="s">
        <v>131</v>
      </c>
      <c r="BF77" s="78" t="s">
        <v>131</v>
      </c>
      <c r="BG77" s="78" t="s">
        <v>132</v>
      </c>
      <c r="BH77" s="75" t="s">
        <v>5970</v>
      </c>
      <c r="BI77" s="295" t="s">
        <v>2238</v>
      </c>
      <c r="BJ77" s="546">
        <v>1</v>
      </c>
      <c r="BK77" s="294" t="s">
        <v>16</v>
      </c>
      <c r="BL77" s="157" t="s">
        <v>16</v>
      </c>
      <c r="BM77" s="548" t="s">
        <v>2343</v>
      </c>
      <c r="BN77" s="548" t="s">
        <v>4161</v>
      </c>
      <c r="BO77" s="157" t="s">
        <v>4308</v>
      </c>
      <c r="BP77" s="548" t="s">
        <v>2238</v>
      </c>
      <c r="BQ77" s="157" t="s">
        <v>4307</v>
      </c>
      <c r="BR77" s="157"/>
    </row>
    <row r="78" spans="1:70" x14ac:dyDescent="0.25">
      <c r="A78" s="19" t="s">
        <v>3686</v>
      </c>
      <c r="B78" s="37" t="s">
        <v>4951</v>
      </c>
      <c r="C78" s="90">
        <v>45512.858831018515</v>
      </c>
      <c r="D78" s="114">
        <v>45512.608831018515</v>
      </c>
      <c r="E78" s="38">
        <v>45512</v>
      </c>
      <c r="F78" s="91">
        <v>2024</v>
      </c>
      <c r="G78" s="93">
        <v>8</v>
      </c>
      <c r="H78" s="37" t="s">
        <v>2446</v>
      </c>
      <c r="I78" s="37"/>
      <c r="J78" s="103">
        <v>-90.854588798750015</v>
      </c>
      <c r="K78" s="40">
        <v>44.459752138819553</v>
      </c>
      <c r="L78" s="74"/>
      <c r="M78" s="272" t="s">
        <v>4952</v>
      </c>
      <c r="N78" s="74">
        <v>1</v>
      </c>
      <c r="O78" s="94"/>
      <c r="P78" s="118">
        <v>1</v>
      </c>
      <c r="Q78" s="510">
        <v>40</v>
      </c>
      <c r="R78" s="513">
        <v>30</v>
      </c>
      <c r="S78" s="41"/>
      <c r="T78" s="40"/>
      <c r="U78" s="40">
        <v>6</v>
      </c>
      <c r="V78" s="119">
        <v>1</v>
      </c>
      <c r="W78" s="40">
        <v>100</v>
      </c>
      <c r="X78" s="119">
        <v>1</v>
      </c>
      <c r="Y78" s="40">
        <v>64</v>
      </c>
      <c r="Z78" s="119">
        <v>1</v>
      </c>
      <c r="AA78" s="368">
        <v>0</v>
      </c>
      <c r="AB78" s="535">
        <v>0</v>
      </c>
      <c r="AC78" s="39" t="s">
        <v>160</v>
      </c>
      <c r="AD78" s="75" t="s">
        <v>10</v>
      </c>
      <c r="AE78" s="95">
        <v>0</v>
      </c>
      <c r="AF78" s="75">
        <v>0</v>
      </c>
      <c r="AG78" s="75">
        <v>0</v>
      </c>
      <c r="AH78" s="75">
        <v>0</v>
      </c>
      <c r="AI78" s="75">
        <v>0</v>
      </c>
      <c r="AJ78" s="75">
        <v>0</v>
      </c>
      <c r="AK78" s="75">
        <v>0</v>
      </c>
      <c r="AL78" s="95">
        <v>1</v>
      </c>
      <c r="AM78" s="92">
        <v>0</v>
      </c>
      <c r="AN78" s="79" t="s">
        <v>80</v>
      </c>
      <c r="AO78" s="75">
        <v>1</v>
      </c>
      <c r="AP78" s="75" t="s">
        <v>83</v>
      </c>
      <c r="AQ78" s="122">
        <v>1</v>
      </c>
      <c r="AR78" s="515" t="s">
        <v>35</v>
      </c>
      <c r="AS78" s="95">
        <v>0</v>
      </c>
      <c r="AT78" s="75">
        <v>1</v>
      </c>
      <c r="AU78" s="75">
        <v>0</v>
      </c>
      <c r="AV78" s="75">
        <v>0</v>
      </c>
      <c r="AW78" s="123">
        <v>0</v>
      </c>
      <c r="AX78" s="516"/>
      <c r="AY78" s="75">
        <v>0</v>
      </c>
      <c r="AZ78" s="77" t="s">
        <v>131</v>
      </c>
      <c r="BA78" s="78" t="s">
        <v>131</v>
      </c>
      <c r="BB78" s="78" t="s">
        <v>131</v>
      </c>
      <c r="BC78" s="78" t="s">
        <v>131</v>
      </c>
      <c r="BD78" s="78" t="s">
        <v>131</v>
      </c>
      <c r="BE78" s="78" t="s">
        <v>131</v>
      </c>
      <c r="BF78" s="78" t="s">
        <v>131</v>
      </c>
      <c r="BG78" s="78" t="s">
        <v>132</v>
      </c>
      <c r="BH78" s="75" t="s">
        <v>5970</v>
      </c>
      <c r="BI78" s="295" t="s">
        <v>4478</v>
      </c>
      <c r="BJ78" s="546">
        <v>1</v>
      </c>
      <c r="BK78" s="294">
        <v>1</v>
      </c>
      <c r="BL78" s="157">
        <v>1</v>
      </c>
      <c r="BM78" s="548" t="s">
        <v>1340</v>
      </c>
      <c r="BN78" s="548" t="s">
        <v>4158</v>
      </c>
      <c r="BO78" s="157" t="s">
        <v>4476</v>
      </c>
      <c r="BP78" s="548" t="s">
        <v>4479</v>
      </c>
      <c r="BQ78" s="157" t="s">
        <v>4475</v>
      </c>
      <c r="BR78" s="157"/>
    </row>
    <row r="79" spans="1:70" x14ac:dyDescent="0.25">
      <c r="A79" s="19" t="s">
        <v>3686</v>
      </c>
      <c r="B79" s="37" t="s">
        <v>4953</v>
      </c>
      <c r="C79" s="90">
        <v>45510.791886574072</v>
      </c>
      <c r="D79" s="114">
        <v>45510.541886574072</v>
      </c>
      <c r="E79" s="38">
        <v>45510</v>
      </c>
      <c r="F79" s="91">
        <v>2024</v>
      </c>
      <c r="G79" s="93">
        <v>8</v>
      </c>
      <c r="H79" s="37" t="s">
        <v>475</v>
      </c>
      <c r="I79" s="37"/>
      <c r="J79" s="103">
        <v>-92.64525822777</v>
      </c>
      <c r="K79" s="40">
        <v>44.06931397302818</v>
      </c>
      <c r="L79" s="74"/>
      <c r="M79" s="272" t="s">
        <v>16</v>
      </c>
      <c r="N79" s="74">
        <v>0</v>
      </c>
      <c r="O79" s="94"/>
      <c r="P79" s="118">
        <v>0</v>
      </c>
      <c r="Q79" s="510"/>
      <c r="R79" s="513"/>
      <c r="S79" s="41"/>
      <c r="T79" s="40"/>
      <c r="U79" s="40"/>
      <c r="V79" s="119">
        <v>0</v>
      </c>
      <c r="W79" s="40"/>
      <c r="X79" s="119">
        <v>1</v>
      </c>
      <c r="Y79" s="40">
        <v>63</v>
      </c>
      <c r="Z79" s="119">
        <v>1</v>
      </c>
      <c r="AA79" s="368">
        <v>0</v>
      </c>
      <c r="AB79" s="535">
        <v>10</v>
      </c>
      <c r="AC79" s="39" t="s">
        <v>160</v>
      </c>
      <c r="AD79" s="75" t="s">
        <v>16</v>
      </c>
      <c r="AE79" s="95">
        <v>-1</v>
      </c>
      <c r="AF79" s="75">
        <v>-1</v>
      </c>
      <c r="AG79" s="75">
        <v>-1</v>
      </c>
      <c r="AH79" s="75">
        <v>-1</v>
      </c>
      <c r="AI79" s="75">
        <v>-1</v>
      </c>
      <c r="AJ79" s="75">
        <v>-1</v>
      </c>
      <c r="AK79" s="75">
        <v>-1</v>
      </c>
      <c r="AL79" s="95">
        <v>-1</v>
      </c>
      <c r="AM79" s="92">
        <v>1</v>
      </c>
      <c r="AN79" s="79" t="s">
        <v>195</v>
      </c>
      <c r="AO79" s="75">
        <v>1</v>
      </c>
      <c r="AP79" s="75" t="s">
        <v>85</v>
      </c>
      <c r="AQ79" s="122">
        <v>1</v>
      </c>
      <c r="AR79" s="515" t="s">
        <v>10</v>
      </c>
      <c r="AS79" s="95">
        <v>0</v>
      </c>
      <c r="AT79" s="75">
        <v>0</v>
      </c>
      <c r="AU79" s="75">
        <v>0</v>
      </c>
      <c r="AV79" s="75">
        <v>0</v>
      </c>
      <c r="AW79" s="123">
        <v>0</v>
      </c>
      <c r="AX79" s="516" t="s">
        <v>4954</v>
      </c>
      <c r="AY79" s="75">
        <v>1</v>
      </c>
      <c r="AZ79" s="77" t="s">
        <v>5971</v>
      </c>
      <c r="BA79" s="78" t="s">
        <v>5971</v>
      </c>
      <c r="BB79" s="78" t="s">
        <v>5971</v>
      </c>
      <c r="BC79" s="78" t="s">
        <v>5971</v>
      </c>
      <c r="BD79" s="78" t="s">
        <v>5971</v>
      </c>
      <c r="BE79" s="78" t="s">
        <v>5971</v>
      </c>
      <c r="BF79" s="78" t="s">
        <v>5971</v>
      </c>
      <c r="BG79" s="78" t="s">
        <v>5971</v>
      </c>
      <c r="BH79" s="75" t="s">
        <v>5971</v>
      </c>
      <c r="BI79" s="295" t="s">
        <v>5823</v>
      </c>
      <c r="BJ79" s="546" t="s">
        <v>16</v>
      </c>
      <c r="BK79" s="294" t="s">
        <v>16</v>
      </c>
      <c r="BL79" s="157" t="s">
        <v>16</v>
      </c>
      <c r="BM79" s="548" t="s">
        <v>1339</v>
      </c>
      <c r="BN79" s="548" t="s">
        <v>1339</v>
      </c>
      <c r="BO79" s="157" t="s">
        <v>5822</v>
      </c>
      <c r="BP79" s="548" t="s">
        <v>5823</v>
      </c>
      <c r="BQ79" s="157" t="s">
        <v>5821</v>
      </c>
      <c r="BR79" s="157"/>
    </row>
    <row r="80" spans="1:70" x14ac:dyDescent="0.25">
      <c r="A80" s="19" t="s">
        <v>3686</v>
      </c>
      <c r="B80" s="37" t="s">
        <v>4955</v>
      </c>
      <c r="C80" s="90">
        <v>45507.579548611109</v>
      </c>
      <c r="D80" s="114">
        <v>45507.329548611109</v>
      </c>
      <c r="E80" s="38">
        <v>45507</v>
      </c>
      <c r="F80" s="91">
        <v>2024</v>
      </c>
      <c r="G80" s="93">
        <v>8</v>
      </c>
      <c r="H80" s="37" t="s">
        <v>475</v>
      </c>
      <c r="I80" s="37"/>
      <c r="J80" s="103">
        <v>-92.221247748180758</v>
      </c>
      <c r="K80" s="40">
        <v>43.637165298497194</v>
      </c>
      <c r="L80" s="74"/>
      <c r="M80" s="272" t="s">
        <v>4956</v>
      </c>
      <c r="N80" s="74">
        <v>1</v>
      </c>
      <c r="O80" s="94"/>
      <c r="P80" s="118">
        <v>1</v>
      </c>
      <c r="Q80" s="510">
        <v>180</v>
      </c>
      <c r="R80" s="513">
        <v>180</v>
      </c>
      <c r="S80" s="41"/>
      <c r="T80" s="40"/>
      <c r="U80" s="40">
        <v>8</v>
      </c>
      <c r="V80" s="119">
        <v>1</v>
      </c>
      <c r="W80" s="40">
        <v>0</v>
      </c>
      <c r="X80" s="119">
        <v>1</v>
      </c>
      <c r="Y80" s="40">
        <v>55</v>
      </c>
      <c r="Z80" s="119">
        <v>1</v>
      </c>
      <c r="AA80" s="368">
        <v>0</v>
      </c>
      <c r="AB80" s="535">
        <v>5</v>
      </c>
      <c r="AC80" s="39" t="s">
        <v>160</v>
      </c>
      <c r="AD80" s="75" t="s">
        <v>10</v>
      </c>
      <c r="AE80" s="95">
        <v>0</v>
      </c>
      <c r="AF80" s="75">
        <v>0</v>
      </c>
      <c r="AG80" s="75">
        <v>0</v>
      </c>
      <c r="AH80" s="75">
        <v>0</v>
      </c>
      <c r="AI80" s="75">
        <v>0</v>
      </c>
      <c r="AJ80" s="75">
        <v>0</v>
      </c>
      <c r="AK80" s="75">
        <v>0</v>
      </c>
      <c r="AL80" s="95">
        <v>1</v>
      </c>
      <c r="AM80" s="92">
        <v>0</v>
      </c>
      <c r="AN80" s="79" t="s">
        <v>81</v>
      </c>
      <c r="AO80" s="75">
        <v>1</v>
      </c>
      <c r="AP80" s="75" t="s">
        <v>83</v>
      </c>
      <c r="AQ80" s="122">
        <v>1</v>
      </c>
      <c r="AR80" s="515" t="s">
        <v>10</v>
      </c>
      <c r="AS80" s="95">
        <v>0</v>
      </c>
      <c r="AT80" s="75">
        <v>0</v>
      </c>
      <c r="AU80" s="75">
        <v>0</v>
      </c>
      <c r="AV80" s="75">
        <v>0</v>
      </c>
      <c r="AW80" s="123">
        <v>0</v>
      </c>
      <c r="AX80" s="516" t="s">
        <v>4957</v>
      </c>
      <c r="AY80" s="75">
        <v>1</v>
      </c>
      <c r="AZ80" s="77" t="s">
        <v>131</v>
      </c>
      <c r="BA80" s="78" t="s">
        <v>131</v>
      </c>
      <c r="BB80" s="78" t="s">
        <v>131</v>
      </c>
      <c r="BC80" s="78" t="s">
        <v>131</v>
      </c>
      <c r="BD80" s="78" t="s">
        <v>131</v>
      </c>
      <c r="BE80" s="78" t="s">
        <v>131</v>
      </c>
      <c r="BF80" s="78" t="s">
        <v>131</v>
      </c>
      <c r="BG80" s="78" t="s">
        <v>132</v>
      </c>
      <c r="BH80" s="75" t="s">
        <v>5970</v>
      </c>
      <c r="BI80" s="295" t="s">
        <v>2263</v>
      </c>
      <c r="BJ80" s="546">
        <v>1</v>
      </c>
      <c r="BK80" s="294" t="s">
        <v>16</v>
      </c>
      <c r="BL80" s="157" t="s">
        <v>16</v>
      </c>
      <c r="BM80" s="548" t="s">
        <v>1339</v>
      </c>
      <c r="BN80" s="548" t="s">
        <v>1339</v>
      </c>
      <c r="BO80" s="157" t="s">
        <v>4694</v>
      </c>
      <c r="BP80" s="548" t="s">
        <v>2263</v>
      </c>
      <c r="BQ80" s="157" t="s">
        <v>4229</v>
      </c>
      <c r="BR80" s="157"/>
    </row>
    <row r="81" spans="1:70" x14ac:dyDescent="0.25">
      <c r="A81" s="19" t="s">
        <v>3686</v>
      </c>
      <c r="B81" s="37" t="s">
        <v>4958</v>
      </c>
      <c r="C81" s="90">
        <v>45507.56040509259</v>
      </c>
      <c r="D81" s="114">
        <v>45507.31040509259</v>
      </c>
      <c r="E81" s="38">
        <v>45507</v>
      </c>
      <c r="F81" s="91">
        <v>2024</v>
      </c>
      <c r="G81" s="93">
        <v>8</v>
      </c>
      <c r="H81" s="37" t="s">
        <v>475</v>
      </c>
      <c r="I81" s="37"/>
      <c r="J81" s="103">
        <v>-92.224420403301835</v>
      </c>
      <c r="K81" s="40">
        <v>43.622693905811147</v>
      </c>
      <c r="L81" s="74"/>
      <c r="M81" s="272" t="s">
        <v>4959</v>
      </c>
      <c r="N81" s="74">
        <v>1</v>
      </c>
      <c r="O81" s="94"/>
      <c r="P81" s="118">
        <v>1</v>
      </c>
      <c r="Q81" s="510">
        <v>180</v>
      </c>
      <c r="R81" s="513">
        <v>180</v>
      </c>
      <c r="S81" s="41"/>
      <c r="T81" s="40"/>
      <c r="U81" s="40">
        <v>7</v>
      </c>
      <c r="V81" s="119">
        <v>1</v>
      </c>
      <c r="W81" s="40">
        <v>0</v>
      </c>
      <c r="X81" s="119">
        <v>1</v>
      </c>
      <c r="Y81" s="40">
        <v>65</v>
      </c>
      <c r="Z81" s="119">
        <v>1</v>
      </c>
      <c r="AA81" s="368">
        <v>0</v>
      </c>
      <c r="AB81" s="535">
        <v>5</v>
      </c>
      <c r="AC81" s="39" t="s">
        <v>160</v>
      </c>
      <c r="AD81" s="75" t="s">
        <v>10</v>
      </c>
      <c r="AE81" s="95">
        <v>0</v>
      </c>
      <c r="AF81" s="75">
        <v>0</v>
      </c>
      <c r="AG81" s="75">
        <v>0</v>
      </c>
      <c r="AH81" s="75">
        <v>0</v>
      </c>
      <c r="AI81" s="75">
        <v>0</v>
      </c>
      <c r="AJ81" s="75">
        <v>0</v>
      </c>
      <c r="AK81" s="75">
        <v>0</v>
      </c>
      <c r="AL81" s="95">
        <v>1</v>
      </c>
      <c r="AM81" s="92">
        <v>0</v>
      </c>
      <c r="AN81" s="79" t="s">
        <v>80</v>
      </c>
      <c r="AO81" s="75">
        <v>1</v>
      </c>
      <c r="AP81" s="75" t="s">
        <v>83</v>
      </c>
      <c r="AQ81" s="122">
        <v>1</v>
      </c>
      <c r="AR81" s="515" t="s">
        <v>10</v>
      </c>
      <c r="AS81" s="95">
        <v>0</v>
      </c>
      <c r="AT81" s="75">
        <v>0</v>
      </c>
      <c r="AU81" s="75">
        <v>0</v>
      </c>
      <c r="AV81" s="75">
        <v>0</v>
      </c>
      <c r="AW81" s="123">
        <v>0</v>
      </c>
      <c r="AX81" s="516" t="s">
        <v>4960</v>
      </c>
      <c r="AY81" s="75">
        <v>1</v>
      </c>
      <c r="AZ81" s="77" t="s">
        <v>131</v>
      </c>
      <c r="BA81" s="78" t="s">
        <v>131</v>
      </c>
      <c r="BB81" s="78" t="s">
        <v>131</v>
      </c>
      <c r="BC81" s="78" t="s">
        <v>131</v>
      </c>
      <c r="BD81" s="78" t="s">
        <v>131</v>
      </c>
      <c r="BE81" s="78" t="s">
        <v>131</v>
      </c>
      <c r="BF81" s="78" t="s">
        <v>131</v>
      </c>
      <c r="BG81" s="78" t="s">
        <v>132</v>
      </c>
      <c r="BH81" s="75" t="s">
        <v>5970</v>
      </c>
      <c r="BI81" s="295" t="s">
        <v>16</v>
      </c>
      <c r="BJ81" s="546">
        <v>1</v>
      </c>
      <c r="BK81" s="294" t="s">
        <v>16</v>
      </c>
      <c r="BL81" s="157" t="s">
        <v>16</v>
      </c>
      <c r="BM81" s="548" t="s">
        <v>1339</v>
      </c>
      <c r="BN81" s="548" t="s">
        <v>1339</v>
      </c>
      <c r="BO81" s="157" t="s">
        <v>4332</v>
      </c>
      <c r="BP81" s="548" t="s">
        <v>4333</v>
      </c>
      <c r="BQ81" s="157" t="s">
        <v>4229</v>
      </c>
      <c r="BR81" s="157"/>
    </row>
    <row r="82" spans="1:70" x14ac:dyDescent="0.25">
      <c r="A82" s="19" t="s">
        <v>3686</v>
      </c>
      <c r="B82" s="37" t="s">
        <v>4961</v>
      </c>
      <c r="C82" s="90">
        <v>45507.546030092592</v>
      </c>
      <c r="D82" s="114">
        <v>45507.296030092592</v>
      </c>
      <c r="E82" s="38">
        <v>45507</v>
      </c>
      <c r="F82" s="91">
        <v>2024</v>
      </c>
      <c r="G82" s="93">
        <v>8</v>
      </c>
      <c r="H82" s="37" t="s">
        <v>475</v>
      </c>
      <c r="I82" s="37" t="s">
        <v>16</v>
      </c>
      <c r="J82" s="103">
        <v>-92.224484267252464</v>
      </c>
      <c r="K82" s="40">
        <v>43.622245810493375</v>
      </c>
      <c r="L82" s="74"/>
      <c r="M82" s="272" t="s">
        <v>4962</v>
      </c>
      <c r="N82" s="74">
        <v>1</v>
      </c>
      <c r="O82" s="94"/>
      <c r="P82" s="118">
        <v>1</v>
      </c>
      <c r="Q82" s="510">
        <v>180</v>
      </c>
      <c r="R82" s="513">
        <v>180</v>
      </c>
      <c r="S82" s="41"/>
      <c r="T82" s="40"/>
      <c r="U82" s="40">
        <v>7</v>
      </c>
      <c r="V82" s="119">
        <v>1</v>
      </c>
      <c r="W82" s="40">
        <v>0</v>
      </c>
      <c r="X82" s="119">
        <v>1</v>
      </c>
      <c r="Y82" s="40">
        <v>50</v>
      </c>
      <c r="Z82" s="119">
        <v>1</v>
      </c>
      <c r="AA82" s="368">
        <v>0</v>
      </c>
      <c r="AB82" s="535">
        <v>10</v>
      </c>
      <c r="AC82" s="39" t="s">
        <v>160</v>
      </c>
      <c r="AD82" s="75" t="s">
        <v>10</v>
      </c>
      <c r="AE82" s="95">
        <v>0</v>
      </c>
      <c r="AF82" s="75">
        <v>0</v>
      </c>
      <c r="AG82" s="75">
        <v>0</v>
      </c>
      <c r="AH82" s="75">
        <v>0</v>
      </c>
      <c r="AI82" s="75">
        <v>0</v>
      </c>
      <c r="AJ82" s="75">
        <v>0</v>
      </c>
      <c r="AK82" s="75">
        <v>0</v>
      </c>
      <c r="AL82" s="95">
        <v>1</v>
      </c>
      <c r="AM82" s="92">
        <v>0</v>
      </c>
      <c r="AN82" s="79" t="s">
        <v>81</v>
      </c>
      <c r="AO82" s="75">
        <v>1</v>
      </c>
      <c r="AP82" s="75" t="s">
        <v>83</v>
      </c>
      <c r="AQ82" s="122">
        <v>1</v>
      </c>
      <c r="AR82" s="515" t="s">
        <v>10</v>
      </c>
      <c r="AS82" s="95">
        <v>0</v>
      </c>
      <c r="AT82" s="75">
        <v>0</v>
      </c>
      <c r="AU82" s="75">
        <v>0</v>
      </c>
      <c r="AV82" s="75">
        <v>0</v>
      </c>
      <c r="AW82" s="123">
        <v>0</v>
      </c>
      <c r="AX82" s="516" t="s">
        <v>4963</v>
      </c>
      <c r="AY82" s="75">
        <v>1</v>
      </c>
      <c r="AZ82" s="77" t="s">
        <v>131</v>
      </c>
      <c r="BA82" s="78" t="s">
        <v>131</v>
      </c>
      <c r="BB82" s="78" t="s">
        <v>131</v>
      </c>
      <c r="BC82" s="78" t="s">
        <v>131</v>
      </c>
      <c r="BD82" s="78" t="s">
        <v>131</v>
      </c>
      <c r="BE82" s="78" t="s">
        <v>131</v>
      </c>
      <c r="BF82" s="78" t="s">
        <v>131</v>
      </c>
      <c r="BG82" s="78" t="s">
        <v>132</v>
      </c>
      <c r="BH82" s="75" t="s">
        <v>5970</v>
      </c>
      <c r="BI82" s="295" t="s">
        <v>2232</v>
      </c>
      <c r="BJ82" s="546">
        <v>1</v>
      </c>
      <c r="BK82" s="294" t="s">
        <v>16</v>
      </c>
      <c r="BL82" s="157" t="s">
        <v>16</v>
      </c>
      <c r="BM82" s="548" t="s">
        <v>1339</v>
      </c>
      <c r="BN82" s="548" t="s">
        <v>1339</v>
      </c>
      <c r="BO82" s="157" t="s">
        <v>4332</v>
      </c>
      <c r="BP82" s="548" t="s">
        <v>4333</v>
      </c>
      <c r="BQ82" s="157" t="s">
        <v>4229</v>
      </c>
      <c r="BR82" s="157"/>
    </row>
    <row r="83" spans="1:70" x14ac:dyDescent="0.25">
      <c r="A83" s="19" t="s">
        <v>3686</v>
      </c>
      <c r="B83" s="37" t="s">
        <v>4964</v>
      </c>
      <c r="C83" s="90">
        <v>45507.50953703704</v>
      </c>
      <c r="D83" s="114">
        <v>45507.25953703704</v>
      </c>
      <c r="E83" s="38">
        <v>45507</v>
      </c>
      <c r="F83" s="91">
        <v>2024</v>
      </c>
      <c r="G83" s="93">
        <v>8</v>
      </c>
      <c r="H83" s="37" t="s">
        <v>475</v>
      </c>
      <c r="I83" s="37"/>
      <c r="J83" s="103">
        <v>-92.270443619180256</v>
      </c>
      <c r="K83" s="40">
        <v>43.757772689439371</v>
      </c>
      <c r="L83" s="74"/>
      <c r="M83" s="272" t="s">
        <v>4965</v>
      </c>
      <c r="N83" s="74">
        <v>1</v>
      </c>
      <c r="O83" s="94"/>
      <c r="P83" s="118">
        <v>1</v>
      </c>
      <c r="Q83" s="510">
        <v>180</v>
      </c>
      <c r="R83" s="513">
        <v>180</v>
      </c>
      <c r="S83" s="41"/>
      <c r="T83" s="40"/>
      <c r="U83" s="40">
        <v>7</v>
      </c>
      <c r="V83" s="119">
        <v>1</v>
      </c>
      <c r="W83" s="40">
        <v>0</v>
      </c>
      <c r="X83" s="119">
        <v>1</v>
      </c>
      <c r="Y83" s="40">
        <v>67</v>
      </c>
      <c r="Z83" s="119">
        <v>1</v>
      </c>
      <c r="AA83" s="368">
        <v>0</v>
      </c>
      <c r="AB83" s="535">
        <v>5</v>
      </c>
      <c r="AC83" s="39" t="s">
        <v>160</v>
      </c>
      <c r="AD83" s="75" t="s">
        <v>10</v>
      </c>
      <c r="AE83" s="95">
        <v>0</v>
      </c>
      <c r="AF83" s="75">
        <v>0</v>
      </c>
      <c r="AG83" s="75">
        <v>0</v>
      </c>
      <c r="AH83" s="75">
        <v>0</v>
      </c>
      <c r="AI83" s="75">
        <v>0</v>
      </c>
      <c r="AJ83" s="75">
        <v>0</v>
      </c>
      <c r="AK83" s="75">
        <v>0</v>
      </c>
      <c r="AL83" s="95">
        <v>1</v>
      </c>
      <c r="AM83" s="92">
        <v>0</v>
      </c>
      <c r="AN83" s="79" t="s">
        <v>81</v>
      </c>
      <c r="AO83" s="75">
        <v>1</v>
      </c>
      <c r="AP83" s="75" t="s">
        <v>84</v>
      </c>
      <c r="AQ83" s="122">
        <v>1</v>
      </c>
      <c r="AR83" s="515" t="s">
        <v>10</v>
      </c>
      <c r="AS83" s="95">
        <v>0</v>
      </c>
      <c r="AT83" s="75">
        <v>0</v>
      </c>
      <c r="AU83" s="75">
        <v>0</v>
      </c>
      <c r="AV83" s="75">
        <v>0</v>
      </c>
      <c r="AW83" s="123">
        <v>0</v>
      </c>
      <c r="AX83" s="516" t="s">
        <v>4966</v>
      </c>
      <c r="AY83" s="75">
        <v>1</v>
      </c>
      <c r="AZ83" s="77" t="s">
        <v>131</v>
      </c>
      <c r="BA83" s="78" t="s">
        <v>131</v>
      </c>
      <c r="BB83" s="78" t="s">
        <v>131</v>
      </c>
      <c r="BC83" s="78" t="s">
        <v>131</v>
      </c>
      <c r="BD83" s="78" t="s">
        <v>131</v>
      </c>
      <c r="BE83" s="78" t="s">
        <v>131</v>
      </c>
      <c r="BF83" s="78" t="s">
        <v>131</v>
      </c>
      <c r="BG83" s="78" t="s">
        <v>132</v>
      </c>
      <c r="BH83" s="75" t="s">
        <v>5970</v>
      </c>
      <c r="BI83" s="295" t="s">
        <v>4228</v>
      </c>
      <c r="BJ83" s="546" t="s">
        <v>16</v>
      </c>
      <c r="BK83" s="294" t="s">
        <v>16</v>
      </c>
      <c r="BL83" s="157" t="s">
        <v>16</v>
      </c>
      <c r="BM83" s="548" t="s">
        <v>1339</v>
      </c>
      <c r="BN83" s="548" t="s">
        <v>1339</v>
      </c>
      <c r="BO83" s="157" t="s">
        <v>4329</v>
      </c>
      <c r="BP83" s="548" t="s">
        <v>4228</v>
      </c>
      <c r="BQ83" s="157" t="s">
        <v>4226</v>
      </c>
      <c r="BR83" s="157"/>
    </row>
    <row r="84" spans="1:70" x14ac:dyDescent="0.25">
      <c r="A84" s="19" t="s">
        <v>3686</v>
      </c>
      <c r="B84" s="37" t="s">
        <v>4967</v>
      </c>
      <c r="C84" s="90">
        <v>45507.489884259259</v>
      </c>
      <c r="D84" s="114">
        <v>45507.239884259259</v>
      </c>
      <c r="E84" s="38">
        <v>45507</v>
      </c>
      <c r="F84" s="91">
        <v>2024</v>
      </c>
      <c r="G84" s="93">
        <v>8</v>
      </c>
      <c r="H84" s="37" t="s">
        <v>475</v>
      </c>
      <c r="I84" s="37"/>
      <c r="J84" s="103">
        <v>-92.251751805587759</v>
      </c>
      <c r="K84" s="40">
        <v>43.786536043720822</v>
      </c>
      <c r="L84" s="74"/>
      <c r="M84" s="272" t="s">
        <v>4968</v>
      </c>
      <c r="N84" s="74">
        <v>1</v>
      </c>
      <c r="O84" s="94"/>
      <c r="P84" s="118">
        <v>1</v>
      </c>
      <c r="Q84" s="510">
        <v>180</v>
      </c>
      <c r="R84" s="513">
        <v>180</v>
      </c>
      <c r="S84" s="41"/>
      <c r="T84" s="40"/>
      <c r="U84" s="40">
        <v>7</v>
      </c>
      <c r="V84" s="119">
        <v>1</v>
      </c>
      <c r="W84" s="40">
        <v>0</v>
      </c>
      <c r="X84" s="119">
        <v>1</v>
      </c>
      <c r="Y84" s="40">
        <v>55</v>
      </c>
      <c r="Z84" s="119">
        <v>1</v>
      </c>
      <c r="AA84" s="368">
        <v>0</v>
      </c>
      <c r="AB84" s="535">
        <v>5</v>
      </c>
      <c r="AC84" s="39" t="s">
        <v>160</v>
      </c>
      <c r="AD84" s="75" t="s">
        <v>10</v>
      </c>
      <c r="AE84" s="95">
        <v>0</v>
      </c>
      <c r="AF84" s="75">
        <v>0</v>
      </c>
      <c r="AG84" s="75">
        <v>0</v>
      </c>
      <c r="AH84" s="75">
        <v>0</v>
      </c>
      <c r="AI84" s="75">
        <v>0</v>
      </c>
      <c r="AJ84" s="75">
        <v>0</v>
      </c>
      <c r="AK84" s="75">
        <v>0</v>
      </c>
      <c r="AL84" s="95">
        <v>1</v>
      </c>
      <c r="AM84" s="92">
        <v>0</v>
      </c>
      <c r="AN84" s="79" t="s">
        <v>80</v>
      </c>
      <c r="AO84" s="75">
        <v>1</v>
      </c>
      <c r="AP84" s="75" t="s">
        <v>83</v>
      </c>
      <c r="AQ84" s="122">
        <v>1</v>
      </c>
      <c r="AR84" s="515" t="s">
        <v>10</v>
      </c>
      <c r="AS84" s="95">
        <v>0</v>
      </c>
      <c r="AT84" s="75">
        <v>0</v>
      </c>
      <c r="AU84" s="75">
        <v>0</v>
      </c>
      <c r="AV84" s="75">
        <v>0</v>
      </c>
      <c r="AW84" s="123">
        <v>0</v>
      </c>
      <c r="AX84" s="516" t="s">
        <v>4969</v>
      </c>
      <c r="AY84" s="75">
        <v>1</v>
      </c>
      <c r="AZ84" s="77" t="s">
        <v>131</v>
      </c>
      <c r="BA84" s="78" t="s">
        <v>131</v>
      </c>
      <c r="BB84" s="78" t="s">
        <v>131</v>
      </c>
      <c r="BC84" s="78" t="s">
        <v>131</v>
      </c>
      <c r="BD84" s="78" t="s">
        <v>131</v>
      </c>
      <c r="BE84" s="78" t="s">
        <v>131</v>
      </c>
      <c r="BF84" s="78" t="s">
        <v>131</v>
      </c>
      <c r="BG84" s="78" t="s">
        <v>132</v>
      </c>
      <c r="BH84" s="75" t="s">
        <v>5970</v>
      </c>
      <c r="BI84" s="295" t="s">
        <v>2251</v>
      </c>
      <c r="BJ84" s="546">
        <v>1</v>
      </c>
      <c r="BK84" s="294" t="s">
        <v>16</v>
      </c>
      <c r="BL84" s="157" t="s">
        <v>16</v>
      </c>
      <c r="BM84" s="548" t="s">
        <v>1339</v>
      </c>
      <c r="BN84" s="548" t="s">
        <v>1339</v>
      </c>
      <c r="BO84" s="157" t="s">
        <v>4329</v>
      </c>
      <c r="BP84" s="548" t="s">
        <v>4228</v>
      </c>
      <c r="BQ84" s="157" t="s">
        <v>4226</v>
      </c>
      <c r="BR84" s="157"/>
    </row>
    <row r="85" spans="1:70" x14ac:dyDescent="0.25">
      <c r="A85" s="19" t="s">
        <v>3686</v>
      </c>
      <c r="B85" s="37" t="s">
        <v>4970</v>
      </c>
      <c r="C85" s="90">
        <v>45507.47457175926</v>
      </c>
      <c r="D85" s="114">
        <v>45507.22457175926</v>
      </c>
      <c r="E85" s="38">
        <v>45507</v>
      </c>
      <c r="F85" s="91">
        <v>2024</v>
      </c>
      <c r="G85" s="93">
        <v>8</v>
      </c>
      <c r="H85" s="37" t="s">
        <v>475</v>
      </c>
      <c r="I85" s="37"/>
      <c r="J85" s="103">
        <v>-92.195335975044443</v>
      </c>
      <c r="K85" s="40">
        <v>43.811327614799843</v>
      </c>
      <c r="L85" s="74"/>
      <c r="M85" s="272" t="s">
        <v>16</v>
      </c>
      <c r="N85" s="74">
        <v>0</v>
      </c>
      <c r="O85" s="94"/>
      <c r="P85" s="118">
        <v>1</v>
      </c>
      <c r="Q85" s="510">
        <v>180</v>
      </c>
      <c r="R85" s="513">
        <v>180</v>
      </c>
      <c r="S85" s="41"/>
      <c r="T85" s="40"/>
      <c r="U85" s="40">
        <v>7</v>
      </c>
      <c r="V85" s="119">
        <v>1</v>
      </c>
      <c r="W85" s="40">
        <v>0</v>
      </c>
      <c r="X85" s="119">
        <v>1</v>
      </c>
      <c r="Y85" s="40">
        <v>61</v>
      </c>
      <c r="Z85" s="119">
        <v>1</v>
      </c>
      <c r="AA85" s="368">
        <v>0</v>
      </c>
      <c r="AB85" s="535">
        <v>5</v>
      </c>
      <c r="AC85" s="39" t="s">
        <v>160</v>
      </c>
      <c r="AD85" s="75" t="s">
        <v>10</v>
      </c>
      <c r="AE85" s="95">
        <v>0</v>
      </c>
      <c r="AF85" s="75">
        <v>0</v>
      </c>
      <c r="AG85" s="75">
        <v>0</v>
      </c>
      <c r="AH85" s="75">
        <v>0</v>
      </c>
      <c r="AI85" s="75">
        <v>0</v>
      </c>
      <c r="AJ85" s="75">
        <v>0</v>
      </c>
      <c r="AK85" s="75">
        <v>0</v>
      </c>
      <c r="AL85" s="95">
        <v>1</v>
      </c>
      <c r="AM85" s="92">
        <v>0</v>
      </c>
      <c r="AN85" s="79" t="s">
        <v>81</v>
      </c>
      <c r="AO85" s="75">
        <v>1</v>
      </c>
      <c r="AP85" s="75" t="s">
        <v>83</v>
      </c>
      <c r="AQ85" s="122">
        <v>1</v>
      </c>
      <c r="AR85" s="515" t="s">
        <v>10</v>
      </c>
      <c r="AS85" s="95">
        <v>0</v>
      </c>
      <c r="AT85" s="75">
        <v>0</v>
      </c>
      <c r="AU85" s="75">
        <v>0</v>
      </c>
      <c r="AV85" s="75">
        <v>0</v>
      </c>
      <c r="AW85" s="123">
        <v>0</v>
      </c>
      <c r="AX85" s="516" t="s">
        <v>4971</v>
      </c>
      <c r="AY85" s="75">
        <v>1</v>
      </c>
      <c r="AZ85" s="77" t="s">
        <v>131</v>
      </c>
      <c r="BA85" s="78" t="s">
        <v>131</v>
      </c>
      <c r="BB85" s="78" t="s">
        <v>131</v>
      </c>
      <c r="BC85" s="78" t="s">
        <v>131</v>
      </c>
      <c r="BD85" s="78" t="s">
        <v>131</v>
      </c>
      <c r="BE85" s="78" t="s">
        <v>131</v>
      </c>
      <c r="BF85" s="78" t="s">
        <v>131</v>
      </c>
      <c r="BG85" s="78" t="s">
        <v>132</v>
      </c>
      <c r="BH85" s="75" t="s">
        <v>5970</v>
      </c>
      <c r="BI85" s="295" t="s">
        <v>2260</v>
      </c>
      <c r="BJ85" s="546">
        <v>1</v>
      </c>
      <c r="BK85" s="294" t="s">
        <v>16</v>
      </c>
      <c r="BL85" s="157" t="s">
        <v>16</v>
      </c>
      <c r="BM85" s="548" t="s">
        <v>1339</v>
      </c>
      <c r="BN85" s="548" t="s">
        <v>1339</v>
      </c>
      <c r="BO85" s="157" t="s">
        <v>4726</v>
      </c>
      <c r="BP85" s="548" t="s">
        <v>2260</v>
      </c>
      <c r="BQ85" s="157" t="s">
        <v>4226</v>
      </c>
      <c r="BR85" s="157"/>
    </row>
    <row r="86" spans="1:70" x14ac:dyDescent="0.25">
      <c r="A86" s="19" t="s">
        <v>3686</v>
      </c>
      <c r="B86" s="37" t="s">
        <v>4972</v>
      </c>
      <c r="C86" s="90">
        <v>45506.746087962965</v>
      </c>
      <c r="D86" s="114">
        <v>45506.496087962965</v>
      </c>
      <c r="E86" s="38">
        <v>45506</v>
      </c>
      <c r="F86" s="91">
        <v>2024</v>
      </c>
      <c r="G86" s="93">
        <v>8</v>
      </c>
      <c r="H86" s="37" t="s">
        <v>1378</v>
      </c>
      <c r="I86" s="37"/>
      <c r="J86" s="103">
        <v>-91.121930923571597</v>
      </c>
      <c r="K86" s="40">
        <v>43.393475655655337</v>
      </c>
      <c r="L86" s="74"/>
      <c r="M86" s="272" t="s">
        <v>4973</v>
      </c>
      <c r="N86" s="74">
        <v>1</v>
      </c>
      <c r="O86" s="94"/>
      <c r="P86" s="118">
        <v>1</v>
      </c>
      <c r="Q86" s="510">
        <v>180</v>
      </c>
      <c r="R86" s="513">
        <v>120</v>
      </c>
      <c r="S86" s="41"/>
      <c r="T86" s="40"/>
      <c r="U86" s="40">
        <v>8</v>
      </c>
      <c r="V86" s="119">
        <v>1</v>
      </c>
      <c r="W86" s="40">
        <v>0</v>
      </c>
      <c r="X86" s="119">
        <v>1</v>
      </c>
      <c r="Y86" s="40">
        <v>66</v>
      </c>
      <c r="Z86" s="119">
        <v>1</v>
      </c>
      <c r="AA86" s="368">
        <v>0</v>
      </c>
      <c r="AB86" s="535">
        <v>2</v>
      </c>
      <c r="AC86" s="39" t="s">
        <v>160</v>
      </c>
      <c r="AD86" s="75" t="s">
        <v>10</v>
      </c>
      <c r="AE86" s="95">
        <v>0</v>
      </c>
      <c r="AF86" s="75">
        <v>0</v>
      </c>
      <c r="AG86" s="75">
        <v>0</v>
      </c>
      <c r="AH86" s="75">
        <v>0</v>
      </c>
      <c r="AI86" s="75">
        <v>0</v>
      </c>
      <c r="AJ86" s="75">
        <v>0</v>
      </c>
      <c r="AK86" s="75">
        <v>0</v>
      </c>
      <c r="AL86" s="95">
        <v>1</v>
      </c>
      <c r="AM86" s="92">
        <v>0</v>
      </c>
      <c r="AN86" s="79" t="s">
        <v>80</v>
      </c>
      <c r="AO86" s="75">
        <v>1</v>
      </c>
      <c r="AP86" s="75" t="s">
        <v>84</v>
      </c>
      <c r="AQ86" s="122">
        <v>1</v>
      </c>
      <c r="AR86" s="515" t="s">
        <v>10</v>
      </c>
      <c r="AS86" s="95">
        <v>0</v>
      </c>
      <c r="AT86" s="75">
        <v>0</v>
      </c>
      <c r="AU86" s="75">
        <v>0</v>
      </c>
      <c r="AV86" s="75">
        <v>0</v>
      </c>
      <c r="AW86" s="123">
        <v>0</v>
      </c>
      <c r="AX86" s="516"/>
      <c r="AY86" s="75">
        <v>0</v>
      </c>
      <c r="AZ86" s="77" t="s">
        <v>131</v>
      </c>
      <c r="BA86" s="78" t="s">
        <v>131</v>
      </c>
      <c r="BB86" s="78" t="s">
        <v>131</v>
      </c>
      <c r="BC86" s="78" t="s">
        <v>131</v>
      </c>
      <c r="BD86" s="78" t="s">
        <v>131</v>
      </c>
      <c r="BE86" s="78" t="s">
        <v>131</v>
      </c>
      <c r="BF86" s="78" t="s">
        <v>131</v>
      </c>
      <c r="BG86" s="78" t="s">
        <v>132</v>
      </c>
      <c r="BH86" s="75" t="s">
        <v>5970</v>
      </c>
      <c r="BI86" s="295" t="s">
        <v>2250</v>
      </c>
      <c r="BJ86" s="546">
        <v>1</v>
      </c>
      <c r="BK86" s="294" t="s">
        <v>16</v>
      </c>
      <c r="BL86" s="157" t="s">
        <v>16</v>
      </c>
      <c r="BM86" s="548" t="s">
        <v>1342</v>
      </c>
      <c r="BN86" s="548" t="s">
        <v>4158</v>
      </c>
      <c r="BO86" s="157" t="s">
        <v>5836</v>
      </c>
      <c r="BP86" s="548" t="s">
        <v>2250</v>
      </c>
      <c r="BQ86" s="157" t="s">
        <v>4336</v>
      </c>
      <c r="BR86" s="157"/>
    </row>
    <row r="87" spans="1:70" x14ac:dyDescent="0.25">
      <c r="A87" s="19" t="s">
        <v>3686</v>
      </c>
      <c r="B87" s="37" t="s">
        <v>4974</v>
      </c>
      <c r="C87" s="90">
        <v>45506.699618055558</v>
      </c>
      <c r="D87" s="114">
        <v>45506.449618055558</v>
      </c>
      <c r="E87" s="38">
        <v>45506</v>
      </c>
      <c r="F87" s="91">
        <v>2024</v>
      </c>
      <c r="G87" s="93">
        <v>8</v>
      </c>
      <c r="H87" s="37" t="s">
        <v>1378</v>
      </c>
      <c r="I87" s="37"/>
      <c r="J87" s="103">
        <v>-91.0007319742449</v>
      </c>
      <c r="K87" s="40">
        <v>43.37742509037647</v>
      </c>
      <c r="L87" s="74"/>
      <c r="M87" s="272" t="s">
        <v>4975</v>
      </c>
      <c r="N87" s="74">
        <v>1</v>
      </c>
      <c r="O87" s="94"/>
      <c r="P87" s="118">
        <v>1</v>
      </c>
      <c r="Q87" s="510">
        <v>180</v>
      </c>
      <c r="R87" s="513">
        <v>60</v>
      </c>
      <c r="S87" s="41"/>
      <c r="T87" s="40"/>
      <c r="U87" s="40">
        <v>8</v>
      </c>
      <c r="V87" s="119">
        <v>1</v>
      </c>
      <c r="W87" s="40">
        <v>0</v>
      </c>
      <c r="X87" s="119">
        <v>1</v>
      </c>
      <c r="Y87" s="40">
        <v>60</v>
      </c>
      <c r="Z87" s="119">
        <v>1</v>
      </c>
      <c r="AA87" s="368">
        <v>0</v>
      </c>
      <c r="AB87" s="535">
        <v>2</v>
      </c>
      <c r="AC87" s="39" t="s">
        <v>160</v>
      </c>
      <c r="AD87" s="75" t="s">
        <v>10</v>
      </c>
      <c r="AE87" s="95">
        <v>0</v>
      </c>
      <c r="AF87" s="75">
        <v>0</v>
      </c>
      <c r="AG87" s="75">
        <v>0</v>
      </c>
      <c r="AH87" s="75">
        <v>0</v>
      </c>
      <c r="AI87" s="75">
        <v>0</v>
      </c>
      <c r="AJ87" s="75">
        <v>0</v>
      </c>
      <c r="AK87" s="75">
        <v>0</v>
      </c>
      <c r="AL87" s="95">
        <v>1</v>
      </c>
      <c r="AM87" s="92">
        <v>0</v>
      </c>
      <c r="AN87" s="79" t="s">
        <v>80</v>
      </c>
      <c r="AO87" s="75">
        <v>1</v>
      </c>
      <c r="AP87" s="75" t="s">
        <v>83</v>
      </c>
      <c r="AQ87" s="122">
        <v>1</v>
      </c>
      <c r="AR87" s="515" t="s">
        <v>10</v>
      </c>
      <c r="AS87" s="95">
        <v>0</v>
      </c>
      <c r="AT87" s="75">
        <v>0</v>
      </c>
      <c r="AU87" s="75">
        <v>0</v>
      </c>
      <c r="AV87" s="75">
        <v>0</v>
      </c>
      <c r="AW87" s="123">
        <v>0</v>
      </c>
      <c r="AX87" s="516"/>
      <c r="AY87" s="75">
        <v>0</v>
      </c>
      <c r="AZ87" s="77" t="s">
        <v>131</v>
      </c>
      <c r="BA87" s="78" t="s">
        <v>131</v>
      </c>
      <c r="BB87" s="78" t="s">
        <v>131</v>
      </c>
      <c r="BC87" s="78" t="s">
        <v>131</v>
      </c>
      <c r="BD87" s="78" t="s">
        <v>131</v>
      </c>
      <c r="BE87" s="78" t="s">
        <v>131</v>
      </c>
      <c r="BF87" s="78" t="s">
        <v>131</v>
      </c>
      <c r="BG87" s="78" t="s">
        <v>132</v>
      </c>
      <c r="BH87" s="75" t="s">
        <v>5970</v>
      </c>
      <c r="BI87" s="295" t="s">
        <v>2239</v>
      </c>
      <c r="BJ87" s="546">
        <v>1</v>
      </c>
      <c r="BK87" s="294" t="s">
        <v>16</v>
      </c>
      <c r="BL87" s="157" t="s">
        <v>16</v>
      </c>
      <c r="BM87" s="548" t="s">
        <v>1342</v>
      </c>
      <c r="BN87" s="548" t="s">
        <v>4158</v>
      </c>
      <c r="BO87" s="157" t="s">
        <v>4437</v>
      </c>
      <c r="BP87" s="548" t="s">
        <v>2239</v>
      </c>
      <c r="BQ87" s="157" t="s">
        <v>4336</v>
      </c>
      <c r="BR87" s="157"/>
    </row>
    <row r="88" spans="1:70" x14ac:dyDescent="0.25">
      <c r="A88" s="19" t="s">
        <v>3686</v>
      </c>
      <c r="B88" s="37" t="s">
        <v>4976</v>
      </c>
      <c r="C88" s="90">
        <v>45504.841064814813</v>
      </c>
      <c r="D88" s="114">
        <v>45504.591064814813</v>
      </c>
      <c r="E88" s="38">
        <v>45504</v>
      </c>
      <c r="F88" s="91">
        <v>2024</v>
      </c>
      <c r="G88" s="93">
        <v>7</v>
      </c>
      <c r="H88" s="37" t="s">
        <v>2446</v>
      </c>
      <c r="I88" s="37"/>
      <c r="J88" s="103">
        <v>-91.892740966990473</v>
      </c>
      <c r="K88" s="40">
        <v>44.513258243407229</v>
      </c>
      <c r="L88" s="74"/>
      <c r="M88" s="272" t="s">
        <v>4977</v>
      </c>
      <c r="N88" s="74">
        <v>1</v>
      </c>
      <c r="O88" s="94"/>
      <c r="P88" s="118">
        <v>1</v>
      </c>
      <c r="Q88" s="510">
        <v>180</v>
      </c>
      <c r="R88" s="513">
        <v>180</v>
      </c>
      <c r="S88" s="41"/>
      <c r="T88" s="40"/>
      <c r="U88" s="40">
        <v>7.5</v>
      </c>
      <c r="V88" s="119">
        <v>1</v>
      </c>
      <c r="W88" s="40">
        <v>0</v>
      </c>
      <c r="X88" s="119">
        <v>1</v>
      </c>
      <c r="Y88" s="40">
        <v>64</v>
      </c>
      <c r="Z88" s="119">
        <v>1</v>
      </c>
      <c r="AA88" s="368">
        <v>0</v>
      </c>
      <c r="AB88" s="535">
        <v>2</v>
      </c>
      <c r="AC88" s="39" t="s">
        <v>160</v>
      </c>
      <c r="AD88" s="75" t="s">
        <v>10</v>
      </c>
      <c r="AE88" s="95">
        <v>0</v>
      </c>
      <c r="AF88" s="75">
        <v>0</v>
      </c>
      <c r="AG88" s="75">
        <v>0</v>
      </c>
      <c r="AH88" s="75">
        <v>0</v>
      </c>
      <c r="AI88" s="75">
        <v>0</v>
      </c>
      <c r="AJ88" s="75">
        <v>0</v>
      </c>
      <c r="AK88" s="75">
        <v>0</v>
      </c>
      <c r="AL88" s="95">
        <v>1</v>
      </c>
      <c r="AM88" s="92">
        <v>0</v>
      </c>
      <c r="AN88" s="79" t="s">
        <v>80</v>
      </c>
      <c r="AO88" s="75">
        <v>1</v>
      </c>
      <c r="AP88" s="75" t="s">
        <v>83</v>
      </c>
      <c r="AQ88" s="122">
        <v>1</v>
      </c>
      <c r="AR88" s="515" t="s">
        <v>10</v>
      </c>
      <c r="AS88" s="95">
        <v>0</v>
      </c>
      <c r="AT88" s="75">
        <v>0</v>
      </c>
      <c r="AU88" s="75">
        <v>0</v>
      </c>
      <c r="AV88" s="75">
        <v>0</v>
      </c>
      <c r="AW88" s="123">
        <v>0</v>
      </c>
      <c r="AX88" s="516"/>
      <c r="AY88" s="75">
        <v>0</v>
      </c>
      <c r="AZ88" s="77" t="s">
        <v>131</v>
      </c>
      <c r="BA88" s="78" t="s">
        <v>131</v>
      </c>
      <c r="BB88" s="78" t="s">
        <v>131</v>
      </c>
      <c r="BC88" s="78" t="s">
        <v>131</v>
      </c>
      <c r="BD88" s="78" t="s">
        <v>131</v>
      </c>
      <c r="BE88" s="78" t="s">
        <v>131</v>
      </c>
      <c r="BF88" s="78" t="s">
        <v>131</v>
      </c>
      <c r="BG88" s="78" t="s">
        <v>132</v>
      </c>
      <c r="BH88" s="75" t="s">
        <v>5970</v>
      </c>
      <c r="BI88" s="295">
        <v>0</v>
      </c>
      <c r="BJ88" s="546">
        <v>1</v>
      </c>
      <c r="BK88" s="294" t="s">
        <v>16</v>
      </c>
      <c r="BL88" s="157" t="s">
        <v>16</v>
      </c>
      <c r="BM88" s="548" t="s">
        <v>1340</v>
      </c>
      <c r="BN88" s="548" t="s">
        <v>4158</v>
      </c>
      <c r="BO88" s="157" t="s">
        <v>5837</v>
      </c>
      <c r="BP88" s="548" t="s">
        <v>5838</v>
      </c>
      <c r="BQ88" s="157" t="s">
        <v>4219</v>
      </c>
      <c r="BR88" s="157"/>
    </row>
    <row r="89" spans="1:70" x14ac:dyDescent="0.25">
      <c r="A89" s="19" t="s">
        <v>3686</v>
      </c>
      <c r="B89" s="37" t="s">
        <v>4978</v>
      </c>
      <c r="C89" s="90">
        <v>45504.756076388891</v>
      </c>
      <c r="D89" s="114">
        <v>45504.506076388891</v>
      </c>
      <c r="E89" s="38">
        <v>45504</v>
      </c>
      <c r="F89" s="91">
        <v>2024</v>
      </c>
      <c r="G89" s="93">
        <v>7</v>
      </c>
      <c r="H89" s="37" t="s">
        <v>2446</v>
      </c>
      <c r="I89" s="37"/>
      <c r="J89" s="103">
        <v>-91.882962356570275</v>
      </c>
      <c r="K89" s="40">
        <v>44.513489554416111</v>
      </c>
      <c r="L89" s="74"/>
      <c r="M89" s="272" t="s">
        <v>16</v>
      </c>
      <c r="N89" s="74">
        <v>0</v>
      </c>
      <c r="O89" s="94"/>
      <c r="P89" s="118">
        <v>1</v>
      </c>
      <c r="Q89" s="510">
        <v>180</v>
      </c>
      <c r="R89" s="513">
        <v>120</v>
      </c>
      <c r="S89" s="41"/>
      <c r="T89" s="40"/>
      <c r="U89" s="40">
        <v>8</v>
      </c>
      <c r="V89" s="119">
        <v>1</v>
      </c>
      <c r="W89" s="40">
        <v>0</v>
      </c>
      <c r="X89" s="119">
        <v>1</v>
      </c>
      <c r="Y89" s="40">
        <v>59</v>
      </c>
      <c r="Z89" s="119">
        <v>1</v>
      </c>
      <c r="AA89" s="368">
        <v>0</v>
      </c>
      <c r="AB89" s="535">
        <v>1</v>
      </c>
      <c r="AC89" s="39" t="s">
        <v>160</v>
      </c>
      <c r="AD89" s="75" t="s">
        <v>10</v>
      </c>
      <c r="AE89" s="95">
        <v>0</v>
      </c>
      <c r="AF89" s="75">
        <v>0</v>
      </c>
      <c r="AG89" s="75">
        <v>0</v>
      </c>
      <c r="AH89" s="75">
        <v>0</v>
      </c>
      <c r="AI89" s="75">
        <v>0</v>
      </c>
      <c r="AJ89" s="75">
        <v>0</v>
      </c>
      <c r="AK89" s="75">
        <v>0</v>
      </c>
      <c r="AL89" s="95">
        <v>1</v>
      </c>
      <c r="AM89" s="92">
        <v>0</v>
      </c>
      <c r="AN89" s="79" t="s">
        <v>80</v>
      </c>
      <c r="AO89" s="75">
        <v>1</v>
      </c>
      <c r="AP89" s="75" t="s">
        <v>83</v>
      </c>
      <c r="AQ89" s="122">
        <v>1</v>
      </c>
      <c r="AR89" s="515" t="s">
        <v>10</v>
      </c>
      <c r="AS89" s="95">
        <v>0</v>
      </c>
      <c r="AT89" s="75">
        <v>0</v>
      </c>
      <c r="AU89" s="75">
        <v>0</v>
      </c>
      <c r="AV89" s="75">
        <v>0</v>
      </c>
      <c r="AW89" s="123">
        <v>0</v>
      </c>
      <c r="AX89" s="516"/>
      <c r="AY89" s="75">
        <v>0</v>
      </c>
      <c r="AZ89" s="77" t="s">
        <v>131</v>
      </c>
      <c r="BA89" s="78" t="s">
        <v>131</v>
      </c>
      <c r="BB89" s="78" t="s">
        <v>131</v>
      </c>
      <c r="BC89" s="78" t="s">
        <v>131</v>
      </c>
      <c r="BD89" s="78" t="s">
        <v>131</v>
      </c>
      <c r="BE89" s="78" t="s">
        <v>131</v>
      </c>
      <c r="BF89" s="78" t="s">
        <v>131</v>
      </c>
      <c r="BG89" s="78" t="s">
        <v>132</v>
      </c>
      <c r="BH89" s="75" t="s">
        <v>5970</v>
      </c>
      <c r="BI89" s="295">
        <v>0</v>
      </c>
      <c r="BJ89" s="546">
        <v>1</v>
      </c>
      <c r="BK89" s="294" t="s">
        <v>16</v>
      </c>
      <c r="BL89" s="157" t="s">
        <v>16</v>
      </c>
      <c r="BM89" s="548" t="s">
        <v>1340</v>
      </c>
      <c r="BN89" s="548" t="s">
        <v>4158</v>
      </c>
      <c r="BO89" s="157" t="s">
        <v>5837</v>
      </c>
      <c r="BP89" s="548" t="s">
        <v>5838</v>
      </c>
      <c r="BQ89" s="157" t="s">
        <v>4219</v>
      </c>
      <c r="BR89" s="157"/>
    </row>
    <row r="90" spans="1:70" x14ac:dyDescent="0.25">
      <c r="A90" s="19" t="s">
        <v>3686</v>
      </c>
      <c r="B90" s="37" t="s">
        <v>4979</v>
      </c>
      <c r="C90" s="90">
        <v>45504.743252314816</v>
      </c>
      <c r="D90" s="114">
        <v>45504.493252314816</v>
      </c>
      <c r="E90" s="38">
        <v>45504</v>
      </c>
      <c r="F90" s="91">
        <v>2024</v>
      </c>
      <c r="G90" s="93">
        <v>7</v>
      </c>
      <c r="H90" s="37" t="s">
        <v>1386</v>
      </c>
      <c r="I90" s="37"/>
      <c r="J90" s="103">
        <v>-91.581015899999997</v>
      </c>
      <c r="K90" s="40">
        <v>43.641431500000003</v>
      </c>
      <c r="L90" s="74"/>
      <c r="M90" s="272" t="s">
        <v>16</v>
      </c>
      <c r="N90" s="74">
        <v>0</v>
      </c>
      <c r="O90" s="94"/>
      <c r="P90" s="118">
        <v>1</v>
      </c>
      <c r="Q90" s="510">
        <v>80</v>
      </c>
      <c r="R90" s="513">
        <v>180</v>
      </c>
      <c r="S90" s="41"/>
      <c r="T90" s="40"/>
      <c r="U90" s="40">
        <v>8.5</v>
      </c>
      <c r="V90" s="119">
        <v>1</v>
      </c>
      <c r="W90" s="40">
        <v>0</v>
      </c>
      <c r="X90" s="119">
        <v>1</v>
      </c>
      <c r="Y90" s="40">
        <v>52</v>
      </c>
      <c r="Z90" s="119">
        <v>1</v>
      </c>
      <c r="AA90" s="368">
        <v>0</v>
      </c>
      <c r="AB90" s="535">
        <v>10</v>
      </c>
      <c r="AC90" s="39" t="s">
        <v>160</v>
      </c>
      <c r="AD90" s="75" t="s">
        <v>10</v>
      </c>
      <c r="AE90" s="95">
        <v>0</v>
      </c>
      <c r="AF90" s="75">
        <v>0</v>
      </c>
      <c r="AG90" s="75">
        <v>0</v>
      </c>
      <c r="AH90" s="75">
        <v>0</v>
      </c>
      <c r="AI90" s="75">
        <v>0</v>
      </c>
      <c r="AJ90" s="75">
        <v>0</v>
      </c>
      <c r="AK90" s="75">
        <v>0</v>
      </c>
      <c r="AL90" s="95">
        <v>1</v>
      </c>
      <c r="AM90" s="92">
        <v>0</v>
      </c>
      <c r="AN90" s="79" t="s">
        <v>80</v>
      </c>
      <c r="AO90" s="75">
        <v>1</v>
      </c>
      <c r="AP90" s="75" t="s">
        <v>83</v>
      </c>
      <c r="AQ90" s="122">
        <v>1</v>
      </c>
      <c r="AR90" s="515" t="s">
        <v>10</v>
      </c>
      <c r="AS90" s="95">
        <v>0</v>
      </c>
      <c r="AT90" s="75">
        <v>0</v>
      </c>
      <c r="AU90" s="75">
        <v>0</v>
      </c>
      <c r="AV90" s="75">
        <v>0</v>
      </c>
      <c r="AW90" s="123">
        <v>0</v>
      </c>
      <c r="AX90" s="516"/>
      <c r="AY90" s="75">
        <v>0</v>
      </c>
      <c r="AZ90" s="77" t="s">
        <v>131</v>
      </c>
      <c r="BA90" s="78" t="s">
        <v>131</v>
      </c>
      <c r="BB90" s="78" t="s">
        <v>131</v>
      </c>
      <c r="BC90" s="78" t="s">
        <v>131</v>
      </c>
      <c r="BD90" s="78" t="s">
        <v>131</v>
      </c>
      <c r="BE90" s="78" t="s">
        <v>131</v>
      </c>
      <c r="BF90" s="78" t="s">
        <v>131</v>
      </c>
      <c r="BG90" s="78" t="s">
        <v>132</v>
      </c>
      <c r="BH90" s="75" t="s">
        <v>5970</v>
      </c>
      <c r="BI90" s="295" t="s">
        <v>16</v>
      </c>
      <c r="BJ90" s="546">
        <v>1</v>
      </c>
      <c r="BK90" s="294" t="s">
        <v>16</v>
      </c>
      <c r="BL90" s="157" t="s">
        <v>16</v>
      </c>
      <c r="BM90" s="548" t="s">
        <v>1341</v>
      </c>
      <c r="BN90" s="548" t="s">
        <v>1339</v>
      </c>
      <c r="BO90" s="157" t="s">
        <v>4233</v>
      </c>
      <c r="BP90" s="548" t="s">
        <v>307</v>
      </c>
      <c r="BQ90" s="157" t="s">
        <v>4232</v>
      </c>
      <c r="BR90" s="157"/>
    </row>
    <row r="91" spans="1:70" x14ac:dyDescent="0.25">
      <c r="A91" s="19" t="s">
        <v>3686</v>
      </c>
      <c r="B91" s="37" t="s">
        <v>4980</v>
      </c>
      <c r="C91" s="90">
        <v>45504.721666666665</v>
      </c>
      <c r="D91" s="114">
        <v>45504.471666666665</v>
      </c>
      <c r="E91" s="38">
        <v>45504</v>
      </c>
      <c r="F91" s="91">
        <v>2024</v>
      </c>
      <c r="G91" s="93">
        <v>7</v>
      </c>
      <c r="H91" s="37" t="s">
        <v>4981</v>
      </c>
      <c r="I91" s="37"/>
      <c r="J91" s="103">
        <v>-91.706023629282683</v>
      </c>
      <c r="K91" s="40">
        <v>42.893362209034727</v>
      </c>
      <c r="L91" s="74"/>
      <c r="M91" s="272" t="s">
        <v>4982</v>
      </c>
      <c r="N91" s="74">
        <v>1</v>
      </c>
      <c r="O91" s="94"/>
      <c r="P91" s="118">
        <v>1</v>
      </c>
      <c r="Q91" s="510">
        <v>180</v>
      </c>
      <c r="R91" s="513">
        <v>180</v>
      </c>
      <c r="S91" s="41"/>
      <c r="T91" s="40"/>
      <c r="U91" s="40">
        <v>7.5</v>
      </c>
      <c r="V91" s="119">
        <v>0</v>
      </c>
      <c r="W91" s="40"/>
      <c r="X91" s="119">
        <v>1</v>
      </c>
      <c r="Y91" s="40">
        <v>60</v>
      </c>
      <c r="Z91" s="119">
        <v>1</v>
      </c>
      <c r="AA91" s="368">
        <v>0</v>
      </c>
      <c r="AB91" s="535">
        <v>10</v>
      </c>
      <c r="AC91" s="39" t="s">
        <v>160</v>
      </c>
      <c r="AD91" s="75" t="s">
        <v>8</v>
      </c>
      <c r="AE91" s="95">
        <v>0</v>
      </c>
      <c r="AF91" s="75">
        <v>1</v>
      </c>
      <c r="AG91" s="75">
        <v>0</v>
      </c>
      <c r="AH91" s="75">
        <v>0</v>
      </c>
      <c r="AI91" s="75">
        <v>0</v>
      </c>
      <c r="AJ91" s="75">
        <v>0</v>
      </c>
      <c r="AK91" s="75">
        <v>0</v>
      </c>
      <c r="AL91" s="95">
        <v>0</v>
      </c>
      <c r="AM91" s="92">
        <v>0</v>
      </c>
      <c r="AN91" s="79" t="s">
        <v>80</v>
      </c>
      <c r="AO91" s="75">
        <v>1</v>
      </c>
      <c r="AP91" s="75" t="s">
        <v>85</v>
      </c>
      <c r="AQ91" s="122">
        <v>1</v>
      </c>
      <c r="AR91" s="515" t="s">
        <v>10</v>
      </c>
      <c r="AS91" s="95">
        <v>0</v>
      </c>
      <c r="AT91" s="75">
        <v>0</v>
      </c>
      <c r="AU91" s="75">
        <v>0</v>
      </c>
      <c r="AV91" s="75">
        <v>0</v>
      </c>
      <c r="AW91" s="123">
        <v>0</v>
      </c>
      <c r="AX91" s="516"/>
      <c r="AY91" s="75">
        <v>0</v>
      </c>
      <c r="AZ91" s="77" t="s">
        <v>131</v>
      </c>
      <c r="BA91" s="78" t="s">
        <v>132</v>
      </c>
      <c r="BB91" s="78" t="s">
        <v>131</v>
      </c>
      <c r="BC91" s="78" t="s">
        <v>131</v>
      </c>
      <c r="BD91" s="78" t="s">
        <v>131</v>
      </c>
      <c r="BE91" s="78" t="s">
        <v>131</v>
      </c>
      <c r="BF91" s="78" t="s">
        <v>131</v>
      </c>
      <c r="BG91" s="78" t="s">
        <v>131</v>
      </c>
      <c r="BH91" s="75" t="s">
        <v>5970</v>
      </c>
      <c r="BI91" s="295" t="s">
        <v>2283</v>
      </c>
      <c r="BJ91" s="546" t="s">
        <v>16</v>
      </c>
      <c r="BK91" s="294" t="s">
        <v>16</v>
      </c>
      <c r="BL91" s="157" t="s">
        <v>16</v>
      </c>
      <c r="BM91" s="548" t="s">
        <v>1344</v>
      </c>
      <c r="BN91" s="548" t="s">
        <v>4160</v>
      </c>
      <c r="BO91" s="157" t="s">
        <v>4564</v>
      </c>
      <c r="BP91" s="548" t="s">
        <v>2283</v>
      </c>
      <c r="BQ91" s="157" t="s">
        <v>4563</v>
      </c>
      <c r="BR91" s="157"/>
    </row>
    <row r="92" spans="1:70" x14ac:dyDescent="0.25">
      <c r="A92" s="19" t="s">
        <v>3686</v>
      </c>
      <c r="B92" s="37" t="s">
        <v>4983</v>
      </c>
      <c r="C92" s="90">
        <v>45504.717962962961</v>
      </c>
      <c r="D92" s="114">
        <v>45504.467962962961</v>
      </c>
      <c r="E92" s="38">
        <v>45504</v>
      </c>
      <c r="F92" s="91">
        <v>2024</v>
      </c>
      <c r="G92" s="93">
        <v>7</v>
      </c>
      <c r="H92" s="37" t="s">
        <v>1386</v>
      </c>
      <c r="I92" s="37"/>
      <c r="J92" s="103">
        <v>-91.3734094</v>
      </c>
      <c r="K92" s="40">
        <v>43.603056700000003</v>
      </c>
      <c r="L92" s="74"/>
      <c r="M92" s="272" t="s">
        <v>16</v>
      </c>
      <c r="N92" s="74">
        <v>0</v>
      </c>
      <c r="O92" s="94"/>
      <c r="P92" s="118">
        <v>1</v>
      </c>
      <c r="Q92" s="510">
        <v>80</v>
      </c>
      <c r="R92" s="513">
        <v>180</v>
      </c>
      <c r="S92" s="41"/>
      <c r="T92" s="40"/>
      <c r="U92" s="40">
        <v>8</v>
      </c>
      <c r="V92" s="119">
        <v>1</v>
      </c>
      <c r="W92" s="40">
        <v>0</v>
      </c>
      <c r="X92" s="119">
        <v>1</v>
      </c>
      <c r="Y92" s="40">
        <v>66</v>
      </c>
      <c r="Z92" s="119">
        <v>1</v>
      </c>
      <c r="AA92" s="368">
        <v>0</v>
      </c>
      <c r="AB92" s="535">
        <v>2</v>
      </c>
      <c r="AC92" s="39" t="s">
        <v>160</v>
      </c>
      <c r="AD92" s="75" t="s">
        <v>10</v>
      </c>
      <c r="AE92" s="95">
        <v>0</v>
      </c>
      <c r="AF92" s="75">
        <v>0</v>
      </c>
      <c r="AG92" s="75">
        <v>0</v>
      </c>
      <c r="AH92" s="75">
        <v>0</v>
      </c>
      <c r="AI92" s="75">
        <v>0</v>
      </c>
      <c r="AJ92" s="75">
        <v>0</v>
      </c>
      <c r="AK92" s="75">
        <v>0</v>
      </c>
      <c r="AL92" s="95">
        <v>1</v>
      </c>
      <c r="AM92" s="92">
        <v>0</v>
      </c>
      <c r="AN92" s="79" t="s">
        <v>80</v>
      </c>
      <c r="AO92" s="75">
        <v>1</v>
      </c>
      <c r="AP92" s="75" t="s">
        <v>83</v>
      </c>
      <c r="AQ92" s="122">
        <v>1</v>
      </c>
      <c r="AR92" s="515" t="s">
        <v>10</v>
      </c>
      <c r="AS92" s="95">
        <v>0</v>
      </c>
      <c r="AT92" s="75">
        <v>0</v>
      </c>
      <c r="AU92" s="75">
        <v>0</v>
      </c>
      <c r="AV92" s="75">
        <v>0</v>
      </c>
      <c r="AW92" s="123">
        <v>0</v>
      </c>
      <c r="AX92" s="516"/>
      <c r="AY92" s="75">
        <v>0</v>
      </c>
      <c r="AZ92" s="77" t="s">
        <v>131</v>
      </c>
      <c r="BA92" s="78" t="s">
        <v>131</v>
      </c>
      <c r="BB92" s="78" t="s">
        <v>131</v>
      </c>
      <c r="BC92" s="78" t="s">
        <v>131</v>
      </c>
      <c r="BD92" s="78" t="s">
        <v>131</v>
      </c>
      <c r="BE92" s="78" t="s">
        <v>131</v>
      </c>
      <c r="BF92" s="78" t="s">
        <v>131</v>
      </c>
      <c r="BG92" s="78" t="s">
        <v>132</v>
      </c>
      <c r="BH92" s="75" t="s">
        <v>5970</v>
      </c>
      <c r="BI92" s="295" t="s">
        <v>4019</v>
      </c>
      <c r="BJ92" s="546">
        <v>1</v>
      </c>
      <c r="BK92" s="294" t="s">
        <v>16</v>
      </c>
      <c r="BL92" s="157" t="s">
        <v>16</v>
      </c>
      <c r="BM92" s="548" t="s">
        <v>1341</v>
      </c>
      <c r="BN92" s="548" t="s">
        <v>1339</v>
      </c>
      <c r="BO92" s="157" t="s">
        <v>4235</v>
      </c>
      <c r="BP92" s="548" t="s">
        <v>4237</v>
      </c>
      <c r="BQ92" s="157" t="s">
        <v>4234</v>
      </c>
      <c r="BR92" s="157"/>
    </row>
    <row r="93" spans="1:70" x14ac:dyDescent="0.25">
      <c r="A93" s="19" t="s">
        <v>3686</v>
      </c>
      <c r="B93" s="37" t="s">
        <v>4984</v>
      </c>
      <c r="C93" s="90">
        <v>45504.691979166666</v>
      </c>
      <c r="D93" s="114">
        <v>45504.441979166666</v>
      </c>
      <c r="E93" s="38">
        <v>45504</v>
      </c>
      <c r="F93" s="91">
        <v>2024</v>
      </c>
      <c r="G93" s="93">
        <v>7</v>
      </c>
      <c r="H93" s="37" t="s">
        <v>1386</v>
      </c>
      <c r="I93" s="37"/>
      <c r="J93" s="103">
        <v>-91.413102899999998</v>
      </c>
      <c r="K93" s="40">
        <v>43.540516400000001</v>
      </c>
      <c r="L93" s="74"/>
      <c r="M93" s="272" t="s">
        <v>16</v>
      </c>
      <c r="N93" s="74">
        <v>0</v>
      </c>
      <c r="O93" s="94"/>
      <c r="P93" s="118">
        <v>1</v>
      </c>
      <c r="Q93" s="510">
        <v>120</v>
      </c>
      <c r="R93" s="513">
        <v>180</v>
      </c>
      <c r="S93" s="41"/>
      <c r="T93" s="40"/>
      <c r="U93" s="40">
        <v>8.5</v>
      </c>
      <c r="V93" s="119">
        <v>1</v>
      </c>
      <c r="W93" s="40">
        <v>0</v>
      </c>
      <c r="X93" s="119">
        <v>1</v>
      </c>
      <c r="Y93" s="40">
        <v>62</v>
      </c>
      <c r="Z93" s="119">
        <v>1</v>
      </c>
      <c r="AA93" s="368">
        <v>0</v>
      </c>
      <c r="AB93" s="535">
        <v>5</v>
      </c>
      <c r="AC93" s="39" t="s">
        <v>160</v>
      </c>
      <c r="AD93" s="75" t="s">
        <v>10</v>
      </c>
      <c r="AE93" s="95">
        <v>0</v>
      </c>
      <c r="AF93" s="75">
        <v>0</v>
      </c>
      <c r="AG93" s="75">
        <v>0</v>
      </c>
      <c r="AH93" s="75">
        <v>0</v>
      </c>
      <c r="AI93" s="75">
        <v>0</v>
      </c>
      <c r="AJ93" s="75">
        <v>0</v>
      </c>
      <c r="AK93" s="75">
        <v>0</v>
      </c>
      <c r="AL93" s="95">
        <v>1</v>
      </c>
      <c r="AM93" s="92">
        <v>0</v>
      </c>
      <c r="AN93" s="79" t="s">
        <v>80</v>
      </c>
      <c r="AO93" s="75">
        <v>1</v>
      </c>
      <c r="AP93" s="75" t="s">
        <v>83</v>
      </c>
      <c r="AQ93" s="122">
        <v>1</v>
      </c>
      <c r="AR93" s="515" t="s">
        <v>10</v>
      </c>
      <c r="AS93" s="95">
        <v>0</v>
      </c>
      <c r="AT93" s="75">
        <v>0</v>
      </c>
      <c r="AU93" s="75">
        <v>0</v>
      </c>
      <c r="AV93" s="75">
        <v>0</v>
      </c>
      <c r="AW93" s="123">
        <v>0</v>
      </c>
      <c r="AX93" s="516"/>
      <c r="AY93" s="75">
        <v>0</v>
      </c>
      <c r="AZ93" s="77" t="s">
        <v>131</v>
      </c>
      <c r="BA93" s="78" t="s">
        <v>131</v>
      </c>
      <c r="BB93" s="78" t="s">
        <v>131</v>
      </c>
      <c r="BC93" s="78" t="s">
        <v>131</v>
      </c>
      <c r="BD93" s="78" t="s">
        <v>131</v>
      </c>
      <c r="BE93" s="78" t="s">
        <v>131</v>
      </c>
      <c r="BF93" s="78" t="s">
        <v>131</v>
      </c>
      <c r="BG93" s="78" t="s">
        <v>132</v>
      </c>
      <c r="BH93" s="75" t="s">
        <v>5970</v>
      </c>
      <c r="BI93" s="295" t="s">
        <v>16</v>
      </c>
      <c r="BJ93" s="546">
        <v>1</v>
      </c>
      <c r="BK93" s="294">
        <v>1</v>
      </c>
      <c r="BL93" s="157">
        <v>1</v>
      </c>
      <c r="BM93" s="548" t="s">
        <v>1341</v>
      </c>
      <c r="BN93" s="548" t="s">
        <v>1339</v>
      </c>
      <c r="BO93" s="157" t="s">
        <v>4239</v>
      </c>
      <c r="BP93" s="548" t="s">
        <v>4240</v>
      </c>
      <c r="BQ93" s="157" t="s">
        <v>4238</v>
      </c>
      <c r="BR93" s="157"/>
    </row>
    <row r="94" spans="1:70" x14ac:dyDescent="0.25">
      <c r="A94" s="19" t="s">
        <v>3686</v>
      </c>
      <c r="B94" s="37" t="s">
        <v>4985</v>
      </c>
      <c r="C94" s="90">
        <v>45504.662662037037</v>
      </c>
      <c r="D94" s="114">
        <v>45504.412662037037</v>
      </c>
      <c r="E94" s="38">
        <v>45504</v>
      </c>
      <c r="F94" s="91">
        <v>2024</v>
      </c>
      <c r="G94" s="93">
        <v>7</v>
      </c>
      <c r="H94" s="37" t="s">
        <v>1386</v>
      </c>
      <c r="I94" s="37"/>
      <c r="J94" s="103">
        <v>-91.569868</v>
      </c>
      <c r="K94" s="40">
        <v>43.502244300000001</v>
      </c>
      <c r="L94" s="74"/>
      <c r="M94" s="272" t="s">
        <v>16</v>
      </c>
      <c r="N94" s="74">
        <v>0</v>
      </c>
      <c r="O94" s="94"/>
      <c r="P94" s="118">
        <v>1</v>
      </c>
      <c r="Q94" s="510">
        <v>0</v>
      </c>
      <c r="R94" s="513">
        <v>60</v>
      </c>
      <c r="S94" s="41"/>
      <c r="T94" s="40"/>
      <c r="U94" s="40">
        <v>8</v>
      </c>
      <c r="V94" s="119">
        <v>1</v>
      </c>
      <c r="W94" s="40">
        <v>0</v>
      </c>
      <c r="X94" s="119">
        <v>1</v>
      </c>
      <c r="Y94" s="40">
        <v>54</v>
      </c>
      <c r="Z94" s="119">
        <v>1</v>
      </c>
      <c r="AA94" s="368">
        <v>0</v>
      </c>
      <c r="AB94" s="535">
        <v>5</v>
      </c>
      <c r="AC94" s="39" t="s">
        <v>160</v>
      </c>
      <c r="AD94" s="75" t="s">
        <v>10</v>
      </c>
      <c r="AE94" s="95">
        <v>0</v>
      </c>
      <c r="AF94" s="75">
        <v>0</v>
      </c>
      <c r="AG94" s="75">
        <v>0</v>
      </c>
      <c r="AH94" s="75">
        <v>0</v>
      </c>
      <c r="AI94" s="75">
        <v>0</v>
      </c>
      <c r="AJ94" s="75">
        <v>0</v>
      </c>
      <c r="AK94" s="75">
        <v>0</v>
      </c>
      <c r="AL94" s="95">
        <v>1</v>
      </c>
      <c r="AM94" s="92">
        <v>0</v>
      </c>
      <c r="AN94" s="79" t="s">
        <v>80</v>
      </c>
      <c r="AO94" s="75">
        <v>1</v>
      </c>
      <c r="AP94" s="75" t="s">
        <v>83</v>
      </c>
      <c r="AQ94" s="122">
        <v>1</v>
      </c>
      <c r="AR94" s="515" t="s">
        <v>10</v>
      </c>
      <c r="AS94" s="95">
        <v>0</v>
      </c>
      <c r="AT94" s="75">
        <v>0</v>
      </c>
      <c r="AU94" s="75">
        <v>0</v>
      </c>
      <c r="AV94" s="75">
        <v>0</v>
      </c>
      <c r="AW94" s="123">
        <v>0</v>
      </c>
      <c r="AX94" s="516"/>
      <c r="AY94" s="75">
        <v>0</v>
      </c>
      <c r="AZ94" s="77" t="s">
        <v>131</v>
      </c>
      <c r="BA94" s="78" t="s">
        <v>131</v>
      </c>
      <c r="BB94" s="78" t="s">
        <v>131</v>
      </c>
      <c r="BC94" s="78" t="s">
        <v>131</v>
      </c>
      <c r="BD94" s="78" t="s">
        <v>131</v>
      </c>
      <c r="BE94" s="78" t="s">
        <v>131</v>
      </c>
      <c r="BF94" s="78" t="s">
        <v>131</v>
      </c>
      <c r="BG94" s="78" t="s">
        <v>132</v>
      </c>
      <c r="BH94" s="75" t="s">
        <v>5970</v>
      </c>
      <c r="BI94" s="295" t="s">
        <v>2265</v>
      </c>
      <c r="BJ94" s="546">
        <v>1</v>
      </c>
      <c r="BK94" s="294">
        <v>1</v>
      </c>
      <c r="BL94" s="157">
        <v>1</v>
      </c>
      <c r="BM94" s="548" t="s">
        <v>1341</v>
      </c>
      <c r="BN94" s="548" t="s">
        <v>1339</v>
      </c>
      <c r="BO94" s="157" t="s">
        <v>4242</v>
      </c>
      <c r="BP94" s="548" t="s">
        <v>4041</v>
      </c>
      <c r="BQ94" s="157" t="s">
        <v>4241</v>
      </c>
      <c r="BR94" s="157"/>
    </row>
    <row r="95" spans="1:70" x14ac:dyDescent="0.25">
      <c r="A95" s="19" t="s">
        <v>3686</v>
      </c>
      <c r="B95" s="37" t="s">
        <v>4986</v>
      </c>
      <c r="C95" s="90">
        <v>45504.634409722225</v>
      </c>
      <c r="D95" s="114">
        <v>45504.384409722225</v>
      </c>
      <c r="E95" s="38">
        <v>45504</v>
      </c>
      <c r="F95" s="91">
        <v>2024</v>
      </c>
      <c r="G95" s="93">
        <v>7</v>
      </c>
      <c r="H95" s="37" t="s">
        <v>1386</v>
      </c>
      <c r="I95" s="37"/>
      <c r="J95" s="103">
        <v>-91.813405500000002</v>
      </c>
      <c r="K95" s="40">
        <v>43.597543000000002</v>
      </c>
      <c r="L95" s="74"/>
      <c r="M95" s="272" t="s">
        <v>16</v>
      </c>
      <c r="N95" s="74">
        <v>0</v>
      </c>
      <c r="O95" s="94"/>
      <c r="P95" s="118">
        <v>1</v>
      </c>
      <c r="Q95" s="510">
        <v>180</v>
      </c>
      <c r="R95" s="513">
        <v>180</v>
      </c>
      <c r="S95" s="41"/>
      <c r="T95" s="40"/>
      <c r="U95" s="40">
        <v>7.5</v>
      </c>
      <c r="V95" s="119">
        <v>1</v>
      </c>
      <c r="W95" s="40">
        <v>0</v>
      </c>
      <c r="X95" s="119">
        <v>1</v>
      </c>
      <c r="Y95" s="40">
        <v>62</v>
      </c>
      <c r="Z95" s="119">
        <v>1</v>
      </c>
      <c r="AA95" s="368">
        <v>0</v>
      </c>
      <c r="AB95" s="535">
        <v>5</v>
      </c>
      <c r="AC95" s="39" t="s">
        <v>160</v>
      </c>
      <c r="AD95" s="75" t="s">
        <v>10</v>
      </c>
      <c r="AE95" s="95">
        <v>0</v>
      </c>
      <c r="AF95" s="75">
        <v>0</v>
      </c>
      <c r="AG95" s="75">
        <v>0</v>
      </c>
      <c r="AH95" s="75">
        <v>0</v>
      </c>
      <c r="AI95" s="75">
        <v>0</v>
      </c>
      <c r="AJ95" s="75">
        <v>0</v>
      </c>
      <c r="AK95" s="75">
        <v>0</v>
      </c>
      <c r="AL95" s="95">
        <v>1</v>
      </c>
      <c r="AM95" s="92">
        <v>0</v>
      </c>
      <c r="AN95" s="79" t="s">
        <v>80</v>
      </c>
      <c r="AO95" s="75">
        <v>1</v>
      </c>
      <c r="AP95" s="75" t="s">
        <v>84</v>
      </c>
      <c r="AQ95" s="122">
        <v>1</v>
      </c>
      <c r="AR95" s="515" t="s">
        <v>10</v>
      </c>
      <c r="AS95" s="95">
        <v>0</v>
      </c>
      <c r="AT95" s="75">
        <v>0</v>
      </c>
      <c r="AU95" s="75">
        <v>0</v>
      </c>
      <c r="AV95" s="75">
        <v>0</v>
      </c>
      <c r="AW95" s="123">
        <v>0</v>
      </c>
      <c r="AX95" s="516"/>
      <c r="AY95" s="75">
        <v>0</v>
      </c>
      <c r="AZ95" s="77" t="s">
        <v>131</v>
      </c>
      <c r="BA95" s="78" t="s">
        <v>131</v>
      </c>
      <c r="BB95" s="78" t="s">
        <v>131</v>
      </c>
      <c r="BC95" s="78" t="s">
        <v>131</v>
      </c>
      <c r="BD95" s="78" t="s">
        <v>131</v>
      </c>
      <c r="BE95" s="78" t="s">
        <v>131</v>
      </c>
      <c r="BF95" s="78" t="s">
        <v>131</v>
      </c>
      <c r="BG95" s="78" t="s">
        <v>132</v>
      </c>
      <c r="BH95" s="75" t="s">
        <v>5970</v>
      </c>
      <c r="BI95" s="295" t="s">
        <v>2271</v>
      </c>
      <c r="BJ95" s="546">
        <v>1</v>
      </c>
      <c r="BK95" s="294">
        <v>1</v>
      </c>
      <c r="BL95" s="157">
        <v>1</v>
      </c>
      <c r="BM95" s="548" t="s">
        <v>1341</v>
      </c>
      <c r="BN95" s="548" t="s">
        <v>1339</v>
      </c>
      <c r="BO95" s="157" t="s">
        <v>4245</v>
      </c>
      <c r="BP95" s="548" t="s">
        <v>2271</v>
      </c>
      <c r="BQ95" s="157" t="s">
        <v>4232</v>
      </c>
      <c r="BR95" s="157"/>
    </row>
    <row r="96" spans="1:70" x14ac:dyDescent="0.25">
      <c r="A96" s="19" t="s">
        <v>3686</v>
      </c>
      <c r="B96" s="37" t="s">
        <v>4987</v>
      </c>
      <c r="C96" s="90">
        <v>45504.615347222221</v>
      </c>
      <c r="D96" s="114">
        <v>45504.365347222221</v>
      </c>
      <c r="E96" s="38">
        <v>45504</v>
      </c>
      <c r="F96" s="91">
        <v>2024</v>
      </c>
      <c r="G96" s="93">
        <v>7</v>
      </c>
      <c r="H96" s="37" t="s">
        <v>1386</v>
      </c>
      <c r="I96" s="37"/>
      <c r="J96" s="103">
        <v>-91.789787500000003</v>
      </c>
      <c r="K96" s="40">
        <v>43.677344699999999</v>
      </c>
      <c r="L96" s="74"/>
      <c r="M96" s="272" t="s">
        <v>16</v>
      </c>
      <c r="N96" s="74">
        <v>0</v>
      </c>
      <c r="O96" s="94"/>
      <c r="P96" s="118">
        <v>1</v>
      </c>
      <c r="Q96" s="510">
        <v>80</v>
      </c>
      <c r="R96" s="513">
        <v>180</v>
      </c>
      <c r="S96" s="41"/>
      <c r="T96" s="40"/>
      <c r="U96" s="40">
        <v>7</v>
      </c>
      <c r="V96" s="119">
        <v>1</v>
      </c>
      <c r="W96" s="40">
        <v>0</v>
      </c>
      <c r="X96" s="119">
        <v>1</v>
      </c>
      <c r="Y96" s="40">
        <v>62</v>
      </c>
      <c r="Z96" s="119">
        <v>1</v>
      </c>
      <c r="AA96" s="368">
        <v>0</v>
      </c>
      <c r="AB96" s="535">
        <v>2</v>
      </c>
      <c r="AC96" s="39" t="s">
        <v>160</v>
      </c>
      <c r="AD96" s="75" t="s">
        <v>10</v>
      </c>
      <c r="AE96" s="95">
        <v>0</v>
      </c>
      <c r="AF96" s="75">
        <v>0</v>
      </c>
      <c r="AG96" s="75">
        <v>0</v>
      </c>
      <c r="AH96" s="75">
        <v>0</v>
      </c>
      <c r="AI96" s="75">
        <v>0</v>
      </c>
      <c r="AJ96" s="75">
        <v>0</v>
      </c>
      <c r="AK96" s="75">
        <v>0</v>
      </c>
      <c r="AL96" s="95">
        <v>1</v>
      </c>
      <c r="AM96" s="92">
        <v>0</v>
      </c>
      <c r="AN96" s="79" t="s">
        <v>80</v>
      </c>
      <c r="AO96" s="75">
        <v>1</v>
      </c>
      <c r="AP96" s="75" t="s">
        <v>83</v>
      </c>
      <c r="AQ96" s="122">
        <v>1</v>
      </c>
      <c r="AR96" s="515" t="s">
        <v>10</v>
      </c>
      <c r="AS96" s="95">
        <v>0</v>
      </c>
      <c r="AT96" s="75">
        <v>0</v>
      </c>
      <c r="AU96" s="75">
        <v>0</v>
      </c>
      <c r="AV96" s="75">
        <v>0</v>
      </c>
      <c r="AW96" s="123">
        <v>0</v>
      </c>
      <c r="AX96" s="516"/>
      <c r="AY96" s="75">
        <v>0</v>
      </c>
      <c r="AZ96" s="77" t="s">
        <v>131</v>
      </c>
      <c r="BA96" s="78" t="s">
        <v>131</v>
      </c>
      <c r="BB96" s="78" t="s">
        <v>131</v>
      </c>
      <c r="BC96" s="78" t="s">
        <v>131</v>
      </c>
      <c r="BD96" s="78" t="s">
        <v>131</v>
      </c>
      <c r="BE96" s="78" t="s">
        <v>131</v>
      </c>
      <c r="BF96" s="78" t="s">
        <v>131</v>
      </c>
      <c r="BG96" s="78" t="s">
        <v>132</v>
      </c>
      <c r="BH96" s="75" t="s">
        <v>5970</v>
      </c>
      <c r="BI96" s="295">
        <v>0</v>
      </c>
      <c r="BJ96" s="546">
        <v>1</v>
      </c>
      <c r="BK96" s="294">
        <v>1</v>
      </c>
      <c r="BL96" s="157">
        <v>1</v>
      </c>
      <c r="BM96" s="548" t="s">
        <v>1341</v>
      </c>
      <c r="BN96" s="548" t="s">
        <v>1339</v>
      </c>
      <c r="BO96" s="157" t="s">
        <v>4418</v>
      </c>
      <c r="BP96" s="548" t="s">
        <v>4419</v>
      </c>
      <c r="BQ96" s="157" t="s">
        <v>4232</v>
      </c>
      <c r="BR96" s="157"/>
    </row>
    <row r="97" spans="1:70" x14ac:dyDescent="0.25">
      <c r="A97" s="19" t="s">
        <v>3686</v>
      </c>
      <c r="B97" s="37" t="s">
        <v>4988</v>
      </c>
      <c r="C97" s="90">
        <v>45504.552534722221</v>
      </c>
      <c r="D97" s="114">
        <v>45504.302534722221</v>
      </c>
      <c r="E97" s="38">
        <v>45504</v>
      </c>
      <c r="F97" s="91">
        <v>2024</v>
      </c>
      <c r="G97" s="93">
        <v>7</v>
      </c>
      <c r="H97" s="37" t="s">
        <v>2446</v>
      </c>
      <c r="I97" s="37"/>
      <c r="J97" s="103">
        <v>-91.797346009672523</v>
      </c>
      <c r="K97" s="40">
        <v>44.45404915946942</v>
      </c>
      <c r="L97" s="74"/>
      <c r="M97" s="272" t="s">
        <v>4989</v>
      </c>
      <c r="N97" s="74">
        <v>1</v>
      </c>
      <c r="O97" s="94"/>
      <c r="P97" s="118">
        <v>1</v>
      </c>
      <c r="Q97" s="510">
        <v>180</v>
      </c>
      <c r="R97" s="513">
        <v>120</v>
      </c>
      <c r="S97" s="41"/>
      <c r="T97" s="40"/>
      <c r="U97" s="40">
        <v>8</v>
      </c>
      <c r="V97" s="119">
        <v>1</v>
      </c>
      <c r="W97" s="40">
        <v>0</v>
      </c>
      <c r="X97" s="119">
        <v>1</v>
      </c>
      <c r="Y97" s="40">
        <v>60</v>
      </c>
      <c r="Z97" s="119">
        <v>1</v>
      </c>
      <c r="AA97" s="368">
        <v>0</v>
      </c>
      <c r="AB97" s="535">
        <v>2</v>
      </c>
      <c r="AC97" s="39" t="s">
        <v>160</v>
      </c>
      <c r="AD97" s="75" t="s">
        <v>10</v>
      </c>
      <c r="AE97" s="95">
        <v>0</v>
      </c>
      <c r="AF97" s="75">
        <v>0</v>
      </c>
      <c r="AG97" s="75">
        <v>0</v>
      </c>
      <c r="AH97" s="75">
        <v>0</v>
      </c>
      <c r="AI97" s="75">
        <v>0</v>
      </c>
      <c r="AJ97" s="75">
        <v>0</v>
      </c>
      <c r="AK97" s="75">
        <v>0</v>
      </c>
      <c r="AL97" s="95">
        <v>1</v>
      </c>
      <c r="AM97" s="92">
        <v>0</v>
      </c>
      <c r="AN97" s="79" t="s">
        <v>80</v>
      </c>
      <c r="AO97" s="75">
        <v>1</v>
      </c>
      <c r="AP97" s="75" t="s">
        <v>84</v>
      </c>
      <c r="AQ97" s="122">
        <v>1</v>
      </c>
      <c r="AR97" s="515" t="s">
        <v>10</v>
      </c>
      <c r="AS97" s="95">
        <v>0</v>
      </c>
      <c r="AT97" s="75">
        <v>0</v>
      </c>
      <c r="AU97" s="75">
        <v>0</v>
      </c>
      <c r="AV97" s="75">
        <v>0</v>
      </c>
      <c r="AW97" s="123">
        <v>0</v>
      </c>
      <c r="AX97" s="516"/>
      <c r="AY97" s="75">
        <v>0</v>
      </c>
      <c r="AZ97" s="77" t="s">
        <v>131</v>
      </c>
      <c r="BA97" s="78" t="s">
        <v>131</v>
      </c>
      <c r="BB97" s="78" t="s">
        <v>131</v>
      </c>
      <c r="BC97" s="78" t="s">
        <v>131</v>
      </c>
      <c r="BD97" s="78" t="s">
        <v>131</v>
      </c>
      <c r="BE97" s="78" t="s">
        <v>131</v>
      </c>
      <c r="BF97" s="78" t="s">
        <v>131</v>
      </c>
      <c r="BG97" s="78" t="s">
        <v>132</v>
      </c>
      <c r="BH97" s="75" t="s">
        <v>5970</v>
      </c>
      <c r="BI97" s="295" t="s">
        <v>3989</v>
      </c>
      <c r="BJ97" s="546" t="s">
        <v>16</v>
      </c>
      <c r="BK97" s="294">
        <v>1</v>
      </c>
      <c r="BL97" s="157">
        <v>1</v>
      </c>
      <c r="BM97" s="548" t="s">
        <v>1340</v>
      </c>
      <c r="BN97" s="548" t="s">
        <v>4158</v>
      </c>
      <c r="BO97" s="157" t="s">
        <v>5839</v>
      </c>
      <c r="BP97" s="548" t="s">
        <v>3989</v>
      </c>
      <c r="BQ97" s="157" t="s">
        <v>4494</v>
      </c>
      <c r="BR97" s="157"/>
    </row>
    <row r="98" spans="1:70" x14ac:dyDescent="0.25">
      <c r="A98" s="19" t="s">
        <v>3686</v>
      </c>
      <c r="B98" s="37" t="s">
        <v>4990</v>
      </c>
      <c r="C98" s="90">
        <v>45503.993194444447</v>
      </c>
      <c r="D98" s="114">
        <v>45503.743194444447</v>
      </c>
      <c r="E98" s="38">
        <v>45503</v>
      </c>
      <c r="F98" s="91">
        <v>2024</v>
      </c>
      <c r="G98" s="93">
        <v>7</v>
      </c>
      <c r="H98" s="37" t="s">
        <v>1616</v>
      </c>
      <c r="I98" s="37"/>
      <c r="J98" s="103">
        <v>-92.236405500000004</v>
      </c>
      <c r="K98" s="40">
        <v>44.840204999999997</v>
      </c>
      <c r="L98" s="74"/>
      <c r="M98" s="272" t="s">
        <v>16</v>
      </c>
      <c r="N98" s="74">
        <v>0</v>
      </c>
      <c r="O98" s="94"/>
      <c r="P98" s="118">
        <v>0</v>
      </c>
      <c r="Q98" s="510"/>
      <c r="R98" s="513"/>
      <c r="S98" s="41"/>
      <c r="T98" s="40"/>
      <c r="U98" s="40"/>
      <c r="V98" s="119">
        <v>1</v>
      </c>
      <c r="W98" s="40">
        <v>0</v>
      </c>
      <c r="X98" s="119">
        <v>0</v>
      </c>
      <c r="Y98" s="40"/>
      <c r="Z98" s="119">
        <v>0</v>
      </c>
      <c r="AA98" s="368" t="s">
        <v>16</v>
      </c>
      <c r="AB98" s="535" t="s">
        <v>16</v>
      </c>
      <c r="AC98" s="39"/>
      <c r="AD98" s="75" t="s">
        <v>16</v>
      </c>
      <c r="AE98" s="95">
        <v>-1</v>
      </c>
      <c r="AF98" s="75">
        <v>-1</v>
      </c>
      <c r="AG98" s="75">
        <v>-1</v>
      </c>
      <c r="AH98" s="75">
        <v>-1</v>
      </c>
      <c r="AI98" s="75">
        <v>-1</v>
      </c>
      <c r="AJ98" s="75">
        <v>-1</v>
      </c>
      <c r="AK98" s="75">
        <v>-1</v>
      </c>
      <c r="AL98" s="95">
        <v>-1</v>
      </c>
      <c r="AM98" s="92">
        <v>1</v>
      </c>
      <c r="AN98" s="79"/>
      <c r="AO98" s="75">
        <v>0</v>
      </c>
      <c r="AP98" s="75"/>
      <c r="AQ98" s="122">
        <v>0</v>
      </c>
      <c r="AR98" s="515" t="s">
        <v>16</v>
      </c>
      <c r="AS98" s="95">
        <v>-1</v>
      </c>
      <c r="AT98" s="75">
        <v>-1</v>
      </c>
      <c r="AU98" s="75">
        <v>-1</v>
      </c>
      <c r="AV98" s="75">
        <v>-1</v>
      </c>
      <c r="AW98" s="123">
        <v>1</v>
      </c>
      <c r="AX98" s="516"/>
      <c r="AY98" s="75">
        <v>0</v>
      </c>
      <c r="AZ98" s="77" t="s">
        <v>5971</v>
      </c>
      <c r="BA98" s="78" t="s">
        <v>5971</v>
      </c>
      <c r="BB98" s="78" t="s">
        <v>5971</v>
      </c>
      <c r="BC98" s="78" t="s">
        <v>5971</v>
      </c>
      <c r="BD98" s="78" t="s">
        <v>5971</v>
      </c>
      <c r="BE98" s="78" t="s">
        <v>5971</v>
      </c>
      <c r="BF98" s="78" t="s">
        <v>5971</v>
      </c>
      <c r="BG98" s="78" t="s">
        <v>5971</v>
      </c>
      <c r="BH98" s="75" t="s">
        <v>5971</v>
      </c>
      <c r="BI98" s="295" t="s">
        <v>2247</v>
      </c>
      <c r="BJ98" s="546">
        <v>1</v>
      </c>
      <c r="BK98" s="294">
        <v>1</v>
      </c>
      <c r="BL98" s="157">
        <v>1</v>
      </c>
      <c r="BM98" s="548" t="s">
        <v>578</v>
      </c>
      <c r="BN98" s="548" t="s">
        <v>578</v>
      </c>
      <c r="BO98" s="157" t="s">
        <v>4318</v>
      </c>
      <c r="BP98" s="548" t="s">
        <v>4439</v>
      </c>
      <c r="BQ98" s="157" t="s">
        <v>4316</v>
      </c>
      <c r="BR98" s="157"/>
    </row>
    <row r="99" spans="1:70" x14ac:dyDescent="0.25">
      <c r="A99" s="19" t="s">
        <v>3686</v>
      </c>
      <c r="B99" s="37" t="s">
        <v>4991</v>
      </c>
      <c r="C99" s="90">
        <v>45503.990706018521</v>
      </c>
      <c r="D99" s="114">
        <v>45503.740706018521</v>
      </c>
      <c r="E99" s="38">
        <v>45503</v>
      </c>
      <c r="F99" s="91">
        <v>2024</v>
      </c>
      <c r="G99" s="93">
        <v>7</v>
      </c>
      <c r="H99" s="37" t="s">
        <v>1616</v>
      </c>
      <c r="I99" s="37" t="s">
        <v>1212</v>
      </c>
      <c r="J99" s="103">
        <v>-92.236406900000006</v>
      </c>
      <c r="K99" s="40">
        <v>44.840187899999997</v>
      </c>
      <c r="L99" s="74"/>
      <c r="M99" s="272" t="s">
        <v>4992</v>
      </c>
      <c r="N99" s="74">
        <v>1</v>
      </c>
      <c r="O99" s="94"/>
      <c r="P99" s="118">
        <v>1</v>
      </c>
      <c r="Q99" s="510">
        <v>180</v>
      </c>
      <c r="R99" s="513">
        <v>120</v>
      </c>
      <c r="S99" s="41"/>
      <c r="T99" s="40"/>
      <c r="U99" s="40">
        <v>7</v>
      </c>
      <c r="V99" s="119">
        <v>0</v>
      </c>
      <c r="W99" s="40"/>
      <c r="X99" s="119">
        <v>1</v>
      </c>
      <c r="Y99" s="40">
        <v>73</v>
      </c>
      <c r="Z99" s="119">
        <v>1</v>
      </c>
      <c r="AA99" s="368">
        <v>0</v>
      </c>
      <c r="AB99" s="535">
        <v>2</v>
      </c>
      <c r="AC99" s="39" t="s">
        <v>160</v>
      </c>
      <c r="AD99" s="75" t="s">
        <v>10</v>
      </c>
      <c r="AE99" s="95">
        <v>0</v>
      </c>
      <c r="AF99" s="75">
        <v>0</v>
      </c>
      <c r="AG99" s="75">
        <v>0</v>
      </c>
      <c r="AH99" s="75">
        <v>0</v>
      </c>
      <c r="AI99" s="75">
        <v>0</v>
      </c>
      <c r="AJ99" s="75">
        <v>0</v>
      </c>
      <c r="AK99" s="75">
        <v>0</v>
      </c>
      <c r="AL99" s="95">
        <v>1</v>
      </c>
      <c r="AM99" s="92">
        <v>0</v>
      </c>
      <c r="AN99" s="79" t="s">
        <v>80</v>
      </c>
      <c r="AO99" s="75">
        <v>1</v>
      </c>
      <c r="AP99" s="75" t="s">
        <v>83</v>
      </c>
      <c r="AQ99" s="122">
        <v>1</v>
      </c>
      <c r="AR99" s="515" t="s">
        <v>10</v>
      </c>
      <c r="AS99" s="95">
        <v>0</v>
      </c>
      <c r="AT99" s="75">
        <v>0</v>
      </c>
      <c r="AU99" s="75">
        <v>0</v>
      </c>
      <c r="AV99" s="75">
        <v>0</v>
      </c>
      <c r="AW99" s="123">
        <v>0</v>
      </c>
      <c r="AX99" s="516" t="s">
        <v>4993</v>
      </c>
      <c r="AY99" s="75">
        <v>1</v>
      </c>
      <c r="AZ99" s="77" t="s">
        <v>131</v>
      </c>
      <c r="BA99" s="78" t="s">
        <v>131</v>
      </c>
      <c r="BB99" s="78" t="s">
        <v>131</v>
      </c>
      <c r="BC99" s="78" t="s">
        <v>131</v>
      </c>
      <c r="BD99" s="78" t="s">
        <v>131</v>
      </c>
      <c r="BE99" s="78" t="s">
        <v>131</v>
      </c>
      <c r="BF99" s="78" t="s">
        <v>131</v>
      </c>
      <c r="BG99" s="78" t="s">
        <v>132</v>
      </c>
      <c r="BH99" s="75" t="s">
        <v>5970</v>
      </c>
      <c r="BI99" s="295" t="s">
        <v>2247</v>
      </c>
      <c r="BJ99" s="546">
        <v>1</v>
      </c>
      <c r="BK99" s="294">
        <v>1</v>
      </c>
      <c r="BL99" s="157">
        <v>1</v>
      </c>
      <c r="BM99" s="548" t="s">
        <v>578</v>
      </c>
      <c r="BN99" s="548" t="s">
        <v>578</v>
      </c>
      <c r="BO99" s="157" t="s">
        <v>4318</v>
      </c>
      <c r="BP99" s="548" t="s">
        <v>4439</v>
      </c>
      <c r="BQ99" s="157" t="s">
        <v>4316</v>
      </c>
      <c r="BR99" s="157"/>
    </row>
    <row r="100" spans="1:70" x14ac:dyDescent="0.25">
      <c r="A100" s="19" t="s">
        <v>3686</v>
      </c>
      <c r="B100" s="37" t="s">
        <v>4994</v>
      </c>
      <c r="C100" s="90">
        <v>45503.864340277774</v>
      </c>
      <c r="D100" s="114">
        <v>45503.614340277774</v>
      </c>
      <c r="E100" s="38">
        <v>45503</v>
      </c>
      <c r="F100" s="91">
        <v>2024</v>
      </c>
      <c r="G100" s="93">
        <v>7</v>
      </c>
      <c r="H100" s="37" t="s">
        <v>2446</v>
      </c>
      <c r="I100" s="37"/>
      <c r="J100" s="103">
        <v>-91.177781575807074</v>
      </c>
      <c r="K100" s="40">
        <v>44.422584557418865</v>
      </c>
      <c r="L100" s="74"/>
      <c r="M100" s="272" t="s">
        <v>4995</v>
      </c>
      <c r="N100" s="74">
        <v>1</v>
      </c>
      <c r="O100" s="94"/>
      <c r="P100" s="118">
        <v>1</v>
      </c>
      <c r="Q100" s="510">
        <v>80</v>
      </c>
      <c r="R100" s="513">
        <v>0</v>
      </c>
      <c r="S100" s="41"/>
      <c r="T100" s="40"/>
      <c r="U100" s="40">
        <v>7</v>
      </c>
      <c r="V100" s="119">
        <v>1</v>
      </c>
      <c r="W100" s="40">
        <v>0</v>
      </c>
      <c r="X100" s="119">
        <v>1</v>
      </c>
      <c r="Y100" s="40">
        <v>66</v>
      </c>
      <c r="Z100" s="119">
        <v>1</v>
      </c>
      <c r="AA100" s="368">
        <v>0</v>
      </c>
      <c r="AB100" s="535">
        <v>0</v>
      </c>
      <c r="AC100" s="39" t="s">
        <v>160</v>
      </c>
      <c r="AD100" s="75" t="s">
        <v>10</v>
      </c>
      <c r="AE100" s="95">
        <v>0</v>
      </c>
      <c r="AF100" s="75">
        <v>0</v>
      </c>
      <c r="AG100" s="75">
        <v>0</v>
      </c>
      <c r="AH100" s="75">
        <v>0</v>
      </c>
      <c r="AI100" s="75">
        <v>0</v>
      </c>
      <c r="AJ100" s="75">
        <v>0</v>
      </c>
      <c r="AK100" s="75">
        <v>0</v>
      </c>
      <c r="AL100" s="95">
        <v>1</v>
      </c>
      <c r="AM100" s="92">
        <v>0</v>
      </c>
      <c r="AN100" s="79" t="s">
        <v>80</v>
      </c>
      <c r="AO100" s="75">
        <v>1</v>
      </c>
      <c r="AP100" s="75" t="s">
        <v>84</v>
      </c>
      <c r="AQ100" s="122">
        <v>1</v>
      </c>
      <c r="AR100" s="515" t="s">
        <v>35</v>
      </c>
      <c r="AS100" s="95">
        <v>0</v>
      </c>
      <c r="AT100" s="75">
        <v>1</v>
      </c>
      <c r="AU100" s="75">
        <v>0</v>
      </c>
      <c r="AV100" s="75">
        <v>0</v>
      </c>
      <c r="AW100" s="123">
        <v>0</v>
      </c>
      <c r="AX100" s="516"/>
      <c r="AY100" s="75">
        <v>0</v>
      </c>
      <c r="AZ100" s="77" t="s">
        <v>131</v>
      </c>
      <c r="BA100" s="78" t="s">
        <v>131</v>
      </c>
      <c r="BB100" s="78" t="s">
        <v>131</v>
      </c>
      <c r="BC100" s="78" t="s">
        <v>131</v>
      </c>
      <c r="BD100" s="78" t="s">
        <v>131</v>
      </c>
      <c r="BE100" s="78" t="s">
        <v>131</v>
      </c>
      <c r="BF100" s="78" t="s">
        <v>131</v>
      </c>
      <c r="BG100" s="78" t="s">
        <v>132</v>
      </c>
      <c r="BH100" s="75" t="s">
        <v>5970</v>
      </c>
      <c r="BI100" s="295" t="s">
        <v>3985</v>
      </c>
      <c r="BJ100" s="546">
        <v>1</v>
      </c>
      <c r="BK100" s="294" t="s">
        <v>16</v>
      </c>
      <c r="BL100" s="157" t="s">
        <v>16</v>
      </c>
      <c r="BM100" s="548" t="s">
        <v>1340</v>
      </c>
      <c r="BN100" s="548" t="s">
        <v>4158</v>
      </c>
      <c r="BO100" s="157" t="s">
        <v>4459</v>
      </c>
      <c r="BP100" s="548" t="s">
        <v>4462</v>
      </c>
      <c r="BQ100" s="157" t="s">
        <v>4458</v>
      </c>
      <c r="BR100" s="157"/>
    </row>
    <row r="101" spans="1:70" x14ac:dyDescent="0.25">
      <c r="A101" s="19" t="s">
        <v>3686</v>
      </c>
      <c r="B101" s="37" t="s">
        <v>4996</v>
      </c>
      <c r="C101" s="90">
        <v>45503.723958333336</v>
      </c>
      <c r="D101" s="114">
        <v>45503.473958333336</v>
      </c>
      <c r="E101" s="38">
        <v>45503</v>
      </c>
      <c r="F101" s="91">
        <v>2024</v>
      </c>
      <c r="G101" s="93">
        <v>7</v>
      </c>
      <c r="H101" s="37" t="s">
        <v>4981</v>
      </c>
      <c r="I101" s="37"/>
      <c r="J101" s="103">
        <v>-91.709428547043117</v>
      </c>
      <c r="K101" s="40">
        <v>42.832270647840353</v>
      </c>
      <c r="L101" s="74"/>
      <c r="M101" s="272" t="s">
        <v>4997</v>
      </c>
      <c r="N101" s="74">
        <v>1</v>
      </c>
      <c r="O101" s="94"/>
      <c r="P101" s="118">
        <v>1</v>
      </c>
      <c r="Q101" s="510">
        <v>180</v>
      </c>
      <c r="R101" s="513">
        <v>180</v>
      </c>
      <c r="S101" s="41"/>
      <c r="T101" s="40"/>
      <c r="U101" s="40">
        <v>8</v>
      </c>
      <c r="V101" s="119">
        <v>0</v>
      </c>
      <c r="W101" s="40"/>
      <c r="X101" s="119">
        <v>1</v>
      </c>
      <c r="Y101" s="40">
        <v>58</v>
      </c>
      <c r="Z101" s="119">
        <v>1</v>
      </c>
      <c r="AA101" s="368">
        <v>0</v>
      </c>
      <c r="AB101" s="535">
        <v>5</v>
      </c>
      <c r="AC101" s="39" t="s">
        <v>160</v>
      </c>
      <c r="AD101" s="75" t="s">
        <v>10</v>
      </c>
      <c r="AE101" s="95">
        <v>0</v>
      </c>
      <c r="AF101" s="75">
        <v>0</v>
      </c>
      <c r="AG101" s="75">
        <v>0</v>
      </c>
      <c r="AH101" s="75">
        <v>0</v>
      </c>
      <c r="AI101" s="75">
        <v>0</v>
      </c>
      <c r="AJ101" s="75">
        <v>0</v>
      </c>
      <c r="AK101" s="75">
        <v>0</v>
      </c>
      <c r="AL101" s="95">
        <v>1</v>
      </c>
      <c r="AM101" s="92">
        <v>0</v>
      </c>
      <c r="AN101" s="79" t="s">
        <v>80</v>
      </c>
      <c r="AO101" s="75">
        <v>1</v>
      </c>
      <c r="AP101" s="75" t="s">
        <v>83</v>
      </c>
      <c r="AQ101" s="122">
        <v>1</v>
      </c>
      <c r="AR101" s="515" t="s">
        <v>10</v>
      </c>
      <c r="AS101" s="95">
        <v>0</v>
      </c>
      <c r="AT101" s="75">
        <v>0</v>
      </c>
      <c r="AU101" s="75">
        <v>0</v>
      </c>
      <c r="AV101" s="75">
        <v>0</v>
      </c>
      <c r="AW101" s="123">
        <v>0</v>
      </c>
      <c r="AX101" s="516"/>
      <c r="AY101" s="75">
        <v>0</v>
      </c>
      <c r="AZ101" s="77" t="s">
        <v>131</v>
      </c>
      <c r="BA101" s="78" t="s">
        <v>131</v>
      </c>
      <c r="BB101" s="78" t="s">
        <v>131</v>
      </c>
      <c r="BC101" s="78" t="s">
        <v>131</v>
      </c>
      <c r="BD101" s="78" t="s">
        <v>131</v>
      </c>
      <c r="BE101" s="78" t="s">
        <v>131</v>
      </c>
      <c r="BF101" s="78" t="s">
        <v>131</v>
      </c>
      <c r="BG101" s="78" t="s">
        <v>132</v>
      </c>
      <c r="BH101" s="75" t="s">
        <v>5970</v>
      </c>
      <c r="BI101" s="295" t="s">
        <v>16</v>
      </c>
      <c r="BJ101" s="546">
        <v>1</v>
      </c>
      <c r="BK101" s="294" t="s">
        <v>16</v>
      </c>
      <c r="BL101" s="157" t="s">
        <v>16</v>
      </c>
      <c r="BM101" s="548" t="s">
        <v>1344</v>
      </c>
      <c r="BN101" s="548" t="s">
        <v>4160</v>
      </c>
      <c r="BO101" s="157" t="s">
        <v>4572</v>
      </c>
      <c r="BP101" s="548" t="s">
        <v>4574</v>
      </c>
      <c r="BQ101" s="157" t="s">
        <v>4571</v>
      </c>
      <c r="BR101" s="157"/>
    </row>
    <row r="102" spans="1:70" x14ac:dyDescent="0.25">
      <c r="A102" s="19" t="s">
        <v>3686</v>
      </c>
      <c r="B102" s="37" t="s">
        <v>4998</v>
      </c>
      <c r="C102" s="90">
        <v>45503.714189814818</v>
      </c>
      <c r="D102" s="114">
        <v>45503.464189814818</v>
      </c>
      <c r="E102" s="38">
        <v>45503</v>
      </c>
      <c r="F102" s="91">
        <v>2024</v>
      </c>
      <c r="G102" s="93">
        <v>7</v>
      </c>
      <c r="H102" s="37" t="s">
        <v>1386</v>
      </c>
      <c r="I102" s="37"/>
      <c r="J102" s="103">
        <v>-92.343731300000002</v>
      </c>
      <c r="K102" s="40">
        <v>43.602332599999997</v>
      </c>
      <c r="L102" s="74"/>
      <c r="M102" s="272" t="s">
        <v>16</v>
      </c>
      <c r="N102" s="74">
        <v>0</v>
      </c>
      <c r="O102" s="94"/>
      <c r="P102" s="118">
        <v>1</v>
      </c>
      <c r="Q102" s="510">
        <v>0</v>
      </c>
      <c r="R102" s="513">
        <v>120</v>
      </c>
      <c r="S102" s="41"/>
      <c r="T102" s="40"/>
      <c r="U102" s="40">
        <v>8</v>
      </c>
      <c r="V102" s="119">
        <v>1</v>
      </c>
      <c r="W102" s="40">
        <v>0</v>
      </c>
      <c r="X102" s="119">
        <v>1</v>
      </c>
      <c r="Y102" s="40">
        <v>63</v>
      </c>
      <c r="Z102" s="119">
        <v>1</v>
      </c>
      <c r="AA102" s="368">
        <v>0</v>
      </c>
      <c r="AB102" s="535">
        <v>5</v>
      </c>
      <c r="AC102" s="39" t="s">
        <v>160</v>
      </c>
      <c r="AD102" s="75" t="s">
        <v>10</v>
      </c>
      <c r="AE102" s="95">
        <v>0</v>
      </c>
      <c r="AF102" s="75">
        <v>0</v>
      </c>
      <c r="AG102" s="75">
        <v>0</v>
      </c>
      <c r="AH102" s="75">
        <v>0</v>
      </c>
      <c r="AI102" s="75">
        <v>0</v>
      </c>
      <c r="AJ102" s="75">
        <v>0</v>
      </c>
      <c r="AK102" s="75">
        <v>0</v>
      </c>
      <c r="AL102" s="95">
        <v>1</v>
      </c>
      <c r="AM102" s="92">
        <v>0</v>
      </c>
      <c r="AN102" s="79" t="s">
        <v>80</v>
      </c>
      <c r="AO102" s="75">
        <v>1</v>
      </c>
      <c r="AP102" s="75" t="s">
        <v>83</v>
      </c>
      <c r="AQ102" s="122">
        <v>1</v>
      </c>
      <c r="AR102" s="515" t="s">
        <v>10</v>
      </c>
      <c r="AS102" s="95">
        <v>0</v>
      </c>
      <c r="AT102" s="75">
        <v>0</v>
      </c>
      <c r="AU102" s="75">
        <v>0</v>
      </c>
      <c r="AV102" s="75">
        <v>0</v>
      </c>
      <c r="AW102" s="123">
        <v>0</v>
      </c>
      <c r="AX102" s="516"/>
      <c r="AY102" s="75">
        <v>0</v>
      </c>
      <c r="AZ102" s="77" t="s">
        <v>131</v>
      </c>
      <c r="BA102" s="78" t="s">
        <v>131</v>
      </c>
      <c r="BB102" s="78" t="s">
        <v>131</v>
      </c>
      <c r="BC102" s="78" t="s">
        <v>131</v>
      </c>
      <c r="BD102" s="78" t="s">
        <v>131</v>
      </c>
      <c r="BE102" s="78" t="s">
        <v>131</v>
      </c>
      <c r="BF102" s="78" t="s">
        <v>131</v>
      </c>
      <c r="BG102" s="78" t="s">
        <v>132</v>
      </c>
      <c r="BH102" s="75" t="s">
        <v>5970</v>
      </c>
      <c r="BI102" s="295" t="s">
        <v>16</v>
      </c>
      <c r="BJ102" s="546">
        <v>1</v>
      </c>
      <c r="BK102" s="294" t="s">
        <v>16</v>
      </c>
      <c r="BL102" s="157" t="s">
        <v>16</v>
      </c>
      <c r="BM102" s="548" t="s">
        <v>1339</v>
      </c>
      <c r="BN102" s="548" t="s">
        <v>1339</v>
      </c>
      <c r="BO102" s="157" t="s">
        <v>4230</v>
      </c>
      <c r="BP102" s="548" t="s">
        <v>4231</v>
      </c>
      <c r="BQ102" s="157" t="s">
        <v>4229</v>
      </c>
      <c r="BR102" s="157"/>
    </row>
    <row r="103" spans="1:70" x14ac:dyDescent="0.25">
      <c r="A103" s="19" t="s">
        <v>3686</v>
      </c>
      <c r="B103" s="37" t="s">
        <v>4999</v>
      </c>
      <c r="C103" s="90">
        <v>45503.709386574075</v>
      </c>
      <c r="D103" s="114">
        <v>45503.459386574075</v>
      </c>
      <c r="E103" s="38">
        <v>45503</v>
      </c>
      <c r="F103" s="91">
        <v>2024</v>
      </c>
      <c r="G103" s="93">
        <v>7</v>
      </c>
      <c r="H103" s="37" t="s">
        <v>475</v>
      </c>
      <c r="I103" s="37"/>
      <c r="J103" s="103">
        <v>-92.49517608596544</v>
      </c>
      <c r="K103" s="40">
        <v>44.050527242365845</v>
      </c>
      <c r="L103" s="74"/>
      <c r="M103" s="272" t="s">
        <v>16</v>
      </c>
      <c r="N103" s="74">
        <v>0</v>
      </c>
      <c r="O103" s="94"/>
      <c r="P103" s="118">
        <v>0</v>
      </c>
      <c r="Q103" s="510"/>
      <c r="R103" s="513"/>
      <c r="S103" s="41"/>
      <c r="T103" s="40"/>
      <c r="U103" s="40"/>
      <c r="V103" s="119">
        <v>0</v>
      </c>
      <c r="W103" s="40"/>
      <c r="X103" s="119">
        <v>1</v>
      </c>
      <c r="Y103" s="40">
        <v>68</v>
      </c>
      <c r="Z103" s="119">
        <v>1</v>
      </c>
      <c r="AA103" s="368">
        <v>0</v>
      </c>
      <c r="AB103" s="535">
        <v>5</v>
      </c>
      <c r="AC103" s="39" t="s">
        <v>160</v>
      </c>
      <c r="AD103" s="75" t="s">
        <v>10</v>
      </c>
      <c r="AE103" s="95">
        <v>0</v>
      </c>
      <c r="AF103" s="75">
        <v>0</v>
      </c>
      <c r="AG103" s="75">
        <v>0</v>
      </c>
      <c r="AH103" s="75">
        <v>0</v>
      </c>
      <c r="AI103" s="75">
        <v>0</v>
      </c>
      <c r="AJ103" s="75">
        <v>0</v>
      </c>
      <c r="AK103" s="75">
        <v>0</v>
      </c>
      <c r="AL103" s="95">
        <v>1</v>
      </c>
      <c r="AM103" s="92">
        <v>0</v>
      </c>
      <c r="AN103" s="79" t="s">
        <v>81</v>
      </c>
      <c r="AO103" s="75">
        <v>1</v>
      </c>
      <c r="AP103" s="75" t="s">
        <v>84</v>
      </c>
      <c r="AQ103" s="122">
        <v>1</v>
      </c>
      <c r="AR103" s="515" t="s">
        <v>10</v>
      </c>
      <c r="AS103" s="95">
        <v>0</v>
      </c>
      <c r="AT103" s="75">
        <v>0</v>
      </c>
      <c r="AU103" s="75">
        <v>0</v>
      </c>
      <c r="AV103" s="75">
        <v>0</v>
      </c>
      <c r="AW103" s="123">
        <v>0</v>
      </c>
      <c r="AX103" s="516"/>
      <c r="AY103" s="75">
        <v>0</v>
      </c>
      <c r="AZ103" s="77" t="s">
        <v>131</v>
      </c>
      <c r="BA103" s="78" t="s">
        <v>131</v>
      </c>
      <c r="BB103" s="78" t="s">
        <v>131</v>
      </c>
      <c r="BC103" s="78" t="s">
        <v>131</v>
      </c>
      <c r="BD103" s="78" t="s">
        <v>131</v>
      </c>
      <c r="BE103" s="78" t="s">
        <v>131</v>
      </c>
      <c r="BF103" s="78" t="s">
        <v>131</v>
      </c>
      <c r="BG103" s="78" t="s">
        <v>132</v>
      </c>
      <c r="BH103" s="75" t="s">
        <v>5970</v>
      </c>
      <c r="BI103" s="295" t="s">
        <v>16</v>
      </c>
      <c r="BJ103" s="546" t="s">
        <v>16</v>
      </c>
      <c r="BK103" s="294" t="s">
        <v>16</v>
      </c>
      <c r="BL103" s="157" t="s">
        <v>16</v>
      </c>
      <c r="BM103" s="548" t="s">
        <v>1339</v>
      </c>
      <c r="BN103" s="548" t="s">
        <v>1339</v>
      </c>
      <c r="BO103" s="157" t="s">
        <v>5840</v>
      </c>
      <c r="BP103" s="548" t="s">
        <v>3967</v>
      </c>
      <c r="BQ103" s="157" t="s">
        <v>4380</v>
      </c>
      <c r="BR103" s="157"/>
    </row>
    <row r="104" spans="1:70" x14ac:dyDescent="0.25">
      <c r="A104" s="19" t="s">
        <v>3686</v>
      </c>
      <c r="B104" s="37" t="s">
        <v>5000</v>
      </c>
      <c r="C104" s="90">
        <v>45503.680752314816</v>
      </c>
      <c r="D104" s="114">
        <v>45503.430752314816</v>
      </c>
      <c r="E104" s="38">
        <v>45503</v>
      </c>
      <c r="F104" s="91">
        <v>2024</v>
      </c>
      <c r="G104" s="93">
        <v>7</v>
      </c>
      <c r="H104" s="37" t="s">
        <v>1386</v>
      </c>
      <c r="I104" s="37"/>
      <c r="J104" s="103">
        <v>-92.354941199999999</v>
      </c>
      <c r="K104" s="40">
        <v>43.707130300000003</v>
      </c>
      <c r="L104" s="74"/>
      <c r="M104" s="272" t="s">
        <v>16</v>
      </c>
      <c r="N104" s="74">
        <v>0</v>
      </c>
      <c r="O104" s="94"/>
      <c r="P104" s="118">
        <v>1</v>
      </c>
      <c r="Q104" s="510">
        <v>180</v>
      </c>
      <c r="R104" s="513">
        <v>180</v>
      </c>
      <c r="S104" s="41"/>
      <c r="T104" s="40"/>
      <c r="U104" s="40">
        <v>8</v>
      </c>
      <c r="V104" s="119">
        <v>1</v>
      </c>
      <c r="W104" s="40">
        <v>0</v>
      </c>
      <c r="X104" s="119">
        <v>1</v>
      </c>
      <c r="Y104" s="40">
        <v>64</v>
      </c>
      <c r="Z104" s="119">
        <v>1</v>
      </c>
      <c r="AA104" s="368">
        <v>0</v>
      </c>
      <c r="AB104" s="535">
        <v>2</v>
      </c>
      <c r="AC104" s="39" t="s">
        <v>160</v>
      </c>
      <c r="AD104" s="75" t="s">
        <v>10</v>
      </c>
      <c r="AE104" s="95">
        <v>0</v>
      </c>
      <c r="AF104" s="75">
        <v>0</v>
      </c>
      <c r="AG104" s="75">
        <v>0</v>
      </c>
      <c r="AH104" s="75">
        <v>0</v>
      </c>
      <c r="AI104" s="75">
        <v>0</v>
      </c>
      <c r="AJ104" s="75">
        <v>0</v>
      </c>
      <c r="AK104" s="75">
        <v>0</v>
      </c>
      <c r="AL104" s="95">
        <v>1</v>
      </c>
      <c r="AM104" s="92">
        <v>0</v>
      </c>
      <c r="AN104" s="79" t="s">
        <v>80</v>
      </c>
      <c r="AO104" s="75">
        <v>1</v>
      </c>
      <c r="AP104" s="75" t="s">
        <v>83</v>
      </c>
      <c r="AQ104" s="122">
        <v>1</v>
      </c>
      <c r="AR104" s="515" t="s">
        <v>10</v>
      </c>
      <c r="AS104" s="95">
        <v>0</v>
      </c>
      <c r="AT104" s="75">
        <v>0</v>
      </c>
      <c r="AU104" s="75">
        <v>0</v>
      </c>
      <c r="AV104" s="75">
        <v>0</v>
      </c>
      <c r="AW104" s="123">
        <v>0</v>
      </c>
      <c r="AX104" s="516"/>
      <c r="AY104" s="75">
        <v>0</v>
      </c>
      <c r="AZ104" s="77" t="s">
        <v>131</v>
      </c>
      <c r="BA104" s="78" t="s">
        <v>131</v>
      </c>
      <c r="BB104" s="78" t="s">
        <v>131</v>
      </c>
      <c r="BC104" s="78" t="s">
        <v>131</v>
      </c>
      <c r="BD104" s="78" t="s">
        <v>131</v>
      </c>
      <c r="BE104" s="78" t="s">
        <v>131</v>
      </c>
      <c r="BF104" s="78" t="s">
        <v>131</v>
      </c>
      <c r="BG104" s="78" t="s">
        <v>132</v>
      </c>
      <c r="BH104" s="75" t="s">
        <v>5970</v>
      </c>
      <c r="BI104" s="295" t="s">
        <v>2230</v>
      </c>
      <c r="BJ104" s="546">
        <v>1</v>
      </c>
      <c r="BK104" s="294" t="s">
        <v>16</v>
      </c>
      <c r="BL104" s="157" t="s">
        <v>16</v>
      </c>
      <c r="BM104" s="548" t="s">
        <v>1339</v>
      </c>
      <c r="BN104" s="548" t="s">
        <v>1339</v>
      </c>
      <c r="BO104" s="157" t="s">
        <v>4227</v>
      </c>
      <c r="BP104" s="548" t="s">
        <v>2230</v>
      </c>
      <c r="BQ104" s="157" t="s">
        <v>4226</v>
      </c>
      <c r="BR104" s="157"/>
    </row>
    <row r="105" spans="1:70" x14ac:dyDescent="0.25">
      <c r="A105" s="19" t="s">
        <v>3686</v>
      </c>
      <c r="B105" s="37" t="s">
        <v>5001</v>
      </c>
      <c r="C105" s="90">
        <v>45503.651307870372</v>
      </c>
      <c r="D105" s="114">
        <v>45503.401307870372</v>
      </c>
      <c r="E105" s="38">
        <v>45503</v>
      </c>
      <c r="F105" s="91">
        <v>2024</v>
      </c>
      <c r="G105" s="93">
        <v>7</v>
      </c>
      <c r="H105" s="37" t="s">
        <v>2548</v>
      </c>
      <c r="I105" s="37"/>
      <c r="J105" s="103">
        <v>-91.343973897838282</v>
      </c>
      <c r="K105" s="40">
        <v>44.435780772813231</v>
      </c>
      <c r="L105" s="74"/>
      <c r="M105" s="272" t="s">
        <v>5002</v>
      </c>
      <c r="N105" s="74">
        <v>1</v>
      </c>
      <c r="O105" s="94"/>
      <c r="P105" s="118">
        <v>1</v>
      </c>
      <c r="Q105" s="510">
        <v>40</v>
      </c>
      <c r="R105" s="513">
        <v>120</v>
      </c>
      <c r="S105" s="41"/>
      <c r="T105" s="40"/>
      <c r="U105" s="40">
        <v>7</v>
      </c>
      <c r="V105" s="119">
        <v>1</v>
      </c>
      <c r="W105" s="40">
        <v>200</v>
      </c>
      <c r="X105" s="119">
        <v>1</v>
      </c>
      <c r="Y105" s="40">
        <v>59</v>
      </c>
      <c r="Z105" s="119">
        <v>1</v>
      </c>
      <c r="AA105" s="368">
        <v>0</v>
      </c>
      <c r="AB105" s="535">
        <v>2</v>
      </c>
      <c r="AC105" s="39" t="s">
        <v>160</v>
      </c>
      <c r="AD105" s="75" t="s">
        <v>10</v>
      </c>
      <c r="AE105" s="95">
        <v>0</v>
      </c>
      <c r="AF105" s="75">
        <v>0</v>
      </c>
      <c r="AG105" s="75">
        <v>0</v>
      </c>
      <c r="AH105" s="75">
        <v>0</v>
      </c>
      <c r="AI105" s="75">
        <v>0</v>
      </c>
      <c r="AJ105" s="75">
        <v>0</v>
      </c>
      <c r="AK105" s="75">
        <v>0</v>
      </c>
      <c r="AL105" s="95">
        <v>1</v>
      </c>
      <c r="AM105" s="92">
        <v>0</v>
      </c>
      <c r="AN105" s="79" t="s">
        <v>80</v>
      </c>
      <c r="AO105" s="75">
        <v>1</v>
      </c>
      <c r="AP105" s="75" t="s">
        <v>83</v>
      </c>
      <c r="AQ105" s="122">
        <v>1</v>
      </c>
      <c r="AR105" s="515" t="s">
        <v>35</v>
      </c>
      <c r="AS105" s="95">
        <v>0</v>
      </c>
      <c r="AT105" s="75">
        <v>1</v>
      </c>
      <c r="AU105" s="75">
        <v>0</v>
      </c>
      <c r="AV105" s="75">
        <v>0</v>
      </c>
      <c r="AW105" s="123">
        <v>0</v>
      </c>
      <c r="AX105" s="516"/>
      <c r="AY105" s="75">
        <v>0</v>
      </c>
      <c r="AZ105" s="77" t="s">
        <v>131</v>
      </c>
      <c r="BA105" s="78" t="s">
        <v>131</v>
      </c>
      <c r="BB105" s="78" t="s">
        <v>131</v>
      </c>
      <c r="BC105" s="78" t="s">
        <v>131</v>
      </c>
      <c r="BD105" s="78" t="s">
        <v>131</v>
      </c>
      <c r="BE105" s="78" t="s">
        <v>131</v>
      </c>
      <c r="BF105" s="78" t="s">
        <v>131</v>
      </c>
      <c r="BG105" s="78" t="s">
        <v>132</v>
      </c>
      <c r="BH105" s="75" t="s">
        <v>5970</v>
      </c>
      <c r="BI105" s="295" t="s">
        <v>2246</v>
      </c>
      <c r="BJ105" s="546">
        <v>1</v>
      </c>
      <c r="BK105" s="294" t="s">
        <v>16</v>
      </c>
      <c r="BL105" s="157" t="s">
        <v>16</v>
      </c>
      <c r="BM105" s="548" t="s">
        <v>1340</v>
      </c>
      <c r="BN105" s="548" t="s">
        <v>4158</v>
      </c>
      <c r="BO105" s="157" t="s">
        <v>4489</v>
      </c>
      <c r="BP105" s="548" t="s">
        <v>4490</v>
      </c>
      <c r="BQ105" s="157" t="s">
        <v>4485</v>
      </c>
      <c r="BR105" s="157"/>
    </row>
    <row r="106" spans="1:70" x14ac:dyDescent="0.25">
      <c r="A106" s="19" t="s">
        <v>3686</v>
      </c>
      <c r="B106" s="37" t="s">
        <v>5003</v>
      </c>
      <c r="C106" s="90">
        <v>45503.639432870368</v>
      </c>
      <c r="D106" s="114">
        <v>45503.389432870368</v>
      </c>
      <c r="E106" s="38">
        <v>45503</v>
      </c>
      <c r="F106" s="91">
        <v>2024</v>
      </c>
      <c r="G106" s="93">
        <v>7</v>
      </c>
      <c r="H106" s="37" t="s">
        <v>461</v>
      </c>
      <c r="I106" s="37" t="s">
        <v>368</v>
      </c>
      <c r="J106" s="103">
        <v>-92.146759439135579</v>
      </c>
      <c r="K106" s="40">
        <v>44.793186263444532</v>
      </c>
      <c r="L106" s="74"/>
      <c r="M106" s="272" t="s">
        <v>5004</v>
      </c>
      <c r="N106" s="74">
        <v>1</v>
      </c>
      <c r="O106" s="94"/>
      <c r="P106" s="118">
        <v>1</v>
      </c>
      <c r="Q106" s="510">
        <v>80</v>
      </c>
      <c r="R106" s="513">
        <v>120</v>
      </c>
      <c r="S106" s="41"/>
      <c r="T106" s="40"/>
      <c r="U106" s="40">
        <v>7</v>
      </c>
      <c r="V106" s="119">
        <v>1</v>
      </c>
      <c r="W106" s="40">
        <v>0</v>
      </c>
      <c r="X106" s="119">
        <v>1</v>
      </c>
      <c r="Y106" s="40">
        <v>60</v>
      </c>
      <c r="Z106" s="119">
        <v>1</v>
      </c>
      <c r="AA106" s="368">
        <v>0</v>
      </c>
      <c r="AB106" s="535">
        <v>2</v>
      </c>
      <c r="AC106" s="39" t="s">
        <v>160</v>
      </c>
      <c r="AD106" s="75" t="s">
        <v>10</v>
      </c>
      <c r="AE106" s="95">
        <v>0</v>
      </c>
      <c r="AF106" s="75">
        <v>0</v>
      </c>
      <c r="AG106" s="75">
        <v>0</v>
      </c>
      <c r="AH106" s="75">
        <v>0</v>
      </c>
      <c r="AI106" s="75">
        <v>0</v>
      </c>
      <c r="AJ106" s="75">
        <v>0</v>
      </c>
      <c r="AK106" s="75">
        <v>0</v>
      </c>
      <c r="AL106" s="95">
        <v>1</v>
      </c>
      <c r="AM106" s="92">
        <v>0</v>
      </c>
      <c r="AN106" s="79" t="s">
        <v>80</v>
      </c>
      <c r="AO106" s="75">
        <v>1</v>
      </c>
      <c r="AP106" s="75" t="s">
        <v>83</v>
      </c>
      <c r="AQ106" s="122">
        <v>1</v>
      </c>
      <c r="AR106" s="515" t="s">
        <v>10</v>
      </c>
      <c r="AS106" s="95">
        <v>0</v>
      </c>
      <c r="AT106" s="75">
        <v>0</v>
      </c>
      <c r="AU106" s="75">
        <v>0</v>
      </c>
      <c r="AV106" s="75">
        <v>0</v>
      </c>
      <c r="AW106" s="123">
        <v>0</v>
      </c>
      <c r="AX106" s="516"/>
      <c r="AY106" s="75">
        <v>0</v>
      </c>
      <c r="AZ106" s="77" t="s">
        <v>131</v>
      </c>
      <c r="BA106" s="78" t="s">
        <v>131</v>
      </c>
      <c r="BB106" s="78" t="s">
        <v>131</v>
      </c>
      <c r="BC106" s="78" t="s">
        <v>131</v>
      </c>
      <c r="BD106" s="78" t="s">
        <v>131</v>
      </c>
      <c r="BE106" s="78" t="s">
        <v>131</v>
      </c>
      <c r="BF106" s="78" t="s">
        <v>131</v>
      </c>
      <c r="BG106" s="78" t="s">
        <v>132</v>
      </c>
      <c r="BH106" s="75" t="s">
        <v>5970</v>
      </c>
      <c r="BI106" s="295" t="s">
        <v>2270</v>
      </c>
      <c r="BJ106" s="546">
        <v>1</v>
      </c>
      <c r="BK106" s="294">
        <v>1</v>
      </c>
      <c r="BL106" s="157">
        <v>1</v>
      </c>
      <c r="BM106" s="548" t="s">
        <v>578</v>
      </c>
      <c r="BN106" s="548" t="s">
        <v>578</v>
      </c>
      <c r="BO106" s="157" t="s">
        <v>4317</v>
      </c>
      <c r="BP106" s="548" t="s">
        <v>2270</v>
      </c>
      <c r="BQ106" s="157" t="s">
        <v>4316</v>
      </c>
      <c r="BR106" s="157"/>
    </row>
    <row r="107" spans="1:70" x14ac:dyDescent="0.25">
      <c r="A107" s="19" t="s">
        <v>3686</v>
      </c>
      <c r="B107" s="37" t="s">
        <v>5005</v>
      </c>
      <c r="C107" s="90">
        <v>45502.774583333332</v>
      </c>
      <c r="D107" s="114">
        <v>45502.524583333332</v>
      </c>
      <c r="E107" s="38">
        <v>45502</v>
      </c>
      <c r="F107" s="91">
        <v>2024</v>
      </c>
      <c r="G107" s="93">
        <v>7</v>
      </c>
      <c r="H107" s="37" t="s">
        <v>5006</v>
      </c>
      <c r="I107" s="37" t="s">
        <v>16</v>
      </c>
      <c r="J107" s="103">
        <v>-92.644053618505041</v>
      </c>
      <c r="K107" s="40">
        <v>44.844467296256305</v>
      </c>
      <c r="L107" s="74"/>
      <c r="M107" s="272" t="s">
        <v>5007</v>
      </c>
      <c r="N107" s="74">
        <v>1</v>
      </c>
      <c r="O107" s="94"/>
      <c r="P107" s="118">
        <v>1</v>
      </c>
      <c r="Q107" s="510">
        <v>80</v>
      </c>
      <c r="R107" s="513">
        <v>60</v>
      </c>
      <c r="S107" s="41"/>
      <c r="T107" s="40"/>
      <c r="U107" s="40">
        <v>7.5</v>
      </c>
      <c r="V107" s="119">
        <v>1</v>
      </c>
      <c r="W107" s="40">
        <v>0</v>
      </c>
      <c r="X107" s="119">
        <v>1</v>
      </c>
      <c r="Y107" s="40">
        <v>68</v>
      </c>
      <c r="Z107" s="119">
        <v>1</v>
      </c>
      <c r="AA107" s="368">
        <v>0</v>
      </c>
      <c r="AB107" s="535">
        <v>2</v>
      </c>
      <c r="AC107" s="39" t="s">
        <v>160</v>
      </c>
      <c r="AD107" s="75" t="s">
        <v>355</v>
      </c>
      <c r="AE107" s="95">
        <v>0</v>
      </c>
      <c r="AF107" s="75">
        <v>0</v>
      </c>
      <c r="AG107" s="75">
        <v>0</v>
      </c>
      <c r="AH107" s="75">
        <v>1</v>
      </c>
      <c r="AI107" s="75">
        <v>0</v>
      </c>
      <c r="AJ107" s="75">
        <v>0</v>
      </c>
      <c r="AK107" s="75">
        <v>0</v>
      </c>
      <c r="AL107" s="95">
        <v>0</v>
      </c>
      <c r="AM107" s="92">
        <v>0</v>
      </c>
      <c r="AN107" s="79" t="s">
        <v>80</v>
      </c>
      <c r="AO107" s="75">
        <v>1</v>
      </c>
      <c r="AP107" s="75" t="s">
        <v>83</v>
      </c>
      <c r="AQ107" s="122">
        <v>1</v>
      </c>
      <c r="AR107" s="515" t="s">
        <v>35</v>
      </c>
      <c r="AS107" s="95">
        <v>0</v>
      </c>
      <c r="AT107" s="75">
        <v>1</v>
      </c>
      <c r="AU107" s="75">
        <v>0</v>
      </c>
      <c r="AV107" s="75">
        <v>0</v>
      </c>
      <c r="AW107" s="123">
        <v>0</v>
      </c>
      <c r="AX107" s="516" t="s">
        <v>5008</v>
      </c>
      <c r="AY107" s="75">
        <v>1</v>
      </c>
      <c r="AZ107" s="77" t="s">
        <v>131</v>
      </c>
      <c r="BA107" s="78" t="s">
        <v>131</v>
      </c>
      <c r="BB107" s="78" t="s">
        <v>131</v>
      </c>
      <c r="BC107" s="78" t="s">
        <v>132</v>
      </c>
      <c r="BD107" s="78" t="s">
        <v>131</v>
      </c>
      <c r="BE107" s="78" t="s">
        <v>131</v>
      </c>
      <c r="BF107" s="78" t="s">
        <v>131</v>
      </c>
      <c r="BG107" s="78" t="s">
        <v>131</v>
      </c>
      <c r="BH107" s="75" t="s">
        <v>5970</v>
      </c>
      <c r="BI107" s="295" t="s">
        <v>16</v>
      </c>
      <c r="BJ107" s="546">
        <v>1</v>
      </c>
      <c r="BK107" s="294">
        <v>1</v>
      </c>
      <c r="BL107" s="157">
        <v>1</v>
      </c>
      <c r="BM107" s="548" t="s">
        <v>578</v>
      </c>
      <c r="BN107" s="548" t="s">
        <v>5969</v>
      </c>
      <c r="BO107" s="157" t="s">
        <v>4341</v>
      </c>
      <c r="BP107" s="548" t="s">
        <v>4343</v>
      </c>
      <c r="BQ107" s="157" t="s">
        <v>4309</v>
      </c>
      <c r="BR107" s="157"/>
    </row>
    <row r="108" spans="1:70" x14ac:dyDescent="0.25">
      <c r="A108" s="19" t="s">
        <v>3686</v>
      </c>
      <c r="B108" s="37" t="s">
        <v>5009</v>
      </c>
      <c r="C108" s="90">
        <v>45502.755057870374</v>
      </c>
      <c r="D108" s="114">
        <v>45502.505057870374</v>
      </c>
      <c r="E108" s="38">
        <v>45502</v>
      </c>
      <c r="F108" s="91">
        <v>2024</v>
      </c>
      <c r="G108" s="93">
        <v>7</v>
      </c>
      <c r="H108" s="37" t="s">
        <v>5006</v>
      </c>
      <c r="I108" s="37" t="s">
        <v>337</v>
      </c>
      <c r="J108" s="103">
        <v>-92.641556255540323</v>
      </c>
      <c r="K108" s="40">
        <v>44.849874767394553</v>
      </c>
      <c r="L108" s="74"/>
      <c r="M108" s="272" t="s">
        <v>5010</v>
      </c>
      <c r="N108" s="74">
        <v>1</v>
      </c>
      <c r="O108" s="94"/>
      <c r="P108" s="118">
        <v>1</v>
      </c>
      <c r="Q108" s="510">
        <v>80</v>
      </c>
      <c r="R108" s="513">
        <v>60</v>
      </c>
      <c r="S108" s="41"/>
      <c r="T108" s="40"/>
      <c r="U108" s="40">
        <v>7.5</v>
      </c>
      <c r="V108" s="119">
        <v>1</v>
      </c>
      <c r="W108" s="40">
        <v>0</v>
      </c>
      <c r="X108" s="119">
        <v>1</v>
      </c>
      <c r="Y108" s="40">
        <v>67</v>
      </c>
      <c r="Z108" s="119">
        <v>1</v>
      </c>
      <c r="AA108" s="368">
        <v>0</v>
      </c>
      <c r="AB108" s="535">
        <v>2</v>
      </c>
      <c r="AC108" s="39" t="s">
        <v>160</v>
      </c>
      <c r="AD108" s="75" t="s">
        <v>355</v>
      </c>
      <c r="AE108" s="95">
        <v>0</v>
      </c>
      <c r="AF108" s="75">
        <v>0</v>
      </c>
      <c r="AG108" s="75">
        <v>0</v>
      </c>
      <c r="AH108" s="75">
        <v>1</v>
      </c>
      <c r="AI108" s="75">
        <v>0</v>
      </c>
      <c r="AJ108" s="75">
        <v>0</v>
      </c>
      <c r="AK108" s="75">
        <v>0</v>
      </c>
      <c r="AL108" s="95">
        <v>0</v>
      </c>
      <c r="AM108" s="92">
        <v>0</v>
      </c>
      <c r="AN108" s="79" t="s">
        <v>80</v>
      </c>
      <c r="AO108" s="75">
        <v>1</v>
      </c>
      <c r="AP108" s="75" t="s">
        <v>83</v>
      </c>
      <c r="AQ108" s="122">
        <v>1</v>
      </c>
      <c r="AR108" s="515" t="s">
        <v>35</v>
      </c>
      <c r="AS108" s="95">
        <v>0</v>
      </c>
      <c r="AT108" s="75">
        <v>1</v>
      </c>
      <c r="AU108" s="75">
        <v>0</v>
      </c>
      <c r="AV108" s="75">
        <v>0</v>
      </c>
      <c r="AW108" s="123">
        <v>0</v>
      </c>
      <c r="AX108" s="516" t="s">
        <v>5008</v>
      </c>
      <c r="AY108" s="75">
        <v>1</v>
      </c>
      <c r="AZ108" s="77" t="s">
        <v>131</v>
      </c>
      <c r="BA108" s="78" t="s">
        <v>131</v>
      </c>
      <c r="BB108" s="78" t="s">
        <v>131</v>
      </c>
      <c r="BC108" s="78" t="s">
        <v>132</v>
      </c>
      <c r="BD108" s="78" t="s">
        <v>131</v>
      </c>
      <c r="BE108" s="78" t="s">
        <v>131</v>
      </c>
      <c r="BF108" s="78" t="s">
        <v>131</v>
      </c>
      <c r="BG108" s="78" t="s">
        <v>131</v>
      </c>
      <c r="BH108" s="75" t="s">
        <v>5970</v>
      </c>
      <c r="BI108" s="295" t="s">
        <v>2227</v>
      </c>
      <c r="BJ108" s="546">
        <v>1</v>
      </c>
      <c r="BK108" s="294">
        <v>1</v>
      </c>
      <c r="BL108" s="157">
        <v>1</v>
      </c>
      <c r="BM108" s="548" t="s">
        <v>578</v>
      </c>
      <c r="BN108" s="548" t="s">
        <v>5969</v>
      </c>
      <c r="BO108" s="157" t="s">
        <v>4341</v>
      </c>
      <c r="BP108" s="548" t="s">
        <v>4343</v>
      </c>
      <c r="BQ108" s="157" t="s">
        <v>4309</v>
      </c>
      <c r="BR108" s="157"/>
    </row>
    <row r="109" spans="1:70" x14ac:dyDescent="0.25">
      <c r="A109" s="19" t="s">
        <v>3686</v>
      </c>
      <c r="B109" s="37" t="s">
        <v>5011</v>
      </c>
      <c r="C109" s="90">
        <v>45502.719039351854</v>
      </c>
      <c r="D109" s="114">
        <v>45502.469039351854</v>
      </c>
      <c r="E109" s="38">
        <v>45502</v>
      </c>
      <c r="F109" s="91">
        <v>2024</v>
      </c>
      <c r="G109" s="93">
        <v>7</v>
      </c>
      <c r="H109" s="37" t="s">
        <v>2548</v>
      </c>
      <c r="I109" s="37"/>
      <c r="J109" s="103">
        <v>-91.261101413197366</v>
      </c>
      <c r="K109" s="40">
        <v>44.389830102944131</v>
      </c>
      <c r="L109" s="74"/>
      <c r="M109" s="272" t="s">
        <v>5012</v>
      </c>
      <c r="N109" s="74">
        <v>1</v>
      </c>
      <c r="O109" s="94"/>
      <c r="P109" s="118">
        <v>1</v>
      </c>
      <c r="Q109" s="510">
        <v>80</v>
      </c>
      <c r="R109" s="513">
        <v>60</v>
      </c>
      <c r="S109" s="41"/>
      <c r="T109" s="40"/>
      <c r="U109" s="40">
        <v>7</v>
      </c>
      <c r="V109" s="119">
        <v>1</v>
      </c>
      <c r="W109" s="40">
        <v>300</v>
      </c>
      <c r="X109" s="119">
        <v>1</v>
      </c>
      <c r="Y109" s="40">
        <v>64</v>
      </c>
      <c r="Z109" s="119">
        <v>1</v>
      </c>
      <c r="AA109" s="368">
        <v>0</v>
      </c>
      <c r="AB109" s="535">
        <v>2</v>
      </c>
      <c r="AC109" s="39" t="s">
        <v>160</v>
      </c>
      <c r="AD109" s="75" t="s">
        <v>7</v>
      </c>
      <c r="AE109" s="95">
        <v>1</v>
      </c>
      <c r="AF109" s="75">
        <v>0</v>
      </c>
      <c r="AG109" s="75">
        <v>0</v>
      </c>
      <c r="AH109" s="75">
        <v>0</v>
      </c>
      <c r="AI109" s="75">
        <v>0</v>
      </c>
      <c r="AJ109" s="75">
        <v>0</v>
      </c>
      <c r="AK109" s="75">
        <v>0</v>
      </c>
      <c r="AL109" s="95">
        <v>0</v>
      </c>
      <c r="AM109" s="92">
        <v>0</v>
      </c>
      <c r="AN109" s="79" t="s">
        <v>80</v>
      </c>
      <c r="AO109" s="75">
        <v>1</v>
      </c>
      <c r="AP109" s="75" t="s">
        <v>83</v>
      </c>
      <c r="AQ109" s="122">
        <v>1</v>
      </c>
      <c r="AR109" s="515" t="s">
        <v>10</v>
      </c>
      <c r="AS109" s="95">
        <v>0</v>
      </c>
      <c r="AT109" s="75">
        <v>0</v>
      </c>
      <c r="AU109" s="75">
        <v>0</v>
      </c>
      <c r="AV109" s="75">
        <v>0</v>
      </c>
      <c r="AW109" s="123">
        <v>0</v>
      </c>
      <c r="AX109" s="516"/>
      <c r="AY109" s="75">
        <v>0</v>
      </c>
      <c r="AZ109" s="77" t="s">
        <v>132</v>
      </c>
      <c r="BA109" s="78" t="s">
        <v>131</v>
      </c>
      <c r="BB109" s="78" t="s">
        <v>131</v>
      </c>
      <c r="BC109" s="78" t="s">
        <v>131</v>
      </c>
      <c r="BD109" s="78" t="s">
        <v>131</v>
      </c>
      <c r="BE109" s="78" t="s">
        <v>131</v>
      </c>
      <c r="BF109" s="78" t="s">
        <v>131</v>
      </c>
      <c r="BG109" s="78" t="s">
        <v>131</v>
      </c>
      <c r="BH109" s="75" t="s">
        <v>5970</v>
      </c>
      <c r="BI109" s="295" t="s">
        <v>3980</v>
      </c>
      <c r="BJ109" s="546" t="s">
        <v>16</v>
      </c>
      <c r="BK109" s="294">
        <v>1</v>
      </c>
      <c r="BL109" s="157">
        <v>1</v>
      </c>
      <c r="BM109" s="548" t="s">
        <v>1340</v>
      </c>
      <c r="BN109" s="548" t="s">
        <v>4158</v>
      </c>
      <c r="BO109" s="157" t="s">
        <v>4461</v>
      </c>
      <c r="BP109" s="548" t="s">
        <v>5841</v>
      </c>
      <c r="BQ109" s="157" t="s">
        <v>4458</v>
      </c>
      <c r="BR109" s="157"/>
    </row>
    <row r="110" spans="1:70" x14ac:dyDescent="0.25">
      <c r="A110" s="19" t="s">
        <v>3686</v>
      </c>
      <c r="B110" s="37" t="s">
        <v>5013</v>
      </c>
      <c r="C110" s="90">
        <v>45502.718159722222</v>
      </c>
      <c r="D110" s="114">
        <v>45502.468159722222</v>
      </c>
      <c r="E110" s="38">
        <v>45502</v>
      </c>
      <c r="F110" s="91">
        <v>2024</v>
      </c>
      <c r="G110" s="93">
        <v>7</v>
      </c>
      <c r="H110" s="37" t="s">
        <v>179</v>
      </c>
      <c r="I110" s="37"/>
      <c r="J110" s="103">
        <v>-91.909134699999996</v>
      </c>
      <c r="K110" s="40">
        <v>43.3134333</v>
      </c>
      <c r="L110" s="74"/>
      <c r="M110" s="272" t="s">
        <v>16</v>
      </c>
      <c r="N110" s="74">
        <v>0</v>
      </c>
      <c r="O110" s="94"/>
      <c r="P110" s="118">
        <v>0</v>
      </c>
      <c r="Q110" s="510"/>
      <c r="R110" s="513"/>
      <c r="S110" s="41"/>
      <c r="T110" s="40"/>
      <c r="U110" s="40"/>
      <c r="V110" s="119">
        <v>1</v>
      </c>
      <c r="W110" s="40">
        <v>100</v>
      </c>
      <c r="X110" s="119">
        <v>1</v>
      </c>
      <c r="Y110" s="40">
        <v>68</v>
      </c>
      <c r="Z110" s="119">
        <v>0</v>
      </c>
      <c r="AA110" s="368" t="s">
        <v>16</v>
      </c>
      <c r="AB110" s="535" t="s">
        <v>16</v>
      </c>
      <c r="AC110" s="39"/>
      <c r="AD110" s="75" t="s">
        <v>16</v>
      </c>
      <c r="AE110" s="95">
        <v>-1</v>
      </c>
      <c r="AF110" s="75">
        <v>-1</v>
      </c>
      <c r="AG110" s="75">
        <v>-1</v>
      </c>
      <c r="AH110" s="75">
        <v>-1</v>
      </c>
      <c r="AI110" s="75">
        <v>-1</v>
      </c>
      <c r="AJ110" s="75">
        <v>-1</v>
      </c>
      <c r="AK110" s="75">
        <v>-1</v>
      </c>
      <c r="AL110" s="95">
        <v>-1</v>
      </c>
      <c r="AM110" s="92">
        <v>1</v>
      </c>
      <c r="AN110" s="79"/>
      <c r="AO110" s="75">
        <v>0</v>
      </c>
      <c r="AP110" s="75"/>
      <c r="AQ110" s="122">
        <v>0</v>
      </c>
      <c r="AR110" s="515" t="s">
        <v>16</v>
      </c>
      <c r="AS110" s="95">
        <v>-1</v>
      </c>
      <c r="AT110" s="75">
        <v>-1</v>
      </c>
      <c r="AU110" s="75">
        <v>-1</v>
      </c>
      <c r="AV110" s="75">
        <v>-1</v>
      </c>
      <c r="AW110" s="123">
        <v>1</v>
      </c>
      <c r="AX110" s="516"/>
      <c r="AY110" s="75">
        <v>0</v>
      </c>
      <c r="AZ110" s="77" t="s">
        <v>5971</v>
      </c>
      <c r="BA110" s="78" t="s">
        <v>5971</v>
      </c>
      <c r="BB110" s="78" t="s">
        <v>5971</v>
      </c>
      <c r="BC110" s="78" t="s">
        <v>5971</v>
      </c>
      <c r="BD110" s="78" t="s">
        <v>5971</v>
      </c>
      <c r="BE110" s="78" t="s">
        <v>5971</v>
      </c>
      <c r="BF110" s="78" t="s">
        <v>5971</v>
      </c>
      <c r="BG110" s="78" t="s">
        <v>5971</v>
      </c>
      <c r="BH110" s="75" t="s">
        <v>5971</v>
      </c>
      <c r="BI110" s="295" t="s">
        <v>16</v>
      </c>
      <c r="BJ110" s="546" t="s">
        <v>16</v>
      </c>
      <c r="BK110" s="294" t="s">
        <v>16</v>
      </c>
      <c r="BL110" s="157" t="s">
        <v>16</v>
      </c>
      <c r="BM110" s="548" t="s">
        <v>1344</v>
      </c>
      <c r="BN110" s="548" t="s">
        <v>5969</v>
      </c>
      <c r="BO110" s="157" t="s">
        <v>5842</v>
      </c>
      <c r="BP110" s="548" t="s">
        <v>5843</v>
      </c>
      <c r="BQ110" s="157" t="s">
        <v>4375</v>
      </c>
      <c r="BR110" s="157"/>
    </row>
    <row r="111" spans="1:70" x14ac:dyDescent="0.25">
      <c r="A111" s="19" t="s">
        <v>3686</v>
      </c>
      <c r="B111" s="37" t="s">
        <v>5014</v>
      </c>
      <c r="C111" s="90">
        <v>45502.69699074074</v>
      </c>
      <c r="D111" s="114">
        <v>45502.44699074074</v>
      </c>
      <c r="E111" s="38">
        <v>45502</v>
      </c>
      <c r="F111" s="91">
        <v>2024</v>
      </c>
      <c r="G111" s="93">
        <v>7</v>
      </c>
      <c r="H111" s="37" t="s">
        <v>617</v>
      </c>
      <c r="I111" s="37" t="s">
        <v>2362</v>
      </c>
      <c r="J111" s="103">
        <v>-92.283393759890316</v>
      </c>
      <c r="K111" s="40">
        <v>44.544183214533597</v>
      </c>
      <c r="L111" s="74"/>
      <c r="M111" s="272" t="s">
        <v>16</v>
      </c>
      <c r="N111" s="74">
        <v>0</v>
      </c>
      <c r="O111" s="94"/>
      <c r="P111" s="118">
        <v>1</v>
      </c>
      <c r="Q111" s="510">
        <v>180</v>
      </c>
      <c r="R111" s="513">
        <v>180</v>
      </c>
      <c r="S111" s="41"/>
      <c r="T111" s="40"/>
      <c r="U111" s="40">
        <v>8</v>
      </c>
      <c r="V111" s="119">
        <v>1</v>
      </c>
      <c r="W111" s="40">
        <v>0</v>
      </c>
      <c r="X111" s="119">
        <v>1</v>
      </c>
      <c r="Y111" s="40">
        <v>55</v>
      </c>
      <c r="Z111" s="119">
        <v>1</v>
      </c>
      <c r="AA111" s="368">
        <v>0</v>
      </c>
      <c r="AB111" s="535">
        <v>5</v>
      </c>
      <c r="AC111" s="39" t="s">
        <v>160</v>
      </c>
      <c r="AD111" s="75" t="s">
        <v>16</v>
      </c>
      <c r="AE111" s="95">
        <v>-1</v>
      </c>
      <c r="AF111" s="75">
        <v>-1</v>
      </c>
      <c r="AG111" s="75">
        <v>-1</v>
      </c>
      <c r="AH111" s="75">
        <v>-1</v>
      </c>
      <c r="AI111" s="75">
        <v>-1</v>
      </c>
      <c r="AJ111" s="75">
        <v>-1</v>
      </c>
      <c r="AK111" s="75">
        <v>-1</v>
      </c>
      <c r="AL111" s="95">
        <v>-1</v>
      </c>
      <c r="AM111" s="92">
        <v>1</v>
      </c>
      <c r="AN111" s="79" t="s">
        <v>80</v>
      </c>
      <c r="AO111" s="75">
        <v>1</v>
      </c>
      <c r="AP111" s="75" t="s">
        <v>83</v>
      </c>
      <c r="AQ111" s="122">
        <v>1</v>
      </c>
      <c r="AR111" s="515" t="s">
        <v>10</v>
      </c>
      <c r="AS111" s="95">
        <v>0</v>
      </c>
      <c r="AT111" s="75">
        <v>0</v>
      </c>
      <c r="AU111" s="75">
        <v>0</v>
      </c>
      <c r="AV111" s="75">
        <v>0</v>
      </c>
      <c r="AW111" s="123">
        <v>0</v>
      </c>
      <c r="AX111" s="516"/>
      <c r="AY111" s="75">
        <v>0</v>
      </c>
      <c r="AZ111" s="77" t="s">
        <v>5971</v>
      </c>
      <c r="BA111" s="78" t="s">
        <v>5971</v>
      </c>
      <c r="BB111" s="78" t="s">
        <v>5971</v>
      </c>
      <c r="BC111" s="78" t="s">
        <v>5971</v>
      </c>
      <c r="BD111" s="78" t="s">
        <v>5971</v>
      </c>
      <c r="BE111" s="78" t="s">
        <v>5971</v>
      </c>
      <c r="BF111" s="78" t="s">
        <v>5971</v>
      </c>
      <c r="BG111" s="78" t="s">
        <v>5971</v>
      </c>
      <c r="BH111" s="75" t="s">
        <v>5971</v>
      </c>
      <c r="BI111" s="295" t="s">
        <v>5931</v>
      </c>
      <c r="BJ111" s="546">
        <v>1</v>
      </c>
      <c r="BK111" s="294">
        <v>1</v>
      </c>
      <c r="BL111" s="157">
        <v>1</v>
      </c>
      <c r="BM111" s="548" t="s">
        <v>1340</v>
      </c>
      <c r="BN111" s="548" t="s">
        <v>578</v>
      </c>
      <c r="BO111" s="157" t="s">
        <v>4268</v>
      </c>
      <c r="BP111" s="548" t="s">
        <v>2261</v>
      </c>
      <c r="BQ111" s="157" t="s">
        <v>4214</v>
      </c>
      <c r="BR111" s="157"/>
    </row>
    <row r="112" spans="1:70" x14ac:dyDescent="0.25">
      <c r="A112" s="19" t="s">
        <v>3686</v>
      </c>
      <c r="B112" s="37" t="s">
        <v>5015</v>
      </c>
      <c r="C112" s="90">
        <v>45502.696655092594</v>
      </c>
      <c r="D112" s="114">
        <v>45502.446655092594</v>
      </c>
      <c r="E112" s="38">
        <v>45502</v>
      </c>
      <c r="F112" s="91">
        <v>2024</v>
      </c>
      <c r="G112" s="93">
        <v>7</v>
      </c>
      <c r="H112" s="37" t="s">
        <v>4981</v>
      </c>
      <c r="I112" s="37"/>
      <c r="J112" s="103">
        <v>-91.427347953273284</v>
      </c>
      <c r="K112" s="40">
        <v>42.712012481337254</v>
      </c>
      <c r="L112" s="74"/>
      <c r="M112" s="272" t="s">
        <v>5016</v>
      </c>
      <c r="N112" s="74">
        <v>1</v>
      </c>
      <c r="O112" s="94"/>
      <c r="P112" s="118">
        <v>1</v>
      </c>
      <c r="Q112" s="510">
        <v>180</v>
      </c>
      <c r="R112" s="513">
        <v>180</v>
      </c>
      <c r="S112" s="41"/>
      <c r="T112" s="40"/>
      <c r="U112" s="40">
        <v>7.5</v>
      </c>
      <c r="V112" s="119">
        <v>0</v>
      </c>
      <c r="W112" s="40"/>
      <c r="X112" s="119">
        <v>1</v>
      </c>
      <c r="Y112" s="40">
        <v>63</v>
      </c>
      <c r="Z112" s="119">
        <v>1</v>
      </c>
      <c r="AA112" s="368">
        <v>0</v>
      </c>
      <c r="AB112" s="535">
        <v>5</v>
      </c>
      <c r="AC112" s="39" t="s">
        <v>160</v>
      </c>
      <c r="AD112" s="75" t="s">
        <v>10</v>
      </c>
      <c r="AE112" s="95">
        <v>0</v>
      </c>
      <c r="AF112" s="75">
        <v>0</v>
      </c>
      <c r="AG112" s="75">
        <v>0</v>
      </c>
      <c r="AH112" s="75">
        <v>0</v>
      </c>
      <c r="AI112" s="75">
        <v>0</v>
      </c>
      <c r="AJ112" s="75">
        <v>0</v>
      </c>
      <c r="AK112" s="75">
        <v>0</v>
      </c>
      <c r="AL112" s="95">
        <v>1</v>
      </c>
      <c r="AM112" s="92">
        <v>0</v>
      </c>
      <c r="AN112" s="79" t="s">
        <v>80</v>
      </c>
      <c r="AO112" s="75">
        <v>1</v>
      </c>
      <c r="AP112" s="75" t="s">
        <v>84</v>
      </c>
      <c r="AQ112" s="122">
        <v>1</v>
      </c>
      <c r="AR112" s="515" t="s">
        <v>10</v>
      </c>
      <c r="AS112" s="95">
        <v>0</v>
      </c>
      <c r="AT112" s="75">
        <v>0</v>
      </c>
      <c r="AU112" s="75">
        <v>0</v>
      </c>
      <c r="AV112" s="75">
        <v>0</v>
      </c>
      <c r="AW112" s="123">
        <v>0</v>
      </c>
      <c r="AX112" s="516"/>
      <c r="AY112" s="75">
        <v>0</v>
      </c>
      <c r="AZ112" s="77" t="s">
        <v>131</v>
      </c>
      <c r="BA112" s="78" t="s">
        <v>131</v>
      </c>
      <c r="BB112" s="78" t="s">
        <v>131</v>
      </c>
      <c r="BC112" s="78" t="s">
        <v>131</v>
      </c>
      <c r="BD112" s="78" t="s">
        <v>131</v>
      </c>
      <c r="BE112" s="78" t="s">
        <v>131</v>
      </c>
      <c r="BF112" s="78" t="s">
        <v>131</v>
      </c>
      <c r="BG112" s="78" t="s">
        <v>132</v>
      </c>
      <c r="BH112" s="75" t="s">
        <v>5970</v>
      </c>
      <c r="BI112" s="295">
        <v>0</v>
      </c>
      <c r="BJ112" s="546">
        <v>1</v>
      </c>
      <c r="BK112" s="294" t="s">
        <v>16</v>
      </c>
      <c r="BL112" s="157" t="s">
        <v>16</v>
      </c>
      <c r="BM112" s="548" t="s">
        <v>1347</v>
      </c>
      <c r="BN112" s="548" t="s">
        <v>4160</v>
      </c>
      <c r="BO112" s="157" t="s">
        <v>4566</v>
      </c>
      <c r="BP112" s="548" t="s">
        <v>4596</v>
      </c>
      <c r="BQ112" s="157" t="s">
        <v>4563</v>
      </c>
      <c r="BR112" s="157"/>
    </row>
    <row r="113" spans="1:70" x14ac:dyDescent="0.25">
      <c r="A113" s="19" t="s">
        <v>3686</v>
      </c>
      <c r="B113" s="37" t="s">
        <v>5017</v>
      </c>
      <c r="C113" s="90">
        <v>45502.676527777781</v>
      </c>
      <c r="D113" s="114">
        <v>45502.426527777781</v>
      </c>
      <c r="E113" s="38">
        <v>45502</v>
      </c>
      <c r="F113" s="91">
        <v>2024</v>
      </c>
      <c r="G113" s="93">
        <v>7</v>
      </c>
      <c r="H113" s="37" t="s">
        <v>5006</v>
      </c>
      <c r="I113" s="37" t="s">
        <v>16</v>
      </c>
      <c r="J113" s="103">
        <v>-92.634353699723263</v>
      </c>
      <c r="K113" s="40">
        <v>44.854582500626243</v>
      </c>
      <c r="L113" s="74"/>
      <c r="M113" s="272" t="s">
        <v>5018</v>
      </c>
      <c r="N113" s="74">
        <v>1</v>
      </c>
      <c r="O113" s="94"/>
      <c r="P113" s="118">
        <v>1</v>
      </c>
      <c r="Q113" s="510">
        <v>80</v>
      </c>
      <c r="R113" s="513">
        <v>60</v>
      </c>
      <c r="S113" s="41"/>
      <c r="T113" s="40"/>
      <c r="U113" s="40">
        <v>7.5</v>
      </c>
      <c r="V113" s="119">
        <v>1</v>
      </c>
      <c r="W113" s="40">
        <v>0</v>
      </c>
      <c r="X113" s="119">
        <v>1</v>
      </c>
      <c r="Y113" s="40">
        <v>63</v>
      </c>
      <c r="Z113" s="119">
        <v>1</v>
      </c>
      <c r="AA113" s="368">
        <v>0</v>
      </c>
      <c r="AB113" s="535">
        <v>2</v>
      </c>
      <c r="AC113" s="39" t="s">
        <v>160</v>
      </c>
      <c r="AD113" s="75" t="s">
        <v>355</v>
      </c>
      <c r="AE113" s="95">
        <v>0</v>
      </c>
      <c r="AF113" s="75">
        <v>0</v>
      </c>
      <c r="AG113" s="75">
        <v>0</v>
      </c>
      <c r="AH113" s="75">
        <v>1</v>
      </c>
      <c r="AI113" s="75">
        <v>0</v>
      </c>
      <c r="AJ113" s="75">
        <v>0</v>
      </c>
      <c r="AK113" s="75">
        <v>0</v>
      </c>
      <c r="AL113" s="95">
        <v>0</v>
      </c>
      <c r="AM113" s="92">
        <v>0</v>
      </c>
      <c r="AN113" s="79" t="s">
        <v>80</v>
      </c>
      <c r="AO113" s="75">
        <v>1</v>
      </c>
      <c r="AP113" s="75" t="s">
        <v>83</v>
      </c>
      <c r="AQ113" s="122">
        <v>1</v>
      </c>
      <c r="AR113" s="515" t="s">
        <v>35</v>
      </c>
      <c r="AS113" s="95">
        <v>0</v>
      </c>
      <c r="AT113" s="75">
        <v>1</v>
      </c>
      <c r="AU113" s="75">
        <v>0</v>
      </c>
      <c r="AV113" s="75">
        <v>0</v>
      </c>
      <c r="AW113" s="123">
        <v>0</v>
      </c>
      <c r="AX113" s="516" t="s">
        <v>5008</v>
      </c>
      <c r="AY113" s="75">
        <v>1</v>
      </c>
      <c r="AZ113" s="77" t="s">
        <v>131</v>
      </c>
      <c r="BA113" s="78" t="s">
        <v>131</v>
      </c>
      <c r="BB113" s="78" t="s">
        <v>131</v>
      </c>
      <c r="BC113" s="78" t="s">
        <v>132</v>
      </c>
      <c r="BD113" s="78" t="s">
        <v>131</v>
      </c>
      <c r="BE113" s="78" t="s">
        <v>131</v>
      </c>
      <c r="BF113" s="78" t="s">
        <v>131</v>
      </c>
      <c r="BG113" s="78" t="s">
        <v>131</v>
      </c>
      <c r="BH113" s="75" t="s">
        <v>5970</v>
      </c>
      <c r="BI113" s="295" t="s">
        <v>2227</v>
      </c>
      <c r="BJ113" s="546">
        <v>1</v>
      </c>
      <c r="BK113" s="294">
        <v>1</v>
      </c>
      <c r="BL113" s="157">
        <v>1</v>
      </c>
      <c r="BM113" s="548" t="s">
        <v>578</v>
      </c>
      <c r="BN113" s="548" t="s">
        <v>5969</v>
      </c>
      <c r="BO113" s="157" t="s">
        <v>4310</v>
      </c>
      <c r="BP113" s="548" t="s">
        <v>2226</v>
      </c>
      <c r="BQ113" s="157" t="s">
        <v>4309</v>
      </c>
      <c r="BR113" s="157"/>
    </row>
    <row r="114" spans="1:70" x14ac:dyDescent="0.25">
      <c r="A114" s="19" t="s">
        <v>3686</v>
      </c>
      <c r="B114" s="37" t="s">
        <v>5019</v>
      </c>
      <c r="C114" s="90">
        <v>45502.662893518522</v>
      </c>
      <c r="D114" s="114">
        <v>45502.412893518522</v>
      </c>
      <c r="E114" s="38">
        <v>45502</v>
      </c>
      <c r="F114" s="91">
        <v>2024</v>
      </c>
      <c r="G114" s="93">
        <v>7</v>
      </c>
      <c r="H114" s="37" t="s">
        <v>5006</v>
      </c>
      <c r="I114" s="37" t="s">
        <v>337</v>
      </c>
      <c r="J114" s="103">
        <v>-92.63631023637592</v>
      </c>
      <c r="K114" s="40">
        <v>44.854682543175109</v>
      </c>
      <c r="L114" s="74"/>
      <c r="M114" s="272" t="s">
        <v>5020</v>
      </c>
      <c r="N114" s="74">
        <v>1</v>
      </c>
      <c r="O114" s="94"/>
      <c r="P114" s="118">
        <v>1</v>
      </c>
      <c r="Q114" s="510">
        <v>180</v>
      </c>
      <c r="R114" s="513">
        <v>60</v>
      </c>
      <c r="S114" s="41"/>
      <c r="T114" s="40"/>
      <c r="U114" s="40">
        <v>7</v>
      </c>
      <c r="V114" s="119">
        <v>1</v>
      </c>
      <c r="W114" s="40">
        <v>0</v>
      </c>
      <c r="X114" s="119">
        <v>1</v>
      </c>
      <c r="Y114" s="40">
        <v>65</v>
      </c>
      <c r="Z114" s="119">
        <v>1</v>
      </c>
      <c r="AA114" s="368">
        <v>0</v>
      </c>
      <c r="AB114" s="535">
        <v>2</v>
      </c>
      <c r="AC114" s="39" t="s">
        <v>160</v>
      </c>
      <c r="AD114" s="75" t="s">
        <v>355</v>
      </c>
      <c r="AE114" s="95">
        <v>0</v>
      </c>
      <c r="AF114" s="75">
        <v>0</v>
      </c>
      <c r="AG114" s="75">
        <v>0</v>
      </c>
      <c r="AH114" s="75">
        <v>1</v>
      </c>
      <c r="AI114" s="75">
        <v>0</v>
      </c>
      <c r="AJ114" s="75">
        <v>0</v>
      </c>
      <c r="AK114" s="75">
        <v>0</v>
      </c>
      <c r="AL114" s="95">
        <v>0</v>
      </c>
      <c r="AM114" s="92">
        <v>0</v>
      </c>
      <c r="AN114" s="79" t="s">
        <v>80</v>
      </c>
      <c r="AO114" s="75">
        <v>1</v>
      </c>
      <c r="AP114" s="75" t="s">
        <v>83</v>
      </c>
      <c r="AQ114" s="122">
        <v>1</v>
      </c>
      <c r="AR114" s="515" t="s">
        <v>35</v>
      </c>
      <c r="AS114" s="95">
        <v>0</v>
      </c>
      <c r="AT114" s="75">
        <v>1</v>
      </c>
      <c r="AU114" s="75">
        <v>0</v>
      </c>
      <c r="AV114" s="75">
        <v>0</v>
      </c>
      <c r="AW114" s="123">
        <v>0</v>
      </c>
      <c r="AX114" s="516" t="s">
        <v>5021</v>
      </c>
      <c r="AY114" s="75">
        <v>1</v>
      </c>
      <c r="AZ114" s="77" t="s">
        <v>131</v>
      </c>
      <c r="BA114" s="78" t="s">
        <v>131</v>
      </c>
      <c r="BB114" s="78" t="s">
        <v>131</v>
      </c>
      <c r="BC114" s="78" t="s">
        <v>132</v>
      </c>
      <c r="BD114" s="78" t="s">
        <v>131</v>
      </c>
      <c r="BE114" s="78" t="s">
        <v>131</v>
      </c>
      <c r="BF114" s="78" t="s">
        <v>131</v>
      </c>
      <c r="BG114" s="78" t="s">
        <v>131</v>
      </c>
      <c r="BH114" s="75" t="s">
        <v>5970</v>
      </c>
      <c r="BI114" s="295" t="s">
        <v>2227</v>
      </c>
      <c r="BJ114" s="546">
        <v>1</v>
      </c>
      <c r="BK114" s="294">
        <v>1</v>
      </c>
      <c r="BL114" s="157">
        <v>1</v>
      </c>
      <c r="BM114" s="548" t="s">
        <v>578</v>
      </c>
      <c r="BN114" s="548" t="s">
        <v>5969</v>
      </c>
      <c r="BO114" s="157" t="s">
        <v>4341</v>
      </c>
      <c r="BP114" s="548" t="s">
        <v>4343</v>
      </c>
      <c r="BQ114" s="157" t="s">
        <v>4309</v>
      </c>
      <c r="BR114" s="157"/>
    </row>
    <row r="115" spans="1:70" x14ac:dyDescent="0.25">
      <c r="A115" s="19" t="s">
        <v>3686</v>
      </c>
      <c r="B115" s="37" t="s">
        <v>5022</v>
      </c>
      <c r="C115" s="90">
        <v>45502.65415509259</v>
      </c>
      <c r="D115" s="114">
        <v>45502.40415509259</v>
      </c>
      <c r="E115" s="38">
        <v>45502</v>
      </c>
      <c r="F115" s="91">
        <v>2024</v>
      </c>
      <c r="G115" s="93">
        <v>7</v>
      </c>
      <c r="H115" s="37" t="s">
        <v>617</v>
      </c>
      <c r="I115" s="37" t="s">
        <v>1772</v>
      </c>
      <c r="J115" s="103">
        <v>-92.189564302030476</v>
      </c>
      <c r="K115" s="40">
        <v>44.632904707253147</v>
      </c>
      <c r="L115" s="74"/>
      <c r="M115" s="272" t="s">
        <v>16</v>
      </c>
      <c r="N115" s="74">
        <v>0</v>
      </c>
      <c r="O115" s="94"/>
      <c r="P115" s="118">
        <v>1</v>
      </c>
      <c r="Q115" s="510">
        <v>180</v>
      </c>
      <c r="R115" s="513">
        <v>120</v>
      </c>
      <c r="S115" s="41"/>
      <c r="T115" s="40"/>
      <c r="U115" s="40">
        <v>8</v>
      </c>
      <c r="V115" s="119">
        <v>1</v>
      </c>
      <c r="W115" s="40">
        <v>100</v>
      </c>
      <c r="X115" s="119">
        <v>1</v>
      </c>
      <c r="Y115" s="40">
        <v>59</v>
      </c>
      <c r="Z115" s="119">
        <v>1</v>
      </c>
      <c r="AA115" s="368">
        <v>0</v>
      </c>
      <c r="AB115" s="535">
        <v>5</v>
      </c>
      <c r="AC115" s="39" t="s">
        <v>160</v>
      </c>
      <c r="AD115" s="75" t="s">
        <v>10</v>
      </c>
      <c r="AE115" s="95">
        <v>0</v>
      </c>
      <c r="AF115" s="75">
        <v>0</v>
      </c>
      <c r="AG115" s="75">
        <v>0</v>
      </c>
      <c r="AH115" s="75">
        <v>0</v>
      </c>
      <c r="AI115" s="75">
        <v>0</v>
      </c>
      <c r="AJ115" s="75">
        <v>0</v>
      </c>
      <c r="AK115" s="75">
        <v>0</v>
      </c>
      <c r="AL115" s="95">
        <v>1</v>
      </c>
      <c r="AM115" s="92">
        <v>0</v>
      </c>
      <c r="AN115" s="79" t="s">
        <v>81</v>
      </c>
      <c r="AO115" s="75">
        <v>1</v>
      </c>
      <c r="AP115" s="75" t="s">
        <v>84</v>
      </c>
      <c r="AQ115" s="122">
        <v>1</v>
      </c>
      <c r="AR115" s="515" t="s">
        <v>16</v>
      </c>
      <c r="AS115" s="95">
        <v>-1</v>
      </c>
      <c r="AT115" s="75">
        <v>-1</v>
      </c>
      <c r="AU115" s="75">
        <v>-1</v>
      </c>
      <c r="AV115" s="75">
        <v>-1</v>
      </c>
      <c r="AW115" s="123">
        <v>1</v>
      </c>
      <c r="AX115" s="516"/>
      <c r="AY115" s="75">
        <v>0</v>
      </c>
      <c r="AZ115" s="77" t="s">
        <v>131</v>
      </c>
      <c r="BA115" s="78" t="s">
        <v>131</v>
      </c>
      <c r="BB115" s="78" t="s">
        <v>131</v>
      </c>
      <c r="BC115" s="78" t="s">
        <v>131</v>
      </c>
      <c r="BD115" s="78" t="s">
        <v>131</v>
      </c>
      <c r="BE115" s="78" t="s">
        <v>131</v>
      </c>
      <c r="BF115" s="78" t="s">
        <v>131</v>
      </c>
      <c r="BG115" s="78" t="s">
        <v>132</v>
      </c>
      <c r="BH115" s="75" t="s">
        <v>5970</v>
      </c>
      <c r="BI115" s="295" t="s">
        <v>16</v>
      </c>
      <c r="BJ115" s="546">
        <v>1</v>
      </c>
      <c r="BK115" s="294">
        <v>1</v>
      </c>
      <c r="BL115" s="157">
        <v>1</v>
      </c>
      <c r="BM115" s="548" t="s">
        <v>578</v>
      </c>
      <c r="BN115" s="548" t="s">
        <v>578</v>
      </c>
      <c r="BO115" s="157" t="s">
        <v>4218</v>
      </c>
      <c r="BP115" s="548" t="s">
        <v>4221</v>
      </c>
      <c r="BQ115" s="157" t="s">
        <v>4217</v>
      </c>
      <c r="BR115" s="157"/>
    </row>
    <row r="116" spans="1:70" x14ac:dyDescent="0.25">
      <c r="A116" s="19" t="s">
        <v>3686</v>
      </c>
      <c r="B116" s="37" t="s">
        <v>5023</v>
      </c>
      <c r="C116" s="90">
        <v>45502.643275462964</v>
      </c>
      <c r="D116" s="114">
        <v>45502.393275462964</v>
      </c>
      <c r="E116" s="38">
        <v>45502</v>
      </c>
      <c r="F116" s="91">
        <v>2024</v>
      </c>
      <c r="G116" s="93">
        <v>7</v>
      </c>
      <c r="H116" s="37" t="s">
        <v>5006</v>
      </c>
      <c r="I116" s="37"/>
      <c r="J116" s="103">
        <v>-92.6318742896148</v>
      </c>
      <c r="K116" s="40">
        <v>44.855548286535424</v>
      </c>
      <c r="L116" s="74"/>
      <c r="M116" s="272" t="s">
        <v>5024</v>
      </c>
      <c r="N116" s="74">
        <v>1</v>
      </c>
      <c r="O116" s="94"/>
      <c r="P116" s="118">
        <v>1</v>
      </c>
      <c r="Q116" s="510">
        <v>40</v>
      </c>
      <c r="R116" s="513">
        <v>0</v>
      </c>
      <c r="S116" s="41"/>
      <c r="T116" s="40"/>
      <c r="U116" s="40">
        <v>7</v>
      </c>
      <c r="V116" s="119">
        <v>1</v>
      </c>
      <c r="W116" s="40">
        <v>0</v>
      </c>
      <c r="X116" s="119">
        <v>1</v>
      </c>
      <c r="Y116" s="40">
        <v>69</v>
      </c>
      <c r="Z116" s="119">
        <v>1</v>
      </c>
      <c r="AA116" s="368">
        <v>0</v>
      </c>
      <c r="AB116" s="535">
        <v>2</v>
      </c>
      <c r="AC116" s="39" t="s">
        <v>160</v>
      </c>
      <c r="AD116" s="75" t="s">
        <v>355</v>
      </c>
      <c r="AE116" s="95">
        <v>0</v>
      </c>
      <c r="AF116" s="75">
        <v>0</v>
      </c>
      <c r="AG116" s="75">
        <v>0</v>
      </c>
      <c r="AH116" s="75">
        <v>1</v>
      </c>
      <c r="AI116" s="75">
        <v>0</v>
      </c>
      <c r="AJ116" s="75">
        <v>0</v>
      </c>
      <c r="AK116" s="75">
        <v>0</v>
      </c>
      <c r="AL116" s="95">
        <v>0</v>
      </c>
      <c r="AM116" s="92">
        <v>0</v>
      </c>
      <c r="AN116" s="79" t="s">
        <v>80</v>
      </c>
      <c r="AO116" s="75">
        <v>1</v>
      </c>
      <c r="AP116" s="75" t="s">
        <v>83</v>
      </c>
      <c r="AQ116" s="122">
        <v>1</v>
      </c>
      <c r="AR116" s="515" t="s">
        <v>35</v>
      </c>
      <c r="AS116" s="95">
        <v>0</v>
      </c>
      <c r="AT116" s="75">
        <v>1</v>
      </c>
      <c r="AU116" s="75">
        <v>0</v>
      </c>
      <c r="AV116" s="75">
        <v>0</v>
      </c>
      <c r="AW116" s="123">
        <v>0</v>
      </c>
      <c r="AX116" s="516" t="s">
        <v>5008</v>
      </c>
      <c r="AY116" s="75">
        <v>1</v>
      </c>
      <c r="AZ116" s="77" t="s">
        <v>131</v>
      </c>
      <c r="BA116" s="78" t="s">
        <v>131</v>
      </c>
      <c r="BB116" s="78" t="s">
        <v>131</v>
      </c>
      <c r="BC116" s="78" t="s">
        <v>132</v>
      </c>
      <c r="BD116" s="78" t="s">
        <v>131</v>
      </c>
      <c r="BE116" s="78" t="s">
        <v>131</v>
      </c>
      <c r="BF116" s="78" t="s">
        <v>131</v>
      </c>
      <c r="BG116" s="78" t="s">
        <v>131</v>
      </c>
      <c r="BH116" s="75" t="s">
        <v>5970</v>
      </c>
      <c r="BI116" s="295" t="s">
        <v>2227</v>
      </c>
      <c r="BJ116" s="546">
        <v>1</v>
      </c>
      <c r="BK116" s="294">
        <v>1</v>
      </c>
      <c r="BL116" s="157">
        <v>1</v>
      </c>
      <c r="BM116" s="548" t="s">
        <v>578</v>
      </c>
      <c r="BN116" s="548" t="s">
        <v>5969</v>
      </c>
      <c r="BO116" s="157" t="s">
        <v>4311</v>
      </c>
      <c r="BP116" s="548" t="s">
        <v>4395</v>
      </c>
      <c r="BQ116" s="157" t="s">
        <v>4309</v>
      </c>
      <c r="BR116" s="157"/>
    </row>
    <row r="117" spans="1:70" x14ac:dyDescent="0.25">
      <c r="A117" s="19" t="s">
        <v>3686</v>
      </c>
      <c r="B117" s="37" t="s">
        <v>5025</v>
      </c>
      <c r="C117" s="90">
        <v>45502.619884259257</v>
      </c>
      <c r="D117" s="114">
        <v>45502.369884259257</v>
      </c>
      <c r="E117" s="38">
        <v>45502</v>
      </c>
      <c r="F117" s="91">
        <v>2024</v>
      </c>
      <c r="G117" s="93">
        <v>7</v>
      </c>
      <c r="H117" s="37" t="s">
        <v>5006</v>
      </c>
      <c r="I117" s="37"/>
      <c r="J117" s="103">
        <v>-92.624355722390064</v>
      </c>
      <c r="K117" s="40">
        <v>44.864154384970988</v>
      </c>
      <c r="L117" s="74"/>
      <c r="M117" s="272" t="s">
        <v>5026</v>
      </c>
      <c r="N117" s="74">
        <v>1</v>
      </c>
      <c r="O117" s="94"/>
      <c r="P117" s="118">
        <v>1</v>
      </c>
      <c r="Q117" s="510">
        <v>80</v>
      </c>
      <c r="R117" s="513">
        <v>60</v>
      </c>
      <c r="S117" s="41"/>
      <c r="T117" s="40"/>
      <c r="U117" s="40">
        <v>7</v>
      </c>
      <c r="V117" s="119">
        <v>1</v>
      </c>
      <c r="W117" s="40">
        <v>0</v>
      </c>
      <c r="X117" s="119">
        <v>1</v>
      </c>
      <c r="Y117" s="40">
        <v>63</v>
      </c>
      <c r="Z117" s="119">
        <v>1</v>
      </c>
      <c r="AA117" s="368">
        <v>0</v>
      </c>
      <c r="AB117" s="535">
        <v>5</v>
      </c>
      <c r="AC117" s="39" t="s">
        <v>160</v>
      </c>
      <c r="AD117" s="75" t="s">
        <v>10</v>
      </c>
      <c r="AE117" s="95">
        <v>0</v>
      </c>
      <c r="AF117" s="75">
        <v>0</v>
      </c>
      <c r="AG117" s="75">
        <v>0</v>
      </c>
      <c r="AH117" s="75">
        <v>0</v>
      </c>
      <c r="AI117" s="75">
        <v>0</v>
      </c>
      <c r="AJ117" s="75">
        <v>0</v>
      </c>
      <c r="AK117" s="75">
        <v>0</v>
      </c>
      <c r="AL117" s="95">
        <v>1</v>
      </c>
      <c r="AM117" s="92">
        <v>0</v>
      </c>
      <c r="AN117" s="79" t="s">
        <v>80</v>
      </c>
      <c r="AO117" s="75">
        <v>1</v>
      </c>
      <c r="AP117" s="75" t="s">
        <v>83</v>
      </c>
      <c r="AQ117" s="122">
        <v>1</v>
      </c>
      <c r="AR117" s="515" t="s">
        <v>35</v>
      </c>
      <c r="AS117" s="95">
        <v>0</v>
      </c>
      <c r="AT117" s="75">
        <v>1</v>
      </c>
      <c r="AU117" s="75">
        <v>0</v>
      </c>
      <c r="AV117" s="75">
        <v>0</v>
      </c>
      <c r="AW117" s="123">
        <v>0</v>
      </c>
      <c r="AX117" s="516" t="s">
        <v>5021</v>
      </c>
      <c r="AY117" s="75">
        <v>1</v>
      </c>
      <c r="AZ117" s="77" t="s">
        <v>131</v>
      </c>
      <c r="BA117" s="78" t="s">
        <v>131</v>
      </c>
      <c r="BB117" s="78" t="s">
        <v>131</v>
      </c>
      <c r="BC117" s="78" t="s">
        <v>131</v>
      </c>
      <c r="BD117" s="78" t="s">
        <v>131</v>
      </c>
      <c r="BE117" s="78" t="s">
        <v>131</v>
      </c>
      <c r="BF117" s="78" t="s">
        <v>131</v>
      </c>
      <c r="BG117" s="78" t="s">
        <v>132</v>
      </c>
      <c r="BH117" s="75" t="s">
        <v>5970</v>
      </c>
      <c r="BI117" s="295" t="s">
        <v>16</v>
      </c>
      <c r="BJ117" s="546">
        <v>1</v>
      </c>
      <c r="BK117" s="294" t="s">
        <v>16</v>
      </c>
      <c r="BL117" s="157" t="s">
        <v>16</v>
      </c>
      <c r="BM117" s="548" t="s">
        <v>578</v>
      </c>
      <c r="BN117" s="548" t="s">
        <v>5969</v>
      </c>
      <c r="BO117" s="157" t="s">
        <v>4311</v>
      </c>
      <c r="BP117" s="548" t="s">
        <v>4395</v>
      </c>
      <c r="BQ117" s="157" t="s">
        <v>4309</v>
      </c>
      <c r="BR117" s="157"/>
    </row>
    <row r="118" spans="1:70" x14ac:dyDescent="0.25">
      <c r="A118" s="19" t="s">
        <v>3686</v>
      </c>
      <c r="B118" s="37" t="s">
        <v>5027</v>
      </c>
      <c r="C118" s="90">
        <v>45502.572395833333</v>
      </c>
      <c r="D118" s="114">
        <v>45502.322395833333</v>
      </c>
      <c r="E118" s="38">
        <v>45502</v>
      </c>
      <c r="F118" s="91">
        <v>2024</v>
      </c>
      <c r="G118" s="93">
        <v>7</v>
      </c>
      <c r="H118" s="37" t="s">
        <v>5006</v>
      </c>
      <c r="I118" s="37" t="s">
        <v>16</v>
      </c>
      <c r="J118" s="103">
        <v>-92.621344063536483</v>
      </c>
      <c r="K118" s="40">
        <v>44.87516073036786</v>
      </c>
      <c r="L118" s="74"/>
      <c r="M118" s="272" t="s">
        <v>5028</v>
      </c>
      <c r="N118" s="74">
        <v>1</v>
      </c>
      <c r="O118" s="94"/>
      <c r="P118" s="118">
        <v>1</v>
      </c>
      <c r="Q118" s="510">
        <v>120</v>
      </c>
      <c r="R118" s="513">
        <v>60</v>
      </c>
      <c r="S118" s="41"/>
      <c r="T118" s="40"/>
      <c r="U118" s="40">
        <v>7</v>
      </c>
      <c r="V118" s="119">
        <v>1</v>
      </c>
      <c r="W118" s="40">
        <v>0</v>
      </c>
      <c r="X118" s="119">
        <v>1</v>
      </c>
      <c r="Y118" s="40">
        <v>62</v>
      </c>
      <c r="Z118" s="119">
        <v>1</v>
      </c>
      <c r="AA118" s="368">
        <v>0</v>
      </c>
      <c r="AB118" s="535">
        <v>5</v>
      </c>
      <c r="AC118" s="39" t="s">
        <v>160</v>
      </c>
      <c r="AD118" s="75" t="s">
        <v>10</v>
      </c>
      <c r="AE118" s="95">
        <v>0</v>
      </c>
      <c r="AF118" s="75">
        <v>0</v>
      </c>
      <c r="AG118" s="75">
        <v>0</v>
      </c>
      <c r="AH118" s="75">
        <v>0</v>
      </c>
      <c r="AI118" s="75">
        <v>0</v>
      </c>
      <c r="AJ118" s="75">
        <v>0</v>
      </c>
      <c r="AK118" s="75">
        <v>0</v>
      </c>
      <c r="AL118" s="95">
        <v>1</v>
      </c>
      <c r="AM118" s="92">
        <v>0</v>
      </c>
      <c r="AN118" s="79" t="s">
        <v>80</v>
      </c>
      <c r="AO118" s="75">
        <v>1</v>
      </c>
      <c r="AP118" s="75" t="s">
        <v>83</v>
      </c>
      <c r="AQ118" s="122">
        <v>1</v>
      </c>
      <c r="AR118" s="515" t="s">
        <v>35</v>
      </c>
      <c r="AS118" s="95">
        <v>0</v>
      </c>
      <c r="AT118" s="75">
        <v>1</v>
      </c>
      <c r="AU118" s="75">
        <v>0</v>
      </c>
      <c r="AV118" s="75">
        <v>0</v>
      </c>
      <c r="AW118" s="123">
        <v>0</v>
      </c>
      <c r="AX118" s="516" t="s">
        <v>5021</v>
      </c>
      <c r="AY118" s="75">
        <v>1</v>
      </c>
      <c r="AZ118" s="77" t="s">
        <v>131</v>
      </c>
      <c r="BA118" s="78" t="s">
        <v>131</v>
      </c>
      <c r="BB118" s="78" t="s">
        <v>131</v>
      </c>
      <c r="BC118" s="78" t="s">
        <v>131</v>
      </c>
      <c r="BD118" s="78" t="s">
        <v>131</v>
      </c>
      <c r="BE118" s="78" t="s">
        <v>131</v>
      </c>
      <c r="BF118" s="78" t="s">
        <v>131</v>
      </c>
      <c r="BG118" s="78" t="s">
        <v>132</v>
      </c>
      <c r="BH118" s="75" t="s">
        <v>5970</v>
      </c>
      <c r="BI118" s="295" t="s">
        <v>2227</v>
      </c>
      <c r="BJ118" s="546">
        <v>1</v>
      </c>
      <c r="BK118" s="294" t="s">
        <v>16</v>
      </c>
      <c r="BL118" s="157" t="s">
        <v>16</v>
      </c>
      <c r="BM118" s="548" t="s">
        <v>578</v>
      </c>
      <c r="BN118" s="548" t="s">
        <v>5969</v>
      </c>
      <c r="BO118" s="157" t="s">
        <v>4311</v>
      </c>
      <c r="BP118" s="548" t="s">
        <v>4395</v>
      </c>
      <c r="BQ118" s="157" t="s">
        <v>4309</v>
      </c>
      <c r="BR118" s="157"/>
    </row>
    <row r="119" spans="1:70" x14ac:dyDescent="0.25">
      <c r="A119" s="19" t="s">
        <v>3686</v>
      </c>
      <c r="B119" s="37" t="s">
        <v>5029</v>
      </c>
      <c r="C119" s="90">
        <v>45501.656689814816</v>
      </c>
      <c r="D119" s="114">
        <v>45501.406689814816</v>
      </c>
      <c r="E119" s="38">
        <v>45501</v>
      </c>
      <c r="F119" s="91">
        <v>2024</v>
      </c>
      <c r="G119" s="93">
        <v>7</v>
      </c>
      <c r="H119" s="37" t="s">
        <v>5030</v>
      </c>
      <c r="I119" s="37"/>
      <c r="J119" s="103">
        <v>-91.767573206762478</v>
      </c>
      <c r="K119" s="40">
        <v>42.89818308066053</v>
      </c>
      <c r="L119" s="74"/>
      <c r="M119" s="272" t="s">
        <v>16</v>
      </c>
      <c r="N119" s="74">
        <v>0</v>
      </c>
      <c r="O119" s="94"/>
      <c r="P119" s="118">
        <v>1</v>
      </c>
      <c r="Q119" s="510">
        <v>80</v>
      </c>
      <c r="R119" s="513">
        <v>60</v>
      </c>
      <c r="S119" s="41"/>
      <c r="T119" s="40"/>
      <c r="U119" s="40">
        <v>7.5</v>
      </c>
      <c r="V119" s="119">
        <v>1</v>
      </c>
      <c r="W119" s="40">
        <v>0</v>
      </c>
      <c r="X119" s="119">
        <v>1</v>
      </c>
      <c r="Y119" s="40">
        <v>78</v>
      </c>
      <c r="Z119" s="119">
        <v>1</v>
      </c>
      <c r="AA119" s="368">
        <v>0</v>
      </c>
      <c r="AB119" s="535">
        <v>5</v>
      </c>
      <c r="AC119" s="39" t="s">
        <v>186</v>
      </c>
      <c r="AD119" s="75" t="s">
        <v>16</v>
      </c>
      <c r="AE119" s="95">
        <v>-1</v>
      </c>
      <c r="AF119" s="75">
        <v>-1</v>
      </c>
      <c r="AG119" s="75">
        <v>-1</v>
      </c>
      <c r="AH119" s="75">
        <v>-1</v>
      </c>
      <c r="AI119" s="75">
        <v>-1</v>
      </c>
      <c r="AJ119" s="75">
        <v>-1</v>
      </c>
      <c r="AK119" s="75">
        <v>-1</v>
      </c>
      <c r="AL119" s="95">
        <v>-1</v>
      </c>
      <c r="AM119" s="92">
        <v>1</v>
      </c>
      <c r="AN119" s="79" t="s">
        <v>16</v>
      </c>
      <c r="AO119" s="75">
        <v>0</v>
      </c>
      <c r="AP119" s="75" t="s">
        <v>84</v>
      </c>
      <c r="AQ119" s="122">
        <v>1</v>
      </c>
      <c r="AR119" s="515" t="s">
        <v>10</v>
      </c>
      <c r="AS119" s="95">
        <v>0</v>
      </c>
      <c r="AT119" s="75">
        <v>0</v>
      </c>
      <c r="AU119" s="75">
        <v>0</v>
      </c>
      <c r="AV119" s="75">
        <v>0</v>
      </c>
      <c r="AW119" s="123">
        <v>0</v>
      </c>
      <c r="AX119" s="516"/>
      <c r="AY119" s="75">
        <v>0</v>
      </c>
      <c r="AZ119" s="77" t="s">
        <v>5971</v>
      </c>
      <c r="BA119" s="78" t="s">
        <v>5971</v>
      </c>
      <c r="BB119" s="78" t="s">
        <v>5971</v>
      </c>
      <c r="BC119" s="78" t="s">
        <v>5971</v>
      </c>
      <c r="BD119" s="78" t="s">
        <v>5971</v>
      </c>
      <c r="BE119" s="78" t="s">
        <v>5971</v>
      </c>
      <c r="BF119" s="78" t="s">
        <v>5971</v>
      </c>
      <c r="BG119" s="78" t="s">
        <v>5971</v>
      </c>
      <c r="BH119" s="75" t="s">
        <v>5971</v>
      </c>
      <c r="BI119" s="295" t="s">
        <v>4680</v>
      </c>
      <c r="BJ119" s="546">
        <v>1</v>
      </c>
      <c r="BK119" s="294" t="s">
        <v>16</v>
      </c>
      <c r="BL119" s="157" t="s">
        <v>16</v>
      </c>
      <c r="BM119" s="548" t="s">
        <v>1344</v>
      </c>
      <c r="BN119" s="548" t="s">
        <v>1348</v>
      </c>
      <c r="BO119" s="157" t="s">
        <v>4679</v>
      </c>
      <c r="BP119" s="548" t="s">
        <v>4680</v>
      </c>
      <c r="BQ119" s="157" t="s">
        <v>4571</v>
      </c>
      <c r="BR119" s="157"/>
    </row>
    <row r="120" spans="1:70" x14ac:dyDescent="0.25">
      <c r="A120" s="19" t="s">
        <v>3686</v>
      </c>
      <c r="B120" s="37" t="s">
        <v>5031</v>
      </c>
      <c r="C120" s="90">
        <v>45499.767199074071</v>
      </c>
      <c r="D120" s="114">
        <v>45499.517199074071</v>
      </c>
      <c r="E120" s="38">
        <v>45499</v>
      </c>
      <c r="F120" s="91">
        <v>2024</v>
      </c>
      <c r="G120" s="93">
        <v>7</v>
      </c>
      <c r="H120" s="37" t="s">
        <v>5032</v>
      </c>
      <c r="I120" s="37"/>
      <c r="J120" s="103">
        <v>-90.724883399999996</v>
      </c>
      <c r="K120" s="40">
        <v>43.304648200000003</v>
      </c>
      <c r="L120" s="74"/>
      <c r="M120" s="272" t="s">
        <v>5033</v>
      </c>
      <c r="N120" s="74">
        <v>1</v>
      </c>
      <c r="O120" s="94"/>
      <c r="P120" s="118">
        <v>1</v>
      </c>
      <c r="Q120" s="510">
        <v>180</v>
      </c>
      <c r="R120" s="513">
        <v>120</v>
      </c>
      <c r="S120" s="41"/>
      <c r="T120" s="40"/>
      <c r="U120" s="40">
        <v>7.5</v>
      </c>
      <c r="V120" s="119">
        <v>1</v>
      </c>
      <c r="W120" s="40">
        <v>0</v>
      </c>
      <c r="X120" s="119">
        <v>0</v>
      </c>
      <c r="Y120" s="40"/>
      <c r="Z120" s="119">
        <v>0</v>
      </c>
      <c r="AA120" s="368" t="s">
        <v>16</v>
      </c>
      <c r="AB120" s="535" t="s">
        <v>16</v>
      </c>
      <c r="AC120" s="39" t="s">
        <v>160</v>
      </c>
      <c r="AD120" s="75" t="s">
        <v>10</v>
      </c>
      <c r="AE120" s="95">
        <v>0</v>
      </c>
      <c r="AF120" s="75">
        <v>0</v>
      </c>
      <c r="AG120" s="75">
        <v>0</v>
      </c>
      <c r="AH120" s="75">
        <v>0</v>
      </c>
      <c r="AI120" s="75">
        <v>0</v>
      </c>
      <c r="AJ120" s="75">
        <v>0</v>
      </c>
      <c r="AK120" s="75">
        <v>0</v>
      </c>
      <c r="AL120" s="95">
        <v>1</v>
      </c>
      <c r="AM120" s="92">
        <v>0</v>
      </c>
      <c r="AN120" s="79" t="s">
        <v>81</v>
      </c>
      <c r="AO120" s="75">
        <v>1</v>
      </c>
      <c r="AP120" s="75" t="s">
        <v>83</v>
      </c>
      <c r="AQ120" s="122">
        <v>1</v>
      </c>
      <c r="AR120" s="515" t="s">
        <v>10</v>
      </c>
      <c r="AS120" s="95">
        <v>0</v>
      </c>
      <c r="AT120" s="75">
        <v>0</v>
      </c>
      <c r="AU120" s="75">
        <v>0</v>
      </c>
      <c r="AV120" s="75">
        <v>0</v>
      </c>
      <c r="AW120" s="123">
        <v>0</v>
      </c>
      <c r="AX120" s="516"/>
      <c r="AY120" s="75">
        <v>0</v>
      </c>
      <c r="AZ120" s="77" t="s">
        <v>131</v>
      </c>
      <c r="BA120" s="78" t="s">
        <v>131</v>
      </c>
      <c r="BB120" s="78" t="s">
        <v>131</v>
      </c>
      <c r="BC120" s="78" t="s">
        <v>131</v>
      </c>
      <c r="BD120" s="78" t="s">
        <v>131</v>
      </c>
      <c r="BE120" s="78" t="s">
        <v>131</v>
      </c>
      <c r="BF120" s="78" t="s">
        <v>131</v>
      </c>
      <c r="BG120" s="78" t="s">
        <v>132</v>
      </c>
      <c r="BH120" s="75" t="s">
        <v>5970</v>
      </c>
      <c r="BI120" s="295" t="s">
        <v>4097</v>
      </c>
      <c r="BJ120" s="546">
        <v>1</v>
      </c>
      <c r="BK120" s="294">
        <v>1</v>
      </c>
      <c r="BL120" s="157">
        <v>1</v>
      </c>
      <c r="BM120" s="548" t="s">
        <v>1342</v>
      </c>
      <c r="BN120" s="548" t="s">
        <v>1342</v>
      </c>
      <c r="BO120" s="157" t="s">
        <v>4580</v>
      </c>
      <c r="BP120" s="548" t="s">
        <v>4097</v>
      </c>
      <c r="BQ120" s="157" t="s">
        <v>4427</v>
      </c>
      <c r="BR120" s="157"/>
    </row>
    <row r="121" spans="1:70" x14ac:dyDescent="0.25">
      <c r="A121" s="19" t="s">
        <v>3686</v>
      </c>
      <c r="B121" s="37" t="s">
        <v>5034</v>
      </c>
      <c r="C121" s="90">
        <v>45498.87023148148</v>
      </c>
      <c r="D121" s="114">
        <v>45498.62023148148</v>
      </c>
      <c r="E121" s="38">
        <v>45498</v>
      </c>
      <c r="F121" s="91">
        <v>2024</v>
      </c>
      <c r="G121" s="93">
        <v>7</v>
      </c>
      <c r="H121" s="37" t="s">
        <v>2446</v>
      </c>
      <c r="I121" s="37"/>
      <c r="J121" s="103">
        <v>-91.873065434863605</v>
      </c>
      <c r="K121" s="40">
        <v>44.607181797135958</v>
      </c>
      <c r="L121" s="74"/>
      <c r="M121" s="272" t="s">
        <v>5035</v>
      </c>
      <c r="N121" s="74">
        <v>1</v>
      </c>
      <c r="O121" s="94"/>
      <c r="P121" s="118">
        <v>1</v>
      </c>
      <c r="Q121" s="510">
        <v>120</v>
      </c>
      <c r="R121" s="513">
        <v>180</v>
      </c>
      <c r="S121" s="41"/>
      <c r="T121" s="40"/>
      <c r="U121" s="40">
        <v>7.5</v>
      </c>
      <c r="V121" s="119">
        <v>1</v>
      </c>
      <c r="W121" s="40">
        <v>100</v>
      </c>
      <c r="X121" s="119">
        <v>1</v>
      </c>
      <c r="Y121" s="40">
        <v>63</v>
      </c>
      <c r="Z121" s="119">
        <v>1</v>
      </c>
      <c r="AA121" s="368">
        <v>0</v>
      </c>
      <c r="AB121" s="535">
        <v>2</v>
      </c>
      <c r="AC121" s="39" t="s">
        <v>160</v>
      </c>
      <c r="AD121" s="75" t="s">
        <v>10</v>
      </c>
      <c r="AE121" s="95">
        <v>0</v>
      </c>
      <c r="AF121" s="75">
        <v>0</v>
      </c>
      <c r="AG121" s="75">
        <v>0</v>
      </c>
      <c r="AH121" s="75">
        <v>0</v>
      </c>
      <c r="AI121" s="75">
        <v>0</v>
      </c>
      <c r="AJ121" s="75">
        <v>0</v>
      </c>
      <c r="AK121" s="75">
        <v>0</v>
      </c>
      <c r="AL121" s="95">
        <v>1</v>
      </c>
      <c r="AM121" s="92">
        <v>0</v>
      </c>
      <c r="AN121" s="79" t="s">
        <v>80</v>
      </c>
      <c r="AO121" s="75">
        <v>1</v>
      </c>
      <c r="AP121" s="75" t="s">
        <v>85</v>
      </c>
      <c r="AQ121" s="122">
        <v>1</v>
      </c>
      <c r="AR121" s="515" t="s">
        <v>10</v>
      </c>
      <c r="AS121" s="95">
        <v>0</v>
      </c>
      <c r="AT121" s="75">
        <v>0</v>
      </c>
      <c r="AU121" s="75">
        <v>0</v>
      </c>
      <c r="AV121" s="75">
        <v>0</v>
      </c>
      <c r="AW121" s="123">
        <v>0</v>
      </c>
      <c r="AX121" s="516"/>
      <c r="AY121" s="75">
        <v>0</v>
      </c>
      <c r="AZ121" s="77" t="s">
        <v>131</v>
      </c>
      <c r="BA121" s="78" t="s">
        <v>131</v>
      </c>
      <c r="BB121" s="78" t="s">
        <v>131</v>
      </c>
      <c r="BC121" s="78" t="s">
        <v>131</v>
      </c>
      <c r="BD121" s="78" t="s">
        <v>131</v>
      </c>
      <c r="BE121" s="78" t="s">
        <v>131</v>
      </c>
      <c r="BF121" s="78" t="s">
        <v>131</v>
      </c>
      <c r="BG121" s="78" t="s">
        <v>132</v>
      </c>
      <c r="BH121" s="75" t="s">
        <v>5970</v>
      </c>
      <c r="BI121" s="295" t="s">
        <v>2260</v>
      </c>
      <c r="BJ121" s="546">
        <v>1</v>
      </c>
      <c r="BK121" s="294">
        <v>1</v>
      </c>
      <c r="BL121" s="157">
        <v>1</v>
      </c>
      <c r="BM121" s="548" t="s">
        <v>1340</v>
      </c>
      <c r="BN121" s="548" t="s">
        <v>4158</v>
      </c>
      <c r="BO121" s="157" t="s">
        <v>5833</v>
      </c>
      <c r="BP121" s="548" t="s">
        <v>2260</v>
      </c>
      <c r="BQ121" s="157" t="s">
        <v>4219</v>
      </c>
      <c r="BR121" s="157"/>
    </row>
    <row r="122" spans="1:70" x14ac:dyDescent="0.25">
      <c r="A122" s="19" t="s">
        <v>3686</v>
      </c>
      <c r="B122" s="37" t="s">
        <v>5036</v>
      </c>
      <c r="C122" s="90">
        <v>45498.744166666664</v>
      </c>
      <c r="D122" s="114">
        <v>45498.494166666664</v>
      </c>
      <c r="E122" s="38">
        <v>45498</v>
      </c>
      <c r="F122" s="91">
        <v>2024</v>
      </c>
      <c r="G122" s="93">
        <v>7</v>
      </c>
      <c r="H122" s="37" t="s">
        <v>599</v>
      </c>
      <c r="I122" s="37" t="s">
        <v>2361</v>
      </c>
      <c r="J122" s="103">
        <v>-92.442813011053914</v>
      </c>
      <c r="K122" s="40">
        <v>44.621408806565668</v>
      </c>
      <c r="L122" s="74"/>
      <c r="M122" s="272" t="s">
        <v>16</v>
      </c>
      <c r="N122" s="74">
        <v>0</v>
      </c>
      <c r="O122" s="94"/>
      <c r="P122" s="118">
        <v>1</v>
      </c>
      <c r="Q122" s="510">
        <v>180</v>
      </c>
      <c r="R122" s="513">
        <v>180</v>
      </c>
      <c r="S122" s="41"/>
      <c r="T122" s="40"/>
      <c r="U122" s="40">
        <v>8</v>
      </c>
      <c r="V122" s="119">
        <v>1</v>
      </c>
      <c r="W122" s="40">
        <v>0</v>
      </c>
      <c r="X122" s="119">
        <v>1</v>
      </c>
      <c r="Y122" s="40">
        <v>58</v>
      </c>
      <c r="Z122" s="119">
        <v>1</v>
      </c>
      <c r="AA122" s="368">
        <v>0</v>
      </c>
      <c r="AB122" s="535">
        <v>5</v>
      </c>
      <c r="AC122" s="39" t="s">
        <v>160</v>
      </c>
      <c r="AD122" s="75" t="s">
        <v>10</v>
      </c>
      <c r="AE122" s="95">
        <v>0</v>
      </c>
      <c r="AF122" s="75">
        <v>0</v>
      </c>
      <c r="AG122" s="75">
        <v>0</v>
      </c>
      <c r="AH122" s="75">
        <v>0</v>
      </c>
      <c r="AI122" s="75">
        <v>0</v>
      </c>
      <c r="AJ122" s="75">
        <v>0</v>
      </c>
      <c r="AK122" s="75">
        <v>0</v>
      </c>
      <c r="AL122" s="95">
        <v>1</v>
      </c>
      <c r="AM122" s="92">
        <v>0</v>
      </c>
      <c r="AN122" s="79" t="s">
        <v>80</v>
      </c>
      <c r="AO122" s="75">
        <v>1</v>
      </c>
      <c r="AP122" s="75" t="s">
        <v>83</v>
      </c>
      <c r="AQ122" s="122">
        <v>1</v>
      </c>
      <c r="AR122" s="515" t="s">
        <v>10</v>
      </c>
      <c r="AS122" s="95">
        <v>0</v>
      </c>
      <c r="AT122" s="75">
        <v>0</v>
      </c>
      <c r="AU122" s="75">
        <v>0</v>
      </c>
      <c r="AV122" s="75">
        <v>0</v>
      </c>
      <c r="AW122" s="123">
        <v>0</v>
      </c>
      <c r="AX122" s="516"/>
      <c r="AY122" s="75">
        <v>0</v>
      </c>
      <c r="AZ122" s="77" t="s">
        <v>131</v>
      </c>
      <c r="BA122" s="78" t="s">
        <v>131</v>
      </c>
      <c r="BB122" s="78" t="s">
        <v>131</v>
      </c>
      <c r="BC122" s="78" t="s">
        <v>131</v>
      </c>
      <c r="BD122" s="78" t="s">
        <v>131</v>
      </c>
      <c r="BE122" s="78" t="s">
        <v>131</v>
      </c>
      <c r="BF122" s="78" t="s">
        <v>131</v>
      </c>
      <c r="BG122" s="78" t="s">
        <v>132</v>
      </c>
      <c r="BH122" s="75" t="s">
        <v>5970</v>
      </c>
      <c r="BI122" s="295" t="s">
        <v>2289</v>
      </c>
      <c r="BJ122" s="546">
        <v>1</v>
      </c>
      <c r="BK122" s="294" t="s">
        <v>16</v>
      </c>
      <c r="BL122" s="157" t="s">
        <v>16</v>
      </c>
      <c r="BM122" s="548" t="s">
        <v>578</v>
      </c>
      <c r="BN122" s="548" t="s">
        <v>544</v>
      </c>
      <c r="BO122" s="157" t="s">
        <v>4283</v>
      </c>
      <c r="BP122" s="548" t="s">
        <v>2289</v>
      </c>
      <c r="BQ122" s="157" t="s">
        <v>4214</v>
      </c>
      <c r="BR122" s="157"/>
    </row>
    <row r="123" spans="1:70" x14ac:dyDescent="0.25">
      <c r="A123" s="19" t="s">
        <v>3686</v>
      </c>
      <c r="B123" s="37" t="s">
        <v>5037</v>
      </c>
      <c r="C123" s="90">
        <v>45498.673611111109</v>
      </c>
      <c r="D123" s="114">
        <v>45498.423611111109</v>
      </c>
      <c r="E123" s="38">
        <v>45498</v>
      </c>
      <c r="F123" s="91">
        <v>2024</v>
      </c>
      <c r="G123" s="93">
        <v>7</v>
      </c>
      <c r="H123" s="37" t="s">
        <v>2548</v>
      </c>
      <c r="I123" s="37"/>
      <c r="J123" s="103">
        <v>-91.322905384463638</v>
      </c>
      <c r="K123" s="40">
        <v>44.26057288988541</v>
      </c>
      <c r="L123" s="74"/>
      <c r="M123" s="272" t="s">
        <v>5038</v>
      </c>
      <c r="N123" s="74">
        <v>1</v>
      </c>
      <c r="O123" s="94"/>
      <c r="P123" s="118">
        <v>1</v>
      </c>
      <c r="Q123" s="510">
        <v>180</v>
      </c>
      <c r="R123" s="513">
        <v>120</v>
      </c>
      <c r="S123" s="41"/>
      <c r="T123" s="40"/>
      <c r="U123" s="40">
        <v>7</v>
      </c>
      <c r="V123" s="119">
        <v>1</v>
      </c>
      <c r="W123" s="40">
        <v>0</v>
      </c>
      <c r="X123" s="119">
        <v>1</v>
      </c>
      <c r="Y123" s="40">
        <v>59</v>
      </c>
      <c r="Z123" s="119">
        <v>1</v>
      </c>
      <c r="AA123" s="368">
        <v>0</v>
      </c>
      <c r="AB123" s="535">
        <v>2</v>
      </c>
      <c r="AC123" s="39" t="s">
        <v>160</v>
      </c>
      <c r="AD123" s="75" t="s">
        <v>10</v>
      </c>
      <c r="AE123" s="95">
        <v>0</v>
      </c>
      <c r="AF123" s="75">
        <v>0</v>
      </c>
      <c r="AG123" s="75">
        <v>0</v>
      </c>
      <c r="AH123" s="75">
        <v>0</v>
      </c>
      <c r="AI123" s="75">
        <v>0</v>
      </c>
      <c r="AJ123" s="75">
        <v>0</v>
      </c>
      <c r="AK123" s="75">
        <v>0</v>
      </c>
      <c r="AL123" s="95">
        <v>1</v>
      </c>
      <c r="AM123" s="92">
        <v>0</v>
      </c>
      <c r="AN123" s="79" t="s">
        <v>80</v>
      </c>
      <c r="AO123" s="75">
        <v>1</v>
      </c>
      <c r="AP123" s="75" t="s">
        <v>83</v>
      </c>
      <c r="AQ123" s="122">
        <v>1</v>
      </c>
      <c r="AR123" s="515" t="s">
        <v>35</v>
      </c>
      <c r="AS123" s="95">
        <v>0</v>
      </c>
      <c r="AT123" s="75">
        <v>1</v>
      </c>
      <c r="AU123" s="75">
        <v>0</v>
      </c>
      <c r="AV123" s="75">
        <v>0</v>
      </c>
      <c r="AW123" s="123">
        <v>0</v>
      </c>
      <c r="AX123" s="516"/>
      <c r="AY123" s="75">
        <v>0</v>
      </c>
      <c r="AZ123" s="77" t="s">
        <v>131</v>
      </c>
      <c r="BA123" s="78" t="s">
        <v>131</v>
      </c>
      <c r="BB123" s="78" t="s">
        <v>131</v>
      </c>
      <c r="BC123" s="78" t="s">
        <v>131</v>
      </c>
      <c r="BD123" s="78" t="s">
        <v>131</v>
      </c>
      <c r="BE123" s="78" t="s">
        <v>131</v>
      </c>
      <c r="BF123" s="78" t="s">
        <v>131</v>
      </c>
      <c r="BG123" s="78" t="s">
        <v>132</v>
      </c>
      <c r="BH123" s="75" t="s">
        <v>5970</v>
      </c>
      <c r="BI123" s="295" t="s">
        <v>16</v>
      </c>
      <c r="BJ123" s="546">
        <v>1</v>
      </c>
      <c r="BK123" s="294" t="s">
        <v>16</v>
      </c>
      <c r="BL123" s="157" t="s">
        <v>16</v>
      </c>
      <c r="BM123" s="548" t="s">
        <v>1340</v>
      </c>
      <c r="BN123" s="548" t="s">
        <v>4158</v>
      </c>
      <c r="BO123" s="157" t="s">
        <v>4517</v>
      </c>
      <c r="BP123" s="548" t="s">
        <v>4518</v>
      </c>
      <c r="BQ123" s="157" t="s">
        <v>4460</v>
      </c>
      <c r="BR123" s="157"/>
    </row>
    <row r="124" spans="1:70" x14ac:dyDescent="0.25">
      <c r="A124" s="19" t="s">
        <v>3686</v>
      </c>
      <c r="B124" s="37" t="s">
        <v>5039</v>
      </c>
      <c r="C124" s="90">
        <v>45498.619363425925</v>
      </c>
      <c r="D124" s="114">
        <v>45498.369363425925</v>
      </c>
      <c r="E124" s="38">
        <v>45498</v>
      </c>
      <c r="F124" s="91">
        <v>2024</v>
      </c>
      <c r="G124" s="93">
        <v>7</v>
      </c>
      <c r="H124" s="37" t="s">
        <v>4981</v>
      </c>
      <c r="I124" s="37"/>
      <c r="J124" s="103">
        <v>-91.768715061131857</v>
      </c>
      <c r="K124" s="40">
        <v>42.893628841623631</v>
      </c>
      <c r="L124" s="74"/>
      <c r="M124" s="272" t="s">
        <v>5040</v>
      </c>
      <c r="N124" s="74">
        <v>1</v>
      </c>
      <c r="O124" s="94"/>
      <c r="P124" s="118">
        <v>1</v>
      </c>
      <c r="Q124" s="510">
        <v>180</v>
      </c>
      <c r="R124" s="513">
        <v>180</v>
      </c>
      <c r="S124" s="41"/>
      <c r="T124" s="40"/>
      <c r="U124" s="40">
        <v>8</v>
      </c>
      <c r="V124" s="119">
        <v>0</v>
      </c>
      <c r="W124" s="40"/>
      <c r="X124" s="119">
        <v>0</v>
      </c>
      <c r="Y124" s="40"/>
      <c r="Z124" s="119">
        <v>1</v>
      </c>
      <c r="AA124" s="368">
        <v>0</v>
      </c>
      <c r="AB124" s="535">
        <v>2</v>
      </c>
      <c r="AC124" s="39" t="s">
        <v>160</v>
      </c>
      <c r="AD124" s="75" t="s">
        <v>10</v>
      </c>
      <c r="AE124" s="95">
        <v>0</v>
      </c>
      <c r="AF124" s="75">
        <v>0</v>
      </c>
      <c r="AG124" s="75">
        <v>0</v>
      </c>
      <c r="AH124" s="75">
        <v>0</v>
      </c>
      <c r="AI124" s="75">
        <v>0</v>
      </c>
      <c r="AJ124" s="75">
        <v>0</v>
      </c>
      <c r="AK124" s="75">
        <v>0</v>
      </c>
      <c r="AL124" s="95">
        <v>1</v>
      </c>
      <c r="AM124" s="92">
        <v>0</v>
      </c>
      <c r="AN124" s="79" t="s">
        <v>80</v>
      </c>
      <c r="AO124" s="75">
        <v>1</v>
      </c>
      <c r="AP124" s="75" t="s">
        <v>83</v>
      </c>
      <c r="AQ124" s="122">
        <v>1</v>
      </c>
      <c r="AR124" s="515" t="s">
        <v>10</v>
      </c>
      <c r="AS124" s="95">
        <v>0</v>
      </c>
      <c r="AT124" s="75">
        <v>0</v>
      </c>
      <c r="AU124" s="75">
        <v>0</v>
      </c>
      <c r="AV124" s="75">
        <v>0</v>
      </c>
      <c r="AW124" s="123">
        <v>0</v>
      </c>
      <c r="AX124" s="516"/>
      <c r="AY124" s="75">
        <v>0</v>
      </c>
      <c r="AZ124" s="77" t="s">
        <v>131</v>
      </c>
      <c r="BA124" s="78" t="s">
        <v>131</v>
      </c>
      <c r="BB124" s="78" t="s">
        <v>131</v>
      </c>
      <c r="BC124" s="78" t="s">
        <v>131</v>
      </c>
      <c r="BD124" s="78" t="s">
        <v>131</v>
      </c>
      <c r="BE124" s="78" t="s">
        <v>131</v>
      </c>
      <c r="BF124" s="78" t="s">
        <v>131</v>
      </c>
      <c r="BG124" s="78" t="s">
        <v>132</v>
      </c>
      <c r="BH124" s="75" t="s">
        <v>5970</v>
      </c>
      <c r="BI124" s="295" t="s">
        <v>4680</v>
      </c>
      <c r="BJ124" s="546">
        <v>1</v>
      </c>
      <c r="BK124" s="294" t="s">
        <v>16</v>
      </c>
      <c r="BL124" s="157" t="s">
        <v>16</v>
      </c>
      <c r="BM124" s="548" t="s">
        <v>1344</v>
      </c>
      <c r="BN124" s="548" t="s">
        <v>4160</v>
      </c>
      <c r="BO124" s="157" t="s">
        <v>4679</v>
      </c>
      <c r="BP124" s="548" t="s">
        <v>4680</v>
      </c>
      <c r="BQ124" s="157" t="s">
        <v>4571</v>
      </c>
      <c r="BR124" s="157"/>
    </row>
    <row r="125" spans="1:70" x14ac:dyDescent="0.25">
      <c r="A125" s="19" t="s">
        <v>3686</v>
      </c>
      <c r="B125" s="37" t="s">
        <v>5041</v>
      </c>
      <c r="C125" s="90">
        <v>45498.616331018522</v>
      </c>
      <c r="D125" s="114">
        <v>45498.366331018522</v>
      </c>
      <c r="E125" s="38">
        <v>45498</v>
      </c>
      <c r="F125" s="91">
        <v>2024</v>
      </c>
      <c r="G125" s="93">
        <v>7</v>
      </c>
      <c r="H125" s="37" t="s">
        <v>5006</v>
      </c>
      <c r="I125" s="37"/>
      <c r="J125" s="103">
        <v>-91.826029288008286</v>
      </c>
      <c r="K125" s="40">
        <v>44.668276413830405</v>
      </c>
      <c r="L125" s="74"/>
      <c r="M125" s="272" t="s">
        <v>5042</v>
      </c>
      <c r="N125" s="74">
        <v>1</v>
      </c>
      <c r="O125" s="94"/>
      <c r="P125" s="118">
        <v>1</v>
      </c>
      <c r="Q125" s="510">
        <v>80</v>
      </c>
      <c r="R125" s="513">
        <v>60</v>
      </c>
      <c r="S125" s="41"/>
      <c r="T125" s="40"/>
      <c r="U125" s="40">
        <v>6.5</v>
      </c>
      <c r="V125" s="119">
        <v>1</v>
      </c>
      <c r="W125" s="40">
        <v>200</v>
      </c>
      <c r="X125" s="119">
        <v>1</v>
      </c>
      <c r="Y125" s="40">
        <v>56</v>
      </c>
      <c r="Z125" s="119">
        <v>0</v>
      </c>
      <c r="AA125" s="368" t="s">
        <v>16</v>
      </c>
      <c r="AB125" s="535" t="s">
        <v>16</v>
      </c>
      <c r="AC125" s="39" t="s">
        <v>160</v>
      </c>
      <c r="AD125" s="75" t="s">
        <v>551</v>
      </c>
      <c r="AE125" s="95">
        <v>0</v>
      </c>
      <c r="AF125" s="75">
        <v>0</v>
      </c>
      <c r="AG125" s="75">
        <v>0</v>
      </c>
      <c r="AH125" s="75">
        <v>0</v>
      </c>
      <c r="AI125" s="75">
        <v>1</v>
      </c>
      <c r="AJ125" s="75">
        <v>0</v>
      </c>
      <c r="AK125" s="75">
        <v>0</v>
      </c>
      <c r="AL125" s="95">
        <v>0</v>
      </c>
      <c r="AM125" s="92">
        <v>0</v>
      </c>
      <c r="AN125" s="79" t="s">
        <v>80</v>
      </c>
      <c r="AO125" s="75">
        <v>1</v>
      </c>
      <c r="AP125" s="75" t="s">
        <v>83</v>
      </c>
      <c r="AQ125" s="122">
        <v>1</v>
      </c>
      <c r="AR125" s="515" t="s">
        <v>10</v>
      </c>
      <c r="AS125" s="95">
        <v>0</v>
      </c>
      <c r="AT125" s="75">
        <v>0</v>
      </c>
      <c r="AU125" s="75">
        <v>0</v>
      </c>
      <c r="AV125" s="75">
        <v>0</v>
      </c>
      <c r="AW125" s="123">
        <v>0</v>
      </c>
      <c r="AX125" s="516" t="s">
        <v>5043</v>
      </c>
      <c r="AY125" s="75">
        <v>1</v>
      </c>
      <c r="AZ125" s="77" t="s">
        <v>131</v>
      </c>
      <c r="BA125" s="78" t="s">
        <v>131</v>
      </c>
      <c r="BB125" s="78" t="s">
        <v>131</v>
      </c>
      <c r="BC125" s="78" t="s">
        <v>131</v>
      </c>
      <c r="BD125" s="78" t="s">
        <v>132</v>
      </c>
      <c r="BE125" s="78" t="s">
        <v>131</v>
      </c>
      <c r="BF125" s="78" t="s">
        <v>131</v>
      </c>
      <c r="BG125" s="78" t="s">
        <v>131</v>
      </c>
      <c r="BH125" s="75" t="s">
        <v>5970</v>
      </c>
      <c r="BI125" s="295" t="s">
        <v>16</v>
      </c>
      <c r="BJ125" s="546">
        <v>1</v>
      </c>
      <c r="BK125" s="294">
        <v>1</v>
      </c>
      <c r="BL125" s="157">
        <v>1</v>
      </c>
      <c r="BM125" s="548" t="s">
        <v>1340</v>
      </c>
      <c r="BN125" s="548" t="s">
        <v>5969</v>
      </c>
      <c r="BO125" s="157" t="s">
        <v>5845</v>
      </c>
      <c r="BP125" s="548" t="s">
        <v>5846</v>
      </c>
      <c r="BQ125" s="157" t="s">
        <v>5844</v>
      </c>
      <c r="BR125" s="157"/>
    </row>
    <row r="126" spans="1:70" x14ac:dyDescent="0.25">
      <c r="A126" s="19" t="s">
        <v>3686</v>
      </c>
      <c r="B126" s="37" t="s">
        <v>5044</v>
      </c>
      <c r="C126" s="90">
        <v>45498.61519675926</v>
      </c>
      <c r="D126" s="114">
        <v>45498.36519675926</v>
      </c>
      <c r="E126" s="38">
        <v>45498</v>
      </c>
      <c r="F126" s="91">
        <v>2024</v>
      </c>
      <c r="G126" s="93">
        <v>7</v>
      </c>
      <c r="H126" s="37" t="s">
        <v>2548</v>
      </c>
      <c r="I126" s="37"/>
      <c r="J126" s="103">
        <v>-91.396271514248596</v>
      </c>
      <c r="K126" s="40">
        <v>44.205031783919388</v>
      </c>
      <c r="L126" s="74"/>
      <c r="M126" s="272" t="s">
        <v>5045</v>
      </c>
      <c r="N126" s="74">
        <v>1</v>
      </c>
      <c r="O126" s="94"/>
      <c r="P126" s="118">
        <v>1</v>
      </c>
      <c r="Q126" s="510">
        <v>180</v>
      </c>
      <c r="R126" s="513">
        <v>180</v>
      </c>
      <c r="S126" s="41"/>
      <c r="T126" s="40"/>
      <c r="U126" s="40">
        <v>7</v>
      </c>
      <c r="V126" s="119">
        <v>1</v>
      </c>
      <c r="W126" s="40">
        <v>0</v>
      </c>
      <c r="X126" s="119">
        <v>1</v>
      </c>
      <c r="Y126" s="40">
        <v>57</v>
      </c>
      <c r="Z126" s="119">
        <v>1</v>
      </c>
      <c r="AA126" s="368">
        <v>0</v>
      </c>
      <c r="AB126" s="535">
        <v>2</v>
      </c>
      <c r="AC126" s="39" t="s">
        <v>160</v>
      </c>
      <c r="AD126" s="75" t="s">
        <v>10</v>
      </c>
      <c r="AE126" s="95">
        <v>0</v>
      </c>
      <c r="AF126" s="75">
        <v>0</v>
      </c>
      <c r="AG126" s="75">
        <v>0</v>
      </c>
      <c r="AH126" s="75">
        <v>0</v>
      </c>
      <c r="AI126" s="75">
        <v>0</v>
      </c>
      <c r="AJ126" s="75">
        <v>0</v>
      </c>
      <c r="AK126" s="75">
        <v>0</v>
      </c>
      <c r="AL126" s="95">
        <v>1</v>
      </c>
      <c r="AM126" s="92">
        <v>0</v>
      </c>
      <c r="AN126" s="79" t="s">
        <v>80</v>
      </c>
      <c r="AO126" s="75">
        <v>1</v>
      </c>
      <c r="AP126" s="75" t="s">
        <v>83</v>
      </c>
      <c r="AQ126" s="122">
        <v>1</v>
      </c>
      <c r="AR126" s="515" t="s">
        <v>35</v>
      </c>
      <c r="AS126" s="95">
        <v>0</v>
      </c>
      <c r="AT126" s="75">
        <v>1</v>
      </c>
      <c r="AU126" s="75">
        <v>0</v>
      </c>
      <c r="AV126" s="75">
        <v>0</v>
      </c>
      <c r="AW126" s="123">
        <v>0</v>
      </c>
      <c r="AX126" s="516"/>
      <c r="AY126" s="75">
        <v>0</v>
      </c>
      <c r="AZ126" s="77" t="s">
        <v>131</v>
      </c>
      <c r="BA126" s="78" t="s">
        <v>131</v>
      </c>
      <c r="BB126" s="78" t="s">
        <v>131</v>
      </c>
      <c r="BC126" s="78" t="s">
        <v>131</v>
      </c>
      <c r="BD126" s="78" t="s">
        <v>131</v>
      </c>
      <c r="BE126" s="78" t="s">
        <v>131</v>
      </c>
      <c r="BF126" s="78" t="s">
        <v>131</v>
      </c>
      <c r="BG126" s="78" t="s">
        <v>132</v>
      </c>
      <c r="BH126" s="75" t="s">
        <v>5970</v>
      </c>
      <c r="BI126" s="295" t="s">
        <v>3989</v>
      </c>
      <c r="BJ126" s="546">
        <v>1</v>
      </c>
      <c r="BK126" s="294" t="s">
        <v>16</v>
      </c>
      <c r="BL126" s="157" t="s">
        <v>16</v>
      </c>
      <c r="BM126" s="548" t="s">
        <v>1340</v>
      </c>
      <c r="BN126" s="548" t="s">
        <v>4158</v>
      </c>
      <c r="BO126" s="157" t="s">
        <v>4445</v>
      </c>
      <c r="BP126" s="548" t="s">
        <v>3989</v>
      </c>
      <c r="BQ126" s="157" t="s">
        <v>4444</v>
      </c>
      <c r="BR126" s="157"/>
    </row>
    <row r="127" spans="1:70" x14ac:dyDescent="0.25">
      <c r="A127" s="19" t="s">
        <v>3686</v>
      </c>
      <c r="B127" s="37" t="s">
        <v>5046</v>
      </c>
      <c r="C127" s="90">
        <v>45498.5859375</v>
      </c>
      <c r="D127" s="114">
        <v>45498.3359375</v>
      </c>
      <c r="E127" s="38">
        <v>45498</v>
      </c>
      <c r="F127" s="91">
        <v>2024</v>
      </c>
      <c r="G127" s="93">
        <v>7</v>
      </c>
      <c r="H127" s="37" t="s">
        <v>2548</v>
      </c>
      <c r="I127" s="37"/>
      <c r="J127" s="103">
        <v>-91.41272942580116</v>
      </c>
      <c r="K127" s="40">
        <v>44.196328659718063</v>
      </c>
      <c r="L127" s="74"/>
      <c r="M127" s="272" t="s">
        <v>5047</v>
      </c>
      <c r="N127" s="74">
        <v>1</v>
      </c>
      <c r="O127" s="94"/>
      <c r="P127" s="118">
        <v>1</v>
      </c>
      <c r="Q127" s="510">
        <v>180</v>
      </c>
      <c r="R127" s="513">
        <v>120</v>
      </c>
      <c r="S127" s="41"/>
      <c r="T127" s="40"/>
      <c r="U127" s="40">
        <v>7</v>
      </c>
      <c r="V127" s="119">
        <v>1</v>
      </c>
      <c r="W127" s="40">
        <v>0</v>
      </c>
      <c r="X127" s="119">
        <v>1</v>
      </c>
      <c r="Y127" s="40">
        <v>51</v>
      </c>
      <c r="Z127" s="119">
        <v>1</v>
      </c>
      <c r="AA127" s="368">
        <v>0</v>
      </c>
      <c r="AB127" s="535">
        <v>2</v>
      </c>
      <c r="AC127" s="39" t="s">
        <v>160</v>
      </c>
      <c r="AD127" s="75" t="s">
        <v>10</v>
      </c>
      <c r="AE127" s="95">
        <v>0</v>
      </c>
      <c r="AF127" s="75">
        <v>0</v>
      </c>
      <c r="AG127" s="75">
        <v>0</v>
      </c>
      <c r="AH127" s="75">
        <v>0</v>
      </c>
      <c r="AI127" s="75">
        <v>0</v>
      </c>
      <c r="AJ127" s="75">
        <v>0</v>
      </c>
      <c r="AK127" s="75">
        <v>0</v>
      </c>
      <c r="AL127" s="95">
        <v>1</v>
      </c>
      <c r="AM127" s="92">
        <v>0</v>
      </c>
      <c r="AN127" s="79" t="s">
        <v>80</v>
      </c>
      <c r="AO127" s="75">
        <v>1</v>
      </c>
      <c r="AP127" s="75" t="s">
        <v>83</v>
      </c>
      <c r="AQ127" s="122">
        <v>1</v>
      </c>
      <c r="AR127" s="515" t="s">
        <v>35</v>
      </c>
      <c r="AS127" s="95">
        <v>0</v>
      </c>
      <c r="AT127" s="75">
        <v>1</v>
      </c>
      <c r="AU127" s="75">
        <v>0</v>
      </c>
      <c r="AV127" s="75">
        <v>0</v>
      </c>
      <c r="AW127" s="123">
        <v>0</v>
      </c>
      <c r="AX127" s="516"/>
      <c r="AY127" s="75">
        <v>0</v>
      </c>
      <c r="AZ127" s="77" t="s">
        <v>131</v>
      </c>
      <c r="BA127" s="78" t="s">
        <v>131</v>
      </c>
      <c r="BB127" s="78" t="s">
        <v>131</v>
      </c>
      <c r="BC127" s="78" t="s">
        <v>131</v>
      </c>
      <c r="BD127" s="78" t="s">
        <v>131</v>
      </c>
      <c r="BE127" s="78" t="s">
        <v>131</v>
      </c>
      <c r="BF127" s="78" t="s">
        <v>131</v>
      </c>
      <c r="BG127" s="78" t="s">
        <v>132</v>
      </c>
      <c r="BH127" s="75" t="s">
        <v>5970</v>
      </c>
      <c r="BI127" s="295" t="s">
        <v>3989</v>
      </c>
      <c r="BJ127" s="546">
        <v>1</v>
      </c>
      <c r="BK127" s="294" t="s">
        <v>16</v>
      </c>
      <c r="BL127" s="157" t="s">
        <v>16</v>
      </c>
      <c r="BM127" s="548" t="s">
        <v>1340</v>
      </c>
      <c r="BN127" s="548" t="s">
        <v>4158</v>
      </c>
      <c r="BO127" s="157" t="s">
        <v>4445</v>
      </c>
      <c r="BP127" s="548" t="s">
        <v>3989</v>
      </c>
      <c r="BQ127" s="157" t="s">
        <v>4444</v>
      </c>
      <c r="BR127" s="157"/>
    </row>
    <row r="128" spans="1:70" x14ac:dyDescent="0.25">
      <c r="A128" s="19" t="s">
        <v>3686</v>
      </c>
      <c r="B128" s="37" t="s">
        <v>5048</v>
      </c>
      <c r="C128" s="90">
        <v>45497.792650462965</v>
      </c>
      <c r="D128" s="114">
        <v>45497.542650462965</v>
      </c>
      <c r="E128" s="38">
        <v>45497</v>
      </c>
      <c r="F128" s="91">
        <v>2024</v>
      </c>
      <c r="G128" s="93">
        <v>7</v>
      </c>
      <c r="H128" s="37" t="s">
        <v>2548</v>
      </c>
      <c r="I128" s="37"/>
      <c r="J128" s="103">
        <v>-91.492413802981005</v>
      </c>
      <c r="K128" s="40">
        <v>44.222707970654255</v>
      </c>
      <c r="L128" s="74"/>
      <c r="M128" s="272" t="s">
        <v>5049</v>
      </c>
      <c r="N128" s="74">
        <v>1</v>
      </c>
      <c r="O128" s="94"/>
      <c r="P128" s="118">
        <v>1</v>
      </c>
      <c r="Q128" s="510">
        <v>180</v>
      </c>
      <c r="R128" s="513">
        <v>180</v>
      </c>
      <c r="S128" s="41"/>
      <c r="T128" s="40"/>
      <c r="U128" s="40">
        <v>7</v>
      </c>
      <c r="V128" s="119">
        <v>1</v>
      </c>
      <c r="W128" s="40">
        <v>0</v>
      </c>
      <c r="X128" s="119">
        <v>1</v>
      </c>
      <c r="Y128" s="40">
        <v>59</v>
      </c>
      <c r="Z128" s="119">
        <v>1</v>
      </c>
      <c r="AA128" s="368">
        <v>0</v>
      </c>
      <c r="AB128" s="535">
        <v>1</v>
      </c>
      <c r="AC128" s="39" t="s">
        <v>160</v>
      </c>
      <c r="AD128" s="75" t="s">
        <v>10</v>
      </c>
      <c r="AE128" s="95">
        <v>0</v>
      </c>
      <c r="AF128" s="75">
        <v>0</v>
      </c>
      <c r="AG128" s="75">
        <v>0</v>
      </c>
      <c r="AH128" s="75">
        <v>0</v>
      </c>
      <c r="AI128" s="75">
        <v>0</v>
      </c>
      <c r="AJ128" s="75">
        <v>0</v>
      </c>
      <c r="AK128" s="75">
        <v>0</v>
      </c>
      <c r="AL128" s="95">
        <v>1</v>
      </c>
      <c r="AM128" s="92">
        <v>0</v>
      </c>
      <c r="AN128" s="79" t="s">
        <v>80</v>
      </c>
      <c r="AO128" s="75">
        <v>1</v>
      </c>
      <c r="AP128" s="75" t="s">
        <v>83</v>
      </c>
      <c r="AQ128" s="122">
        <v>1</v>
      </c>
      <c r="AR128" s="515" t="s">
        <v>35</v>
      </c>
      <c r="AS128" s="95">
        <v>0</v>
      </c>
      <c r="AT128" s="75">
        <v>1</v>
      </c>
      <c r="AU128" s="75">
        <v>0</v>
      </c>
      <c r="AV128" s="75">
        <v>0</v>
      </c>
      <c r="AW128" s="123">
        <v>0</v>
      </c>
      <c r="AX128" s="516"/>
      <c r="AY128" s="75">
        <v>0</v>
      </c>
      <c r="AZ128" s="77" t="s">
        <v>131</v>
      </c>
      <c r="BA128" s="78" t="s">
        <v>131</v>
      </c>
      <c r="BB128" s="78" t="s">
        <v>131</v>
      </c>
      <c r="BC128" s="78" t="s">
        <v>131</v>
      </c>
      <c r="BD128" s="78" t="s">
        <v>131</v>
      </c>
      <c r="BE128" s="78" t="s">
        <v>131</v>
      </c>
      <c r="BF128" s="78" t="s">
        <v>131</v>
      </c>
      <c r="BG128" s="78" t="s">
        <v>132</v>
      </c>
      <c r="BH128" s="75" t="s">
        <v>5970</v>
      </c>
      <c r="BI128" s="295" t="s">
        <v>5937</v>
      </c>
      <c r="BJ128" s="546">
        <v>1</v>
      </c>
      <c r="BK128" s="294" t="s">
        <v>16</v>
      </c>
      <c r="BL128" s="157" t="s">
        <v>16</v>
      </c>
      <c r="BM128" s="548" t="s">
        <v>1340</v>
      </c>
      <c r="BN128" s="548" t="s">
        <v>4158</v>
      </c>
      <c r="BO128" s="157" t="s">
        <v>4455</v>
      </c>
      <c r="BP128" s="548" t="s">
        <v>4457</v>
      </c>
      <c r="BQ128" s="157" t="s">
        <v>4444</v>
      </c>
      <c r="BR128" s="157"/>
    </row>
    <row r="129" spans="1:70" x14ac:dyDescent="0.25">
      <c r="A129" s="19" t="s">
        <v>3686</v>
      </c>
      <c r="B129" s="37" t="s">
        <v>5050</v>
      </c>
      <c r="C129" s="90">
        <v>45497.646631944444</v>
      </c>
      <c r="D129" s="114">
        <v>45497.396631944444</v>
      </c>
      <c r="E129" s="38">
        <v>45497</v>
      </c>
      <c r="F129" s="91">
        <v>2024</v>
      </c>
      <c r="G129" s="93">
        <v>7</v>
      </c>
      <c r="H129" s="37" t="s">
        <v>4981</v>
      </c>
      <c r="I129" s="37"/>
      <c r="J129" s="103">
        <v>-91.77112554601598</v>
      </c>
      <c r="K129" s="40">
        <v>42.886544036241332</v>
      </c>
      <c r="L129" s="74"/>
      <c r="M129" s="272" t="s">
        <v>5051</v>
      </c>
      <c r="N129" s="74">
        <v>1</v>
      </c>
      <c r="O129" s="94"/>
      <c r="P129" s="118">
        <v>1</v>
      </c>
      <c r="Q129" s="510">
        <v>80</v>
      </c>
      <c r="R129" s="513">
        <v>180</v>
      </c>
      <c r="S129" s="41"/>
      <c r="T129" s="40"/>
      <c r="U129" s="40">
        <v>7.5</v>
      </c>
      <c r="V129" s="119">
        <v>0</v>
      </c>
      <c r="W129" s="40"/>
      <c r="X129" s="119">
        <v>0</v>
      </c>
      <c r="Y129" s="40"/>
      <c r="Z129" s="119">
        <v>1</v>
      </c>
      <c r="AA129" s="368">
        <v>0</v>
      </c>
      <c r="AB129" s="535">
        <v>5</v>
      </c>
      <c r="AC129" s="39" t="s">
        <v>160</v>
      </c>
      <c r="AD129" s="75" t="s">
        <v>10</v>
      </c>
      <c r="AE129" s="95">
        <v>0</v>
      </c>
      <c r="AF129" s="75">
        <v>0</v>
      </c>
      <c r="AG129" s="75">
        <v>0</v>
      </c>
      <c r="AH129" s="75">
        <v>0</v>
      </c>
      <c r="AI129" s="75">
        <v>0</v>
      </c>
      <c r="AJ129" s="75">
        <v>0</v>
      </c>
      <c r="AK129" s="75">
        <v>0</v>
      </c>
      <c r="AL129" s="95">
        <v>1</v>
      </c>
      <c r="AM129" s="92">
        <v>0</v>
      </c>
      <c r="AN129" s="79" t="s">
        <v>80</v>
      </c>
      <c r="AO129" s="75">
        <v>1</v>
      </c>
      <c r="AP129" s="75" t="s">
        <v>84</v>
      </c>
      <c r="AQ129" s="122">
        <v>1</v>
      </c>
      <c r="AR129" s="515" t="s">
        <v>10</v>
      </c>
      <c r="AS129" s="95">
        <v>0</v>
      </c>
      <c r="AT129" s="75">
        <v>0</v>
      </c>
      <c r="AU129" s="75">
        <v>0</v>
      </c>
      <c r="AV129" s="75">
        <v>0</v>
      </c>
      <c r="AW129" s="123">
        <v>0</v>
      </c>
      <c r="AX129" s="516"/>
      <c r="AY129" s="75">
        <v>0</v>
      </c>
      <c r="AZ129" s="77" t="s">
        <v>131</v>
      </c>
      <c r="BA129" s="78" t="s">
        <v>131</v>
      </c>
      <c r="BB129" s="78" t="s">
        <v>131</v>
      </c>
      <c r="BC129" s="78" t="s">
        <v>131</v>
      </c>
      <c r="BD129" s="78" t="s">
        <v>131</v>
      </c>
      <c r="BE129" s="78" t="s">
        <v>131</v>
      </c>
      <c r="BF129" s="78" t="s">
        <v>131</v>
      </c>
      <c r="BG129" s="78" t="s">
        <v>132</v>
      </c>
      <c r="BH129" s="75" t="s">
        <v>5970</v>
      </c>
      <c r="BI129" s="295" t="s">
        <v>4680</v>
      </c>
      <c r="BJ129" s="546">
        <v>1</v>
      </c>
      <c r="BK129" s="294" t="s">
        <v>16</v>
      </c>
      <c r="BL129" s="157" t="s">
        <v>16</v>
      </c>
      <c r="BM129" s="548" t="s">
        <v>1344</v>
      </c>
      <c r="BN129" s="548" t="s">
        <v>4160</v>
      </c>
      <c r="BO129" s="157" t="s">
        <v>4679</v>
      </c>
      <c r="BP129" s="548" t="s">
        <v>4680</v>
      </c>
      <c r="BQ129" s="157" t="s">
        <v>4571</v>
      </c>
      <c r="BR129" s="157"/>
    </row>
    <row r="130" spans="1:70" x14ac:dyDescent="0.25">
      <c r="A130" s="19" t="s">
        <v>3686</v>
      </c>
      <c r="B130" s="37" t="s">
        <v>5052</v>
      </c>
      <c r="C130" s="90">
        <v>45497.645798611113</v>
      </c>
      <c r="D130" s="114">
        <v>45497.395798611113</v>
      </c>
      <c r="E130" s="38">
        <v>45497</v>
      </c>
      <c r="F130" s="91">
        <v>2024</v>
      </c>
      <c r="G130" s="93">
        <v>7</v>
      </c>
      <c r="H130" s="37" t="s">
        <v>2548</v>
      </c>
      <c r="I130" s="37"/>
      <c r="J130" s="103">
        <v>-91.629832764340705</v>
      </c>
      <c r="K130" s="40">
        <v>44.200693841355893</v>
      </c>
      <c r="L130" s="74"/>
      <c r="M130" s="272" t="s">
        <v>5053</v>
      </c>
      <c r="N130" s="74">
        <v>1</v>
      </c>
      <c r="O130" s="94"/>
      <c r="P130" s="118">
        <v>1</v>
      </c>
      <c r="Q130" s="510">
        <v>180</v>
      </c>
      <c r="R130" s="513">
        <v>180</v>
      </c>
      <c r="S130" s="41"/>
      <c r="T130" s="40"/>
      <c r="U130" s="40">
        <v>7.5</v>
      </c>
      <c r="V130" s="119">
        <v>1</v>
      </c>
      <c r="W130" s="40">
        <v>0</v>
      </c>
      <c r="X130" s="119">
        <v>1</v>
      </c>
      <c r="Y130" s="40">
        <v>59</v>
      </c>
      <c r="Z130" s="119">
        <v>1</v>
      </c>
      <c r="AA130" s="368">
        <v>0</v>
      </c>
      <c r="AB130" s="535">
        <v>0</v>
      </c>
      <c r="AC130" s="39" t="s">
        <v>160</v>
      </c>
      <c r="AD130" s="75" t="s">
        <v>10</v>
      </c>
      <c r="AE130" s="95">
        <v>0</v>
      </c>
      <c r="AF130" s="75">
        <v>0</v>
      </c>
      <c r="AG130" s="75">
        <v>0</v>
      </c>
      <c r="AH130" s="75">
        <v>0</v>
      </c>
      <c r="AI130" s="75">
        <v>0</v>
      </c>
      <c r="AJ130" s="75">
        <v>0</v>
      </c>
      <c r="AK130" s="75">
        <v>0</v>
      </c>
      <c r="AL130" s="95">
        <v>1</v>
      </c>
      <c r="AM130" s="92">
        <v>0</v>
      </c>
      <c r="AN130" s="79" t="s">
        <v>80</v>
      </c>
      <c r="AO130" s="75">
        <v>1</v>
      </c>
      <c r="AP130" s="75" t="s">
        <v>83</v>
      </c>
      <c r="AQ130" s="122">
        <v>1</v>
      </c>
      <c r="AR130" s="515" t="s">
        <v>35</v>
      </c>
      <c r="AS130" s="95">
        <v>0</v>
      </c>
      <c r="AT130" s="75">
        <v>1</v>
      </c>
      <c r="AU130" s="75">
        <v>0</v>
      </c>
      <c r="AV130" s="75">
        <v>0</v>
      </c>
      <c r="AW130" s="123">
        <v>0</v>
      </c>
      <c r="AX130" s="516"/>
      <c r="AY130" s="75">
        <v>0</v>
      </c>
      <c r="AZ130" s="77" t="s">
        <v>131</v>
      </c>
      <c r="BA130" s="78" t="s">
        <v>131</v>
      </c>
      <c r="BB130" s="78" t="s">
        <v>131</v>
      </c>
      <c r="BC130" s="78" t="s">
        <v>131</v>
      </c>
      <c r="BD130" s="78" t="s">
        <v>131</v>
      </c>
      <c r="BE130" s="78" t="s">
        <v>131</v>
      </c>
      <c r="BF130" s="78" t="s">
        <v>131</v>
      </c>
      <c r="BG130" s="78" t="s">
        <v>132</v>
      </c>
      <c r="BH130" s="75" t="s">
        <v>5970</v>
      </c>
      <c r="BI130" s="295" t="s">
        <v>5938</v>
      </c>
      <c r="BJ130" s="546">
        <v>1</v>
      </c>
      <c r="BK130" s="294" t="s">
        <v>16</v>
      </c>
      <c r="BL130" s="157" t="s">
        <v>16</v>
      </c>
      <c r="BM130" s="548" t="s">
        <v>1340</v>
      </c>
      <c r="BN130" s="548" t="s">
        <v>4158</v>
      </c>
      <c r="BO130" s="157" t="s">
        <v>4456</v>
      </c>
      <c r="BP130" s="548" t="s">
        <v>5847</v>
      </c>
      <c r="BQ130" s="157" t="s">
        <v>4444</v>
      </c>
      <c r="BR130" s="157"/>
    </row>
    <row r="131" spans="1:70" x14ac:dyDescent="0.25">
      <c r="A131" s="19" t="s">
        <v>3686</v>
      </c>
      <c r="B131" s="37" t="s">
        <v>5054</v>
      </c>
      <c r="C131" s="90">
        <v>45497.575208333335</v>
      </c>
      <c r="D131" s="114">
        <v>45497.325208333335</v>
      </c>
      <c r="E131" s="38">
        <v>45497</v>
      </c>
      <c r="F131" s="91">
        <v>2024</v>
      </c>
      <c r="G131" s="93">
        <v>7</v>
      </c>
      <c r="H131" s="37" t="s">
        <v>2548</v>
      </c>
      <c r="I131" s="37"/>
      <c r="J131" s="103">
        <v>-91.600674705128924</v>
      </c>
      <c r="K131" s="40">
        <v>44.212449690177529</v>
      </c>
      <c r="L131" s="74"/>
      <c r="M131" s="272" t="s">
        <v>5055</v>
      </c>
      <c r="N131" s="74">
        <v>1</v>
      </c>
      <c r="O131" s="94"/>
      <c r="P131" s="118">
        <v>1</v>
      </c>
      <c r="Q131" s="510">
        <v>180</v>
      </c>
      <c r="R131" s="513">
        <v>120</v>
      </c>
      <c r="S131" s="41"/>
      <c r="T131" s="40"/>
      <c r="U131" s="40">
        <v>8</v>
      </c>
      <c r="V131" s="119">
        <v>1</v>
      </c>
      <c r="W131" s="40">
        <v>0</v>
      </c>
      <c r="X131" s="119">
        <v>1</v>
      </c>
      <c r="Y131" s="40">
        <v>55</v>
      </c>
      <c r="Z131" s="119">
        <v>1</v>
      </c>
      <c r="AA131" s="368">
        <v>0</v>
      </c>
      <c r="AB131" s="535">
        <v>0</v>
      </c>
      <c r="AC131" s="39" t="s">
        <v>160</v>
      </c>
      <c r="AD131" s="75" t="s">
        <v>10</v>
      </c>
      <c r="AE131" s="95">
        <v>0</v>
      </c>
      <c r="AF131" s="75">
        <v>0</v>
      </c>
      <c r="AG131" s="75">
        <v>0</v>
      </c>
      <c r="AH131" s="75">
        <v>0</v>
      </c>
      <c r="AI131" s="75">
        <v>0</v>
      </c>
      <c r="AJ131" s="75">
        <v>0</v>
      </c>
      <c r="AK131" s="75">
        <v>0</v>
      </c>
      <c r="AL131" s="95">
        <v>1</v>
      </c>
      <c r="AM131" s="92">
        <v>0</v>
      </c>
      <c r="AN131" s="79" t="s">
        <v>80</v>
      </c>
      <c r="AO131" s="75">
        <v>1</v>
      </c>
      <c r="AP131" s="75" t="s">
        <v>83</v>
      </c>
      <c r="AQ131" s="122">
        <v>1</v>
      </c>
      <c r="AR131" s="515" t="s">
        <v>35</v>
      </c>
      <c r="AS131" s="95">
        <v>0</v>
      </c>
      <c r="AT131" s="75">
        <v>1</v>
      </c>
      <c r="AU131" s="75">
        <v>0</v>
      </c>
      <c r="AV131" s="75">
        <v>0</v>
      </c>
      <c r="AW131" s="123">
        <v>0</v>
      </c>
      <c r="AX131" s="516"/>
      <c r="AY131" s="75">
        <v>0</v>
      </c>
      <c r="AZ131" s="77" t="s">
        <v>131</v>
      </c>
      <c r="BA131" s="78" t="s">
        <v>131</v>
      </c>
      <c r="BB131" s="78" t="s">
        <v>131</v>
      </c>
      <c r="BC131" s="78" t="s">
        <v>131</v>
      </c>
      <c r="BD131" s="78" t="s">
        <v>131</v>
      </c>
      <c r="BE131" s="78" t="s">
        <v>131</v>
      </c>
      <c r="BF131" s="78" t="s">
        <v>131</v>
      </c>
      <c r="BG131" s="78" t="s">
        <v>132</v>
      </c>
      <c r="BH131" s="75" t="s">
        <v>5970</v>
      </c>
      <c r="BI131" s="295" t="s">
        <v>2266</v>
      </c>
      <c r="BJ131" s="546" t="s">
        <v>16</v>
      </c>
      <c r="BK131" s="294" t="s">
        <v>16</v>
      </c>
      <c r="BL131" s="157" t="s">
        <v>16</v>
      </c>
      <c r="BM131" s="548" t="s">
        <v>1340</v>
      </c>
      <c r="BN131" s="548" t="s">
        <v>4158</v>
      </c>
      <c r="BO131" s="157" t="s">
        <v>4456</v>
      </c>
      <c r="BP131" s="548" t="s">
        <v>5847</v>
      </c>
      <c r="BQ131" s="157" t="s">
        <v>4444</v>
      </c>
      <c r="BR131" s="157"/>
    </row>
    <row r="132" spans="1:70" x14ac:dyDescent="0.25">
      <c r="A132" s="19" t="s">
        <v>3686</v>
      </c>
      <c r="B132" s="37" t="s">
        <v>5056</v>
      </c>
      <c r="C132" s="90">
        <v>45496.786296296297</v>
      </c>
      <c r="D132" s="114">
        <v>45496.536296296297</v>
      </c>
      <c r="E132" s="38">
        <v>45496</v>
      </c>
      <c r="F132" s="91">
        <v>2024</v>
      </c>
      <c r="G132" s="93">
        <v>7</v>
      </c>
      <c r="H132" s="37" t="s">
        <v>2548</v>
      </c>
      <c r="I132" s="37"/>
      <c r="J132" s="103">
        <v>-91.716152731925121</v>
      </c>
      <c r="K132" s="40">
        <v>44.256226252859733</v>
      </c>
      <c r="L132" s="74"/>
      <c r="M132" s="272" t="s">
        <v>5057</v>
      </c>
      <c r="N132" s="74">
        <v>1</v>
      </c>
      <c r="O132" s="94"/>
      <c r="P132" s="118">
        <v>1</v>
      </c>
      <c r="Q132" s="510">
        <v>180</v>
      </c>
      <c r="R132" s="513">
        <v>60</v>
      </c>
      <c r="S132" s="41"/>
      <c r="T132" s="40"/>
      <c r="U132" s="40">
        <v>8</v>
      </c>
      <c r="V132" s="119">
        <v>1</v>
      </c>
      <c r="W132" s="40">
        <v>0</v>
      </c>
      <c r="X132" s="119">
        <v>1</v>
      </c>
      <c r="Y132" s="40">
        <v>60</v>
      </c>
      <c r="Z132" s="119">
        <v>1</v>
      </c>
      <c r="AA132" s="368">
        <v>0</v>
      </c>
      <c r="AB132" s="535">
        <v>2</v>
      </c>
      <c r="AC132" s="39"/>
      <c r="AD132" s="75" t="s">
        <v>551</v>
      </c>
      <c r="AE132" s="95">
        <v>0</v>
      </c>
      <c r="AF132" s="75">
        <v>0</v>
      </c>
      <c r="AG132" s="75">
        <v>0</v>
      </c>
      <c r="AH132" s="75">
        <v>0</v>
      </c>
      <c r="AI132" s="75">
        <v>1</v>
      </c>
      <c r="AJ132" s="75">
        <v>0</v>
      </c>
      <c r="AK132" s="75">
        <v>0</v>
      </c>
      <c r="AL132" s="95">
        <v>0</v>
      </c>
      <c r="AM132" s="92">
        <v>0</v>
      </c>
      <c r="AN132" s="79" t="s">
        <v>80</v>
      </c>
      <c r="AO132" s="75">
        <v>1</v>
      </c>
      <c r="AP132" s="75" t="s">
        <v>83</v>
      </c>
      <c r="AQ132" s="122">
        <v>1</v>
      </c>
      <c r="AR132" s="515" t="s">
        <v>35</v>
      </c>
      <c r="AS132" s="95">
        <v>0</v>
      </c>
      <c r="AT132" s="75">
        <v>1</v>
      </c>
      <c r="AU132" s="75">
        <v>0</v>
      </c>
      <c r="AV132" s="75">
        <v>0</v>
      </c>
      <c r="AW132" s="123">
        <v>0</v>
      </c>
      <c r="AX132" s="516"/>
      <c r="AY132" s="75">
        <v>0</v>
      </c>
      <c r="AZ132" s="77" t="s">
        <v>131</v>
      </c>
      <c r="BA132" s="78" t="s">
        <v>131</v>
      </c>
      <c r="BB132" s="78" t="s">
        <v>131</v>
      </c>
      <c r="BC132" s="78" t="s">
        <v>131</v>
      </c>
      <c r="BD132" s="78" t="s">
        <v>132</v>
      </c>
      <c r="BE132" s="78" t="s">
        <v>131</v>
      </c>
      <c r="BF132" s="78" t="s">
        <v>131</v>
      </c>
      <c r="BG132" s="78" t="s">
        <v>131</v>
      </c>
      <c r="BH132" s="75" t="s">
        <v>5970</v>
      </c>
      <c r="BI132" s="295">
        <v>0</v>
      </c>
      <c r="BJ132" s="546" t="s">
        <v>16</v>
      </c>
      <c r="BK132" s="294" t="s">
        <v>16</v>
      </c>
      <c r="BL132" s="157" t="s">
        <v>16</v>
      </c>
      <c r="BM132" s="548" t="s">
        <v>1340</v>
      </c>
      <c r="BN132" s="548" t="s">
        <v>4158</v>
      </c>
      <c r="BO132" s="157" t="s">
        <v>4768</v>
      </c>
      <c r="BP132" s="548" t="s">
        <v>4767</v>
      </c>
      <c r="BQ132" s="157" t="s">
        <v>4765</v>
      </c>
      <c r="BR132" s="157"/>
    </row>
    <row r="133" spans="1:70" x14ac:dyDescent="0.25">
      <c r="A133" s="19" t="s">
        <v>3686</v>
      </c>
      <c r="B133" s="37" t="s">
        <v>5058</v>
      </c>
      <c r="C133" s="90">
        <v>45496.761817129627</v>
      </c>
      <c r="D133" s="114">
        <v>45496.511817129627</v>
      </c>
      <c r="E133" s="38">
        <v>45496</v>
      </c>
      <c r="F133" s="91">
        <v>2024</v>
      </c>
      <c r="G133" s="93">
        <v>7</v>
      </c>
      <c r="H133" s="37" t="s">
        <v>2446</v>
      </c>
      <c r="I133" s="37"/>
      <c r="J133" s="103">
        <v>-92.146941957947476</v>
      </c>
      <c r="K133" s="40">
        <v>44.538238516347668</v>
      </c>
      <c r="L133" s="74"/>
      <c r="M133" s="272" t="s">
        <v>5059</v>
      </c>
      <c r="N133" s="74">
        <v>1</v>
      </c>
      <c r="O133" s="94"/>
      <c r="P133" s="118">
        <v>0</v>
      </c>
      <c r="Q133" s="510"/>
      <c r="R133" s="513"/>
      <c r="S133" s="41"/>
      <c r="T133" s="40"/>
      <c r="U133" s="40"/>
      <c r="V133" s="119">
        <v>0</v>
      </c>
      <c r="W133" s="40"/>
      <c r="X133" s="119">
        <v>1</v>
      </c>
      <c r="Y133" s="40">
        <v>48</v>
      </c>
      <c r="Z133" s="119">
        <v>0</v>
      </c>
      <c r="AA133" s="368" t="s">
        <v>16</v>
      </c>
      <c r="AB133" s="535" t="s">
        <v>16</v>
      </c>
      <c r="AC133" s="39" t="s">
        <v>162</v>
      </c>
      <c r="AD133" s="75" t="s">
        <v>10</v>
      </c>
      <c r="AE133" s="95">
        <v>0</v>
      </c>
      <c r="AF133" s="75">
        <v>0</v>
      </c>
      <c r="AG133" s="75">
        <v>0</v>
      </c>
      <c r="AH133" s="75">
        <v>0</v>
      </c>
      <c r="AI133" s="75">
        <v>0</v>
      </c>
      <c r="AJ133" s="75">
        <v>0</v>
      </c>
      <c r="AK133" s="75">
        <v>0</v>
      </c>
      <c r="AL133" s="95">
        <v>1</v>
      </c>
      <c r="AM133" s="92">
        <v>0</v>
      </c>
      <c r="AN133" s="79" t="s">
        <v>80</v>
      </c>
      <c r="AO133" s="75">
        <v>1</v>
      </c>
      <c r="AP133" s="75" t="s">
        <v>83</v>
      </c>
      <c r="AQ133" s="122">
        <v>1</v>
      </c>
      <c r="AR133" s="515" t="s">
        <v>35</v>
      </c>
      <c r="AS133" s="95">
        <v>0</v>
      </c>
      <c r="AT133" s="75">
        <v>1</v>
      </c>
      <c r="AU133" s="75">
        <v>0</v>
      </c>
      <c r="AV133" s="75">
        <v>0</v>
      </c>
      <c r="AW133" s="123">
        <v>0</v>
      </c>
      <c r="AX133" s="516" t="s">
        <v>5060</v>
      </c>
      <c r="AY133" s="75">
        <v>1</v>
      </c>
      <c r="AZ133" s="77" t="s">
        <v>131</v>
      </c>
      <c r="BA133" s="78" t="s">
        <v>131</v>
      </c>
      <c r="BB133" s="78" t="s">
        <v>131</v>
      </c>
      <c r="BC133" s="78" t="s">
        <v>131</v>
      </c>
      <c r="BD133" s="78" t="s">
        <v>131</v>
      </c>
      <c r="BE133" s="78" t="s">
        <v>131</v>
      </c>
      <c r="BF133" s="78" t="s">
        <v>131</v>
      </c>
      <c r="BG133" s="78" t="s">
        <v>132</v>
      </c>
      <c r="BH133" s="75" t="s">
        <v>5970</v>
      </c>
      <c r="BI133" s="295" t="s">
        <v>16</v>
      </c>
      <c r="BJ133" s="546" t="s">
        <v>16</v>
      </c>
      <c r="BK133" s="294" t="s">
        <v>16</v>
      </c>
      <c r="BL133" s="157" t="s">
        <v>16</v>
      </c>
      <c r="BM133" s="548" t="s">
        <v>1340</v>
      </c>
      <c r="BN133" s="548" t="s">
        <v>4158</v>
      </c>
      <c r="BO133" s="157" t="s">
        <v>4220</v>
      </c>
      <c r="BP133" s="548" t="s">
        <v>4729</v>
      </c>
      <c r="BQ133" s="157" t="s">
        <v>4217</v>
      </c>
      <c r="BR133" s="157"/>
    </row>
    <row r="134" spans="1:70" x14ac:dyDescent="0.25">
      <c r="A134" s="19" t="s">
        <v>3686</v>
      </c>
      <c r="B134" s="37" t="s">
        <v>5061</v>
      </c>
      <c r="C134" s="90">
        <v>45496.668124999997</v>
      </c>
      <c r="D134" s="114">
        <v>45496.418124999997</v>
      </c>
      <c r="E134" s="38">
        <v>45496</v>
      </c>
      <c r="F134" s="91">
        <v>2024</v>
      </c>
      <c r="G134" s="93">
        <v>7</v>
      </c>
      <c r="H134" s="37" t="s">
        <v>475</v>
      </c>
      <c r="I134" s="37"/>
      <c r="J134" s="103">
        <v>-92.649954141240954</v>
      </c>
      <c r="K134" s="40">
        <v>44.075175756859267</v>
      </c>
      <c r="L134" s="74"/>
      <c r="M134" s="272" t="s">
        <v>16</v>
      </c>
      <c r="N134" s="74">
        <v>0</v>
      </c>
      <c r="O134" s="94"/>
      <c r="P134" s="118">
        <v>0</v>
      </c>
      <c r="Q134" s="510"/>
      <c r="R134" s="513"/>
      <c r="S134" s="41"/>
      <c r="T134" s="40"/>
      <c r="U134" s="40"/>
      <c r="V134" s="119">
        <v>0</v>
      </c>
      <c r="W134" s="40"/>
      <c r="X134" s="119">
        <v>1</v>
      </c>
      <c r="Y134" s="40">
        <v>62</v>
      </c>
      <c r="Z134" s="119">
        <v>1</v>
      </c>
      <c r="AA134" s="368">
        <v>0</v>
      </c>
      <c r="AB134" s="535">
        <v>10</v>
      </c>
      <c r="AC134" s="39" t="s">
        <v>160</v>
      </c>
      <c r="AD134" s="75" t="s">
        <v>16</v>
      </c>
      <c r="AE134" s="95">
        <v>-1</v>
      </c>
      <c r="AF134" s="75">
        <v>-1</v>
      </c>
      <c r="AG134" s="75">
        <v>-1</v>
      </c>
      <c r="AH134" s="75">
        <v>-1</v>
      </c>
      <c r="AI134" s="75">
        <v>-1</v>
      </c>
      <c r="AJ134" s="75">
        <v>-1</v>
      </c>
      <c r="AK134" s="75">
        <v>-1</v>
      </c>
      <c r="AL134" s="95">
        <v>-1</v>
      </c>
      <c r="AM134" s="92">
        <v>1</v>
      </c>
      <c r="AN134" s="79" t="s">
        <v>81</v>
      </c>
      <c r="AO134" s="75">
        <v>1</v>
      </c>
      <c r="AP134" s="75" t="s">
        <v>84</v>
      </c>
      <c r="AQ134" s="122">
        <v>1</v>
      </c>
      <c r="AR134" s="515" t="s">
        <v>10</v>
      </c>
      <c r="AS134" s="95">
        <v>0</v>
      </c>
      <c r="AT134" s="75">
        <v>0</v>
      </c>
      <c r="AU134" s="75">
        <v>0</v>
      </c>
      <c r="AV134" s="75">
        <v>0</v>
      </c>
      <c r="AW134" s="123">
        <v>0</v>
      </c>
      <c r="AX134" s="516" t="s">
        <v>5062</v>
      </c>
      <c r="AY134" s="75">
        <v>1</v>
      </c>
      <c r="AZ134" s="77" t="s">
        <v>5971</v>
      </c>
      <c r="BA134" s="78" t="s">
        <v>5971</v>
      </c>
      <c r="BB134" s="78" t="s">
        <v>5971</v>
      </c>
      <c r="BC134" s="78" t="s">
        <v>5971</v>
      </c>
      <c r="BD134" s="78" t="s">
        <v>5971</v>
      </c>
      <c r="BE134" s="78" t="s">
        <v>5971</v>
      </c>
      <c r="BF134" s="78" t="s">
        <v>5971</v>
      </c>
      <c r="BG134" s="78" t="s">
        <v>5971</v>
      </c>
      <c r="BH134" s="75" t="s">
        <v>5971</v>
      </c>
      <c r="BI134" s="295" t="s">
        <v>5823</v>
      </c>
      <c r="BJ134" s="546" t="s">
        <v>16</v>
      </c>
      <c r="BK134" s="294" t="s">
        <v>16</v>
      </c>
      <c r="BL134" s="157" t="s">
        <v>16</v>
      </c>
      <c r="BM134" s="548" t="s">
        <v>1339</v>
      </c>
      <c r="BN134" s="548" t="s">
        <v>1339</v>
      </c>
      <c r="BO134" s="157" t="s">
        <v>5822</v>
      </c>
      <c r="BP134" s="548" t="s">
        <v>5823</v>
      </c>
      <c r="BQ134" s="157" t="s">
        <v>5821</v>
      </c>
      <c r="BR134" s="157"/>
    </row>
    <row r="135" spans="1:70" x14ac:dyDescent="0.25">
      <c r="A135" s="19" t="s">
        <v>3686</v>
      </c>
      <c r="B135" s="37" t="s">
        <v>5063</v>
      </c>
      <c r="C135" s="90">
        <v>45496.660856481481</v>
      </c>
      <c r="D135" s="114">
        <v>45496.410856481481</v>
      </c>
      <c r="E135" s="38">
        <v>45496</v>
      </c>
      <c r="F135" s="91">
        <v>2024</v>
      </c>
      <c r="G135" s="93">
        <v>7</v>
      </c>
      <c r="H135" s="37" t="s">
        <v>2548</v>
      </c>
      <c r="I135" s="37"/>
      <c r="J135" s="103">
        <v>-91.654581098693598</v>
      </c>
      <c r="K135" s="40">
        <v>44.288921250431983</v>
      </c>
      <c r="L135" s="74"/>
      <c r="M135" s="272" t="s">
        <v>5064</v>
      </c>
      <c r="N135" s="74">
        <v>1</v>
      </c>
      <c r="O135" s="94"/>
      <c r="P135" s="118">
        <v>1</v>
      </c>
      <c r="Q135" s="510">
        <v>180</v>
      </c>
      <c r="R135" s="513">
        <v>120</v>
      </c>
      <c r="S135" s="41"/>
      <c r="T135" s="40"/>
      <c r="U135" s="40">
        <v>7.5</v>
      </c>
      <c r="V135" s="119">
        <v>1</v>
      </c>
      <c r="W135" s="40">
        <v>0</v>
      </c>
      <c r="X135" s="119">
        <v>1</v>
      </c>
      <c r="Y135" s="40">
        <v>56</v>
      </c>
      <c r="Z135" s="119">
        <v>1</v>
      </c>
      <c r="AA135" s="368">
        <v>0</v>
      </c>
      <c r="AB135" s="535">
        <v>2</v>
      </c>
      <c r="AC135" s="39" t="s">
        <v>160</v>
      </c>
      <c r="AD135" s="75" t="s">
        <v>10</v>
      </c>
      <c r="AE135" s="95">
        <v>0</v>
      </c>
      <c r="AF135" s="75">
        <v>0</v>
      </c>
      <c r="AG135" s="75">
        <v>0</v>
      </c>
      <c r="AH135" s="75">
        <v>0</v>
      </c>
      <c r="AI135" s="75">
        <v>0</v>
      </c>
      <c r="AJ135" s="75">
        <v>0</v>
      </c>
      <c r="AK135" s="75">
        <v>0</v>
      </c>
      <c r="AL135" s="95">
        <v>1</v>
      </c>
      <c r="AM135" s="92">
        <v>0</v>
      </c>
      <c r="AN135" s="79" t="s">
        <v>80</v>
      </c>
      <c r="AO135" s="75">
        <v>1</v>
      </c>
      <c r="AP135" s="75" t="s">
        <v>83</v>
      </c>
      <c r="AQ135" s="122">
        <v>1</v>
      </c>
      <c r="AR135" s="515" t="s">
        <v>35</v>
      </c>
      <c r="AS135" s="95">
        <v>0</v>
      </c>
      <c r="AT135" s="75">
        <v>1</v>
      </c>
      <c r="AU135" s="75">
        <v>0</v>
      </c>
      <c r="AV135" s="75">
        <v>0</v>
      </c>
      <c r="AW135" s="123">
        <v>0</v>
      </c>
      <c r="AX135" s="516"/>
      <c r="AY135" s="75">
        <v>0</v>
      </c>
      <c r="AZ135" s="77" t="s">
        <v>131</v>
      </c>
      <c r="BA135" s="78" t="s">
        <v>131</v>
      </c>
      <c r="BB135" s="78" t="s">
        <v>131</v>
      </c>
      <c r="BC135" s="78" t="s">
        <v>131</v>
      </c>
      <c r="BD135" s="78" t="s">
        <v>131</v>
      </c>
      <c r="BE135" s="78" t="s">
        <v>131</v>
      </c>
      <c r="BF135" s="78" t="s">
        <v>131</v>
      </c>
      <c r="BG135" s="78" t="s">
        <v>132</v>
      </c>
      <c r="BH135" s="75" t="s">
        <v>5970</v>
      </c>
      <c r="BI135" s="295">
        <v>0</v>
      </c>
      <c r="BJ135" s="546" t="s">
        <v>16</v>
      </c>
      <c r="BK135" s="294" t="s">
        <v>16</v>
      </c>
      <c r="BL135" s="157" t="s">
        <v>16</v>
      </c>
      <c r="BM135" s="548" t="s">
        <v>1340</v>
      </c>
      <c r="BN135" s="548" t="s">
        <v>4158</v>
      </c>
      <c r="BO135" s="157" t="s">
        <v>5848</v>
      </c>
      <c r="BP135" s="548" t="s">
        <v>5849</v>
      </c>
      <c r="BQ135" s="157" t="s">
        <v>4765</v>
      </c>
      <c r="BR135" s="157"/>
    </row>
    <row r="136" spans="1:70" x14ac:dyDescent="0.25">
      <c r="A136" s="19" t="s">
        <v>3686</v>
      </c>
      <c r="B136" s="37" t="s">
        <v>5065</v>
      </c>
      <c r="C136" s="90">
        <v>45496.613229166665</v>
      </c>
      <c r="D136" s="114">
        <v>45496.363229166665</v>
      </c>
      <c r="E136" s="38">
        <v>45496</v>
      </c>
      <c r="F136" s="91">
        <v>2024</v>
      </c>
      <c r="G136" s="93">
        <v>7</v>
      </c>
      <c r="H136" s="37" t="s">
        <v>4981</v>
      </c>
      <c r="I136" s="37"/>
      <c r="J136" s="103">
        <v>-91.764888441347381</v>
      </c>
      <c r="K136" s="40">
        <v>42.881711552360237</v>
      </c>
      <c r="L136" s="74"/>
      <c r="M136" s="272" t="s">
        <v>5066</v>
      </c>
      <c r="N136" s="74">
        <v>1</v>
      </c>
      <c r="O136" s="94"/>
      <c r="P136" s="118">
        <v>1</v>
      </c>
      <c r="Q136" s="510">
        <v>80</v>
      </c>
      <c r="R136" s="513">
        <v>120</v>
      </c>
      <c r="S136" s="41"/>
      <c r="T136" s="40"/>
      <c r="U136" s="40">
        <v>9</v>
      </c>
      <c r="V136" s="119">
        <v>0</v>
      </c>
      <c r="W136" s="40"/>
      <c r="X136" s="119">
        <v>1</v>
      </c>
      <c r="Y136" s="40">
        <v>64</v>
      </c>
      <c r="Z136" s="119">
        <v>1</v>
      </c>
      <c r="AA136" s="368">
        <v>0</v>
      </c>
      <c r="AB136" s="535">
        <v>2</v>
      </c>
      <c r="AC136" s="39" t="s">
        <v>160</v>
      </c>
      <c r="AD136" s="75" t="s">
        <v>10</v>
      </c>
      <c r="AE136" s="95">
        <v>0</v>
      </c>
      <c r="AF136" s="75">
        <v>0</v>
      </c>
      <c r="AG136" s="75">
        <v>0</v>
      </c>
      <c r="AH136" s="75">
        <v>0</v>
      </c>
      <c r="AI136" s="75">
        <v>0</v>
      </c>
      <c r="AJ136" s="75">
        <v>0</v>
      </c>
      <c r="AK136" s="75">
        <v>0</v>
      </c>
      <c r="AL136" s="95">
        <v>1</v>
      </c>
      <c r="AM136" s="92">
        <v>0</v>
      </c>
      <c r="AN136" s="79" t="s">
        <v>80</v>
      </c>
      <c r="AO136" s="75">
        <v>1</v>
      </c>
      <c r="AP136" s="75" t="s">
        <v>83</v>
      </c>
      <c r="AQ136" s="122">
        <v>1</v>
      </c>
      <c r="AR136" s="515" t="s">
        <v>10</v>
      </c>
      <c r="AS136" s="95">
        <v>0</v>
      </c>
      <c r="AT136" s="75">
        <v>0</v>
      </c>
      <c r="AU136" s="75">
        <v>0</v>
      </c>
      <c r="AV136" s="75">
        <v>0</v>
      </c>
      <c r="AW136" s="123">
        <v>0</v>
      </c>
      <c r="AX136" s="516"/>
      <c r="AY136" s="75">
        <v>0</v>
      </c>
      <c r="AZ136" s="77" t="s">
        <v>131</v>
      </c>
      <c r="BA136" s="78" t="s">
        <v>131</v>
      </c>
      <c r="BB136" s="78" t="s">
        <v>131</v>
      </c>
      <c r="BC136" s="78" t="s">
        <v>131</v>
      </c>
      <c r="BD136" s="78" t="s">
        <v>131</v>
      </c>
      <c r="BE136" s="78" t="s">
        <v>131</v>
      </c>
      <c r="BF136" s="78" t="s">
        <v>131</v>
      </c>
      <c r="BG136" s="78" t="s">
        <v>132</v>
      </c>
      <c r="BH136" s="75" t="s">
        <v>5970</v>
      </c>
      <c r="BI136" s="295" t="s">
        <v>4680</v>
      </c>
      <c r="BJ136" s="546">
        <v>1</v>
      </c>
      <c r="BK136" s="294" t="s">
        <v>16</v>
      </c>
      <c r="BL136" s="157" t="s">
        <v>16</v>
      </c>
      <c r="BM136" s="548" t="s">
        <v>1344</v>
      </c>
      <c r="BN136" s="548" t="s">
        <v>4160</v>
      </c>
      <c r="BO136" s="157" t="s">
        <v>4679</v>
      </c>
      <c r="BP136" s="548" t="s">
        <v>4680</v>
      </c>
      <c r="BQ136" s="157" t="s">
        <v>4571</v>
      </c>
      <c r="BR136" s="157"/>
    </row>
    <row r="137" spans="1:70" x14ac:dyDescent="0.25">
      <c r="A137" s="19" t="s">
        <v>3686</v>
      </c>
      <c r="B137" s="37" t="s">
        <v>5067</v>
      </c>
      <c r="C137" s="90">
        <v>45495.912581018521</v>
      </c>
      <c r="D137" s="114">
        <v>45495.662581018521</v>
      </c>
      <c r="E137" s="38">
        <v>45495</v>
      </c>
      <c r="F137" s="91">
        <v>2024</v>
      </c>
      <c r="G137" s="93">
        <v>7</v>
      </c>
      <c r="H137" s="37" t="s">
        <v>606</v>
      </c>
      <c r="I137" s="37"/>
      <c r="J137" s="103">
        <v>-92.236239808866486</v>
      </c>
      <c r="K137" s="40">
        <v>44.230609964984936</v>
      </c>
      <c r="L137" s="74"/>
      <c r="M137" s="272" t="s">
        <v>5068</v>
      </c>
      <c r="N137" s="74">
        <v>1</v>
      </c>
      <c r="O137" s="94"/>
      <c r="P137" s="118">
        <v>1</v>
      </c>
      <c r="Q137" s="510">
        <v>120</v>
      </c>
      <c r="R137" s="513">
        <v>180</v>
      </c>
      <c r="S137" s="41"/>
      <c r="T137" s="40"/>
      <c r="U137" s="40">
        <v>8</v>
      </c>
      <c r="V137" s="119">
        <v>1</v>
      </c>
      <c r="W137" s="40">
        <v>0</v>
      </c>
      <c r="X137" s="119">
        <v>1</v>
      </c>
      <c r="Y137" s="40">
        <v>63</v>
      </c>
      <c r="Z137" s="119">
        <v>1</v>
      </c>
      <c r="AA137" s="368">
        <v>0</v>
      </c>
      <c r="AB137" s="535">
        <v>2</v>
      </c>
      <c r="AC137" s="39" t="s">
        <v>160</v>
      </c>
      <c r="AD137" s="75" t="s">
        <v>10</v>
      </c>
      <c r="AE137" s="95">
        <v>0</v>
      </c>
      <c r="AF137" s="75">
        <v>0</v>
      </c>
      <c r="AG137" s="75">
        <v>0</v>
      </c>
      <c r="AH137" s="75">
        <v>0</v>
      </c>
      <c r="AI137" s="75">
        <v>0</v>
      </c>
      <c r="AJ137" s="75">
        <v>0</v>
      </c>
      <c r="AK137" s="75">
        <v>0</v>
      </c>
      <c r="AL137" s="95">
        <v>1</v>
      </c>
      <c r="AM137" s="92">
        <v>0</v>
      </c>
      <c r="AN137" s="79" t="s">
        <v>80</v>
      </c>
      <c r="AO137" s="75">
        <v>1</v>
      </c>
      <c r="AP137" s="75" t="s">
        <v>83</v>
      </c>
      <c r="AQ137" s="122">
        <v>1</v>
      </c>
      <c r="AR137" s="515" t="s">
        <v>10</v>
      </c>
      <c r="AS137" s="95">
        <v>0</v>
      </c>
      <c r="AT137" s="75">
        <v>0</v>
      </c>
      <c r="AU137" s="75">
        <v>0</v>
      </c>
      <c r="AV137" s="75">
        <v>0</v>
      </c>
      <c r="AW137" s="123">
        <v>0</v>
      </c>
      <c r="AX137" s="516" t="s">
        <v>4914</v>
      </c>
      <c r="AY137" s="75">
        <v>1</v>
      </c>
      <c r="AZ137" s="77" t="s">
        <v>131</v>
      </c>
      <c r="BA137" s="78" t="s">
        <v>131</v>
      </c>
      <c r="BB137" s="78" t="s">
        <v>131</v>
      </c>
      <c r="BC137" s="78" t="s">
        <v>131</v>
      </c>
      <c r="BD137" s="78" t="s">
        <v>131</v>
      </c>
      <c r="BE137" s="78" t="s">
        <v>131</v>
      </c>
      <c r="BF137" s="78" t="s">
        <v>131</v>
      </c>
      <c r="BG137" s="78" t="s">
        <v>132</v>
      </c>
      <c r="BH137" s="75" t="s">
        <v>5970</v>
      </c>
      <c r="BI137" s="295" t="s">
        <v>3966</v>
      </c>
      <c r="BJ137" s="546">
        <v>1</v>
      </c>
      <c r="BK137" s="294">
        <v>1</v>
      </c>
      <c r="BL137" s="157">
        <v>1</v>
      </c>
      <c r="BM137" s="548" t="s">
        <v>1339</v>
      </c>
      <c r="BN137" s="548" t="s">
        <v>1339</v>
      </c>
      <c r="BO137" s="157" t="s">
        <v>4334</v>
      </c>
      <c r="BP137" s="548" t="s">
        <v>3966</v>
      </c>
      <c r="BQ137" s="157" t="s">
        <v>4330</v>
      </c>
      <c r="BR137" s="157"/>
    </row>
    <row r="138" spans="1:70" x14ac:dyDescent="0.25">
      <c r="A138" s="19" t="s">
        <v>3686</v>
      </c>
      <c r="B138" s="37" t="s">
        <v>5069</v>
      </c>
      <c r="C138" s="90">
        <v>45495.889791666668</v>
      </c>
      <c r="D138" s="114">
        <v>45495.639791666668</v>
      </c>
      <c r="E138" s="38">
        <v>45495</v>
      </c>
      <c r="F138" s="91">
        <v>2024</v>
      </c>
      <c r="G138" s="93">
        <v>7</v>
      </c>
      <c r="H138" s="37" t="s">
        <v>606</v>
      </c>
      <c r="I138" s="37"/>
      <c r="J138" s="103">
        <v>-92.149150319076639</v>
      </c>
      <c r="K138" s="40">
        <v>44.248803099925297</v>
      </c>
      <c r="L138" s="74"/>
      <c r="M138" s="272" t="s">
        <v>5070</v>
      </c>
      <c r="N138" s="74">
        <v>1</v>
      </c>
      <c r="O138" s="94"/>
      <c r="P138" s="118">
        <v>1</v>
      </c>
      <c r="Q138" s="510">
        <v>80</v>
      </c>
      <c r="R138" s="513">
        <v>120</v>
      </c>
      <c r="S138" s="41"/>
      <c r="T138" s="40"/>
      <c r="U138" s="40">
        <v>8</v>
      </c>
      <c r="V138" s="119">
        <v>1</v>
      </c>
      <c r="W138" s="40">
        <v>100</v>
      </c>
      <c r="X138" s="119">
        <v>1</v>
      </c>
      <c r="Y138" s="40">
        <v>64</v>
      </c>
      <c r="Z138" s="119">
        <v>1</v>
      </c>
      <c r="AA138" s="368">
        <v>0</v>
      </c>
      <c r="AB138" s="535">
        <v>2</v>
      </c>
      <c r="AC138" s="39" t="s">
        <v>160</v>
      </c>
      <c r="AD138" s="75" t="s">
        <v>10</v>
      </c>
      <c r="AE138" s="95">
        <v>0</v>
      </c>
      <c r="AF138" s="75">
        <v>0</v>
      </c>
      <c r="AG138" s="75">
        <v>0</v>
      </c>
      <c r="AH138" s="75">
        <v>0</v>
      </c>
      <c r="AI138" s="75">
        <v>0</v>
      </c>
      <c r="AJ138" s="75">
        <v>0</v>
      </c>
      <c r="AK138" s="75">
        <v>0</v>
      </c>
      <c r="AL138" s="95">
        <v>1</v>
      </c>
      <c r="AM138" s="92">
        <v>0</v>
      </c>
      <c r="AN138" s="79" t="s">
        <v>80</v>
      </c>
      <c r="AO138" s="75">
        <v>1</v>
      </c>
      <c r="AP138" s="75" t="s">
        <v>83</v>
      </c>
      <c r="AQ138" s="122">
        <v>1</v>
      </c>
      <c r="AR138" s="515" t="s">
        <v>10</v>
      </c>
      <c r="AS138" s="95">
        <v>0</v>
      </c>
      <c r="AT138" s="75">
        <v>0</v>
      </c>
      <c r="AU138" s="75">
        <v>0</v>
      </c>
      <c r="AV138" s="75">
        <v>0</v>
      </c>
      <c r="AW138" s="123">
        <v>0</v>
      </c>
      <c r="AX138" s="516" t="s">
        <v>5071</v>
      </c>
      <c r="AY138" s="75">
        <v>1</v>
      </c>
      <c r="AZ138" s="77" t="s">
        <v>131</v>
      </c>
      <c r="BA138" s="78" t="s">
        <v>131</v>
      </c>
      <c r="BB138" s="78" t="s">
        <v>131</v>
      </c>
      <c r="BC138" s="78" t="s">
        <v>131</v>
      </c>
      <c r="BD138" s="78" t="s">
        <v>131</v>
      </c>
      <c r="BE138" s="78" t="s">
        <v>131</v>
      </c>
      <c r="BF138" s="78" t="s">
        <v>131</v>
      </c>
      <c r="BG138" s="78" t="s">
        <v>132</v>
      </c>
      <c r="BH138" s="75" t="s">
        <v>5970</v>
      </c>
      <c r="BI138" s="295" t="s">
        <v>317</v>
      </c>
      <c r="BJ138" s="546">
        <v>1</v>
      </c>
      <c r="BK138" s="294">
        <v>1</v>
      </c>
      <c r="BL138" s="157">
        <v>1</v>
      </c>
      <c r="BM138" s="548" t="s">
        <v>1339</v>
      </c>
      <c r="BN138" s="548" t="s">
        <v>1339</v>
      </c>
      <c r="BO138" s="157" t="s">
        <v>4358</v>
      </c>
      <c r="BP138" s="548" t="s">
        <v>317</v>
      </c>
      <c r="BQ138" s="157" t="s">
        <v>4330</v>
      </c>
      <c r="BR138" s="157"/>
    </row>
    <row r="139" spans="1:70" x14ac:dyDescent="0.25">
      <c r="A139" s="19" t="s">
        <v>3686</v>
      </c>
      <c r="B139" s="37" t="s">
        <v>5072</v>
      </c>
      <c r="C139" s="90">
        <v>45495.865833333337</v>
      </c>
      <c r="D139" s="114">
        <v>45495.615833333337</v>
      </c>
      <c r="E139" s="38">
        <v>45495</v>
      </c>
      <c r="F139" s="91">
        <v>2024</v>
      </c>
      <c r="G139" s="93">
        <v>7</v>
      </c>
      <c r="H139" s="37" t="s">
        <v>2548</v>
      </c>
      <c r="I139" s="37"/>
      <c r="J139" s="103">
        <v>-91.728148931854847</v>
      </c>
      <c r="K139" s="40">
        <v>44.311391561441098</v>
      </c>
      <c r="L139" s="74"/>
      <c r="M139" s="272" t="s">
        <v>5073</v>
      </c>
      <c r="N139" s="74">
        <v>1</v>
      </c>
      <c r="O139" s="94"/>
      <c r="P139" s="118">
        <v>1</v>
      </c>
      <c r="Q139" s="510">
        <v>180</v>
      </c>
      <c r="R139" s="513">
        <v>180</v>
      </c>
      <c r="S139" s="41"/>
      <c r="T139" s="40"/>
      <c r="U139" s="40">
        <v>7.5</v>
      </c>
      <c r="V139" s="119">
        <v>1</v>
      </c>
      <c r="W139" s="40">
        <v>0</v>
      </c>
      <c r="X139" s="119">
        <v>1</v>
      </c>
      <c r="Y139" s="40">
        <v>52</v>
      </c>
      <c r="Z139" s="119">
        <v>1</v>
      </c>
      <c r="AA139" s="368">
        <v>0</v>
      </c>
      <c r="AB139" s="535">
        <v>2</v>
      </c>
      <c r="AC139" s="39" t="s">
        <v>160</v>
      </c>
      <c r="AD139" s="75" t="s">
        <v>10</v>
      </c>
      <c r="AE139" s="95">
        <v>0</v>
      </c>
      <c r="AF139" s="75">
        <v>0</v>
      </c>
      <c r="AG139" s="75">
        <v>0</v>
      </c>
      <c r="AH139" s="75">
        <v>0</v>
      </c>
      <c r="AI139" s="75">
        <v>0</v>
      </c>
      <c r="AJ139" s="75">
        <v>0</v>
      </c>
      <c r="AK139" s="75">
        <v>0</v>
      </c>
      <c r="AL139" s="95">
        <v>1</v>
      </c>
      <c r="AM139" s="92">
        <v>0</v>
      </c>
      <c r="AN139" s="79" t="s">
        <v>80</v>
      </c>
      <c r="AO139" s="75">
        <v>1</v>
      </c>
      <c r="AP139" s="75" t="s">
        <v>83</v>
      </c>
      <c r="AQ139" s="122">
        <v>1</v>
      </c>
      <c r="AR139" s="515" t="s">
        <v>35</v>
      </c>
      <c r="AS139" s="95">
        <v>0</v>
      </c>
      <c r="AT139" s="75">
        <v>1</v>
      </c>
      <c r="AU139" s="75">
        <v>0</v>
      </c>
      <c r="AV139" s="75">
        <v>0</v>
      </c>
      <c r="AW139" s="123">
        <v>0</v>
      </c>
      <c r="AX139" s="516"/>
      <c r="AY139" s="75">
        <v>0</v>
      </c>
      <c r="AZ139" s="77" t="s">
        <v>131</v>
      </c>
      <c r="BA139" s="78" t="s">
        <v>131</v>
      </c>
      <c r="BB139" s="78" t="s">
        <v>131</v>
      </c>
      <c r="BC139" s="78" t="s">
        <v>131</v>
      </c>
      <c r="BD139" s="78" t="s">
        <v>131</v>
      </c>
      <c r="BE139" s="78" t="s">
        <v>131</v>
      </c>
      <c r="BF139" s="78" t="s">
        <v>131</v>
      </c>
      <c r="BG139" s="78" t="s">
        <v>132</v>
      </c>
      <c r="BH139" s="75" t="s">
        <v>5970</v>
      </c>
      <c r="BI139" s="295" t="s">
        <v>16</v>
      </c>
      <c r="BJ139" s="546" t="s">
        <v>16</v>
      </c>
      <c r="BK139" s="294" t="s">
        <v>16</v>
      </c>
      <c r="BL139" s="157" t="s">
        <v>16</v>
      </c>
      <c r="BM139" s="548" t="s">
        <v>1340</v>
      </c>
      <c r="BN139" s="548" t="s">
        <v>4158</v>
      </c>
      <c r="BO139" s="157" t="s">
        <v>5850</v>
      </c>
      <c r="BP139" s="548" t="s">
        <v>5851</v>
      </c>
      <c r="BQ139" s="157" t="s">
        <v>4765</v>
      </c>
      <c r="BR139" s="157"/>
    </row>
    <row r="140" spans="1:70" x14ac:dyDescent="0.25">
      <c r="A140" s="19" t="s">
        <v>3686</v>
      </c>
      <c r="B140" s="37" t="s">
        <v>5074</v>
      </c>
      <c r="C140" s="90">
        <v>45495.802094907405</v>
      </c>
      <c r="D140" s="114">
        <v>45495.552094907405</v>
      </c>
      <c r="E140" s="38">
        <v>45495</v>
      </c>
      <c r="F140" s="91">
        <v>2024</v>
      </c>
      <c r="G140" s="93">
        <v>7</v>
      </c>
      <c r="H140" s="37" t="s">
        <v>2446</v>
      </c>
      <c r="I140" s="37"/>
      <c r="J140" s="103">
        <v>-92.280725485051477</v>
      </c>
      <c r="K140" s="40">
        <v>44.544248324794822</v>
      </c>
      <c r="L140" s="74"/>
      <c r="M140" s="272" t="s">
        <v>5075</v>
      </c>
      <c r="N140" s="74">
        <v>1</v>
      </c>
      <c r="O140" s="94"/>
      <c r="P140" s="118">
        <v>1</v>
      </c>
      <c r="Q140" s="510">
        <v>180</v>
      </c>
      <c r="R140" s="513">
        <v>120</v>
      </c>
      <c r="S140" s="41"/>
      <c r="T140" s="40"/>
      <c r="U140" s="40">
        <v>8</v>
      </c>
      <c r="V140" s="119">
        <v>1</v>
      </c>
      <c r="W140" s="40">
        <v>0</v>
      </c>
      <c r="X140" s="119">
        <v>1</v>
      </c>
      <c r="Y140" s="40">
        <v>56</v>
      </c>
      <c r="Z140" s="119">
        <v>1</v>
      </c>
      <c r="AA140" s="368">
        <v>0</v>
      </c>
      <c r="AB140" s="535">
        <v>2</v>
      </c>
      <c r="AC140" s="39" t="s">
        <v>160</v>
      </c>
      <c r="AD140" s="75" t="s">
        <v>7</v>
      </c>
      <c r="AE140" s="95">
        <v>1</v>
      </c>
      <c r="AF140" s="75">
        <v>0</v>
      </c>
      <c r="AG140" s="75">
        <v>0</v>
      </c>
      <c r="AH140" s="75">
        <v>0</v>
      </c>
      <c r="AI140" s="75">
        <v>0</v>
      </c>
      <c r="AJ140" s="75">
        <v>0</v>
      </c>
      <c r="AK140" s="75">
        <v>0</v>
      </c>
      <c r="AL140" s="95">
        <v>0</v>
      </c>
      <c r="AM140" s="92">
        <v>0</v>
      </c>
      <c r="AN140" s="79" t="s">
        <v>80</v>
      </c>
      <c r="AO140" s="75">
        <v>1</v>
      </c>
      <c r="AP140" s="75" t="s">
        <v>83</v>
      </c>
      <c r="AQ140" s="122">
        <v>1</v>
      </c>
      <c r="AR140" s="515" t="s">
        <v>35</v>
      </c>
      <c r="AS140" s="95">
        <v>0</v>
      </c>
      <c r="AT140" s="75">
        <v>1</v>
      </c>
      <c r="AU140" s="75">
        <v>0</v>
      </c>
      <c r="AV140" s="75">
        <v>0</v>
      </c>
      <c r="AW140" s="123">
        <v>0</v>
      </c>
      <c r="AX140" s="516"/>
      <c r="AY140" s="75">
        <v>0</v>
      </c>
      <c r="AZ140" s="77" t="s">
        <v>132</v>
      </c>
      <c r="BA140" s="78" t="s">
        <v>131</v>
      </c>
      <c r="BB140" s="78" t="s">
        <v>131</v>
      </c>
      <c r="BC140" s="78" t="s">
        <v>131</v>
      </c>
      <c r="BD140" s="78" t="s">
        <v>131</v>
      </c>
      <c r="BE140" s="78" t="s">
        <v>131</v>
      </c>
      <c r="BF140" s="78" t="s">
        <v>131</v>
      </c>
      <c r="BG140" s="78" t="s">
        <v>131</v>
      </c>
      <c r="BH140" s="75" t="s">
        <v>5970</v>
      </c>
      <c r="BI140" s="295" t="s">
        <v>16</v>
      </c>
      <c r="BJ140" s="546">
        <v>1</v>
      </c>
      <c r="BK140" s="294">
        <v>1</v>
      </c>
      <c r="BL140" s="157">
        <v>1</v>
      </c>
      <c r="BM140" s="548" t="s">
        <v>1340</v>
      </c>
      <c r="BN140" s="548" t="s">
        <v>4158</v>
      </c>
      <c r="BO140" s="157" t="s">
        <v>4268</v>
      </c>
      <c r="BP140" s="548" t="s">
        <v>2261</v>
      </c>
      <c r="BQ140" s="157" t="s">
        <v>4214</v>
      </c>
      <c r="BR140" s="157"/>
    </row>
    <row r="141" spans="1:70" x14ac:dyDescent="0.25">
      <c r="A141" s="19" t="s">
        <v>3686</v>
      </c>
      <c r="B141" s="37" t="s">
        <v>5076</v>
      </c>
      <c r="C141" s="90">
        <v>45495.686226851853</v>
      </c>
      <c r="D141" s="114">
        <v>45495.436226851853</v>
      </c>
      <c r="E141" s="38">
        <v>45495</v>
      </c>
      <c r="F141" s="91">
        <v>2024</v>
      </c>
      <c r="G141" s="93">
        <v>7</v>
      </c>
      <c r="H141" s="37" t="s">
        <v>2548</v>
      </c>
      <c r="I141" s="37"/>
      <c r="J141" s="103">
        <v>-91.744171544149964</v>
      </c>
      <c r="K141" s="40">
        <v>44.343728230298922</v>
      </c>
      <c r="L141" s="74"/>
      <c r="M141" s="272" t="s">
        <v>5077</v>
      </c>
      <c r="N141" s="74">
        <v>1</v>
      </c>
      <c r="O141" s="94"/>
      <c r="P141" s="118">
        <v>1</v>
      </c>
      <c r="Q141" s="510">
        <v>180</v>
      </c>
      <c r="R141" s="513">
        <v>120</v>
      </c>
      <c r="S141" s="41"/>
      <c r="T141" s="40"/>
      <c r="U141" s="40">
        <v>7.5</v>
      </c>
      <c r="V141" s="119">
        <v>1</v>
      </c>
      <c r="W141" s="40">
        <v>0</v>
      </c>
      <c r="X141" s="119">
        <v>1</v>
      </c>
      <c r="Y141" s="40">
        <v>60</v>
      </c>
      <c r="Z141" s="119">
        <v>1</v>
      </c>
      <c r="AA141" s="368">
        <v>0</v>
      </c>
      <c r="AB141" s="535">
        <v>0</v>
      </c>
      <c r="AC141" s="39" t="s">
        <v>160</v>
      </c>
      <c r="AD141" s="75" t="s">
        <v>10</v>
      </c>
      <c r="AE141" s="95">
        <v>0</v>
      </c>
      <c r="AF141" s="75">
        <v>0</v>
      </c>
      <c r="AG141" s="75">
        <v>0</v>
      </c>
      <c r="AH141" s="75">
        <v>0</v>
      </c>
      <c r="AI141" s="75">
        <v>0</v>
      </c>
      <c r="AJ141" s="75">
        <v>0</v>
      </c>
      <c r="AK141" s="75">
        <v>0</v>
      </c>
      <c r="AL141" s="95">
        <v>1</v>
      </c>
      <c r="AM141" s="92">
        <v>0</v>
      </c>
      <c r="AN141" s="79" t="s">
        <v>80</v>
      </c>
      <c r="AO141" s="75">
        <v>1</v>
      </c>
      <c r="AP141" s="75" t="s">
        <v>83</v>
      </c>
      <c r="AQ141" s="122">
        <v>1</v>
      </c>
      <c r="AR141" s="515" t="s">
        <v>35</v>
      </c>
      <c r="AS141" s="95">
        <v>0</v>
      </c>
      <c r="AT141" s="75">
        <v>1</v>
      </c>
      <c r="AU141" s="75">
        <v>0</v>
      </c>
      <c r="AV141" s="75">
        <v>0</v>
      </c>
      <c r="AW141" s="123">
        <v>0</v>
      </c>
      <c r="AX141" s="516"/>
      <c r="AY141" s="75">
        <v>0</v>
      </c>
      <c r="AZ141" s="77" t="s">
        <v>131</v>
      </c>
      <c r="BA141" s="78" t="s">
        <v>131</v>
      </c>
      <c r="BB141" s="78" t="s">
        <v>131</v>
      </c>
      <c r="BC141" s="78" t="s">
        <v>131</v>
      </c>
      <c r="BD141" s="78" t="s">
        <v>131</v>
      </c>
      <c r="BE141" s="78" t="s">
        <v>131</v>
      </c>
      <c r="BF141" s="78" t="s">
        <v>131</v>
      </c>
      <c r="BG141" s="78" t="s">
        <v>132</v>
      </c>
      <c r="BH141" s="75" t="s">
        <v>5970</v>
      </c>
      <c r="BI141" s="295">
        <v>0</v>
      </c>
      <c r="BJ141" s="546" t="s">
        <v>16</v>
      </c>
      <c r="BK141" s="294" t="s">
        <v>16</v>
      </c>
      <c r="BL141" s="157" t="s">
        <v>16</v>
      </c>
      <c r="BM141" s="548" t="s">
        <v>1340</v>
      </c>
      <c r="BN141" s="548" t="s">
        <v>4158</v>
      </c>
      <c r="BO141" s="157" t="s">
        <v>5850</v>
      </c>
      <c r="BP141" s="548" t="s">
        <v>5851</v>
      </c>
      <c r="BQ141" s="157" t="s">
        <v>4765</v>
      </c>
      <c r="BR141" s="157"/>
    </row>
    <row r="142" spans="1:70" x14ac:dyDescent="0.25">
      <c r="A142" s="19" t="s">
        <v>3686</v>
      </c>
      <c r="B142" s="37" t="s">
        <v>5078</v>
      </c>
      <c r="C142" s="90">
        <v>45495.633263888885</v>
      </c>
      <c r="D142" s="114">
        <v>45495.383263888885</v>
      </c>
      <c r="E142" s="38">
        <v>45495</v>
      </c>
      <c r="F142" s="91">
        <v>2024</v>
      </c>
      <c r="G142" s="93">
        <v>7</v>
      </c>
      <c r="H142" s="37" t="s">
        <v>2548</v>
      </c>
      <c r="I142" s="37"/>
      <c r="J142" s="103">
        <v>-91.751089701575438</v>
      </c>
      <c r="K142" s="40">
        <v>44.382267927388384</v>
      </c>
      <c r="L142" s="74"/>
      <c r="M142" s="272" t="s">
        <v>5079</v>
      </c>
      <c r="N142" s="74">
        <v>1</v>
      </c>
      <c r="O142" s="94"/>
      <c r="P142" s="118">
        <v>1</v>
      </c>
      <c r="Q142" s="510">
        <v>180</v>
      </c>
      <c r="R142" s="513">
        <v>180</v>
      </c>
      <c r="S142" s="41"/>
      <c r="T142" s="40"/>
      <c r="U142" s="40">
        <v>7.5</v>
      </c>
      <c r="V142" s="119">
        <v>1</v>
      </c>
      <c r="W142" s="40">
        <v>0</v>
      </c>
      <c r="X142" s="119">
        <v>1</v>
      </c>
      <c r="Y142" s="40">
        <v>56</v>
      </c>
      <c r="Z142" s="119">
        <v>1</v>
      </c>
      <c r="AA142" s="368">
        <v>0</v>
      </c>
      <c r="AB142" s="535">
        <v>0</v>
      </c>
      <c r="AC142" s="39" t="s">
        <v>160</v>
      </c>
      <c r="AD142" s="75" t="s">
        <v>10</v>
      </c>
      <c r="AE142" s="95">
        <v>0</v>
      </c>
      <c r="AF142" s="75">
        <v>0</v>
      </c>
      <c r="AG142" s="75">
        <v>0</v>
      </c>
      <c r="AH142" s="75">
        <v>0</v>
      </c>
      <c r="AI142" s="75">
        <v>0</v>
      </c>
      <c r="AJ142" s="75">
        <v>0</v>
      </c>
      <c r="AK142" s="75">
        <v>0</v>
      </c>
      <c r="AL142" s="95">
        <v>1</v>
      </c>
      <c r="AM142" s="92">
        <v>0</v>
      </c>
      <c r="AN142" s="79" t="s">
        <v>80</v>
      </c>
      <c r="AO142" s="75">
        <v>1</v>
      </c>
      <c r="AP142" s="75" t="s">
        <v>84</v>
      </c>
      <c r="AQ142" s="122">
        <v>1</v>
      </c>
      <c r="AR142" s="515" t="s">
        <v>35</v>
      </c>
      <c r="AS142" s="95">
        <v>0</v>
      </c>
      <c r="AT142" s="75">
        <v>1</v>
      </c>
      <c r="AU142" s="75">
        <v>0</v>
      </c>
      <c r="AV142" s="75">
        <v>0</v>
      </c>
      <c r="AW142" s="123">
        <v>0</v>
      </c>
      <c r="AX142" s="516"/>
      <c r="AY142" s="75">
        <v>0</v>
      </c>
      <c r="AZ142" s="77" t="s">
        <v>131</v>
      </c>
      <c r="BA142" s="78" t="s">
        <v>131</v>
      </c>
      <c r="BB142" s="78" t="s">
        <v>131</v>
      </c>
      <c r="BC142" s="78" t="s">
        <v>131</v>
      </c>
      <c r="BD142" s="78" t="s">
        <v>131</v>
      </c>
      <c r="BE142" s="78" t="s">
        <v>131</v>
      </c>
      <c r="BF142" s="78" t="s">
        <v>131</v>
      </c>
      <c r="BG142" s="78" t="s">
        <v>132</v>
      </c>
      <c r="BH142" s="75" t="s">
        <v>5970</v>
      </c>
      <c r="BI142" s="295" t="s">
        <v>5933</v>
      </c>
      <c r="BJ142" s="546">
        <v>1</v>
      </c>
      <c r="BK142" s="294" t="s">
        <v>16</v>
      </c>
      <c r="BL142" s="157" t="s">
        <v>16</v>
      </c>
      <c r="BM142" s="548" t="s">
        <v>1340</v>
      </c>
      <c r="BN142" s="548" t="s">
        <v>4158</v>
      </c>
      <c r="BO142" s="157" t="s">
        <v>5850</v>
      </c>
      <c r="BP142" s="548" t="s">
        <v>5851</v>
      </c>
      <c r="BQ142" s="157" t="s">
        <v>4765</v>
      </c>
      <c r="BR142" s="157"/>
    </row>
    <row r="143" spans="1:70" x14ac:dyDescent="0.25">
      <c r="A143" s="19" t="s">
        <v>3686</v>
      </c>
      <c r="B143" s="37" t="s">
        <v>5080</v>
      </c>
      <c r="C143" s="90">
        <v>45495.632268518515</v>
      </c>
      <c r="D143" s="114">
        <v>45495.382268518515</v>
      </c>
      <c r="E143" s="38">
        <v>45495</v>
      </c>
      <c r="F143" s="91">
        <v>2024</v>
      </c>
      <c r="G143" s="93">
        <v>7</v>
      </c>
      <c r="H143" s="37" t="s">
        <v>4981</v>
      </c>
      <c r="I143" s="37"/>
      <c r="J143" s="103">
        <v>-91.778246012202203</v>
      </c>
      <c r="K143" s="40">
        <v>42.869622579619985</v>
      </c>
      <c r="L143" s="74"/>
      <c r="M143" s="272" t="s">
        <v>5081</v>
      </c>
      <c r="N143" s="74">
        <v>1</v>
      </c>
      <c r="O143" s="94"/>
      <c r="P143" s="118">
        <v>1</v>
      </c>
      <c r="Q143" s="510">
        <v>40</v>
      </c>
      <c r="R143" s="513">
        <v>30</v>
      </c>
      <c r="S143" s="41"/>
      <c r="T143" s="40"/>
      <c r="U143" s="40">
        <v>7</v>
      </c>
      <c r="V143" s="119">
        <v>0</v>
      </c>
      <c r="W143" s="40"/>
      <c r="X143" s="119">
        <v>0</v>
      </c>
      <c r="Y143" s="40"/>
      <c r="Z143" s="119">
        <v>1</v>
      </c>
      <c r="AA143" s="368">
        <v>0</v>
      </c>
      <c r="AB143" s="535">
        <v>5</v>
      </c>
      <c r="AC143" s="39" t="s">
        <v>160</v>
      </c>
      <c r="AD143" s="75" t="s">
        <v>10</v>
      </c>
      <c r="AE143" s="95">
        <v>0</v>
      </c>
      <c r="AF143" s="75">
        <v>0</v>
      </c>
      <c r="AG143" s="75">
        <v>0</v>
      </c>
      <c r="AH143" s="75">
        <v>0</v>
      </c>
      <c r="AI143" s="75">
        <v>0</v>
      </c>
      <c r="AJ143" s="75">
        <v>0</v>
      </c>
      <c r="AK143" s="75">
        <v>0</v>
      </c>
      <c r="AL143" s="95">
        <v>1</v>
      </c>
      <c r="AM143" s="92">
        <v>0</v>
      </c>
      <c r="AN143" s="79" t="s">
        <v>80</v>
      </c>
      <c r="AO143" s="75">
        <v>1</v>
      </c>
      <c r="AP143" s="75" t="s">
        <v>84</v>
      </c>
      <c r="AQ143" s="122">
        <v>1</v>
      </c>
      <c r="AR143" s="515" t="s">
        <v>10</v>
      </c>
      <c r="AS143" s="95">
        <v>0</v>
      </c>
      <c r="AT143" s="75">
        <v>0</v>
      </c>
      <c r="AU143" s="75">
        <v>0</v>
      </c>
      <c r="AV143" s="75">
        <v>0</v>
      </c>
      <c r="AW143" s="123">
        <v>0</v>
      </c>
      <c r="AX143" s="516"/>
      <c r="AY143" s="75">
        <v>0</v>
      </c>
      <c r="AZ143" s="77" t="s">
        <v>131</v>
      </c>
      <c r="BA143" s="78" t="s">
        <v>131</v>
      </c>
      <c r="BB143" s="78" t="s">
        <v>131</v>
      </c>
      <c r="BC143" s="78" t="s">
        <v>131</v>
      </c>
      <c r="BD143" s="78" t="s">
        <v>131</v>
      </c>
      <c r="BE143" s="78" t="s">
        <v>131</v>
      </c>
      <c r="BF143" s="78" t="s">
        <v>131</v>
      </c>
      <c r="BG143" s="78" t="s">
        <v>132</v>
      </c>
      <c r="BH143" s="75" t="s">
        <v>5970</v>
      </c>
      <c r="BI143" s="295">
        <v>0</v>
      </c>
      <c r="BJ143" s="546" t="s">
        <v>16</v>
      </c>
      <c r="BK143" s="294" t="s">
        <v>16</v>
      </c>
      <c r="BL143" s="157" t="s">
        <v>16</v>
      </c>
      <c r="BM143" s="548" t="s">
        <v>1344</v>
      </c>
      <c r="BN143" s="548" t="s">
        <v>4160</v>
      </c>
      <c r="BO143" s="157" t="s">
        <v>4572</v>
      </c>
      <c r="BP143" s="548" t="s">
        <v>4574</v>
      </c>
      <c r="BQ143" s="157" t="s">
        <v>4571</v>
      </c>
      <c r="BR143" s="157"/>
    </row>
    <row r="144" spans="1:70" x14ac:dyDescent="0.25">
      <c r="A144" s="19" t="s">
        <v>3686</v>
      </c>
      <c r="B144" s="37" t="s">
        <v>5082</v>
      </c>
      <c r="C144" s="90">
        <v>45492.869351851848</v>
      </c>
      <c r="D144" s="114">
        <v>45492.619351851848</v>
      </c>
      <c r="E144" s="38">
        <v>45492</v>
      </c>
      <c r="F144" s="91">
        <v>2024</v>
      </c>
      <c r="G144" s="93">
        <v>7</v>
      </c>
      <c r="H144" s="37" t="s">
        <v>201</v>
      </c>
      <c r="I144" s="37"/>
      <c r="J144" s="103">
        <v>-92.732095874863518</v>
      </c>
      <c r="K144" s="40">
        <v>44.831133018560415</v>
      </c>
      <c r="L144" s="74"/>
      <c r="M144" s="272" t="s">
        <v>16</v>
      </c>
      <c r="N144" s="74">
        <v>0</v>
      </c>
      <c r="O144" s="94"/>
      <c r="P144" s="118">
        <v>1</v>
      </c>
      <c r="Q144" s="510">
        <v>180</v>
      </c>
      <c r="R144" s="513">
        <v>180</v>
      </c>
      <c r="S144" s="41"/>
      <c r="T144" s="40"/>
      <c r="U144" s="40">
        <v>9</v>
      </c>
      <c r="V144" s="119">
        <v>1</v>
      </c>
      <c r="W144" s="40">
        <v>0</v>
      </c>
      <c r="X144" s="119">
        <v>1</v>
      </c>
      <c r="Y144" s="40">
        <v>68</v>
      </c>
      <c r="Z144" s="119">
        <v>1</v>
      </c>
      <c r="AA144" s="368">
        <v>0</v>
      </c>
      <c r="AB144" s="535">
        <v>5</v>
      </c>
      <c r="AC144" s="39" t="s">
        <v>160</v>
      </c>
      <c r="AD144" s="75" t="s">
        <v>8</v>
      </c>
      <c r="AE144" s="95">
        <v>0</v>
      </c>
      <c r="AF144" s="75">
        <v>1</v>
      </c>
      <c r="AG144" s="75">
        <v>0</v>
      </c>
      <c r="AH144" s="75">
        <v>0</v>
      </c>
      <c r="AI144" s="75">
        <v>0</v>
      </c>
      <c r="AJ144" s="75">
        <v>0</v>
      </c>
      <c r="AK144" s="75">
        <v>0</v>
      </c>
      <c r="AL144" s="95">
        <v>0</v>
      </c>
      <c r="AM144" s="92">
        <v>0</v>
      </c>
      <c r="AN144" s="79" t="s">
        <v>80</v>
      </c>
      <c r="AO144" s="75">
        <v>1</v>
      </c>
      <c r="AP144" s="75" t="s">
        <v>83</v>
      </c>
      <c r="AQ144" s="122">
        <v>1</v>
      </c>
      <c r="AR144" s="515" t="s">
        <v>10</v>
      </c>
      <c r="AS144" s="95">
        <v>0</v>
      </c>
      <c r="AT144" s="75">
        <v>0</v>
      </c>
      <c r="AU144" s="75">
        <v>0</v>
      </c>
      <c r="AV144" s="75">
        <v>0</v>
      </c>
      <c r="AW144" s="123">
        <v>0</v>
      </c>
      <c r="AX144" s="516" t="s">
        <v>1537</v>
      </c>
      <c r="AY144" s="75">
        <v>1</v>
      </c>
      <c r="AZ144" s="77" t="s">
        <v>131</v>
      </c>
      <c r="BA144" s="78" t="s">
        <v>132</v>
      </c>
      <c r="BB144" s="78" t="s">
        <v>131</v>
      </c>
      <c r="BC144" s="78" t="s">
        <v>131</v>
      </c>
      <c r="BD144" s="78" t="s">
        <v>131</v>
      </c>
      <c r="BE144" s="78" t="s">
        <v>131</v>
      </c>
      <c r="BF144" s="78" t="s">
        <v>131</v>
      </c>
      <c r="BG144" s="78" t="s">
        <v>131</v>
      </c>
      <c r="BH144" s="75" t="s">
        <v>5970</v>
      </c>
      <c r="BI144" s="295" t="s">
        <v>2227</v>
      </c>
      <c r="BJ144" s="546">
        <v>1</v>
      </c>
      <c r="BK144" s="294" t="s">
        <v>16</v>
      </c>
      <c r="BL144" s="157" t="s">
        <v>16</v>
      </c>
      <c r="BM144" s="548" t="s">
        <v>578</v>
      </c>
      <c r="BN144" s="548" t="s">
        <v>578</v>
      </c>
      <c r="BO144" s="157" t="s">
        <v>4341</v>
      </c>
      <c r="BP144" s="548" t="s">
        <v>4343</v>
      </c>
      <c r="BQ144" s="157" t="s">
        <v>4309</v>
      </c>
      <c r="BR144" s="157"/>
    </row>
    <row r="145" spans="1:70" x14ac:dyDescent="0.25">
      <c r="A145" s="19" t="s">
        <v>3686</v>
      </c>
      <c r="B145" s="37" t="s">
        <v>5083</v>
      </c>
      <c r="C145" s="90">
        <v>45492.810671296298</v>
      </c>
      <c r="D145" s="114">
        <v>45492.560671296298</v>
      </c>
      <c r="E145" s="38">
        <v>45492</v>
      </c>
      <c r="F145" s="91">
        <v>2024</v>
      </c>
      <c r="G145" s="93">
        <v>7</v>
      </c>
      <c r="H145" s="37" t="s">
        <v>475</v>
      </c>
      <c r="I145" s="37"/>
      <c r="J145" s="103">
        <v>-91.81175736232376</v>
      </c>
      <c r="K145" s="40">
        <v>43.872516945962666</v>
      </c>
      <c r="L145" s="74"/>
      <c r="M145" s="272" t="s">
        <v>5084</v>
      </c>
      <c r="N145" s="74">
        <v>1</v>
      </c>
      <c r="O145" s="94"/>
      <c r="P145" s="118">
        <v>1</v>
      </c>
      <c r="Q145" s="510">
        <v>180</v>
      </c>
      <c r="R145" s="513">
        <v>180</v>
      </c>
      <c r="S145" s="41"/>
      <c r="T145" s="40"/>
      <c r="U145" s="40">
        <v>8</v>
      </c>
      <c r="V145" s="119">
        <v>1</v>
      </c>
      <c r="W145" s="40">
        <v>0</v>
      </c>
      <c r="X145" s="119">
        <v>1</v>
      </c>
      <c r="Y145" s="40">
        <v>64</v>
      </c>
      <c r="Z145" s="119">
        <v>1</v>
      </c>
      <c r="AA145" s="368">
        <v>0</v>
      </c>
      <c r="AB145" s="535">
        <v>5</v>
      </c>
      <c r="AC145" s="39" t="s">
        <v>160</v>
      </c>
      <c r="AD145" s="75" t="s">
        <v>10</v>
      </c>
      <c r="AE145" s="95">
        <v>0</v>
      </c>
      <c r="AF145" s="75">
        <v>0</v>
      </c>
      <c r="AG145" s="75">
        <v>0</v>
      </c>
      <c r="AH145" s="75">
        <v>0</v>
      </c>
      <c r="AI145" s="75">
        <v>0</v>
      </c>
      <c r="AJ145" s="75">
        <v>0</v>
      </c>
      <c r="AK145" s="75">
        <v>0</v>
      </c>
      <c r="AL145" s="95">
        <v>1</v>
      </c>
      <c r="AM145" s="92">
        <v>0</v>
      </c>
      <c r="AN145" s="79" t="s">
        <v>80</v>
      </c>
      <c r="AO145" s="75">
        <v>1</v>
      </c>
      <c r="AP145" s="75" t="s">
        <v>83</v>
      </c>
      <c r="AQ145" s="122">
        <v>1</v>
      </c>
      <c r="AR145" s="515" t="s">
        <v>5085</v>
      </c>
      <c r="AS145" s="95">
        <v>0</v>
      </c>
      <c r="AT145" s="75">
        <v>1</v>
      </c>
      <c r="AU145" s="75">
        <v>0</v>
      </c>
      <c r="AV145" s="75">
        <v>0</v>
      </c>
      <c r="AW145" s="123">
        <v>0</v>
      </c>
      <c r="AX145" s="516" t="s">
        <v>5086</v>
      </c>
      <c r="AY145" s="75">
        <v>1</v>
      </c>
      <c r="AZ145" s="77" t="s">
        <v>131</v>
      </c>
      <c r="BA145" s="78" t="s">
        <v>131</v>
      </c>
      <c r="BB145" s="78" t="s">
        <v>131</v>
      </c>
      <c r="BC145" s="78" t="s">
        <v>131</v>
      </c>
      <c r="BD145" s="78" t="s">
        <v>131</v>
      </c>
      <c r="BE145" s="78" t="s">
        <v>131</v>
      </c>
      <c r="BF145" s="78" t="s">
        <v>131</v>
      </c>
      <c r="BG145" s="78" t="s">
        <v>132</v>
      </c>
      <c r="BH145" s="75" t="s">
        <v>5970</v>
      </c>
      <c r="BI145" s="295" t="s">
        <v>2250</v>
      </c>
      <c r="BJ145" s="546">
        <v>1</v>
      </c>
      <c r="BK145" s="294" t="s">
        <v>16</v>
      </c>
      <c r="BL145" s="157" t="s">
        <v>16</v>
      </c>
      <c r="BM145" s="548" t="s">
        <v>1341</v>
      </c>
      <c r="BN145" s="548" t="s">
        <v>1339</v>
      </c>
      <c r="BO145" s="157" t="s">
        <v>4636</v>
      </c>
      <c r="BP145" s="548" t="s">
        <v>4637</v>
      </c>
      <c r="BQ145" s="157" t="s">
        <v>4635</v>
      </c>
      <c r="BR145" s="157"/>
    </row>
    <row r="146" spans="1:70" x14ac:dyDescent="0.25">
      <c r="A146" s="19" t="s">
        <v>3686</v>
      </c>
      <c r="B146" s="37" t="s">
        <v>5087</v>
      </c>
      <c r="C146" s="90">
        <v>45492.796851851854</v>
      </c>
      <c r="D146" s="114">
        <v>45492.546851851854</v>
      </c>
      <c r="E146" s="38">
        <v>45492</v>
      </c>
      <c r="F146" s="91">
        <v>2024</v>
      </c>
      <c r="G146" s="93">
        <v>7</v>
      </c>
      <c r="H146" s="37" t="s">
        <v>475</v>
      </c>
      <c r="I146" s="37"/>
      <c r="J146" s="103">
        <v>-91.821706561942278</v>
      </c>
      <c r="K146" s="40">
        <v>43.886196525949657</v>
      </c>
      <c r="L146" s="74"/>
      <c r="M146" s="272" t="s">
        <v>5088</v>
      </c>
      <c r="N146" s="74">
        <v>1</v>
      </c>
      <c r="O146" s="94"/>
      <c r="P146" s="118">
        <v>1</v>
      </c>
      <c r="Q146" s="510">
        <v>180</v>
      </c>
      <c r="R146" s="513">
        <v>180</v>
      </c>
      <c r="S146" s="41"/>
      <c r="T146" s="40"/>
      <c r="U146" s="40">
        <v>8</v>
      </c>
      <c r="V146" s="119">
        <v>1</v>
      </c>
      <c r="W146" s="40">
        <v>0</v>
      </c>
      <c r="X146" s="119">
        <v>1</v>
      </c>
      <c r="Y146" s="40">
        <v>68</v>
      </c>
      <c r="Z146" s="119">
        <v>1</v>
      </c>
      <c r="AA146" s="368">
        <v>0</v>
      </c>
      <c r="AB146" s="535">
        <v>2</v>
      </c>
      <c r="AC146" s="39" t="s">
        <v>160</v>
      </c>
      <c r="AD146" s="75" t="s">
        <v>5089</v>
      </c>
      <c r="AE146" s="95">
        <v>0</v>
      </c>
      <c r="AF146" s="75">
        <v>1</v>
      </c>
      <c r="AG146" s="75">
        <v>0</v>
      </c>
      <c r="AH146" s="75">
        <v>0</v>
      </c>
      <c r="AI146" s="75">
        <v>0</v>
      </c>
      <c r="AJ146" s="75">
        <v>1</v>
      </c>
      <c r="AK146" s="75">
        <v>0</v>
      </c>
      <c r="AL146" s="95">
        <v>0</v>
      </c>
      <c r="AM146" s="92">
        <v>0</v>
      </c>
      <c r="AN146" s="79" t="s">
        <v>80</v>
      </c>
      <c r="AO146" s="75">
        <v>1</v>
      </c>
      <c r="AP146" s="75" t="s">
        <v>84</v>
      </c>
      <c r="AQ146" s="122">
        <v>1</v>
      </c>
      <c r="AR146" s="515" t="s">
        <v>16</v>
      </c>
      <c r="AS146" s="95">
        <v>-1</v>
      </c>
      <c r="AT146" s="75">
        <v>-1</v>
      </c>
      <c r="AU146" s="75">
        <v>-1</v>
      </c>
      <c r="AV146" s="75">
        <v>-1</v>
      </c>
      <c r="AW146" s="123">
        <v>1</v>
      </c>
      <c r="AX146" s="516" t="s">
        <v>5090</v>
      </c>
      <c r="AY146" s="75">
        <v>1</v>
      </c>
      <c r="AZ146" s="77" t="s">
        <v>131</v>
      </c>
      <c r="BA146" s="78" t="s">
        <v>132</v>
      </c>
      <c r="BB146" s="78" t="s">
        <v>131</v>
      </c>
      <c r="BC146" s="78" t="s">
        <v>131</v>
      </c>
      <c r="BD146" s="78" t="s">
        <v>131</v>
      </c>
      <c r="BE146" s="78" t="s">
        <v>132</v>
      </c>
      <c r="BF146" s="78" t="s">
        <v>131</v>
      </c>
      <c r="BG146" s="78" t="s">
        <v>131</v>
      </c>
      <c r="BH146" s="75" t="s">
        <v>5970</v>
      </c>
      <c r="BI146" s="295" t="s">
        <v>2250</v>
      </c>
      <c r="BJ146" s="546">
        <v>1</v>
      </c>
      <c r="BK146" s="294">
        <v>1</v>
      </c>
      <c r="BL146" s="157">
        <v>1</v>
      </c>
      <c r="BM146" s="548" t="s">
        <v>1341</v>
      </c>
      <c r="BN146" s="548" t="s">
        <v>1339</v>
      </c>
      <c r="BO146" s="157" t="s">
        <v>4636</v>
      </c>
      <c r="BP146" s="548" t="s">
        <v>4637</v>
      </c>
      <c r="BQ146" s="157" t="s">
        <v>4635</v>
      </c>
      <c r="BR146" s="157"/>
    </row>
    <row r="147" spans="1:70" x14ac:dyDescent="0.25">
      <c r="A147" s="19" t="s">
        <v>3686</v>
      </c>
      <c r="B147" s="37" t="s">
        <v>5091</v>
      </c>
      <c r="C147" s="90">
        <v>45492.616643518515</v>
      </c>
      <c r="D147" s="114">
        <v>45492.366643518515</v>
      </c>
      <c r="E147" s="38">
        <v>45492</v>
      </c>
      <c r="F147" s="91">
        <v>2024</v>
      </c>
      <c r="G147" s="93">
        <v>7</v>
      </c>
      <c r="H147" s="37" t="s">
        <v>4981</v>
      </c>
      <c r="I147" s="37"/>
      <c r="J147" s="103">
        <v>-91.742742448074281</v>
      </c>
      <c r="K147" s="40">
        <v>42.868692510544349</v>
      </c>
      <c r="L147" s="74"/>
      <c r="M147" s="272" t="s">
        <v>5092</v>
      </c>
      <c r="N147" s="74">
        <v>1</v>
      </c>
      <c r="O147" s="94"/>
      <c r="P147" s="118">
        <v>1</v>
      </c>
      <c r="Q147" s="510">
        <v>180</v>
      </c>
      <c r="R147" s="513">
        <v>180</v>
      </c>
      <c r="S147" s="41"/>
      <c r="T147" s="40"/>
      <c r="U147" s="40">
        <v>7</v>
      </c>
      <c r="V147" s="119">
        <v>0</v>
      </c>
      <c r="W147" s="40"/>
      <c r="X147" s="119">
        <v>1</v>
      </c>
      <c r="Y147" s="40">
        <v>58</v>
      </c>
      <c r="Z147" s="119">
        <v>1</v>
      </c>
      <c r="AA147" s="368">
        <v>0</v>
      </c>
      <c r="AB147" s="535">
        <v>2</v>
      </c>
      <c r="AC147" s="39" t="s">
        <v>160</v>
      </c>
      <c r="AD147" s="75" t="s">
        <v>7</v>
      </c>
      <c r="AE147" s="95">
        <v>1</v>
      </c>
      <c r="AF147" s="75">
        <v>0</v>
      </c>
      <c r="AG147" s="75">
        <v>0</v>
      </c>
      <c r="AH147" s="75">
        <v>0</v>
      </c>
      <c r="AI147" s="75">
        <v>0</v>
      </c>
      <c r="AJ147" s="75">
        <v>0</v>
      </c>
      <c r="AK147" s="75">
        <v>0</v>
      </c>
      <c r="AL147" s="95">
        <v>0</v>
      </c>
      <c r="AM147" s="92">
        <v>0</v>
      </c>
      <c r="AN147" s="79" t="s">
        <v>80</v>
      </c>
      <c r="AO147" s="75">
        <v>1</v>
      </c>
      <c r="AP147" s="75" t="s">
        <v>83</v>
      </c>
      <c r="AQ147" s="122">
        <v>1</v>
      </c>
      <c r="AR147" s="515" t="s">
        <v>10</v>
      </c>
      <c r="AS147" s="95">
        <v>0</v>
      </c>
      <c r="AT147" s="75">
        <v>0</v>
      </c>
      <c r="AU147" s="75">
        <v>0</v>
      </c>
      <c r="AV147" s="75">
        <v>0</v>
      </c>
      <c r="AW147" s="123">
        <v>0</v>
      </c>
      <c r="AX147" s="516"/>
      <c r="AY147" s="75">
        <v>0</v>
      </c>
      <c r="AZ147" s="77" t="s">
        <v>132</v>
      </c>
      <c r="BA147" s="78" t="s">
        <v>131</v>
      </c>
      <c r="BB147" s="78" t="s">
        <v>131</v>
      </c>
      <c r="BC147" s="78" t="s">
        <v>131</v>
      </c>
      <c r="BD147" s="78" t="s">
        <v>131</v>
      </c>
      <c r="BE147" s="78" t="s">
        <v>131</v>
      </c>
      <c r="BF147" s="78" t="s">
        <v>131</v>
      </c>
      <c r="BG147" s="78" t="s">
        <v>131</v>
      </c>
      <c r="BH147" s="75" t="s">
        <v>5970</v>
      </c>
      <c r="BI147" s="295" t="s">
        <v>16</v>
      </c>
      <c r="BJ147" s="546">
        <v>1</v>
      </c>
      <c r="BK147" s="294" t="s">
        <v>16</v>
      </c>
      <c r="BL147" s="157" t="s">
        <v>16</v>
      </c>
      <c r="BM147" s="548" t="s">
        <v>1344</v>
      </c>
      <c r="BN147" s="548" t="s">
        <v>4160</v>
      </c>
      <c r="BO147" s="157" t="s">
        <v>4572</v>
      </c>
      <c r="BP147" s="548" t="s">
        <v>4574</v>
      </c>
      <c r="BQ147" s="157" t="s">
        <v>4571</v>
      </c>
      <c r="BR147" s="157"/>
    </row>
    <row r="148" spans="1:70" x14ac:dyDescent="0.25">
      <c r="A148" s="19" t="s">
        <v>3686</v>
      </c>
      <c r="B148" s="37" t="s">
        <v>5093</v>
      </c>
      <c r="C148" s="90">
        <v>45492.496678240743</v>
      </c>
      <c r="D148" s="114">
        <v>45492.246678240743</v>
      </c>
      <c r="E148" s="38">
        <v>45492</v>
      </c>
      <c r="F148" s="91">
        <v>2024</v>
      </c>
      <c r="G148" s="93">
        <v>7</v>
      </c>
      <c r="H148" s="37" t="s">
        <v>2548</v>
      </c>
      <c r="I148" s="37"/>
      <c r="J148" s="103">
        <v>-91.70845789867434</v>
      </c>
      <c r="K148" s="40">
        <v>44.410720558667677</v>
      </c>
      <c r="L148" s="74"/>
      <c r="M148" s="272" t="s">
        <v>5094</v>
      </c>
      <c r="N148" s="74">
        <v>1</v>
      </c>
      <c r="O148" s="94"/>
      <c r="P148" s="118">
        <v>1</v>
      </c>
      <c r="Q148" s="510">
        <v>180</v>
      </c>
      <c r="R148" s="513">
        <v>180</v>
      </c>
      <c r="S148" s="41"/>
      <c r="T148" s="40"/>
      <c r="U148" s="40">
        <v>7</v>
      </c>
      <c r="V148" s="119">
        <v>1</v>
      </c>
      <c r="W148" s="40">
        <v>0</v>
      </c>
      <c r="X148" s="119">
        <v>1</v>
      </c>
      <c r="Y148" s="40">
        <v>52</v>
      </c>
      <c r="Z148" s="119">
        <v>1</v>
      </c>
      <c r="AA148" s="368">
        <v>0</v>
      </c>
      <c r="AB148" s="535">
        <v>2</v>
      </c>
      <c r="AC148" s="39" t="s">
        <v>160</v>
      </c>
      <c r="AD148" s="75" t="s">
        <v>10</v>
      </c>
      <c r="AE148" s="95">
        <v>0</v>
      </c>
      <c r="AF148" s="75">
        <v>0</v>
      </c>
      <c r="AG148" s="75">
        <v>0</v>
      </c>
      <c r="AH148" s="75">
        <v>0</v>
      </c>
      <c r="AI148" s="75">
        <v>0</v>
      </c>
      <c r="AJ148" s="75">
        <v>0</v>
      </c>
      <c r="AK148" s="75">
        <v>0</v>
      </c>
      <c r="AL148" s="95">
        <v>1</v>
      </c>
      <c r="AM148" s="92">
        <v>0</v>
      </c>
      <c r="AN148" s="79" t="s">
        <v>80</v>
      </c>
      <c r="AO148" s="75">
        <v>1</v>
      </c>
      <c r="AP148" s="75" t="s">
        <v>83</v>
      </c>
      <c r="AQ148" s="122">
        <v>1</v>
      </c>
      <c r="AR148" s="515" t="s">
        <v>35</v>
      </c>
      <c r="AS148" s="95">
        <v>0</v>
      </c>
      <c r="AT148" s="75">
        <v>1</v>
      </c>
      <c r="AU148" s="75">
        <v>0</v>
      </c>
      <c r="AV148" s="75">
        <v>0</v>
      </c>
      <c r="AW148" s="123">
        <v>0</v>
      </c>
      <c r="AX148" s="516"/>
      <c r="AY148" s="75">
        <v>0</v>
      </c>
      <c r="AZ148" s="77" t="s">
        <v>131</v>
      </c>
      <c r="BA148" s="78" t="s">
        <v>131</v>
      </c>
      <c r="BB148" s="78" t="s">
        <v>131</v>
      </c>
      <c r="BC148" s="78" t="s">
        <v>131</v>
      </c>
      <c r="BD148" s="78" t="s">
        <v>131</v>
      </c>
      <c r="BE148" s="78" t="s">
        <v>131</v>
      </c>
      <c r="BF148" s="78" t="s">
        <v>131</v>
      </c>
      <c r="BG148" s="78" t="s">
        <v>132</v>
      </c>
      <c r="BH148" s="75" t="s">
        <v>5970</v>
      </c>
      <c r="BI148" s="295" t="s">
        <v>5933</v>
      </c>
      <c r="BJ148" s="546">
        <v>1</v>
      </c>
      <c r="BK148" s="294">
        <v>1</v>
      </c>
      <c r="BL148" s="157">
        <v>1</v>
      </c>
      <c r="BM148" s="548" t="s">
        <v>1340</v>
      </c>
      <c r="BN148" s="548" t="s">
        <v>4158</v>
      </c>
      <c r="BO148" s="157" t="s">
        <v>5850</v>
      </c>
      <c r="BP148" s="548" t="s">
        <v>5851</v>
      </c>
      <c r="BQ148" s="157" t="s">
        <v>4765</v>
      </c>
      <c r="BR148" s="157"/>
    </row>
    <row r="149" spans="1:70" x14ac:dyDescent="0.25">
      <c r="A149" s="19" t="s">
        <v>3686</v>
      </c>
      <c r="B149" s="37" t="s">
        <v>5095</v>
      </c>
      <c r="C149" s="90">
        <v>45491.797581018516</v>
      </c>
      <c r="D149" s="114">
        <v>45491.547581018516</v>
      </c>
      <c r="E149" s="38">
        <v>45491</v>
      </c>
      <c r="F149" s="91">
        <v>2024</v>
      </c>
      <c r="G149" s="93">
        <v>7</v>
      </c>
      <c r="H149" s="37" t="s">
        <v>2446</v>
      </c>
      <c r="I149" s="37"/>
      <c r="J149" s="103">
        <v>-92.108602608301624</v>
      </c>
      <c r="K149" s="40">
        <v>44.559292813620928</v>
      </c>
      <c r="L149" s="74"/>
      <c r="M149" s="272" t="s">
        <v>5096</v>
      </c>
      <c r="N149" s="74">
        <v>1</v>
      </c>
      <c r="O149" s="94"/>
      <c r="P149" s="118">
        <v>1</v>
      </c>
      <c r="Q149" s="510">
        <v>180</v>
      </c>
      <c r="R149" s="513">
        <v>120</v>
      </c>
      <c r="S149" s="41"/>
      <c r="T149" s="40"/>
      <c r="U149" s="40">
        <v>7.5</v>
      </c>
      <c r="V149" s="119">
        <v>1</v>
      </c>
      <c r="W149" s="40">
        <v>0</v>
      </c>
      <c r="X149" s="119">
        <v>1</v>
      </c>
      <c r="Y149" s="40">
        <v>63</v>
      </c>
      <c r="Z149" s="119">
        <v>1</v>
      </c>
      <c r="AA149" s="368">
        <v>0</v>
      </c>
      <c r="AB149" s="535">
        <v>2</v>
      </c>
      <c r="AC149" s="39" t="s">
        <v>16</v>
      </c>
      <c r="AD149" s="75" t="s">
        <v>10</v>
      </c>
      <c r="AE149" s="95">
        <v>0</v>
      </c>
      <c r="AF149" s="75">
        <v>0</v>
      </c>
      <c r="AG149" s="75">
        <v>0</v>
      </c>
      <c r="AH149" s="75">
        <v>0</v>
      </c>
      <c r="AI149" s="75">
        <v>0</v>
      </c>
      <c r="AJ149" s="75">
        <v>0</v>
      </c>
      <c r="AK149" s="75">
        <v>0</v>
      </c>
      <c r="AL149" s="95">
        <v>1</v>
      </c>
      <c r="AM149" s="92">
        <v>0</v>
      </c>
      <c r="AN149" s="79" t="s">
        <v>80</v>
      </c>
      <c r="AO149" s="75">
        <v>1</v>
      </c>
      <c r="AP149" s="75" t="s">
        <v>85</v>
      </c>
      <c r="AQ149" s="122">
        <v>1</v>
      </c>
      <c r="AR149" s="515" t="s">
        <v>10</v>
      </c>
      <c r="AS149" s="95">
        <v>0</v>
      </c>
      <c r="AT149" s="75">
        <v>0</v>
      </c>
      <c r="AU149" s="75">
        <v>0</v>
      </c>
      <c r="AV149" s="75">
        <v>0</v>
      </c>
      <c r="AW149" s="123">
        <v>0</v>
      </c>
      <c r="AX149" s="516"/>
      <c r="AY149" s="75">
        <v>0</v>
      </c>
      <c r="AZ149" s="77" t="s">
        <v>131</v>
      </c>
      <c r="BA149" s="78" t="s">
        <v>131</v>
      </c>
      <c r="BB149" s="78" t="s">
        <v>131</v>
      </c>
      <c r="BC149" s="78" t="s">
        <v>131</v>
      </c>
      <c r="BD149" s="78" t="s">
        <v>131</v>
      </c>
      <c r="BE149" s="78" t="s">
        <v>131</v>
      </c>
      <c r="BF149" s="78" t="s">
        <v>131</v>
      </c>
      <c r="BG149" s="78" t="s">
        <v>132</v>
      </c>
      <c r="BH149" s="75" t="s">
        <v>5970</v>
      </c>
      <c r="BI149" s="295" t="s">
        <v>2246</v>
      </c>
      <c r="BJ149" s="546">
        <v>1</v>
      </c>
      <c r="BK149" s="294">
        <v>1</v>
      </c>
      <c r="BL149" s="157">
        <v>1</v>
      </c>
      <c r="BM149" s="548" t="s">
        <v>1340</v>
      </c>
      <c r="BN149" s="548" t="s">
        <v>4158</v>
      </c>
      <c r="BO149" s="157" t="s">
        <v>4220</v>
      </c>
      <c r="BP149" s="548" t="s">
        <v>4729</v>
      </c>
      <c r="BQ149" s="157" t="s">
        <v>4217</v>
      </c>
      <c r="BR149" s="157"/>
    </row>
    <row r="150" spans="1:70" x14ac:dyDescent="0.25">
      <c r="A150" s="19" t="s">
        <v>3686</v>
      </c>
      <c r="B150" s="37" t="s">
        <v>5097</v>
      </c>
      <c r="C150" s="90">
        <v>45491.760601851849</v>
      </c>
      <c r="D150" s="114">
        <v>45491.510601851849</v>
      </c>
      <c r="E150" s="38">
        <v>45491</v>
      </c>
      <c r="F150" s="91">
        <v>2024</v>
      </c>
      <c r="G150" s="93">
        <v>7</v>
      </c>
      <c r="H150" s="37" t="s">
        <v>2548</v>
      </c>
      <c r="I150" s="37"/>
      <c r="J150" s="103">
        <v>-91.739986781784722</v>
      </c>
      <c r="K150" s="40">
        <v>44.270570535352455</v>
      </c>
      <c r="L150" s="74"/>
      <c r="M150" s="272" t="s">
        <v>5098</v>
      </c>
      <c r="N150" s="74">
        <v>1</v>
      </c>
      <c r="O150" s="94"/>
      <c r="P150" s="118">
        <v>1</v>
      </c>
      <c r="Q150" s="510">
        <v>180</v>
      </c>
      <c r="R150" s="513">
        <v>180</v>
      </c>
      <c r="S150" s="41"/>
      <c r="T150" s="40"/>
      <c r="U150" s="40">
        <v>7.5</v>
      </c>
      <c r="V150" s="119">
        <v>1</v>
      </c>
      <c r="W150" s="40">
        <v>0</v>
      </c>
      <c r="X150" s="119">
        <v>1</v>
      </c>
      <c r="Y150" s="40">
        <v>63</v>
      </c>
      <c r="Z150" s="119">
        <v>1</v>
      </c>
      <c r="AA150" s="368">
        <v>0</v>
      </c>
      <c r="AB150" s="535">
        <v>2</v>
      </c>
      <c r="AC150" s="39" t="s">
        <v>160</v>
      </c>
      <c r="AD150" s="75" t="s">
        <v>10</v>
      </c>
      <c r="AE150" s="95">
        <v>0</v>
      </c>
      <c r="AF150" s="75">
        <v>0</v>
      </c>
      <c r="AG150" s="75">
        <v>0</v>
      </c>
      <c r="AH150" s="75">
        <v>0</v>
      </c>
      <c r="AI150" s="75">
        <v>0</v>
      </c>
      <c r="AJ150" s="75">
        <v>0</v>
      </c>
      <c r="AK150" s="75">
        <v>0</v>
      </c>
      <c r="AL150" s="95">
        <v>1</v>
      </c>
      <c r="AM150" s="92">
        <v>0</v>
      </c>
      <c r="AN150" s="79" t="s">
        <v>80</v>
      </c>
      <c r="AO150" s="75">
        <v>1</v>
      </c>
      <c r="AP150" s="75" t="s">
        <v>85</v>
      </c>
      <c r="AQ150" s="122">
        <v>1</v>
      </c>
      <c r="AR150" s="515" t="s">
        <v>35</v>
      </c>
      <c r="AS150" s="95">
        <v>0</v>
      </c>
      <c r="AT150" s="75">
        <v>1</v>
      </c>
      <c r="AU150" s="75">
        <v>0</v>
      </c>
      <c r="AV150" s="75">
        <v>0</v>
      </c>
      <c r="AW150" s="123">
        <v>0</v>
      </c>
      <c r="AX150" s="516"/>
      <c r="AY150" s="75">
        <v>0</v>
      </c>
      <c r="AZ150" s="77" t="s">
        <v>131</v>
      </c>
      <c r="BA150" s="78" t="s">
        <v>131</v>
      </c>
      <c r="BB150" s="78" t="s">
        <v>131</v>
      </c>
      <c r="BC150" s="78" t="s">
        <v>131</v>
      </c>
      <c r="BD150" s="78" t="s">
        <v>131</v>
      </c>
      <c r="BE150" s="78" t="s">
        <v>131</v>
      </c>
      <c r="BF150" s="78" t="s">
        <v>131</v>
      </c>
      <c r="BG150" s="78" t="s">
        <v>132</v>
      </c>
      <c r="BH150" s="75" t="s">
        <v>5970</v>
      </c>
      <c r="BI150" s="295" t="s">
        <v>5933</v>
      </c>
      <c r="BJ150" s="546" t="s">
        <v>16</v>
      </c>
      <c r="BK150" s="294" t="s">
        <v>16</v>
      </c>
      <c r="BL150" s="157" t="s">
        <v>16</v>
      </c>
      <c r="BM150" s="548" t="s">
        <v>1340</v>
      </c>
      <c r="BN150" s="548" t="s">
        <v>4158</v>
      </c>
      <c r="BO150" s="157" t="s">
        <v>4768</v>
      </c>
      <c r="BP150" s="548" t="s">
        <v>4767</v>
      </c>
      <c r="BQ150" s="157" t="s">
        <v>4765</v>
      </c>
      <c r="BR150" s="157"/>
    </row>
    <row r="151" spans="1:70" x14ac:dyDescent="0.25">
      <c r="A151" s="19" t="s">
        <v>3686</v>
      </c>
      <c r="B151" s="37" t="s">
        <v>5099</v>
      </c>
      <c r="C151" s="90">
        <v>45491.758206018516</v>
      </c>
      <c r="D151" s="114">
        <v>45491.508206018516</v>
      </c>
      <c r="E151" s="38">
        <v>45491</v>
      </c>
      <c r="F151" s="91">
        <v>2024</v>
      </c>
      <c r="G151" s="93">
        <v>7</v>
      </c>
      <c r="H151" s="37" t="s">
        <v>2446</v>
      </c>
      <c r="I151" s="37"/>
      <c r="J151" s="103">
        <v>-92.096759545594921</v>
      </c>
      <c r="K151" s="40">
        <v>44.570436090012947</v>
      </c>
      <c r="L151" s="74"/>
      <c r="M151" s="272" t="s">
        <v>5100</v>
      </c>
      <c r="N151" s="74">
        <v>1</v>
      </c>
      <c r="O151" s="94"/>
      <c r="P151" s="118">
        <v>1</v>
      </c>
      <c r="Q151" s="510">
        <v>120</v>
      </c>
      <c r="R151" s="513">
        <v>180</v>
      </c>
      <c r="S151" s="41"/>
      <c r="T151" s="40"/>
      <c r="U151" s="40">
        <v>7.5</v>
      </c>
      <c r="V151" s="119">
        <v>1</v>
      </c>
      <c r="W151" s="40">
        <v>0</v>
      </c>
      <c r="X151" s="119">
        <v>1</v>
      </c>
      <c r="Y151" s="40">
        <v>59</v>
      </c>
      <c r="Z151" s="119">
        <v>1</v>
      </c>
      <c r="AA151" s="368">
        <v>0</v>
      </c>
      <c r="AB151" s="535">
        <v>5</v>
      </c>
      <c r="AC151" s="39" t="s">
        <v>160</v>
      </c>
      <c r="AD151" s="75" t="s">
        <v>7</v>
      </c>
      <c r="AE151" s="95">
        <v>1</v>
      </c>
      <c r="AF151" s="75">
        <v>0</v>
      </c>
      <c r="AG151" s="75">
        <v>0</v>
      </c>
      <c r="AH151" s="75">
        <v>0</v>
      </c>
      <c r="AI151" s="75">
        <v>0</v>
      </c>
      <c r="AJ151" s="75">
        <v>0</v>
      </c>
      <c r="AK151" s="75">
        <v>0</v>
      </c>
      <c r="AL151" s="95">
        <v>0</v>
      </c>
      <c r="AM151" s="92">
        <v>0</v>
      </c>
      <c r="AN151" s="79" t="s">
        <v>80</v>
      </c>
      <c r="AO151" s="75">
        <v>1</v>
      </c>
      <c r="AP151" s="75" t="s">
        <v>84</v>
      </c>
      <c r="AQ151" s="122">
        <v>1</v>
      </c>
      <c r="AR151" s="515" t="s">
        <v>10</v>
      </c>
      <c r="AS151" s="95">
        <v>0</v>
      </c>
      <c r="AT151" s="75">
        <v>0</v>
      </c>
      <c r="AU151" s="75">
        <v>0</v>
      </c>
      <c r="AV151" s="75">
        <v>0</v>
      </c>
      <c r="AW151" s="123">
        <v>0</v>
      </c>
      <c r="AX151" s="516"/>
      <c r="AY151" s="75">
        <v>0</v>
      </c>
      <c r="AZ151" s="77" t="s">
        <v>132</v>
      </c>
      <c r="BA151" s="78" t="s">
        <v>131</v>
      </c>
      <c r="BB151" s="78" t="s">
        <v>131</v>
      </c>
      <c r="BC151" s="78" t="s">
        <v>131</v>
      </c>
      <c r="BD151" s="78" t="s">
        <v>131</v>
      </c>
      <c r="BE151" s="78" t="s">
        <v>131</v>
      </c>
      <c r="BF151" s="78" t="s">
        <v>131</v>
      </c>
      <c r="BG151" s="78" t="s">
        <v>131</v>
      </c>
      <c r="BH151" s="75" t="s">
        <v>5970</v>
      </c>
      <c r="BI151" s="295" t="s">
        <v>5942</v>
      </c>
      <c r="BJ151" s="546" t="s">
        <v>16</v>
      </c>
      <c r="BK151" s="294" t="s">
        <v>16</v>
      </c>
      <c r="BL151" s="157" t="s">
        <v>16</v>
      </c>
      <c r="BM151" s="548" t="s">
        <v>1340</v>
      </c>
      <c r="BN151" s="548" t="s">
        <v>4158</v>
      </c>
      <c r="BO151" s="157" t="s">
        <v>4220</v>
      </c>
      <c r="BP151" s="548" t="s">
        <v>4729</v>
      </c>
      <c r="BQ151" s="157" t="s">
        <v>4217</v>
      </c>
      <c r="BR151" s="157"/>
    </row>
    <row r="152" spans="1:70" x14ac:dyDescent="0.25">
      <c r="A152" s="19" t="s">
        <v>3686</v>
      </c>
      <c r="B152" s="37" t="s">
        <v>5101</v>
      </c>
      <c r="C152" s="90">
        <v>45491.7425</v>
      </c>
      <c r="D152" s="114">
        <v>45491.4925</v>
      </c>
      <c r="E152" s="38">
        <v>45491</v>
      </c>
      <c r="F152" s="91">
        <v>2024</v>
      </c>
      <c r="G152" s="93">
        <v>7</v>
      </c>
      <c r="H152" s="37" t="s">
        <v>2548</v>
      </c>
      <c r="I152" s="37"/>
      <c r="J152" s="103">
        <v>-91.740232347413325</v>
      </c>
      <c r="K152" s="40">
        <v>44.272644685585625</v>
      </c>
      <c r="L152" s="74"/>
      <c r="M152" s="272" t="s">
        <v>5102</v>
      </c>
      <c r="N152" s="74">
        <v>1</v>
      </c>
      <c r="O152" s="94"/>
      <c r="P152" s="118">
        <v>1</v>
      </c>
      <c r="Q152" s="510">
        <v>180</v>
      </c>
      <c r="R152" s="513">
        <v>180</v>
      </c>
      <c r="S152" s="41"/>
      <c r="T152" s="40"/>
      <c r="U152" s="40">
        <v>8</v>
      </c>
      <c r="V152" s="119">
        <v>1</v>
      </c>
      <c r="W152" s="40">
        <v>100</v>
      </c>
      <c r="X152" s="119">
        <v>1</v>
      </c>
      <c r="Y152" s="40">
        <v>63</v>
      </c>
      <c r="Z152" s="119">
        <v>1</v>
      </c>
      <c r="AA152" s="368">
        <v>0</v>
      </c>
      <c r="AB152" s="535">
        <v>0</v>
      </c>
      <c r="AC152" s="39" t="s">
        <v>160</v>
      </c>
      <c r="AD152" s="75" t="s">
        <v>10</v>
      </c>
      <c r="AE152" s="95">
        <v>0</v>
      </c>
      <c r="AF152" s="75">
        <v>0</v>
      </c>
      <c r="AG152" s="75">
        <v>0</v>
      </c>
      <c r="AH152" s="75">
        <v>0</v>
      </c>
      <c r="AI152" s="75">
        <v>0</v>
      </c>
      <c r="AJ152" s="75">
        <v>0</v>
      </c>
      <c r="AK152" s="75">
        <v>0</v>
      </c>
      <c r="AL152" s="95">
        <v>1</v>
      </c>
      <c r="AM152" s="92">
        <v>0</v>
      </c>
      <c r="AN152" s="79" t="s">
        <v>80</v>
      </c>
      <c r="AO152" s="75">
        <v>1</v>
      </c>
      <c r="AP152" s="75" t="s">
        <v>85</v>
      </c>
      <c r="AQ152" s="122">
        <v>1</v>
      </c>
      <c r="AR152" s="515" t="s">
        <v>35</v>
      </c>
      <c r="AS152" s="95">
        <v>0</v>
      </c>
      <c r="AT152" s="75">
        <v>1</v>
      </c>
      <c r="AU152" s="75">
        <v>0</v>
      </c>
      <c r="AV152" s="75">
        <v>0</v>
      </c>
      <c r="AW152" s="123">
        <v>0</v>
      </c>
      <c r="AX152" s="516"/>
      <c r="AY152" s="75">
        <v>0</v>
      </c>
      <c r="AZ152" s="77" t="s">
        <v>131</v>
      </c>
      <c r="BA152" s="78" t="s">
        <v>131</v>
      </c>
      <c r="BB152" s="78" t="s">
        <v>131</v>
      </c>
      <c r="BC152" s="78" t="s">
        <v>131</v>
      </c>
      <c r="BD152" s="78" t="s">
        <v>131</v>
      </c>
      <c r="BE152" s="78" t="s">
        <v>131</v>
      </c>
      <c r="BF152" s="78" t="s">
        <v>131</v>
      </c>
      <c r="BG152" s="78" t="s">
        <v>132</v>
      </c>
      <c r="BH152" s="75" t="s">
        <v>5970</v>
      </c>
      <c r="BI152" s="295" t="s">
        <v>5933</v>
      </c>
      <c r="BJ152" s="546" t="s">
        <v>16</v>
      </c>
      <c r="BK152" s="294" t="s">
        <v>16</v>
      </c>
      <c r="BL152" s="157" t="s">
        <v>16</v>
      </c>
      <c r="BM152" s="548" t="s">
        <v>1340</v>
      </c>
      <c r="BN152" s="548" t="s">
        <v>4158</v>
      </c>
      <c r="BO152" s="157" t="s">
        <v>5850</v>
      </c>
      <c r="BP152" s="548" t="s">
        <v>5851</v>
      </c>
      <c r="BQ152" s="157" t="s">
        <v>4765</v>
      </c>
      <c r="BR152" s="157"/>
    </row>
    <row r="153" spans="1:70" x14ac:dyDescent="0.25">
      <c r="A153" s="19" t="s">
        <v>3686</v>
      </c>
      <c r="B153" s="37" t="s">
        <v>5103</v>
      </c>
      <c r="C153" s="90">
        <v>45491.658020833333</v>
      </c>
      <c r="D153" s="114">
        <v>45491.408020833333</v>
      </c>
      <c r="E153" s="38">
        <v>45491</v>
      </c>
      <c r="F153" s="91">
        <v>2024</v>
      </c>
      <c r="G153" s="93">
        <v>7</v>
      </c>
      <c r="H153" s="37" t="s">
        <v>2548</v>
      </c>
      <c r="I153" s="37"/>
      <c r="J153" s="103">
        <v>-91.680073380566341</v>
      </c>
      <c r="K153" s="40">
        <v>44.330282193214479</v>
      </c>
      <c r="L153" s="74"/>
      <c r="M153" s="272" t="s">
        <v>5104</v>
      </c>
      <c r="N153" s="74">
        <v>1</v>
      </c>
      <c r="O153" s="94"/>
      <c r="P153" s="118">
        <v>1</v>
      </c>
      <c r="Q153" s="510">
        <v>180</v>
      </c>
      <c r="R153" s="513">
        <v>180</v>
      </c>
      <c r="S153" s="41"/>
      <c r="T153" s="40"/>
      <c r="U153" s="40">
        <v>7.5</v>
      </c>
      <c r="V153" s="119">
        <v>1</v>
      </c>
      <c r="W153" s="40">
        <v>0</v>
      </c>
      <c r="X153" s="119">
        <v>1</v>
      </c>
      <c r="Y153" s="40">
        <v>57</v>
      </c>
      <c r="Z153" s="119">
        <v>1</v>
      </c>
      <c r="AA153" s="368">
        <v>0</v>
      </c>
      <c r="AB153" s="535">
        <v>5</v>
      </c>
      <c r="AC153" s="39" t="s">
        <v>160</v>
      </c>
      <c r="AD153" s="75" t="s">
        <v>10</v>
      </c>
      <c r="AE153" s="95">
        <v>0</v>
      </c>
      <c r="AF153" s="75">
        <v>0</v>
      </c>
      <c r="AG153" s="75">
        <v>0</v>
      </c>
      <c r="AH153" s="75">
        <v>0</v>
      </c>
      <c r="AI153" s="75">
        <v>0</v>
      </c>
      <c r="AJ153" s="75">
        <v>0</v>
      </c>
      <c r="AK153" s="75">
        <v>0</v>
      </c>
      <c r="AL153" s="95">
        <v>1</v>
      </c>
      <c r="AM153" s="92">
        <v>0</v>
      </c>
      <c r="AN153" s="79" t="s">
        <v>80</v>
      </c>
      <c r="AO153" s="75">
        <v>1</v>
      </c>
      <c r="AP153" s="75" t="s">
        <v>83</v>
      </c>
      <c r="AQ153" s="122">
        <v>1</v>
      </c>
      <c r="AR153" s="515" t="s">
        <v>35</v>
      </c>
      <c r="AS153" s="95">
        <v>0</v>
      </c>
      <c r="AT153" s="75">
        <v>1</v>
      </c>
      <c r="AU153" s="75">
        <v>0</v>
      </c>
      <c r="AV153" s="75">
        <v>0</v>
      </c>
      <c r="AW153" s="123">
        <v>0</v>
      </c>
      <c r="AX153" s="516"/>
      <c r="AY153" s="75">
        <v>0</v>
      </c>
      <c r="AZ153" s="77" t="s">
        <v>131</v>
      </c>
      <c r="BA153" s="78" t="s">
        <v>131</v>
      </c>
      <c r="BB153" s="78" t="s">
        <v>131</v>
      </c>
      <c r="BC153" s="78" t="s">
        <v>131</v>
      </c>
      <c r="BD153" s="78" t="s">
        <v>131</v>
      </c>
      <c r="BE153" s="78" t="s">
        <v>131</v>
      </c>
      <c r="BF153" s="78" t="s">
        <v>131</v>
      </c>
      <c r="BG153" s="78" t="s">
        <v>132</v>
      </c>
      <c r="BH153" s="75" t="s">
        <v>5970</v>
      </c>
      <c r="BI153" s="295" t="s">
        <v>2309</v>
      </c>
      <c r="BJ153" s="546" t="s">
        <v>16</v>
      </c>
      <c r="BK153" s="294" t="s">
        <v>16</v>
      </c>
      <c r="BL153" s="157" t="s">
        <v>16</v>
      </c>
      <c r="BM153" s="548" t="s">
        <v>1340</v>
      </c>
      <c r="BN153" s="548" t="s">
        <v>4158</v>
      </c>
      <c r="BO153" s="157" t="s">
        <v>5848</v>
      </c>
      <c r="BP153" s="548" t="s">
        <v>5849</v>
      </c>
      <c r="BQ153" s="157" t="s">
        <v>4765</v>
      </c>
      <c r="BR153" s="157"/>
    </row>
    <row r="154" spans="1:70" x14ac:dyDescent="0.25">
      <c r="A154" s="19" t="s">
        <v>3686</v>
      </c>
      <c r="B154" s="37" t="s">
        <v>5105</v>
      </c>
      <c r="C154" s="90">
        <v>45491.636030092595</v>
      </c>
      <c r="D154" s="114">
        <v>45491.386030092595</v>
      </c>
      <c r="E154" s="38">
        <v>45491</v>
      </c>
      <c r="F154" s="91">
        <v>2024</v>
      </c>
      <c r="G154" s="93">
        <v>7</v>
      </c>
      <c r="H154" s="37" t="s">
        <v>4981</v>
      </c>
      <c r="I154" s="37"/>
      <c r="J154" s="103">
        <v>-91.785253000977676</v>
      </c>
      <c r="K154" s="40">
        <v>42.879342612903955</v>
      </c>
      <c r="L154" s="74"/>
      <c r="M154" s="272" t="s">
        <v>5106</v>
      </c>
      <c r="N154" s="74">
        <v>1</v>
      </c>
      <c r="O154" s="94"/>
      <c r="P154" s="118">
        <v>1</v>
      </c>
      <c r="Q154" s="510">
        <v>80</v>
      </c>
      <c r="R154" s="513">
        <v>180</v>
      </c>
      <c r="S154" s="41"/>
      <c r="T154" s="40"/>
      <c r="U154" s="40">
        <v>8</v>
      </c>
      <c r="V154" s="119">
        <v>0</v>
      </c>
      <c r="W154" s="40"/>
      <c r="X154" s="119">
        <v>1</v>
      </c>
      <c r="Y154" s="40">
        <v>58</v>
      </c>
      <c r="Z154" s="119">
        <v>1</v>
      </c>
      <c r="AA154" s="368">
        <v>0</v>
      </c>
      <c r="AB154" s="535">
        <v>10</v>
      </c>
      <c r="AC154" s="39" t="s">
        <v>160</v>
      </c>
      <c r="AD154" s="75" t="s">
        <v>10</v>
      </c>
      <c r="AE154" s="95">
        <v>0</v>
      </c>
      <c r="AF154" s="75">
        <v>0</v>
      </c>
      <c r="AG154" s="75">
        <v>0</v>
      </c>
      <c r="AH154" s="75">
        <v>0</v>
      </c>
      <c r="AI154" s="75">
        <v>0</v>
      </c>
      <c r="AJ154" s="75">
        <v>0</v>
      </c>
      <c r="AK154" s="75">
        <v>0</v>
      </c>
      <c r="AL154" s="95">
        <v>1</v>
      </c>
      <c r="AM154" s="92">
        <v>0</v>
      </c>
      <c r="AN154" s="79" t="s">
        <v>80</v>
      </c>
      <c r="AO154" s="75">
        <v>1</v>
      </c>
      <c r="AP154" s="75" t="s">
        <v>83</v>
      </c>
      <c r="AQ154" s="122">
        <v>1</v>
      </c>
      <c r="AR154" s="515" t="s">
        <v>10</v>
      </c>
      <c r="AS154" s="95">
        <v>0</v>
      </c>
      <c r="AT154" s="75">
        <v>0</v>
      </c>
      <c r="AU154" s="75">
        <v>0</v>
      </c>
      <c r="AV154" s="75">
        <v>0</v>
      </c>
      <c r="AW154" s="123">
        <v>0</v>
      </c>
      <c r="AX154" s="516"/>
      <c r="AY154" s="75">
        <v>0</v>
      </c>
      <c r="AZ154" s="77" t="s">
        <v>131</v>
      </c>
      <c r="BA154" s="78" t="s">
        <v>131</v>
      </c>
      <c r="BB154" s="78" t="s">
        <v>131</v>
      </c>
      <c r="BC154" s="78" t="s">
        <v>131</v>
      </c>
      <c r="BD154" s="78" t="s">
        <v>131</v>
      </c>
      <c r="BE154" s="78" t="s">
        <v>131</v>
      </c>
      <c r="BF154" s="78" t="s">
        <v>131</v>
      </c>
      <c r="BG154" s="78" t="s">
        <v>132</v>
      </c>
      <c r="BH154" s="75" t="s">
        <v>5970</v>
      </c>
      <c r="BI154" s="295">
        <v>0</v>
      </c>
      <c r="BJ154" s="546" t="s">
        <v>16</v>
      </c>
      <c r="BK154" s="294" t="s">
        <v>16</v>
      </c>
      <c r="BL154" s="157" t="s">
        <v>16</v>
      </c>
      <c r="BM154" s="548" t="s">
        <v>1344</v>
      </c>
      <c r="BN154" s="548" t="s">
        <v>4160</v>
      </c>
      <c r="BO154" s="157" t="s">
        <v>4679</v>
      </c>
      <c r="BP154" s="548" t="s">
        <v>4680</v>
      </c>
      <c r="BQ154" s="157" t="s">
        <v>4571</v>
      </c>
      <c r="BR154" s="157"/>
    </row>
    <row r="155" spans="1:70" x14ac:dyDescent="0.25">
      <c r="A155" s="19" t="s">
        <v>3686</v>
      </c>
      <c r="B155" s="37" t="s">
        <v>5107</v>
      </c>
      <c r="C155" s="90">
        <v>45491.621481481481</v>
      </c>
      <c r="D155" s="114">
        <v>45491.371481481481</v>
      </c>
      <c r="E155" s="38">
        <v>45491</v>
      </c>
      <c r="F155" s="91">
        <v>2024</v>
      </c>
      <c r="G155" s="93">
        <v>7</v>
      </c>
      <c r="H155" s="37" t="s">
        <v>2548</v>
      </c>
      <c r="I155" s="37"/>
      <c r="J155" s="103">
        <v>-91.682582627786402</v>
      </c>
      <c r="K155" s="40">
        <v>44.333421973181629</v>
      </c>
      <c r="L155" s="74"/>
      <c r="M155" s="272" t="s">
        <v>5108</v>
      </c>
      <c r="N155" s="74">
        <v>1</v>
      </c>
      <c r="O155" s="94"/>
      <c r="P155" s="118">
        <v>1</v>
      </c>
      <c r="Q155" s="510">
        <v>180</v>
      </c>
      <c r="R155" s="513">
        <v>120</v>
      </c>
      <c r="S155" s="41"/>
      <c r="T155" s="40"/>
      <c r="U155" s="40">
        <v>7.5</v>
      </c>
      <c r="V155" s="119">
        <v>1</v>
      </c>
      <c r="W155" s="40">
        <v>100</v>
      </c>
      <c r="X155" s="119">
        <v>1</v>
      </c>
      <c r="Y155" s="40">
        <v>56</v>
      </c>
      <c r="Z155" s="119">
        <v>1</v>
      </c>
      <c r="AA155" s="368">
        <v>0</v>
      </c>
      <c r="AB155" s="535">
        <v>2</v>
      </c>
      <c r="AC155" s="39" t="s">
        <v>160</v>
      </c>
      <c r="AD155" s="75" t="s">
        <v>10</v>
      </c>
      <c r="AE155" s="95">
        <v>0</v>
      </c>
      <c r="AF155" s="75">
        <v>0</v>
      </c>
      <c r="AG155" s="75">
        <v>0</v>
      </c>
      <c r="AH155" s="75">
        <v>0</v>
      </c>
      <c r="AI155" s="75">
        <v>0</v>
      </c>
      <c r="AJ155" s="75">
        <v>0</v>
      </c>
      <c r="AK155" s="75">
        <v>0</v>
      </c>
      <c r="AL155" s="95">
        <v>1</v>
      </c>
      <c r="AM155" s="92">
        <v>0</v>
      </c>
      <c r="AN155" s="79" t="s">
        <v>80</v>
      </c>
      <c r="AO155" s="75">
        <v>1</v>
      </c>
      <c r="AP155" s="75" t="s">
        <v>84</v>
      </c>
      <c r="AQ155" s="122">
        <v>1</v>
      </c>
      <c r="AR155" s="515" t="s">
        <v>35</v>
      </c>
      <c r="AS155" s="95">
        <v>0</v>
      </c>
      <c r="AT155" s="75">
        <v>1</v>
      </c>
      <c r="AU155" s="75">
        <v>0</v>
      </c>
      <c r="AV155" s="75">
        <v>0</v>
      </c>
      <c r="AW155" s="123">
        <v>0</v>
      </c>
      <c r="AX155" s="516"/>
      <c r="AY155" s="75">
        <v>0</v>
      </c>
      <c r="AZ155" s="77" t="s">
        <v>131</v>
      </c>
      <c r="BA155" s="78" t="s">
        <v>131</v>
      </c>
      <c r="BB155" s="78" t="s">
        <v>131</v>
      </c>
      <c r="BC155" s="78" t="s">
        <v>131</v>
      </c>
      <c r="BD155" s="78" t="s">
        <v>131</v>
      </c>
      <c r="BE155" s="78" t="s">
        <v>131</v>
      </c>
      <c r="BF155" s="78" t="s">
        <v>131</v>
      </c>
      <c r="BG155" s="78" t="s">
        <v>132</v>
      </c>
      <c r="BH155" s="75" t="s">
        <v>5970</v>
      </c>
      <c r="BI155" s="295" t="s">
        <v>2309</v>
      </c>
      <c r="BJ155" s="546" t="s">
        <v>16</v>
      </c>
      <c r="BK155" s="294" t="s">
        <v>16</v>
      </c>
      <c r="BL155" s="157" t="s">
        <v>16</v>
      </c>
      <c r="BM155" s="548" t="s">
        <v>1340</v>
      </c>
      <c r="BN155" s="548" t="s">
        <v>4158</v>
      </c>
      <c r="BO155" s="157" t="s">
        <v>5848</v>
      </c>
      <c r="BP155" s="548" t="s">
        <v>5849</v>
      </c>
      <c r="BQ155" s="157" t="s">
        <v>4765</v>
      </c>
      <c r="BR155" s="157"/>
    </row>
    <row r="156" spans="1:70" x14ac:dyDescent="0.25">
      <c r="A156" s="19" t="s">
        <v>3686</v>
      </c>
      <c r="B156" s="37" t="s">
        <v>5109</v>
      </c>
      <c r="C156" s="90">
        <v>45491.544629629629</v>
      </c>
      <c r="D156" s="114">
        <v>45491.294629629629</v>
      </c>
      <c r="E156" s="38">
        <v>45491</v>
      </c>
      <c r="F156" s="91">
        <v>2024</v>
      </c>
      <c r="G156" s="93">
        <v>7</v>
      </c>
      <c r="H156" s="37" t="s">
        <v>2548</v>
      </c>
      <c r="I156" s="37"/>
      <c r="J156" s="103">
        <v>-91.699678487060538</v>
      </c>
      <c r="K156" s="40">
        <v>44.168376493535874</v>
      </c>
      <c r="L156" s="74"/>
      <c r="M156" s="272" t="s">
        <v>5110</v>
      </c>
      <c r="N156" s="74">
        <v>1</v>
      </c>
      <c r="O156" s="94"/>
      <c r="P156" s="118">
        <v>1</v>
      </c>
      <c r="Q156" s="510">
        <v>180</v>
      </c>
      <c r="R156" s="513">
        <v>180</v>
      </c>
      <c r="S156" s="41"/>
      <c r="T156" s="40"/>
      <c r="U156" s="40">
        <v>7.5</v>
      </c>
      <c r="V156" s="119">
        <v>0</v>
      </c>
      <c r="W156" s="40"/>
      <c r="X156" s="119">
        <v>1</v>
      </c>
      <c r="Y156" s="40">
        <v>58</v>
      </c>
      <c r="Z156" s="119">
        <v>1</v>
      </c>
      <c r="AA156" s="368">
        <v>0</v>
      </c>
      <c r="AB156" s="535">
        <v>2</v>
      </c>
      <c r="AC156" s="39" t="s">
        <v>160</v>
      </c>
      <c r="AD156" s="75" t="s">
        <v>10</v>
      </c>
      <c r="AE156" s="95">
        <v>0</v>
      </c>
      <c r="AF156" s="75">
        <v>0</v>
      </c>
      <c r="AG156" s="75">
        <v>0</v>
      </c>
      <c r="AH156" s="75">
        <v>0</v>
      </c>
      <c r="AI156" s="75">
        <v>0</v>
      </c>
      <c r="AJ156" s="75">
        <v>0</v>
      </c>
      <c r="AK156" s="75">
        <v>0</v>
      </c>
      <c r="AL156" s="95">
        <v>1</v>
      </c>
      <c r="AM156" s="92">
        <v>0</v>
      </c>
      <c r="AN156" s="79" t="s">
        <v>80</v>
      </c>
      <c r="AO156" s="75">
        <v>1</v>
      </c>
      <c r="AP156" s="75" t="s">
        <v>85</v>
      </c>
      <c r="AQ156" s="122">
        <v>1</v>
      </c>
      <c r="AR156" s="515" t="s">
        <v>35</v>
      </c>
      <c r="AS156" s="95">
        <v>0</v>
      </c>
      <c r="AT156" s="75">
        <v>1</v>
      </c>
      <c r="AU156" s="75">
        <v>0</v>
      </c>
      <c r="AV156" s="75">
        <v>0</v>
      </c>
      <c r="AW156" s="123">
        <v>0</v>
      </c>
      <c r="AX156" s="516"/>
      <c r="AY156" s="75">
        <v>0</v>
      </c>
      <c r="AZ156" s="77" t="s">
        <v>131</v>
      </c>
      <c r="BA156" s="78" t="s">
        <v>131</v>
      </c>
      <c r="BB156" s="78" t="s">
        <v>131</v>
      </c>
      <c r="BC156" s="78" t="s">
        <v>131</v>
      </c>
      <c r="BD156" s="78" t="s">
        <v>131</v>
      </c>
      <c r="BE156" s="78" t="s">
        <v>131</v>
      </c>
      <c r="BF156" s="78" t="s">
        <v>131</v>
      </c>
      <c r="BG156" s="78" t="s">
        <v>132</v>
      </c>
      <c r="BH156" s="75" t="s">
        <v>5970</v>
      </c>
      <c r="BI156" s="295" t="s">
        <v>2277</v>
      </c>
      <c r="BJ156" s="546">
        <v>1</v>
      </c>
      <c r="BK156" s="294" t="s">
        <v>16</v>
      </c>
      <c r="BL156" s="157" t="s">
        <v>16</v>
      </c>
      <c r="BM156" s="548" t="s">
        <v>1340</v>
      </c>
      <c r="BN156" s="548" t="s">
        <v>4158</v>
      </c>
      <c r="BO156" s="157" t="s">
        <v>4766</v>
      </c>
      <c r="BP156" s="548" t="s">
        <v>2277</v>
      </c>
      <c r="BQ156" s="157" t="s">
        <v>4765</v>
      </c>
      <c r="BR156" s="157"/>
    </row>
    <row r="157" spans="1:70" x14ac:dyDescent="0.25">
      <c r="A157" s="19" t="s">
        <v>3686</v>
      </c>
      <c r="B157" s="37" t="s">
        <v>5111</v>
      </c>
      <c r="C157" s="90">
        <v>45490.776990740742</v>
      </c>
      <c r="D157" s="114">
        <v>45490.526990740742</v>
      </c>
      <c r="E157" s="38">
        <v>45490</v>
      </c>
      <c r="F157" s="91">
        <v>2024</v>
      </c>
      <c r="G157" s="93">
        <v>7</v>
      </c>
      <c r="H157" s="37" t="s">
        <v>2446</v>
      </c>
      <c r="I157" s="37"/>
      <c r="J157" s="103">
        <v>-92.190640634957234</v>
      </c>
      <c r="K157" s="40">
        <v>44.655021157484853</v>
      </c>
      <c r="L157" s="74"/>
      <c r="M157" s="272" t="s">
        <v>5112</v>
      </c>
      <c r="N157" s="74">
        <v>1</v>
      </c>
      <c r="O157" s="94"/>
      <c r="P157" s="118">
        <v>1</v>
      </c>
      <c r="Q157" s="510">
        <v>80</v>
      </c>
      <c r="R157" s="513">
        <v>120</v>
      </c>
      <c r="S157" s="41"/>
      <c r="T157" s="40"/>
      <c r="U157" s="40">
        <v>7</v>
      </c>
      <c r="V157" s="119">
        <v>1</v>
      </c>
      <c r="W157" s="40">
        <v>100</v>
      </c>
      <c r="X157" s="119">
        <v>1</v>
      </c>
      <c r="Y157" s="40">
        <v>69</v>
      </c>
      <c r="Z157" s="119">
        <v>1</v>
      </c>
      <c r="AA157" s="368">
        <v>0</v>
      </c>
      <c r="AB157" s="535">
        <v>2</v>
      </c>
      <c r="AC157" s="39" t="s">
        <v>160</v>
      </c>
      <c r="AD157" s="75" t="s">
        <v>10</v>
      </c>
      <c r="AE157" s="95">
        <v>0</v>
      </c>
      <c r="AF157" s="75">
        <v>0</v>
      </c>
      <c r="AG157" s="75">
        <v>0</v>
      </c>
      <c r="AH157" s="75">
        <v>0</v>
      </c>
      <c r="AI157" s="75">
        <v>0</v>
      </c>
      <c r="AJ157" s="75">
        <v>0</v>
      </c>
      <c r="AK157" s="75">
        <v>0</v>
      </c>
      <c r="AL157" s="95">
        <v>1</v>
      </c>
      <c r="AM157" s="92">
        <v>0</v>
      </c>
      <c r="AN157" s="79" t="s">
        <v>80</v>
      </c>
      <c r="AO157" s="75">
        <v>1</v>
      </c>
      <c r="AP157" s="75" t="s">
        <v>84</v>
      </c>
      <c r="AQ157" s="122">
        <v>1</v>
      </c>
      <c r="AR157" s="515" t="s">
        <v>10</v>
      </c>
      <c r="AS157" s="95">
        <v>0</v>
      </c>
      <c r="AT157" s="75">
        <v>0</v>
      </c>
      <c r="AU157" s="75">
        <v>0</v>
      </c>
      <c r="AV157" s="75">
        <v>0</v>
      </c>
      <c r="AW157" s="123">
        <v>0</v>
      </c>
      <c r="AX157" s="516"/>
      <c r="AY157" s="75">
        <v>0</v>
      </c>
      <c r="AZ157" s="77" t="s">
        <v>131</v>
      </c>
      <c r="BA157" s="78" t="s">
        <v>131</v>
      </c>
      <c r="BB157" s="78" t="s">
        <v>131</v>
      </c>
      <c r="BC157" s="78" t="s">
        <v>131</v>
      </c>
      <c r="BD157" s="78" t="s">
        <v>131</v>
      </c>
      <c r="BE157" s="78" t="s">
        <v>131</v>
      </c>
      <c r="BF157" s="78" t="s">
        <v>131</v>
      </c>
      <c r="BG157" s="78" t="s">
        <v>132</v>
      </c>
      <c r="BH157" s="75" t="s">
        <v>5970</v>
      </c>
      <c r="BI157" s="295" t="s">
        <v>2248</v>
      </c>
      <c r="BJ157" s="546">
        <v>1</v>
      </c>
      <c r="BK157" s="294">
        <v>1</v>
      </c>
      <c r="BL157" s="157">
        <v>1</v>
      </c>
      <c r="BM157" s="548" t="s">
        <v>578</v>
      </c>
      <c r="BN157" s="548" t="s">
        <v>4158</v>
      </c>
      <c r="BO157" s="157" t="s">
        <v>4218</v>
      </c>
      <c r="BP157" s="548" t="s">
        <v>4221</v>
      </c>
      <c r="BQ157" s="157" t="s">
        <v>4217</v>
      </c>
      <c r="BR157" s="157"/>
    </row>
    <row r="158" spans="1:70" x14ac:dyDescent="0.25">
      <c r="A158" s="19" t="s">
        <v>3686</v>
      </c>
      <c r="B158" s="37" t="s">
        <v>5113</v>
      </c>
      <c r="C158" s="90">
        <v>45490.659398148149</v>
      </c>
      <c r="D158" s="114">
        <v>45490.409398148149</v>
      </c>
      <c r="E158" s="38">
        <v>45490</v>
      </c>
      <c r="F158" s="91">
        <v>2024</v>
      </c>
      <c r="G158" s="93">
        <v>7</v>
      </c>
      <c r="H158" s="37" t="s">
        <v>2446</v>
      </c>
      <c r="I158" s="37"/>
      <c r="J158" s="103">
        <v>-92.140060679726957</v>
      </c>
      <c r="K158" s="40">
        <v>44.722203815014055</v>
      </c>
      <c r="L158" s="74"/>
      <c r="M158" s="272" t="s">
        <v>5114</v>
      </c>
      <c r="N158" s="74">
        <v>1</v>
      </c>
      <c r="O158" s="94"/>
      <c r="P158" s="118">
        <v>0</v>
      </c>
      <c r="Q158" s="510"/>
      <c r="R158" s="513"/>
      <c r="S158" s="41"/>
      <c r="T158" s="40"/>
      <c r="U158" s="40"/>
      <c r="V158" s="119">
        <v>0</v>
      </c>
      <c r="W158" s="40"/>
      <c r="X158" s="119">
        <v>1</v>
      </c>
      <c r="Y158" s="40">
        <v>57</v>
      </c>
      <c r="Z158" s="119">
        <v>0</v>
      </c>
      <c r="AA158" s="368" t="s">
        <v>16</v>
      </c>
      <c r="AB158" s="535" t="s">
        <v>16</v>
      </c>
      <c r="AC158" s="39" t="s">
        <v>160</v>
      </c>
      <c r="AD158" s="75" t="s">
        <v>10</v>
      </c>
      <c r="AE158" s="95">
        <v>0</v>
      </c>
      <c r="AF158" s="75">
        <v>0</v>
      </c>
      <c r="AG158" s="75">
        <v>0</v>
      </c>
      <c r="AH158" s="75">
        <v>0</v>
      </c>
      <c r="AI158" s="75">
        <v>0</v>
      </c>
      <c r="AJ158" s="75">
        <v>0</v>
      </c>
      <c r="AK158" s="75">
        <v>0</v>
      </c>
      <c r="AL158" s="95">
        <v>1</v>
      </c>
      <c r="AM158" s="92">
        <v>0</v>
      </c>
      <c r="AN158" s="79" t="s">
        <v>80</v>
      </c>
      <c r="AO158" s="75">
        <v>1</v>
      </c>
      <c r="AP158" s="75" t="s">
        <v>84</v>
      </c>
      <c r="AQ158" s="122">
        <v>1</v>
      </c>
      <c r="AR158" s="515" t="s">
        <v>10</v>
      </c>
      <c r="AS158" s="95">
        <v>0</v>
      </c>
      <c r="AT158" s="75">
        <v>0</v>
      </c>
      <c r="AU158" s="75">
        <v>0</v>
      </c>
      <c r="AV158" s="75">
        <v>0</v>
      </c>
      <c r="AW158" s="123">
        <v>0</v>
      </c>
      <c r="AX158" s="516"/>
      <c r="AY158" s="75">
        <v>0</v>
      </c>
      <c r="AZ158" s="77" t="s">
        <v>131</v>
      </c>
      <c r="BA158" s="78" t="s">
        <v>131</v>
      </c>
      <c r="BB158" s="78" t="s">
        <v>131</v>
      </c>
      <c r="BC158" s="78" t="s">
        <v>131</v>
      </c>
      <c r="BD158" s="78" t="s">
        <v>131</v>
      </c>
      <c r="BE158" s="78" t="s">
        <v>131</v>
      </c>
      <c r="BF158" s="78" t="s">
        <v>131</v>
      </c>
      <c r="BG158" s="78" t="s">
        <v>132</v>
      </c>
      <c r="BH158" s="75" t="s">
        <v>5970</v>
      </c>
      <c r="BI158" s="295" t="s">
        <v>5853</v>
      </c>
      <c r="BJ158" s="546" t="s">
        <v>16</v>
      </c>
      <c r="BK158" s="294" t="s">
        <v>16</v>
      </c>
      <c r="BL158" s="157" t="s">
        <v>16</v>
      </c>
      <c r="BM158" s="548" t="s">
        <v>578</v>
      </c>
      <c r="BN158" s="548" t="s">
        <v>4158</v>
      </c>
      <c r="BO158" s="157" t="s">
        <v>5852</v>
      </c>
      <c r="BP158" s="548" t="s">
        <v>5853</v>
      </c>
      <c r="BQ158" s="157" t="s">
        <v>4316</v>
      </c>
      <c r="BR158" s="157"/>
    </row>
    <row r="159" spans="1:70" x14ac:dyDescent="0.25">
      <c r="A159" s="19" t="s">
        <v>3686</v>
      </c>
      <c r="B159" s="37" t="s">
        <v>5115</v>
      </c>
      <c r="C159" s="90">
        <v>45490.600381944445</v>
      </c>
      <c r="D159" s="114">
        <v>45490.350381944445</v>
      </c>
      <c r="E159" s="38">
        <v>45490</v>
      </c>
      <c r="F159" s="91">
        <v>2024</v>
      </c>
      <c r="G159" s="93">
        <v>7</v>
      </c>
      <c r="H159" s="37" t="s">
        <v>4981</v>
      </c>
      <c r="I159" s="37"/>
      <c r="J159" s="103">
        <v>-91.45716183665472</v>
      </c>
      <c r="K159" s="40">
        <v>42.721989930971397</v>
      </c>
      <c r="L159" s="74"/>
      <c r="M159" s="272" t="s">
        <v>5116</v>
      </c>
      <c r="N159" s="74">
        <v>1</v>
      </c>
      <c r="O159" s="94"/>
      <c r="P159" s="118">
        <v>1</v>
      </c>
      <c r="Q159" s="510">
        <v>40</v>
      </c>
      <c r="R159" s="513">
        <v>60</v>
      </c>
      <c r="S159" s="41"/>
      <c r="T159" s="40"/>
      <c r="U159" s="40">
        <v>7</v>
      </c>
      <c r="V159" s="119">
        <v>0</v>
      </c>
      <c r="W159" s="40"/>
      <c r="X159" s="119">
        <v>1</v>
      </c>
      <c r="Y159" s="40">
        <v>62</v>
      </c>
      <c r="Z159" s="119">
        <v>1</v>
      </c>
      <c r="AA159" s="368">
        <v>0</v>
      </c>
      <c r="AB159" s="535">
        <v>5</v>
      </c>
      <c r="AC159" s="39" t="s">
        <v>160</v>
      </c>
      <c r="AD159" s="75" t="s">
        <v>355</v>
      </c>
      <c r="AE159" s="95">
        <v>0</v>
      </c>
      <c r="AF159" s="75">
        <v>0</v>
      </c>
      <c r="AG159" s="75">
        <v>0</v>
      </c>
      <c r="AH159" s="75">
        <v>1</v>
      </c>
      <c r="AI159" s="75">
        <v>0</v>
      </c>
      <c r="AJ159" s="75">
        <v>0</v>
      </c>
      <c r="AK159" s="75">
        <v>0</v>
      </c>
      <c r="AL159" s="95">
        <v>0</v>
      </c>
      <c r="AM159" s="92">
        <v>0</v>
      </c>
      <c r="AN159" s="79" t="s">
        <v>80</v>
      </c>
      <c r="AO159" s="75">
        <v>1</v>
      </c>
      <c r="AP159" s="75" t="s">
        <v>83</v>
      </c>
      <c r="AQ159" s="122">
        <v>1</v>
      </c>
      <c r="AR159" s="515" t="s">
        <v>10</v>
      </c>
      <c r="AS159" s="95">
        <v>0</v>
      </c>
      <c r="AT159" s="75">
        <v>0</v>
      </c>
      <c r="AU159" s="75">
        <v>0</v>
      </c>
      <c r="AV159" s="75">
        <v>0</v>
      </c>
      <c r="AW159" s="123">
        <v>0</v>
      </c>
      <c r="AX159" s="516"/>
      <c r="AY159" s="75">
        <v>0</v>
      </c>
      <c r="AZ159" s="77" t="s">
        <v>131</v>
      </c>
      <c r="BA159" s="78" t="s">
        <v>131</v>
      </c>
      <c r="BB159" s="78" t="s">
        <v>131</v>
      </c>
      <c r="BC159" s="78" t="s">
        <v>132</v>
      </c>
      <c r="BD159" s="78" t="s">
        <v>131</v>
      </c>
      <c r="BE159" s="78" t="s">
        <v>131</v>
      </c>
      <c r="BF159" s="78" t="s">
        <v>131</v>
      </c>
      <c r="BG159" s="78" t="s">
        <v>131</v>
      </c>
      <c r="BH159" s="75" t="s">
        <v>5970</v>
      </c>
      <c r="BI159" s="295" t="s">
        <v>4037</v>
      </c>
      <c r="BJ159" s="546">
        <v>1</v>
      </c>
      <c r="BK159" s="294" t="s">
        <v>16</v>
      </c>
      <c r="BL159" s="157" t="s">
        <v>16</v>
      </c>
      <c r="BM159" s="548" t="s">
        <v>1347</v>
      </c>
      <c r="BN159" s="548" t="s">
        <v>4160</v>
      </c>
      <c r="BO159" s="157" t="s">
        <v>4566</v>
      </c>
      <c r="BP159" s="548" t="s">
        <v>4596</v>
      </c>
      <c r="BQ159" s="157" t="s">
        <v>4563</v>
      </c>
      <c r="BR159" s="157"/>
    </row>
    <row r="160" spans="1:70" x14ac:dyDescent="0.25">
      <c r="A160" s="19" t="s">
        <v>3686</v>
      </c>
      <c r="B160" s="37" t="s">
        <v>5117</v>
      </c>
      <c r="C160" s="90">
        <v>45489.835289351853</v>
      </c>
      <c r="D160" s="114">
        <v>45489.585289351853</v>
      </c>
      <c r="E160" s="38">
        <v>45489</v>
      </c>
      <c r="F160" s="91">
        <v>2024</v>
      </c>
      <c r="G160" s="93">
        <v>7</v>
      </c>
      <c r="H160" s="37" t="s">
        <v>4981</v>
      </c>
      <c r="I160" s="37"/>
      <c r="J160" s="103">
        <v>-91.721021504113281</v>
      </c>
      <c r="K160" s="40">
        <v>42.824392824759855</v>
      </c>
      <c r="L160" s="74"/>
      <c r="M160" s="272" t="s">
        <v>5118</v>
      </c>
      <c r="N160" s="74">
        <v>1</v>
      </c>
      <c r="O160" s="94"/>
      <c r="P160" s="118">
        <v>1</v>
      </c>
      <c r="Q160" s="510">
        <v>180</v>
      </c>
      <c r="R160" s="513">
        <v>180</v>
      </c>
      <c r="S160" s="41"/>
      <c r="T160" s="40"/>
      <c r="U160" s="40">
        <v>8</v>
      </c>
      <c r="V160" s="119">
        <v>0</v>
      </c>
      <c r="W160" s="40"/>
      <c r="X160" s="119">
        <v>1</v>
      </c>
      <c r="Y160" s="40">
        <v>56</v>
      </c>
      <c r="Z160" s="119">
        <v>1</v>
      </c>
      <c r="AA160" s="368">
        <v>0</v>
      </c>
      <c r="AB160" s="535">
        <v>10</v>
      </c>
      <c r="AC160" s="39" t="s">
        <v>160</v>
      </c>
      <c r="AD160" s="75" t="s">
        <v>10</v>
      </c>
      <c r="AE160" s="95">
        <v>0</v>
      </c>
      <c r="AF160" s="75">
        <v>0</v>
      </c>
      <c r="AG160" s="75">
        <v>0</v>
      </c>
      <c r="AH160" s="75">
        <v>0</v>
      </c>
      <c r="AI160" s="75">
        <v>0</v>
      </c>
      <c r="AJ160" s="75">
        <v>0</v>
      </c>
      <c r="AK160" s="75">
        <v>0</v>
      </c>
      <c r="AL160" s="95">
        <v>1</v>
      </c>
      <c r="AM160" s="92">
        <v>0</v>
      </c>
      <c r="AN160" s="79" t="s">
        <v>81</v>
      </c>
      <c r="AO160" s="75">
        <v>1</v>
      </c>
      <c r="AP160" s="75" t="s">
        <v>83</v>
      </c>
      <c r="AQ160" s="122">
        <v>1</v>
      </c>
      <c r="AR160" s="515" t="s">
        <v>10</v>
      </c>
      <c r="AS160" s="95">
        <v>0</v>
      </c>
      <c r="AT160" s="75">
        <v>0</v>
      </c>
      <c r="AU160" s="75">
        <v>0</v>
      </c>
      <c r="AV160" s="75">
        <v>0</v>
      </c>
      <c r="AW160" s="123">
        <v>0</v>
      </c>
      <c r="AX160" s="516"/>
      <c r="AY160" s="75">
        <v>0</v>
      </c>
      <c r="AZ160" s="77" t="s">
        <v>131</v>
      </c>
      <c r="BA160" s="78" t="s">
        <v>131</v>
      </c>
      <c r="BB160" s="78" t="s">
        <v>131</v>
      </c>
      <c r="BC160" s="78" t="s">
        <v>131</v>
      </c>
      <c r="BD160" s="78" t="s">
        <v>131</v>
      </c>
      <c r="BE160" s="78" t="s">
        <v>131</v>
      </c>
      <c r="BF160" s="78" t="s">
        <v>131</v>
      </c>
      <c r="BG160" s="78" t="s">
        <v>132</v>
      </c>
      <c r="BH160" s="75" t="s">
        <v>5970</v>
      </c>
      <c r="BI160" s="295" t="s">
        <v>2288</v>
      </c>
      <c r="BJ160" s="546">
        <v>1</v>
      </c>
      <c r="BK160" s="294" t="s">
        <v>16</v>
      </c>
      <c r="BL160" s="157" t="s">
        <v>16</v>
      </c>
      <c r="BM160" s="548" t="s">
        <v>1344</v>
      </c>
      <c r="BN160" s="548" t="s">
        <v>4160</v>
      </c>
      <c r="BO160" s="157" t="s">
        <v>4572</v>
      </c>
      <c r="BP160" s="548" t="s">
        <v>4574</v>
      </c>
      <c r="BQ160" s="157" t="s">
        <v>4571</v>
      </c>
      <c r="BR160" s="157"/>
    </row>
    <row r="161" spans="1:70" x14ac:dyDescent="0.25">
      <c r="A161" s="19" t="s">
        <v>3686</v>
      </c>
      <c r="B161" s="37" t="s">
        <v>5119</v>
      </c>
      <c r="C161" s="90">
        <v>45489.818599537037</v>
      </c>
      <c r="D161" s="114">
        <v>45489.568599537037</v>
      </c>
      <c r="E161" s="38">
        <v>45489</v>
      </c>
      <c r="F161" s="91">
        <v>2024</v>
      </c>
      <c r="G161" s="93">
        <v>7</v>
      </c>
      <c r="H161" s="37" t="s">
        <v>2446</v>
      </c>
      <c r="I161" s="37"/>
      <c r="J161" s="103">
        <v>-92.031827388231321</v>
      </c>
      <c r="K161" s="40">
        <v>44.634346688832679</v>
      </c>
      <c r="L161" s="74"/>
      <c r="M161" s="272" t="s">
        <v>5120</v>
      </c>
      <c r="N161" s="74">
        <v>1</v>
      </c>
      <c r="O161" s="94"/>
      <c r="P161" s="118">
        <v>1</v>
      </c>
      <c r="Q161" s="510">
        <v>0</v>
      </c>
      <c r="R161" s="513">
        <v>180</v>
      </c>
      <c r="S161" s="41"/>
      <c r="T161" s="40"/>
      <c r="U161" s="40">
        <v>7</v>
      </c>
      <c r="V161" s="119">
        <v>1</v>
      </c>
      <c r="W161" s="40">
        <v>100</v>
      </c>
      <c r="X161" s="119">
        <v>1</v>
      </c>
      <c r="Y161" s="40">
        <v>63</v>
      </c>
      <c r="Z161" s="119">
        <v>1</v>
      </c>
      <c r="AA161" s="368">
        <v>0</v>
      </c>
      <c r="AB161" s="535">
        <v>2</v>
      </c>
      <c r="AC161" s="39" t="s">
        <v>160</v>
      </c>
      <c r="AD161" s="75" t="s">
        <v>10</v>
      </c>
      <c r="AE161" s="95">
        <v>0</v>
      </c>
      <c r="AF161" s="75">
        <v>0</v>
      </c>
      <c r="AG161" s="75">
        <v>0</v>
      </c>
      <c r="AH161" s="75">
        <v>0</v>
      </c>
      <c r="AI161" s="75">
        <v>0</v>
      </c>
      <c r="AJ161" s="75">
        <v>0</v>
      </c>
      <c r="AK161" s="75">
        <v>0</v>
      </c>
      <c r="AL161" s="95">
        <v>1</v>
      </c>
      <c r="AM161" s="92">
        <v>0</v>
      </c>
      <c r="AN161" s="79" t="s">
        <v>80</v>
      </c>
      <c r="AO161" s="75">
        <v>1</v>
      </c>
      <c r="AP161" s="75" t="s">
        <v>84</v>
      </c>
      <c r="AQ161" s="122">
        <v>1</v>
      </c>
      <c r="AR161" s="515" t="s">
        <v>13</v>
      </c>
      <c r="AS161" s="95">
        <v>1</v>
      </c>
      <c r="AT161" s="75">
        <v>0</v>
      </c>
      <c r="AU161" s="75">
        <v>0</v>
      </c>
      <c r="AV161" s="75">
        <v>0</v>
      </c>
      <c r="AW161" s="123">
        <v>0</v>
      </c>
      <c r="AX161" s="516"/>
      <c r="AY161" s="75">
        <v>0</v>
      </c>
      <c r="AZ161" s="77" t="s">
        <v>131</v>
      </c>
      <c r="BA161" s="78" t="s">
        <v>131</v>
      </c>
      <c r="BB161" s="78" t="s">
        <v>131</v>
      </c>
      <c r="BC161" s="78" t="s">
        <v>131</v>
      </c>
      <c r="BD161" s="78" t="s">
        <v>131</v>
      </c>
      <c r="BE161" s="78" t="s">
        <v>131</v>
      </c>
      <c r="BF161" s="78" t="s">
        <v>131</v>
      </c>
      <c r="BG161" s="78" t="s">
        <v>132</v>
      </c>
      <c r="BH161" s="75" t="s">
        <v>5970</v>
      </c>
      <c r="BI161" s="295" t="s">
        <v>5855</v>
      </c>
      <c r="BJ161" s="546">
        <v>1</v>
      </c>
      <c r="BK161" s="294" t="s">
        <v>16</v>
      </c>
      <c r="BL161" s="157" t="s">
        <v>16</v>
      </c>
      <c r="BM161" s="548" t="s">
        <v>1340</v>
      </c>
      <c r="BN161" s="548" t="s">
        <v>4158</v>
      </c>
      <c r="BO161" s="157" t="s">
        <v>5854</v>
      </c>
      <c r="BP161" s="548" t="s">
        <v>5855</v>
      </c>
      <c r="BQ161" s="157" t="s">
        <v>4316</v>
      </c>
      <c r="BR161" s="157"/>
    </row>
    <row r="162" spans="1:70" x14ac:dyDescent="0.25">
      <c r="A162" s="19" t="s">
        <v>3686</v>
      </c>
      <c r="B162" s="37" t="s">
        <v>5121</v>
      </c>
      <c r="C162" s="90">
        <v>45489.807534722226</v>
      </c>
      <c r="D162" s="114">
        <v>45489.557534722226</v>
      </c>
      <c r="E162" s="38">
        <v>45489</v>
      </c>
      <c r="F162" s="91">
        <v>2024</v>
      </c>
      <c r="G162" s="93">
        <v>7</v>
      </c>
      <c r="H162" s="37" t="s">
        <v>2548</v>
      </c>
      <c r="I162" s="37"/>
      <c r="J162" s="103">
        <v>-91.651042871519877</v>
      </c>
      <c r="K162" s="40">
        <v>44.254006700286318</v>
      </c>
      <c r="L162" s="74"/>
      <c r="M162" s="272" t="s">
        <v>5122</v>
      </c>
      <c r="N162" s="74">
        <v>1</v>
      </c>
      <c r="O162" s="94"/>
      <c r="P162" s="118">
        <v>1</v>
      </c>
      <c r="Q162" s="510">
        <v>180</v>
      </c>
      <c r="R162" s="513">
        <v>180</v>
      </c>
      <c r="S162" s="41"/>
      <c r="T162" s="40"/>
      <c r="U162" s="40">
        <v>8</v>
      </c>
      <c r="V162" s="119">
        <v>1</v>
      </c>
      <c r="W162" s="40">
        <v>0</v>
      </c>
      <c r="X162" s="119">
        <v>1</v>
      </c>
      <c r="Y162" s="40">
        <v>61</v>
      </c>
      <c r="Z162" s="119">
        <v>1</v>
      </c>
      <c r="AA162" s="368">
        <v>0</v>
      </c>
      <c r="AB162" s="535">
        <v>5</v>
      </c>
      <c r="AC162" s="39" t="s">
        <v>160</v>
      </c>
      <c r="AD162" s="75" t="s">
        <v>7</v>
      </c>
      <c r="AE162" s="95">
        <v>1</v>
      </c>
      <c r="AF162" s="75">
        <v>0</v>
      </c>
      <c r="AG162" s="75">
        <v>0</v>
      </c>
      <c r="AH162" s="75">
        <v>0</v>
      </c>
      <c r="AI162" s="75">
        <v>0</v>
      </c>
      <c r="AJ162" s="75">
        <v>0</v>
      </c>
      <c r="AK162" s="75">
        <v>0</v>
      </c>
      <c r="AL162" s="95">
        <v>0</v>
      </c>
      <c r="AM162" s="92">
        <v>0</v>
      </c>
      <c r="AN162" s="79" t="s">
        <v>80</v>
      </c>
      <c r="AO162" s="75">
        <v>1</v>
      </c>
      <c r="AP162" s="75" t="s">
        <v>83</v>
      </c>
      <c r="AQ162" s="122">
        <v>1</v>
      </c>
      <c r="AR162" s="515" t="s">
        <v>35</v>
      </c>
      <c r="AS162" s="95">
        <v>0</v>
      </c>
      <c r="AT162" s="75">
        <v>1</v>
      </c>
      <c r="AU162" s="75">
        <v>0</v>
      </c>
      <c r="AV162" s="75">
        <v>0</v>
      </c>
      <c r="AW162" s="123">
        <v>0</v>
      </c>
      <c r="AX162" s="516"/>
      <c r="AY162" s="75">
        <v>0</v>
      </c>
      <c r="AZ162" s="77" t="s">
        <v>132</v>
      </c>
      <c r="BA162" s="78" t="s">
        <v>131</v>
      </c>
      <c r="BB162" s="78" t="s">
        <v>131</v>
      </c>
      <c r="BC162" s="78" t="s">
        <v>131</v>
      </c>
      <c r="BD162" s="78" t="s">
        <v>131</v>
      </c>
      <c r="BE162" s="78" t="s">
        <v>131</v>
      </c>
      <c r="BF162" s="78" t="s">
        <v>131</v>
      </c>
      <c r="BG162" s="78" t="s">
        <v>131</v>
      </c>
      <c r="BH162" s="75" t="s">
        <v>5970</v>
      </c>
      <c r="BI162" s="295" t="s">
        <v>2277</v>
      </c>
      <c r="BJ162" s="546">
        <v>1</v>
      </c>
      <c r="BK162" s="294">
        <v>1</v>
      </c>
      <c r="BL162" s="157">
        <v>1</v>
      </c>
      <c r="BM162" s="548" t="s">
        <v>1340</v>
      </c>
      <c r="BN162" s="548" t="s">
        <v>4158</v>
      </c>
      <c r="BO162" s="157" t="s">
        <v>4766</v>
      </c>
      <c r="BP162" s="548" t="s">
        <v>2277</v>
      </c>
      <c r="BQ162" s="157" t="s">
        <v>4765</v>
      </c>
      <c r="BR162" s="157"/>
    </row>
    <row r="163" spans="1:70" x14ac:dyDescent="0.25">
      <c r="A163" s="19" t="s">
        <v>3686</v>
      </c>
      <c r="B163" s="37" t="s">
        <v>5123</v>
      </c>
      <c r="C163" s="90">
        <v>45489.691006944442</v>
      </c>
      <c r="D163" s="114">
        <v>45489.441006944442</v>
      </c>
      <c r="E163" s="38">
        <v>45489</v>
      </c>
      <c r="F163" s="91">
        <v>2024</v>
      </c>
      <c r="G163" s="93">
        <v>7</v>
      </c>
      <c r="H163" s="37" t="s">
        <v>2446</v>
      </c>
      <c r="I163" s="37"/>
      <c r="J163" s="103">
        <v>-92.01731712512796</v>
      </c>
      <c r="K163" s="40">
        <v>44.851499376458662</v>
      </c>
      <c r="L163" s="74"/>
      <c r="M163" s="272" t="s">
        <v>5124</v>
      </c>
      <c r="N163" s="74">
        <v>1</v>
      </c>
      <c r="O163" s="94"/>
      <c r="P163" s="118">
        <v>1</v>
      </c>
      <c r="Q163" s="510">
        <v>120</v>
      </c>
      <c r="R163" s="513">
        <v>120</v>
      </c>
      <c r="S163" s="41"/>
      <c r="T163" s="40"/>
      <c r="U163" s="40">
        <v>8</v>
      </c>
      <c r="V163" s="119">
        <v>1</v>
      </c>
      <c r="W163" s="40">
        <v>0</v>
      </c>
      <c r="X163" s="119">
        <v>1</v>
      </c>
      <c r="Y163" s="40">
        <v>60</v>
      </c>
      <c r="Z163" s="119">
        <v>1</v>
      </c>
      <c r="AA163" s="368">
        <v>0</v>
      </c>
      <c r="AB163" s="535">
        <v>2</v>
      </c>
      <c r="AC163" s="39" t="s">
        <v>160</v>
      </c>
      <c r="AD163" s="75" t="s">
        <v>8</v>
      </c>
      <c r="AE163" s="95">
        <v>0</v>
      </c>
      <c r="AF163" s="75">
        <v>1</v>
      </c>
      <c r="AG163" s="75">
        <v>0</v>
      </c>
      <c r="AH163" s="75">
        <v>0</v>
      </c>
      <c r="AI163" s="75">
        <v>0</v>
      </c>
      <c r="AJ163" s="75">
        <v>0</v>
      </c>
      <c r="AK163" s="75">
        <v>0</v>
      </c>
      <c r="AL163" s="95">
        <v>0</v>
      </c>
      <c r="AM163" s="92">
        <v>0</v>
      </c>
      <c r="AN163" s="79" t="s">
        <v>80</v>
      </c>
      <c r="AO163" s="75">
        <v>1</v>
      </c>
      <c r="AP163" s="75" t="s">
        <v>84</v>
      </c>
      <c r="AQ163" s="122">
        <v>1</v>
      </c>
      <c r="AR163" s="515" t="s">
        <v>16</v>
      </c>
      <c r="AS163" s="95">
        <v>-1</v>
      </c>
      <c r="AT163" s="75">
        <v>-1</v>
      </c>
      <c r="AU163" s="75">
        <v>-1</v>
      </c>
      <c r="AV163" s="75">
        <v>-1</v>
      </c>
      <c r="AW163" s="123">
        <v>1</v>
      </c>
      <c r="AX163" s="516"/>
      <c r="AY163" s="75">
        <v>0</v>
      </c>
      <c r="AZ163" s="77" t="s">
        <v>131</v>
      </c>
      <c r="BA163" s="78" t="s">
        <v>132</v>
      </c>
      <c r="BB163" s="78" t="s">
        <v>131</v>
      </c>
      <c r="BC163" s="78" t="s">
        <v>131</v>
      </c>
      <c r="BD163" s="78" t="s">
        <v>131</v>
      </c>
      <c r="BE163" s="78" t="s">
        <v>131</v>
      </c>
      <c r="BF163" s="78" t="s">
        <v>131</v>
      </c>
      <c r="BG163" s="78" t="s">
        <v>131</v>
      </c>
      <c r="BH163" s="75" t="s">
        <v>5970</v>
      </c>
      <c r="BI163" s="295" t="s">
        <v>5939</v>
      </c>
      <c r="BJ163" s="546">
        <v>1</v>
      </c>
      <c r="BK163" s="294">
        <v>1</v>
      </c>
      <c r="BL163" s="157">
        <v>1</v>
      </c>
      <c r="BM163" s="548" t="s">
        <v>1340</v>
      </c>
      <c r="BN163" s="548" t="s">
        <v>4158</v>
      </c>
      <c r="BO163" s="157" t="s">
        <v>5857</v>
      </c>
      <c r="BP163" s="548" t="s">
        <v>5858</v>
      </c>
      <c r="BQ163" s="157" t="s">
        <v>5856</v>
      </c>
      <c r="BR163" s="157"/>
    </row>
    <row r="164" spans="1:70" x14ac:dyDescent="0.25">
      <c r="A164" s="19" t="s">
        <v>3686</v>
      </c>
      <c r="B164" s="37" t="s">
        <v>5125</v>
      </c>
      <c r="C164" s="90">
        <v>45489.607152777775</v>
      </c>
      <c r="D164" s="114">
        <v>45489.357152777775</v>
      </c>
      <c r="E164" s="38">
        <v>45489</v>
      </c>
      <c r="F164" s="91">
        <v>2024</v>
      </c>
      <c r="G164" s="93">
        <v>7</v>
      </c>
      <c r="H164" s="37" t="s">
        <v>4981</v>
      </c>
      <c r="I164" s="37"/>
      <c r="J164" s="103">
        <v>-91.403818439600798</v>
      </c>
      <c r="K164" s="40">
        <v>42.675090172519127</v>
      </c>
      <c r="L164" s="74"/>
      <c r="M164" s="272" t="s">
        <v>5126</v>
      </c>
      <c r="N164" s="74">
        <v>1</v>
      </c>
      <c r="O164" s="94"/>
      <c r="P164" s="118">
        <v>1</v>
      </c>
      <c r="Q164" s="510">
        <v>120</v>
      </c>
      <c r="R164" s="513">
        <v>180</v>
      </c>
      <c r="S164" s="41"/>
      <c r="T164" s="40"/>
      <c r="U164" s="40">
        <v>8</v>
      </c>
      <c r="V164" s="119">
        <v>0</v>
      </c>
      <c r="W164" s="40"/>
      <c r="X164" s="119">
        <v>1</v>
      </c>
      <c r="Y164" s="40">
        <v>68</v>
      </c>
      <c r="Z164" s="119">
        <v>1</v>
      </c>
      <c r="AA164" s="368">
        <v>0</v>
      </c>
      <c r="AB164" s="535">
        <v>5</v>
      </c>
      <c r="AC164" s="39" t="s">
        <v>160</v>
      </c>
      <c r="AD164" s="75" t="s">
        <v>10</v>
      </c>
      <c r="AE164" s="95">
        <v>0</v>
      </c>
      <c r="AF164" s="75">
        <v>0</v>
      </c>
      <c r="AG164" s="75">
        <v>0</v>
      </c>
      <c r="AH164" s="75">
        <v>0</v>
      </c>
      <c r="AI164" s="75">
        <v>0</v>
      </c>
      <c r="AJ164" s="75">
        <v>0</v>
      </c>
      <c r="AK164" s="75">
        <v>0</v>
      </c>
      <c r="AL164" s="95">
        <v>1</v>
      </c>
      <c r="AM164" s="92">
        <v>0</v>
      </c>
      <c r="AN164" s="79" t="s">
        <v>80</v>
      </c>
      <c r="AO164" s="75">
        <v>1</v>
      </c>
      <c r="AP164" s="75" t="s">
        <v>84</v>
      </c>
      <c r="AQ164" s="122">
        <v>1</v>
      </c>
      <c r="AR164" s="515" t="s">
        <v>10</v>
      </c>
      <c r="AS164" s="95">
        <v>0</v>
      </c>
      <c r="AT164" s="75">
        <v>0</v>
      </c>
      <c r="AU164" s="75">
        <v>0</v>
      </c>
      <c r="AV164" s="75">
        <v>0</v>
      </c>
      <c r="AW164" s="123">
        <v>0</v>
      </c>
      <c r="AX164" s="516"/>
      <c r="AY164" s="75">
        <v>0</v>
      </c>
      <c r="AZ164" s="77" t="s">
        <v>131</v>
      </c>
      <c r="BA164" s="78" t="s">
        <v>131</v>
      </c>
      <c r="BB164" s="78" t="s">
        <v>131</v>
      </c>
      <c r="BC164" s="78" t="s">
        <v>131</v>
      </c>
      <c r="BD164" s="78" t="s">
        <v>131</v>
      </c>
      <c r="BE164" s="78" t="s">
        <v>131</v>
      </c>
      <c r="BF164" s="78" t="s">
        <v>131</v>
      </c>
      <c r="BG164" s="78" t="s">
        <v>132</v>
      </c>
      <c r="BH164" s="75" t="s">
        <v>5970</v>
      </c>
      <c r="BI164" s="295" t="s">
        <v>2260</v>
      </c>
      <c r="BJ164" s="546">
        <v>1</v>
      </c>
      <c r="BK164" s="294" t="s">
        <v>16</v>
      </c>
      <c r="BL164" s="157" t="s">
        <v>16</v>
      </c>
      <c r="BM164" s="548" t="s">
        <v>1347</v>
      </c>
      <c r="BN164" s="548" t="s">
        <v>4160</v>
      </c>
      <c r="BO164" s="157" t="s">
        <v>4594</v>
      </c>
      <c r="BP164" s="548" t="s">
        <v>2260</v>
      </c>
      <c r="BQ164" s="157" t="s">
        <v>4563</v>
      </c>
      <c r="BR164" s="157"/>
    </row>
    <row r="165" spans="1:70" x14ac:dyDescent="0.25">
      <c r="A165" s="19" t="s">
        <v>3686</v>
      </c>
      <c r="B165" s="37" t="s">
        <v>5127</v>
      </c>
      <c r="C165" s="90">
        <v>45489.5703125</v>
      </c>
      <c r="D165" s="114">
        <v>45489.3203125</v>
      </c>
      <c r="E165" s="38">
        <v>45489</v>
      </c>
      <c r="F165" s="91">
        <v>2024</v>
      </c>
      <c r="G165" s="93">
        <v>7</v>
      </c>
      <c r="H165" s="37" t="s">
        <v>2548</v>
      </c>
      <c r="I165" s="37"/>
      <c r="J165" s="103">
        <v>-91.571847607175314</v>
      </c>
      <c r="K165" s="40">
        <v>44.26675580975273</v>
      </c>
      <c r="L165" s="74"/>
      <c r="M165" s="272" t="s">
        <v>5128</v>
      </c>
      <c r="N165" s="74">
        <v>1</v>
      </c>
      <c r="O165" s="94"/>
      <c r="P165" s="118">
        <v>1</v>
      </c>
      <c r="Q165" s="510">
        <v>180</v>
      </c>
      <c r="R165" s="513">
        <v>120</v>
      </c>
      <c r="S165" s="41"/>
      <c r="T165" s="40"/>
      <c r="U165" s="40">
        <v>7.5</v>
      </c>
      <c r="V165" s="119">
        <v>1</v>
      </c>
      <c r="W165" s="40">
        <v>0</v>
      </c>
      <c r="X165" s="119">
        <v>1</v>
      </c>
      <c r="Y165" s="40">
        <v>56</v>
      </c>
      <c r="Z165" s="119">
        <v>1</v>
      </c>
      <c r="AA165" s="368">
        <v>0</v>
      </c>
      <c r="AB165" s="535">
        <v>0</v>
      </c>
      <c r="AC165" s="39" t="s">
        <v>160</v>
      </c>
      <c r="AD165" s="75" t="s">
        <v>551</v>
      </c>
      <c r="AE165" s="95">
        <v>0</v>
      </c>
      <c r="AF165" s="75">
        <v>0</v>
      </c>
      <c r="AG165" s="75">
        <v>0</v>
      </c>
      <c r="AH165" s="75">
        <v>0</v>
      </c>
      <c r="AI165" s="75">
        <v>1</v>
      </c>
      <c r="AJ165" s="75">
        <v>0</v>
      </c>
      <c r="AK165" s="75">
        <v>0</v>
      </c>
      <c r="AL165" s="95">
        <v>0</v>
      </c>
      <c r="AM165" s="92">
        <v>0</v>
      </c>
      <c r="AN165" s="79" t="s">
        <v>80</v>
      </c>
      <c r="AO165" s="75">
        <v>1</v>
      </c>
      <c r="AP165" s="75" t="s">
        <v>83</v>
      </c>
      <c r="AQ165" s="122">
        <v>1</v>
      </c>
      <c r="AR165" s="515" t="s">
        <v>35</v>
      </c>
      <c r="AS165" s="95">
        <v>0</v>
      </c>
      <c r="AT165" s="75">
        <v>1</v>
      </c>
      <c r="AU165" s="75">
        <v>0</v>
      </c>
      <c r="AV165" s="75">
        <v>0</v>
      </c>
      <c r="AW165" s="123">
        <v>0</v>
      </c>
      <c r="AX165" s="516"/>
      <c r="AY165" s="75">
        <v>0</v>
      </c>
      <c r="AZ165" s="77" t="s">
        <v>131</v>
      </c>
      <c r="BA165" s="78" t="s">
        <v>131</v>
      </c>
      <c r="BB165" s="78" t="s">
        <v>131</v>
      </c>
      <c r="BC165" s="78" t="s">
        <v>131</v>
      </c>
      <c r="BD165" s="78" t="s">
        <v>132</v>
      </c>
      <c r="BE165" s="78" t="s">
        <v>131</v>
      </c>
      <c r="BF165" s="78" t="s">
        <v>131</v>
      </c>
      <c r="BG165" s="78" t="s">
        <v>131</v>
      </c>
      <c r="BH165" s="75" t="s">
        <v>5970</v>
      </c>
      <c r="BI165" s="295" t="s">
        <v>5936</v>
      </c>
      <c r="BJ165" s="546" t="s">
        <v>16</v>
      </c>
      <c r="BK165" s="294" t="s">
        <v>16</v>
      </c>
      <c r="BL165" s="157" t="s">
        <v>16</v>
      </c>
      <c r="BM165" s="548" t="s">
        <v>1340</v>
      </c>
      <c r="BN165" s="548" t="s">
        <v>4158</v>
      </c>
      <c r="BO165" s="157" t="s">
        <v>4455</v>
      </c>
      <c r="BP165" s="548" t="s">
        <v>4457</v>
      </c>
      <c r="BQ165" s="157" t="s">
        <v>4444</v>
      </c>
      <c r="BR165" s="157"/>
    </row>
    <row r="166" spans="1:70" x14ac:dyDescent="0.25">
      <c r="A166" s="19" t="s">
        <v>3686</v>
      </c>
      <c r="B166" s="37" t="s">
        <v>5129</v>
      </c>
      <c r="C166" s="90">
        <v>45488.8362037037</v>
      </c>
      <c r="D166" s="114">
        <v>45488.5862037037</v>
      </c>
      <c r="E166" s="38">
        <v>45488</v>
      </c>
      <c r="F166" s="91">
        <v>2024</v>
      </c>
      <c r="G166" s="93">
        <v>7</v>
      </c>
      <c r="H166" s="37" t="s">
        <v>2446</v>
      </c>
      <c r="I166" s="37"/>
      <c r="J166" s="103">
        <v>-92.014200865409862</v>
      </c>
      <c r="K166" s="40">
        <v>44.783918836932983</v>
      </c>
      <c r="L166" s="74"/>
      <c r="M166" s="272" t="s">
        <v>5130</v>
      </c>
      <c r="N166" s="74">
        <v>1</v>
      </c>
      <c r="O166" s="94"/>
      <c r="P166" s="118">
        <v>1</v>
      </c>
      <c r="Q166" s="510">
        <v>180</v>
      </c>
      <c r="R166" s="513">
        <v>120</v>
      </c>
      <c r="S166" s="41"/>
      <c r="T166" s="40"/>
      <c r="U166" s="40">
        <v>7</v>
      </c>
      <c r="V166" s="119">
        <v>1</v>
      </c>
      <c r="W166" s="40">
        <v>100</v>
      </c>
      <c r="X166" s="119">
        <v>1</v>
      </c>
      <c r="Y166" s="40">
        <v>59</v>
      </c>
      <c r="Z166" s="119">
        <v>1</v>
      </c>
      <c r="AA166" s="368">
        <v>0</v>
      </c>
      <c r="AB166" s="535">
        <v>5</v>
      </c>
      <c r="AC166" s="39" t="s">
        <v>160</v>
      </c>
      <c r="AD166" s="75" t="s">
        <v>551</v>
      </c>
      <c r="AE166" s="95">
        <v>0</v>
      </c>
      <c r="AF166" s="75">
        <v>0</v>
      </c>
      <c r="AG166" s="75">
        <v>0</v>
      </c>
      <c r="AH166" s="75">
        <v>0</v>
      </c>
      <c r="AI166" s="75">
        <v>1</v>
      </c>
      <c r="AJ166" s="75">
        <v>0</v>
      </c>
      <c r="AK166" s="75">
        <v>0</v>
      </c>
      <c r="AL166" s="95">
        <v>0</v>
      </c>
      <c r="AM166" s="92">
        <v>0</v>
      </c>
      <c r="AN166" s="79" t="s">
        <v>80</v>
      </c>
      <c r="AO166" s="75">
        <v>1</v>
      </c>
      <c r="AP166" s="75" t="s">
        <v>83</v>
      </c>
      <c r="AQ166" s="122">
        <v>1</v>
      </c>
      <c r="AR166" s="515" t="s">
        <v>13</v>
      </c>
      <c r="AS166" s="95">
        <v>1</v>
      </c>
      <c r="AT166" s="75">
        <v>0</v>
      </c>
      <c r="AU166" s="75">
        <v>0</v>
      </c>
      <c r="AV166" s="75">
        <v>0</v>
      </c>
      <c r="AW166" s="123">
        <v>0</v>
      </c>
      <c r="AX166" s="516" t="s">
        <v>5131</v>
      </c>
      <c r="AY166" s="75">
        <v>1</v>
      </c>
      <c r="AZ166" s="77" t="s">
        <v>131</v>
      </c>
      <c r="BA166" s="78" t="s">
        <v>131</v>
      </c>
      <c r="BB166" s="78" t="s">
        <v>131</v>
      </c>
      <c r="BC166" s="78" t="s">
        <v>131</v>
      </c>
      <c r="BD166" s="78" t="s">
        <v>132</v>
      </c>
      <c r="BE166" s="78" t="s">
        <v>131</v>
      </c>
      <c r="BF166" s="78" t="s">
        <v>131</v>
      </c>
      <c r="BG166" s="78" t="s">
        <v>131</v>
      </c>
      <c r="BH166" s="75" t="s">
        <v>5970</v>
      </c>
      <c r="BI166" s="295">
        <v>0</v>
      </c>
      <c r="BJ166" s="546">
        <v>1</v>
      </c>
      <c r="BK166" s="294" t="s">
        <v>16</v>
      </c>
      <c r="BL166" s="157" t="s">
        <v>16</v>
      </c>
      <c r="BM166" s="548" t="s">
        <v>1340</v>
      </c>
      <c r="BN166" s="548" t="s">
        <v>4158</v>
      </c>
      <c r="BO166" s="157" t="s">
        <v>5859</v>
      </c>
      <c r="BP166" s="548" t="s">
        <v>5860</v>
      </c>
      <c r="BQ166" s="157" t="s">
        <v>4316</v>
      </c>
      <c r="BR166" s="157"/>
    </row>
    <row r="167" spans="1:70" x14ac:dyDescent="0.25">
      <c r="A167" s="19" t="s">
        <v>3686</v>
      </c>
      <c r="B167" s="37" t="s">
        <v>5132</v>
      </c>
      <c r="C167" s="90">
        <v>45488.823483796295</v>
      </c>
      <c r="D167" s="114">
        <v>45488.573483796295</v>
      </c>
      <c r="E167" s="38">
        <v>45488</v>
      </c>
      <c r="F167" s="91">
        <v>2024</v>
      </c>
      <c r="G167" s="93">
        <v>7</v>
      </c>
      <c r="H167" s="37" t="s">
        <v>2446</v>
      </c>
      <c r="I167" s="37"/>
      <c r="J167" s="103">
        <v>-92.024959059138581</v>
      </c>
      <c r="K167" s="40">
        <v>44.781736969999635</v>
      </c>
      <c r="L167" s="74"/>
      <c r="M167" s="272" t="s">
        <v>5133</v>
      </c>
      <c r="N167" s="74">
        <v>1</v>
      </c>
      <c r="O167" s="94"/>
      <c r="P167" s="118">
        <v>1</v>
      </c>
      <c r="Q167" s="510">
        <v>180</v>
      </c>
      <c r="R167" s="513">
        <v>120</v>
      </c>
      <c r="S167" s="41"/>
      <c r="T167" s="40"/>
      <c r="U167" s="40">
        <v>7</v>
      </c>
      <c r="V167" s="119">
        <v>1</v>
      </c>
      <c r="W167" s="40">
        <v>300</v>
      </c>
      <c r="X167" s="119">
        <v>1</v>
      </c>
      <c r="Y167" s="40">
        <v>59</v>
      </c>
      <c r="Z167" s="119">
        <v>1</v>
      </c>
      <c r="AA167" s="368">
        <v>0</v>
      </c>
      <c r="AB167" s="535">
        <v>2</v>
      </c>
      <c r="AC167" s="39" t="s">
        <v>160</v>
      </c>
      <c r="AD167" s="75" t="s">
        <v>10</v>
      </c>
      <c r="AE167" s="95">
        <v>0</v>
      </c>
      <c r="AF167" s="75">
        <v>0</v>
      </c>
      <c r="AG167" s="75">
        <v>0</v>
      </c>
      <c r="AH167" s="75">
        <v>0</v>
      </c>
      <c r="AI167" s="75">
        <v>0</v>
      </c>
      <c r="AJ167" s="75">
        <v>0</v>
      </c>
      <c r="AK167" s="75">
        <v>0</v>
      </c>
      <c r="AL167" s="95">
        <v>1</v>
      </c>
      <c r="AM167" s="92">
        <v>0</v>
      </c>
      <c r="AN167" s="79" t="s">
        <v>80</v>
      </c>
      <c r="AO167" s="75">
        <v>1</v>
      </c>
      <c r="AP167" s="75" t="s">
        <v>84</v>
      </c>
      <c r="AQ167" s="122">
        <v>1</v>
      </c>
      <c r="AR167" s="515" t="s">
        <v>13</v>
      </c>
      <c r="AS167" s="95">
        <v>1</v>
      </c>
      <c r="AT167" s="75">
        <v>0</v>
      </c>
      <c r="AU167" s="75">
        <v>0</v>
      </c>
      <c r="AV167" s="75">
        <v>0</v>
      </c>
      <c r="AW167" s="123">
        <v>0</v>
      </c>
      <c r="AX167" s="516"/>
      <c r="AY167" s="75">
        <v>0</v>
      </c>
      <c r="AZ167" s="77" t="s">
        <v>131</v>
      </c>
      <c r="BA167" s="78" t="s">
        <v>131</v>
      </c>
      <c r="BB167" s="78" t="s">
        <v>131</v>
      </c>
      <c r="BC167" s="78" t="s">
        <v>131</v>
      </c>
      <c r="BD167" s="78" t="s">
        <v>131</v>
      </c>
      <c r="BE167" s="78" t="s">
        <v>131</v>
      </c>
      <c r="BF167" s="78" t="s">
        <v>131</v>
      </c>
      <c r="BG167" s="78" t="s">
        <v>132</v>
      </c>
      <c r="BH167" s="75" t="s">
        <v>5970</v>
      </c>
      <c r="BI167" s="295" t="s">
        <v>5860</v>
      </c>
      <c r="BJ167" s="546">
        <v>1</v>
      </c>
      <c r="BK167" s="294">
        <v>1</v>
      </c>
      <c r="BL167" s="157">
        <v>1</v>
      </c>
      <c r="BM167" s="548" t="s">
        <v>1340</v>
      </c>
      <c r="BN167" s="548" t="s">
        <v>4158</v>
      </c>
      <c r="BO167" s="157" t="s">
        <v>5859</v>
      </c>
      <c r="BP167" s="548" t="s">
        <v>5860</v>
      </c>
      <c r="BQ167" s="157" t="s">
        <v>4316</v>
      </c>
      <c r="BR167" s="157"/>
    </row>
    <row r="168" spans="1:70" x14ac:dyDescent="0.25">
      <c r="A168" s="19" t="s">
        <v>3686</v>
      </c>
      <c r="B168" s="37" t="s">
        <v>5134</v>
      </c>
      <c r="C168" s="90">
        <v>45488.785243055558</v>
      </c>
      <c r="D168" s="114">
        <v>45488.535243055558</v>
      </c>
      <c r="E168" s="38">
        <v>45488</v>
      </c>
      <c r="F168" s="91">
        <v>2024</v>
      </c>
      <c r="G168" s="93">
        <v>7</v>
      </c>
      <c r="H168" s="37" t="s">
        <v>2548</v>
      </c>
      <c r="I168" s="37"/>
      <c r="J168" s="103">
        <v>-91.550392439985643</v>
      </c>
      <c r="K168" s="40">
        <v>44.260398118766147</v>
      </c>
      <c r="L168" s="74"/>
      <c r="M168" s="272" t="s">
        <v>5135</v>
      </c>
      <c r="N168" s="74">
        <v>1</v>
      </c>
      <c r="O168" s="94"/>
      <c r="P168" s="118">
        <v>1</v>
      </c>
      <c r="Q168" s="510">
        <v>180</v>
      </c>
      <c r="R168" s="513">
        <v>120</v>
      </c>
      <c r="S168" s="41"/>
      <c r="T168" s="40"/>
      <c r="U168" s="40">
        <v>7.5</v>
      </c>
      <c r="V168" s="119">
        <v>1</v>
      </c>
      <c r="W168" s="40">
        <v>100</v>
      </c>
      <c r="X168" s="119">
        <v>1</v>
      </c>
      <c r="Y168" s="40">
        <v>62</v>
      </c>
      <c r="Z168" s="119">
        <v>1</v>
      </c>
      <c r="AA168" s="368">
        <v>0</v>
      </c>
      <c r="AB168" s="535">
        <v>2</v>
      </c>
      <c r="AC168" s="39" t="s">
        <v>160</v>
      </c>
      <c r="AD168" s="75" t="s">
        <v>10</v>
      </c>
      <c r="AE168" s="95">
        <v>0</v>
      </c>
      <c r="AF168" s="75">
        <v>0</v>
      </c>
      <c r="AG168" s="75">
        <v>0</v>
      </c>
      <c r="AH168" s="75">
        <v>0</v>
      </c>
      <c r="AI168" s="75">
        <v>0</v>
      </c>
      <c r="AJ168" s="75">
        <v>0</v>
      </c>
      <c r="AK168" s="75">
        <v>0</v>
      </c>
      <c r="AL168" s="95">
        <v>1</v>
      </c>
      <c r="AM168" s="92">
        <v>0</v>
      </c>
      <c r="AN168" s="79" t="s">
        <v>80</v>
      </c>
      <c r="AO168" s="75">
        <v>1</v>
      </c>
      <c r="AP168" s="75" t="s">
        <v>84</v>
      </c>
      <c r="AQ168" s="122">
        <v>1</v>
      </c>
      <c r="AR168" s="515" t="s">
        <v>35</v>
      </c>
      <c r="AS168" s="95">
        <v>0</v>
      </c>
      <c r="AT168" s="75">
        <v>1</v>
      </c>
      <c r="AU168" s="75">
        <v>0</v>
      </c>
      <c r="AV168" s="75">
        <v>0</v>
      </c>
      <c r="AW168" s="123">
        <v>0</v>
      </c>
      <c r="AX168" s="516"/>
      <c r="AY168" s="75">
        <v>0</v>
      </c>
      <c r="AZ168" s="77" t="s">
        <v>131</v>
      </c>
      <c r="BA168" s="78" t="s">
        <v>131</v>
      </c>
      <c r="BB168" s="78" t="s">
        <v>131</v>
      </c>
      <c r="BC168" s="78" t="s">
        <v>131</v>
      </c>
      <c r="BD168" s="78" t="s">
        <v>131</v>
      </c>
      <c r="BE168" s="78" t="s">
        <v>131</v>
      </c>
      <c r="BF168" s="78" t="s">
        <v>131</v>
      </c>
      <c r="BG168" s="78" t="s">
        <v>132</v>
      </c>
      <c r="BH168" s="75" t="s">
        <v>5970</v>
      </c>
      <c r="BI168" s="295" t="s">
        <v>3990</v>
      </c>
      <c r="BJ168" s="546" t="s">
        <v>16</v>
      </c>
      <c r="BK168" s="294" t="s">
        <v>16</v>
      </c>
      <c r="BL168" s="157" t="s">
        <v>16</v>
      </c>
      <c r="BM168" s="548" t="s">
        <v>1340</v>
      </c>
      <c r="BN168" s="548" t="s">
        <v>4158</v>
      </c>
      <c r="BO168" s="157" t="s">
        <v>4455</v>
      </c>
      <c r="BP168" s="548" t="s">
        <v>4457</v>
      </c>
      <c r="BQ168" s="157" t="s">
        <v>4444</v>
      </c>
      <c r="BR168" s="157"/>
    </row>
    <row r="169" spans="1:70" x14ac:dyDescent="0.25">
      <c r="A169" s="19" t="s">
        <v>3686</v>
      </c>
      <c r="B169" s="37" t="s">
        <v>5136</v>
      </c>
      <c r="C169" s="90">
        <v>45488.607476851852</v>
      </c>
      <c r="D169" s="114">
        <v>45488.357476851852</v>
      </c>
      <c r="E169" s="38">
        <v>45488</v>
      </c>
      <c r="F169" s="91">
        <v>2024</v>
      </c>
      <c r="G169" s="93">
        <v>7</v>
      </c>
      <c r="H169" s="37" t="s">
        <v>4981</v>
      </c>
      <c r="I169" s="37"/>
      <c r="J169" s="103">
        <v>-91.365228691968099</v>
      </c>
      <c r="K169" s="40">
        <v>42.738545467013978</v>
      </c>
      <c r="L169" s="74"/>
      <c r="M169" s="272" t="s">
        <v>5137</v>
      </c>
      <c r="N169" s="74">
        <v>1</v>
      </c>
      <c r="O169" s="94"/>
      <c r="P169" s="118">
        <v>1</v>
      </c>
      <c r="Q169" s="510">
        <v>180</v>
      </c>
      <c r="R169" s="513">
        <v>180</v>
      </c>
      <c r="S169" s="41"/>
      <c r="T169" s="40"/>
      <c r="U169" s="40">
        <v>8</v>
      </c>
      <c r="V169" s="119">
        <v>1</v>
      </c>
      <c r="W169" s="40">
        <v>0</v>
      </c>
      <c r="X169" s="119">
        <v>1</v>
      </c>
      <c r="Y169" s="40">
        <v>72</v>
      </c>
      <c r="Z169" s="119">
        <v>1</v>
      </c>
      <c r="AA169" s="368">
        <v>0</v>
      </c>
      <c r="AB169" s="535">
        <v>5</v>
      </c>
      <c r="AC169" s="39" t="s">
        <v>160</v>
      </c>
      <c r="AD169" s="75" t="s">
        <v>10</v>
      </c>
      <c r="AE169" s="95">
        <v>0</v>
      </c>
      <c r="AF169" s="75">
        <v>0</v>
      </c>
      <c r="AG169" s="75">
        <v>0</v>
      </c>
      <c r="AH169" s="75">
        <v>0</v>
      </c>
      <c r="AI169" s="75">
        <v>0</v>
      </c>
      <c r="AJ169" s="75">
        <v>0</v>
      </c>
      <c r="AK169" s="75">
        <v>0</v>
      </c>
      <c r="AL169" s="95">
        <v>1</v>
      </c>
      <c r="AM169" s="92">
        <v>0</v>
      </c>
      <c r="AN169" s="79" t="s">
        <v>80</v>
      </c>
      <c r="AO169" s="75">
        <v>1</v>
      </c>
      <c r="AP169" s="75" t="s">
        <v>83</v>
      </c>
      <c r="AQ169" s="122">
        <v>1</v>
      </c>
      <c r="AR169" s="515" t="s">
        <v>10</v>
      </c>
      <c r="AS169" s="95">
        <v>0</v>
      </c>
      <c r="AT169" s="75">
        <v>0</v>
      </c>
      <c r="AU169" s="75">
        <v>0</v>
      </c>
      <c r="AV169" s="75">
        <v>0</v>
      </c>
      <c r="AW169" s="123">
        <v>0</v>
      </c>
      <c r="AX169" s="516"/>
      <c r="AY169" s="75">
        <v>0</v>
      </c>
      <c r="AZ169" s="77" t="s">
        <v>131</v>
      </c>
      <c r="BA169" s="78" t="s">
        <v>131</v>
      </c>
      <c r="BB169" s="78" t="s">
        <v>131</v>
      </c>
      <c r="BC169" s="78" t="s">
        <v>131</v>
      </c>
      <c r="BD169" s="78" t="s">
        <v>131</v>
      </c>
      <c r="BE169" s="78" t="s">
        <v>131</v>
      </c>
      <c r="BF169" s="78" t="s">
        <v>131</v>
      </c>
      <c r="BG169" s="78" t="s">
        <v>132</v>
      </c>
      <c r="BH169" s="75" t="s">
        <v>5970</v>
      </c>
      <c r="BI169" s="295" t="s">
        <v>4039</v>
      </c>
      <c r="BJ169" s="546">
        <v>1</v>
      </c>
      <c r="BK169" s="294" t="s">
        <v>16</v>
      </c>
      <c r="BL169" s="157" t="s">
        <v>16</v>
      </c>
      <c r="BM169" s="548" t="s">
        <v>1347</v>
      </c>
      <c r="BN169" s="548" t="s">
        <v>4160</v>
      </c>
      <c r="BO169" s="157" t="s">
        <v>4595</v>
      </c>
      <c r="BP169" s="548" t="s">
        <v>4597</v>
      </c>
      <c r="BQ169" s="157" t="s">
        <v>4563</v>
      </c>
      <c r="BR169" s="157"/>
    </row>
    <row r="170" spans="1:70" x14ac:dyDescent="0.25">
      <c r="A170" s="19" t="s">
        <v>3686</v>
      </c>
      <c r="B170" s="37" t="s">
        <v>5138</v>
      </c>
      <c r="C170" s="90">
        <v>45487.654421296298</v>
      </c>
      <c r="D170" s="114">
        <v>45487.404421296298</v>
      </c>
      <c r="E170" s="38">
        <v>45487</v>
      </c>
      <c r="F170" s="91">
        <v>2024</v>
      </c>
      <c r="G170" s="93">
        <v>7</v>
      </c>
      <c r="H170" s="37" t="s">
        <v>475</v>
      </c>
      <c r="I170" s="37"/>
      <c r="J170" s="103">
        <v>-92.650124478881594</v>
      </c>
      <c r="K170" s="40">
        <v>44.075374475078014</v>
      </c>
      <c r="L170" s="74"/>
      <c r="M170" s="272" t="s">
        <v>16</v>
      </c>
      <c r="N170" s="74">
        <v>0</v>
      </c>
      <c r="O170" s="94"/>
      <c r="P170" s="118">
        <v>0</v>
      </c>
      <c r="Q170" s="510"/>
      <c r="R170" s="513"/>
      <c r="S170" s="41"/>
      <c r="T170" s="40"/>
      <c r="U170" s="40"/>
      <c r="V170" s="119">
        <v>0</v>
      </c>
      <c r="W170" s="40"/>
      <c r="X170" s="119">
        <v>1</v>
      </c>
      <c r="Y170" s="40">
        <v>62</v>
      </c>
      <c r="Z170" s="119">
        <v>1</v>
      </c>
      <c r="AA170" s="368">
        <v>0</v>
      </c>
      <c r="AB170" s="535">
        <v>5</v>
      </c>
      <c r="AC170" s="39"/>
      <c r="AD170" s="75" t="s">
        <v>10</v>
      </c>
      <c r="AE170" s="95">
        <v>0</v>
      </c>
      <c r="AF170" s="75">
        <v>0</v>
      </c>
      <c r="AG170" s="75">
        <v>0</v>
      </c>
      <c r="AH170" s="75">
        <v>0</v>
      </c>
      <c r="AI170" s="75">
        <v>0</v>
      </c>
      <c r="AJ170" s="75">
        <v>0</v>
      </c>
      <c r="AK170" s="75">
        <v>0</v>
      </c>
      <c r="AL170" s="95">
        <v>1</v>
      </c>
      <c r="AM170" s="92">
        <v>0</v>
      </c>
      <c r="AN170" s="79" t="s">
        <v>81</v>
      </c>
      <c r="AO170" s="75">
        <v>1</v>
      </c>
      <c r="AP170" s="75" t="s">
        <v>85</v>
      </c>
      <c r="AQ170" s="122">
        <v>1</v>
      </c>
      <c r="AR170" s="515" t="s">
        <v>10</v>
      </c>
      <c r="AS170" s="95">
        <v>0</v>
      </c>
      <c r="AT170" s="75">
        <v>0</v>
      </c>
      <c r="AU170" s="75">
        <v>0</v>
      </c>
      <c r="AV170" s="75">
        <v>0</v>
      </c>
      <c r="AW170" s="123">
        <v>0</v>
      </c>
      <c r="AX170" s="516" t="s">
        <v>5139</v>
      </c>
      <c r="AY170" s="75">
        <v>1</v>
      </c>
      <c r="AZ170" s="77" t="s">
        <v>131</v>
      </c>
      <c r="BA170" s="78" t="s">
        <v>131</v>
      </c>
      <c r="BB170" s="78" t="s">
        <v>131</v>
      </c>
      <c r="BC170" s="78" t="s">
        <v>131</v>
      </c>
      <c r="BD170" s="78" t="s">
        <v>131</v>
      </c>
      <c r="BE170" s="78" t="s">
        <v>131</v>
      </c>
      <c r="BF170" s="78" t="s">
        <v>131</v>
      </c>
      <c r="BG170" s="78" t="s">
        <v>132</v>
      </c>
      <c r="BH170" s="75" t="s">
        <v>5970</v>
      </c>
      <c r="BI170" s="295" t="s">
        <v>16</v>
      </c>
      <c r="BJ170" s="546" t="s">
        <v>16</v>
      </c>
      <c r="BK170" s="294" t="s">
        <v>16</v>
      </c>
      <c r="BL170" s="157" t="s">
        <v>16</v>
      </c>
      <c r="BM170" s="548" t="s">
        <v>1339</v>
      </c>
      <c r="BN170" s="548" t="s">
        <v>1339</v>
      </c>
      <c r="BO170" s="157" t="s">
        <v>5822</v>
      </c>
      <c r="BP170" s="548" t="s">
        <v>5823</v>
      </c>
      <c r="BQ170" s="157" t="s">
        <v>5821</v>
      </c>
      <c r="BR170" s="157"/>
    </row>
    <row r="171" spans="1:70" x14ac:dyDescent="0.25">
      <c r="A171" s="19" t="s">
        <v>3686</v>
      </c>
      <c r="B171" s="37" t="s">
        <v>5140</v>
      </c>
      <c r="C171" s="90">
        <v>45485.666944444441</v>
      </c>
      <c r="D171" s="114">
        <v>45485.416944444441</v>
      </c>
      <c r="E171" s="38">
        <v>45485</v>
      </c>
      <c r="F171" s="91">
        <v>2024</v>
      </c>
      <c r="G171" s="93">
        <v>7</v>
      </c>
      <c r="H171" s="37" t="s">
        <v>2548</v>
      </c>
      <c r="I171" s="37"/>
      <c r="J171" s="103">
        <v>-90.635139177024257</v>
      </c>
      <c r="K171" s="40">
        <v>43.330169469219186</v>
      </c>
      <c r="L171" s="74"/>
      <c r="M171" s="272" t="s">
        <v>5141</v>
      </c>
      <c r="N171" s="74">
        <v>1</v>
      </c>
      <c r="O171" s="94"/>
      <c r="P171" s="118">
        <v>1</v>
      </c>
      <c r="Q171" s="510">
        <v>40</v>
      </c>
      <c r="R171" s="513">
        <v>0</v>
      </c>
      <c r="S171" s="41"/>
      <c r="T171" s="40"/>
      <c r="U171" s="40">
        <v>7</v>
      </c>
      <c r="V171" s="119">
        <v>1</v>
      </c>
      <c r="W171" s="40">
        <v>0</v>
      </c>
      <c r="X171" s="119">
        <v>1</v>
      </c>
      <c r="Y171" s="40">
        <v>57</v>
      </c>
      <c r="Z171" s="119">
        <v>1</v>
      </c>
      <c r="AA171" s="368">
        <v>0</v>
      </c>
      <c r="AB171" s="535">
        <v>2</v>
      </c>
      <c r="AC171" s="39" t="s">
        <v>160</v>
      </c>
      <c r="AD171" s="75" t="s">
        <v>10</v>
      </c>
      <c r="AE171" s="95">
        <v>0</v>
      </c>
      <c r="AF171" s="75">
        <v>0</v>
      </c>
      <c r="AG171" s="75">
        <v>0</v>
      </c>
      <c r="AH171" s="75">
        <v>0</v>
      </c>
      <c r="AI171" s="75">
        <v>0</v>
      </c>
      <c r="AJ171" s="75">
        <v>0</v>
      </c>
      <c r="AK171" s="75">
        <v>0</v>
      </c>
      <c r="AL171" s="95">
        <v>1</v>
      </c>
      <c r="AM171" s="92">
        <v>0</v>
      </c>
      <c r="AN171" s="79" t="s">
        <v>80</v>
      </c>
      <c r="AO171" s="75">
        <v>1</v>
      </c>
      <c r="AP171" s="75" t="s">
        <v>83</v>
      </c>
      <c r="AQ171" s="122">
        <v>1</v>
      </c>
      <c r="AR171" s="515" t="s">
        <v>13</v>
      </c>
      <c r="AS171" s="95">
        <v>1</v>
      </c>
      <c r="AT171" s="75">
        <v>0</v>
      </c>
      <c r="AU171" s="75">
        <v>0</v>
      </c>
      <c r="AV171" s="75">
        <v>0</v>
      </c>
      <c r="AW171" s="123">
        <v>0</v>
      </c>
      <c r="AX171" s="516"/>
      <c r="AY171" s="75">
        <v>0</v>
      </c>
      <c r="AZ171" s="77" t="s">
        <v>131</v>
      </c>
      <c r="BA171" s="78" t="s">
        <v>131</v>
      </c>
      <c r="BB171" s="78" t="s">
        <v>131</v>
      </c>
      <c r="BC171" s="78" t="s">
        <v>131</v>
      </c>
      <c r="BD171" s="78" t="s">
        <v>131</v>
      </c>
      <c r="BE171" s="78" t="s">
        <v>131</v>
      </c>
      <c r="BF171" s="78" t="s">
        <v>131</v>
      </c>
      <c r="BG171" s="78" t="s">
        <v>132</v>
      </c>
      <c r="BH171" s="75" t="s">
        <v>5970</v>
      </c>
      <c r="BI171" s="295" t="s">
        <v>5959</v>
      </c>
      <c r="BJ171" s="546" t="s">
        <v>16</v>
      </c>
      <c r="BK171" s="294" t="s">
        <v>16</v>
      </c>
      <c r="BL171" s="157" t="s">
        <v>16</v>
      </c>
      <c r="BM171" s="548" t="s">
        <v>1345</v>
      </c>
      <c r="BN171" s="548" t="s">
        <v>4158</v>
      </c>
      <c r="BO171" s="157" t="s">
        <v>4428</v>
      </c>
      <c r="BP171" s="548" t="s">
        <v>4430</v>
      </c>
      <c r="BQ171" s="157" t="s">
        <v>4427</v>
      </c>
      <c r="BR171" s="157"/>
    </row>
    <row r="172" spans="1:70" x14ac:dyDescent="0.25">
      <c r="A172" s="19" t="s">
        <v>3686</v>
      </c>
      <c r="B172" s="37" t="s">
        <v>5142</v>
      </c>
      <c r="C172" s="90">
        <v>45485.573935185188</v>
      </c>
      <c r="D172" s="114">
        <v>45485.323935185188</v>
      </c>
      <c r="E172" s="38">
        <v>45485</v>
      </c>
      <c r="F172" s="91">
        <v>2024</v>
      </c>
      <c r="G172" s="93">
        <v>7</v>
      </c>
      <c r="H172" s="37" t="s">
        <v>2548</v>
      </c>
      <c r="I172" s="37"/>
      <c r="J172" s="103">
        <v>-90.629645089150102</v>
      </c>
      <c r="K172" s="40">
        <v>43.254025711372165</v>
      </c>
      <c r="L172" s="74"/>
      <c r="M172" s="272" t="s">
        <v>5143</v>
      </c>
      <c r="N172" s="74">
        <v>1</v>
      </c>
      <c r="O172" s="94"/>
      <c r="P172" s="118">
        <v>1</v>
      </c>
      <c r="Q172" s="510">
        <v>180</v>
      </c>
      <c r="R172" s="513">
        <v>120</v>
      </c>
      <c r="S172" s="41"/>
      <c r="T172" s="40"/>
      <c r="U172" s="40">
        <v>8</v>
      </c>
      <c r="V172" s="119">
        <v>1</v>
      </c>
      <c r="W172" s="40">
        <v>0</v>
      </c>
      <c r="X172" s="119">
        <v>1</v>
      </c>
      <c r="Y172" s="40">
        <v>63</v>
      </c>
      <c r="Z172" s="119">
        <v>1</v>
      </c>
      <c r="AA172" s="368">
        <v>0</v>
      </c>
      <c r="AB172" s="535">
        <v>0</v>
      </c>
      <c r="AC172" s="39" t="s">
        <v>160</v>
      </c>
      <c r="AD172" s="75" t="s">
        <v>551</v>
      </c>
      <c r="AE172" s="95">
        <v>0</v>
      </c>
      <c r="AF172" s="75">
        <v>0</v>
      </c>
      <c r="AG172" s="75">
        <v>0</v>
      </c>
      <c r="AH172" s="75">
        <v>0</v>
      </c>
      <c r="AI172" s="75">
        <v>1</v>
      </c>
      <c r="AJ172" s="75">
        <v>0</v>
      </c>
      <c r="AK172" s="75">
        <v>0</v>
      </c>
      <c r="AL172" s="95">
        <v>0</v>
      </c>
      <c r="AM172" s="92">
        <v>0</v>
      </c>
      <c r="AN172" s="79" t="s">
        <v>80</v>
      </c>
      <c r="AO172" s="75">
        <v>1</v>
      </c>
      <c r="AP172" s="75" t="s">
        <v>85</v>
      </c>
      <c r="AQ172" s="122">
        <v>1</v>
      </c>
      <c r="AR172" s="515" t="s">
        <v>13</v>
      </c>
      <c r="AS172" s="95">
        <v>1</v>
      </c>
      <c r="AT172" s="75">
        <v>0</v>
      </c>
      <c r="AU172" s="75">
        <v>0</v>
      </c>
      <c r="AV172" s="75">
        <v>0</v>
      </c>
      <c r="AW172" s="123">
        <v>0</v>
      </c>
      <c r="AX172" s="516"/>
      <c r="AY172" s="75">
        <v>0</v>
      </c>
      <c r="AZ172" s="77" t="s">
        <v>131</v>
      </c>
      <c r="BA172" s="78" t="s">
        <v>131</v>
      </c>
      <c r="BB172" s="78" t="s">
        <v>131</v>
      </c>
      <c r="BC172" s="78" t="s">
        <v>131</v>
      </c>
      <c r="BD172" s="78" t="s">
        <v>132</v>
      </c>
      <c r="BE172" s="78" t="s">
        <v>131</v>
      </c>
      <c r="BF172" s="78" t="s">
        <v>131</v>
      </c>
      <c r="BG172" s="78" t="s">
        <v>131</v>
      </c>
      <c r="BH172" s="75" t="s">
        <v>5970</v>
      </c>
      <c r="BI172" s="295" t="s">
        <v>4088</v>
      </c>
      <c r="BJ172" s="546">
        <v>1</v>
      </c>
      <c r="BK172" s="294" t="s">
        <v>16</v>
      </c>
      <c r="BL172" s="157" t="s">
        <v>16</v>
      </c>
      <c r="BM172" s="548" t="s">
        <v>1345</v>
      </c>
      <c r="BN172" s="548" t="s">
        <v>4158</v>
      </c>
      <c r="BO172" s="157" t="s">
        <v>4429</v>
      </c>
      <c r="BP172" s="548" t="s">
        <v>4556</v>
      </c>
      <c r="BQ172" s="157" t="s">
        <v>4427</v>
      </c>
      <c r="BR172" s="157"/>
    </row>
    <row r="173" spans="1:70" x14ac:dyDescent="0.25">
      <c r="A173" s="19" t="s">
        <v>3686</v>
      </c>
      <c r="B173" s="37" t="s">
        <v>5144</v>
      </c>
      <c r="C173" s="90">
        <v>45484.856574074074</v>
      </c>
      <c r="D173" s="114">
        <v>45484.606574074074</v>
      </c>
      <c r="E173" s="38">
        <v>45484</v>
      </c>
      <c r="F173" s="91">
        <v>2024</v>
      </c>
      <c r="G173" s="93">
        <v>7</v>
      </c>
      <c r="H173" s="37" t="s">
        <v>2446</v>
      </c>
      <c r="I173" s="37"/>
      <c r="J173" s="103">
        <v>-92.030624491984113</v>
      </c>
      <c r="K173" s="40">
        <v>44.793239427293059</v>
      </c>
      <c r="L173" s="74"/>
      <c r="M173" s="272" t="s">
        <v>5145</v>
      </c>
      <c r="N173" s="74">
        <v>1</v>
      </c>
      <c r="O173" s="94"/>
      <c r="P173" s="118">
        <v>1</v>
      </c>
      <c r="Q173" s="510">
        <v>180</v>
      </c>
      <c r="R173" s="513">
        <v>120</v>
      </c>
      <c r="S173" s="41"/>
      <c r="T173" s="40"/>
      <c r="U173" s="40">
        <v>7.5</v>
      </c>
      <c r="V173" s="119">
        <v>1</v>
      </c>
      <c r="W173" s="40">
        <v>100</v>
      </c>
      <c r="X173" s="119">
        <v>1</v>
      </c>
      <c r="Y173" s="40">
        <v>63</v>
      </c>
      <c r="Z173" s="119">
        <v>1</v>
      </c>
      <c r="AA173" s="368">
        <v>0</v>
      </c>
      <c r="AB173" s="535">
        <v>1</v>
      </c>
      <c r="AC173" s="39" t="s">
        <v>160</v>
      </c>
      <c r="AD173" s="75" t="s">
        <v>10</v>
      </c>
      <c r="AE173" s="95">
        <v>0</v>
      </c>
      <c r="AF173" s="75">
        <v>0</v>
      </c>
      <c r="AG173" s="75">
        <v>0</v>
      </c>
      <c r="AH173" s="75">
        <v>0</v>
      </c>
      <c r="AI173" s="75">
        <v>0</v>
      </c>
      <c r="AJ173" s="75">
        <v>0</v>
      </c>
      <c r="AK173" s="75">
        <v>0</v>
      </c>
      <c r="AL173" s="95">
        <v>1</v>
      </c>
      <c r="AM173" s="92">
        <v>0</v>
      </c>
      <c r="AN173" s="79" t="s">
        <v>80</v>
      </c>
      <c r="AO173" s="75">
        <v>1</v>
      </c>
      <c r="AP173" s="75" t="s">
        <v>84</v>
      </c>
      <c r="AQ173" s="122">
        <v>1</v>
      </c>
      <c r="AR173" s="515" t="s">
        <v>10</v>
      </c>
      <c r="AS173" s="95">
        <v>0</v>
      </c>
      <c r="AT173" s="75">
        <v>0</v>
      </c>
      <c r="AU173" s="75">
        <v>0</v>
      </c>
      <c r="AV173" s="75">
        <v>0</v>
      </c>
      <c r="AW173" s="123">
        <v>0</v>
      </c>
      <c r="AX173" s="516" t="s">
        <v>5146</v>
      </c>
      <c r="AY173" s="75">
        <v>1</v>
      </c>
      <c r="AZ173" s="77" t="s">
        <v>131</v>
      </c>
      <c r="BA173" s="78" t="s">
        <v>131</v>
      </c>
      <c r="BB173" s="78" t="s">
        <v>131</v>
      </c>
      <c r="BC173" s="78" t="s">
        <v>131</v>
      </c>
      <c r="BD173" s="78" t="s">
        <v>131</v>
      </c>
      <c r="BE173" s="78" t="s">
        <v>131</v>
      </c>
      <c r="BF173" s="78" t="s">
        <v>131</v>
      </c>
      <c r="BG173" s="78" t="s">
        <v>132</v>
      </c>
      <c r="BH173" s="75" t="s">
        <v>5970</v>
      </c>
      <c r="BI173" s="295" t="s">
        <v>5860</v>
      </c>
      <c r="BJ173" s="546">
        <v>1</v>
      </c>
      <c r="BK173" s="294">
        <v>1</v>
      </c>
      <c r="BL173" s="157">
        <v>1</v>
      </c>
      <c r="BM173" s="548" t="s">
        <v>1340</v>
      </c>
      <c r="BN173" s="548" t="s">
        <v>4158</v>
      </c>
      <c r="BO173" s="157" t="s">
        <v>5859</v>
      </c>
      <c r="BP173" s="548" t="s">
        <v>5860</v>
      </c>
      <c r="BQ173" s="157" t="s">
        <v>4316</v>
      </c>
      <c r="BR173" s="157"/>
    </row>
    <row r="174" spans="1:70" x14ac:dyDescent="0.25">
      <c r="A174" s="19" t="s">
        <v>3686</v>
      </c>
      <c r="B174" s="37" t="s">
        <v>5147</v>
      </c>
      <c r="C174" s="90">
        <v>45484.781655092593</v>
      </c>
      <c r="D174" s="114">
        <v>45484.531655092593</v>
      </c>
      <c r="E174" s="38">
        <v>45484</v>
      </c>
      <c r="F174" s="91">
        <v>2024</v>
      </c>
      <c r="G174" s="93">
        <v>7</v>
      </c>
      <c r="H174" s="37" t="s">
        <v>2548</v>
      </c>
      <c r="I174" s="37"/>
      <c r="J174" s="103">
        <v>-90.684718132472355</v>
      </c>
      <c r="K174" s="40">
        <v>43.371945286116606</v>
      </c>
      <c r="L174" s="74"/>
      <c r="M174" s="272" t="s">
        <v>5148</v>
      </c>
      <c r="N174" s="74">
        <v>1</v>
      </c>
      <c r="O174" s="94"/>
      <c r="P174" s="118">
        <v>1</v>
      </c>
      <c r="Q174" s="510">
        <v>180</v>
      </c>
      <c r="R174" s="513">
        <v>180</v>
      </c>
      <c r="S174" s="41"/>
      <c r="T174" s="40"/>
      <c r="U174" s="40">
        <v>8</v>
      </c>
      <c r="V174" s="119">
        <v>1</v>
      </c>
      <c r="W174" s="40">
        <v>0</v>
      </c>
      <c r="X174" s="119">
        <v>1</v>
      </c>
      <c r="Y174" s="40">
        <v>65</v>
      </c>
      <c r="Z174" s="119">
        <v>1</v>
      </c>
      <c r="AA174" s="368">
        <v>0</v>
      </c>
      <c r="AB174" s="535">
        <v>0</v>
      </c>
      <c r="AC174" s="39" t="s">
        <v>160</v>
      </c>
      <c r="AD174" s="75" t="s">
        <v>10</v>
      </c>
      <c r="AE174" s="95">
        <v>0</v>
      </c>
      <c r="AF174" s="75">
        <v>0</v>
      </c>
      <c r="AG174" s="75">
        <v>0</v>
      </c>
      <c r="AH174" s="75">
        <v>0</v>
      </c>
      <c r="AI174" s="75">
        <v>0</v>
      </c>
      <c r="AJ174" s="75">
        <v>0</v>
      </c>
      <c r="AK174" s="75">
        <v>0</v>
      </c>
      <c r="AL174" s="95">
        <v>1</v>
      </c>
      <c r="AM174" s="92">
        <v>0</v>
      </c>
      <c r="AN174" s="79" t="s">
        <v>80</v>
      </c>
      <c r="AO174" s="75">
        <v>1</v>
      </c>
      <c r="AP174" s="75" t="s">
        <v>83</v>
      </c>
      <c r="AQ174" s="122">
        <v>1</v>
      </c>
      <c r="AR174" s="515" t="s">
        <v>13</v>
      </c>
      <c r="AS174" s="95">
        <v>1</v>
      </c>
      <c r="AT174" s="75">
        <v>0</v>
      </c>
      <c r="AU174" s="75">
        <v>0</v>
      </c>
      <c r="AV174" s="75">
        <v>0</v>
      </c>
      <c r="AW174" s="123">
        <v>0</v>
      </c>
      <c r="AX174" s="516"/>
      <c r="AY174" s="75">
        <v>0</v>
      </c>
      <c r="AZ174" s="77" t="s">
        <v>131</v>
      </c>
      <c r="BA174" s="78" t="s">
        <v>131</v>
      </c>
      <c r="BB174" s="78" t="s">
        <v>131</v>
      </c>
      <c r="BC174" s="78" t="s">
        <v>131</v>
      </c>
      <c r="BD174" s="78" t="s">
        <v>131</v>
      </c>
      <c r="BE174" s="78" t="s">
        <v>131</v>
      </c>
      <c r="BF174" s="78" t="s">
        <v>131</v>
      </c>
      <c r="BG174" s="78" t="s">
        <v>132</v>
      </c>
      <c r="BH174" s="75" t="s">
        <v>5970</v>
      </c>
      <c r="BI174" s="295" t="s">
        <v>4092</v>
      </c>
      <c r="BJ174" s="546" t="s">
        <v>16</v>
      </c>
      <c r="BK174" s="294" t="s">
        <v>16</v>
      </c>
      <c r="BL174" s="157" t="s">
        <v>16</v>
      </c>
      <c r="BM174" s="548" t="s">
        <v>1342</v>
      </c>
      <c r="BN174" s="548" t="s">
        <v>4158</v>
      </c>
      <c r="BO174" s="157" t="s">
        <v>4453</v>
      </c>
      <c r="BP174" s="548" t="s">
        <v>4454</v>
      </c>
      <c r="BQ174" s="157" t="s">
        <v>4427</v>
      </c>
      <c r="BR174" s="157"/>
    </row>
    <row r="175" spans="1:70" x14ac:dyDescent="0.25">
      <c r="A175" s="19" t="s">
        <v>3686</v>
      </c>
      <c r="B175" s="37" t="s">
        <v>5149</v>
      </c>
      <c r="C175" s="90">
        <v>45484.740729166668</v>
      </c>
      <c r="D175" s="114">
        <v>45484.490729166668</v>
      </c>
      <c r="E175" s="38">
        <v>45484</v>
      </c>
      <c r="F175" s="91">
        <v>2024</v>
      </c>
      <c r="G175" s="93">
        <v>7</v>
      </c>
      <c r="H175" s="37" t="s">
        <v>2446</v>
      </c>
      <c r="I175" s="37"/>
      <c r="J175" s="103">
        <v>-92.090525215361524</v>
      </c>
      <c r="K175" s="40">
        <v>44.84076294449951</v>
      </c>
      <c r="L175" s="74"/>
      <c r="M175" s="272" t="s">
        <v>16</v>
      </c>
      <c r="N175" s="74">
        <v>0</v>
      </c>
      <c r="O175" s="94"/>
      <c r="P175" s="118">
        <v>0</v>
      </c>
      <c r="Q175" s="510"/>
      <c r="R175" s="513"/>
      <c r="S175" s="41"/>
      <c r="T175" s="40"/>
      <c r="U175" s="40"/>
      <c r="V175" s="119">
        <v>0</v>
      </c>
      <c r="W175" s="40"/>
      <c r="X175" s="119">
        <v>1</v>
      </c>
      <c r="Y175" s="40">
        <v>49</v>
      </c>
      <c r="Z175" s="119">
        <v>0</v>
      </c>
      <c r="AA175" s="368" t="s">
        <v>16</v>
      </c>
      <c r="AB175" s="535" t="s">
        <v>16</v>
      </c>
      <c r="AC175" s="39" t="s">
        <v>162</v>
      </c>
      <c r="AD175" s="75" t="s">
        <v>10</v>
      </c>
      <c r="AE175" s="95">
        <v>0</v>
      </c>
      <c r="AF175" s="75">
        <v>0</v>
      </c>
      <c r="AG175" s="75">
        <v>0</v>
      </c>
      <c r="AH175" s="75">
        <v>0</v>
      </c>
      <c r="AI175" s="75">
        <v>0</v>
      </c>
      <c r="AJ175" s="75">
        <v>0</v>
      </c>
      <c r="AK175" s="75">
        <v>0</v>
      </c>
      <c r="AL175" s="95">
        <v>1</v>
      </c>
      <c r="AM175" s="92">
        <v>0</v>
      </c>
      <c r="AN175" s="79" t="s">
        <v>80</v>
      </c>
      <c r="AO175" s="75">
        <v>1</v>
      </c>
      <c r="AP175" s="75" t="s">
        <v>83</v>
      </c>
      <c r="AQ175" s="122">
        <v>1</v>
      </c>
      <c r="AR175" s="515" t="s">
        <v>10</v>
      </c>
      <c r="AS175" s="95">
        <v>0</v>
      </c>
      <c r="AT175" s="75">
        <v>0</v>
      </c>
      <c r="AU175" s="75">
        <v>0</v>
      </c>
      <c r="AV175" s="75">
        <v>0</v>
      </c>
      <c r="AW175" s="123">
        <v>0</v>
      </c>
      <c r="AX175" s="516" t="s">
        <v>5150</v>
      </c>
      <c r="AY175" s="75">
        <v>1</v>
      </c>
      <c r="AZ175" s="77" t="s">
        <v>131</v>
      </c>
      <c r="BA175" s="78" t="s">
        <v>131</v>
      </c>
      <c r="BB175" s="78" t="s">
        <v>131</v>
      </c>
      <c r="BC175" s="78" t="s">
        <v>131</v>
      </c>
      <c r="BD175" s="78" t="s">
        <v>131</v>
      </c>
      <c r="BE175" s="78" t="s">
        <v>131</v>
      </c>
      <c r="BF175" s="78" t="s">
        <v>131</v>
      </c>
      <c r="BG175" s="78" t="s">
        <v>132</v>
      </c>
      <c r="BH175" s="75" t="s">
        <v>5970</v>
      </c>
      <c r="BI175" s="295" t="s">
        <v>16</v>
      </c>
      <c r="BJ175" s="546">
        <v>1</v>
      </c>
      <c r="BK175" s="294">
        <v>1</v>
      </c>
      <c r="BL175" s="157">
        <v>1</v>
      </c>
      <c r="BM175" s="548" t="s">
        <v>1340</v>
      </c>
      <c r="BN175" s="548" t="s">
        <v>4158</v>
      </c>
      <c r="BO175" s="157" t="s">
        <v>5859</v>
      </c>
      <c r="BP175" s="548" t="s">
        <v>5860</v>
      </c>
      <c r="BQ175" s="157" t="s">
        <v>4316</v>
      </c>
      <c r="BR175" s="157"/>
    </row>
    <row r="176" spans="1:70" x14ac:dyDescent="0.25">
      <c r="A176" s="19" t="s">
        <v>3686</v>
      </c>
      <c r="B176" s="37" t="s">
        <v>5151</v>
      </c>
      <c r="C176" s="90">
        <v>45484.685798611114</v>
      </c>
      <c r="D176" s="114">
        <v>45484.435798611114</v>
      </c>
      <c r="E176" s="38">
        <v>45484</v>
      </c>
      <c r="F176" s="91">
        <v>2024</v>
      </c>
      <c r="G176" s="93">
        <v>7</v>
      </c>
      <c r="H176" s="37" t="s">
        <v>2446</v>
      </c>
      <c r="I176" s="37"/>
      <c r="J176" s="103">
        <v>-92.085833864255719</v>
      </c>
      <c r="K176" s="40">
        <v>44.830841722534451</v>
      </c>
      <c r="L176" s="74"/>
      <c r="M176" s="272" t="s">
        <v>16</v>
      </c>
      <c r="N176" s="74">
        <v>0</v>
      </c>
      <c r="O176" s="94"/>
      <c r="P176" s="118">
        <v>0</v>
      </c>
      <c r="Q176" s="510"/>
      <c r="R176" s="513"/>
      <c r="S176" s="41"/>
      <c r="T176" s="40"/>
      <c r="U176" s="40"/>
      <c r="V176" s="119">
        <v>0</v>
      </c>
      <c r="W176" s="40"/>
      <c r="X176" s="119">
        <v>1</v>
      </c>
      <c r="Y176" s="40">
        <v>54</v>
      </c>
      <c r="Z176" s="119">
        <v>0</v>
      </c>
      <c r="AA176" s="368" t="s">
        <v>16</v>
      </c>
      <c r="AB176" s="535" t="s">
        <v>16</v>
      </c>
      <c r="AC176" s="39" t="s">
        <v>160</v>
      </c>
      <c r="AD176" s="75" t="s">
        <v>10</v>
      </c>
      <c r="AE176" s="95">
        <v>0</v>
      </c>
      <c r="AF176" s="75">
        <v>0</v>
      </c>
      <c r="AG176" s="75">
        <v>0</v>
      </c>
      <c r="AH176" s="75">
        <v>0</v>
      </c>
      <c r="AI176" s="75">
        <v>0</v>
      </c>
      <c r="AJ176" s="75">
        <v>0</v>
      </c>
      <c r="AK176" s="75">
        <v>0</v>
      </c>
      <c r="AL176" s="95">
        <v>1</v>
      </c>
      <c r="AM176" s="92">
        <v>0</v>
      </c>
      <c r="AN176" s="79" t="s">
        <v>80</v>
      </c>
      <c r="AO176" s="75">
        <v>1</v>
      </c>
      <c r="AP176" s="75" t="s">
        <v>83</v>
      </c>
      <c r="AQ176" s="122">
        <v>1</v>
      </c>
      <c r="AR176" s="515" t="s">
        <v>10</v>
      </c>
      <c r="AS176" s="95">
        <v>0</v>
      </c>
      <c r="AT176" s="75">
        <v>0</v>
      </c>
      <c r="AU176" s="75">
        <v>0</v>
      </c>
      <c r="AV176" s="75">
        <v>0</v>
      </c>
      <c r="AW176" s="123">
        <v>0</v>
      </c>
      <c r="AX176" s="516" t="s">
        <v>5152</v>
      </c>
      <c r="AY176" s="75">
        <v>1</v>
      </c>
      <c r="AZ176" s="77" t="s">
        <v>131</v>
      </c>
      <c r="BA176" s="78" t="s">
        <v>131</v>
      </c>
      <c r="BB176" s="78" t="s">
        <v>131</v>
      </c>
      <c r="BC176" s="78" t="s">
        <v>131</v>
      </c>
      <c r="BD176" s="78" t="s">
        <v>131</v>
      </c>
      <c r="BE176" s="78" t="s">
        <v>131</v>
      </c>
      <c r="BF176" s="78" t="s">
        <v>131</v>
      </c>
      <c r="BG176" s="78" t="s">
        <v>132</v>
      </c>
      <c r="BH176" s="75" t="s">
        <v>5970</v>
      </c>
      <c r="BI176" s="295" t="s">
        <v>5941</v>
      </c>
      <c r="BJ176" s="546">
        <v>1</v>
      </c>
      <c r="BK176" s="294">
        <v>1</v>
      </c>
      <c r="BL176" s="157">
        <v>1</v>
      </c>
      <c r="BM176" s="548" t="s">
        <v>578</v>
      </c>
      <c r="BN176" s="548" t="s">
        <v>4158</v>
      </c>
      <c r="BO176" s="157" t="s">
        <v>5859</v>
      </c>
      <c r="BP176" s="548" t="s">
        <v>5860</v>
      </c>
      <c r="BQ176" s="157" t="s">
        <v>4316</v>
      </c>
      <c r="BR176" s="157"/>
    </row>
    <row r="177" spans="1:70" x14ac:dyDescent="0.25">
      <c r="A177" s="19" t="s">
        <v>3686</v>
      </c>
      <c r="B177" s="37" t="s">
        <v>5153</v>
      </c>
      <c r="C177" s="90">
        <v>45484.662453703706</v>
      </c>
      <c r="D177" s="114">
        <v>45484.412453703706</v>
      </c>
      <c r="E177" s="38">
        <v>45484</v>
      </c>
      <c r="F177" s="91">
        <v>2024</v>
      </c>
      <c r="G177" s="93">
        <v>7</v>
      </c>
      <c r="H177" s="37" t="s">
        <v>2446</v>
      </c>
      <c r="I177" s="37"/>
      <c r="J177" s="103">
        <v>-92.070563957480175</v>
      </c>
      <c r="K177" s="40">
        <v>44.823519700134227</v>
      </c>
      <c r="L177" s="74"/>
      <c r="M177" s="272" t="s">
        <v>16</v>
      </c>
      <c r="N177" s="74">
        <v>0</v>
      </c>
      <c r="O177" s="94"/>
      <c r="P177" s="118">
        <v>0</v>
      </c>
      <c r="Q177" s="510"/>
      <c r="R177" s="513"/>
      <c r="S177" s="41"/>
      <c r="T177" s="40"/>
      <c r="U177" s="40"/>
      <c r="V177" s="119">
        <v>0</v>
      </c>
      <c r="W177" s="40"/>
      <c r="X177" s="119">
        <v>1</v>
      </c>
      <c r="Y177" s="40">
        <v>57</v>
      </c>
      <c r="Z177" s="119">
        <v>0</v>
      </c>
      <c r="AA177" s="368" t="s">
        <v>16</v>
      </c>
      <c r="AB177" s="535" t="s">
        <v>16</v>
      </c>
      <c r="AC177" s="39" t="s">
        <v>160</v>
      </c>
      <c r="AD177" s="75" t="s">
        <v>7</v>
      </c>
      <c r="AE177" s="95">
        <v>1</v>
      </c>
      <c r="AF177" s="75">
        <v>0</v>
      </c>
      <c r="AG177" s="75">
        <v>0</v>
      </c>
      <c r="AH177" s="75">
        <v>0</v>
      </c>
      <c r="AI177" s="75">
        <v>0</v>
      </c>
      <c r="AJ177" s="75">
        <v>0</v>
      </c>
      <c r="AK177" s="75">
        <v>0</v>
      </c>
      <c r="AL177" s="95">
        <v>0</v>
      </c>
      <c r="AM177" s="92">
        <v>0</v>
      </c>
      <c r="AN177" s="79" t="s">
        <v>80</v>
      </c>
      <c r="AO177" s="75">
        <v>1</v>
      </c>
      <c r="AP177" s="75" t="s">
        <v>83</v>
      </c>
      <c r="AQ177" s="122">
        <v>1</v>
      </c>
      <c r="AR177" s="515" t="s">
        <v>10</v>
      </c>
      <c r="AS177" s="95">
        <v>0</v>
      </c>
      <c r="AT177" s="75">
        <v>0</v>
      </c>
      <c r="AU177" s="75">
        <v>0</v>
      </c>
      <c r="AV177" s="75">
        <v>0</v>
      </c>
      <c r="AW177" s="123">
        <v>0</v>
      </c>
      <c r="AX177" s="516" t="s">
        <v>5154</v>
      </c>
      <c r="AY177" s="75">
        <v>1</v>
      </c>
      <c r="AZ177" s="77" t="s">
        <v>132</v>
      </c>
      <c r="BA177" s="78" t="s">
        <v>131</v>
      </c>
      <c r="BB177" s="78" t="s">
        <v>131</v>
      </c>
      <c r="BC177" s="78" t="s">
        <v>131</v>
      </c>
      <c r="BD177" s="78" t="s">
        <v>131</v>
      </c>
      <c r="BE177" s="78" t="s">
        <v>131</v>
      </c>
      <c r="BF177" s="78" t="s">
        <v>131</v>
      </c>
      <c r="BG177" s="78" t="s">
        <v>131</v>
      </c>
      <c r="BH177" s="75" t="s">
        <v>5970</v>
      </c>
      <c r="BI177" s="295" t="s">
        <v>5860</v>
      </c>
      <c r="BJ177" s="546">
        <v>1</v>
      </c>
      <c r="BK177" s="294">
        <v>1</v>
      </c>
      <c r="BL177" s="157">
        <v>1</v>
      </c>
      <c r="BM177" s="548" t="s">
        <v>1340</v>
      </c>
      <c r="BN177" s="548" t="s">
        <v>4158</v>
      </c>
      <c r="BO177" s="157" t="s">
        <v>5859</v>
      </c>
      <c r="BP177" s="548" t="s">
        <v>5860</v>
      </c>
      <c r="BQ177" s="157" t="s">
        <v>4316</v>
      </c>
      <c r="BR177" s="157"/>
    </row>
    <row r="178" spans="1:70" x14ac:dyDescent="0.25">
      <c r="A178" s="19" t="s">
        <v>3686</v>
      </c>
      <c r="B178" s="37" t="s">
        <v>5155</v>
      </c>
      <c r="C178" s="90">
        <v>45484.645821759259</v>
      </c>
      <c r="D178" s="114">
        <v>45484.395821759259</v>
      </c>
      <c r="E178" s="38">
        <v>45484</v>
      </c>
      <c r="F178" s="91">
        <v>2024</v>
      </c>
      <c r="G178" s="93">
        <v>7</v>
      </c>
      <c r="H178" s="37" t="s">
        <v>2446</v>
      </c>
      <c r="I178" s="37"/>
      <c r="J178" s="103">
        <v>-92.070423122238239</v>
      </c>
      <c r="K178" s="40">
        <v>44.816710400281508</v>
      </c>
      <c r="L178" s="74"/>
      <c r="M178" s="272" t="s">
        <v>5156</v>
      </c>
      <c r="N178" s="74">
        <v>1</v>
      </c>
      <c r="O178" s="94"/>
      <c r="P178" s="118">
        <v>0</v>
      </c>
      <c r="Q178" s="510"/>
      <c r="R178" s="513"/>
      <c r="S178" s="41"/>
      <c r="T178" s="40"/>
      <c r="U178" s="40"/>
      <c r="V178" s="119">
        <v>0</v>
      </c>
      <c r="W178" s="40"/>
      <c r="X178" s="119">
        <v>1</v>
      </c>
      <c r="Y178" s="40">
        <v>53</v>
      </c>
      <c r="Z178" s="119">
        <v>0</v>
      </c>
      <c r="AA178" s="368" t="s">
        <v>16</v>
      </c>
      <c r="AB178" s="535" t="s">
        <v>16</v>
      </c>
      <c r="AC178" s="39" t="s">
        <v>162</v>
      </c>
      <c r="AD178" s="75" t="s">
        <v>10</v>
      </c>
      <c r="AE178" s="95">
        <v>0</v>
      </c>
      <c r="AF178" s="75">
        <v>0</v>
      </c>
      <c r="AG178" s="75">
        <v>0</v>
      </c>
      <c r="AH178" s="75">
        <v>0</v>
      </c>
      <c r="AI178" s="75">
        <v>0</v>
      </c>
      <c r="AJ178" s="75">
        <v>0</v>
      </c>
      <c r="AK178" s="75">
        <v>0</v>
      </c>
      <c r="AL178" s="95">
        <v>1</v>
      </c>
      <c r="AM178" s="92">
        <v>0</v>
      </c>
      <c r="AN178" s="79" t="s">
        <v>80</v>
      </c>
      <c r="AO178" s="75">
        <v>1</v>
      </c>
      <c r="AP178" s="75" t="s">
        <v>83</v>
      </c>
      <c r="AQ178" s="122">
        <v>1</v>
      </c>
      <c r="AR178" s="515" t="s">
        <v>10</v>
      </c>
      <c r="AS178" s="95">
        <v>0</v>
      </c>
      <c r="AT178" s="75">
        <v>0</v>
      </c>
      <c r="AU178" s="75">
        <v>0</v>
      </c>
      <c r="AV178" s="75">
        <v>0</v>
      </c>
      <c r="AW178" s="123">
        <v>0</v>
      </c>
      <c r="AX178" s="516" t="s">
        <v>5157</v>
      </c>
      <c r="AY178" s="75">
        <v>1</v>
      </c>
      <c r="AZ178" s="77" t="s">
        <v>131</v>
      </c>
      <c r="BA178" s="78" t="s">
        <v>131</v>
      </c>
      <c r="BB178" s="78" t="s">
        <v>131</v>
      </c>
      <c r="BC178" s="78" t="s">
        <v>131</v>
      </c>
      <c r="BD178" s="78" t="s">
        <v>131</v>
      </c>
      <c r="BE178" s="78" t="s">
        <v>131</v>
      </c>
      <c r="BF178" s="78" t="s">
        <v>131</v>
      </c>
      <c r="BG178" s="78" t="s">
        <v>132</v>
      </c>
      <c r="BH178" s="75" t="s">
        <v>5970</v>
      </c>
      <c r="BI178" s="295" t="s">
        <v>5860</v>
      </c>
      <c r="BJ178" s="546">
        <v>1</v>
      </c>
      <c r="BK178" s="294">
        <v>1</v>
      </c>
      <c r="BL178" s="157">
        <v>1</v>
      </c>
      <c r="BM178" s="548" t="s">
        <v>1340</v>
      </c>
      <c r="BN178" s="548" t="s">
        <v>4158</v>
      </c>
      <c r="BO178" s="157" t="s">
        <v>5859</v>
      </c>
      <c r="BP178" s="548" t="s">
        <v>5860</v>
      </c>
      <c r="BQ178" s="157" t="s">
        <v>4316</v>
      </c>
      <c r="BR178" s="157"/>
    </row>
    <row r="179" spans="1:70" x14ac:dyDescent="0.25">
      <c r="A179" s="19" t="s">
        <v>3686</v>
      </c>
      <c r="B179" s="37" t="s">
        <v>5158</v>
      </c>
      <c r="C179" s="90">
        <v>45484.627893518518</v>
      </c>
      <c r="D179" s="114">
        <v>45484.377893518518</v>
      </c>
      <c r="E179" s="38">
        <v>45484</v>
      </c>
      <c r="F179" s="91">
        <v>2024</v>
      </c>
      <c r="G179" s="93">
        <v>7</v>
      </c>
      <c r="H179" s="37" t="s">
        <v>2446</v>
      </c>
      <c r="I179" s="37"/>
      <c r="J179" s="103">
        <v>-92.070689331990224</v>
      </c>
      <c r="K179" s="40">
        <v>44.814773579324573</v>
      </c>
      <c r="L179" s="74"/>
      <c r="M179" s="272" t="s">
        <v>16</v>
      </c>
      <c r="N179" s="74">
        <v>0</v>
      </c>
      <c r="O179" s="94"/>
      <c r="P179" s="118">
        <v>1</v>
      </c>
      <c r="Q179" s="510">
        <v>180</v>
      </c>
      <c r="R179" s="513">
        <v>120</v>
      </c>
      <c r="S179" s="41"/>
      <c r="T179" s="40"/>
      <c r="U179" s="40">
        <v>7</v>
      </c>
      <c r="V179" s="119">
        <v>1</v>
      </c>
      <c r="W179" s="40">
        <v>0</v>
      </c>
      <c r="X179" s="119">
        <v>1</v>
      </c>
      <c r="Y179" s="40">
        <v>50</v>
      </c>
      <c r="Z179" s="119">
        <v>1</v>
      </c>
      <c r="AA179" s="368">
        <v>0</v>
      </c>
      <c r="AB179" s="535">
        <v>0</v>
      </c>
      <c r="AC179" s="39" t="s">
        <v>160</v>
      </c>
      <c r="AD179" s="75" t="s">
        <v>10</v>
      </c>
      <c r="AE179" s="95">
        <v>0</v>
      </c>
      <c r="AF179" s="75">
        <v>0</v>
      </c>
      <c r="AG179" s="75">
        <v>0</v>
      </c>
      <c r="AH179" s="75">
        <v>0</v>
      </c>
      <c r="AI179" s="75">
        <v>0</v>
      </c>
      <c r="AJ179" s="75">
        <v>0</v>
      </c>
      <c r="AK179" s="75">
        <v>0</v>
      </c>
      <c r="AL179" s="95">
        <v>1</v>
      </c>
      <c r="AM179" s="92">
        <v>0</v>
      </c>
      <c r="AN179" s="79" t="s">
        <v>80</v>
      </c>
      <c r="AO179" s="75">
        <v>1</v>
      </c>
      <c r="AP179" s="75" t="s">
        <v>83</v>
      </c>
      <c r="AQ179" s="122">
        <v>1</v>
      </c>
      <c r="AR179" s="515" t="s">
        <v>10</v>
      </c>
      <c r="AS179" s="95">
        <v>0</v>
      </c>
      <c r="AT179" s="75">
        <v>0</v>
      </c>
      <c r="AU179" s="75">
        <v>0</v>
      </c>
      <c r="AV179" s="75">
        <v>0</v>
      </c>
      <c r="AW179" s="123">
        <v>0</v>
      </c>
      <c r="AX179" s="516" t="s">
        <v>5159</v>
      </c>
      <c r="AY179" s="75">
        <v>1</v>
      </c>
      <c r="AZ179" s="77" t="s">
        <v>131</v>
      </c>
      <c r="BA179" s="78" t="s">
        <v>131</v>
      </c>
      <c r="BB179" s="78" t="s">
        <v>131</v>
      </c>
      <c r="BC179" s="78" t="s">
        <v>131</v>
      </c>
      <c r="BD179" s="78" t="s">
        <v>131</v>
      </c>
      <c r="BE179" s="78" t="s">
        <v>131</v>
      </c>
      <c r="BF179" s="78" t="s">
        <v>131</v>
      </c>
      <c r="BG179" s="78" t="s">
        <v>132</v>
      </c>
      <c r="BH179" s="75" t="s">
        <v>5970</v>
      </c>
      <c r="BI179" s="295" t="s">
        <v>5860</v>
      </c>
      <c r="BJ179" s="546">
        <v>1</v>
      </c>
      <c r="BK179" s="294">
        <v>1</v>
      </c>
      <c r="BL179" s="157">
        <v>1</v>
      </c>
      <c r="BM179" s="548" t="s">
        <v>578</v>
      </c>
      <c r="BN179" s="548" t="s">
        <v>4158</v>
      </c>
      <c r="BO179" s="157" t="s">
        <v>5859</v>
      </c>
      <c r="BP179" s="548" t="s">
        <v>5860</v>
      </c>
      <c r="BQ179" s="157" t="s">
        <v>4316</v>
      </c>
      <c r="BR179" s="157"/>
    </row>
    <row r="180" spans="1:70" x14ac:dyDescent="0.25">
      <c r="A180" s="19" t="s">
        <v>3686</v>
      </c>
      <c r="B180" s="37" t="s">
        <v>5160</v>
      </c>
      <c r="C180" s="90">
        <v>45484.624108796299</v>
      </c>
      <c r="D180" s="114">
        <v>45484.374108796299</v>
      </c>
      <c r="E180" s="38">
        <v>45484</v>
      </c>
      <c r="F180" s="91">
        <v>2024</v>
      </c>
      <c r="G180" s="93">
        <v>7</v>
      </c>
      <c r="H180" s="37" t="s">
        <v>4981</v>
      </c>
      <c r="I180" s="37"/>
      <c r="J180" s="103">
        <v>-91.372850037087602</v>
      </c>
      <c r="K180" s="40">
        <v>42.718184777585591</v>
      </c>
      <c r="L180" s="74"/>
      <c r="M180" s="272" t="s">
        <v>5161</v>
      </c>
      <c r="N180" s="74">
        <v>1</v>
      </c>
      <c r="O180" s="94"/>
      <c r="P180" s="118">
        <v>1</v>
      </c>
      <c r="Q180" s="510">
        <v>180</v>
      </c>
      <c r="R180" s="513">
        <v>120</v>
      </c>
      <c r="S180" s="41"/>
      <c r="T180" s="40"/>
      <c r="U180" s="40">
        <v>8</v>
      </c>
      <c r="V180" s="119">
        <v>1</v>
      </c>
      <c r="W180" s="40">
        <v>0</v>
      </c>
      <c r="X180" s="119">
        <v>1</v>
      </c>
      <c r="Y180" s="40">
        <v>66</v>
      </c>
      <c r="Z180" s="119">
        <v>1</v>
      </c>
      <c r="AA180" s="368">
        <v>0</v>
      </c>
      <c r="AB180" s="535">
        <v>5</v>
      </c>
      <c r="AC180" s="39" t="s">
        <v>160</v>
      </c>
      <c r="AD180" s="75" t="s">
        <v>7</v>
      </c>
      <c r="AE180" s="95">
        <v>1</v>
      </c>
      <c r="AF180" s="75">
        <v>0</v>
      </c>
      <c r="AG180" s="75">
        <v>0</v>
      </c>
      <c r="AH180" s="75">
        <v>0</v>
      </c>
      <c r="AI180" s="75">
        <v>0</v>
      </c>
      <c r="AJ180" s="75">
        <v>0</v>
      </c>
      <c r="AK180" s="75">
        <v>0</v>
      </c>
      <c r="AL180" s="95">
        <v>0</v>
      </c>
      <c r="AM180" s="92">
        <v>0</v>
      </c>
      <c r="AN180" s="79" t="s">
        <v>80</v>
      </c>
      <c r="AO180" s="75">
        <v>1</v>
      </c>
      <c r="AP180" s="75" t="s">
        <v>83</v>
      </c>
      <c r="AQ180" s="122">
        <v>1</v>
      </c>
      <c r="AR180" s="515" t="s">
        <v>10</v>
      </c>
      <c r="AS180" s="95">
        <v>0</v>
      </c>
      <c r="AT180" s="75">
        <v>0</v>
      </c>
      <c r="AU180" s="75">
        <v>0</v>
      </c>
      <c r="AV180" s="75">
        <v>0</v>
      </c>
      <c r="AW180" s="123">
        <v>0</v>
      </c>
      <c r="AX180" s="516"/>
      <c r="AY180" s="75">
        <v>0</v>
      </c>
      <c r="AZ180" s="77" t="s">
        <v>132</v>
      </c>
      <c r="BA180" s="78" t="s">
        <v>131</v>
      </c>
      <c r="BB180" s="78" t="s">
        <v>131</v>
      </c>
      <c r="BC180" s="78" t="s">
        <v>131</v>
      </c>
      <c r="BD180" s="78" t="s">
        <v>131</v>
      </c>
      <c r="BE180" s="78" t="s">
        <v>131</v>
      </c>
      <c r="BF180" s="78" t="s">
        <v>131</v>
      </c>
      <c r="BG180" s="78" t="s">
        <v>131</v>
      </c>
      <c r="BH180" s="75" t="s">
        <v>5970</v>
      </c>
      <c r="BI180" s="295" t="s">
        <v>4039</v>
      </c>
      <c r="BJ180" s="546">
        <v>1</v>
      </c>
      <c r="BK180" s="294" t="s">
        <v>16</v>
      </c>
      <c r="BL180" s="157" t="s">
        <v>16</v>
      </c>
      <c r="BM180" s="548" t="s">
        <v>1347</v>
      </c>
      <c r="BN180" s="548" t="s">
        <v>4160</v>
      </c>
      <c r="BO180" s="157" t="s">
        <v>4595</v>
      </c>
      <c r="BP180" s="548" t="s">
        <v>4597</v>
      </c>
      <c r="BQ180" s="157" t="s">
        <v>4563</v>
      </c>
      <c r="BR180" s="157"/>
    </row>
    <row r="181" spans="1:70" x14ac:dyDescent="0.25">
      <c r="A181" s="19" t="s">
        <v>3686</v>
      </c>
      <c r="B181" s="37" t="s">
        <v>5162</v>
      </c>
      <c r="C181" s="90">
        <v>45484.558240740742</v>
      </c>
      <c r="D181" s="114">
        <v>45484.308240740742</v>
      </c>
      <c r="E181" s="38">
        <v>45484</v>
      </c>
      <c r="F181" s="91">
        <v>2024</v>
      </c>
      <c r="G181" s="93">
        <v>7</v>
      </c>
      <c r="H181" s="37" t="s">
        <v>2548</v>
      </c>
      <c r="I181" s="37"/>
      <c r="J181" s="103">
        <v>-90.884613052781717</v>
      </c>
      <c r="K181" s="40">
        <v>43.330151479210187</v>
      </c>
      <c r="L181" s="74"/>
      <c r="M181" s="272" t="s">
        <v>5163</v>
      </c>
      <c r="N181" s="74">
        <v>1</v>
      </c>
      <c r="O181" s="94"/>
      <c r="P181" s="118">
        <v>1</v>
      </c>
      <c r="Q181" s="510">
        <v>180</v>
      </c>
      <c r="R181" s="513">
        <v>120</v>
      </c>
      <c r="S181" s="41"/>
      <c r="T181" s="40"/>
      <c r="U181" s="40">
        <v>7.5</v>
      </c>
      <c r="V181" s="119">
        <v>1</v>
      </c>
      <c r="W181" s="40">
        <v>0</v>
      </c>
      <c r="X181" s="119">
        <v>1</v>
      </c>
      <c r="Y181" s="40">
        <v>49</v>
      </c>
      <c r="Z181" s="119">
        <v>1</v>
      </c>
      <c r="AA181" s="368">
        <v>0</v>
      </c>
      <c r="AB181" s="535">
        <v>0</v>
      </c>
      <c r="AC181" s="39" t="s">
        <v>160</v>
      </c>
      <c r="AD181" s="75" t="s">
        <v>7</v>
      </c>
      <c r="AE181" s="95">
        <v>1</v>
      </c>
      <c r="AF181" s="75">
        <v>0</v>
      </c>
      <c r="AG181" s="75">
        <v>0</v>
      </c>
      <c r="AH181" s="75">
        <v>0</v>
      </c>
      <c r="AI181" s="75">
        <v>0</v>
      </c>
      <c r="AJ181" s="75">
        <v>0</v>
      </c>
      <c r="AK181" s="75">
        <v>0</v>
      </c>
      <c r="AL181" s="95">
        <v>0</v>
      </c>
      <c r="AM181" s="92">
        <v>0</v>
      </c>
      <c r="AN181" s="79" t="s">
        <v>80</v>
      </c>
      <c r="AO181" s="75">
        <v>1</v>
      </c>
      <c r="AP181" s="75" t="s">
        <v>83</v>
      </c>
      <c r="AQ181" s="122">
        <v>1</v>
      </c>
      <c r="AR181" s="515" t="s">
        <v>13</v>
      </c>
      <c r="AS181" s="95">
        <v>1</v>
      </c>
      <c r="AT181" s="75">
        <v>0</v>
      </c>
      <c r="AU181" s="75">
        <v>0</v>
      </c>
      <c r="AV181" s="75">
        <v>0</v>
      </c>
      <c r="AW181" s="123">
        <v>0</v>
      </c>
      <c r="AX181" s="516"/>
      <c r="AY181" s="75">
        <v>0</v>
      </c>
      <c r="AZ181" s="77" t="s">
        <v>132</v>
      </c>
      <c r="BA181" s="78" t="s">
        <v>131</v>
      </c>
      <c r="BB181" s="78" t="s">
        <v>131</v>
      </c>
      <c r="BC181" s="78" t="s">
        <v>131</v>
      </c>
      <c r="BD181" s="78" t="s">
        <v>131</v>
      </c>
      <c r="BE181" s="78" t="s">
        <v>131</v>
      </c>
      <c r="BF181" s="78" t="s">
        <v>131</v>
      </c>
      <c r="BG181" s="78" t="s">
        <v>131</v>
      </c>
      <c r="BH181" s="75" t="s">
        <v>5970</v>
      </c>
      <c r="BI181" s="295" t="s">
        <v>5954</v>
      </c>
      <c r="BJ181" s="546" t="s">
        <v>16</v>
      </c>
      <c r="BK181" s="294" t="s">
        <v>16</v>
      </c>
      <c r="BL181" s="157" t="s">
        <v>16</v>
      </c>
      <c r="BM181" s="548" t="s">
        <v>1342</v>
      </c>
      <c r="BN181" s="548" t="s">
        <v>4158</v>
      </c>
      <c r="BO181" s="157" t="s">
        <v>4402</v>
      </c>
      <c r="BP181" s="548" t="s">
        <v>4436</v>
      </c>
      <c r="BQ181" s="157" t="s">
        <v>4303</v>
      </c>
      <c r="BR181" s="157"/>
    </row>
    <row r="182" spans="1:70" x14ac:dyDescent="0.25">
      <c r="A182" s="19" t="s">
        <v>3686</v>
      </c>
      <c r="B182" s="37" t="s">
        <v>5164</v>
      </c>
      <c r="C182" s="90">
        <v>45483.80908564815</v>
      </c>
      <c r="D182" s="114">
        <v>45483.55908564815</v>
      </c>
      <c r="E182" s="38">
        <v>45483</v>
      </c>
      <c r="F182" s="91">
        <v>2024</v>
      </c>
      <c r="G182" s="93">
        <v>7</v>
      </c>
      <c r="H182" s="37" t="s">
        <v>2446</v>
      </c>
      <c r="I182" s="37"/>
      <c r="J182" s="103">
        <v>-92.178522647289</v>
      </c>
      <c r="K182" s="40">
        <v>44.786105577917837</v>
      </c>
      <c r="L182" s="74"/>
      <c r="M182" s="272" t="s">
        <v>5165</v>
      </c>
      <c r="N182" s="74">
        <v>1</v>
      </c>
      <c r="O182" s="94"/>
      <c r="P182" s="118">
        <v>1</v>
      </c>
      <c r="Q182" s="510">
        <v>180</v>
      </c>
      <c r="R182" s="513">
        <v>180</v>
      </c>
      <c r="S182" s="41"/>
      <c r="T182" s="40"/>
      <c r="U182" s="40">
        <v>8</v>
      </c>
      <c r="V182" s="119">
        <v>1</v>
      </c>
      <c r="W182" s="40">
        <v>100</v>
      </c>
      <c r="X182" s="119">
        <v>1</v>
      </c>
      <c r="Y182" s="40">
        <v>79</v>
      </c>
      <c r="Z182" s="119">
        <v>1</v>
      </c>
      <c r="AA182" s="368">
        <v>0</v>
      </c>
      <c r="AB182" s="535">
        <v>2</v>
      </c>
      <c r="AC182" s="39"/>
      <c r="AD182" s="75" t="s">
        <v>439</v>
      </c>
      <c r="AE182" s="95">
        <v>0</v>
      </c>
      <c r="AF182" s="75">
        <v>1</v>
      </c>
      <c r="AG182" s="75">
        <v>0</v>
      </c>
      <c r="AH182" s="75">
        <v>0</v>
      </c>
      <c r="AI182" s="75">
        <v>1</v>
      </c>
      <c r="AJ182" s="75">
        <v>0</v>
      </c>
      <c r="AK182" s="75">
        <v>0</v>
      </c>
      <c r="AL182" s="95">
        <v>0</v>
      </c>
      <c r="AM182" s="92">
        <v>0</v>
      </c>
      <c r="AN182" s="79" t="s">
        <v>80</v>
      </c>
      <c r="AO182" s="75">
        <v>1</v>
      </c>
      <c r="AP182" s="75" t="s">
        <v>84</v>
      </c>
      <c r="AQ182" s="122">
        <v>1</v>
      </c>
      <c r="AR182" s="515" t="s">
        <v>10</v>
      </c>
      <c r="AS182" s="95">
        <v>0</v>
      </c>
      <c r="AT182" s="75">
        <v>0</v>
      </c>
      <c r="AU182" s="75">
        <v>0</v>
      </c>
      <c r="AV182" s="75">
        <v>0</v>
      </c>
      <c r="AW182" s="123">
        <v>0</v>
      </c>
      <c r="AX182" s="516"/>
      <c r="AY182" s="75">
        <v>0</v>
      </c>
      <c r="AZ182" s="77" t="s">
        <v>131</v>
      </c>
      <c r="BA182" s="78" t="s">
        <v>132</v>
      </c>
      <c r="BB182" s="78" t="s">
        <v>131</v>
      </c>
      <c r="BC182" s="78" t="s">
        <v>131</v>
      </c>
      <c r="BD182" s="78" t="s">
        <v>132</v>
      </c>
      <c r="BE182" s="78" t="s">
        <v>131</v>
      </c>
      <c r="BF182" s="78" t="s">
        <v>131</v>
      </c>
      <c r="BG182" s="78" t="s">
        <v>131</v>
      </c>
      <c r="BH182" s="75" t="s">
        <v>5970</v>
      </c>
      <c r="BI182" s="295" t="s">
        <v>16</v>
      </c>
      <c r="BJ182" s="546">
        <v>1</v>
      </c>
      <c r="BK182" s="294">
        <v>1</v>
      </c>
      <c r="BL182" s="157">
        <v>1</v>
      </c>
      <c r="BM182" s="548" t="s">
        <v>578</v>
      </c>
      <c r="BN182" s="548" t="s">
        <v>4158</v>
      </c>
      <c r="BO182" s="157" t="s">
        <v>4318</v>
      </c>
      <c r="BP182" s="548" t="s">
        <v>4439</v>
      </c>
      <c r="BQ182" s="157" t="s">
        <v>4316</v>
      </c>
      <c r="BR182" s="157"/>
    </row>
    <row r="183" spans="1:70" x14ac:dyDescent="0.25">
      <c r="A183" s="19" t="s">
        <v>3686</v>
      </c>
      <c r="B183" s="37" t="s">
        <v>5166</v>
      </c>
      <c r="C183" s="90">
        <v>45483.800358796296</v>
      </c>
      <c r="D183" s="114">
        <v>45483.550358796296</v>
      </c>
      <c r="E183" s="38">
        <v>45483</v>
      </c>
      <c r="F183" s="91">
        <v>2024</v>
      </c>
      <c r="G183" s="93">
        <v>7</v>
      </c>
      <c r="H183" s="37" t="s">
        <v>4981</v>
      </c>
      <c r="I183" s="37"/>
      <c r="J183" s="103">
        <v>-91.561832616126395</v>
      </c>
      <c r="K183" s="40">
        <v>42.757349931104621</v>
      </c>
      <c r="L183" s="74"/>
      <c r="M183" s="272" t="s">
        <v>16</v>
      </c>
      <c r="N183" s="74">
        <v>0</v>
      </c>
      <c r="O183" s="94"/>
      <c r="P183" s="118">
        <v>1</v>
      </c>
      <c r="Q183" s="510">
        <v>180</v>
      </c>
      <c r="R183" s="513">
        <v>30</v>
      </c>
      <c r="S183" s="41"/>
      <c r="T183" s="40"/>
      <c r="U183" s="40">
        <v>7.5</v>
      </c>
      <c r="V183" s="119">
        <v>1</v>
      </c>
      <c r="W183" s="40">
        <v>0</v>
      </c>
      <c r="X183" s="119">
        <v>1</v>
      </c>
      <c r="Y183" s="40">
        <v>66</v>
      </c>
      <c r="Z183" s="119">
        <v>0</v>
      </c>
      <c r="AA183" s="368" t="s">
        <v>16</v>
      </c>
      <c r="AB183" s="535" t="s">
        <v>16</v>
      </c>
      <c r="AC183" s="39" t="s">
        <v>160</v>
      </c>
      <c r="AD183" s="75" t="s">
        <v>10</v>
      </c>
      <c r="AE183" s="95">
        <v>0</v>
      </c>
      <c r="AF183" s="75">
        <v>0</v>
      </c>
      <c r="AG183" s="75">
        <v>0</v>
      </c>
      <c r="AH183" s="75">
        <v>0</v>
      </c>
      <c r="AI183" s="75">
        <v>0</v>
      </c>
      <c r="AJ183" s="75">
        <v>0</v>
      </c>
      <c r="AK183" s="75">
        <v>0</v>
      </c>
      <c r="AL183" s="95">
        <v>1</v>
      </c>
      <c r="AM183" s="92">
        <v>0</v>
      </c>
      <c r="AN183" s="79" t="s">
        <v>81</v>
      </c>
      <c r="AO183" s="75">
        <v>1</v>
      </c>
      <c r="AP183" s="75" t="s">
        <v>84</v>
      </c>
      <c r="AQ183" s="122">
        <v>1</v>
      </c>
      <c r="AR183" s="515" t="s">
        <v>35</v>
      </c>
      <c r="AS183" s="95">
        <v>0</v>
      </c>
      <c r="AT183" s="75">
        <v>1</v>
      </c>
      <c r="AU183" s="75">
        <v>0</v>
      </c>
      <c r="AV183" s="75">
        <v>0</v>
      </c>
      <c r="AW183" s="123">
        <v>0</v>
      </c>
      <c r="AX183" s="516"/>
      <c r="AY183" s="75">
        <v>0</v>
      </c>
      <c r="AZ183" s="77" t="s">
        <v>131</v>
      </c>
      <c r="BA183" s="78" t="s">
        <v>131</v>
      </c>
      <c r="BB183" s="78" t="s">
        <v>131</v>
      </c>
      <c r="BC183" s="78" t="s">
        <v>131</v>
      </c>
      <c r="BD183" s="78" t="s">
        <v>131</v>
      </c>
      <c r="BE183" s="78" t="s">
        <v>131</v>
      </c>
      <c r="BF183" s="78" t="s">
        <v>131</v>
      </c>
      <c r="BG183" s="78" t="s">
        <v>132</v>
      </c>
      <c r="BH183" s="75" t="s">
        <v>5970</v>
      </c>
      <c r="BI183" s="295" t="s">
        <v>5943</v>
      </c>
      <c r="BJ183" s="546">
        <v>1</v>
      </c>
      <c r="BK183" s="294" t="s">
        <v>16</v>
      </c>
      <c r="BL183" s="157" t="s">
        <v>16</v>
      </c>
      <c r="BM183" s="548" t="s">
        <v>1347</v>
      </c>
      <c r="BN183" s="548" t="s">
        <v>4160</v>
      </c>
      <c r="BO183" s="157" t="s">
        <v>4568</v>
      </c>
      <c r="BP183" s="548" t="s">
        <v>4036</v>
      </c>
      <c r="BQ183" s="157" t="s">
        <v>4563</v>
      </c>
      <c r="BR183" s="157"/>
    </row>
    <row r="184" spans="1:70" x14ac:dyDescent="0.25">
      <c r="A184" s="19" t="s">
        <v>3686</v>
      </c>
      <c r="B184" s="37" t="s">
        <v>5167</v>
      </c>
      <c r="C184" s="90">
        <v>45483.706504629627</v>
      </c>
      <c r="D184" s="114">
        <v>45483.456504629627</v>
      </c>
      <c r="E184" s="38">
        <v>45483</v>
      </c>
      <c r="F184" s="91">
        <v>2024</v>
      </c>
      <c r="G184" s="93">
        <v>7</v>
      </c>
      <c r="H184" s="37" t="s">
        <v>2446</v>
      </c>
      <c r="I184" s="37"/>
      <c r="J184" s="103">
        <v>-92.237700222668366</v>
      </c>
      <c r="K184" s="40">
        <v>44.850778552343371</v>
      </c>
      <c r="L184" s="74"/>
      <c r="M184" s="272" t="s">
        <v>5168</v>
      </c>
      <c r="N184" s="74">
        <v>1</v>
      </c>
      <c r="O184" s="94"/>
      <c r="P184" s="118">
        <v>0</v>
      </c>
      <c r="Q184" s="510"/>
      <c r="R184" s="513"/>
      <c r="S184" s="41"/>
      <c r="T184" s="40"/>
      <c r="U184" s="40"/>
      <c r="V184" s="119">
        <v>1</v>
      </c>
      <c r="W184" s="40">
        <v>0</v>
      </c>
      <c r="X184" s="119">
        <v>1</v>
      </c>
      <c r="Y184" s="40">
        <v>73</v>
      </c>
      <c r="Z184" s="119">
        <v>1</v>
      </c>
      <c r="AA184" s="368">
        <v>0</v>
      </c>
      <c r="AB184" s="535">
        <v>0</v>
      </c>
      <c r="AC184" s="39" t="s">
        <v>160</v>
      </c>
      <c r="AD184" s="75" t="s">
        <v>7</v>
      </c>
      <c r="AE184" s="95">
        <v>1</v>
      </c>
      <c r="AF184" s="75">
        <v>0</v>
      </c>
      <c r="AG184" s="75">
        <v>0</v>
      </c>
      <c r="AH184" s="75">
        <v>0</v>
      </c>
      <c r="AI184" s="75">
        <v>0</v>
      </c>
      <c r="AJ184" s="75">
        <v>0</v>
      </c>
      <c r="AK184" s="75">
        <v>0</v>
      </c>
      <c r="AL184" s="95">
        <v>0</v>
      </c>
      <c r="AM184" s="92">
        <v>0</v>
      </c>
      <c r="AN184" s="79" t="s">
        <v>80</v>
      </c>
      <c r="AO184" s="75">
        <v>1</v>
      </c>
      <c r="AP184" s="75" t="s">
        <v>84</v>
      </c>
      <c r="AQ184" s="122">
        <v>1</v>
      </c>
      <c r="AR184" s="515" t="s">
        <v>10</v>
      </c>
      <c r="AS184" s="95">
        <v>0</v>
      </c>
      <c r="AT184" s="75">
        <v>0</v>
      </c>
      <c r="AU184" s="75">
        <v>0</v>
      </c>
      <c r="AV184" s="75">
        <v>0</v>
      </c>
      <c r="AW184" s="123">
        <v>0</v>
      </c>
      <c r="AX184" s="516"/>
      <c r="AY184" s="75">
        <v>0</v>
      </c>
      <c r="AZ184" s="77" t="s">
        <v>132</v>
      </c>
      <c r="BA184" s="78" t="s">
        <v>131</v>
      </c>
      <c r="BB184" s="78" t="s">
        <v>131</v>
      </c>
      <c r="BC184" s="78" t="s">
        <v>131</v>
      </c>
      <c r="BD184" s="78" t="s">
        <v>131</v>
      </c>
      <c r="BE184" s="78" t="s">
        <v>131</v>
      </c>
      <c r="BF184" s="78" t="s">
        <v>131</v>
      </c>
      <c r="BG184" s="78" t="s">
        <v>131</v>
      </c>
      <c r="BH184" s="75" t="s">
        <v>5970</v>
      </c>
      <c r="BI184" s="295" t="s">
        <v>2245</v>
      </c>
      <c r="BJ184" s="546">
        <v>1</v>
      </c>
      <c r="BK184" s="294">
        <v>1</v>
      </c>
      <c r="BL184" s="157">
        <v>1</v>
      </c>
      <c r="BM184" s="548" t="s">
        <v>578</v>
      </c>
      <c r="BN184" s="548" t="s">
        <v>4158</v>
      </c>
      <c r="BO184" s="157" t="s">
        <v>4318</v>
      </c>
      <c r="BP184" s="548" t="s">
        <v>4439</v>
      </c>
      <c r="BQ184" s="157" t="s">
        <v>4316</v>
      </c>
      <c r="BR184" s="157"/>
    </row>
    <row r="185" spans="1:70" x14ac:dyDescent="0.25">
      <c r="A185" s="19" t="s">
        <v>3686</v>
      </c>
      <c r="B185" s="37" t="s">
        <v>5169</v>
      </c>
      <c r="C185" s="90">
        <v>45483.663842592592</v>
      </c>
      <c r="D185" s="114">
        <v>45483.413842592592</v>
      </c>
      <c r="E185" s="38">
        <v>45483</v>
      </c>
      <c r="F185" s="91">
        <v>2024</v>
      </c>
      <c r="G185" s="93">
        <v>7</v>
      </c>
      <c r="H185" s="37" t="s">
        <v>5006</v>
      </c>
      <c r="I185" s="37"/>
      <c r="J185" s="103">
        <v>-92.23991095962144</v>
      </c>
      <c r="K185" s="40">
        <v>44.872411612705321</v>
      </c>
      <c r="L185" s="74"/>
      <c r="M185" s="272" t="s">
        <v>5170</v>
      </c>
      <c r="N185" s="74">
        <v>1</v>
      </c>
      <c r="O185" s="94"/>
      <c r="P185" s="118">
        <v>1</v>
      </c>
      <c r="Q185" s="510">
        <v>40</v>
      </c>
      <c r="R185" s="513">
        <v>60</v>
      </c>
      <c r="S185" s="41"/>
      <c r="T185" s="40"/>
      <c r="U185" s="40">
        <v>7</v>
      </c>
      <c r="V185" s="119">
        <v>1</v>
      </c>
      <c r="W185" s="40">
        <v>0</v>
      </c>
      <c r="X185" s="119">
        <v>1</v>
      </c>
      <c r="Y185" s="40">
        <v>58</v>
      </c>
      <c r="Z185" s="119">
        <v>1</v>
      </c>
      <c r="AA185" s="368">
        <v>0</v>
      </c>
      <c r="AB185" s="535">
        <v>2</v>
      </c>
      <c r="AC185" s="39" t="s">
        <v>160</v>
      </c>
      <c r="AD185" s="75" t="s">
        <v>10</v>
      </c>
      <c r="AE185" s="95">
        <v>0</v>
      </c>
      <c r="AF185" s="75">
        <v>0</v>
      </c>
      <c r="AG185" s="75">
        <v>0</v>
      </c>
      <c r="AH185" s="75">
        <v>0</v>
      </c>
      <c r="AI185" s="75">
        <v>0</v>
      </c>
      <c r="AJ185" s="75">
        <v>0</v>
      </c>
      <c r="AK185" s="75">
        <v>0</v>
      </c>
      <c r="AL185" s="95">
        <v>1</v>
      </c>
      <c r="AM185" s="92">
        <v>0</v>
      </c>
      <c r="AN185" s="79" t="s">
        <v>80</v>
      </c>
      <c r="AO185" s="75">
        <v>1</v>
      </c>
      <c r="AP185" s="75" t="s">
        <v>83</v>
      </c>
      <c r="AQ185" s="122">
        <v>1</v>
      </c>
      <c r="AR185" s="515" t="s">
        <v>10</v>
      </c>
      <c r="AS185" s="95">
        <v>0</v>
      </c>
      <c r="AT185" s="75">
        <v>0</v>
      </c>
      <c r="AU185" s="75">
        <v>0</v>
      </c>
      <c r="AV185" s="75">
        <v>0</v>
      </c>
      <c r="AW185" s="123">
        <v>0</v>
      </c>
      <c r="AX185" s="516"/>
      <c r="AY185" s="75">
        <v>0</v>
      </c>
      <c r="AZ185" s="77" t="s">
        <v>131</v>
      </c>
      <c r="BA185" s="78" t="s">
        <v>131</v>
      </c>
      <c r="BB185" s="78" t="s">
        <v>131</v>
      </c>
      <c r="BC185" s="78" t="s">
        <v>131</v>
      </c>
      <c r="BD185" s="78" t="s">
        <v>131</v>
      </c>
      <c r="BE185" s="78" t="s">
        <v>131</v>
      </c>
      <c r="BF185" s="78" t="s">
        <v>131</v>
      </c>
      <c r="BG185" s="78" t="s">
        <v>132</v>
      </c>
      <c r="BH185" s="75" t="s">
        <v>5970</v>
      </c>
      <c r="BI185" s="295" t="s">
        <v>5940</v>
      </c>
      <c r="BJ185" s="546">
        <v>1</v>
      </c>
      <c r="BK185" s="294">
        <v>1</v>
      </c>
      <c r="BL185" s="157">
        <v>1</v>
      </c>
      <c r="BM185" s="548" t="s">
        <v>578</v>
      </c>
      <c r="BN185" s="548" t="s">
        <v>5969</v>
      </c>
      <c r="BO185" s="157" t="s">
        <v>5861</v>
      </c>
      <c r="BP185" s="548" t="s">
        <v>5862</v>
      </c>
      <c r="BQ185" s="157" t="s">
        <v>4316</v>
      </c>
      <c r="BR185" s="157"/>
    </row>
    <row r="186" spans="1:70" x14ac:dyDescent="0.25">
      <c r="A186" s="19" t="s">
        <v>3686</v>
      </c>
      <c r="B186" s="37" t="s">
        <v>5171</v>
      </c>
      <c r="C186" s="90">
        <v>45483.604664351849</v>
      </c>
      <c r="D186" s="114">
        <v>45483.354664351849</v>
      </c>
      <c r="E186" s="38">
        <v>45483</v>
      </c>
      <c r="F186" s="91">
        <v>2024</v>
      </c>
      <c r="G186" s="93">
        <v>7</v>
      </c>
      <c r="H186" s="37" t="s">
        <v>2548</v>
      </c>
      <c r="I186" s="37"/>
      <c r="J186" s="103">
        <v>-90.831621759122001</v>
      </c>
      <c r="K186" s="40">
        <v>43.205561350550759</v>
      </c>
      <c r="L186" s="74"/>
      <c r="M186" s="272" t="s">
        <v>5172</v>
      </c>
      <c r="N186" s="74">
        <v>1</v>
      </c>
      <c r="O186" s="94"/>
      <c r="P186" s="118">
        <v>1</v>
      </c>
      <c r="Q186" s="510">
        <v>180</v>
      </c>
      <c r="R186" s="513">
        <v>180</v>
      </c>
      <c r="S186" s="41"/>
      <c r="T186" s="40"/>
      <c r="U186" s="40">
        <v>8</v>
      </c>
      <c r="V186" s="119">
        <v>1</v>
      </c>
      <c r="W186" s="40">
        <v>0</v>
      </c>
      <c r="X186" s="119">
        <v>1</v>
      </c>
      <c r="Y186" s="40">
        <v>53</v>
      </c>
      <c r="Z186" s="119">
        <v>1</v>
      </c>
      <c r="AA186" s="368">
        <v>0</v>
      </c>
      <c r="AB186" s="535">
        <v>1</v>
      </c>
      <c r="AC186" s="39" t="s">
        <v>160</v>
      </c>
      <c r="AD186" s="75" t="s">
        <v>551</v>
      </c>
      <c r="AE186" s="95">
        <v>0</v>
      </c>
      <c r="AF186" s="75">
        <v>0</v>
      </c>
      <c r="AG186" s="75">
        <v>0</v>
      </c>
      <c r="AH186" s="75">
        <v>0</v>
      </c>
      <c r="AI186" s="75">
        <v>1</v>
      </c>
      <c r="AJ186" s="75">
        <v>0</v>
      </c>
      <c r="AK186" s="75">
        <v>0</v>
      </c>
      <c r="AL186" s="95">
        <v>0</v>
      </c>
      <c r="AM186" s="92">
        <v>0</v>
      </c>
      <c r="AN186" s="79" t="s">
        <v>80</v>
      </c>
      <c r="AO186" s="75">
        <v>1</v>
      </c>
      <c r="AP186" s="75" t="s">
        <v>83</v>
      </c>
      <c r="AQ186" s="122">
        <v>1</v>
      </c>
      <c r="AR186" s="515" t="s">
        <v>13</v>
      </c>
      <c r="AS186" s="95">
        <v>1</v>
      </c>
      <c r="AT186" s="75">
        <v>0</v>
      </c>
      <c r="AU186" s="75">
        <v>0</v>
      </c>
      <c r="AV186" s="75">
        <v>0</v>
      </c>
      <c r="AW186" s="123">
        <v>0</v>
      </c>
      <c r="AX186" s="516"/>
      <c r="AY186" s="75">
        <v>0</v>
      </c>
      <c r="AZ186" s="77" t="s">
        <v>131</v>
      </c>
      <c r="BA186" s="78" t="s">
        <v>131</v>
      </c>
      <c r="BB186" s="78" t="s">
        <v>131</v>
      </c>
      <c r="BC186" s="78" t="s">
        <v>131</v>
      </c>
      <c r="BD186" s="78" t="s">
        <v>132</v>
      </c>
      <c r="BE186" s="78" t="s">
        <v>131</v>
      </c>
      <c r="BF186" s="78" t="s">
        <v>131</v>
      </c>
      <c r="BG186" s="78" t="s">
        <v>131</v>
      </c>
      <c r="BH186" s="75" t="s">
        <v>5970</v>
      </c>
      <c r="BI186" s="295" t="s">
        <v>4060</v>
      </c>
      <c r="BJ186" s="546" t="s">
        <v>16</v>
      </c>
      <c r="BK186" s="294" t="s">
        <v>16</v>
      </c>
      <c r="BL186" s="157" t="s">
        <v>16</v>
      </c>
      <c r="BM186" s="548" t="s">
        <v>1345</v>
      </c>
      <c r="BN186" s="548" t="s">
        <v>4158</v>
      </c>
      <c r="BO186" s="157" t="s">
        <v>4524</v>
      </c>
      <c r="BP186" s="548" t="s">
        <v>4525</v>
      </c>
      <c r="BQ186" s="157" t="s">
        <v>4305</v>
      </c>
      <c r="BR186" s="157"/>
    </row>
    <row r="187" spans="1:70" x14ac:dyDescent="0.25">
      <c r="A187" s="19" t="s">
        <v>3686</v>
      </c>
      <c r="B187" s="37" t="s">
        <v>5173</v>
      </c>
      <c r="C187" s="90">
        <v>45483.602465277778</v>
      </c>
      <c r="D187" s="114">
        <v>45483.352465277778</v>
      </c>
      <c r="E187" s="38">
        <v>45483</v>
      </c>
      <c r="F187" s="91">
        <v>2024</v>
      </c>
      <c r="G187" s="93">
        <v>7</v>
      </c>
      <c r="H187" s="37" t="s">
        <v>2446</v>
      </c>
      <c r="I187" s="37"/>
      <c r="J187" s="103">
        <v>-92.252173616473243</v>
      </c>
      <c r="K187" s="40">
        <v>44.867357933275535</v>
      </c>
      <c r="L187" s="74"/>
      <c r="M187" s="272" t="s">
        <v>5174</v>
      </c>
      <c r="N187" s="74">
        <v>1</v>
      </c>
      <c r="O187" s="94"/>
      <c r="P187" s="118">
        <v>1</v>
      </c>
      <c r="Q187" s="510">
        <v>180</v>
      </c>
      <c r="R187" s="513">
        <v>120</v>
      </c>
      <c r="S187" s="41"/>
      <c r="T187" s="40"/>
      <c r="U187" s="40">
        <v>7.5</v>
      </c>
      <c r="V187" s="119">
        <v>1</v>
      </c>
      <c r="W187" s="40">
        <v>0</v>
      </c>
      <c r="X187" s="119">
        <v>1</v>
      </c>
      <c r="Y187" s="40">
        <v>62</v>
      </c>
      <c r="Z187" s="119">
        <v>1</v>
      </c>
      <c r="AA187" s="368">
        <v>0</v>
      </c>
      <c r="AB187" s="535">
        <v>2</v>
      </c>
      <c r="AC187" s="39" t="s">
        <v>160</v>
      </c>
      <c r="AD187" s="75" t="s">
        <v>10</v>
      </c>
      <c r="AE187" s="95">
        <v>0</v>
      </c>
      <c r="AF187" s="75">
        <v>0</v>
      </c>
      <c r="AG187" s="75">
        <v>0</v>
      </c>
      <c r="AH187" s="75">
        <v>0</v>
      </c>
      <c r="AI187" s="75">
        <v>0</v>
      </c>
      <c r="AJ187" s="75">
        <v>0</v>
      </c>
      <c r="AK187" s="75">
        <v>0</v>
      </c>
      <c r="AL187" s="95">
        <v>1</v>
      </c>
      <c r="AM187" s="92">
        <v>0</v>
      </c>
      <c r="AN187" s="79" t="s">
        <v>80</v>
      </c>
      <c r="AO187" s="75">
        <v>1</v>
      </c>
      <c r="AP187" s="75" t="s">
        <v>83</v>
      </c>
      <c r="AQ187" s="122">
        <v>1</v>
      </c>
      <c r="AR187" s="515" t="s">
        <v>10</v>
      </c>
      <c r="AS187" s="95">
        <v>0</v>
      </c>
      <c r="AT187" s="75">
        <v>0</v>
      </c>
      <c r="AU187" s="75">
        <v>0</v>
      </c>
      <c r="AV187" s="75">
        <v>0</v>
      </c>
      <c r="AW187" s="123">
        <v>0</v>
      </c>
      <c r="AX187" s="516"/>
      <c r="AY187" s="75">
        <v>0</v>
      </c>
      <c r="AZ187" s="77" t="s">
        <v>131</v>
      </c>
      <c r="BA187" s="78" t="s">
        <v>131</v>
      </c>
      <c r="BB187" s="78" t="s">
        <v>131</v>
      </c>
      <c r="BC187" s="78" t="s">
        <v>131</v>
      </c>
      <c r="BD187" s="78" t="s">
        <v>131</v>
      </c>
      <c r="BE187" s="78" t="s">
        <v>131</v>
      </c>
      <c r="BF187" s="78" t="s">
        <v>131</v>
      </c>
      <c r="BG187" s="78" t="s">
        <v>132</v>
      </c>
      <c r="BH187" s="75" t="s">
        <v>5970</v>
      </c>
      <c r="BI187" s="295" t="s">
        <v>2245</v>
      </c>
      <c r="BJ187" s="546">
        <v>1</v>
      </c>
      <c r="BK187" s="294">
        <v>1</v>
      </c>
      <c r="BL187" s="157">
        <v>1</v>
      </c>
      <c r="BM187" s="548" t="s">
        <v>578</v>
      </c>
      <c r="BN187" s="548" t="s">
        <v>4158</v>
      </c>
      <c r="BO187" s="157" t="s">
        <v>5861</v>
      </c>
      <c r="BP187" s="548" t="s">
        <v>5862</v>
      </c>
      <c r="BQ187" s="157" t="s">
        <v>4316</v>
      </c>
      <c r="BR187" s="157"/>
    </row>
    <row r="188" spans="1:70" x14ac:dyDescent="0.25">
      <c r="A188" s="19" t="s">
        <v>3686</v>
      </c>
      <c r="B188" s="37" t="s">
        <v>5175</v>
      </c>
      <c r="C188" s="90">
        <v>45482.878599537034</v>
      </c>
      <c r="D188" s="114">
        <v>45482.628599537034</v>
      </c>
      <c r="E188" s="38">
        <v>45482</v>
      </c>
      <c r="F188" s="91">
        <v>2024</v>
      </c>
      <c r="G188" s="93">
        <v>7</v>
      </c>
      <c r="H188" s="37" t="s">
        <v>2446</v>
      </c>
      <c r="I188" s="37"/>
      <c r="J188" s="103">
        <v>-92.442766131739958</v>
      </c>
      <c r="K188" s="40">
        <v>44.620796652805687</v>
      </c>
      <c r="L188" s="74"/>
      <c r="M188" s="272" t="s">
        <v>5176</v>
      </c>
      <c r="N188" s="74">
        <v>1</v>
      </c>
      <c r="O188" s="94"/>
      <c r="P188" s="118">
        <v>1</v>
      </c>
      <c r="Q188" s="510">
        <v>180</v>
      </c>
      <c r="R188" s="513">
        <v>120</v>
      </c>
      <c r="S188" s="41"/>
      <c r="T188" s="40"/>
      <c r="U188" s="40">
        <v>7.5</v>
      </c>
      <c r="V188" s="119">
        <v>1</v>
      </c>
      <c r="W188" s="40">
        <v>0</v>
      </c>
      <c r="X188" s="119">
        <v>1</v>
      </c>
      <c r="Y188" s="40">
        <v>66</v>
      </c>
      <c r="Z188" s="119">
        <v>0</v>
      </c>
      <c r="AA188" s="368" t="s">
        <v>16</v>
      </c>
      <c r="AB188" s="535" t="s">
        <v>16</v>
      </c>
      <c r="AC188" s="39" t="s">
        <v>160</v>
      </c>
      <c r="AD188" s="75" t="s">
        <v>10</v>
      </c>
      <c r="AE188" s="95">
        <v>0</v>
      </c>
      <c r="AF188" s="75">
        <v>0</v>
      </c>
      <c r="AG188" s="75">
        <v>0</v>
      </c>
      <c r="AH188" s="75">
        <v>0</v>
      </c>
      <c r="AI188" s="75">
        <v>0</v>
      </c>
      <c r="AJ188" s="75">
        <v>0</v>
      </c>
      <c r="AK188" s="75">
        <v>0</v>
      </c>
      <c r="AL188" s="95">
        <v>1</v>
      </c>
      <c r="AM188" s="92">
        <v>0</v>
      </c>
      <c r="AN188" s="79" t="s">
        <v>80</v>
      </c>
      <c r="AO188" s="75">
        <v>1</v>
      </c>
      <c r="AP188" s="75" t="s">
        <v>83</v>
      </c>
      <c r="AQ188" s="122">
        <v>1</v>
      </c>
      <c r="AR188" s="515" t="s">
        <v>10</v>
      </c>
      <c r="AS188" s="95">
        <v>0</v>
      </c>
      <c r="AT188" s="75">
        <v>0</v>
      </c>
      <c r="AU188" s="75">
        <v>0</v>
      </c>
      <c r="AV188" s="75">
        <v>0</v>
      </c>
      <c r="AW188" s="123">
        <v>0</v>
      </c>
      <c r="AX188" s="516" t="s">
        <v>5177</v>
      </c>
      <c r="AY188" s="75">
        <v>1</v>
      </c>
      <c r="AZ188" s="77" t="s">
        <v>131</v>
      </c>
      <c r="BA188" s="78" t="s">
        <v>131</v>
      </c>
      <c r="BB188" s="78" t="s">
        <v>131</v>
      </c>
      <c r="BC188" s="78" t="s">
        <v>131</v>
      </c>
      <c r="BD188" s="78" t="s">
        <v>131</v>
      </c>
      <c r="BE188" s="78" t="s">
        <v>131</v>
      </c>
      <c r="BF188" s="78" t="s">
        <v>131</v>
      </c>
      <c r="BG188" s="78" t="s">
        <v>132</v>
      </c>
      <c r="BH188" s="75" t="s">
        <v>5970</v>
      </c>
      <c r="BI188" s="295" t="s">
        <v>16</v>
      </c>
      <c r="BJ188" s="546">
        <v>1</v>
      </c>
      <c r="BK188" s="294" t="s">
        <v>16</v>
      </c>
      <c r="BL188" s="157" t="s">
        <v>16</v>
      </c>
      <c r="BM188" s="548" t="s">
        <v>578</v>
      </c>
      <c r="BN188" s="548" t="s">
        <v>4158</v>
      </c>
      <c r="BO188" s="157" t="s">
        <v>4283</v>
      </c>
      <c r="BP188" s="548" t="s">
        <v>2289</v>
      </c>
      <c r="BQ188" s="157" t="s">
        <v>4214</v>
      </c>
      <c r="BR188" s="157"/>
    </row>
    <row r="189" spans="1:70" x14ac:dyDescent="0.25">
      <c r="A189" s="19" t="s">
        <v>3686</v>
      </c>
      <c r="B189" s="37" t="s">
        <v>5178</v>
      </c>
      <c r="C189" s="90">
        <v>45482.833321759259</v>
      </c>
      <c r="D189" s="114">
        <v>45482.583321759259</v>
      </c>
      <c r="E189" s="38">
        <v>45482</v>
      </c>
      <c r="F189" s="91">
        <v>2024</v>
      </c>
      <c r="G189" s="93">
        <v>7</v>
      </c>
      <c r="H189" s="37" t="s">
        <v>2446</v>
      </c>
      <c r="I189" s="37"/>
      <c r="J189" s="103">
        <v>-92.304131733601096</v>
      </c>
      <c r="K189" s="40">
        <v>44.611002944400703</v>
      </c>
      <c r="L189" s="74"/>
      <c r="M189" s="272" t="s">
        <v>5179</v>
      </c>
      <c r="N189" s="74">
        <v>1</v>
      </c>
      <c r="O189" s="94"/>
      <c r="P189" s="118">
        <v>0</v>
      </c>
      <c r="Q189" s="510"/>
      <c r="R189" s="513"/>
      <c r="S189" s="41"/>
      <c r="T189" s="40"/>
      <c r="U189" s="40"/>
      <c r="V189" s="119">
        <v>1</v>
      </c>
      <c r="W189" s="40">
        <v>0</v>
      </c>
      <c r="X189" s="119">
        <v>1</v>
      </c>
      <c r="Y189" s="40">
        <v>61</v>
      </c>
      <c r="Z189" s="119">
        <v>1</v>
      </c>
      <c r="AA189" s="368">
        <v>0</v>
      </c>
      <c r="AB189" s="535">
        <v>5</v>
      </c>
      <c r="AC189" s="39" t="s">
        <v>160</v>
      </c>
      <c r="AD189" s="75" t="s">
        <v>7</v>
      </c>
      <c r="AE189" s="95">
        <v>1</v>
      </c>
      <c r="AF189" s="75">
        <v>0</v>
      </c>
      <c r="AG189" s="75">
        <v>0</v>
      </c>
      <c r="AH189" s="75">
        <v>0</v>
      </c>
      <c r="AI189" s="75">
        <v>0</v>
      </c>
      <c r="AJ189" s="75">
        <v>0</v>
      </c>
      <c r="AK189" s="75">
        <v>0</v>
      </c>
      <c r="AL189" s="95">
        <v>0</v>
      </c>
      <c r="AM189" s="92">
        <v>0</v>
      </c>
      <c r="AN189" s="79" t="s">
        <v>80</v>
      </c>
      <c r="AO189" s="75">
        <v>1</v>
      </c>
      <c r="AP189" s="75" t="s">
        <v>83</v>
      </c>
      <c r="AQ189" s="122">
        <v>1</v>
      </c>
      <c r="AR189" s="515" t="s">
        <v>10</v>
      </c>
      <c r="AS189" s="95">
        <v>0</v>
      </c>
      <c r="AT189" s="75">
        <v>0</v>
      </c>
      <c r="AU189" s="75">
        <v>0</v>
      </c>
      <c r="AV189" s="75">
        <v>0</v>
      </c>
      <c r="AW189" s="123">
        <v>0</v>
      </c>
      <c r="AX189" s="516" t="s">
        <v>5180</v>
      </c>
      <c r="AY189" s="75">
        <v>1</v>
      </c>
      <c r="AZ189" s="77" t="s">
        <v>132</v>
      </c>
      <c r="BA189" s="78" t="s">
        <v>131</v>
      </c>
      <c r="BB189" s="78" t="s">
        <v>131</v>
      </c>
      <c r="BC189" s="78" t="s">
        <v>131</v>
      </c>
      <c r="BD189" s="78" t="s">
        <v>131</v>
      </c>
      <c r="BE189" s="78" t="s">
        <v>131</v>
      </c>
      <c r="BF189" s="78" t="s">
        <v>131</v>
      </c>
      <c r="BG189" s="78" t="s">
        <v>131</v>
      </c>
      <c r="BH189" s="75" t="s">
        <v>5970</v>
      </c>
      <c r="BI189" s="295">
        <v>0</v>
      </c>
      <c r="BJ189" s="546">
        <v>1</v>
      </c>
      <c r="BK189" s="294">
        <v>1</v>
      </c>
      <c r="BL189" s="157">
        <v>1</v>
      </c>
      <c r="BM189" s="548" t="s">
        <v>578</v>
      </c>
      <c r="BN189" s="548" t="s">
        <v>4158</v>
      </c>
      <c r="BO189" s="157" t="s">
        <v>4731</v>
      </c>
      <c r="BP189" s="548" t="s">
        <v>5863</v>
      </c>
      <c r="BQ189" s="157" t="s">
        <v>4212</v>
      </c>
      <c r="BR189" s="157"/>
    </row>
    <row r="190" spans="1:70" x14ac:dyDescent="0.25">
      <c r="A190" s="19" t="s">
        <v>3686</v>
      </c>
      <c r="B190" s="37" t="s">
        <v>5181</v>
      </c>
      <c r="C190" s="90">
        <v>45482.832291666666</v>
      </c>
      <c r="D190" s="114">
        <v>45482.582291666666</v>
      </c>
      <c r="E190" s="38">
        <v>45482</v>
      </c>
      <c r="F190" s="91">
        <v>2024</v>
      </c>
      <c r="G190" s="93">
        <v>7</v>
      </c>
      <c r="H190" s="37" t="s">
        <v>1378</v>
      </c>
      <c r="I190" s="37"/>
      <c r="J190" s="103">
        <v>-90.167380213154999</v>
      </c>
      <c r="K190" s="40">
        <v>43.371359452971006</v>
      </c>
      <c r="L190" s="74"/>
      <c r="M190" s="272" t="s">
        <v>5182</v>
      </c>
      <c r="N190" s="74">
        <v>1</v>
      </c>
      <c r="O190" s="94"/>
      <c r="P190" s="118">
        <v>1</v>
      </c>
      <c r="Q190" s="510">
        <v>180</v>
      </c>
      <c r="R190" s="513">
        <v>180</v>
      </c>
      <c r="S190" s="41"/>
      <c r="T190" s="40"/>
      <c r="U190" s="40">
        <v>7.5</v>
      </c>
      <c r="V190" s="119">
        <v>1</v>
      </c>
      <c r="W190" s="40">
        <v>0</v>
      </c>
      <c r="X190" s="119">
        <v>1</v>
      </c>
      <c r="Y190" s="40">
        <v>65</v>
      </c>
      <c r="Z190" s="119">
        <v>1</v>
      </c>
      <c r="AA190" s="368">
        <v>0</v>
      </c>
      <c r="AB190" s="535">
        <v>2</v>
      </c>
      <c r="AC190" s="39" t="s">
        <v>160</v>
      </c>
      <c r="AD190" s="75" t="s">
        <v>10</v>
      </c>
      <c r="AE190" s="95">
        <v>0</v>
      </c>
      <c r="AF190" s="75">
        <v>0</v>
      </c>
      <c r="AG190" s="75">
        <v>0</v>
      </c>
      <c r="AH190" s="75">
        <v>0</v>
      </c>
      <c r="AI190" s="75">
        <v>0</v>
      </c>
      <c r="AJ190" s="75">
        <v>0</v>
      </c>
      <c r="AK190" s="75">
        <v>0</v>
      </c>
      <c r="AL190" s="95">
        <v>1</v>
      </c>
      <c r="AM190" s="92">
        <v>0</v>
      </c>
      <c r="AN190" s="79" t="s">
        <v>81</v>
      </c>
      <c r="AO190" s="75">
        <v>1</v>
      </c>
      <c r="AP190" s="75" t="s">
        <v>84</v>
      </c>
      <c r="AQ190" s="122">
        <v>1</v>
      </c>
      <c r="AR190" s="515" t="s">
        <v>10</v>
      </c>
      <c r="AS190" s="95">
        <v>0</v>
      </c>
      <c r="AT190" s="75">
        <v>0</v>
      </c>
      <c r="AU190" s="75">
        <v>0</v>
      </c>
      <c r="AV190" s="75">
        <v>0</v>
      </c>
      <c r="AW190" s="123">
        <v>0</v>
      </c>
      <c r="AX190" s="516" t="s">
        <v>5183</v>
      </c>
      <c r="AY190" s="75">
        <v>1</v>
      </c>
      <c r="AZ190" s="77" t="s">
        <v>131</v>
      </c>
      <c r="BA190" s="78" t="s">
        <v>131</v>
      </c>
      <c r="BB190" s="78" t="s">
        <v>131</v>
      </c>
      <c r="BC190" s="78" t="s">
        <v>131</v>
      </c>
      <c r="BD190" s="78" t="s">
        <v>131</v>
      </c>
      <c r="BE190" s="78" t="s">
        <v>131</v>
      </c>
      <c r="BF190" s="78" t="s">
        <v>131</v>
      </c>
      <c r="BG190" s="78" t="s">
        <v>132</v>
      </c>
      <c r="BH190" s="75" t="s">
        <v>5970</v>
      </c>
      <c r="BI190" s="295">
        <v>0</v>
      </c>
      <c r="BJ190" s="546">
        <v>1</v>
      </c>
      <c r="BK190" s="294" t="s">
        <v>16</v>
      </c>
      <c r="BL190" s="157" t="s">
        <v>16</v>
      </c>
      <c r="BM190" s="548" t="s">
        <v>1346</v>
      </c>
      <c r="BN190" s="548" t="s">
        <v>4158</v>
      </c>
      <c r="BO190" s="157" t="s">
        <v>5864</v>
      </c>
      <c r="BP190" s="548" t="s">
        <v>5865</v>
      </c>
      <c r="BQ190" s="157" t="s">
        <v>4405</v>
      </c>
      <c r="BR190" s="157"/>
    </row>
    <row r="191" spans="1:70" x14ac:dyDescent="0.25">
      <c r="A191" s="19" t="s">
        <v>3686</v>
      </c>
      <c r="B191" s="37" t="s">
        <v>5184</v>
      </c>
      <c r="C191" s="90">
        <v>45482.664884259262</v>
      </c>
      <c r="D191" s="114">
        <v>45482.414884259262</v>
      </c>
      <c r="E191" s="38">
        <v>45482</v>
      </c>
      <c r="F191" s="91">
        <v>2024</v>
      </c>
      <c r="G191" s="93">
        <v>7</v>
      </c>
      <c r="H191" s="37" t="s">
        <v>1378</v>
      </c>
      <c r="I191" s="37"/>
      <c r="J191" s="103">
        <v>-90.15168821249172</v>
      </c>
      <c r="K191" s="40">
        <v>43.350888729107318</v>
      </c>
      <c r="L191" s="74"/>
      <c r="M191" s="272" t="s">
        <v>5185</v>
      </c>
      <c r="N191" s="74">
        <v>1</v>
      </c>
      <c r="O191" s="94"/>
      <c r="P191" s="118">
        <v>1</v>
      </c>
      <c r="Q191" s="510">
        <v>180</v>
      </c>
      <c r="R191" s="513">
        <v>60</v>
      </c>
      <c r="S191" s="41"/>
      <c r="T191" s="40"/>
      <c r="U191" s="40">
        <v>7.5</v>
      </c>
      <c r="V191" s="119">
        <v>1</v>
      </c>
      <c r="W191" s="40">
        <v>100</v>
      </c>
      <c r="X191" s="119">
        <v>1</v>
      </c>
      <c r="Y191" s="40">
        <v>62</v>
      </c>
      <c r="Z191" s="119">
        <v>1</v>
      </c>
      <c r="AA191" s="368">
        <v>0</v>
      </c>
      <c r="AB191" s="535">
        <v>2</v>
      </c>
      <c r="AC191" s="39" t="s">
        <v>160</v>
      </c>
      <c r="AD191" s="75" t="s">
        <v>10</v>
      </c>
      <c r="AE191" s="95">
        <v>0</v>
      </c>
      <c r="AF191" s="75">
        <v>0</v>
      </c>
      <c r="AG191" s="75">
        <v>0</v>
      </c>
      <c r="AH191" s="75">
        <v>0</v>
      </c>
      <c r="AI191" s="75">
        <v>0</v>
      </c>
      <c r="AJ191" s="75">
        <v>0</v>
      </c>
      <c r="AK191" s="75">
        <v>0</v>
      </c>
      <c r="AL191" s="95">
        <v>1</v>
      </c>
      <c r="AM191" s="92">
        <v>0</v>
      </c>
      <c r="AN191" s="79" t="s">
        <v>80</v>
      </c>
      <c r="AO191" s="75">
        <v>1</v>
      </c>
      <c r="AP191" s="75" t="s">
        <v>83</v>
      </c>
      <c r="AQ191" s="122">
        <v>1</v>
      </c>
      <c r="AR191" s="515" t="s">
        <v>10</v>
      </c>
      <c r="AS191" s="95">
        <v>0</v>
      </c>
      <c r="AT191" s="75">
        <v>0</v>
      </c>
      <c r="AU191" s="75">
        <v>0</v>
      </c>
      <c r="AV191" s="75">
        <v>0</v>
      </c>
      <c r="AW191" s="123">
        <v>0</v>
      </c>
      <c r="AX191" s="516"/>
      <c r="AY191" s="75">
        <v>0</v>
      </c>
      <c r="AZ191" s="77" t="s">
        <v>131</v>
      </c>
      <c r="BA191" s="78" t="s">
        <v>131</v>
      </c>
      <c r="BB191" s="78" t="s">
        <v>131</v>
      </c>
      <c r="BC191" s="78" t="s">
        <v>131</v>
      </c>
      <c r="BD191" s="78" t="s">
        <v>131</v>
      </c>
      <c r="BE191" s="78" t="s">
        <v>131</v>
      </c>
      <c r="BF191" s="78" t="s">
        <v>131</v>
      </c>
      <c r="BG191" s="78" t="s">
        <v>132</v>
      </c>
      <c r="BH191" s="75" t="s">
        <v>5970</v>
      </c>
      <c r="BI191" s="295" t="s">
        <v>5957</v>
      </c>
      <c r="BJ191" s="546">
        <v>1</v>
      </c>
      <c r="BK191" s="294" t="s">
        <v>16</v>
      </c>
      <c r="BL191" s="157" t="s">
        <v>16</v>
      </c>
      <c r="BM191" s="548" t="s">
        <v>1346</v>
      </c>
      <c r="BN191" s="548" t="s">
        <v>4158</v>
      </c>
      <c r="BO191" s="157" t="s">
        <v>5864</v>
      </c>
      <c r="BP191" s="548" t="s">
        <v>5865</v>
      </c>
      <c r="BQ191" s="157" t="s">
        <v>4405</v>
      </c>
      <c r="BR191" s="157"/>
    </row>
    <row r="192" spans="1:70" x14ac:dyDescent="0.25">
      <c r="A192" s="19" t="s">
        <v>3686</v>
      </c>
      <c r="B192" s="37" t="s">
        <v>5186</v>
      </c>
      <c r="C192" s="90">
        <v>45482.614768518521</v>
      </c>
      <c r="D192" s="114">
        <v>45482.364768518521</v>
      </c>
      <c r="E192" s="38">
        <v>45482</v>
      </c>
      <c r="F192" s="91">
        <v>2024</v>
      </c>
      <c r="G192" s="93">
        <v>7</v>
      </c>
      <c r="H192" s="37" t="s">
        <v>2446</v>
      </c>
      <c r="I192" s="37"/>
      <c r="J192" s="103">
        <v>-92.3763772333009</v>
      </c>
      <c r="K192" s="40">
        <v>44.721689294360679</v>
      </c>
      <c r="L192" s="74"/>
      <c r="M192" s="272" t="s">
        <v>5187</v>
      </c>
      <c r="N192" s="74">
        <v>1</v>
      </c>
      <c r="O192" s="94"/>
      <c r="P192" s="118">
        <v>0</v>
      </c>
      <c r="Q192" s="510"/>
      <c r="R192" s="513"/>
      <c r="S192" s="41"/>
      <c r="T192" s="40"/>
      <c r="U192" s="40"/>
      <c r="V192" s="119">
        <v>0</v>
      </c>
      <c r="W192" s="40"/>
      <c r="X192" s="119">
        <v>1</v>
      </c>
      <c r="Y192" s="40">
        <v>52</v>
      </c>
      <c r="Z192" s="119">
        <v>0</v>
      </c>
      <c r="AA192" s="368" t="s">
        <v>16</v>
      </c>
      <c r="AB192" s="535" t="s">
        <v>16</v>
      </c>
      <c r="AC192" s="39" t="s">
        <v>160</v>
      </c>
      <c r="AD192" s="75" t="s">
        <v>7</v>
      </c>
      <c r="AE192" s="95">
        <v>1</v>
      </c>
      <c r="AF192" s="75">
        <v>0</v>
      </c>
      <c r="AG192" s="75">
        <v>0</v>
      </c>
      <c r="AH192" s="75">
        <v>0</v>
      </c>
      <c r="AI192" s="75">
        <v>0</v>
      </c>
      <c r="AJ192" s="75">
        <v>0</v>
      </c>
      <c r="AK192" s="75">
        <v>0</v>
      </c>
      <c r="AL192" s="95">
        <v>0</v>
      </c>
      <c r="AM192" s="92">
        <v>0</v>
      </c>
      <c r="AN192" s="79" t="s">
        <v>80</v>
      </c>
      <c r="AO192" s="75">
        <v>1</v>
      </c>
      <c r="AP192" s="75" t="s">
        <v>83</v>
      </c>
      <c r="AQ192" s="122">
        <v>1</v>
      </c>
      <c r="AR192" s="515" t="s">
        <v>10</v>
      </c>
      <c r="AS192" s="95">
        <v>0</v>
      </c>
      <c r="AT192" s="75">
        <v>0</v>
      </c>
      <c r="AU192" s="75">
        <v>0</v>
      </c>
      <c r="AV192" s="75">
        <v>0</v>
      </c>
      <c r="AW192" s="123">
        <v>0</v>
      </c>
      <c r="AX192" s="516" t="s">
        <v>5188</v>
      </c>
      <c r="AY192" s="75">
        <v>1</v>
      </c>
      <c r="AZ192" s="77" t="s">
        <v>132</v>
      </c>
      <c r="BA192" s="78" t="s">
        <v>131</v>
      </c>
      <c r="BB192" s="78" t="s">
        <v>131</v>
      </c>
      <c r="BC192" s="78" t="s">
        <v>131</v>
      </c>
      <c r="BD192" s="78" t="s">
        <v>131</v>
      </c>
      <c r="BE192" s="78" t="s">
        <v>131</v>
      </c>
      <c r="BF192" s="78" t="s">
        <v>131</v>
      </c>
      <c r="BG192" s="78" t="s">
        <v>131</v>
      </c>
      <c r="BH192" s="75" t="s">
        <v>5970</v>
      </c>
      <c r="BI192" s="295" t="s">
        <v>2278</v>
      </c>
      <c r="BJ192" s="546">
        <v>1</v>
      </c>
      <c r="BK192" s="294">
        <v>1</v>
      </c>
      <c r="BL192" s="157">
        <v>1</v>
      </c>
      <c r="BM192" s="548" t="s">
        <v>578</v>
      </c>
      <c r="BN192" s="548" t="s">
        <v>4158</v>
      </c>
      <c r="BO192" s="157" t="s">
        <v>4746</v>
      </c>
      <c r="BP192" s="548" t="s">
        <v>2278</v>
      </c>
      <c r="BQ192" s="157" t="s">
        <v>4212</v>
      </c>
      <c r="BR192" s="157"/>
    </row>
    <row r="193" spans="1:70" x14ac:dyDescent="0.25">
      <c r="A193" s="19" t="s">
        <v>3686</v>
      </c>
      <c r="B193" s="37" t="s">
        <v>5189</v>
      </c>
      <c r="C193" s="90">
        <v>45482.608460648145</v>
      </c>
      <c r="D193" s="114">
        <v>45482.358460648145</v>
      </c>
      <c r="E193" s="38">
        <v>45482</v>
      </c>
      <c r="F193" s="91">
        <v>2024</v>
      </c>
      <c r="G193" s="93">
        <v>7</v>
      </c>
      <c r="H193" s="37" t="s">
        <v>1378</v>
      </c>
      <c r="I193" s="37"/>
      <c r="J193" s="103">
        <v>-90.156852790781116</v>
      </c>
      <c r="K193" s="40">
        <v>43.329640680610176</v>
      </c>
      <c r="L193" s="74"/>
      <c r="M193" s="272" t="s">
        <v>5190</v>
      </c>
      <c r="N193" s="74">
        <v>1</v>
      </c>
      <c r="O193" s="94"/>
      <c r="P193" s="118">
        <v>1</v>
      </c>
      <c r="Q193" s="510">
        <v>180</v>
      </c>
      <c r="R193" s="513">
        <v>120</v>
      </c>
      <c r="S193" s="41"/>
      <c r="T193" s="40"/>
      <c r="U193" s="40">
        <v>8</v>
      </c>
      <c r="V193" s="119">
        <v>1</v>
      </c>
      <c r="W193" s="40">
        <v>100</v>
      </c>
      <c r="X193" s="119">
        <v>1</v>
      </c>
      <c r="Y193" s="40">
        <v>61</v>
      </c>
      <c r="Z193" s="119">
        <v>1</v>
      </c>
      <c r="AA193" s="368">
        <v>0</v>
      </c>
      <c r="AB193" s="535">
        <v>2</v>
      </c>
      <c r="AC193" s="39" t="s">
        <v>160</v>
      </c>
      <c r="AD193" s="75" t="s">
        <v>7</v>
      </c>
      <c r="AE193" s="95">
        <v>1</v>
      </c>
      <c r="AF193" s="75">
        <v>0</v>
      </c>
      <c r="AG193" s="75">
        <v>0</v>
      </c>
      <c r="AH193" s="75">
        <v>0</v>
      </c>
      <c r="AI193" s="75">
        <v>0</v>
      </c>
      <c r="AJ193" s="75">
        <v>0</v>
      </c>
      <c r="AK193" s="75">
        <v>0</v>
      </c>
      <c r="AL193" s="95">
        <v>0</v>
      </c>
      <c r="AM193" s="92">
        <v>0</v>
      </c>
      <c r="AN193" s="79" t="s">
        <v>81</v>
      </c>
      <c r="AO193" s="75">
        <v>1</v>
      </c>
      <c r="AP193" s="75" t="s">
        <v>84</v>
      </c>
      <c r="AQ193" s="122">
        <v>1</v>
      </c>
      <c r="AR193" s="515" t="s">
        <v>10</v>
      </c>
      <c r="AS193" s="95">
        <v>0</v>
      </c>
      <c r="AT193" s="75">
        <v>0</v>
      </c>
      <c r="AU193" s="75">
        <v>0</v>
      </c>
      <c r="AV193" s="75">
        <v>0</v>
      </c>
      <c r="AW193" s="123">
        <v>0</v>
      </c>
      <c r="AX193" s="516"/>
      <c r="AY193" s="75">
        <v>0</v>
      </c>
      <c r="AZ193" s="77" t="s">
        <v>132</v>
      </c>
      <c r="BA193" s="78" t="s">
        <v>131</v>
      </c>
      <c r="BB193" s="78" t="s">
        <v>131</v>
      </c>
      <c r="BC193" s="78" t="s">
        <v>131</v>
      </c>
      <c r="BD193" s="78" t="s">
        <v>131</v>
      </c>
      <c r="BE193" s="78" t="s">
        <v>131</v>
      </c>
      <c r="BF193" s="78" t="s">
        <v>131</v>
      </c>
      <c r="BG193" s="78" t="s">
        <v>131</v>
      </c>
      <c r="BH193" s="75" t="s">
        <v>5970</v>
      </c>
      <c r="BI193" s="295">
        <v>0</v>
      </c>
      <c r="BJ193" s="546">
        <v>1</v>
      </c>
      <c r="BK193" s="294" t="s">
        <v>16</v>
      </c>
      <c r="BL193" s="157" t="s">
        <v>16</v>
      </c>
      <c r="BM193" s="548" t="s">
        <v>1345</v>
      </c>
      <c r="BN193" s="548" t="s">
        <v>4158</v>
      </c>
      <c r="BO193" s="157" t="s">
        <v>4406</v>
      </c>
      <c r="BP193" s="548" t="s">
        <v>4407</v>
      </c>
      <c r="BQ193" s="157" t="s">
        <v>4405</v>
      </c>
      <c r="BR193" s="157"/>
    </row>
    <row r="194" spans="1:70" x14ac:dyDescent="0.25">
      <c r="A194" s="19" t="s">
        <v>3686</v>
      </c>
      <c r="B194" s="37" t="s">
        <v>5191</v>
      </c>
      <c r="C194" s="90">
        <v>45482.608298611114</v>
      </c>
      <c r="D194" s="114">
        <v>45482.358298611114</v>
      </c>
      <c r="E194" s="38">
        <v>45482</v>
      </c>
      <c r="F194" s="91">
        <v>2024</v>
      </c>
      <c r="G194" s="93">
        <v>7</v>
      </c>
      <c r="H194" s="37" t="s">
        <v>4981</v>
      </c>
      <c r="I194" s="37"/>
      <c r="J194" s="103">
        <v>-91.5257779229118</v>
      </c>
      <c r="K194" s="40">
        <v>42.810596058658383</v>
      </c>
      <c r="L194" s="74"/>
      <c r="M194" s="272" t="s">
        <v>5192</v>
      </c>
      <c r="N194" s="74">
        <v>1</v>
      </c>
      <c r="O194" s="94"/>
      <c r="P194" s="118">
        <v>1</v>
      </c>
      <c r="Q194" s="510">
        <v>180</v>
      </c>
      <c r="R194" s="513">
        <v>180</v>
      </c>
      <c r="S194" s="41"/>
      <c r="T194" s="40"/>
      <c r="U194" s="40">
        <v>9</v>
      </c>
      <c r="V194" s="119">
        <v>1</v>
      </c>
      <c r="W194" s="40">
        <v>0</v>
      </c>
      <c r="X194" s="119">
        <v>1</v>
      </c>
      <c r="Y194" s="40">
        <v>67</v>
      </c>
      <c r="Z194" s="119">
        <v>0</v>
      </c>
      <c r="AA194" s="368" t="s">
        <v>16</v>
      </c>
      <c r="AB194" s="535" t="s">
        <v>16</v>
      </c>
      <c r="AC194" s="39" t="s">
        <v>160</v>
      </c>
      <c r="AD194" s="75" t="s">
        <v>10</v>
      </c>
      <c r="AE194" s="95">
        <v>0</v>
      </c>
      <c r="AF194" s="75">
        <v>0</v>
      </c>
      <c r="AG194" s="75">
        <v>0</v>
      </c>
      <c r="AH194" s="75">
        <v>0</v>
      </c>
      <c r="AI194" s="75">
        <v>0</v>
      </c>
      <c r="AJ194" s="75">
        <v>0</v>
      </c>
      <c r="AK194" s="75">
        <v>0</v>
      </c>
      <c r="AL194" s="95">
        <v>1</v>
      </c>
      <c r="AM194" s="92">
        <v>0</v>
      </c>
      <c r="AN194" s="79" t="s">
        <v>80</v>
      </c>
      <c r="AO194" s="75">
        <v>1</v>
      </c>
      <c r="AP194" s="75" t="s">
        <v>84</v>
      </c>
      <c r="AQ194" s="122">
        <v>1</v>
      </c>
      <c r="AR194" s="515" t="s">
        <v>10</v>
      </c>
      <c r="AS194" s="95">
        <v>0</v>
      </c>
      <c r="AT194" s="75">
        <v>0</v>
      </c>
      <c r="AU194" s="75">
        <v>0</v>
      </c>
      <c r="AV194" s="75">
        <v>0</v>
      </c>
      <c r="AW194" s="123">
        <v>0</v>
      </c>
      <c r="AX194" s="516"/>
      <c r="AY194" s="75">
        <v>0</v>
      </c>
      <c r="AZ194" s="77" t="s">
        <v>131</v>
      </c>
      <c r="BA194" s="78" t="s">
        <v>131</v>
      </c>
      <c r="BB194" s="78" t="s">
        <v>131</v>
      </c>
      <c r="BC194" s="78" t="s">
        <v>131</v>
      </c>
      <c r="BD194" s="78" t="s">
        <v>131</v>
      </c>
      <c r="BE194" s="78" t="s">
        <v>131</v>
      </c>
      <c r="BF194" s="78" t="s">
        <v>131</v>
      </c>
      <c r="BG194" s="78" t="s">
        <v>132</v>
      </c>
      <c r="BH194" s="75" t="s">
        <v>5970</v>
      </c>
      <c r="BI194" s="295" t="s">
        <v>2261</v>
      </c>
      <c r="BJ194" s="546">
        <v>1</v>
      </c>
      <c r="BK194" s="294" t="s">
        <v>16</v>
      </c>
      <c r="BL194" s="157" t="s">
        <v>16</v>
      </c>
      <c r="BM194" s="548" t="s">
        <v>1347</v>
      </c>
      <c r="BN194" s="548" t="s">
        <v>4160</v>
      </c>
      <c r="BO194" s="157" t="s">
        <v>4565</v>
      </c>
      <c r="BP194" s="548" t="s">
        <v>4567</v>
      </c>
      <c r="BQ194" s="157" t="s">
        <v>4563</v>
      </c>
      <c r="BR194" s="157"/>
    </row>
    <row r="195" spans="1:70" x14ac:dyDescent="0.25">
      <c r="A195" s="19" t="s">
        <v>3686</v>
      </c>
      <c r="B195" s="37" t="s">
        <v>5193</v>
      </c>
      <c r="C195" s="90">
        <v>45482.580243055556</v>
      </c>
      <c r="D195" s="114">
        <v>45482.330243055556</v>
      </c>
      <c r="E195" s="38">
        <v>45482</v>
      </c>
      <c r="F195" s="91">
        <v>2024</v>
      </c>
      <c r="G195" s="93">
        <v>7</v>
      </c>
      <c r="H195" s="37" t="s">
        <v>5006</v>
      </c>
      <c r="I195" s="37"/>
      <c r="J195" s="103">
        <v>-92.300720567362305</v>
      </c>
      <c r="K195" s="40">
        <v>44.757525153572097</v>
      </c>
      <c r="L195" s="74"/>
      <c r="M195" s="272" t="s">
        <v>5194</v>
      </c>
      <c r="N195" s="74">
        <v>1</v>
      </c>
      <c r="O195" s="94"/>
      <c r="P195" s="118">
        <v>1</v>
      </c>
      <c r="Q195" s="510">
        <v>120</v>
      </c>
      <c r="R195" s="513">
        <v>120</v>
      </c>
      <c r="S195" s="41"/>
      <c r="T195" s="40"/>
      <c r="U195" s="40">
        <v>7</v>
      </c>
      <c r="V195" s="119">
        <v>1</v>
      </c>
      <c r="W195" s="40">
        <v>0</v>
      </c>
      <c r="X195" s="119">
        <v>1</v>
      </c>
      <c r="Y195" s="40">
        <v>50</v>
      </c>
      <c r="Z195" s="119">
        <v>1</v>
      </c>
      <c r="AA195" s="368">
        <v>0</v>
      </c>
      <c r="AB195" s="535">
        <v>5</v>
      </c>
      <c r="AC195" s="39" t="s">
        <v>160</v>
      </c>
      <c r="AD195" s="75" t="s">
        <v>10</v>
      </c>
      <c r="AE195" s="95">
        <v>0</v>
      </c>
      <c r="AF195" s="75">
        <v>0</v>
      </c>
      <c r="AG195" s="75">
        <v>0</v>
      </c>
      <c r="AH195" s="75">
        <v>0</v>
      </c>
      <c r="AI195" s="75">
        <v>0</v>
      </c>
      <c r="AJ195" s="75">
        <v>0</v>
      </c>
      <c r="AK195" s="75">
        <v>0</v>
      </c>
      <c r="AL195" s="95">
        <v>1</v>
      </c>
      <c r="AM195" s="92">
        <v>0</v>
      </c>
      <c r="AN195" s="79" t="s">
        <v>80</v>
      </c>
      <c r="AO195" s="75">
        <v>1</v>
      </c>
      <c r="AP195" s="75" t="s">
        <v>83</v>
      </c>
      <c r="AQ195" s="122">
        <v>1</v>
      </c>
      <c r="AR195" s="515" t="s">
        <v>5085</v>
      </c>
      <c r="AS195" s="95">
        <v>0</v>
      </c>
      <c r="AT195" s="75">
        <v>1</v>
      </c>
      <c r="AU195" s="75">
        <v>0</v>
      </c>
      <c r="AV195" s="75">
        <v>0</v>
      </c>
      <c r="AW195" s="123">
        <v>0</v>
      </c>
      <c r="AX195" s="516"/>
      <c r="AY195" s="75">
        <v>0</v>
      </c>
      <c r="AZ195" s="77" t="s">
        <v>131</v>
      </c>
      <c r="BA195" s="78" t="s">
        <v>131</v>
      </c>
      <c r="BB195" s="78" t="s">
        <v>131</v>
      </c>
      <c r="BC195" s="78" t="s">
        <v>131</v>
      </c>
      <c r="BD195" s="78" t="s">
        <v>131</v>
      </c>
      <c r="BE195" s="78" t="s">
        <v>131</v>
      </c>
      <c r="BF195" s="78" t="s">
        <v>131</v>
      </c>
      <c r="BG195" s="78" t="s">
        <v>132</v>
      </c>
      <c r="BH195" s="75" t="s">
        <v>5970</v>
      </c>
      <c r="BI195" s="295" t="s">
        <v>2318</v>
      </c>
      <c r="BJ195" s="546">
        <v>1</v>
      </c>
      <c r="BK195" s="294" t="s">
        <v>16</v>
      </c>
      <c r="BL195" s="157" t="s">
        <v>16</v>
      </c>
      <c r="BM195" s="548" t="s">
        <v>578</v>
      </c>
      <c r="BN195" s="548" t="s">
        <v>5969</v>
      </c>
      <c r="BO195" s="157" t="s">
        <v>4754</v>
      </c>
      <c r="BP195" s="548" t="s">
        <v>2318</v>
      </c>
      <c r="BQ195" s="157" t="s">
        <v>4212</v>
      </c>
      <c r="BR195" s="157"/>
    </row>
    <row r="196" spans="1:70" x14ac:dyDescent="0.25">
      <c r="A196" s="19" t="s">
        <v>3686</v>
      </c>
      <c r="B196" s="37" t="s">
        <v>5195</v>
      </c>
      <c r="C196" s="90">
        <v>45482.54310185185</v>
      </c>
      <c r="D196" s="114">
        <v>45482.29310185185</v>
      </c>
      <c r="E196" s="38">
        <v>45482</v>
      </c>
      <c r="F196" s="91">
        <v>2024</v>
      </c>
      <c r="G196" s="93">
        <v>7</v>
      </c>
      <c r="H196" s="37" t="s">
        <v>1378</v>
      </c>
      <c r="I196" s="37" t="s">
        <v>16</v>
      </c>
      <c r="J196" s="103">
        <v>-90.154749068365916</v>
      </c>
      <c r="K196" s="40">
        <v>43.310815876244511</v>
      </c>
      <c r="L196" s="74"/>
      <c r="M196" s="272" t="s">
        <v>5196</v>
      </c>
      <c r="N196" s="74">
        <v>1</v>
      </c>
      <c r="O196" s="94"/>
      <c r="P196" s="118">
        <v>1</v>
      </c>
      <c r="Q196" s="510">
        <v>80</v>
      </c>
      <c r="R196" s="513">
        <v>0</v>
      </c>
      <c r="S196" s="41"/>
      <c r="T196" s="40"/>
      <c r="U196" s="40">
        <v>7</v>
      </c>
      <c r="V196" s="119">
        <v>1</v>
      </c>
      <c r="W196" s="40">
        <v>100</v>
      </c>
      <c r="X196" s="119">
        <v>1</v>
      </c>
      <c r="Y196" s="40">
        <v>55</v>
      </c>
      <c r="Z196" s="119">
        <v>0</v>
      </c>
      <c r="AA196" s="368" t="s">
        <v>16</v>
      </c>
      <c r="AB196" s="535" t="s">
        <v>16</v>
      </c>
      <c r="AC196" s="39" t="s">
        <v>160</v>
      </c>
      <c r="AD196" s="75" t="s">
        <v>1622</v>
      </c>
      <c r="AE196" s="95">
        <v>1</v>
      </c>
      <c r="AF196" s="75">
        <v>1</v>
      </c>
      <c r="AG196" s="75">
        <v>0</v>
      </c>
      <c r="AH196" s="75">
        <v>0</v>
      </c>
      <c r="AI196" s="75">
        <v>0</v>
      </c>
      <c r="AJ196" s="75">
        <v>0</v>
      </c>
      <c r="AK196" s="75">
        <v>0</v>
      </c>
      <c r="AL196" s="95">
        <v>0</v>
      </c>
      <c r="AM196" s="92">
        <v>0</v>
      </c>
      <c r="AN196" s="79" t="s">
        <v>80</v>
      </c>
      <c r="AO196" s="75">
        <v>1</v>
      </c>
      <c r="AP196" s="75" t="s">
        <v>83</v>
      </c>
      <c r="AQ196" s="122">
        <v>1</v>
      </c>
      <c r="AR196" s="515" t="s">
        <v>10</v>
      </c>
      <c r="AS196" s="95">
        <v>0</v>
      </c>
      <c r="AT196" s="75">
        <v>0</v>
      </c>
      <c r="AU196" s="75">
        <v>0</v>
      </c>
      <c r="AV196" s="75">
        <v>0</v>
      </c>
      <c r="AW196" s="123">
        <v>0</v>
      </c>
      <c r="AX196" s="516"/>
      <c r="AY196" s="75">
        <v>0</v>
      </c>
      <c r="AZ196" s="77" t="s">
        <v>132</v>
      </c>
      <c r="BA196" s="78" t="s">
        <v>132</v>
      </c>
      <c r="BB196" s="78" t="s">
        <v>131</v>
      </c>
      <c r="BC196" s="78" t="s">
        <v>131</v>
      </c>
      <c r="BD196" s="78" t="s">
        <v>131</v>
      </c>
      <c r="BE196" s="78" t="s">
        <v>131</v>
      </c>
      <c r="BF196" s="78" t="s">
        <v>131</v>
      </c>
      <c r="BG196" s="78" t="s">
        <v>131</v>
      </c>
      <c r="BH196" s="75" t="s">
        <v>5970</v>
      </c>
      <c r="BI196" s="295" t="s">
        <v>5958</v>
      </c>
      <c r="BJ196" s="546">
        <v>1</v>
      </c>
      <c r="BK196" s="294" t="s">
        <v>16</v>
      </c>
      <c r="BL196" s="157" t="s">
        <v>16</v>
      </c>
      <c r="BM196" s="548" t="s">
        <v>1345</v>
      </c>
      <c r="BN196" s="548" t="s">
        <v>4158</v>
      </c>
      <c r="BO196" s="157" t="s">
        <v>4406</v>
      </c>
      <c r="BP196" s="548" t="s">
        <v>4407</v>
      </c>
      <c r="BQ196" s="157" t="s">
        <v>4405</v>
      </c>
      <c r="BR196" s="157"/>
    </row>
    <row r="197" spans="1:70" x14ac:dyDescent="0.25">
      <c r="A197" s="19" t="s">
        <v>3686</v>
      </c>
      <c r="B197" s="37" t="s">
        <v>5197</v>
      </c>
      <c r="C197" s="90">
        <v>45481.823391203703</v>
      </c>
      <c r="D197" s="114">
        <v>45481.573391203703</v>
      </c>
      <c r="E197" s="38">
        <v>45481</v>
      </c>
      <c r="F197" s="91">
        <v>2024</v>
      </c>
      <c r="G197" s="93">
        <v>7</v>
      </c>
      <c r="H197" s="37" t="s">
        <v>2446</v>
      </c>
      <c r="I197" s="37"/>
      <c r="J197" s="103">
        <v>-92.507312497951119</v>
      </c>
      <c r="K197" s="40">
        <v>44.772455836665351</v>
      </c>
      <c r="L197" s="74"/>
      <c r="M197" s="272" t="s">
        <v>5198</v>
      </c>
      <c r="N197" s="74">
        <v>1</v>
      </c>
      <c r="O197" s="94"/>
      <c r="P197" s="118">
        <v>1</v>
      </c>
      <c r="Q197" s="510">
        <v>120</v>
      </c>
      <c r="R197" s="513">
        <v>120</v>
      </c>
      <c r="S197" s="41"/>
      <c r="T197" s="40"/>
      <c r="U197" s="40">
        <v>7.5</v>
      </c>
      <c r="V197" s="119">
        <v>1</v>
      </c>
      <c r="W197" s="40">
        <v>0</v>
      </c>
      <c r="X197" s="119">
        <v>1</v>
      </c>
      <c r="Y197" s="40">
        <v>64</v>
      </c>
      <c r="Z197" s="119">
        <v>1</v>
      </c>
      <c r="AA197" s="368">
        <v>0</v>
      </c>
      <c r="AB197" s="535">
        <v>2</v>
      </c>
      <c r="AC197" s="39" t="s">
        <v>160</v>
      </c>
      <c r="AD197" s="75" t="s">
        <v>10</v>
      </c>
      <c r="AE197" s="95">
        <v>0</v>
      </c>
      <c r="AF197" s="75">
        <v>0</v>
      </c>
      <c r="AG197" s="75">
        <v>0</v>
      </c>
      <c r="AH197" s="75">
        <v>0</v>
      </c>
      <c r="AI197" s="75">
        <v>0</v>
      </c>
      <c r="AJ197" s="75">
        <v>0</v>
      </c>
      <c r="AK197" s="75">
        <v>0</v>
      </c>
      <c r="AL197" s="95">
        <v>1</v>
      </c>
      <c r="AM197" s="92">
        <v>0</v>
      </c>
      <c r="AN197" s="79" t="s">
        <v>80</v>
      </c>
      <c r="AO197" s="75">
        <v>1</v>
      </c>
      <c r="AP197" s="75" t="s">
        <v>83</v>
      </c>
      <c r="AQ197" s="122">
        <v>1</v>
      </c>
      <c r="AR197" s="515" t="s">
        <v>10</v>
      </c>
      <c r="AS197" s="95">
        <v>0</v>
      </c>
      <c r="AT197" s="75">
        <v>0</v>
      </c>
      <c r="AU197" s="75">
        <v>0</v>
      </c>
      <c r="AV197" s="75">
        <v>0</v>
      </c>
      <c r="AW197" s="123">
        <v>0</v>
      </c>
      <c r="AX197" s="516"/>
      <c r="AY197" s="75">
        <v>0</v>
      </c>
      <c r="AZ197" s="77" t="s">
        <v>131</v>
      </c>
      <c r="BA197" s="78" t="s">
        <v>131</v>
      </c>
      <c r="BB197" s="78" t="s">
        <v>131</v>
      </c>
      <c r="BC197" s="78" t="s">
        <v>131</v>
      </c>
      <c r="BD197" s="78" t="s">
        <v>131</v>
      </c>
      <c r="BE197" s="78" t="s">
        <v>131</v>
      </c>
      <c r="BF197" s="78" t="s">
        <v>131</v>
      </c>
      <c r="BG197" s="78" t="s">
        <v>132</v>
      </c>
      <c r="BH197" s="75" t="s">
        <v>5970</v>
      </c>
      <c r="BI197" s="295" t="s">
        <v>16</v>
      </c>
      <c r="BJ197" s="546">
        <v>1</v>
      </c>
      <c r="BK197" s="294" t="s">
        <v>16</v>
      </c>
      <c r="BL197" s="157" t="s">
        <v>16</v>
      </c>
      <c r="BM197" s="548" t="s">
        <v>578</v>
      </c>
      <c r="BN197" s="548" t="s">
        <v>4158</v>
      </c>
      <c r="BO197" s="157" t="s">
        <v>4658</v>
      </c>
      <c r="BP197" s="548" t="s">
        <v>4660</v>
      </c>
      <c r="BQ197" s="157" t="s">
        <v>4657</v>
      </c>
      <c r="BR197" s="157"/>
    </row>
    <row r="198" spans="1:70" x14ac:dyDescent="0.25">
      <c r="A198" s="19" t="s">
        <v>3686</v>
      </c>
      <c r="B198" s="37" t="s">
        <v>5199</v>
      </c>
      <c r="C198" s="90">
        <v>45481.616851851853</v>
      </c>
      <c r="D198" s="114">
        <v>45481.366851851853</v>
      </c>
      <c r="E198" s="38">
        <v>45481</v>
      </c>
      <c r="F198" s="91">
        <v>2024</v>
      </c>
      <c r="G198" s="93">
        <v>7</v>
      </c>
      <c r="H198" s="37" t="s">
        <v>4981</v>
      </c>
      <c r="I198" s="37"/>
      <c r="J198" s="103">
        <v>-91.527584378483724</v>
      </c>
      <c r="K198" s="40">
        <v>42.81159479783306</v>
      </c>
      <c r="L198" s="74"/>
      <c r="M198" s="272" t="s">
        <v>5200</v>
      </c>
      <c r="N198" s="74">
        <v>1</v>
      </c>
      <c r="O198" s="94"/>
      <c r="P198" s="118">
        <v>1</v>
      </c>
      <c r="Q198" s="510">
        <v>0</v>
      </c>
      <c r="R198" s="513">
        <v>0</v>
      </c>
      <c r="S198" s="41"/>
      <c r="T198" s="40"/>
      <c r="U198" s="40">
        <v>8</v>
      </c>
      <c r="V198" s="119">
        <v>1</v>
      </c>
      <c r="W198" s="40">
        <v>0</v>
      </c>
      <c r="X198" s="119">
        <v>1</v>
      </c>
      <c r="Y198" s="40">
        <v>63</v>
      </c>
      <c r="Z198" s="119">
        <v>0</v>
      </c>
      <c r="AA198" s="368" t="s">
        <v>16</v>
      </c>
      <c r="AB198" s="535" t="s">
        <v>16</v>
      </c>
      <c r="AC198" s="39" t="s">
        <v>160</v>
      </c>
      <c r="AD198" s="75" t="s">
        <v>10</v>
      </c>
      <c r="AE198" s="95">
        <v>0</v>
      </c>
      <c r="AF198" s="75">
        <v>0</v>
      </c>
      <c r="AG198" s="75">
        <v>0</v>
      </c>
      <c r="AH198" s="75">
        <v>0</v>
      </c>
      <c r="AI198" s="75">
        <v>0</v>
      </c>
      <c r="AJ198" s="75">
        <v>0</v>
      </c>
      <c r="AK198" s="75">
        <v>0</v>
      </c>
      <c r="AL198" s="95">
        <v>1</v>
      </c>
      <c r="AM198" s="92">
        <v>0</v>
      </c>
      <c r="AN198" s="79" t="s">
        <v>80</v>
      </c>
      <c r="AO198" s="75">
        <v>1</v>
      </c>
      <c r="AP198" s="75" t="s">
        <v>84</v>
      </c>
      <c r="AQ198" s="122">
        <v>1</v>
      </c>
      <c r="AR198" s="515" t="s">
        <v>10</v>
      </c>
      <c r="AS198" s="95">
        <v>0</v>
      </c>
      <c r="AT198" s="75">
        <v>0</v>
      </c>
      <c r="AU198" s="75">
        <v>0</v>
      </c>
      <c r="AV198" s="75">
        <v>0</v>
      </c>
      <c r="AW198" s="123">
        <v>0</v>
      </c>
      <c r="AX198" s="516"/>
      <c r="AY198" s="75">
        <v>0</v>
      </c>
      <c r="AZ198" s="77" t="s">
        <v>131</v>
      </c>
      <c r="BA198" s="78" t="s">
        <v>131</v>
      </c>
      <c r="BB198" s="78" t="s">
        <v>131</v>
      </c>
      <c r="BC198" s="78" t="s">
        <v>131</v>
      </c>
      <c r="BD198" s="78" t="s">
        <v>131</v>
      </c>
      <c r="BE198" s="78" t="s">
        <v>131</v>
      </c>
      <c r="BF198" s="78" t="s">
        <v>131</v>
      </c>
      <c r="BG198" s="78" t="s">
        <v>132</v>
      </c>
      <c r="BH198" s="75" t="s">
        <v>5970</v>
      </c>
      <c r="BI198" s="295" t="s">
        <v>2261</v>
      </c>
      <c r="BJ198" s="546">
        <v>1</v>
      </c>
      <c r="BK198" s="294" t="s">
        <v>16</v>
      </c>
      <c r="BL198" s="157" t="s">
        <v>16</v>
      </c>
      <c r="BM198" s="548" t="s">
        <v>1347</v>
      </c>
      <c r="BN198" s="548" t="s">
        <v>4160</v>
      </c>
      <c r="BO198" s="157" t="s">
        <v>4565</v>
      </c>
      <c r="BP198" s="548" t="s">
        <v>4567</v>
      </c>
      <c r="BQ198" s="157" t="s">
        <v>4563</v>
      </c>
      <c r="BR198" s="157"/>
    </row>
    <row r="199" spans="1:70" x14ac:dyDescent="0.25">
      <c r="A199" s="19" t="s">
        <v>3686</v>
      </c>
      <c r="B199" s="37" t="s">
        <v>5201</v>
      </c>
      <c r="C199" s="90">
        <v>45480.702546296299</v>
      </c>
      <c r="D199" s="114">
        <v>45480.452546296299</v>
      </c>
      <c r="E199" s="38">
        <v>45480</v>
      </c>
      <c r="F199" s="91">
        <v>2024</v>
      </c>
      <c r="G199" s="93">
        <v>7</v>
      </c>
      <c r="H199" s="37" t="s">
        <v>475</v>
      </c>
      <c r="I199" s="37"/>
      <c r="J199" s="103">
        <v>-92.650027865001434</v>
      </c>
      <c r="K199" s="40">
        <v>44.075169988509138</v>
      </c>
      <c r="L199" s="74"/>
      <c r="M199" s="272" t="s">
        <v>16</v>
      </c>
      <c r="N199" s="74">
        <v>0</v>
      </c>
      <c r="O199" s="94"/>
      <c r="P199" s="118">
        <v>0</v>
      </c>
      <c r="Q199" s="510"/>
      <c r="R199" s="513"/>
      <c r="S199" s="41"/>
      <c r="T199" s="40"/>
      <c r="U199" s="40"/>
      <c r="V199" s="119">
        <v>0</v>
      </c>
      <c r="W199" s="40"/>
      <c r="X199" s="119">
        <v>1</v>
      </c>
      <c r="Y199" s="40">
        <v>60</v>
      </c>
      <c r="Z199" s="119">
        <v>1</v>
      </c>
      <c r="AA199" s="368">
        <v>0</v>
      </c>
      <c r="AB199" s="535">
        <v>10</v>
      </c>
      <c r="AC199" s="39" t="s">
        <v>160</v>
      </c>
      <c r="AD199" s="75" t="s">
        <v>16</v>
      </c>
      <c r="AE199" s="95">
        <v>-1</v>
      </c>
      <c r="AF199" s="75">
        <v>-1</v>
      </c>
      <c r="AG199" s="75">
        <v>-1</v>
      </c>
      <c r="AH199" s="75">
        <v>-1</v>
      </c>
      <c r="AI199" s="75">
        <v>-1</v>
      </c>
      <c r="AJ199" s="75">
        <v>-1</v>
      </c>
      <c r="AK199" s="75">
        <v>-1</v>
      </c>
      <c r="AL199" s="95">
        <v>-1</v>
      </c>
      <c r="AM199" s="92">
        <v>1</v>
      </c>
      <c r="AN199" s="79" t="s">
        <v>81</v>
      </c>
      <c r="AO199" s="75">
        <v>1</v>
      </c>
      <c r="AP199" s="75" t="s">
        <v>85</v>
      </c>
      <c r="AQ199" s="122">
        <v>1</v>
      </c>
      <c r="AR199" s="515" t="s">
        <v>10</v>
      </c>
      <c r="AS199" s="95">
        <v>0</v>
      </c>
      <c r="AT199" s="75">
        <v>0</v>
      </c>
      <c r="AU199" s="75">
        <v>0</v>
      </c>
      <c r="AV199" s="75">
        <v>0</v>
      </c>
      <c r="AW199" s="123">
        <v>0</v>
      </c>
      <c r="AX199" s="516" t="s">
        <v>5202</v>
      </c>
      <c r="AY199" s="75">
        <v>1</v>
      </c>
      <c r="AZ199" s="77" t="s">
        <v>5971</v>
      </c>
      <c r="BA199" s="78" t="s">
        <v>5971</v>
      </c>
      <c r="BB199" s="78" t="s">
        <v>5971</v>
      </c>
      <c r="BC199" s="78" t="s">
        <v>5971</v>
      </c>
      <c r="BD199" s="78" t="s">
        <v>5971</v>
      </c>
      <c r="BE199" s="78" t="s">
        <v>5971</v>
      </c>
      <c r="BF199" s="78" t="s">
        <v>5971</v>
      </c>
      <c r="BG199" s="78" t="s">
        <v>5971</v>
      </c>
      <c r="BH199" s="75" t="s">
        <v>5971</v>
      </c>
      <c r="BI199" s="295" t="s">
        <v>5823</v>
      </c>
      <c r="BJ199" s="546" t="s">
        <v>16</v>
      </c>
      <c r="BK199" s="294" t="s">
        <v>16</v>
      </c>
      <c r="BL199" s="157" t="s">
        <v>16</v>
      </c>
      <c r="BM199" s="548" t="s">
        <v>1339</v>
      </c>
      <c r="BN199" s="548" t="s">
        <v>1339</v>
      </c>
      <c r="BO199" s="157" t="s">
        <v>5822</v>
      </c>
      <c r="BP199" s="548" t="s">
        <v>5823</v>
      </c>
      <c r="BQ199" s="157" t="s">
        <v>5821</v>
      </c>
      <c r="BR199" s="157"/>
    </row>
    <row r="200" spans="1:70" x14ac:dyDescent="0.25">
      <c r="A200" s="19" t="s">
        <v>3686</v>
      </c>
      <c r="B200" s="37" t="s">
        <v>5203</v>
      </c>
      <c r="C200" s="90">
        <v>45479.816527777781</v>
      </c>
      <c r="D200" s="114">
        <v>45479.566527777781</v>
      </c>
      <c r="E200" s="38">
        <v>45479</v>
      </c>
      <c r="F200" s="91">
        <v>2024</v>
      </c>
      <c r="G200" s="93">
        <v>7</v>
      </c>
      <c r="H200" s="37" t="s">
        <v>1616</v>
      </c>
      <c r="I200" s="37" t="s">
        <v>1212</v>
      </c>
      <c r="J200" s="103">
        <v>-92.2361693</v>
      </c>
      <c r="K200" s="40">
        <v>44.8407263</v>
      </c>
      <c r="L200" s="74"/>
      <c r="M200" s="272" t="s">
        <v>5204</v>
      </c>
      <c r="N200" s="74">
        <v>1</v>
      </c>
      <c r="O200" s="94"/>
      <c r="P200" s="118">
        <v>1</v>
      </c>
      <c r="Q200" s="510">
        <v>80</v>
      </c>
      <c r="R200" s="513">
        <v>60</v>
      </c>
      <c r="S200" s="41"/>
      <c r="T200" s="40"/>
      <c r="U200" s="40">
        <v>7</v>
      </c>
      <c r="V200" s="119">
        <v>0</v>
      </c>
      <c r="W200" s="40"/>
      <c r="X200" s="119">
        <v>1</v>
      </c>
      <c r="Y200" s="40">
        <v>68</v>
      </c>
      <c r="Z200" s="119">
        <v>0</v>
      </c>
      <c r="AA200" s="368" t="s">
        <v>16</v>
      </c>
      <c r="AB200" s="535" t="s">
        <v>16</v>
      </c>
      <c r="AC200" s="39" t="s">
        <v>160</v>
      </c>
      <c r="AD200" s="75" t="s">
        <v>10</v>
      </c>
      <c r="AE200" s="95">
        <v>0</v>
      </c>
      <c r="AF200" s="75">
        <v>0</v>
      </c>
      <c r="AG200" s="75">
        <v>0</v>
      </c>
      <c r="AH200" s="75">
        <v>0</v>
      </c>
      <c r="AI200" s="75">
        <v>0</v>
      </c>
      <c r="AJ200" s="75">
        <v>0</v>
      </c>
      <c r="AK200" s="75">
        <v>0</v>
      </c>
      <c r="AL200" s="95">
        <v>1</v>
      </c>
      <c r="AM200" s="92">
        <v>0</v>
      </c>
      <c r="AN200" s="79" t="s">
        <v>80</v>
      </c>
      <c r="AO200" s="75">
        <v>1</v>
      </c>
      <c r="AP200" s="75" t="s">
        <v>84</v>
      </c>
      <c r="AQ200" s="122">
        <v>1</v>
      </c>
      <c r="AR200" s="515" t="s">
        <v>10</v>
      </c>
      <c r="AS200" s="95">
        <v>0</v>
      </c>
      <c r="AT200" s="75">
        <v>0</v>
      </c>
      <c r="AU200" s="75">
        <v>0</v>
      </c>
      <c r="AV200" s="75">
        <v>0</v>
      </c>
      <c r="AW200" s="123">
        <v>0</v>
      </c>
      <c r="AX200" s="516"/>
      <c r="AY200" s="75">
        <v>0</v>
      </c>
      <c r="AZ200" s="77" t="s">
        <v>131</v>
      </c>
      <c r="BA200" s="78" t="s">
        <v>131</v>
      </c>
      <c r="BB200" s="78" t="s">
        <v>131</v>
      </c>
      <c r="BC200" s="78" t="s">
        <v>131</v>
      </c>
      <c r="BD200" s="78" t="s">
        <v>131</v>
      </c>
      <c r="BE200" s="78" t="s">
        <v>131</v>
      </c>
      <c r="BF200" s="78" t="s">
        <v>131</v>
      </c>
      <c r="BG200" s="78" t="s">
        <v>132</v>
      </c>
      <c r="BH200" s="75" t="s">
        <v>5970</v>
      </c>
      <c r="BI200" s="295" t="s">
        <v>16</v>
      </c>
      <c r="BJ200" s="546">
        <v>1</v>
      </c>
      <c r="BK200" s="294">
        <v>1</v>
      </c>
      <c r="BL200" s="157">
        <v>1</v>
      </c>
      <c r="BM200" s="548" t="s">
        <v>578</v>
      </c>
      <c r="BN200" s="548" t="s">
        <v>578</v>
      </c>
      <c r="BO200" s="157" t="s">
        <v>4318</v>
      </c>
      <c r="BP200" s="548" t="s">
        <v>4439</v>
      </c>
      <c r="BQ200" s="157" t="s">
        <v>4316</v>
      </c>
      <c r="BR200" s="157"/>
    </row>
    <row r="201" spans="1:70" x14ac:dyDescent="0.25">
      <c r="A201" s="19" t="s">
        <v>3686</v>
      </c>
      <c r="B201" s="37" t="s">
        <v>5205</v>
      </c>
      <c r="C201" s="90">
        <v>45479.657777777778</v>
      </c>
      <c r="D201" s="114">
        <v>45479.407777777778</v>
      </c>
      <c r="E201" s="38">
        <v>45479</v>
      </c>
      <c r="F201" s="91">
        <v>2024</v>
      </c>
      <c r="G201" s="93">
        <v>7</v>
      </c>
      <c r="H201" s="37" t="s">
        <v>475</v>
      </c>
      <c r="I201" s="37"/>
      <c r="J201" s="103">
        <v>-92.344215837258503</v>
      </c>
      <c r="K201" s="40">
        <v>43.60212530998416</v>
      </c>
      <c r="L201" s="74"/>
      <c r="M201" s="272" t="s">
        <v>5206</v>
      </c>
      <c r="N201" s="74">
        <v>1</v>
      </c>
      <c r="O201" s="94"/>
      <c r="P201" s="118">
        <v>0</v>
      </c>
      <c r="Q201" s="510"/>
      <c r="R201" s="513"/>
      <c r="S201" s="41"/>
      <c r="T201" s="40"/>
      <c r="U201" s="40"/>
      <c r="V201" s="119">
        <v>0</v>
      </c>
      <c r="W201" s="40"/>
      <c r="X201" s="119">
        <v>1</v>
      </c>
      <c r="Y201" s="40">
        <v>62</v>
      </c>
      <c r="Z201" s="119">
        <v>1</v>
      </c>
      <c r="AA201" s="368">
        <v>0</v>
      </c>
      <c r="AB201" s="535">
        <v>20</v>
      </c>
      <c r="AC201" s="39" t="s">
        <v>160</v>
      </c>
      <c r="AD201" s="75" t="s">
        <v>10</v>
      </c>
      <c r="AE201" s="95">
        <v>0</v>
      </c>
      <c r="AF201" s="75">
        <v>0</v>
      </c>
      <c r="AG201" s="75">
        <v>0</v>
      </c>
      <c r="AH201" s="75">
        <v>0</v>
      </c>
      <c r="AI201" s="75">
        <v>0</v>
      </c>
      <c r="AJ201" s="75">
        <v>0</v>
      </c>
      <c r="AK201" s="75">
        <v>0</v>
      </c>
      <c r="AL201" s="95">
        <v>1</v>
      </c>
      <c r="AM201" s="92">
        <v>0</v>
      </c>
      <c r="AN201" s="79" t="s">
        <v>81</v>
      </c>
      <c r="AO201" s="75">
        <v>1</v>
      </c>
      <c r="AP201" s="75" t="s">
        <v>85</v>
      </c>
      <c r="AQ201" s="122">
        <v>1</v>
      </c>
      <c r="AR201" s="515" t="s">
        <v>10</v>
      </c>
      <c r="AS201" s="95">
        <v>0</v>
      </c>
      <c r="AT201" s="75">
        <v>0</v>
      </c>
      <c r="AU201" s="75">
        <v>0</v>
      </c>
      <c r="AV201" s="75">
        <v>0</v>
      </c>
      <c r="AW201" s="123">
        <v>0</v>
      </c>
      <c r="AX201" s="516" t="s">
        <v>5207</v>
      </c>
      <c r="AY201" s="75">
        <v>1</v>
      </c>
      <c r="AZ201" s="77" t="s">
        <v>131</v>
      </c>
      <c r="BA201" s="78" t="s">
        <v>131</v>
      </c>
      <c r="BB201" s="78" t="s">
        <v>131</v>
      </c>
      <c r="BC201" s="78" t="s">
        <v>131</v>
      </c>
      <c r="BD201" s="78" t="s">
        <v>131</v>
      </c>
      <c r="BE201" s="78" t="s">
        <v>131</v>
      </c>
      <c r="BF201" s="78" t="s">
        <v>131</v>
      </c>
      <c r="BG201" s="78" t="s">
        <v>132</v>
      </c>
      <c r="BH201" s="75" t="s">
        <v>5970</v>
      </c>
      <c r="BI201" s="295" t="s">
        <v>2294</v>
      </c>
      <c r="BJ201" s="546">
        <v>1</v>
      </c>
      <c r="BK201" s="294" t="s">
        <v>16</v>
      </c>
      <c r="BL201" s="157" t="s">
        <v>16</v>
      </c>
      <c r="BM201" s="548" t="s">
        <v>1339</v>
      </c>
      <c r="BN201" s="548" t="s">
        <v>1339</v>
      </c>
      <c r="BO201" s="157" t="s">
        <v>4230</v>
      </c>
      <c r="BP201" s="548" t="s">
        <v>4231</v>
      </c>
      <c r="BQ201" s="157" t="s">
        <v>4229</v>
      </c>
      <c r="BR201" s="157"/>
    </row>
    <row r="202" spans="1:70" x14ac:dyDescent="0.25">
      <c r="A202" s="19" t="s">
        <v>3686</v>
      </c>
      <c r="B202" s="37" t="s">
        <v>5208</v>
      </c>
      <c r="C202" s="90">
        <v>45479.615289351852</v>
      </c>
      <c r="D202" s="114">
        <v>45479.365289351852</v>
      </c>
      <c r="E202" s="38">
        <v>45479</v>
      </c>
      <c r="F202" s="91">
        <v>2024</v>
      </c>
      <c r="G202" s="93">
        <v>7</v>
      </c>
      <c r="H202" s="37" t="s">
        <v>475</v>
      </c>
      <c r="I202" s="37"/>
      <c r="J202" s="103">
        <v>-92.22449202931216</v>
      </c>
      <c r="K202" s="40">
        <v>43.622205273187099</v>
      </c>
      <c r="L202" s="74"/>
      <c r="M202" s="272" t="s">
        <v>5209</v>
      </c>
      <c r="N202" s="74">
        <v>1</v>
      </c>
      <c r="O202" s="94"/>
      <c r="P202" s="118">
        <v>1</v>
      </c>
      <c r="Q202" s="510">
        <v>80</v>
      </c>
      <c r="R202" s="513">
        <v>180</v>
      </c>
      <c r="S202" s="41"/>
      <c r="T202" s="40"/>
      <c r="U202" s="40">
        <v>7</v>
      </c>
      <c r="V202" s="119">
        <v>1</v>
      </c>
      <c r="W202" s="40">
        <v>0</v>
      </c>
      <c r="X202" s="119">
        <v>1</v>
      </c>
      <c r="Y202" s="40">
        <v>55</v>
      </c>
      <c r="Z202" s="119">
        <v>1</v>
      </c>
      <c r="AA202" s="368">
        <v>0</v>
      </c>
      <c r="AB202" s="535">
        <v>10</v>
      </c>
      <c r="AC202" s="39" t="s">
        <v>160</v>
      </c>
      <c r="AD202" s="75" t="s">
        <v>10</v>
      </c>
      <c r="AE202" s="95">
        <v>0</v>
      </c>
      <c r="AF202" s="75">
        <v>0</v>
      </c>
      <c r="AG202" s="75">
        <v>0</v>
      </c>
      <c r="AH202" s="75">
        <v>0</v>
      </c>
      <c r="AI202" s="75">
        <v>0</v>
      </c>
      <c r="AJ202" s="75">
        <v>0</v>
      </c>
      <c r="AK202" s="75">
        <v>0</v>
      </c>
      <c r="AL202" s="95">
        <v>1</v>
      </c>
      <c r="AM202" s="92">
        <v>0</v>
      </c>
      <c r="AN202" s="79" t="s">
        <v>81</v>
      </c>
      <c r="AO202" s="75">
        <v>1</v>
      </c>
      <c r="AP202" s="75" t="s">
        <v>85</v>
      </c>
      <c r="AQ202" s="122">
        <v>1</v>
      </c>
      <c r="AR202" s="515" t="s">
        <v>10</v>
      </c>
      <c r="AS202" s="95">
        <v>0</v>
      </c>
      <c r="AT202" s="75">
        <v>0</v>
      </c>
      <c r="AU202" s="75">
        <v>0</v>
      </c>
      <c r="AV202" s="75">
        <v>0</v>
      </c>
      <c r="AW202" s="123">
        <v>0</v>
      </c>
      <c r="AX202" s="516" t="s">
        <v>5210</v>
      </c>
      <c r="AY202" s="75">
        <v>1</v>
      </c>
      <c r="AZ202" s="77" t="s">
        <v>131</v>
      </c>
      <c r="BA202" s="78" t="s">
        <v>131</v>
      </c>
      <c r="BB202" s="78" t="s">
        <v>131</v>
      </c>
      <c r="BC202" s="78" t="s">
        <v>131</v>
      </c>
      <c r="BD202" s="78" t="s">
        <v>131</v>
      </c>
      <c r="BE202" s="78" t="s">
        <v>131</v>
      </c>
      <c r="BF202" s="78" t="s">
        <v>131</v>
      </c>
      <c r="BG202" s="78" t="s">
        <v>132</v>
      </c>
      <c r="BH202" s="75" t="s">
        <v>5970</v>
      </c>
      <c r="BI202" s="295" t="s">
        <v>2232</v>
      </c>
      <c r="BJ202" s="546">
        <v>1</v>
      </c>
      <c r="BK202" s="294" t="s">
        <v>16</v>
      </c>
      <c r="BL202" s="157" t="s">
        <v>16</v>
      </c>
      <c r="BM202" s="548" t="s">
        <v>1339</v>
      </c>
      <c r="BN202" s="548" t="s">
        <v>1339</v>
      </c>
      <c r="BO202" s="157" t="s">
        <v>4332</v>
      </c>
      <c r="BP202" s="548" t="s">
        <v>4333</v>
      </c>
      <c r="BQ202" s="157" t="s">
        <v>4229</v>
      </c>
      <c r="BR202" s="157"/>
    </row>
    <row r="203" spans="1:70" x14ac:dyDescent="0.25">
      <c r="A203" s="19" t="s">
        <v>3686</v>
      </c>
      <c r="B203" s="37" t="s">
        <v>5211</v>
      </c>
      <c r="C203" s="90">
        <v>45479.591435185182</v>
      </c>
      <c r="D203" s="114">
        <v>45479.341435185182</v>
      </c>
      <c r="E203" s="38">
        <v>45479</v>
      </c>
      <c r="F203" s="91">
        <v>2024</v>
      </c>
      <c r="G203" s="93">
        <v>7</v>
      </c>
      <c r="H203" s="37" t="s">
        <v>475</v>
      </c>
      <c r="I203" s="37"/>
      <c r="J203" s="103">
        <v>-92.235824014283395</v>
      </c>
      <c r="K203" s="40">
        <v>43.62211035111082</v>
      </c>
      <c r="L203" s="74"/>
      <c r="M203" s="272" t="s">
        <v>5212</v>
      </c>
      <c r="N203" s="74">
        <v>1</v>
      </c>
      <c r="O203" s="94"/>
      <c r="P203" s="118">
        <v>0</v>
      </c>
      <c r="Q203" s="510"/>
      <c r="R203" s="513"/>
      <c r="S203" s="41"/>
      <c r="T203" s="40"/>
      <c r="U203" s="40"/>
      <c r="V203" s="119">
        <v>1</v>
      </c>
      <c r="W203" s="40">
        <v>0</v>
      </c>
      <c r="X203" s="119">
        <v>1</v>
      </c>
      <c r="Y203" s="40">
        <v>61</v>
      </c>
      <c r="Z203" s="119">
        <v>1</v>
      </c>
      <c r="AA203" s="368">
        <v>0</v>
      </c>
      <c r="AB203" s="535">
        <v>10</v>
      </c>
      <c r="AC203" s="39" t="s">
        <v>160</v>
      </c>
      <c r="AD203" s="75" t="s">
        <v>10</v>
      </c>
      <c r="AE203" s="95">
        <v>0</v>
      </c>
      <c r="AF203" s="75">
        <v>0</v>
      </c>
      <c r="AG203" s="75">
        <v>0</v>
      </c>
      <c r="AH203" s="75">
        <v>0</v>
      </c>
      <c r="AI203" s="75">
        <v>0</v>
      </c>
      <c r="AJ203" s="75">
        <v>0</v>
      </c>
      <c r="AK203" s="75">
        <v>0</v>
      </c>
      <c r="AL203" s="95">
        <v>1</v>
      </c>
      <c r="AM203" s="92">
        <v>0</v>
      </c>
      <c r="AN203" s="79" t="s">
        <v>81</v>
      </c>
      <c r="AO203" s="75">
        <v>1</v>
      </c>
      <c r="AP203" s="75" t="s">
        <v>85</v>
      </c>
      <c r="AQ203" s="122">
        <v>1</v>
      </c>
      <c r="AR203" s="515" t="s">
        <v>10</v>
      </c>
      <c r="AS203" s="95">
        <v>0</v>
      </c>
      <c r="AT203" s="75">
        <v>0</v>
      </c>
      <c r="AU203" s="75">
        <v>0</v>
      </c>
      <c r="AV203" s="75">
        <v>0</v>
      </c>
      <c r="AW203" s="123">
        <v>0</v>
      </c>
      <c r="AX203" s="516" t="s">
        <v>5213</v>
      </c>
      <c r="AY203" s="75">
        <v>1</v>
      </c>
      <c r="AZ203" s="77" t="s">
        <v>131</v>
      </c>
      <c r="BA203" s="78" t="s">
        <v>131</v>
      </c>
      <c r="BB203" s="78" t="s">
        <v>131</v>
      </c>
      <c r="BC203" s="78" t="s">
        <v>131</v>
      </c>
      <c r="BD203" s="78" t="s">
        <v>131</v>
      </c>
      <c r="BE203" s="78" t="s">
        <v>131</v>
      </c>
      <c r="BF203" s="78" t="s">
        <v>131</v>
      </c>
      <c r="BG203" s="78" t="s">
        <v>132</v>
      </c>
      <c r="BH203" s="75" t="s">
        <v>5970</v>
      </c>
      <c r="BI203" s="295" t="s">
        <v>2268</v>
      </c>
      <c r="BJ203" s="546">
        <v>1</v>
      </c>
      <c r="BK203" s="294" t="s">
        <v>16</v>
      </c>
      <c r="BL203" s="157" t="s">
        <v>16</v>
      </c>
      <c r="BM203" s="548" t="s">
        <v>1339</v>
      </c>
      <c r="BN203" s="548" t="s">
        <v>1339</v>
      </c>
      <c r="BO203" s="157" t="s">
        <v>4230</v>
      </c>
      <c r="BP203" s="548" t="s">
        <v>4231</v>
      </c>
      <c r="BQ203" s="157" t="s">
        <v>4229</v>
      </c>
      <c r="BR203" s="157"/>
    </row>
    <row r="204" spans="1:70" x14ac:dyDescent="0.25">
      <c r="A204" s="19" t="s">
        <v>3686</v>
      </c>
      <c r="B204" s="37" t="s">
        <v>5214</v>
      </c>
      <c r="C204" s="90">
        <v>45479.567881944444</v>
      </c>
      <c r="D204" s="114">
        <v>45479.317881944444</v>
      </c>
      <c r="E204" s="38">
        <v>45479</v>
      </c>
      <c r="F204" s="91">
        <v>2024</v>
      </c>
      <c r="G204" s="93">
        <v>7</v>
      </c>
      <c r="H204" s="37" t="s">
        <v>475</v>
      </c>
      <c r="I204" s="37"/>
      <c r="J204" s="103">
        <v>-92.270953277795243</v>
      </c>
      <c r="K204" s="40">
        <v>43.758333573281845</v>
      </c>
      <c r="L204" s="74"/>
      <c r="M204" s="272" t="s">
        <v>5215</v>
      </c>
      <c r="N204" s="74">
        <v>1</v>
      </c>
      <c r="O204" s="94"/>
      <c r="P204" s="118">
        <v>1</v>
      </c>
      <c r="Q204" s="510">
        <v>180</v>
      </c>
      <c r="R204" s="513">
        <v>180</v>
      </c>
      <c r="S204" s="41"/>
      <c r="T204" s="40"/>
      <c r="U204" s="40">
        <v>7.5</v>
      </c>
      <c r="V204" s="119">
        <v>1</v>
      </c>
      <c r="W204" s="40">
        <v>0</v>
      </c>
      <c r="X204" s="119">
        <v>1</v>
      </c>
      <c r="Y204" s="40">
        <v>61</v>
      </c>
      <c r="Z204" s="119">
        <v>1</v>
      </c>
      <c r="AA204" s="368">
        <v>0</v>
      </c>
      <c r="AB204" s="535">
        <v>5</v>
      </c>
      <c r="AC204" s="39" t="s">
        <v>160</v>
      </c>
      <c r="AD204" s="75" t="s">
        <v>8</v>
      </c>
      <c r="AE204" s="95">
        <v>0</v>
      </c>
      <c r="AF204" s="75">
        <v>1</v>
      </c>
      <c r="AG204" s="75">
        <v>0</v>
      </c>
      <c r="AH204" s="75">
        <v>0</v>
      </c>
      <c r="AI204" s="75">
        <v>0</v>
      </c>
      <c r="AJ204" s="75">
        <v>0</v>
      </c>
      <c r="AK204" s="75">
        <v>0</v>
      </c>
      <c r="AL204" s="95">
        <v>0</v>
      </c>
      <c r="AM204" s="92">
        <v>0</v>
      </c>
      <c r="AN204" s="79" t="s">
        <v>81</v>
      </c>
      <c r="AO204" s="75">
        <v>1</v>
      </c>
      <c r="AP204" s="75"/>
      <c r="AQ204" s="122">
        <v>0</v>
      </c>
      <c r="AR204" s="515" t="s">
        <v>10</v>
      </c>
      <c r="AS204" s="95">
        <v>0</v>
      </c>
      <c r="AT204" s="75">
        <v>0</v>
      </c>
      <c r="AU204" s="75">
        <v>0</v>
      </c>
      <c r="AV204" s="75">
        <v>0</v>
      </c>
      <c r="AW204" s="123">
        <v>0</v>
      </c>
      <c r="AX204" s="516" t="s">
        <v>5216</v>
      </c>
      <c r="AY204" s="75">
        <v>1</v>
      </c>
      <c r="AZ204" s="77" t="s">
        <v>131</v>
      </c>
      <c r="BA204" s="78" t="s">
        <v>132</v>
      </c>
      <c r="BB204" s="78" t="s">
        <v>131</v>
      </c>
      <c r="BC204" s="78" t="s">
        <v>131</v>
      </c>
      <c r="BD204" s="78" t="s">
        <v>131</v>
      </c>
      <c r="BE204" s="78" t="s">
        <v>131</v>
      </c>
      <c r="BF204" s="78" t="s">
        <v>131</v>
      </c>
      <c r="BG204" s="78" t="s">
        <v>131</v>
      </c>
      <c r="BH204" s="75" t="s">
        <v>5970</v>
      </c>
      <c r="BI204" s="295" t="s">
        <v>4228</v>
      </c>
      <c r="BJ204" s="546" t="s">
        <v>16</v>
      </c>
      <c r="BK204" s="294" t="s">
        <v>16</v>
      </c>
      <c r="BL204" s="157" t="s">
        <v>16</v>
      </c>
      <c r="BM204" s="548" t="s">
        <v>1339</v>
      </c>
      <c r="BN204" s="548" t="s">
        <v>1339</v>
      </c>
      <c r="BO204" s="157" t="s">
        <v>4329</v>
      </c>
      <c r="BP204" s="548" t="s">
        <v>4228</v>
      </c>
      <c r="BQ204" s="157" t="s">
        <v>4226</v>
      </c>
      <c r="BR204" s="157"/>
    </row>
    <row r="205" spans="1:70" x14ac:dyDescent="0.25">
      <c r="A205" s="19" t="s">
        <v>3686</v>
      </c>
      <c r="B205" s="37" t="s">
        <v>5217</v>
      </c>
      <c r="C205" s="90">
        <v>45479.554409722223</v>
      </c>
      <c r="D205" s="114">
        <v>45479.304409722223</v>
      </c>
      <c r="E205" s="38">
        <v>45479</v>
      </c>
      <c r="F205" s="91">
        <v>2024</v>
      </c>
      <c r="G205" s="93">
        <v>7</v>
      </c>
      <c r="H205" s="37" t="s">
        <v>475</v>
      </c>
      <c r="I205" s="37"/>
      <c r="J205" s="103">
        <v>-92.350871696201764</v>
      </c>
      <c r="K205" s="40">
        <v>43.776369731317416</v>
      </c>
      <c r="L205" s="74"/>
      <c r="M205" s="272" t="s">
        <v>5218</v>
      </c>
      <c r="N205" s="74">
        <v>1</v>
      </c>
      <c r="O205" s="94"/>
      <c r="P205" s="118">
        <v>0</v>
      </c>
      <c r="Q205" s="510"/>
      <c r="R205" s="513"/>
      <c r="S205" s="41"/>
      <c r="T205" s="40"/>
      <c r="U205" s="40"/>
      <c r="V205" s="119">
        <v>1</v>
      </c>
      <c r="W205" s="40">
        <v>0</v>
      </c>
      <c r="X205" s="119">
        <v>1</v>
      </c>
      <c r="Y205" s="40">
        <v>58</v>
      </c>
      <c r="Z205" s="119">
        <v>1</v>
      </c>
      <c r="AA205" s="368">
        <v>0</v>
      </c>
      <c r="AB205" s="535">
        <v>20</v>
      </c>
      <c r="AC205" s="39" t="s">
        <v>160</v>
      </c>
      <c r="AD205" s="75" t="s">
        <v>10</v>
      </c>
      <c r="AE205" s="95">
        <v>0</v>
      </c>
      <c r="AF205" s="75">
        <v>0</v>
      </c>
      <c r="AG205" s="75">
        <v>0</v>
      </c>
      <c r="AH205" s="75">
        <v>0</v>
      </c>
      <c r="AI205" s="75">
        <v>0</v>
      </c>
      <c r="AJ205" s="75">
        <v>0</v>
      </c>
      <c r="AK205" s="75">
        <v>0</v>
      </c>
      <c r="AL205" s="95">
        <v>1</v>
      </c>
      <c r="AM205" s="92">
        <v>0</v>
      </c>
      <c r="AN205" s="79" t="s">
        <v>81</v>
      </c>
      <c r="AO205" s="75">
        <v>1</v>
      </c>
      <c r="AP205" s="75" t="s">
        <v>85</v>
      </c>
      <c r="AQ205" s="122">
        <v>1</v>
      </c>
      <c r="AR205" s="515" t="s">
        <v>10</v>
      </c>
      <c r="AS205" s="95">
        <v>0</v>
      </c>
      <c r="AT205" s="75">
        <v>0</v>
      </c>
      <c r="AU205" s="75">
        <v>0</v>
      </c>
      <c r="AV205" s="75">
        <v>0</v>
      </c>
      <c r="AW205" s="123">
        <v>0</v>
      </c>
      <c r="AX205" s="516" t="s">
        <v>5219</v>
      </c>
      <c r="AY205" s="75">
        <v>1</v>
      </c>
      <c r="AZ205" s="77" t="s">
        <v>131</v>
      </c>
      <c r="BA205" s="78" t="s">
        <v>131</v>
      </c>
      <c r="BB205" s="78" t="s">
        <v>131</v>
      </c>
      <c r="BC205" s="78" t="s">
        <v>131</v>
      </c>
      <c r="BD205" s="78" t="s">
        <v>131</v>
      </c>
      <c r="BE205" s="78" t="s">
        <v>131</v>
      </c>
      <c r="BF205" s="78" t="s">
        <v>131</v>
      </c>
      <c r="BG205" s="78" t="s">
        <v>132</v>
      </c>
      <c r="BH205" s="75" t="s">
        <v>5970</v>
      </c>
      <c r="BI205" s="295" t="s">
        <v>2222</v>
      </c>
      <c r="BJ205" s="546">
        <v>1</v>
      </c>
      <c r="BK205" s="294" t="s">
        <v>16</v>
      </c>
      <c r="BL205" s="157" t="s">
        <v>16</v>
      </c>
      <c r="BM205" s="548" t="s">
        <v>1339</v>
      </c>
      <c r="BN205" s="548" t="s">
        <v>1339</v>
      </c>
      <c r="BO205" s="157" t="s">
        <v>4328</v>
      </c>
      <c r="BP205" s="548" t="s">
        <v>2222</v>
      </c>
      <c r="BQ205" s="157" t="s">
        <v>4226</v>
      </c>
      <c r="BR205" s="157"/>
    </row>
    <row r="206" spans="1:70" x14ac:dyDescent="0.25">
      <c r="A206" s="19" t="s">
        <v>3686</v>
      </c>
      <c r="B206" s="37" t="s">
        <v>5220</v>
      </c>
      <c r="C206" s="90">
        <v>45479.535798611112</v>
      </c>
      <c r="D206" s="114">
        <v>45479.285798611112</v>
      </c>
      <c r="E206" s="38">
        <v>45479</v>
      </c>
      <c r="F206" s="91">
        <v>2024</v>
      </c>
      <c r="G206" s="93">
        <v>7</v>
      </c>
      <c r="H206" s="37" t="s">
        <v>475</v>
      </c>
      <c r="I206" s="37"/>
      <c r="J206" s="103">
        <v>-92.251783218456481</v>
      </c>
      <c r="K206" s="40">
        <v>43.786500848004323</v>
      </c>
      <c r="L206" s="74"/>
      <c r="M206" s="272" t="s">
        <v>5221</v>
      </c>
      <c r="N206" s="74">
        <v>1</v>
      </c>
      <c r="O206" s="94"/>
      <c r="P206" s="118">
        <v>0</v>
      </c>
      <c r="Q206" s="510"/>
      <c r="R206" s="513"/>
      <c r="S206" s="41"/>
      <c r="T206" s="40"/>
      <c r="U206" s="40"/>
      <c r="V206" s="119">
        <v>0</v>
      </c>
      <c r="W206" s="40"/>
      <c r="X206" s="119">
        <v>1</v>
      </c>
      <c r="Y206" s="40">
        <v>52</v>
      </c>
      <c r="Z206" s="119">
        <v>1</v>
      </c>
      <c r="AA206" s="368">
        <v>0</v>
      </c>
      <c r="AB206" s="535">
        <v>5</v>
      </c>
      <c r="AC206" s="39" t="s">
        <v>160</v>
      </c>
      <c r="AD206" s="75" t="s">
        <v>10</v>
      </c>
      <c r="AE206" s="95">
        <v>0</v>
      </c>
      <c r="AF206" s="75">
        <v>0</v>
      </c>
      <c r="AG206" s="75">
        <v>0</v>
      </c>
      <c r="AH206" s="75">
        <v>0</v>
      </c>
      <c r="AI206" s="75">
        <v>0</v>
      </c>
      <c r="AJ206" s="75">
        <v>0</v>
      </c>
      <c r="AK206" s="75">
        <v>0</v>
      </c>
      <c r="AL206" s="95">
        <v>1</v>
      </c>
      <c r="AM206" s="92">
        <v>0</v>
      </c>
      <c r="AN206" s="79" t="s">
        <v>81</v>
      </c>
      <c r="AO206" s="75">
        <v>1</v>
      </c>
      <c r="AP206" s="75" t="s">
        <v>84</v>
      </c>
      <c r="AQ206" s="122">
        <v>1</v>
      </c>
      <c r="AR206" s="515" t="s">
        <v>10</v>
      </c>
      <c r="AS206" s="95">
        <v>0</v>
      </c>
      <c r="AT206" s="75">
        <v>0</v>
      </c>
      <c r="AU206" s="75">
        <v>0</v>
      </c>
      <c r="AV206" s="75">
        <v>0</v>
      </c>
      <c r="AW206" s="123">
        <v>0</v>
      </c>
      <c r="AX206" s="516" t="s">
        <v>5222</v>
      </c>
      <c r="AY206" s="75">
        <v>1</v>
      </c>
      <c r="AZ206" s="77" t="s">
        <v>131</v>
      </c>
      <c r="BA206" s="78" t="s">
        <v>131</v>
      </c>
      <c r="BB206" s="78" t="s">
        <v>131</v>
      </c>
      <c r="BC206" s="78" t="s">
        <v>131</v>
      </c>
      <c r="BD206" s="78" t="s">
        <v>131</v>
      </c>
      <c r="BE206" s="78" t="s">
        <v>131</v>
      </c>
      <c r="BF206" s="78" t="s">
        <v>131</v>
      </c>
      <c r="BG206" s="78" t="s">
        <v>132</v>
      </c>
      <c r="BH206" s="75" t="s">
        <v>5970</v>
      </c>
      <c r="BI206" s="295" t="s">
        <v>2251</v>
      </c>
      <c r="BJ206" s="546">
        <v>1</v>
      </c>
      <c r="BK206" s="294" t="s">
        <v>16</v>
      </c>
      <c r="BL206" s="157" t="s">
        <v>16</v>
      </c>
      <c r="BM206" s="548" t="s">
        <v>1339</v>
      </c>
      <c r="BN206" s="548" t="s">
        <v>1339</v>
      </c>
      <c r="BO206" s="157" t="s">
        <v>4329</v>
      </c>
      <c r="BP206" s="548" t="s">
        <v>4228</v>
      </c>
      <c r="BQ206" s="157" t="s">
        <v>4226</v>
      </c>
      <c r="BR206" s="157"/>
    </row>
    <row r="207" spans="1:70" x14ac:dyDescent="0.25">
      <c r="A207" s="19" t="s">
        <v>3686</v>
      </c>
      <c r="B207" s="37" t="s">
        <v>5223</v>
      </c>
      <c r="C207" s="90">
        <v>45479.517430555556</v>
      </c>
      <c r="D207" s="114">
        <v>45479.267430555556</v>
      </c>
      <c r="E207" s="38">
        <v>45479</v>
      </c>
      <c r="F207" s="91">
        <v>2024</v>
      </c>
      <c r="G207" s="93">
        <v>7</v>
      </c>
      <c r="H207" s="37" t="s">
        <v>475</v>
      </c>
      <c r="I207" s="37"/>
      <c r="J207" s="103">
        <v>-92.196004048334487</v>
      </c>
      <c r="K207" s="40">
        <v>43.811053382934013</v>
      </c>
      <c r="L207" s="74"/>
      <c r="M207" s="272" t="s">
        <v>5224</v>
      </c>
      <c r="N207" s="74">
        <v>1</v>
      </c>
      <c r="O207" s="94"/>
      <c r="P207" s="118">
        <v>1</v>
      </c>
      <c r="Q207" s="510">
        <v>80</v>
      </c>
      <c r="R207" s="513">
        <v>30</v>
      </c>
      <c r="S207" s="41"/>
      <c r="T207" s="40"/>
      <c r="U207" s="40">
        <v>7</v>
      </c>
      <c r="V207" s="119">
        <v>1</v>
      </c>
      <c r="W207" s="40">
        <v>0</v>
      </c>
      <c r="X207" s="119">
        <v>1</v>
      </c>
      <c r="Y207" s="40">
        <v>57</v>
      </c>
      <c r="Z207" s="119">
        <v>1</v>
      </c>
      <c r="AA207" s="368">
        <v>0</v>
      </c>
      <c r="AB207" s="535">
        <v>5</v>
      </c>
      <c r="AC207" s="39" t="s">
        <v>160</v>
      </c>
      <c r="AD207" s="75" t="s">
        <v>10</v>
      </c>
      <c r="AE207" s="95">
        <v>0</v>
      </c>
      <c r="AF207" s="75">
        <v>0</v>
      </c>
      <c r="AG207" s="75">
        <v>0</v>
      </c>
      <c r="AH207" s="75">
        <v>0</v>
      </c>
      <c r="AI207" s="75">
        <v>0</v>
      </c>
      <c r="AJ207" s="75">
        <v>0</v>
      </c>
      <c r="AK207" s="75">
        <v>0</v>
      </c>
      <c r="AL207" s="95">
        <v>1</v>
      </c>
      <c r="AM207" s="92">
        <v>0</v>
      </c>
      <c r="AN207" s="79" t="s">
        <v>81</v>
      </c>
      <c r="AO207" s="75">
        <v>1</v>
      </c>
      <c r="AP207" s="75" t="s">
        <v>85</v>
      </c>
      <c r="AQ207" s="122">
        <v>1</v>
      </c>
      <c r="AR207" s="515" t="s">
        <v>10</v>
      </c>
      <c r="AS207" s="95">
        <v>0</v>
      </c>
      <c r="AT207" s="75">
        <v>0</v>
      </c>
      <c r="AU207" s="75">
        <v>0</v>
      </c>
      <c r="AV207" s="75">
        <v>0</v>
      </c>
      <c r="AW207" s="123">
        <v>0</v>
      </c>
      <c r="AX207" s="516" t="s">
        <v>5225</v>
      </c>
      <c r="AY207" s="75">
        <v>1</v>
      </c>
      <c r="AZ207" s="77" t="s">
        <v>131</v>
      </c>
      <c r="BA207" s="78" t="s">
        <v>131</v>
      </c>
      <c r="BB207" s="78" t="s">
        <v>131</v>
      </c>
      <c r="BC207" s="78" t="s">
        <v>131</v>
      </c>
      <c r="BD207" s="78" t="s">
        <v>131</v>
      </c>
      <c r="BE207" s="78" t="s">
        <v>131</v>
      </c>
      <c r="BF207" s="78" t="s">
        <v>131</v>
      </c>
      <c r="BG207" s="78" t="s">
        <v>132</v>
      </c>
      <c r="BH207" s="75" t="s">
        <v>5970</v>
      </c>
      <c r="BI207" s="295" t="s">
        <v>2260</v>
      </c>
      <c r="BJ207" s="546">
        <v>1</v>
      </c>
      <c r="BK207" s="294" t="s">
        <v>16</v>
      </c>
      <c r="BL207" s="157" t="s">
        <v>16</v>
      </c>
      <c r="BM207" s="548" t="s">
        <v>1339</v>
      </c>
      <c r="BN207" s="548" t="s">
        <v>1339</v>
      </c>
      <c r="BO207" s="157" t="s">
        <v>4726</v>
      </c>
      <c r="BP207" s="548" t="s">
        <v>2260</v>
      </c>
      <c r="BQ207" s="157" t="s">
        <v>4226</v>
      </c>
      <c r="BR207" s="157"/>
    </row>
    <row r="208" spans="1:70" x14ac:dyDescent="0.25">
      <c r="A208" s="19" t="s">
        <v>3686</v>
      </c>
      <c r="B208" s="37" t="s">
        <v>5226</v>
      </c>
      <c r="C208" s="90">
        <v>45477.743935185186</v>
      </c>
      <c r="D208" s="114">
        <v>45477.493935185186</v>
      </c>
      <c r="E208" s="38">
        <v>45477</v>
      </c>
      <c r="F208" s="91">
        <v>2024</v>
      </c>
      <c r="G208" s="93">
        <v>7</v>
      </c>
      <c r="H208" s="37" t="s">
        <v>2457</v>
      </c>
      <c r="I208" s="37" t="s">
        <v>337</v>
      </c>
      <c r="J208" s="103">
        <v>-92.644976692258297</v>
      </c>
      <c r="K208" s="40">
        <v>44.843534265707639</v>
      </c>
      <c r="L208" s="74"/>
      <c r="M208" s="272" t="s">
        <v>5227</v>
      </c>
      <c r="N208" s="74">
        <v>1</v>
      </c>
      <c r="O208" s="94"/>
      <c r="P208" s="118">
        <v>1</v>
      </c>
      <c r="Q208" s="510">
        <v>80</v>
      </c>
      <c r="R208" s="513">
        <v>180</v>
      </c>
      <c r="S208" s="41"/>
      <c r="T208" s="40"/>
      <c r="U208" s="40">
        <v>7.5</v>
      </c>
      <c r="V208" s="119">
        <v>1</v>
      </c>
      <c r="W208" s="40">
        <v>100</v>
      </c>
      <c r="X208" s="119">
        <v>1</v>
      </c>
      <c r="Y208" s="40">
        <v>58</v>
      </c>
      <c r="Z208" s="119">
        <v>1</v>
      </c>
      <c r="AA208" s="368">
        <v>0</v>
      </c>
      <c r="AB208" s="535">
        <v>5</v>
      </c>
      <c r="AC208" s="39" t="s">
        <v>160</v>
      </c>
      <c r="AD208" s="75" t="s">
        <v>10</v>
      </c>
      <c r="AE208" s="95">
        <v>0</v>
      </c>
      <c r="AF208" s="75">
        <v>0</v>
      </c>
      <c r="AG208" s="75">
        <v>0</v>
      </c>
      <c r="AH208" s="75">
        <v>0</v>
      </c>
      <c r="AI208" s="75">
        <v>0</v>
      </c>
      <c r="AJ208" s="75">
        <v>0</v>
      </c>
      <c r="AK208" s="75">
        <v>0</v>
      </c>
      <c r="AL208" s="95">
        <v>1</v>
      </c>
      <c r="AM208" s="92">
        <v>0</v>
      </c>
      <c r="AN208" s="79" t="s">
        <v>195</v>
      </c>
      <c r="AO208" s="75">
        <v>1</v>
      </c>
      <c r="AP208" s="75" t="s">
        <v>83</v>
      </c>
      <c r="AQ208" s="122">
        <v>1</v>
      </c>
      <c r="AR208" s="515" t="s">
        <v>13</v>
      </c>
      <c r="AS208" s="95">
        <v>1</v>
      </c>
      <c r="AT208" s="75">
        <v>0</v>
      </c>
      <c r="AU208" s="75">
        <v>0</v>
      </c>
      <c r="AV208" s="75">
        <v>0</v>
      </c>
      <c r="AW208" s="123">
        <v>0</v>
      </c>
      <c r="AX208" s="516" t="s">
        <v>5228</v>
      </c>
      <c r="AY208" s="75">
        <v>1</v>
      </c>
      <c r="AZ208" s="77" t="s">
        <v>131</v>
      </c>
      <c r="BA208" s="78" t="s">
        <v>131</v>
      </c>
      <c r="BB208" s="78" t="s">
        <v>131</v>
      </c>
      <c r="BC208" s="78" t="s">
        <v>131</v>
      </c>
      <c r="BD208" s="78" t="s">
        <v>131</v>
      </c>
      <c r="BE208" s="78" t="s">
        <v>131</v>
      </c>
      <c r="BF208" s="78" t="s">
        <v>131</v>
      </c>
      <c r="BG208" s="78" t="s">
        <v>132</v>
      </c>
      <c r="BH208" s="75" t="s">
        <v>5970</v>
      </c>
      <c r="BI208" s="295" t="s">
        <v>2227</v>
      </c>
      <c r="BJ208" s="546">
        <v>1</v>
      </c>
      <c r="BK208" s="294" t="s">
        <v>16</v>
      </c>
      <c r="BL208" s="157" t="s">
        <v>16</v>
      </c>
      <c r="BM208" s="548" t="s">
        <v>578</v>
      </c>
      <c r="BN208" s="548" t="s">
        <v>578</v>
      </c>
      <c r="BO208" s="157" t="s">
        <v>4341</v>
      </c>
      <c r="BP208" s="548" t="s">
        <v>4343</v>
      </c>
      <c r="BQ208" s="157" t="s">
        <v>4309</v>
      </c>
      <c r="BR208" s="157"/>
    </row>
    <row r="209" spans="1:70" x14ac:dyDescent="0.25">
      <c r="A209" s="19" t="s">
        <v>3686</v>
      </c>
      <c r="B209" s="37" t="s">
        <v>5229</v>
      </c>
      <c r="C209" s="90">
        <v>45476.734155092592</v>
      </c>
      <c r="D209" s="114">
        <v>45476.484155092592</v>
      </c>
      <c r="E209" s="38">
        <v>45476</v>
      </c>
      <c r="F209" s="91">
        <v>2024</v>
      </c>
      <c r="G209" s="93">
        <v>7</v>
      </c>
      <c r="H209" s="37" t="s">
        <v>475</v>
      </c>
      <c r="I209" s="37"/>
      <c r="J209" s="103">
        <v>-92.806058479970957</v>
      </c>
      <c r="K209" s="40">
        <v>44.055263098151038</v>
      </c>
      <c r="L209" s="74"/>
      <c r="M209" s="272" t="s">
        <v>5230</v>
      </c>
      <c r="N209" s="74">
        <v>1</v>
      </c>
      <c r="O209" s="94"/>
      <c r="P209" s="118">
        <v>1</v>
      </c>
      <c r="Q209" s="510">
        <v>180</v>
      </c>
      <c r="R209" s="513">
        <v>120</v>
      </c>
      <c r="S209" s="41"/>
      <c r="T209" s="40"/>
      <c r="U209" s="40">
        <v>7</v>
      </c>
      <c r="V209" s="119">
        <v>1</v>
      </c>
      <c r="W209" s="40">
        <v>0</v>
      </c>
      <c r="X209" s="119">
        <v>1</v>
      </c>
      <c r="Y209" s="40">
        <v>64</v>
      </c>
      <c r="Z209" s="119">
        <v>1</v>
      </c>
      <c r="AA209" s="368">
        <v>0</v>
      </c>
      <c r="AB209" s="535">
        <v>10</v>
      </c>
      <c r="AC209" s="39" t="s">
        <v>160</v>
      </c>
      <c r="AD209" s="75" t="s">
        <v>355</v>
      </c>
      <c r="AE209" s="95">
        <v>0</v>
      </c>
      <c r="AF209" s="75">
        <v>0</v>
      </c>
      <c r="AG209" s="75">
        <v>0</v>
      </c>
      <c r="AH209" s="75">
        <v>1</v>
      </c>
      <c r="AI209" s="75">
        <v>0</v>
      </c>
      <c r="AJ209" s="75">
        <v>0</v>
      </c>
      <c r="AK209" s="75">
        <v>0</v>
      </c>
      <c r="AL209" s="95">
        <v>0</v>
      </c>
      <c r="AM209" s="92">
        <v>0</v>
      </c>
      <c r="AN209" s="79" t="s">
        <v>80</v>
      </c>
      <c r="AO209" s="75">
        <v>1</v>
      </c>
      <c r="AP209" s="75" t="s">
        <v>83</v>
      </c>
      <c r="AQ209" s="122">
        <v>1</v>
      </c>
      <c r="AR209" s="515" t="s">
        <v>10</v>
      </c>
      <c r="AS209" s="95">
        <v>0</v>
      </c>
      <c r="AT209" s="75">
        <v>0</v>
      </c>
      <c r="AU209" s="75">
        <v>0</v>
      </c>
      <c r="AV209" s="75">
        <v>0</v>
      </c>
      <c r="AW209" s="123">
        <v>0</v>
      </c>
      <c r="AX209" s="516" t="s">
        <v>5231</v>
      </c>
      <c r="AY209" s="75">
        <v>1</v>
      </c>
      <c r="AZ209" s="77" t="s">
        <v>131</v>
      </c>
      <c r="BA209" s="78" t="s">
        <v>131</v>
      </c>
      <c r="BB209" s="78" t="s">
        <v>131</v>
      </c>
      <c r="BC209" s="78" t="s">
        <v>132</v>
      </c>
      <c r="BD209" s="78" t="s">
        <v>131</v>
      </c>
      <c r="BE209" s="78" t="s">
        <v>131</v>
      </c>
      <c r="BF209" s="78" t="s">
        <v>131</v>
      </c>
      <c r="BG209" s="78" t="s">
        <v>131</v>
      </c>
      <c r="BH209" s="75" t="s">
        <v>5970</v>
      </c>
      <c r="BI209" s="295">
        <v>0</v>
      </c>
      <c r="BJ209" s="546" t="s">
        <v>16</v>
      </c>
      <c r="BK209" s="294" t="s">
        <v>16</v>
      </c>
      <c r="BL209" s="157" t="s">
        <v>16</v>
      </c>
      <c r="BM209" s="548" t="s">
        <v>1339</v>
      </c>
      <c r="BN209" s="548" t="s">
        <v>1339</v>
      </c>
      <c r="BO209" s="157" t="s">
        <v>5866</v>
      </c>
      <c r="BP209" s="548" t="s">
        <v>5867</v>
      </c>
      <c r="BQ209" s="157" t="s">
        <v>5821</v>
      </c>
      <c r="BR209" s="157"/>
    </row>
    <row r="210" spans="1:70" x14ac:dyDescent="0.25">
      <c r="A210" s="19" t="s">
        <v>3686</v>
      </c>
      <c r="B210" s="37" t="s">
        <v>5232</v>
      </c>
      <c r="C210" s="90">
        <v>45475.612905092596</v>
      </c>
      <c r="D210" s="114">
        <v>45475.362905092596</v>
      </c>
      <c r="E210" s="38">
        <v>45475</v>
      </c>
      <c r="F210" s="91">
        <v>2024</v>
      </c>
      <c r="G210" s="93">
        <v>7</v>
      </c>
      <c r="H210" s="37" t="s">
        <v>5006</v>
      </c>
      <c r="I210" s="37"/>
      <c r="J210" s="103">
        <v>-92.639009827858445</v>
      </c>
      <c r="K210" s="40">
        <v>44.850618018884518</v>
      </c>
      <c r="L210" s="74"/>
      <c r="M210" s="272" t="s">
        <v>5233</v>
      </c>
      <c r="N210" s="74">
        <v>1</v>
      </c>
      <c r="O210" s="94"/>
      <c r="P210" s="118">
        <v>1</v>
      </c>
      <c r="Q210" s="510">
        <v>80</v>
      </c>
      <c r="R210" s="513">
        <v>120</v>
      </c>
      <c r="S210" s="41"/>
      <c r="T210" s="40"/>
      <c r="U210" s="40">
        <v>7</v>
      </c>
      <c r="V210" s="119">
        <v>1</v>
      </c>
      <c r="W210" s="40">
        <v>0</v>
      </c>
      <c r="X210" s="119">
        <v>1</v>
      </c>
      <c r="Y210" s="40">
        <v>58</v>
      </c>
      <c r="Z210" s="119">
        <v>1</v>
      </c>
      <c r="AA210" s="368">
        <v>0</v>
      </c>
      <c r="AB210" s="535">
        <v>2</v>
      </c>
      <c r="AC210" s="39" t="s">
        <v>160</v>
      </c>
      <c r="AD210" s="75" t="s">
        <v>355</v>
      </c>
      <c r="AE210" s="95">
        <v>0</v>
      </c>
      <c r="AF210" s="75">
        <v>0</v>
      </c>
      <c r="AG210" s="75">
        <v>0</v>
      </c>
      <c r="AH210" s="75">
        <v>1</v>
      </c>
      <c r="AI210" s="75">
        <v>0</v>
      </c>
      <c r="AJ210" s="75">
        <v>0</v>
      </c>
      <c r="AK210" s="75">
        <v>0</v>
      </c>
      <c r="AL210" s="95">
        <v>0</v>
      </c>
      <c r="AM210" s="92">
        <v>0</v>
      </c>
      <c r="AN210" s="79" t="s">
        <v>80</v>
      </c>
      <c r="AO210" s="75">
        <v>1</v>
      </c>
      <c r="AP210" s="75" t="s">
        <v>83</v>
      </c>
      <c r="AQ210" s="122">
        <v>1</v>
      </c>
      <c r="AR210" s="515" t="s">
        <v>35</v>
      </c>
      <c r="AS210" s="95">
        <v>0</v>
      </c>
      <c r="AT210" s="75">
        <v>1</v>
      </c>
      <c r="AU210" s="75">
        <v>0</v>
      </c>
      <c r="AV210" s="75">
        <v>0</v>
      </c>
      <c r="AW210" s="123">
        <v>0</v>
      </c>
      <c r="AX210" s="516" t="s">
        <v>5234</v>
      </c>
      <c r="AY210" s="75">
        <v>1</v>
      </c>
      <c r="AZ210" s="77" t="s">
        <v>131</v>
      </c>
      <c r="BA210" s="78" t="s">
        <v>131</v>
      </c>
      <c r="BB210" s="78" t="s">
        <v>131</v>
      </c>
      <c r="BC210" s="78" t="s">
        <v>132</v>
      </c>
      <c r="BD210" s="78" t="s">
        <v>131</v>
      </c>
      <c r="BE210" s="78" t="s">
        <v>131</v>
      </c>
      <c r="BF210" s="78" t="s">
        <v>131</v>
      </c>
      <c r="BG210" s="78" t="s">
        <v>131</v>
      </c>
      <c r="BH210" s="75" t="s">
        <v>5970</v>
      </c>
      <c r="BI210" s="295" t="s">
        <v>2227</v>
      </c>
      <c r="BJ210" s="546">
        <v>1</v>
      </c>
      <c r="BK210" s="294">
        <v>1</v>
      </c>
      <c r="BL210" s="157">
        <v>1</v>
      </c>
      <c r="BM210" s="548" t="s">
        <v>578</v>
      </c>
      <c r="BN210" s="548" t="s">
        <v>5969</v>
      </c>
      <c r="BO210" s="157" t="s">
        <v>4341</v>
      </c>
      <c r="BP210" s="548" t="s">
        <v>4343</v>
      </c>
      <c r="BQ210" s="157" t="s">
        <v>4309</v>
      </c>
      <c r="BR210" s="157"/>
    </row>
    <row r="211" spans="1:70" x14ac:dyDescent="0.25">
      <c r="A211" s="19" t="s">
        <v>3686</v>
      </c>
      <c r="B211" s="37" t="s">
        <v>5235</v>
      </c>
      <c r="C211" s="90">
        <v>45474.710219907407</v>
      </c>
      <c r="D211" s="114">
        <v>45474.460219907407</v>
      </c>
      <c r="E211" s="38">
        <v>45474</v>
      </c>
      <c r="F211" s="91">
        <v>2024</v>
      </c>
      <c r="G211" s="93">
        <v>7</v>
      </c>
      <c r="H211" s="37" t="s">
        <v>475</v>
      </c>
      <c r="I211" s="37"/>
      <c r="J211" s="103">
        <v>-92.650049201916204</v>
      </c>
      <c r="K211" s="40">
        <v>44.075203235638817</v>
      </c>
      <c r="L211" s="74"/>
      <c r="M211" s="272" t="s">
        <v>16</v>
      </c>
      <c r="N211" s="74">
        <v>0</v>
      </c>
      <c r="O211" s="94"/>
      <c r="P211" s="118">
        <v>0</v>
      </c>
      <c r="Q211" s="510"/>
      <c r="R211" s="513"/>
      <c r="S211" s="41"/>
      <c r="T211" s="40"/>
      <c r="U211" s="40"/>
      <c r="V211" s="119">
        <v>0</v>
      </c>
      <c r="W211" s="40"/>
      <c r="X211" s="119">
        <v>1</v>
      </c>
      <c r="Y211" s="40">
        <v>57</v>
      </c>
      <c r="Z211" s="119">
        <v>1</v>
      </c>
      <c r="AA211" s="368">
        <v>0</v>
      </c>
      <c r="AB211" s="535">
        <v>5</v>
      </c>
      <c r="AC211" s="39" t="s">
        <v>160</v>
      </c>
      <c r="AD211" s="75" t="s">
        <v>16</v>
      </c>
      <c r="AE211" s="95">
        <v>-1</v>
      </c>
      <c r="AF211" s="75">
        <v>-1</v>
      </c>
      <c r="AG211" s="75">
        <v>-1</v>
      </c>
      <c r="AH211" s="75">
        <v>-1</v>
      </c>
      <c r="AI211" s="75">
        <v>-1</v>
      </c>
      <c r="AJ211" s="75">
        <v>-1</v>
      </c>
      <c r="AK211" s="75">
        <v>-1</v>
      </c>
      <c r="AL211" s="95">
        <v>-1</v>
      </c>
      <c r="AM211" s="92">
        <v>1</v>
      </c>
      <c r="AN211" s="79"/>
      <c r="AO211" s="75">
        <v>0</v>
      </c>
      <c r="AP211" s="75"/>
      <c r="AQ211" s="122">
        <v>0</v>
      </c>
      <c r="AR211" s="515" t="s">
        <v>16</v>
      </c>
      <c r="AS211" s="95">
        <v>-1</v>
      </c>
      <c r="AT211" s="75">
        <v>-1</v>
      </c>
      <c r="AU211" s="75">
        <v>-1</v>
      </c>
      <c r="AV211" s="75">
        <v>-1</v>
      </c>
      <c r="AW211" s="123">
        <v>1</v>
      </c>
      <c r="AX211" s="516"/>
      <c r="AY211" s="75">
        <v>0</v>
      </c>
      <c r="AZ211" s="77" t="s">
        <v>5971</v>
      </c>
      <c r="BA211" s="78" t="s">
        <v>5971</v>
      </c>
      <c r="BB211" s="78" t="s">
        <v>5971</v>
      </c>
      <c r="BC211" s="78" t="s">
        <v>5971</v>
      </c>
      <c r="BD211" s="78" t="s">
        <v>5971</v>
      </c>
      <c r="BE211" s="78" t="s">
        <v>5971</v>
      </c>
      <c r="BF211" s="78" t="s">
        <v>5971</v>
      </c>
      <c r="BG211" s="78" t="s">
        <v>5971</v>
      </c>
      <c r="BH211" s="75" t="s">
        <v>5971</v>
      </c>
      <c r="BI211" s="295" t="s">
        <v>5823</v>
      </c>
      <c r="BJ211" s="546" t="s">
        <v>16</v>
      </c>
      <c r="BK211" s="294" t="s">
        <v>16</v>
      </c>
      <c r="BL211" s="157" t="s">
        <v>16</v>
      </c>
      <c r="BM211" s="548" t="s">
        <v>1339</v>
      </c>
      <c r="BN211" s="548" t="s">
        <v>1339</v>
      </c>
      <c r="BO211" s="157" t="s">
        <v>5822</v>
      </c>
      <c r="BP211" s="548" t="s">
        <v>5823</v>
      </c>
      <c r="BQ211" s="157" t="s">
        <v>5821</v>
      </c>
      <c r="BR211" s="157"/>
    </row>
    <row r="212" spans="1:70" x14ac:dyDescent="0.25">
      <c r="A212" s="19" t="s">
        <v>3686</v>
      </c>
      <c r="B212" s="37" t="s">
        <v>5236</v>
      </c>
      <c r="C212" s="90">
        <v>45474.707094907404</v>
      </c>
      <c r="D212" s="114">
        <v>45474.457094907404</v>
      </c>
      <c r="E212" s="38">
        <v>45474</v>
      </c>
      <c r="F212" s="91">
        <v>2024</v>
      </c>
      <c r="G212" s="93">
        <v>7</v>
      </c>
      <c r="H212" s="37" t="s">
        <v>5006</v>
      </c>
      <c r="I212" s="37"/>
      <c r="J212" s="103">
        <v>-92.641794941656485</v>
      </c>
      <c r="K212" s="40">
        <v>44.849852716991194</v>
      </c>
      <c r="L212" s="74"/>
      <c r="M212" s="272" t="s">
        <v>5237</v>
      </c>
      <c r="N212" s="74">
        <v>1</v>
      </c>
      <c r="O212" s="94"/>
      <c r="P212" s="118">
        <v>1</v>
      </c>
      <c r="Q212" s="510">
        <v>120</v>
      </c>
      <c r="R212" s="513">
        <v>120</v>
      </c>
      <c r="S212" s="41"/>
      <c r="T212" s="40"/>
      <c r="U212" s="40">
        <v>7.5</v>
      </c>
      <c r="V212" s="119">
        <v>1</v>
      </c>
      <c r="W212" s="40">
        <v>0</v>
      </c>
      <c r="X212" s="119">
        <v>1</v>
      </c>
      <c r="Y212" s="40">
        <v>60</v>
      </c>
      <c r="Z212" s="119">
        <v>1</v>
      </c>
      <c r="AA212" s="368">
        <v>0</v>
      </c>
      <c r="AB212" s="535">
        <v>5</v>
      </c>
      <c r="AC212" s="39" t="s">
        <v>160</v>
      </c>
      <c r="AD212" s="75" t="s">
        <v>10</v>
      </c>
      <c r="AE212" s="95">
        <v>0</v>
      </c>
      <c r="AF212" s="75">
        <v>0</v>
      </c>
      <c r="AG212" s="75">
        <v>0</v>
      </c>
      <c r="AH212" s="75">
        <v>0</v>
      </c>
      <c r="AI212" s="75">
        <v>0</v>
      </c>
      <c r="AJ212" s="75">
        <v>0</v>
      </c>
      <c r="AK212" s="75">
        <v>0</v>
      </c>
      <c r="AL212" s="95">
        <v>1</v>
      </c>
      <c r="AM212" s="92">
        <v>0</v>
      </c>
      <c r="AN212" s="79" t="s">
        <v>80</v>
      </c>
      <c r="AO212" s="75">
        <v>1</v>
      </c>
      <c r="AP212" s="75" t="s">
        <v>83</v>
      </c>
      <c r="AQ212" s="122">
        <v>1</v>
      </c>
      <c r="AR212" s="515" t="s">
        <v>10</v>
      </c>
      <c r="AS212" s="95">
        <v>0</v>
      </c>
      <c r="AT212" s="75">
        <v>0</v>
      </c>
      <c r="AU212" s="75">
        <v>0</v>
      </c>
      <c r="AV212" s="75">
        <v>0</v>
      </c>
      <c r="AW212" s="123">
        <v>0</v>
      </c>
      <c r="AX212" s="516" t="s">
        <v>5238</v>
      </c>
      <c r="AY212" s="75">
        <v>1</v>
      </c>
      <c r="AZ212" s="77" t="s">
        <v>131</v>
      </c>
      <c r="BA212" s="78" t="s">
        <v>131</v>
      </c>
      <c r="BB212" s="78" t="s">
        <v>131</v>
      </c>
      <c r="BC212" s="78" t="s">
        <v>131</v>
      </c>
      <c r="BD212" s="78" t="s">
        <v>131</v>
      </c>
      <c r="BE212" s="78" t="s">
        <v>131</v>
      </c>
      <c r="BF212" s="78" t="s">
        <v>131</v>
      </c>
      <c r="BG212" s="78" t="s">
        <v>132</v>
      </c>
      <c r="BH212" s="75" t="s">
        <v>5970</v>
      </c>
      <c r="BI212" s="295" t="s">
        <v>2227</v>
      </c>
      <c r="BJ212" s="546">
        <v>1</v>
      </c>
      <c r="BK212" s="294">
        <v>1</v>
      </c>
      <c r="BL212" s="157">
        <v>1</v>
      </c>
      <c r="BM212" s="548" t="s">
        <v>578</v>
      </c>
      <c r="BN212" s="548" t="s">
        <v>5969</v>
      </c>
      <c r="BO212" s="157" t="s">
        <v>4341</v>
      </c>
      <c r="BP212" s="548" t="s">
        <v>4343</v>
      </c>
      <c r="BQ212" s="157" t="s">
        <v>4309</v>
      </c>
      <c r="BR212" s="157"/>
    </row>
    <row r="213" spans="1:70" x14ac:dyDescent="0.25">
      <c r="A213" s="19" t="s">
        <v>3686</v>
      </c>
      <c r="B213" s="37" t="s">
        <v>5239</v>
      </c>
      <c r="C213" s="90">
        <v>45474.691377314812</v>
      </c>
      <c r="D213" s="114">
        <v>45474.441377314812</v>
      </c>
      <c r="E213" s="38">
        <v>45474</v>
      </c>
      <c r="F213" s="91">
        <v>2024</v>
      </c>
      <c r="G213" s="93">
        <v>7</v>
      </c>
      <c r="H213" s="37" t="s">
        <v>5006</v>
      </c>
      <c r="I213" s="37"/>
      <c r="J213" s="103">
        <v>-92.643969335521305</v>
      </c>
      <c r="K213" s="40">
        <v>44.84434918926538</v>
      </c>
      <c r="L213" s="74"/>
      <c r="M213" s="272" t="s">
        <v>5240</v>
      </c>
      <c r="N213" s="74">
        <v>1</v>
      </c>
      <c r="O213" s="94"/>
      <c r="P213" s="118">
        <v>1</v>
      </c>
      <c r="Q213" s="510">
        <v>120</v>
      </c>
      <c r="R213" s="513">
        <v>120</v>
      </c>
      <c r="S213" s="41"/>
      <c r="T213" s="40"/>
      <c r="U213" s="40">
        <v>7</v>
      </c>
      <c r="V213" s="119">
        <v>1</v>
      </c>
      <c r="W213" s="40">
        <v>0</v>
      </c>
      <c r="X213" s="119">
        <v>1</v>
      </c>
      <c r="Y213" s="40">
        <v>60</v>
      </c>
      <c r="Z213" s="119">
        <v>1</v>
      </c>
      <c r="AA213" s="368">
        <v>0</v>
      </c>
      <c r="AB213" s="535">
        <v>2</v>
      </c>
      <c r="AC213" s="39" t="s">
        <v>160</v>
      </c>
      <c r="AD213" s="75" t="s">
        <v>10</v>
      </c>
      <c r="AE213" s="95">
        <v>0</v>
      </c>
      <c r="AF213" s="75">
        <v>0</v>
      </c>
      <c r="AG213" s="75">
        <v>0</v>
      </c>
      <c r="AH213" s="75">
        <v>0</v>
      </c>
      <c r="AI213" s="75">
        <v>0</v>
      </c>
      <c r="AJ213" s="75">
        <v>0</v>
      </c>
      <c r="AK213" s="75">
        <v>0</v>
      </c>
      <c r="AL213" s="95">
        <v>1</v>
      </c>
      <c r="AM213" s="92">
        <v>0</v>
      </c>
      <c r="AN213" s="79" t="s">
        <v>80</v>
      </c>
      <c r="AO213" s="75">
        <v>1</v>
      </c>
      <c r="AP213" s="75" t="s">
        <v>83</v>
      </c>
      <c r="AQ213" s="122">
        <v>1</v>
      </c>
      <c r="AR213" s="515" t="s">
        <v>10</v>
      </c>
      <c r="AS213" s="95">
        <v>0</v>
      </c>
      <c r="AT213" s="75">
        <v>0</v>
      </c>
      <c r="AU213" s="75">
        <v>0</v>
      </c>
      <c r="AV213" s="75">
        <v>0</v>
      </c>
      <c r="AW213" s="123">
        <v>0</v>
      </c>
      <c r="AX213" s="516" t="s">
        <v>5241</v>
      </c>
      <c r="AY213" s="75">
        <v>1</v>
      </c>
      <c r="AZ213" s="77" t="s">
        <v>131</v>
      </c>
      <c r="BA213" s="78" t="s">
        <v>131</v>
      </c>
      <c r="BB213" s="78" t="s">
        <v>131</v>
      </c>
      <c r="BC213" s="78" t="s">
        <v>131</v>
      </c>
      <c r="BD213" s="78" t="s">
        <v>131</v>
      </c>
      <c r="BE213" s="78" t="s">
        <v>131</v>
      </c>
      <c r="BF213" s="78" t="s">
        <v>131</v>
      </c>
      <c r="BG213" s="78" t="s">
        <v>132</v>
      </c>
      <c r="BH213" s="75" t="s">
        <v>5970</v>
      </c>
      <c r="BI213" s="295" t="s">
        <v>16</v>
      </c>
      <c r="BJ213" s="546">
        <v>1</v>
      </c>
      <c r="BK213" s="294">
        <v>1</v>
      </c>
      <c r="BL213" s="157">
        <v>1</v>
      </c>
      <c r="BM213" s="548" t="s">
        <v>578</v>
      </c>
      <c r="BN213" s="548" t="s">
        <v>5969</v>
      </c>
      <c r="BO213" s="157" t="s">
        <v>4341</v>
      </c>
      <c r="BP213" s="548" t="s">
        <v>4343</v>
      </c>
      <c r="BQ213" s="157" t="s">
        <v>4309</v>
      </c>
      <c r="BR213" s="157"/>
    </row>
    <row r="214" spans="1:70" x14ac:dyDescent="0.25">
      <c r="A214" s="19" t="s">
        <v>3686</v>
      </c>
      <c r="B214" s="37" t="s">
        <v>5242</v>
      </c>
      <c r="C214" s="90">
        <v>45474.656053240738</v>
      </c>
      <c r="D214" s="114">
        <v>45474.406053240738</v>
      </c>
      <c r="E214" s="38">
        <v>45474</v>
      </c>
      <c r="F214" s="91">
        <v>2024</v>
      </c>
      <c r="G214" s="93">
        <v>7</v>
      </c>
      <c r="H214" s="37" t="s">
        <v>5006</v>
      </c>
      <c r="I214" s="37" t="s">
        <v>16</v>
      </c>
      <c r="J214" s="103">
        <v>-92.637059141002155</v>
      </c>
      <c r="K214" s="40">
        <v>44.854383340992257</v>
      </c>
      <c r="L214" s="74"/>
      <c r="M214" s="272" t="s">
        <v>5243</v>
      </c>
      <c r="N214" s="74">
        <v>1</v>
      </c>
      <c r="O214" s="94"/>
      <c r="P214" s="118">
        <v>1</v>
      </c>
      <c r="Q214" s="510">
        <v>80</v>
      </c>
      <c r="R214" s="513">
        <v>120</v>
      </c>
      <c r="S214" s="41"/>
      <c r="T214" s="40"/>
      <c r="U214" s="40">
        <v>7.5</v>
      </c>
      <c r="V214" s="119">
        <v>1</v>
      </c>
      <c r="W214" s="40">
        <v>0</v>
      </c>
      <c r="X214" s="119">
        <v>1</v>
      </c>
      <c r="Y214" s="40">
        <v>58</v>
      </c>
      <c r="Z214" s="119">
        <v>1</v>
      </c>
      <c r="AA214" s="368">
        <v>0</v>
      </c>
      <c r="AB214" s="535">
        <v>2</v>
      </c>
      <c r="AC214" s="39" t="s">
        <v>160</v>
      </c>
      <c r="AD214" s="75" t="s">
        <v>10</v>
      </c>
      <c r="AE214" s="95">
        <v>0</v>
      </c>
      <c r="AF214" s="75">
        <v>0</v>
      </c>
      <c r="AG214" s="75">
        <v>0</v>
      </c>
      <c r="AH214" s="75">
        <v>0</v>
      </c>
      <c r="AI214" s="75">
        <v>0</v>
      </c>
      <c r="AJ214" s="75">
        <v>0</v>
      </c>
      <c r="AK214" s="75">
        <v>0</v>
      </c>
      <c r="AL214" s="95">
        <v>1</v>
      </c>
      <c r="AM214" s="92">
        <v>0</v>
      </c>
      <c r="AN214" s="79" t="s">
        <v>81</v>
      </c>
      <c r="AO214" s="75">
        <v>1</v>
      </c>
      <c r="AP214" s="75" t="s">
        <v>83</v>
      </c>
      <c r="AQ214" s="122">
        <v>1</v>
      </c>
      <c r="AR214" s="515" t="s">
        <v>10</v>
      </c>
      <c r="AS214" s="95">
        <v>0</v>
      </c>
      <c r="AT214" s="75">
        <v>0</v>
      </c>
      <c r="AU214" s="75">
        <v>0</v>
      </c>
      <c r="AV214" s="75">
        <v>0</v>
      </c>
      <c r="AW214" s="123">
        <v>0</v>
      </c>
      <c r="AX214" s="516" t="s">
        <v>5244</v>
      </c>
      <c r="AY214" s="75">
        <v>1</v>
      </c>
      <c r="AZ214" s="77" t="s">
        <v>131</v>
      </c>
      <c r="BA214" s="78" t="s">
        <v>131</v>
      </c>
      <c r="BB214" s="78" t="s">
        <v>131</v>
      </c>
      <c r="BC214" s="78" t="s">
        <v>131</v>
      </c>
      <c r="BD214" s="78" t="s">
        <v>131</v>
      </c>
      <c r="BE214" s="78" t="s">
        <v>131</v>
      </c>
      <c r="BF214" s="78" t="s">
        <v>131</v>
      </c>
      <c r="BG214" s="78" t="s">
        <v>132</v>
      </c>
      <c r="BH214" s="75" t="s">
        <v>5970</v>
      </c>
      <c r="BI214" s="295" t="s">
        <v>2227</v>
      </c>
      <c r="BJ214" s="546">
        <v>1</v>
      </c>
      <c r="BK214" s="294">
        <v>1</v>
      </c>
      <c r="BL214" s="157">
        <v>1</v>
      </c>
      <c r="BM214" s="548" t="s">
        <v>578</v>
      </c>
      <c r="BN214" s="548" t="s">
        <v>5969</v>
      </c>
      <c r="BO214" s="157" t="s">
        <v>4341</v>
      </c>
      <c r="BP214" s="548" t="s">
        <v>4343</v>
      </c>
      <c r="BQ214" s="157" t="s">
        <v>4309</v>
      </c>
      <c r="BR214" s="157"/>
    </row>
    <row r="215" spans="1:70" x14ac:dyDescent="0.25">
      <c r="A215" s="19" t="s">
        <v>3686</v>
      </c>
      <c r="B215" s="37" t="s">
        <v>5245</v>
      </c>
      <c r="C215" s="90">
        <v>45474.628298611111</v>
      </c>
      <c r="D215" s="114">
        <v>45474.378298611111</v>
      </c>
      <c r="E215" s="38">
        <v>45474</v>
      </c>
      <c r="F215" s="91">
        <v>2024</v>
      </c>
      <c r="G215" s="93">
        <v>7</v>
      </c>
      <c r="H215" s="37" t="s">
        <v>5006</v>
      </c>
      <c r="I215" s="37" t="s">
        <v>16</v>
      </c>
      <c r="J215" s="103">
        <v>-92.631894388595882</v>
      </c>
      <c r="K215" s="40">
        <v>44.855533890977448</v>
      </c>
      <c r="L215" s="74"/>
      <c r="M215" s="272" t="s">
        <v>5246</v>
      </c>
      <c r="N215" s="74">
        <v>1</v>
      </c>
      <c r="O215" s="94"/>
      <c r="P215" s="118">
        <v>1</v>
      </c>
      <c r="Q215" s="510">
        <v>80</v>
      </c>
      <c r="R215" s="513">
        <v>120</v>
      </c>
      <c r="S215" s="41"/>
      <c r="T215" s="40"/>
      <c r="U215" s="40">
        <v>7</v>
      </c>
      <c r="V215" s="119">
        <v>1</v>
      </c>
      <c r="W215" s="40">
        <v>100</v>
      </c>
      <c r="X215" s="119">
        <v>1</v>
      </c>
      <c r="Y215" s="40">
        <v>58</v>
      </c>
      <c r="Z215" s="119">
        <v>1</v>
      </c>
      <c r="AA215" s="368">
        <v>0</v>
      </c>
      <c r="AB215" s="535">
        <v>2</v>
      </c>
      <c r="AC215" s="39" t="s">
        <v>160</v>
      </c>
      <c r="AD215" s="75" t="s">
        <v>10</v>
      </c>
      <c r="AE215" s="95">
        <v>0</v>
      </c>
      <c r="AF215" s="75">
        <v>0</v>
      </c>
      <c r="AG215" s="75">
        <v>0</v>
      </c>
      <c r="AH215" s="75">
        <v>0</v>
      </c>
      <c r="AI215" s="75">
        <v>0</v>
      </c>
      <c r="AJ215" s="75">
        <v>0</v>
      </c>
      <c r="AK215" s="75">
        <v>0</v>
      </c>
      <c r="AL215" s="95">
        <v>1</v>
      </c>
      <c r="AM215" s="92">
        <v>0</v>
      </c>
      <c r="AN215" s="79" t="s">
        <v>80</v>
      </c>
      <c r="AO215" s="75">
        <v>1</v>
      </c>
      <c r="AP215" s="75" t="s">
        <v>83</v>
      </c>
      <c r="AQ215" s="122">
        <v>1</v>
      </c>
      <c r="AR215" s="515" t="s">
        <v>10</v>
      </c>
      <c r="AS215" s="95">
        <v>0</v>
      </c>
      <c r="AT215" s="75">
        <v>0</v>
      </c>
      <c r="AU215" s="75">
        <v>0</v>
      </c>
      <c r="AV215" s="75">
        <v>0</v>
      </c>
      <c r="AW215" s="123">
        <v>0</v>
      </c>
      <c r="AX215" s="516" t="s">
        <v>5247</v>
      </c>
      <c r="AY215" s="75">
        <v>1</v>
      </c>
      <c r="AZ215" s="77" t="s">
        <v>131</v>
      </c>
      <c r="BA215" s="78" t="s">
        <v>131</v>
      </c>
      <c r="BB215" s="78" t="s">
        <v>131</v>
      </c>
      <c r="BC215" s="78" t="s">
        <v>131</v>
      </c>
      <c r="BD215" s="78" t="s">
        <v>131</v>
      </c>
      <c r="BE215" s="78" t="s">
        <v>131</v>
      </c>
      <c r="BF215" s="78" t="s">
        <v>131</v>
      </c>
      <c r="BG215" s="78" t="s">
        <v>132</v>
      </c>
      <c r="BH215" s="75" t="s">
        <v>5970</v>
      </c>
      <c r="BI215" s="295" t="s">
        <v>2227</v>
      </c>
      <c r="BJ215" s="546">
        <v>1</v>
      </c>
      <c r="BK215" s="294">
        <v>1</v>
      </c>
      <c r="BL215" s="157">
        <v>1</v>
      </c>
      <c r="BM215" s="548" t="s">
        <v>578</v>
      </c>
      <c r="BN215" s="548" t="s">
        <v>5969</v>
      </c>
      <c r="BO215" s="157" t="s">
        <v>4311</v>
      </c>
      <c r="BP215" s="548" t="s">
        <v>4395</v>
      </c>
      <c r="BQ215" s="157" t="s">
        <v>4309</v>
      </c>
      <c r="BR215" s="157"/>
    </row>
    <row r="216" spans="1:70" x14ac:dyDescent="0.25">
      <c r="A216" s="19" t="s">
        <v>3686</v>
      </c>
      <c r="B216" s="37" t="s">
        <v>5248</v>
      </c>
      <c r="C216" s="90">
        <v>45474.619826388887</v>
      </c>
      <c r="D216" s="114">
        <v>45474.369826388887</v>
      </c>
      <c r="E216" s="38">
        <v>45474</v>
      </c>
      <c r="F216" s="91">
        <v>2024</v>
      </c>
      <c r="G216" s="93">
        <v>7</v>
      </c>
      <c r="H216" s="37" t="s">
        <v>2548</v>
      </c>
      <c r="I216" s="37"/>
      <c r="J216" s="103">
        <v>-91.440046595099034</v>
      </c>
      <c r="K216" s="40">
        <v>44.40627406174778</v>
      </c>
      <c r="L216" s="74"/>
      <c r="M216" s="272" t="s">
        <v>5249</v>
      </c>
      <c r="N216" s="74">
        <v>1</v>
      </c>
      <c r="O216" s="94"/>
      <c r="P216" s="118">
        <v>1</v>
      </c>
      <c r="Q216" s="510">
        <v>80</v>
      </c>
      <c r="R216" s="513">
        <v>120</v>
      </c>
      <c r="S216" s="41"/>
      <c r="T216" s="40"/>
      <c r="U216" s="40">
        <v>7</v>
      </c>
      <c r="V216" s="119">
        <v>1</v>
      </c>
      <c r="W216" s="40">
        <v>100</v>
      </c>
      <c r="X216" s="119">
        <v>1</v>
      </c>
      <c r="Y216" s="40">
        <v>55</v>
      </c>
      <c r="Z216" s="119">
        <v>1</v>
      </c>
      <c r="AA216" s="368">
        <v>0</v>
      </c>
      <c r="AB216" s="535">
        <v>0</v>
      </c>
      <c r="AC216" s="39" t="s">
        <v>160</v>
      </c>
      <c r="AD216" s="75" t="s">
        <v>10</v>
      </c>
      <c r="AE216" s="95">
        <v>0</v>
      </c>
      <c r="AF216" s="75">
        <v>0</v>
      </c>
      <c r="AG216" s="75">
        <v>0</v>
      </c>
      <c r="AH216" s="75">
        <v>0</v>
      </c>
      <c r="AI216" s="75">
        <v>0</v>
      </c>
      <c r="AJ216" s="75">
        <v>0</v>
      </c>
      <c r="AK216" s="75">
        <v>0</v>
      </c>
      <c r="AL216" s="95">
        <v>1</v>
      </c>
      <c r="AM216" s="92">
        <v>0</v>
      </c>
      <c r="AN216" s="79" t="s">
        <v>80</v>
      </c>
      <c r="AO216" s="75">
        <v>1</v>
      </c>
      <c r="AP216" s="75" t="s">
        <v>85</v>
      </c>
      <c r="AQ216" s="122">
        <v>1</v>
      </c>
      <c r="AR216" s="515" t="s">
        <v>13</v>
      </c>
      <c r="AS216" s="95">
        <v>1</v>
      </c>
      <c r="AT216" s="75">
        <v>0</v>
      </c>
      <c r="AU216" s="75">
        <v>0</v>
      </c>
      <c r="AV216" s="75">
        <v>0</v>
      </c>
      <c r="AW216" s="123">
        <v>0</v>
      </c>
      <c r="AX216" s="516"/>
      <c r="AY216" s="75">
        <v>0</v>
      </c>
      <c r="AZ216" s="77" t="s">
        <v>131</v>
      </c>
      <c r="BA216" s="78" t="s">
        <v>131</v>
      </c>
      <c r="BB216" s="78" t="s">
        <v>131</v>
      </c>
      <c r="BC216" s="78" t="s">
        <v>131</v>
      </c>
      <c r="BD216" s="78" t="s">
        <v>131</v>
      </c>
      <c r="BE216" s="78" t="s">
        <v>131</v>
      </c>
      <c r="BF216" s="78" t="s">
        <v>131</v>
      </c>
      <c r="BG216" s="78" t="s">
        <v>132</v>
      </c>
      <c r="BH216" s="75" t="s">
        <v>5970</v>
      </c>
      <c r="BI216" s="295" t="s">
        <v>3982</v>
      </c>
      <c r="BJ216" s="546">
        <v>1</v>
      </c>
      <c r="BK216" s="294">
        <v>1</v>
      </c>
      <c r="BL216" s="157">
        <v>1</v>
      </c>
      <c r="BM216" s="548" t="s">
        <v>1340</v>
      </c>
      <c r="BN216" s="548" t="s">
        <v>4158</v>
      </c>
      <c r="BO216" s="157" t="s">
        <v>4486</v>
      </c>
      <c r="BP216" s="548" t="s">
        <v>3982</v>
      </c>
      <c r="BQ216" s="157" t="s">
        <v>4485</v>
      </c>
      <c r="BR216" s="157"/>
    </row>
    <row r="217" spans="1:70" x14ac:dyDescent="0.25">
      <c r="A217" s="19" t="s">
        <v>3686</v>
      </c>
      <c r="B217" s="37" t="s">
        <v>5250</v>
      </c>
      <c r="C217" s="90">
        <v>45474.609976851854</v>
      </c>
      <c r="D217" s="114">
        <v>45474.359976851854</v>
      </c>
      <c r="E217" s="38">
        <v>45474</v>
      </c>
      <c r="F217" s="91">
        <v>2024</v>
      </c>
      <c r="G217" s="93">
        <v>7</v>
      </c>
      <c r="H217" s="37" t="s">
        <v>2548</v>
      </c>
      <c r="I217" s="37"/>
      <c r="J217" s="103">
        <v>-91.42222831072138</v>
      </c>
      <c r="K217" s="40">
        <v>44.406508737568814</v>
      </c>
      <c r="L217" s="74"/>
      <c r="M217" s="272" t="s">
        <v>5251</v>
      </c>
      <c r="N217" s="74">
        <v>1</v>
      </c>
      <c r="O217" s="94"/>
      <c r="P217" s="118">
        <v>1</v>
      </c>
      <c r="Q217" s="510">
        <v>120</v>
      </c>
      <c r="R217" s="513">
        <v>120</v>
      </c>
      <c r="S217" s="41"/>
      <c r="T217" s="40"/>
      <c r="U217" s="40">
        <v>6.5</v>
      </c>
      <c r="V217" s="119">
        <v>1</v>
      </c>
      <c r="W217" s="40">
        <v>200</v>
      </c>
      <c r="X217" s="119">
        <v>1</v>
      </c>
      <c r="Y217" s="40">
        <v>55</v>
      </c>
      <c r="Z217" s="119">
        <v>1</v>
      </c>
      <c r="AA217" s="368">
        <v>0</v>
      </c>
      <c r="AB217" s="535">
        <v>2</v>
      </c>
      <c r="AC217" s="39" t="s">
        <v>160</v>
      </c>
      <c r="AD217" s="75" t="s">
        <v>10</v>
      </c>
      <c r="AE217" s="95">
        <v>0</v>
      </c>
      <c r="AF217" s="75">
        <v>0</v>
      </c>
      <c r="AG217" s="75">
        <v>0</v>
      </c>
      <c r="AH217" s="75">
        <v>0</v>
      </c>
      <c r="AI217" s="75">
        <v>0</v>
      </c>
      <c r="AJ217" s="75">
        <v>0</v>
      </c>
      <c r="AK217" s="75">
        <v>0</v>
      </c>
      <c r="AL217" s="95">
        <v>1</v>
      </c>
      <c r="AM217" s="92">
        <v>0</v>
      </c>
      <c r="AN217" s="79" t="s">
        <v>80</v>
      </c>
      <c r="AO217" s="75">
        <v>1</v>
      </c>
      <c r="AP217" s="75" t="s">
        <v>85</v>
      </c>
      <c r="AQ217" s="122">
        <v>1</v>
      </c>
      <c r="AR217" s="515" t="s">
        <v>13</v>
      </c>
      <c r="AS217" s="95">
        <v>1</v>
      </c>
      <c r="AT217" s="75">
        <v>0</v>
      </c>
      <c r="AU217" s="75">
        <v>0</v>
      </c>
      <c r="AV217" s="75">
        <v>0</v>
      </c>
      <c r="AW217" s="123">
        <v>0</v>
      </c>
      <c r="AX217" s="516"/>
      <c r="AY217" s="75">
        <v>0</v>
      </c>
      <c r="AZ217" s="77" t="s">
        <v>131</v>
      </c>
      <c r="BA217" s="78" t="s">
        <v>131</v>
      </c>
      <c r="BB217" s="78" t="s">
        <v>131</v>
      </c>
      <c r="BC217" s="78" t="s">
        <v>131</v>
      </c>
      <c r="BD217" s="78" t="s">
        <v>131</v>
      </c>
      <c r="BE217" s="78" t="s">
        <v>131</v>
      </c>
      <c r="BF217" s="78" t="s">
        <v>131</v>
      </c>
      <c r="BG217" s="78" t="s">
        <v>132</v>
      </c>
      <c r="BH217" s="75" t="s">
        <v>5970</v>
      </c>
      <c r="BI217" s="295" t="s">
        <v>2246</v>
      </c>
      <c r="BJ217" s="546">
        <v>1</v>
      </c>
      <c r="BK217" s="294" t="s">
        <v>16</v>
      </c>
      <c r="BL217" s="157" t="s">
        <v>16</v>
      </c>
      <c r="BM217" s="548" t="s">
        <v>1340</v>
      </c>
      <c r="BN217" s="548" t="s">
        <v>4158</v>
      </c>
      <c r="BO217" s="157" t="s">
        <v>4489</v>
      </c>
      <c r="BP217" s="548" t="s">
        <v>4490</v>
      </c>
      <c r="BQ217" s="157" t="s">
        <v>4485</v>
      </c>
      <c r="BR217" s="157"/>
    </row>
    <row r="218" spans="1:70" x14ac:dyDescent="0.25">
      <c r="A218" s="19" t="s">
        <v>3686</v>
      </c>
      <c r="B218" s="37" t="s">
        <v>5252</v>
      </c>
      <c r="C218" s="90">
        <v>45474.607268518521</v>
      </c>
      <c r="D218" s="114">
        <v>45474.357268518521</v>
      </c>
      <c r="E218" s="38">
        <v>45474</v>
      </c>
      <c r="F218" s="91">
        <v>2024</v>
      </c>
      <c r="G218" s="93">
        <v>7</v>
      </c>
      <c r="H218" s="37" t="s">
        <v>5006</v>
      </c>
      <c r="I218" s="37"/>
      <c r="J218" s="103">
        <v>-92.624231171191198</v>
      </c>
      <c r="K218" s="40">
        <v>44.864125419427054</v>
      </c>
      <c r="L218" s="74"/>
      <c r="M218" s="272" t="s">
        <v>5253</v>
      </c>
      <c r="N218" s="74">
        <v>1</v>
      </c>
      <c r="O218" s="94"/>
      <c r="P218" s="118">
        <v>1</v>
      </c>
      <c r="Q218" s="510">
        <v>120</v>
      </c>
      <c r="R218" s="513">
        <v>120</v>
      </c>
      <c r="S218" s="41"/>
      <c r="T218" s="40"/>
      <c r="U218" s="40">
        <v>7</v>
      </c>
      <c r="V218" s="119">
        <v>1</v>
      </c>
      <c r="W218" s="40">
        <v>100</v>
      </c>
      <c r="X218" s="119">
        <v>1</v>
      </c>
      <c r="Y218" s="40">
        <v>56</v>
      </c>
      <c r="Z218" s="119">
        <v>1</v>
      </c>
      <c r="AA218" s="368">
        <v>0</v>
      </c>
      <c r="AB218" s="535">
        <v>2</v>
      </c>
      <c r="AC218" s="39" t="s">
        <v>160</v>
      </c>
      <c r="AD218" s="75" t="s">
        <v>10</v>
      </c>
      <c r="AE218" s="95">
        <v>0</v>
      </c>
      <c r="AF218" s="75">
        <v>0</v>
      </c>
      <c r="AG218" s="75">
        <v>0</v>
      </c>
      <c r="AH218" s="75">
        <v>0</v>
      </c>
      <c r="AI218" s="75">
        <v>0</v>
      </c>
      <c r="AJ218" s="75">
        <v>0</v>
      </c>
      <c r="AK218" s="75">
        <v>0</v>
      </c>
      <c r="AL218" s="95">
        <v>1</v>
      </c>
      <c r="AM218" s="92">
        <v>0</v>
      </c>
      <c r="AN218" s="79" t="s">
        <v>80</v>
      </c>
      <c r="AO218" s="75">
        <v>1</v>
      </c>
      <c r="AP218" s="75" t="s">
        <v>83</v>
      </c>
      <c r="AQ218" s="122">
        <v>1</v>
      </c>
      <c r="AR218" s="515" t="s">
        <v>10</v>
      </c>
      <c r="AS218" s="95">
        <v>0</v>
      </c>
      <c r="AT218" s="75">
        <v>0</v>
      </c>
      <c r="AU218" s="75">
        <v>0</v>
      </c>
      <c r="AV218" s="75">
        <v>0</v>
      </c>
      <c r="AW218" s="123">
        <v>0</v>
      </c>
      <c r="AX218" s="516" t="s">
        <v>5254</v>
      </c>
      <c r="AY218" s="75">
        <v>1</v>
      </c>
      <c r="AZ218" s="77" t="s">
        <v>131</v>
      </c>
      <c r="BA218" s="78" t="s">
        <v>131</v>
      </c>
      <c r="BB218" s="78" t="s">
        <v>131</v>
      </c>
      <c r="BC218" s="78" t="s">
        <v>131</v>
      </c>
      <c r="BD218" s="78" t="s">
        <v>131</v>
      </c>
      <c r="BE218" s="78" t="s">
        <v>131</v>
      </c>
      <c r="BF218" s="78" t="s">
        <v>131</v>
      </c>
      <c r="BG218" s="78" t="s">
        <v>132</v>
      </c>
      <c r="BH218" s="75" t="s">
        <v>5970</v>
      </c>
      <c r="BI218" s="295" t="s">
        <v>2227</v>
      </c>
      <c r="BJ218" s="546">
        <v>1</v>
      </c>
      <c r="BK218" s="294" t="s">
        <v>16</v>
      </c>
      <c r="BL218" s="157" t="s">
        <v>16</v>
      </c>
      <c r="BM218" s="548" t="s">
        <v>578</v>
      </c>
      <c r="BN218" s="548" t="s">
        <v>5969</v>
      </c>
      <c r="BO218" s="157" t="s">
        <v>4311</v>
      </c>
      <c r="BP218" s="548" t="s">
        <v>4395</v>
      </c>
      <c r="BQ218" s="157" t="s">
        <v>4309</v>
      </c>
      <c r="BR218" s="157"/>
    </row>
    <row r="219" spans="1:70" x14ac:dyDescent="0.25">
      <c r="A219" s="19" t="s">
        <v>3686</v>
      </c>
      <c r="B219" s="37" t="s">
        <v>5255</v>
      </c>
      <c r="C219" s="90">
        <v>45474.591851851852</v>
      </c>
      <c r="D219" s="114">
        <v>45474.341851851852</v>
      </c>
      <c r="E219" s="38">
        <v>45474</v>
      </c>
      <c r="F219" s="91">
        <v>2024</v>
      </c>
      <c r="G219" s="93">
        <v>7</v>
      </c>
      <c r="H219" s="37" t="s">
        <v>5006</v>
      </c>
      <c r="I219" s="37" t="s">
        <v>16</v>
      </c>
      <c r="J219" s="103">
        <v>-92.621379364368167</v>
      </c>
      <c r="K219" s="40">
        <v>44.875129130710732</v>
      </c>
      <c r="L219" s="74"/>
      <c r="M219" s="272" t="s">
        <v>5256</v>
      </c>
      <c r="N219" s="74">
        <v>1</v>
      </c>
      <c r="O219" s="94"/>
      <c r="P219" s="118">
        <v>1</v>
      </c>
      <c r="Q219" s="510">
        <v>80</v>
      </c>
      <c r="R219" s="513">
        <v>120</v>
      </c>
      <c r="S219" s="41"/>
      <c r="T219" s="40"/>
      <c r="U219" s="40">
        <v>7</v>
      </c>
      <c r="V219" s="119">
        <v>1</v>
      </c>
      <c r="W219" s="40">
        <v>100</v>
      </c>
      <c r="X219" s="119">
        <v>1</v>
      </c>
      <c r="Y219" s="40">
        <v>56</v>
      </c>
      <c r="Z219" s="119">
        <v>1</v>
      </c>
      <c r="AA219" s="368">
        <v>0</v>
      </c>
      <c r="AB219" s="535">
        <v>2</v>
      </c>
      <c r="AC219" s="39" t="s">
        <v>160</v>
      </c>
      <c r="AD219" s="75" t="s">
        <v>10</v>
      </c>
      <c r="AE219" s="95">
        <v>0</v>
      </c>
      <c r="AF219" s="75">
        <v>0</v>
      </c>
      <c r="AG219" s="75">
        <v>0</v>
      </c>
      <c r="AH219" s="75">
        <v>0</v>
      </c>
      <c r="AI219" s="75">
        <v>0</v>
      </c>
      <c r="AJ219" s="75">
        <v>0</v>
      </c>
      <c r="AK219" s="75">
        <v>0</v>
      </c>
      <c r="AL219" s="95">
        <v>1</v>
      </c>
      <c r="AM219" s="92">
        <v>0</v>
      </c>
      <c r="AN219" s="79" t="s">
        <v>80</v>
      </c>
      <c r="AO219" s="75">
        <v>1</v>
      </c>
      <c r="AP219" s="75" t="s">
        <v>83</v>
      </c>
      <c r="AQ219" s="122">
        <v>1</v>
      </c>
      <c r="AR219" s="515" t="s">
        <v>10</v>
      </c>
      <c r="AS219" s="95">
        <v>0</v>
      </c>
      <c r="AT219" s="75">
        <v>0</v>
      </c>
      <c r="AU219" s="75">
        <v>0</v>
      </c>
      <c r="AV219" s="75">
        <v>0</v>
      </c>
      <c r="AW219" s="123">
        <v>0</v>
      </c>
      <c r="AX219" s="516" t="s">
        <v>5257</v>
      </c>
      <c r="AY219" s="75">
        <v>1</v>
      </c>
      <c r="AZ219" s="77" t="s">
        <v>131</v>
      </c>
      <c r="BA219" s="78" t="s">
        <v>131</v>
      </c>
      <c r="BB219" s="78" t="s">
        <v>131</v>
      </c>
      <c r="BC219" s="78" t="s">
        <v>131</v>
      </c>
      <c r="BD219" s="78" t="s">
        <v>131</v>
      </c>
      <c r="BE219" s="78" t="s">
        <v>131</v>
      </c>
      <c r="BF219" s="78" t="s">
        <v>131</v>
      </c>
      <c r="BG219" s="78" t="s">
        <v>132</v>
      </c>
      <c r="BH219" s="75" t="s">
        <v>5970</v>
      </c>
      <c r="BI219" s="295" t="s">
        <v>2227</v>
      </c>
      <c r="BJ219" s="546">
        <v>1</v>
      </c>
      <c r="BK219" s="294" t="s">
        <v>16</v>
      </c>
      <c r="BL219" s="157" t="s">
        <v>16</v>
      </c>
      <c r="BM219" s="548" t="s">
        <v>578</v>
      </c>
      <c r="BN219" s="548" t="s">
        <v>5969</v>
      </c>
      <c r="BO219" s="157" t="s">
        <v>4311</v>
      </c>
      <c r="BP219" s="548" t="s">
        <v>4395</v>
      </c>
      <c r="BQ219" s="157" t="s">
        <v>4309</v>
      </c>
      <c r="BR219" s="157"/>
    </row>
    <row r="220" spans="1:70" x14ac:dyDescent="0.25">
      <c r="A220" s="19" t="s">
        <v>3686</v>
      </c>
      <c r="B220" s="37" t="s">
        <v>5258</v>
      </c>
      <c r="C220" s="90">
        <v>45473.838055555556</v>
      </c>
      <c r="D220" s="114">
        <v>45473.588055555556</v>
      </c>
      <c r="E220" s="38">
        <v>45473</v>
      </c>
      <c r="F220" s="91">
        <v>2024</v>
      </c>
      <c r="G220" s="93">
        <v>6</v>
      </c>
      <c r="H220" s="37" t="s">
        <v>2446</v>
      </c>
      <c r="I220" s="37"/>
      <c r="J220" s="103">
        <v>-91.634705667618064</v>
      </c>
      <c r="K220" s="40">
        <v>44.346444833588322</v>
      </c>
      <c r="L220" s="74"/>
      <c r="M220" s="272" t="s">
        <v>5259</v>
      </c>
      <c r="N220" s="74">
        <v>1</v>
      </c>
      <c r="O220" s="94"/>
      <c r="P220" s="118">
        <v>1</v>
      </c>
      <c r="Q220" s="510">
        <v>180</v>
      </c>
      <c r="R220" s="513">
        <v>120</v>
      </c>
      <c r="S220" s="41"/>
      <c r="T220" s="40"/>
      <c r="U220" s="40">
        <v>7.5</v>
      </c>
      <c r="V220" s="119">
        <v>1</v>
      </c>
      <c r="W220" s="40">
        <v>0</v>
      </c>
      <c r="X220" s="119">
        <v>1</v>
      </c>
      <c r="Y220" s="40">
        <v>64</v>
      </c>
      <c r="Z220" s="119">
        <v>1</v>
      </c>
      <c r="AA220" s="368">
        <v>0</v>
      </c>
      <c r="AB220" s="535">
        <v>2</v>
      </c>
      <c r="AC220" s="39" t="s">
        <v>160</v>
      </c>
      <c r="AD220" s="75" t="s">
        <v>10</v>
      </c>
      <c r="AE220" s="95">
        <v>0</v>
      </c>
      <c r="AF220" s="75">
        <v>0</v>
      </c>
      <c r="AG220" s="75">
        <v>0</v>
      </c>
      <c r="AH220" s="75">
        <v>0</v>
      </c>
      <c r="AI220" s="75">
        <v>0</v>
      </c>
      <c r="AJ220" s="75">
        <v>0</v>
      </c>
      <c r="AK220" s="75">
        <v>0</v>
      </c>
      <c r="AL220" s="95">
        <v>1</v>
      </c>
      <c r="AM220" s="92">
        <v>0</v>
      </c>
      <c r="AN220" s="79" t="s">
        <v>80</v>
      </c>
      <c r="AO220" s="75">
        <v>1</v>
      </c>
      <c r="AP220" s="75" t="s">
        <v>83</v>
      </c>
      <c r="AQ220" s="122">
        <v>1</v>
      </c>
      <c r="AR220" s="515" t="s">
        <v>10</v>
      </c>
      <c r="AS220" s="95">
        <v>0</v>
      </c>
      <c r="AT220" s="75">
        <v>0</v>
      </c>
      <c r="AU220" s="75">
        <v>0</v>
      </c>
      <c r="AV220" s="75">
        <v>0</v>
      </c>
      <c r="AW220" s="123">
        <v>0</v>
      </c>
      <c r="AX220" s="516" t="s">
        <v>5260</v>
      </c>
      <c r="AY220" s="75">
        <v>1</v>
      </c>
      <c r="AZ220" s="77" t="s">
        <v>131</v>
      </c>
      <c r="BA220" s="78" t="s">
        <v>131</v>
      </c>
      <c r="BB220" s="78" t="s">
        <v>131</v>
      </c>
      <c r="BC220" s="78" t="s">
        <v>131</v>
      </c>
      <c r="BD220" s="78" t="s">
        <v>131</v>
      </c>
      <c r="BE220" s="78" t="s">
        <v>131</v>
      </c>
      <c r="BF220" s="78" t="s">
        <v>131</v>
      </c>
      <c r="BG220" s="78" t="s">
        <v>132</v>
      </c>
      <c r="BH220" s="75" t="s">
        <v>5970</v>
      </c>
      <c r="BI220" s="295">
        <v>0</v>
      </c>
      <c r="BJ220" s="546" t="s">
        <v>16</v>
      </c>
      <c r="BK220" s="294">
        <v>1</v>
      </c>
      <c r="BL220" s="157">
        <v>1</v>
      </c>
      <c r="BM220" s="548" t="s">
        <v>1340</v>
      </c>
      <c r="BN220" s="548" t="s">
        <v>4158</v>
      </c>
      <c r="BO220" s="157" t="s">
        <v>5868</v>
      </c>
      <c r="BP220" s="548" t="s">
        <v>5869</v>
      </c>
      <c r="BQ220" s="157" t="s">
        <v>4765</v>
      </c>
      <c r="BR220" s="157"/>
    </row>
    <row r="221" spans="1:70" x14ac:dyDescent="0.25">
      <c r="A221" s="19" t="s">
        <v>3686</v>
      </c>
      <c r="B221" s="37" t="s">
        <v>5261</v>
      </c>
      <c r="C221" s="90">
        <v>45473.650891203702</v>
      </c>
      <c r="D221" s="114">
        <v>45473.400891203702</v>
      </c>
      <c r="E221" s="38">
        <v>45473</v>
      </c>
      <c r="F221" s="91">
        <v>2024</v>
      </c>
      <c r="G221" s="93">
        <v>6</v>
      </c>
      <c r="H221" s="37" t="s">
        <v>2548</v>
      </c>
      <c r="I221" s="37"/>
      <c r="J221" s="103">
        <v>-91.498147289812238</v>
      </c>
      <c r="K221" s="40">
        <v>44.380915026491706</v>
      </c>
      <c r="L221" s="74"/>
      <c r="M221" s="272" t="s">
        <v>5262</v>
      </c>
      <c r="N221" s="74">
        <v>1</v>
      </c>
      <c r="O221" s="94"/>
      <c r="P221" s="118">
        <v>1</v>
      </c>
      <c r="Q221" s="510">
        <v>180</v>
      </c>
      <c r="R221" s="513">
        <v>60</v>
      </c>
      <c r="S221" s="41"/>
      <c r="T221" s="40"/>
      <c r="U221" s="40">
        <v>7.5</v>
      </c>
      <c r="V221" s="119">
        <v>1</v>
      </c>
      <c r="W221" s="40">
        <v>0</v>
      </c>
      <c r="X221" s="119">
        <v>1</v>
      </c>
      <c r="Y221" s="40">
        <v>55</v>
      </c>
      <c r="Z221" s="119">
        <v>1</v>
      </c>
      <c r="AA221" s="368">
        <v>0</v>
      </c>
      <c r="AB221" s="535">
        <v>2</v>
      </c>
      <c r="AC221" s="39" t="s">
        <v>160</v>
      </c>
      <c r="AD221" s="75" t="s">
        <v>10</v>
      </c>
      <c r="AE221" s="95">
        <v>0</v>
      </c>
      <c r="AF221" s="75">
        <v>0</v>
      </c>
      <c r="AG221" s="75">
        <v>0</v>
      </c>
      <c r="AH221" s="75">
        <v>0</v>
      </c>
      <c r="AI221" s="75">
        <v>0</v>
      </c>
      <c r="AJ221" s="75">
        <v>0</v>
      </c>
      <c r="AK221" s="75">
        <v>0</v>
      </c>
      <c r="AL221" s="95">
        <v>1</v>
      </c>
      <c r="AM221" s="92">
        <v>0</v>
      </c>
      <c r="AN221" s="79" t="s">
        <v>80</v>
      </c>
      <c r="AO221" s="75">
        <v>1</v>
      </c>
      <c r="AP221" s="75" t="s">
        <v>83</v>
      </c>
      <c r="AQ221" s="122">
        <v>1</v>
      </c>
      <c r="AR221" s="515" t="s">
        <v>13</v>
      </c>
      <c r="AS221" s="95">
        <v>1</v>
      </c>
      <c r="AT221" s="75">
        <v>0</v>
      </c>
      <c r="AU221" s="75">
        <v>0</v>
      </c>
      <c r="AV221" s="75">
        <v>0</v>
      </c>
      <c r="AW221" s="123">
        <v>0</v>
      </c>
      <c r="AX221" s="516"/>
      <c r="AY221" s="75">
        <v>0</v>
      </c>
      <c r="AZ221" s="77" t="s">
        <v>131</v>
      </c>
      <c r="BA221" s="78" t="s">
        <v>131</v>
      </c>
      <c r="BB221" s="78" t="s">
        <v>131</v>
      </c>
      <c r="BC221" s="78" t="s">
        <v>131</v>
      </c>
      <c r="BD221" s="78" t="s">
        <v>131</v>
      </c>
      <c r="BE221" s="78" t="s">
        <v>131</v>
      </c>
      <c r="BF221" s="78" t="s">
        <v>131</v>
      </c>
      <c r="BG221" s="78" t="s">
        <v>132</v>
      </c>
      <c r="BH221" s="75" t="s">
        <v>5970</v>
      </c>
      <c r="BI221" s="295" t="s">
        <v>2307</v>
      </c>
      <c r="BJ221" s="546" t="s">
        <v>16</v>
      </c>
      <c r="BK221" s="294" t="s">
        <v>16</v>
      </c>
      <c r="BL221" s="157" t="s">
        <v>16</v>
      </c>
      <c r="BM221" s="548" t="s">
        <v>1340</v>
      </c>
      <c r="BN221" s="548" t="s">
        <v>4158</v>
      </c>
      <c r="BO221" s="157" t="s">
        <v>4771</v>
      </c>
      <c r="BP221" s="548" t="s">
        <v>2306</v>
      </c>
      <c r="BQ221" s="157" t="s">
        <v>4472</v>
      </c>
      <c r="BR221" s="157"/>
    </row>
    <row r="222" spans="1:70" x14ac:dyDescent="0.25">
      <c r="A222" s="19" t="s">
        <v>3686</v>
      </c>
      <c r="B222" s="37" t="s">
        <v>5263</v>
      </c>
      <c r="C222" s="90">
        <v>45471.789444444446</v>
      </c>
      <c r="D222" s="114">
        <v>45471.539444444446</v>
      </c>
      <c r="E222" s="38">
        <v>45471</v>
      </c>
      <c r="F222" s="91">
        <v>2024</v>
      </c>
      <c r="G222" s="93">
        <v>6</v>
      </c>
      <c r="H222" s="37" t="s">
        <v>599</v>
      </c>
      <c r="I222" s="37" t="s">
        <v>2361</v>
      </c>
      <c r="J222" s="103">
        <v>-92.442937273861702</v>
      </c>
      <c r="K222" s="40">
        <v>44.621478419882955</v>
      </c>
      <c r="L222" s="74"/>
      <c r="M222" s="272" t="s">
        <v>16</v>
      </c>
      <c r="N222" s="74">
        <v>0</v>
      </c>
      <c r="O222" s="94"/>
      <c r="P222" s="118">
        <v>1</v>
      </c>
      <c r="Q222" s="510">
        <v>180</v>
      </c>
      <c r="R222" s="513">
        <v>180</v>
      </c>
      <c r="S222" s="41"/>
      <c r="T222" s="40"/>
      <c r="U222" s="40">
        <v>8</v>
      </c>
      <c r="V222" s="119">
        <v>1</v>
      </c>
      <c r="W222" s="40">
        <v>100</v>
      </c>
      <c r="X222" s="119">
        <v>1</v>
      </c>
      <c r="Y222" s="40">
        <v>56</v>
      </c>
      <c r="Z222" s="119">
        <v>1</v>
      </c>
      <c r="AA222" s="368">
        <v>0</v>
      </c>
      <c r="AB222" s="535">
        <v>5</v>
      </c>
      <c r="AC222" s="39" t="s">
        <v>160</v>
      </c>
      <c r="AD222" s="75" t="s">
        <v>8</v>
      </c>
      <c r="AE222" s="95">
        <v>0</v>
      </c>
      <c r="AF222" s="75">
        <v>1</v>
      </c>
      <c r="AG222" s="75">
        <v>0</v>
      </c>
      <c r="AH222" s="75">
        <v>0</v>
      </c>
      <c r="AI222" s="75">
        <v>0</v>
      </c>
      <c r="AJ222" s="75">
        <v>0</v>
      </c>
      <c r="AK222" s="75">
        <v>0</v>
      </c>
      <c r="AL222" s="95">
        <v>0</v>
      </c>
      <c r="AM222" s="92">
        <v>0</v>
      </c>
      <c r="AN222" s="79" t="s">
        <v>81</v>
      </c>
      <c r="AO222" s="75">
        <v>1</v>
      </c>
      <c r="AP222" s="75" t="s">
        <v>85</v>
      </c>
      <c r="AQ222" s="122">
        <v>1</v>
      </c>
      <c r="AR222" s="515" t="s">
        <v>13</v>
      </c>
      <c r="AS222" s="95">
        <v>1</v>
      </c>
      <c r="AT222" s="75">
        <v>0</v>
      </c>
      <c r="AU222" s="75">
        <v>0</v>
      </c>
      <c r="AV222" s="75">
        <v>0</v>
      </c>
      <c r="AW222" s="123">
        <v>0</v>
      </c>
      <c r="AX222" s="516"/>
      <c r="AY222" s="75">
        <v>0</v>
      </c>
      <c r="AZ222" s="77" t="s">
        <v>131</v>
      </c>
      <c r="BA222" s="78" t="s">
        <v>132</v>
      </c>
      <c r="BB222" s="78" t="s">
        <v>131</v>
      </c>
      <c r="BC222" s="78" t="s">
        <v>131</v>
      </c>
      <c r="BD222" s="78" t="s">
        <v>131</v>
      </c>
      <c r="BE222" s="78" t="s">
        <v>131</v>
      </c>
      <c r="BF222" s="78" t="s">
        <v>131</v>
      </c>
      <c r="BG222" s="78" t="s">
        <v>131</v>
      </c>
      <c r="BH222" s="75" t="s">
        <v>5970</v>
      </c>
      <c r="BI222" s="295" t="s">
        <v>2289</v>
      </c>
      <c r="BJ222" s="546">
        <v>1</v>
      </c>
      <c r="BK222" s="294" t="s">
        <v>16</v>
      </c>
      <c r="BL222" s="157" t="s">
        <v>16</v>
      </c>
      <c r="BM222" s="548" t="s">
        <v>578</v>
      </c>
      <c r="BN222" s="548" t="s">
        <v>544</v>
      </c>
      <c r="BO222" s="157" t="s">
        <v>4283</v>
      </c>
      <c r="BP222" s="548" t="s">
        <v>2289</v>
      </c>
      <c r="BQ222" s="157" t="s">
        <v>4214</v>
      </c>
      <c r="BR222" s="157"/>
    </row>
    <row r="223" spans="1:70" x14ac:dyDescent="0.25">
      <c r="A223" s="19" t="s">
        <v>3686</v>
      </c>
      <c r="B223" s="37" t="s">
        <v>5264</v>
      </c>
      <c r="C223" s="90">
        <v>45470.858287037037</v>
      </c>
      <c r="D223" s="114">
        <v>45470.608287037037</v>
      </c>
      <c r="E223" s="38">
        <v>45470</v>
      </c>
      <c r="F223" s="91">
        <v>2024</v>
      </c>
      <c r="G223" s="93">
        <v>6</v>
      </c>
      <c r="H223" s="37" t="s">
        <v>5006</v>
      </c>
      <c r="I223" s="37"/>
      <c r="J223" s="103">
        <v>-92.572283100000007</v>
      </c>
      <c r="K223" s="40">
        <v>44.718397999999993</v>
      </c>
      <c r="L223" s="74"/>
      <c r="M223" s="272" t="s">
        <v>16</v>
      </c>
      <c r="N223" s="74">
        <v>0</v>
      </c>
      <c r="O223" s="94"/>
      <c r="P223" s="118">
        <v>0</v>
      </c>
      <c r="Q223" s="510"/>
      <c r="R223" s="513"/>
      <c r="S223" s="41"/>
      <c r="T223" s="40"/>
      <c r="U223" s="40"/>
      <c r="V223" s="119">
        <v>0</v>
      </c>
      <c r="W223" s="40"/>
      <c r="X223" s="119">
        <v>1</v>
      </c>
      <c r="Y223" s="40">
        <v>60</v>
      </c>
      <c r="Z223" s="119">
        <v>0</v>
      </c>
      <c r="AA223" s="368" t="s">
        <v>16</v>
      </c>
      <c r="AB223" s="535" t="s">
        <v>16</v>
      </c>
      <c r="AC223" s="39" t="s">
        <v>160</v>
      </c>
      <c r="AD223" s="75" t="s">
        <v>10</v>
      </c>
      <c r="AE223" s="95">
        <v>0</v>
      </c>
      <c r="AF223" s="75">
        <v>0</v>
      </c>
      <c r="AG223" s="75">
        <v>0</v>
      </c>
      <c r="AH223" s="75">
        <v>0</v>
      </c>
      <c r="AI223" s="75">
        <v>0</v>
      </c>
      <c r="AJ223" s="75">
        <v>0</v>
      </c>
      <c r="AK223" s="75">
        <v>0</v>
      </c>
      <c r="AL223" s="95">
        <v>1</v>
      </c>
      <c r="AM223" s="92">
        <v>0</v>
      </c>
      <c r="AN223" s="79" t="s">
        <v>80</v>
      </c>
      <c r="AO223" s="75">
        <v>1</v>
      </c>
      <c r="AP223" s="75" t="s">
        <v>83</v>
      </c>
      <c r="AQ223" s="122">
        <v>1</v>
      </c>
      <c r="AR223" s="515" t="s">
        <v>10</v>
      </c>
      <c r="AS223" s="95">
        <v>0</v>
      </c>
      <c r="AT223" s="75">
        <v>0</v>
      </c>
      <c r="AU223" s="75">
        <v>0</v>
      </c>
      <c r="AV223" s="75">
        <v>0</v>
      </c>
      <c r="AW223" s="123">
        <v>0</v>
      </c>
      <c r="AX223" s="516"/>
      <c r="AY223" s="75">
        <v>0</v>
      </c>
      <c r="AZ223" s="77" t="s">
        <v>131</v>
      </c>
      <c r="BA223" s="78" t="s">
        <v>131</v>
      </c>
      <c r="BB223" s="78" t="s">
        <v>131</v>
      </c>
      <c r="BC223" s="78" t="s">
        <v>131</v>
      </c>
      <c r="BD223" s="78" t="s">
        <v>131</v>
      </c>
      <c r="BE223" s="78" t="s">
        <v>131</v>
      </c>
      <c r="BF223" s="78" t="s">
        <v>131</v>
      </c>
      <c r="BG223" s="78" t="s">
        <v>132</v>
      </c>
      <c r="BH223" s="75" t="s">
        <v>5970</v>
      </c>
      <c r="BI223" s="295" t="s">
        <v>2237</v>
      </c>
      <c r="BJ223" s="546">
        <v>1</v>
      </c>
      <c r="BK223" s="294" t="s">
        <v>16</v>
      </c>
      <c r="BL223" s="157" t="s">
        <v>16</v>
      </c>
      <c r="BM223" s="548" t="s">
        <v>578</v>
      </c>
      <c r="BN223" s="548" t="s">
        <v>5969</v>
      </c>
      <c r="BO223" s="157" t="s">
        <v>4659</v>
      </c>
      <c r="BP223" s="548" t="s">
        <v>4737</v>
      </c>
      <c r="BQ223" s="157" t="s">
        <v>4657</v>
      </c>
      <c r="BR223" s="157"/>
    </row>
    <row r="224" spans="1:70" x14ac:dyDescent="0.25">
      <c r="A224" s="19" t="s">
        <v>3686</v>
      </c>
      <c r="B224" s="37" t="s">
        <v>5265</v>
      </c>
      <c r="C224" s="90">
        <v>45470.850277777776</v>
      </c>
      <c r="D224" s="114">
        <v>45470.600277777776</v>
      </c>
      <c r="E224" s="38">
        <v>45470</v>
      </c>
      <c r="F224" s="91">
        <v>2024</v>
      </c>
      <c r="G224" s="93">
        <v>6</v>
      </c>
      <c r="H224" s="37" t="s">
        <v>2446</v>
      </c>
      <c r="I224" s="37"/>
      <c r="J224" s="103">
        <v>-92.571923806481678</v>
      </c>
      <c r="K224" s="40">
        <v>44.718576041015545</v>
      </c>
      <c r="L224" s="74"/>
      <c r="M224" s="272" t="s">
        <v>5266</v>
      </c>
      <c r="N224" s="74">
        <v>1</v>
      </c>
      <c r="O224" s="94"/>
      <c r="P224" s="118">
        <v>0</v>
      </c>
      <c r="Q224" s="510"/>
      <c r="R224" s="513"/>
      <c r="S224" s="41"/>
      <c r="T224" s="40"/>
      <c r="U224" s="40"/>
      <c r="V224" s="119">
        <v>0</v>
      </c>
      <c r="W224" s="40"/>
      <c r="X224" s="119">
        <v>1</v>
      </c>
      <c r="Y224" s="40">
        <v>60</v>
      </c>
      <c r="Z224" s="119">
        <v>0</v>
      </c>
      <c r="AA224" s="368" t="s">
        <v>16</v>
      </c>
      <c r="AB224" s="535" t="s">
        <v>16</v>
      </c>
      <c r="AC224" s="39" t="s">
        <v>160</v>
      </c>
      <c r="AD224" s="75" t="s">
        <v>7</v>
      </c>
      <c r="AE224" s="95">
        <v>1</v>
      </c>
      <c r="AF224" s="75">
        <v>0</v>
      </c>
      <c r="AG224" s="75">
        <v>0</v>
      </c>
      <c r="AH224" s="75">
        <v>0</v>
      </c>
      <c r="AI224" s="75">
        <v>0</v>
      </c>
      <c r="AJ224" s="75">
        <v>0</v>
      </c>
      <c r="AK224" s="75">
        <v>0</v>
      </c>
      <c r="AL224" s="95">
        <v>0</v>
      </c>
      <c r="AM224" s="92">
        <v>0</v>
      </c>
      <c r="AN224" s="79" t="s">
        <v>80</v>
      </c>
      <c r="AO224" s="75">
        <v>1</v>
      </c>
      <c r="AP224" s="75" t="s">
        <v>84</v>
      </c>
      <c r="AQ224" s="122">
        <v>1</v>
      </c>
      <c r="AR224" s="515" t="s">
        <v>10</v>
      </c>
      <c r="AS224" s="95">
        <v>0</v>
      </c>
      <c r="AT224" s="75">
        <v>0</v>
      </c>
      <c r="AU224" s="75">
        <v>0</v>
      </c>
      <c r="AV224" s="75">
        <v>0</v>
      </c>
      <c r="AW224" s="123">
        <v>0</v>
      </c>
      <c r="AX224" s="516"/>
      <c r="AY224" s="75">
        <v>0</v>
      </c>
      <c r="AZ224" s="77" t="s">
        <v>132</v>
      </c>
      <c r="BA224" s="78" t="s">
        <v>131</v>
      </c>
      <c r="BB224" s="78" t="s">
        <v>131</v>
      </c>
      <c r="BC224" s="78" t="s">
        <v>131</v>
      </c>
      <c r="BD224" s="78" t="s">
        <v>131</v>
      </c>
      <c r="BE224" s="78" t="s">
        <v>131</v>
      </c>
      <c r="BF224" s="78" t="s">
        <v>131</v>
      </c>
      <c r="BG224" s="78" t="s">
        <v>131</v>
      </c>
      <c r="BH224" s="75" t="s">
        <v>5970</v>
      </c>
      <c r="BI224" s="295" t="s">
        <v>2237</v>
      </c>
      <c r="BJ224" s="546">
        <v>1</v>
      </c>
      <c r="BK224" s="294" t="s">
        <v>16</v>
      </c>
      <c r="BL224" s="157" t="s">
        <v>16</v>
      </c>
      <c r="BM224" s="548" t="s">
        <v>578</v>
      </c>
      <c r="BN224" s="548" t="s">
        <v>4158</v>
      </c>
      <c r="BO224" s="157" t="s">
        <v>4659</v>
      </c>
      <c r="BP224" s="548" t="s">
        <v>4737</v>
      </c>
      <c r="BQ224" s="157" t="s">
        <v>4657</v>
      </c>
      <c r="BR224" s="157"/>
    </row>
    <row r="225" spans="1:70" x14ac:dyDescent="0.25">
      <c r="A225" s="19" t="s">
        <v>3686</v>
      </c>
      <c r="B225" s="37" t="s">
        <v>5267</v>
      </c>
      <c r="C225" s="90">
        <v>45470.831990740742</v>
      </c>
      <c r="D225" s="114">
        <v>45470.581990740742</v>
      </c>
      <c r="E225" s="38">
        <v>45470</v>
      </c>
      <c r="F225" s="91">
        <v>2024</v>
      </c>
      <c r="G225" s="93">
        <v>6</v>
      </c>
      <c r="H225" s="37" t="s">
        <v>2446</v>
      </c>
      <c r="I225" s="37"/>
      <c r="J225" s="103">
        <v>-92.577415718314796</v>
      </c>
      <c r="K225" s="40">
        <v>44.708268650728428</v>
      </c>
      <c r="L225" s="74"/>
      <c r="M225" s="272" t="s">
        <v>5268</v>
      </c>
      <c r="N225" s="74">
        <v>1</v>
      </c>
      <c r="O225" s="94"/>
      <c r="P225" s="118">
        <v>1</v>
      </c>
      <c r="Q225" s="510">
        <v>0</v>
      </c>
      <c r="R225" s="513">
        <v>30</v>
      </c>
      <c r="S225" s="41"/>
      <c r="T225" s="40"/>
      <c r="U225" s="40">
        <v>7</v>
      </c>
      <c r="V225" s="119">
        <v>1</v>
      </c>
      <c r="W225" s="40">
        <v>0</v>
      </c>
      <c r="X225" s="119">
        <v>1</v>
      </c>
      <c r="Y225" s="40">
        <v>62</v>
      </c>
      <c r="Z225" s="119">
        <v>1</v>
      </c>
      <c r="AA225" s="368">
        <v>0</v>
      </c>
      <c r="AB225" s="535">
        <v>5</v>
      </c>
      <c r="AC225" s="39" t="s">
        <v>160</v>
      </c>
      <c r="AD225" s="75" t="s">
        <v>10</v>
      </c>
      <c r="AE225" s="95">
        <v>0</v>
      </c>
      <c r="AF225" s="75">
        <v>0</v>
      </c>
      <c r="AG225" s="75">
        <v>0</v>
      </c>
      <c r="AH225" s="75">
        <v>0</v>
      </c>
      <c r="AI225" s="75">
        <v>0</v>
      </c>
      <c r="AJ225" s="75">
        <v>0</v>
      </c>
      <c r="AK225" s="75">
        <v>0</v>
      </c>
      <c r="AL225" s="95">
        <v>1</v>
      </c>
      <c r="AM225" s="92">
        <v>0</v>
      </c>
      <c r="AN225" s="79" t="s">
        <v>80</v>
      </c>
      <c r="AO225" s="75">
        <v>1</v>
      </c>
      <c r="AP225" s="75" t="s">
        <v>84</v>
      </c>
      <c r="AQ225" s="122">
        <v>1</v>
      </c>
      <c r="AR225" s="515" t="s">
        <v>10</v>
      </c>
      <c r="AS225" s="95">
        <v>0</v>
      </c>
      <c r="AT225" s="75">
        <v>0</v>
      </c>
      <c r="AU225" s="75">
        <v>0</v>
      </c>
      <c r="AV225" s="75">
        <v>0</v>
      </c>
      <c r="AW225" s="123">
        <v>0</v>
      </c>
      <c r="AX225" s="516"/>
      <c r="AY225" s="75">
        <v>0</v>
      </c>
      <c r="AZ225" s="77" t="s">
        <v>131</v>
      </c>
      <c r="BA225" s="78" t="s">
        <v>131</v>
      </c>
      <c r="BB225" s="78" t="s">
        <v>131</v>
      </c>
      <c r="BC225" s="78" t="s">
        <v>131</v>
      </c>
      <c r="BD225" s="78" t="s">
        <v>131</v>
      </c>
      <c r="BE225" s="78" t="s">
        <v>131</v>
      </c>
      <c r="BF225" s="78" t="s">
        <v>131</v>
      </c>
      <c r="BG225" s="78" t="s">
        <v>132</v>
      </c>
      <c r="BH225" s="75" t="s">
        <v>5970</v>
      </c>
      <c r="BI225" s="295" t="s">
        <v>16</v>
      </c>
      <c r="BJ225" s="546">
        <v>1</v>
      </c>
      <c r="BK225" s="294" t="s">
        <v>16</v>
      </c>
      <c r="BL225" s="157" t="s">
        <v>16</v>
      </c>
      <c r="BM225" s="548" t="s">
        <v>578</v>
      </c>
      <c r="BN225" s="548" t="s">
        <v>4158</v>
      </c>
      <c r="BO225" s="157" t="s">
        <v>4659</v>
      </c>
      <c r="BP225" s="548" t="s">
        <v>4737</v>
      </c>
      <c r="BQ225" s="157" t="s">
        <v>4657</v>
      </c>
      <c r="BR225" s="157"/>
    </row>
    <row r="226" spans="1:70" x14ac:dyDescent="0.25">
      <c r="A226" s="19" t="s">
        <v>3686</v>
      </c>
      <c r="B226" s="37" t="s">
        <v>5269</v>
      </c>
      <c r="C226" s="90">
        <v>45470.702592592592</v>
      </c>
      <c r="D226" s="114">
        <v>45470.452592592592</v>
      </c>
      <c r="E226" s="38">
        <v>45470</v>
      </c>
      <c r="F226" s="91">
        <v>2024</v>
      </c>
      <c r="G226" s="93">
        <v>6</v>
      </c>
      <c r="H226" s="37" t="s">
        <v>5006</v>
      </c>
      <c r="I226" s="37" t="s">
        <v>16</v>
      </c>
      <c r="J226" s="103">
        <v>-92.54918726975832</v>
      </c>
      <c r="K226" s="40">
        <v>44.642300881724452</v>
      </c>
      <c r="L226" s="74"/>
      <c r="M226" s="272" t="s">
        <v>5270</v>
      </c>
      <c r="N226" s="74">
        <v>1</v>
      </c>
      <c r="O226" s="94"/>
      <c r="P226" s="118">
        <v>1</v>
      </c>
      <c r="Q226" s="510">
        <v>0</v>
      </c>
      <c r="R226" s="513">
        <v>30</v>
      </c>
      <c r="S226" s="41"/>
      <c r="T226" s="40"/>
      <c r="U226" s="40">
        <v>7.5</v>
      </c>
      <c r="V226" s="119">
        <v>1</v>
      </c>
      <c r="W226" s="40">
        <v>100</v>
      </c>
      <c r="X226" s="119">
        <v>1</v>
      </c>
      <c r="Y226" s="40">
        <v>55</v>
      </c>
      <c r="Z226" s="119">
        <v>1</v>
      </c>
      <c r="AA226" s="368">
        <v>0</v>
      </c>
      <c r="AB226" s="535">
        <v>1</v>
      </c>
      <c r="AC226" s="39" t="s">
        <v>160</v>
      </c>
      <c r="AD226" s="75" t="s">
        <v>7</v>
      </c>
      <c r="AE226" s="95">
        <v>1</v>
      </c>
      <c r="AF226" s="75">
        <v>0</v>
      </c>
      <c r="AG226" s="75">
        <v>0</v>
      </c>
      <c r="AH226" s="75">
        <v>0</v>
      </c>
      <c r="AI226" s="75">
        <v>0</v>
      </c>
      <c r="AJ226" s="75">
        <v>0</v>
      </c>
      <c r="AK226" s="75">
        <v>0</v>
      </c>
      <c r="AL226" s="95">
        <v>0</v>
      </c>
      <c r="AM226" s="92">
        <v>0</v>
      </c>
      <c r="AN226" s="79" t="s">
        <v>80</v>
      </c>
      <c r="AO226" s="75">
        <v>1</v>
      </c>
      <c r="AP226" s="75" t="s">
        <v>83</v>
      </c>
      <c r="AQ226" s="122">
        <v>1</v>
      </c>
      <c r="AR226" s="515" t="s">
        <v>10</v>
      </c>
      <c r="AS226" s="95">
        <v>0</v>
      </c>
      <c r="AT226" s="75">
        <v>0</v>
      </c>
      <c r="AU226" s="75">
        <v>0</v>
      </c>
      <c r="AV226" s="75">
        <v>0</v>
      </c>
      <c r="AW226" s="123">
        <v>0</v>
      </c>
      <c r="AX226" s="516" t="s">
        <v>5271</v>
      </c>
      <c r="AY226" s="75">
        <v>1</v>
      </c>
      <c r="AZ226" s="77" t="s">
        <v>132</v>
      </c>
      <c r="BA226" s="78" t="s">
        <v>131</v>
      </c>
      <c r="BB226" s="78" t="s">
        <v>131</v>
      </c>
      <c r="BC226" s="78" t="s">
        <v>131</v>
      </c>
      <c r="BD226" s="78" t="s">
        <v>131</v>
      </c>
      <c r="BE226" s="78" t="s">
        <v>131</v>
      </c>
      <c r="BF226" s="78" t="s">
        <v>131</v>
      </c>
      <c r="BG226" s="78" t="s">
        <v>131</v>
      </c>
      <c r="BH226" s="75" t="s">
        <v>5970</v>
      </c>
      <c r="BI226" s="295" t="s">
        <v>16</v>
      </c>
      <c r="BJ226" s="546">
        <v>1</v>
      </c>
      <c r="BK226" s="294">
        <v>1</v>
      </c>
      <c r="BL226" s="157">
        <v>1</v>
      </c>
      <c r="BM226" s="548" t="s">
        <v>578</v>
      </c>
      <c r="BN226" s="548" t="s">
        <v>5969</v>
      </c>
      <c r="BO226" s="157" t="s">
        <v>5870</v>
      </c>
      <c r="BP226" s="548" t="s">
        <v>5871</v>
      </c>
      <c r="BQ226" s="157" t="s">
        <v>4657</v>
      </c>
      <c r="BR226" s="157"/>
    </row>
    <row r="227" spans="1:70" x14ac:dyDescent="0.25">
      <c r="A227" s="19" t="s">
        <v>3686</v>
      </c>
      <c r="B227" s="37" t="s">
        <v>5272</v>
      </c>
      <c r="C227" s="90">
        <v>45470.63</v>
      </c>
      <c r="D227" s="114">
        <v>45470.38</v>
      </c>
      <c r="E227" s="38">
        <v>45470</v>
      </c>
      <c r="F227" s="91">
        <v>2024</v>
      </c>
      <c r="G227" s="93">
        <v>6</v>
      </c>
      <c r="H227" s="37" t="s">
        <v>2446</v>
      </c>
      <c r="I227" s="37"/>
      <c r="J227" s="103">
        <v>-92.656997054953919</v>
      </c>
      <c r="K227" s="40">
        <v>44.742415239673619</v>
      </c>
      <c r="L227" s="74"/>
      <c r="M227" s="272" t="s">
        <v>5273</v>
      </c>
      <c r="N227" s="74">
        <v>1</v>
      </c>
      <c r="O227" s="94"/>
      <c r="P227" s="118">
        <v>1</v>
      </c>
      <c r="Q227" s="510">
        <v>180</v>
      </c>
      <c r="R227" s="513">
        <v>120</v>
      </c>
      <c r="S227" s="41"/>
      <c r="T227" s="40"/>
      <c r="U227" s="40">
        <v>7</v>
      </c>
      <c r="V227" s="119">
        <v>1</v>
      </c>
      <c r="W227" s="40">
        <v>0</v>
      </c>
      <c r="X227" s="119">
        <v>1</v>
      </c>
      <c r="Y227" s="40">
        <v>57</v>
      </c>
      <c r="Z227" s="119">
        <v>1</v>
      </c>
      <c r="AA227" s="368">
        <v>0</v>
      </c>
      <c r="AB227" s="535">
        <v>5</v>
      </c>
      <c r="AC227" s="39" t="s">
        <v>160</v>
      </c>
      <c r="AD227" s="75" t="s">
        <v>10</v>
      </c>
      <c r="AE227" s="95">
        <v>0</v>
      </c>
      <c r="AF227" s="75">
        <v>0</v>
      </c>
      <c r="AG227" s="75">
        <v>0</v>
      </c>
      <c r="AH227" s="75">
        <v>0</v>
      </c>
      <c r="AI227" s="75">
        <v>0</v>
      </c>
      <c r="AJ227" s="75">
        <v>0</v>
      </c>
      <c r="AK227" s="75">
        <v>0</v>
      </c>
      <c r="AL227" s="95">
        <v>1</v>
      </c>
      <c r="AM227" s="92">
        <v>0</v>
      </c>
      <c r="AN227" s="79" t="s">
        <v>80</v>
      </c>
      <c r="AO227" s="75">
        <v>1</v>
      </c>
      <c r="AP227" s="75" t="s">
        <v>83</v>
      </c>
      <c r="AQ227" s="122">
        <v>1</v>
      </c>
      <c r="AR227" s="515" t="s">
        <v>10</v>
      </c>
      <c r="AS227" s="95">
        <v>0</v>
      </c>
      <c r="AT227" s="75">
        <v>0</v>
      </c>
      <c r="AU227" s="75">
        <v>0</v>
      </c>
      <c r="AV227" s="75">
        <v>0</v>
      </c>
      <c r="AW227" s="123">
        <v>0</v>
      </c>
      <c r="AX227" s="516" t="s">
        <v>5274</v>
      </c>
      <c r="AY227" s="75">
        <v>1</v>
      </c>
      <c r="AZ227" s="77" t="s">
        <v>131</v>
      </c>
      <c r="BA227" s="78" t="s">
        <v>131</v>
      </c>
      <c r="BB227" s="78" t="s">
        <v>131</v>
      </c>
      <c r="BC227" s="78" t="s">
        <v>131</v>
      </c>
      <c r="BD227" s="78" t="s">
        <v>131</v>
      </c>
      <c r="BE227" s="78" t="s">
        <v>131</v>
      </c>
      <c r="BF227" s="78" t="s">
        <v>131</v>
      </c>
      <c r="BG227" s="78" t="s">
        <v>132</v>
      </c>
      <c r="BH227" s="75" t="s">
        <v>5970</v>
      </c>
      <c r="BI227" s="295" t="s">
        <v>5873</v>
      </c>
      <c r="BJ227" s="546">
        <v>1</v>
      </c>
      <c r="BK227" s="294" t="s">
        <v>16</v>
      </c>
      <c r="BL227" s="157" t="s">
        <v>16</v>
      </c>
      <c r="BM227" s="548" t="s">
        <v>578</v>
      </c>
      <c r="BN227" s="548" t="s">
        <v>4158</v>
      </c>
      <c r="BO227" s="157" t="s">
        <v>5872</v>
      </c>
      <c r="BP227" s="548" t="s">
        <v>5873</v>
      </c>
      <c r="BQ227" s="157" t="s">
        <v>4266</v>
      </c>
      <c r="BR227" s="157"/>
    </row>
    <row r="228" spans="1:70" x14ac:dyDescent="0.25">
      <c r="A228" s="19" t="s">
        <v>3686</v>
      </c>
      <c r="B228" s="37" t="s">
        <v>5275</v>
      </c>
      <c r="C228" s="90">
        <v>45470.613680555558</v>
      </c>
      <c r="D228" s="114">
        <v>45470.363680555558</v>
      </c>
      <c r="E228" s="38">
        <v>45470</v>
      </c>
      <c r="F228" s="91">
        <v>2024</v>
      </c>
      <c r="G228" s="93">
        <v>6</v>
      </c>
      <c r="H228" s="37" t="s">
        <v>2548</v>
      </c>
      <c r="I228" s="37"/>
      <c r="J228" s="103">
        <v>-90.95562378130208</v>
      </c>
      <c r="K228" s="40">
        <v>42.791547349722734</v>
      </c>
      <c r="L228" s="74"/>
      <c r="M228" s="272" t="s">
        <v>5276</v>
      </c>
      <c r="N228" s="74">
        <v>1</v>
      </c>
      <c r="O228" s="94"/>
      <c r="P228" s="118">
        <v>1</v>
      </c>
      <c r="Q228" s="510">
        <v>180</v>
      </c>
      <c r="R228" s="513">
        <v>60</v>
      </c>
      <c r="S228" s="41"/>
      <c r="T228" s="40"/>
      <c r="U228" s="40">
        <v>7.5</v>
      </c>
      <c r="V228" s="119">
        <v>1</v>
      </c>
      <c r="W228" s="40">
        <v>0</v>
      </c>
      <c r="X228" s="119">
        <v>1</v>
      </c>
      <c r="Y228" s="40">
        <v>66</v>
      </c>
      <c r="Z228" s="119">
        <v>1</v>
      </c>
      <c r="AA228" s="368">
        <v>0</v>
      </c>
      <c r="AB228" s="535">
        <v>2</v>
      </c>
      <c r="AC228" s="39" t="s">
        <v>160</v>
      </c>
      <c r="AD228" s="75" t="s">
        <v>10</v>
      </c>
      <c r="AE228" s="95">
        <v>0</v>
      </c>
      <c r="AF228" s="75">
        <v>0</v>
      </c>
      <c r="AG228" s="75">
        <v>0</v>
      </c>
      <c r="AH228" s="75">
        <v>0</v>
      </c>
      <c r="AI228" s="75">
        <v>0</v>
      </c>
      <c r="AJ228" s="75">
        <v>0</v>
      </c>
      <c r="AK228" s="75">
        <v>0</v>
      </c>
      <c r="AL228" s="95">
        <v>1</v>
      </c>
      <c r="AM228" s="92">
        <v>0</v>
      </c>
      <c r="AN228" s="79" t="s">
        <v>80</v>
      </c>
      <c r="AO228" s="75">
        <v>1</v>
      </c>
      <c r="AP228" s="75" t="s">
        <v>84</v>
      </c>
      <c r="AQ228" s="122">
        <v>1</v>
      </c>
      <c r="AR228" s="515" t="s">
        <v>10</v>
      </c>
      <c r="AS228" s="95">
        <v>0</v>
      </c>
      <c r="AT228" s="75">
        <v>0</v>
      </c>
      <c r="AU228" s="75">
        <v>0</v>
      </c>
      <c r="AV228" s="75">
        <v>0</v>
      </c>
      <c r="AW228" s="123">
        <v>0</v>
      </c>
      <c r="AX228" s="516"/>
      <c r="AY228" s="75">
        <v>0</v>
      </c>
      <c r="AZ228" s="77" t="s">
        <v>131</v>
      </c>
      <c r="BA228" s="78" t="s">
        <v>131</v>
      </c>
      <c r="BB228" s="78" t="s">
        <v>131</v>
      </c>
      <c r="BC228" s="78" t="s">
        <v>131</v>
      </c>
      <c r="BD228" s="78" t="s">
        <v>131</v>
      </c>
      <c r="BE228" s="78" t="s">
        <v>131</v>
      </c>
      <c r="BF228" s="78" t="s">
        <v>131</v>
      </c>
      <c r="BG228" s="78" t="s">
        <v>132</v>
      </c>
      <c r="BH228" s="75" t="s">
        <v>5970</v>
      </c>
      <c r="BI228" s="295" t="s">
        <v>16</v>
      </c>
      <c r="BJ228" s="546" t="s">
        <v>16</v>
      </c>
      <c r="BK228" s="294" t="s">
        <v>16</v>
      </c>
      <c r="BL228" s="157" t="s">
        <v>16</v>
      </c>
      <c r="BM228" s="548" t="s">
        <v>1345</v>
      </c>
      <c r="BN228" s="548" t="s">
        <v>4158</v>
      </c>
      <c r="BO228" s="157" t="s">
        <v>5875</v>
      </c>
      <c r="BP228" s="548" t="s">
        <v>5876</v>
      </c>
      <c r="BQ228" s="157" t="s">
        <v>5874</v>
      </c>
      <c r="BR228" s="157"/>
    </row>
    <row r="229" spans="1:70" x14ac:dyDescent="0.25">
      <c r="A229" s="19" t="s">
        <v>3686</v>
      </c>
      <c r="B229" s="37" t="s">
        <v>5277</v>
      </c>
      <c r="C229" s="90">
        <v>45470.039212962962</v>
      </c>
      <c r="D229" s="114">
        <v>45469.789212962962</v>
      </c>
      <c r="E229" s="38">
        <v>45469</v>
      </c>
      <c r="F229" s="91">
        <v>2024</v>
      </c>
      <c r="G229" s="93">
        <v>6</v>
      </c>
      <c r="H229" s="37" t="s">
        <v>606</v>
      </c>
      <c r="I229" s="37"/>
      <c r="J229" s="103">
        <v>-92.236438547561264</v>
      </c>
      <c r="K229" s="40">
        <v>44.229507674026699</v>
      </c>
      <c r="L229" s="74"/>
      <c r="M229" s="272" t="s">
        <v>5278</v>
      </c>
      <c r="N229" s="74">
        <v>1</v>
      </c>
      <c r="O229" s="94"/>
      <c r="P229" s="118">
        <v>1</v>
      </c>
      <c r="Q229" s="510">
        <v>120</v>
      </c>
      <c r="R229" s="513">
        <v>120</v>
      </c>
      <c r="S229" s="41"/>
      <c r="T229" s="40"/>
      <c r="U229" s="40">
        <v>7</v>
      </c>
      <c r="V229" s="119">
        <v>1</v>
      </c>
      <c r="W229" s="40">
        <v>100</v>
      </c>
      <c r="X229" s="119">
        <v>1</v>
      </c>
      <c r="Y229" s="40">
        <v>63</v>
      </c>
      <c r="Z229" s="119">
        <v>1</v>
      </c>
      <c r="AA229" s="368">
        <v>0</v>
      </c>
      <c r="AB229" s="535">
        <v>2</v>
      </c>
      <c r="AC229" s="39" t="s">
        <v>160</v>
      </c>
      <c r="AD229" s="75" t="s">
        <v>10</v>
      </c>
      <c r="AE229" s="95">
        <v>0</v>
      </c>
      <c r="AF229" s="75">
        <v>0</v>
      </c>
      <c r="AG229" s="75">
        <v>0</v>
      </c>
      <c r="AH229" s="75">
        <v>0</v>
      </c>
      <c r="AI229" s="75">
        <v>0</v>
      </c>
      <c r="AJ229" s="75">
        <v>0</v>
      </c>
      <c r="AK229" s="75">
        <v>0</v>
      </c>
      <c r="AL229" s="95">
        <v>1</v>
      </c>
      <c r="AM229" s="92">
        <v>0</v>
      </c>
      <c r="AN229" s="79" t="s">
        <v>80</v>
      </c>
      <c r="AO229" s="75">
        <v>1</v>
      </c>
      <c r="AP229" s="75" t="s">
        <v>84</v>
      </c>
      <c r="AQ229" s="122">
        <v>1</v>
      </c>
      <c r="AR229" s="515" t="s">
        <v>10</v>
      </c>
      <c r="AS229" s="95">
        <v>0</v>
      </c>
      <c r="AT229" s="75">
        <v>0</v>
      </c>
      <c r="AU229" s="75">
        <v>0</v>
      </c>
      <c r="AV229" s="75">
        <v>0</v>
      </c>
      <c r="AW229" s="123">
        <v>0</v>
      </c>
      <c r="AX229" s="516" t="s">
        <v>5279</v>
      </c>
      <c r="AY229" s="75">
        <v>1</v>
      </c>
      <c r="AZ229" s="77" t="s">
        <v>131</v>
      </c>
      <c r="BA229" s="78" t="s">
        <v>131</v>
      </c>
      <c r="BB229" s="78" t="s">
        <v>131</v>
      </c>
      <c r="BC229" s="78" t="s">
        <v>131</v>
      </c>
      <c r="BD229" s="78" t="s">
        <v>131</v>
      </c>
      <c r="BE229" s="78" t="s">
        <v>131</v>
      </c>
      <c r="BF229" s="78" t="s">
        <v>131</v>
      </c>
      <c r="BG229" s="78" t="s">
        <v>132</v>
      </c>
      <c r="BH229" s="75" t="s">
        <v>5970</v>
      </c>
      <c r="BI229" s="295" t="s">
        <v>3966</v>
      </c>
      <c r="BJ229" s="546">
        <v>1</v>
      </c>
      <c r="BK229" s="294">
        <v>1</v>
      </c>
      <c r="BL229" s="157">
        <v>1</v>
      </c>
      <c r="BM229" s="548" t="s">
        <v>1339</v>
      </c>
      <c r="BN229" s="548" t="s">
        <v>1339</v>
      </c>
      <c r="BO229" s="157" t="s">
        <v>4334</v>
      </c>
      <c r="BP229" s="548" t="s">
        <v>3966</v>
      </c>
      <c r="BQ229" s="157" t="s">
        <v>4330</v>
      </c>
      <c r="BR229" s="157"/>
    </row>
    <row r="230" spans="1:70" x14ac:dyDescent="0.25">
      <c r="A230" s="19" t="s">
        <v>3686</v>
      </c>
      <c r="B230" s="37" t="s">
        <v>5280</v>
      </c>
      <c r="C230" s="90">
        <v>45469.999525462961</v>
      </c>
      <c r="D230" s="114">
        <v>45469.749525462961</v>
      </c>
      <c r="E230" s="38">
        <v>45469</v>
      </c>
      <c r="F230" s="91">
        <v>2024</v>
      </c>
      <c r="G230" s="93">
        <v>6</v>
      </c>
      <c r="H230" s="37" t="s">
        <v>606</v>
      </c>
      <c r="I230" s="37" t="s">
        <v>16</v>
      </c>
      <c r="J230" s="103">
        <v>-92.147886828383378</v>
      </c>
      <c r="K230" s="40">
        <v>44.245892440248532</v>
      </c>
      <c r="L230" s="74"/>
      <c r="M230" s="272" t="s">
        <v>5281</v>
      </c>
      <c r="N230" s="74">
        <v>1</v>
      </c>
      <c r="O230" s="94"/>
      <c r="P230" s="118">
        <v>1</v>
      </c>
      <c r="Q230" s="510">
        <v>80</v>
      </c>
      <c r="R230" s="513">
        <v>0</v>
      </c>
      <c r="S230" s="41"/>
      <c r="T230" s="40"/>
      <c r="U230" s="40">
        <v>7</v>
      </c>
      <c r="V230" s="119">
        <v>1</v>
      </c>
      <c r="W230" s="40">
        <v>100</v>
      </c>
      <c r="X230" s="119">
        <v>1</v>
      </c>
      <c r="Y230" s="40">
        <v>64</v>
      </c>
      <c r="Z230" s="119">
        <v>1</v>
      </c>
      <c r="AA230" s="368">
        <v>0</v>
      </c>
      <c r="AB230" s="535">
        <v>5</v>
      </c>
      <c r="AC230" s="39" t="s">
        <v>160</v>
      </c>
      <c r="AD230" s="75" t="s">
        <v>10</v>
      </c>
      <c r="AE230" s="95">
        <v>0</v>
      </c>
      <c r="AF230" s="75">
        <v>0</v>
      </c>
      <c r="AG230" s="75">
        <v>0</v>
      </c>
      <c r="AH230" s="75">
        <v>0</v>
      </c>
      <c r="AI230" s="75">
        <v>0</v>
      </c>
      <c r="AJ230" s="75">
        <v>0</v>
      </c>
      <c r="AK230" s="75">
        <v>0</v>
      </c>
      <c r="AL230" s="95">
        <v>1</v>
      </c>
      <c r="AM230" s="92">
        <v>0</v>
      </c>
      <c r="AN230" s="79" t="s">
        <v>81</v>
      </c>
      <c r="AO230" s="75">
        <v>1</v>
      </c>
      <c r="AP230" s="75" t="s">
        <v>84</v>
      </c>
      <c r="AQ230" s="122">
        <v>1</v>
      </c>
      <c r="AR230" s="515" t="s">
        <v>10</v>
      </c>
      <c r="AS230" s="95">
        <v>0</v>
      </c>
      <c r="AT230" s="75">
        <v>0</v>
      </c>
      <c r="AU230" s="75">
        <v>0</v>
      </c>
      <c r="AV230" s="75">
        <v>0</v>
      </c>
      <c r="AW230" s="123">
        <v>0</v>
      </c>
      <c r="AX230" s="516" t="s">
        <v>5071</v>
      </c>
      <c r="AY230" s="75">
        <v>1</v>
      </c>
      <c r="AZ230" s="77" t="s">
        <v>131</v>
      </c>
      <c r="BA230" s="78" t="s">
        <v>131</v>
      </c>
      <c r="BB230" s="78" t="s">
        <v>131</v>
      </c>
      <c r="BC230" s="78" t="s">
        <v>131</v>
      </c>
      <c r="BD230" s="78" t="s">
        <v>131</v>
      </c>
      <c r="BE230" s="78" t="s">
        <v>131</v>
      </c>
      <c r="BF230" s="78" t="s">
        <v>131</v>
      </c>
      <c r="BG230" s="78" t="s">
        <v>132</v>
      </c>
      <c r="BH230" s="75" t="s">
        <v>5970</v>
      </c>
      <c r="BI230" s="295" t="s">
        <v>16</v>
      </c>
      <c r="BJ230" s="546">
        <v>1</v>
      </c>
      <c r="BK230" s="294">
        <v>1</v>
      </c>
      <c r="BL230" s="157">
        <v>1</v>
      </c>
      <c r="BM230" s="548" t="s">
        <v>1339</v>
      </c>
      <c r="BN230" s="548" t="s">
        <v>1339</v>
      </c>
      <c r="BO230" s="157" t="s">
        <v>4358</v>
      </c>
      <c r="BP230" s="548" t="s">
        <v>317</v>
      </c>
      <c r="BQ230" s="157" t="s">
        <v>4330</v>
      </c>
      <c r="BR230" s="157"/>
    </row>
    <row r="231" spans="1:70" x14ac:dyDescent="0.25">
      <c r="A231" s="19" t="s">
        <v>3686</v>
      </c>
      <c r="B231" s="37" t="s">
        <v>5282</v>
      </c>
      <c r="C231" s="90">
        <v>45469.701168981483</v>
      </c>
      <c r="D231" s="114">
        <v>45469.451168981483</v>
      </c>
      <c r="E231" s="38">
        <v>45469</v>
      </c>
      <c r="F231" s="91">
        <v>2024</v>
      </c>
      <c r="G231" s="93">
        <v>6</v>
      </c>
      <c r="H231" s="37" t="s">
        <v>2446</v>
      </c>
      <c r="I231" s="37"/>
      <c r="J231" s="103">
        <v>-92.598434005522037</v>
      </c>
      <c r="K231" s="40">
        <v>44.89103005538481</v>
      </c>
      <c r="L231" s="74"/>
      <c r="M231" s="272" t="s">
        <v>5283</v>
      </c>
      <c r="N231" s="74">
        <v>1</v>
      </c>
      <c r="O231" s="94"/>
      <c r="P231" s="118">
        <v>1</v>
      </c>
      <c r="Q231" s="510">
        <v>120</v>
      </c>
      <c r="R231" s="513">
        <v>120</v>
      </c>
      <c r="S231" s="41"/>
      <c r="T231" s="40"/>
      <c r="U231" s="40">
        <v>7</v>
      </c>
      <c r="V231" s="119">
        <v>1</v>
      </c>
      <c r="W231" s="40">
        <v>100</v>
      </c>
      <c r="X231" s="119">
        <v>1</v>
      </c>
      <c r="Y231" s="40">
        <v>60</v>
      </c>
      <c r="Z231" s="119">
        <v>1</v>
      </c>
      <c r="AA231" s="368">
        <v>0</v>
      </c>
      <c r="AB231" s="535">
        <v>1</v>
      </c>
      <c r="AC231" s="39" t="s">
        <v>160</v>
      </c>
      <c r="AD231" s="75" t="s">
        <v>10</v>
      </c>
      <c r="AE231" s="95">
        <v>0</v>
      </c>
      <c r="AF231" s="75">
        <v>0</v>
      </c>
      <c r="AG231" s="75">
        <v>0</v>
      </c>
      <c r="AH231" s="75">
        <v>0</v>
      </c>
      <c r="AI231" s="75">
        <v>0</v>
      </c>
      <c r="AJ231" s="75">
        <v>0</v>
      </c>
      <c r="AK231" s="75">
        <v>0</v>
      </c>
      <c r="AL231" s="95">
        <v>1</v>
      </c>
      <c r="AM231" s="92">
        <v>0</v>
      </c>
      <c r="AN231" s="79" t="s">
        <v>81</v>
      </c>
      <c r="AO231" s="75">
        <v>1</v>
      </c>
      <c r="AP231" s="75" t="s">
        <v>84</v>
      </c>
      <c r="AQ231" s="122">
        <v>1</v>
      </c>
      <c r="AR231" s="515" t="s">
        <v>10</v>
      </c>
      <c r="AS231" s="95">
        <v>0</v>
      </c>
      <c r="AT231" s="75">
        <v>0</v>
      </c>
      <c r="AU231" s="75">
        <v>0</v>
      </c>
      <c r="AV231" s="75">
        <v>0</v>
      </c>
      <c r="AW231" s="123">
        <v>0</v>
      </c>
      <c r="AX231" s="516"/>
      <c r="AY231" s="75">
        <v>0</v>
      </c>
      <c r="AZ231" s="77" t="s">
        <v>131</v>
      </c>
      <c r="BA231" s="78" t="s">
        <v>131</v>
      </c>
      <c r="BB231" s="78" t="s">
        <v>131</v>
      </c>
      <c r="BC231" s="78" t="s">
        <v>131</v>
      </c>
      <c r="BD231" s="78" t="s">
        <v>131</v>
      </c>
      <c r="BE231" s="78" t="s">
        <v>131</v>
      </c>
      <c r="BF231" s="78" t="s">
        <v>131</v>
      </c>
      <c r="BG231" s="78" t="s">
        <v>132</v>
      </c>
      <c r="BH231" s="75" t="s">
        <v>5970</v>
      </c>
      <c r="BI231" s="295" t="s">
        <v>2227</v>
      </c>
      <c r="BJ231" s="546">
        <v>1</v>
      </c>
      <c r="BK231" s="294" t="s">
        <v>16</v>
      </c>
      <c r="BL231" s="157" t="s">
        <v>16</v>
      </c>
      <c r="BM231" s="548" t="s">
        <v>578</v>
      </c>
      <c r="BN231" s="548" t="s">
        <v>4158</v>
      </c>
      <c r="BO231" s="157" t="s">
        <v>4311</v>
      </c>
      <c r="BP231" s="548" t="s">
        <v>4395</v>
      </c>
      <c r="BQ231" s="157" t="s">
        <v>4309</v>
      </c>
      <c r="BR231" s="157"/>
    </row>
    <row r="232" spans="1:70" x14ac:dyDescent="0.25">
      <c r="A232" s="19" t="s">
        <v>3686</v>
      </c>
      <c r="B232" s="37" t="s">
        <v>5284</v>
      </c>
      <c r="C232" s="90">
        <v>45469.6249537037</v>
      </c>
      <c r="D232" s="114">
        <v>45469.3749537037</v>
      </c>
      <c r="E232" s="38">
        <v>45469</v>
      </c>
      <c r="F232" s="91">
        <v>2024</v>
      </c>
      <c r="G232" s="93">
        <v>6</v>
      </c>
      <c r="H232" s="37" t="s">
        <v>2548</v>
      </c>
      <c r="I232" s="37"/>
      <c r="J232" s="103">
        <v>-90.601538956385554</v>
      </c>
      <c r="K232" s="40">
        <v>43.17831947811321</v>
      </c>
      <c r="L232" s="74"/>
      <c r="M232" s="272" t="s">
        <v>5285</v>
      </c>
      <c r="N232" s="74">
        <v>1</v>
      </c>
      <c r="O232" s="94"/>
      <c r="P232" s="118">
        <v>1</v>
      </c>
      <c r="Q232" s="510">
        <v>180</v>
      </c>
      <c r="R232" s="513">
        <v>0</v>
      </c>
      <c r="S232" s="41"/>
      <c r="T232" s="40"/>
      <c r="U232" s="40">
        <v>7</v>
      </c>
      <c r="V232" s="119">
        <v>1</v>
      </c>
      <c r="W232" s="40">
        <v>100</v>
      </c>
      <c r="X232" s="119">
        <v>1</v>
      </c>
      <c r="Y232" s="40">
        <v>56</v>
      </c>
      <c r="Z232" s="119">
        <v>1</v>
      </c>
      <c r="AA232" s="368">
        <v>0</v>
      </c>
      <c r="AB232" s="535">
        <v>2</v>
      </c>
      <c r="AC232" s="39" t="s">
        <v>160</v>
      </c>
      <c r="AD232" s="75" t="s">
        <v>10</v>
      </c>
      <c r="AE232" s="95">
        <v>0</v>
      </c>
      <c r="AF232" s="75">
        <v>0</v>
      </c>
      <c r="AG232" s="75">
        <v>0</v>
      </c>
      <c r="AH232" s="75">
        <v>0</v>
      </c>
      <c r="AI232" s="75">
        <v>0</v>
      </c>
      <c r="AJ232" s="75">
        <v>0</v>
      </c>
      <c r="AK232" s="75">
        <v>0</v>
      </c>
      <c r="AL232" s="95">
        <v>1</v>
      </c>
      <c r="AM232" s="92">
        <v>0</v>
      </c>
      <c r="AN232" s="79" t="s">
        <v>80</v>
      </c>
      <c r="AO232" s="75">
        <v>1</v>
      </c>
      <c r="AP232" s="75" t="s">
        <v>83</v>
      </c>
      <c r="AQ232" s="122">
        <v>1</v>
      </c>
      <c r="AR232" s="515" t="s">
        <v>13</v>
      </c>
      <c r="AS232" s="95">
        <v>1</v>
      </c>
      <c r="AT232" s="75">
        <v>0</v>
      </c>
      <c r="AU232" s="75">
        <v>0</v>
      </c>
      <c r="AV232" s="75">
        <v>0</v>
      </c>
      <c r="AW232" s="123">
        <v>0</v>
      </c>
      <c r="AX232" s="516"/>
      <c r="AY232" s="75">
        <v>0</v>
      </c>
      <c r="AZ232" s="77" t="s">
        <v>131</v>
      </c>
      <c r="BA232" s="78" t="s">
        <v>131</v>
      </c>
      <c r="BB232" s="78" t="s">
        <v>131</v>
      </c>
      <c r="BC232" s="78" t="s">
        <v>131</v>
      </c>
      <c r="BD232" s="78" t="s">
        <v>131</v>
      </c>
      <c r="BE232" s="78" t="s">
        <v>131</v>
      </c>
      <c r="BF232" s="78" t="s">
        <v>131</v>
      </c>
      <c r="BG232" s="78" t="s">
        <v>132</v>
      </c>
      <c r="BH232" s="75" t="s">
        <v>5970</v>
      </c>
      <c r="BI232" s="295">
        <v>0</v>
      </c>
      <c r="BJ232" s="546">
        <v>1</v>
      </c>
      <c r="BK232" s="294" t="s">
        <v>16</v>
      </c>
      <c r="BL232" s="157" t="s">
        <v>16</v>
      </c>
      <c r="BM232" s="548" t="s">
        <v>1345</v>
      </c>
      <c r="BN232" s="548" t="s">
        <v>4158</v>
      </c>
      <c r="BO232" s="157" t="s">
        <v>4433</v>
      </c>
      <c r="BP232" s="548" t="s">
        <v>5877</v>
      </c>
      <c r="BQ232" s="157" t="s">
        <v>4299</v>
      </c>
      <c r="BR232" s="157"/>
    </row>
    <row r="233" spans="1:70" x14ac:dyDescent="0.25">
      <c r="A233" s="19" t="s">
        <v>3686</v>
      </c>
      <c r="B233" s="37" t="s">
        <v>5286</v>
      </c>
      <c r="C233" s="90">
        <v>45469.560752314814</v>
      </c>
      <c r="D233" s="114">
        <v>45469.310752314814</v>
      </c>
      <c r="E233" s="38">
        <v>45469</v>
      </c>
      <c r="F233" s="91">
        <v>2024</v>
      </c>
      <c r="G233" s="93">
        <v>6</v>
      </c>
      <c r="H233" s="37" t="s">
        <v>5006</v>
      </c>
      <c r="I233" s="37" t="s">
        <v>16</v>
      </c>
      <c r="J233" s="103">
        <v>-92.618945806579276</v>
      </c>
      <c r="K233" s="40">
        <v>44.850780344149364</v>
      </c>
      <c r="L233" s="74"/>
      <c r="M233" s="272" t="s">
        <v>5287</v>
      </c>
      <c r="N233" s="74">
        <v>1</v>
      </c>
      <c r="O233" s="94"/>
      <c r="P233" s="118">
        <v>1</v>
      </c>
      <c r="Q233" s="510">
        <v>120</v>
      </c>
      <c r="R233" s="513">
        <v>120</v>
      </c>
      <c r="S233" s="41"/>
      <c r="T233" s="40"/>
      <c r="U233" s="40">
        <v>7</v>
      </c>
      <c r="V233" s="119">
        <v>1</v>
      </c>
      <c r="W233" s="40">
        <v>100</v>
      </c>
      <c r="X233" s="119">
        <v>1</v>
      </c>
      <c r="Y233" s="40">
        <v>56</v>
      </c>
      <c r="Z233" s="119">
        <v>0</v>
      </c>
      <c r="AA233" s="368" t="s">
        <v>16</v>
      </c>
      <c r="AB233" s="535" t="s">
        <v>16</v>
      </c>
      <c r="AC233" s="39" t="s">
        <v>160</v>
      </c>
      <c r="AD233" s="75" t="s">
        <v>9</v>
      </c>
      <c r="AE233" s="95">
        <v>0</v>
      </c>
      <c r="AF233" s="75">
        <v>0</v>
      </c>
      <c r="AG233" s="75">
        <v>1</v>
      </c>
      <c r="AH233" s="75">
        <v>0</v>
      </c>
      <c r="AI233" s="75">
        <v>0</v>
      </c>
      <c r="AJ233" s="75">
        <v>0</v>
      </c>
      <c r="AK233" s="75">
        <v>0</v>
      </c>
      <c r="AL233" s="95">
        <v>0</v>
      </c>
      <c r="AM233" s="92">
        <v>0</v>
      </c>
      <c r="AN233" s="79" t="s">
        <v>80</v>
      </c>
      <c r="AO233" s="75">
        <v>1</v>
      </c>
      <c r="AP233" s="75" t="s">
        <v>83</v>
      </c>
      <c r="AQ233" s="122">
        <v>1</v>
      </c>
      <c r="AR233" s="515" t="s">
        <v>2508</v>
      </c>
      <c r="AS233" s="95">
        <v>1</v>
      </c>
      <c r="AT233" s="75">
        <v>0</v>
      </c>
      <c r="AU233" s="75">
        <v>0</v>
      </c>
      <c r="AV233" s="75">
        <v>0</v>
      </c>
      <c r="AW233" s="123">
        <v>0</v>
      </c>
      <c r="AX233" s="516"/>
      <c r="AY233" s="75">
        <v>0</v>
      </c>
      <c r="AZ233" s="77" t="s">
        <v>131</v>
      </c>
      <c r="BA233" s="78" t="s">
        <v>131</v>
      </c>
      <c r="BB233" s="78" t="s">
        <v>132</v>
      </c>
      <c r="BC233" s="78" t="s">
        <v>131</v>
      </c>
      <c r="BD233" s="78" t="s">
        <v>131</v>
      </c>
      <c r="BE233" s="78" t="s">
        <v>131</v>
      </c>
      <c r="BF233" s="78" t="s">
        <v>131</v>
      </c>
      <c r="BG233" s="78" t="s">
        <v>131</v>
      </c>
      <c r="BH233" s="75" t="s">
        <v>5970</v>
      </c>
      <c r="BI233" s="295" t="s">
        <v>2226</v>
      </c>
      <c r="BJ233" s="546">
        <v>1</v>
      </c>
      <c r="BK233" s="294">
        <v>1</v>
      </c>
      <c r="BL233" s="157">
        <v>1</v>
      </c>
      <c r="BM233" s="548" t="s">
        <v>578</v>
      </c>
      <c r="BN233" s="548" t="s">
        <v>5969</v>
      </c>
      <c r="BO233" s="157" t="s">
        <v>4310</v>
      </c>
      <c r="BP233" s="548" t="s">
        <v>2226</v>
      </c>
      <c r="BQ233" s="157" t="s">
        <v>4309</v>
      </c>
      <c r="BR233" s="157"/>
    </row>
    <row r="234" spans="1:70" x14ac:dyDescent="0.25">
      <c r="A234" s="19" t="s">
        <v>3686</v>
      </c>
      <c r="B234" s="37" t="s">
        <v>5288</v>
      </c>
      <c r="C234" s="90">
        <v>45468.841064814813</v>
      </c>
      <c r="D234" s="114">
        <v>45468.591064814813</v>
      </c>
      <c r="E234" s="38">
        <v>45468</v>
      </c>
      <c r="F234" s="91">
        <v>2024</v>
      </c>
      <c r="G234" s="93">
        <v>6</v>
      </c>
      <c r="H234" s="37" t="s">
        <v>5289</v>
      </c>
      <c r="I234" s="37" t="s">
        <v>16</v>
      </c>
      <c r="J234" s="103">
        <v>-90.704041349217604</v>
      </c>
      <c r="K234" s="40">
        <v>43.118543505442382</v>
      </c>
      <c r="L234" s="74"/>
      <c r="M234" s="272" t="s">
        <v>5290</v>
      </c>
      <c r="N234" s="74">
        <v>1</v>
      </c>
      <c r="O234" s="94"/>
      <c r="P234" s="118">
        <v>1</v>
      </c>
      <c r="Q234" s="510">
        <v>180</v>
      </c>
      <c r="R234" s="513">
        <v>120</v>
      </c>
      <c r="S234" s="41"/>
      <c r="T234" s="40"/>
      <c r="U234" s="40">
        <v>7</v>
      </c>
      <c r="V234" s="119">
        <v>1</v>
      </c>
      <c r="W234" s="40">
        <v>100</v>
      </c>
      <c r="X234" s="119">
        <v>1</v>
      </c>
      <c r="Y234" s="40">
        <v>62</v>
      </c>
      <c r="Z234" s="119">
        <v>1</v>
      </c>
      <c r="AA234" s="368">
        <v>0</v>
      </c>
      <c r="AB234" s="535">
        <v>1</v>
      </c>
      <c r="AC234" s="39" t="s">
        <v>160</v>
      </c>
      <c r="AD234" s="75" t="s">
        <v>16</v>
      </c>
      <c r="AE234" s="95">
        <v>-1</v>
      </c>
      <c r="AF234" s="75">
        <v>-1</v>
      </c>
      <c r="AG234" s="75">
        <v>-1</v>
      </c>
      <c r="AH234" s="75">
        <v>-1</v>
      </c>
      <c r="AI234" s="75">
        <v>-1</v>
      </c>
      <c r="AJ234" s="75">
        <v>-1</v>
      </c>
      <c r="AK234" s="75">
        <v>-1</v>
      </c>
      <c r="AL234" s="95">
        <v>-1</v>
      </c>
      <c r="AM234" s="92">
        <v>1</v>
      </c>
      <c r="AN234" s="79"/>
      <c r="AO234" s="75">
        <v>0</v>
      </c>
      <c r="AP234" s="75"/>
      <c r="AQ234" s="122">
        <v>0</v>
      </c>
      <c r="AR234" s="515" t="s">
        <v>13</v>
      </c>
      <c r="AS234" s="95">
        <v>1</v>
      </c>
      <c r="AT234" s="75">
        <v>0</v>
      </c>
      <c r="AU234" s="75">
        <v>0</v>
      </c>
      <c r="AV234" s="75">
        <v>0</v>
      </c>
      <c r="AW234" s="123">
        <v>0</v>
      </c>
      <c r="AX234" s="516"/>
      <c r="AY234" s="75">
        <v>0</v>
      </c>
      <c r="AZ234" s="77" t="s">
        <v>5971</v>
      </c>
      <c r="BA234" s="78" t="s">
        <v>5971</v>
      </c>
      <c r="BB234" s="78" t="s">
        <v>5971</v>
      </c>
      <c r="BC234" s="78" t="s">
        <v>5971</v>
      </c>
      <c r="BD234" s="78" t="s">
        <v>5971</v>
      </c>
      <c r="BE234" s="78" t="s">
        <v>5971</v>
      </c>
      <c r="BF234" s="78" t="s">
        <v>5971</v>
      </c>
      <c r="BG234" s="78" t="s">
        <v>5971</v>
      </c>
      <c r="BH234" s="75" t="s">
        <v>5971</v>
      </c>
      <c r="BI234" s="295" t="s">
        <v>4019</v>
      </c>
      <c r="BJ234" s="546">
        <v>1</v>
      </c>
      <c r="BK234" s="294" t="s">
        <v>16</v>
      </c>
      <c r="BL234" s="157" t="s">
        <v>16</v>
      </c>
      <c r="BM234" s="548" t="s">
        <v>1345</v>
      </c>
      <c r="BN234" s="548" t="s">
        <v>4158</v>
      </c>
      <c r="BO234" s="157" t="s">
        <v>5878</v>
      </c>
      <c r="BP234" s="548" t="s">
        <v>4019</v>
      </c>
      <c r="BQ234" s="157" t="s">
        <v>4299</v>
      </c>
      <c r="BR234" s="157"/>
    </row>
    <row r="235" spans="1:70" x14ac:dyDescent="0.25">
      <c r="A235" s="19" t="s">
        <v>3686</v>
      </c>
      <c r="B235" s="37" t="s">
        <v>5291</v>
      </c>
      <c r="C235" s="90">
        <v>45468.631712962961</v>
      </c>
      <c r="D235" s="114">
        <v>45468.381712962961</v>
      </c>
      <c r="E235" s="38">
        <v>45468</v>
      </c>
      <c r="F235" s="91">
        <v>2024</v>
      </c>
      <c r="G235" s="93">
        <v>6</v>
      </c>
      <c r="H235" s="37" t="s">
        <v>475</v>
      </c>
      <c r="I235" s="37"/>
      <c r="J235" s="103">
        <v>-92.22315937497622</v>
      </c>
      <c r="K235" s="40">
        <v>43.606861857783969</v>
      </c>
      <c r="L235" s="74"/>
      <c r="M235" s="272" t="s">
        <v>5292</v>
      </c>
      <c r="N235" s="74">
        <v>1</v>
      </c>
      <c r="O235" s="94"/>
      <c r="P235" s="118">
        <v>1</v>
      </c>
      <c r="Q235" s="510">
        <v>180</v>
      </c>
      <c r="R235" s="513">
        <v>180</v>
      </c>
      <c r="S235" s="41"/>
      <c r="T235" s="40"/>
      <c r="U235" s="40">
        <v>7</v>
      </c>
      <c r="V235" s="119">
        <v>1</v>
      </c>
      <c r="W235" s="40">
        <v>100</v>
      </c>
      <c r="X235" s="119">
        <v>1</v>
      </c>
      <c r="Y235" s="40">
        <v>58</v>
      </c>
      <c r="Z235" s="119">
        <v>1</v>
      </c>
      <c r="AA235" s="368">
        <v>0</v>
      </c>
      <c r="AB235" s="535">
        <v>0</v>
      </c>
      <c r="AC235" s="39" t="s">
        <v>160</v>
      </c>
      <c r="AD235" s="75" t="s">
        <v>10</v>
      </c>
      <c r="AE235" s="95">
        <v>0</v>
      </c>
      <c r="AF235" s="75">
        <v>0</v>
      </c>
      <c r="AG235" s="75">
        <v>0</v>
      </c>
      <c r="AH235" s="75">
        <v>0</v>
      </c>
      <c r="AI235" s="75">
        <v>0</v>
      </c>
      <c r="AJ235" s="75">
        <v>0</v>
      </c>
      <c r="AK235" s="75">
        <v>0</v>
      </c>
      <c r="AL235" s="95">
        <v>1</v>
      </c>
      <c r="AM235" s="92">
        <v>0</v>
      </c>
      <c r="AN235" s="79" t="s">
        <v>195</v>
      </c>
      <c r="AO235" s="75">
        <v>1</v>
      </c>
      <c r="AP235" s="75"/>
      <c r="AQ235" s="122">
        <v>0</v>
      </c>
      <c r="AR235" s="515" t="s">
        <v>10</v>
      </c>
      <c r="AS235" s="95">
        <v>0</v>
      </c>
      <c r="AT235" s="75">
        <v>0</v>
      </c>
      <c r="AU235" s="75">
        <v>0</v>
      </c>
      <c r="AV235" s="75">
        <v>0</v>
      </c>
      <c r="AW235" s="123">
        <v>0</v>
      </c>
      <c r="AX235" s="516" t="s">
        <v>5293</v>
      </c>
      <c r="AY235" s="75">
        <v>1</v>
      </c>
      <c r="AZ235" s="77" t="s">
        <v>131</v>
      </c>
      <c r="BA235" s="78" t="s">
        <v>131</v>
      </c>
      <c r="BB235" s="78" t="s">
        <v>131</v>
      </c>
      <c r="BC235" s="78" t="s">
        <v>131</v>
      </c>
      <c r="BD235" s="78" t="s">
        <v>131</v>
      </c>
      <c r="BE235" s="78" t="s">
        <v>131</v>
      </c>
      <c r="BF235" s="78" t="s">
        <v>131</v>
      </c>
      <c r="BG235" s="78" t="s">
        <v>132</v>
      </c>
      <c r="BH235" s="75" t="s">
        <v>5970</v>
      </c>
      <c r="BI235" s="295" t="s">
        <v>2232</v>
      </c>
      <c r="BJ235" s="546">
        <v>1</v>
      </c>
      <c r="BK235" s="294" t="s">
        <v>16</v>
      </c>
      <c r="BL235" s="157" t="s">
        <v>16</v>
      </c>
      <c r="BM235" s="548" t="s">
        <v>1339</v>
      </c>
      <c r="BN235" s="548" t="s">
        <v>1339</v>
      </c>
      <c r="BO235" s="157" t="s">
        <v>4719</v>
      </c>
      <c r="BP235" s="548" t="s">
        <v>2232</v>
      </c>
      <c r="BQ235" s="157" t="s">
        <v>4229</v>
      </c>
      <c r="BR235" s="157"/>
    </row>
    <row r="236" spans="1:70" x14ac:dyDescent="0.25">
      <c r="A236" s="19" t="s">
        <v>3686</v>
      </c>
      <c r="B236" s="37" t="s">
        <v>5294</v>
      </c>
      <c r="C236" s="90">
        <v>45468.618298611109</v>
      </c>
      <c r="D236" s="114">
        <v>45468.368298611109</v>
      </c>
      <c r="E236" s="38">
        <v>45468</v>
      </c>
      <c r="F236" s="91">
        <v>2024</v>
      </c>
      <c r="G236" s="93">
        <v>6</v>
      </c>
      <c r="H236" s="37" t="s">
        <v>2548</v>
      </c>
      <c r="I236" s="37"/>
      <c r="J236" s="103">
        <v>-90.585451494892425</v>
      </c>
      <c r="K236" s="40">
        <v>42.86055356261086</v>
      </c>
      <c r="L236" s="74"/>
      <c r="M236" s="272" t="s">
        <v>5295</v>
      </c>
      <c r="N236" s="74">
        <v>1</v>
      </c>
      <c r="O236" s="94"/>
      <c r="P236" s="118">
        <v>1</v>
      </c>
      <c r="Q236" s="510">
        <v>180</v>
      </c>
      <c r="R236" s="513">
        <v>180</v>
      </c>
      <c r="S236" s="41"/>
      <c r="T236" s="40"/>
      <c r="U236" s="40">
        <v>8</v>
      </c>
      <c r="V236" s="119">
        <v>1</v>
      </c>
      <c r="W236" s="40">
        <v>0</v>
      </c>
      <c r="X236" s="119">
        <v>1</v>
      </c>
      <c r="Y236" s="40">
        <v>67</v>
      </c>
      <c r="Z236" s="119">
        <v>1</v>
      </c>
      <c r="AA236" s="368">
        <v>0</v>
      </c>
      <c r="AB236" s="535">
        <v>2</v>
      </c>
      <c r="AC236" s="39" t="s">
        <v>160</v>
      </c>
      <c r="AD236" s="75" t="s">
        <v>10</v>
      </c>
      <c r="AE236" s="95">
        <v>0</v>
      </c>
      <c r="AF236" s="75">
        <v>0</v>
      </c>
      <c r="AG236" s="75">
        <v>0</v>
      </c>
      <c r="AH236" s="75">
        <v>0</v>
      </c>
      <c r="AI236" s="75">
        <v>0</v>
      </c>
      <c r="AJ236" s="75">
        <v>0</v>
      </c>
      <c r="AK236" s="75">
        <v>0</v>
      </c>
      <c r="AL236" s="95">
        <v>1</v>
      </c>
      <c r="AM236" s="92">
        <v>0</v>
      </c>
      <c r="AN236" s="79" t="s">
        <v>80</v>
      </c>
      <c r="AO236" s="75">
        <v>1</v>
      </c>
      <c r="AP236" s="75" t="s">
        <v>85</v>
      </c>
      <c r="AQ236" s="122">
        <v>1</v>
      </c>
      <c r="AR236" s="515" t="s">
        <v>13</v>
      </c>
      <c r="AS236" s="95">
        <v>1</v>
      </c>
      <c r="AT236" s="75">
        <v>0</v>
      </c>
      <c r="AU236" s="75">
        <v>0</v>
      </c>
      <c r="AV236" s="75">
        <v>0</v>
      </c>
      <c r="AW236" s="123">
        <v>0</v>
      </c>
      <c r="AX236" s="516"/>
      <c r="AY236" s="75">
        <v>0</v>
      </c>
      <c r="AZ236" s="77" t="s">
        <v>131</v>
      </c>
      <c r="BA236" s="78" t="s">
        <v>131</v>
      </c>
      <c r="BB236" s="78" t="s">
        <v>131</v>
      </c>
      <c r="BC236" s="78" t="s">
        <v>131</v>
      </c>
      <c r="BD236" s="78" t="s">
        <v>131</v>
      </c>
      <c r="BE236" s="78" t="s">
        <v>131</v>
      </c>
      <c r="BF236" s="78" t="s">
        <v>131</v>
      </c>
      <c r="BG236" s="78" t="s">
        <v>132</v>
      </c>
      <c r="BH236" s="75" t="s">
        <v>5970</v>
      </c>
      <c r="BI236" s="295" t="s">
        <v>5881</v>
      </c>
      <c r="BJ236" s="546" t="s">
        <v>16</v>
      </c>
      <c r="BK236" s="294" t="s">
        <v>16</v>
      </c>
      <c r="BL236" s="157" t="s">
        <v>16</v>
      </c>
      <c r="BM236" s="548" t="s">
        <v>1345</v>
      </c>
      <c r="BN236" s="548" t="s">
        <v>4158</v>
      </c>
      <c r="BO236" s="157" t="s">
        <v>5880</v>
      </c>
      <c r="BP236" s="548" t="s">
        <v>5882</v>
      </c>
      <c r="BQ236" s="157" t="s">
        <v>5879</v>
      </c>
      <c r="BR236" s="157"/>
    </row>
    <row r="237" spans="1:70" x14ac:dyDescent="0.25">
      <c r="A237" s="19" t="s">
        <v>3686</v>
      </c>
      <c r="B237" s="37" t="s">
        <v>5296</v>
      </c>
      <c r="C237" s="90">
        <v>45468.561539351853</v>
      </c>
      <c r="D237" s="114">
        <v>45468.311539351853</v>
      </c>
      <c r="E237" s="38">
        <v>45468</v>
      </c>
      <c r="F237" s="91">
        <v>2024</v>
      </c>
      <c r="G237" s="93">
        <v>6</v>
      </c>
      <c r="H237" s="37" t="s">
        <v>5006</v>
      </c>
      <c r="I237" s="37" t="s">
        <v>16</v>
      </c>
      <c r="J237" s="103">
        <v>-92.507452660082919</v>
      </c>
      <c r="K237" s="40">
        <v>44.920949407589482</v>
      </c>
      <c r="L237" s="74"/>
      <c r="M237" s="272" t="s">
        <v>5297</v>
      </c>
      <c r="N237" s="74">
        <v>1</v>
      </c>
      <c r="O237" s="94"/>
      <c r="P237" s="118">
        <v>1</v>
      </c>
      <c r="Q237" s="510">
        <v>120</v>
      </c>
      <c r="R237" s="513">
        <v>120</v>
      </c>
      <c r="S237" s="41"/>
      <c r="T237" s="40"/>
      <c r="U237" s="40">
        <v>7.5</v>
      </c>
      <c r="V237" s="119">
        <v>1</v>
      </c>
      <c r="W237" s="40">
        <v>100</v>
      </c>
      <c r="X237" s="119">
        <v>1</v>
      </c>
      <c r="Y237" s="40">
        <v>61</v>
      </c>
      <c r="Z237" s="119">
        <v>0</v>
      </c>
      <c r="AA237" s="368" t="s">
        <v>16</v>
      </c>
      <c r="AB237" s="535" t="s">
        <v>16</v>
      </c>
      <c r="AC237" s="39" t="s">
        <v>160</v>
      </c>
      <c r="AD237" s="75" t="s">
        <v>10</v>
      </c>
      <c r="AE237" s="95">
        <v>0</v>
      </c>
      <c r="AF237" s="75">
        <v>0</v>
      </c>
      <c r="AG237" s="75">
        <v>0</v>
      </c>
      <c r="AH237" s="75">
        <v>0</v>
      </c>
      <c r="AI237" s="75">
        <v>0</v>
      </c>
      <c r="AJ237" s="75">
        <v>0</v>
      </c>
      <c r="AK237" s="75">
        <v>0</v>
      </c>
      <c r="AL237" s="95">
        <v>1</v>
      </c>
      <c r="AM237" s="92">
        <v>0</v>
      </c>
      <c r="AN237" s="79" t="s">
        <v>80</v>
      </c>
      <c r="AO237" s="75">
        <v>1</v>
      </c>
      <c r="AP237" s="75" t="s">
        <v>84</v>
      </c>
      <c r="AQ237" s="122">
        <v>1</v>
      </c>
      <c r="AR237" s="515" t="s">
        <v>13</v>
      </c>
      <c r="AS237" s="95">
        <v>1</v>
      </c>
      <c r="AT237" s="75">
        <v>0</v>
      </c>
      <c r="AU237" s="75">
        <v>0</v>
      </c>
      <c r="AV237" s="75">
        <v>0</v>
      </c>
      <c r="AW237" s="123">
        <v>0</v>
      </c>
      <c r="AX237" s="516" t="s">
        <v>5298</v>
      </c>
      <c r="AY237" s="75">
        <v>1</v>
      </c>
      <c r="AZ237" s="77" t="s">
        <v>131</v>
      </c>
      <c r="BA237" s="78" t="s">
        <v>131</v>
      </c>
      <c r="BB237" s="78" t="s">
        <v>131</v>
      </c>
      <c r="BC237" s="78" t="s">
        <v>131</v>
      </c>
      <c r="BD237" s="78" t="s">
        <v>131</v>
      </c>
      <c r="BE237" s="78" t="s">
        <v>131</v>
      </c>
      <c r="BF237" s="78" t="s">
        <v>131</v>
      </c>
      <c r="BG237" s="78" t="s">
        <v>132</v>
      </c>
      <c r="BH237" s="75" t="s">
        <v>5970</v>
      </c>
      <c r="BI237" s="295" t="s">
        <v>2322</v>
      </c>
      <c r="BJ237" s="546">
        <v>1</v>
      </c>
      <c r="BK237" s="294">
        <v>1</v>
      </c>
      <c r="BL237" s="157">
        <v>1</v>
      </c>
      <c r="BM237" s="548" t="s">
        <v>578</v>
      </c>
      <c r="BN237" s="548" t="s">
        <v>5969</v>
      </c>
      <c r="BO237" s="157" t="s">
        <v>4311</v>
      </c>
      <c r="BP237" s="548" t="s">
        <v>4395</v>
      </c>
      <c r="BQ237" s="157" t="s">
        <v>4309</v>
      </c>
      <c r="BR237" s="157"/>
    </row>
    <row r="238" spans="1:70" x14ac:dyDescent="0.25">
      <c r="A238" s="19" t="s">
        <v>3686</v>
      </c>
      <c r="B238" s="37" t="s">
        <v>5299</v>
      </c>
      <c r="C238" s="90">
        <v>45467.861712962964</v>
      </c>
      <c r="D238" s="114">
        <v>45467.611712962964</v>
      </c>
      <c r="E238" s="38">
        <v>45467</v>
      </c>
      <c r="F238" s="91">
        <v>2024</v>
      </c>
      <c r="G238" s="93">
        <v>6</v>
      </c>
      <c r="H238" s="37" t="s">
        <v>5006</v>
      </c>
      <c r="I238" s="37" t="s">
        <v>16</v>
      </c>
      <c r="J238" s="103">
        <v>-92.343708176980101</v>
      </c>
      <c r="K238" s="40">
        <v>44.771929858854548</v>
      </c>
      <c r="L238" s="74"/>
      <c r="M238" s="272" t="s">
        <v>5300</v>
      </c>
      <c r="N238" s="74">
        <v>1</v>
      </c>
      <c r="O238" s="94"/>
      <c r="P238" s="118">
        <v>1</v>
      </c>
      <c r="Q238" s="510">
        <v>180</v>
      </c>
      <c r="R238" s="513">
        <v>120</v>
      </c>
      <c r="S238" s="41"/>
      <c r="T238" s="40"/>
      <c r="U238" s="40">
        <v>7</v>
      </c>
      <c r="V238" s="119">
        <v>1</v>
      </c>
      <c r="W238" s="40">
        <v>200</v>
      </c>
      <c r="X238" s="119">
        <v>1</v>
      </c>
      <c r="Y238" s="40">
        <v>67</v>
      </c>
      <c r="Z238" s="119">
        <v>1</v>
      </c>
      <c r="AA238" s="368">
        <v>0</v>
      </c>
      <c r="AB238" s="535">
        <v>5</v>
      </c>
      <c r="AC238" s="39" t="s">
        <v>160</v>
      </c>
      <c r="AD238" s="75" t="s">
        <v>10</v>
      </c>
      <c r="AE238" s="95">
        <v>0</v>
      </c>
      <c r="AF238" s="75">
        <v>0</v>
      </c>
      <c r="AG238" s="75">
        <v>0</v>
      </c>
      <c r="AH238" s="75">
        <v>0</v>
      </c>
      <c r="AI238" s="75">
        <v>0</v>
      </c>
      <c r="AJ238" s="75">
        <v>0</v>
      </c>
      <c r="AK238" s="75">
        <v>0</v>
      </c>
      <c r="AL238" s="95">
        <v>1</v>
      </c>
      <c r="AM238" s="92">
        <v>0</v>
      </c>
      <c r="AN238" s="79" t="s">
        <v>81</v>
      </c>
      <c r="AO238" s="75">
        <v>1</v>
      </c>
      <c r="AP238" s="75" t="s">
        <v>85</v>
      </c>
      <c r="AQ238" s="122">
        <v>1</v>
      </c>
      <c r="AR238" s="515" t="s">
        <v>13</v>
      </c>
      <c r="AS238" s="95">
        <v>1</v>
      </c>
      <c r="AT238" s="75">
        <v>0</v>
      </c>
      <c r="AU238" s="75">
        <v>0</v>
      </c>
      <c r="AV238" s="75">
        <v>0</v>
      </c>
      <c r="AW238" s="123">
        <v>0</v>
      </c>
      <c r="AX238" s="516"/>
      <c r="AY238" s="75">
        <v>0</v>
      </c>
      <c r="AZ238" s="77" t="s">
        <v>131</v>
      </c>
      <c r="BA238" s="78" t="s">
        <v>131</v>
      </c>
      <c r="BB238" s="78" t="s">
        <v>131</v>
      </c>
      <c r="BC238" s="78" t="s">
        <v>131</v>
      </c>
      <c r="BD238" s="78" t="s">
        <v>131</v>
      </c>
      <c r="BE238" s="78" t="s">
        <v>131</v>
      </c>
      <c r="BF238" s="78" t="s">
        <v>131</v>
      </c>
      <c r="BG238" s="78" t="s">
        <v>132</v>
      </c>
      <c r="BH238" s="75" t="s">
        <v>5970</v>
      </c>
      <c r="BI238" s="295" t="s">
        <v>2231</v>
      </c>
      <c r="BJ238" s="546">
        <v>1</v>
      </c>
      <c r="BK238" s="294">
        <v>1</v>
      </c>
      <c r="BL238" s="157">
        <v>1</v>
      </c>
      <c r="BM238" s="548" t="s">
        <v>578</v>
      </c>
      <c r="BN238" s="548" t="s">
        <v>5969</v>
      </c>
      <c r="BO238" s="157" t="s">
        <v>4213</v>
      </c>
      <c r="BP238" s="548" t="s">
        <v>4216</v>
      </c>
      <c r="BQ238" s="157" t="s">
        <v>4212</v>
      </c>
      <c r="BR238" s="157"/>
    </row>
    <row r="239" spans="1:70" x14ac:dyDescent="0.25">
      <c r="A239" s="19" t="s">
        <v>3686</v>
      </c>
      <c r="B239" s="37" t="s">
        <v>5301</v>
      </c>
      <c r="C239" s="90">
        <v>45467.765659722223</v>
      </c>
      <c r="D239" s="114">
        <v>45467.515659722223</v>
      </c>
      <c r="E239" s="38">
        <v>45467</v>
      </c>
      <c r="F239" s="91">
        <v>2024</v>
      </c>
      <c r="G239" s="93">
        <v>6</v>
      </c>
      <c r="H239" s="37" t="s">
        <v>2548</v>
      </c>
      <c r="I239" s="37" t="s">
        <v>16</v>
      </c>
      <c r="J239" s="103">
        <v>-90.575715923490577</v>
      </c>
      <c r="K239" s="40">
        <v>43.070267620873217</v>
      </c>
      <c r="L239" s="74"/>
      <c r="M239" s="272" t="s">
        <v>16</v>
      </c>
      <c r="N239" s="74">
        <v>0</v>
      </c>
      <c r="O239" s="94"/>
      <c r="P239" s="118">
        <v>1</v>
      </c>
      <c r="Q239" s="510">
        <v>80</v>
      </c>
      <c r="R239" s="513">
        <v>0</v>
      </c>
      <c r="S239" s="41"/>
      <c r="T239" s="40"/>
      <c r="U239" s="40">
        <v>7.5</v>
      </c>
      <c r="V239" s="119">
        <v>1</v>
      </c>
      <c r="W239" s="40">
        <v>100</v>
      </c>
      <c r="X239" s="119">
        <v>1</v>
      </c>
      <c r="Y239" s="40">
        <v>64</v>
      </c>
      <c r="Z239" s="119">
        <v>1</v>
      </c>
      <c r="AA239" s="368">
        <v>0</v>
      </c>
      <c r="AB239" s="535">
        <v>2</v>
      </c>
      <c r="AC239" s="39" t="s">
        <v>160</v>
      </c>
      <c r="AD239" s="75" t="s">
        <v>551</v>
      </c>
      <c r="AE239" s="95">
        <v>0</v>
      </c>
      <c r="AF239" s="75">
        <v>0</v>
      </c>
      <c r="AG239" s="75">
        <v>0</v>
      </c>
      <c r="AH239" s="75">
        <v>0</v>
      </c>
      <c r="AI239" s="75">
        <v>1</v>
      </c>
      <c r="AJ239" s="75">
        <v>0</v>
      </c>
      <c r="AK239" s="75">
        <v>0</v>
      </c>
      <c r="AL239" s="95">
        <v>0</v>
      </c>
      <c r="AM239" s="92">
        <v>0</v>
      </c>
      <c r="AN239" s="79" t="s">
        <v>80</v>
      </c>
      <c r="AO239" s="75">
        <v>1</v>
      </c>
      <c r="AP239" s="75" t="s">
        <v>84</v>
      </c>
      <c r="AQ239" s="122">
        <v>1</v>
      </c>
      <c r="AR239" s="515" t="s">
        <v>904</v>
      </c>
      <c r="AS239" s="95">
        <v>1</v>
      </c>
      <c r="AT239" s="75">
        <v>1</v>
      </c>
      <c r="AU239" s="75">
        <v>0</v>
      </c>
      <c r="AV239" s="75">
        <v>0</v>
      </c>
      <c r="AW239" s="123">
        <v>0</v>
      </c>
      <c r="AX239" s="516"/>
      <c r="AY239" s="75">
        <v>0</v>
      </c>
      <c r="AZ239" s="77" t="s">
        <v>131</v>
      </c>
      <c r="BA239" s="78" t="s">
        <v>131</v>
      </c>
      <c r="BB239" s="78" t="s">
        <v>131</v>
      </c>
      <c r="BC239" s="78" t="s">
        <v>131</v>
      </c>
      <c r="BD239" s="78" t="s">
        <v>132</v>
      </c>
      <c r="BE239" s="78" t="s">
        <v>131</v>
      </c>
      <c r="BF239" s="78" t="s">
        <v>131</v>
      </c>
      <c r="BG239" s="78" t="s">
        <v>131</v>
      </c>
      <c r="BH239" s="75" t="s">
        <v>5970</v>
      </c>
      <c r="BI239" s="295" t="s">
        <v>16</v>
      </c>
      <c r="BJ239" s="546">
        <v>1</v>
      </c>
      <c r="BK239" s="294">
        <v>1</v>
      </c>
      <c r="BL239" s="157">
        <v>1</v>
      </c>
      <c r="BM239" s="548" t="s">
        <v>1345</v>
      </c>
      <c r="BN239" s="548" t="s">
        <v>4158</v>
      </c>
      <c r="BO239" s="157" t="s">
        <v>5883</v>
      </c>
      <c r="BP239" s="548" t="s">
        <v>5884</v>
      </c>
      <c r="BQ239" s="157" t="s">
        <v>5824</v>
      </c>
      <c r="BR239" s="157"/>
    </row>
    <row r="240" spans="1:70" x14ac:dyDescent="0.25">
      <c r="A240" s="19" t="s">
        <v>3686</v>
      </c>
      <c r="B240" s="37" t="s">
        <v>5302</v>
      </c>
      <c r="C240" s="90">
        <v>45467.752222222225</v>
      </c>
      <c r="D240" s="114">
        <v>45467.502222222225</v>
      </c>
      <c r="E240" s="38">
        <v>45467</v>
      </c>
      <c r="F240" s="91">
        <v>2024</v>
      </c>
      <c r="G240" s="93">
        <v>6</v>
      </c>
      <c r="H240" s="37" t="s">
        <v>2548</v>
      </c>
      <c r="I240" s="37"/>
      <c r="J240" s="103">
        <v>-90.573504039956603</v>
      </c>
      <c r="K240" s="40">
        <v>43.073802391877386</v>
      </c>
      <c r="L240" s="74"/>
      <c r="M240" s="272" t="s">
        <v>5303</v>
      </c>
      <c r="N240" s="74">
        <v>1</v>
      </c>
      <c r="O240" s="94"/>
      <c r="P240" s="118">
        <v>1</v>
      </c>
      <c r="Q240" s="510">
        <v>180</v>
      </c>
      <c r="R240" s="513">
        <v>120</v>
      </c>
      <c r="S240" s="41"/>
      <c r="T240" s="40"/>
      <c r="U240" s="40">
        <v>8</v>
      </c>
      <c r="V240" s="119">
        <v>1</v>
      </c>
      <c r="W240" s="40">
        <v>0</v>
      </c>
      <c r="X240" s="119">
        <v>1</v>
      </c>
      <c r="Y240" s="40">
        <v>58</v>
      </c>
      <c r="Z240" s="119">
        <v>1</v>
      </c>
      <c r="AA240" s="368">
        <v>0</v>
      </c>
      <c r="AB240" s="535">
        <v>5</v>
      </c>
      <c r="AC240" s="39" t="s">
        <v>160</v>
      </c>
      <c r="AD240" s="75" t="s">
        <v>10</v>
      </c>
      <c r="AE240" s="95">
        <v>0</v>
      </c>
      <c r="AF240" s="75">
        <v>0</v>
      </c>
      <c r="AG240" s="75">
        <v>0</v>
      </c>
      <c r="AH240" s="75">
        <v>0</v>
      </c>
      <c r="AI240" s="75">
        <v>0</v>
      </c>
      <c r="AJ240" s="75">
        <v>0</v>
      </c>
      <c r="AK240" s="75">
        <v>0</v>
      </c>
      <c r="AL240" s="95">
        <v>1</v>
      </c>
      <c r="AM240" s="92">
        <v>0</v>
      </c>
      <c r="AN240" s="79" t="s">
        <v>80</v>
      </c>
      <c r="AO240" s="75">
        <v>1</v>
      </c>
      <c r="AP240" s="75" t="s">
        <v>83</v>
      </c>
      <c r="AQ240" s="122">
        <v>1</v>
      </c>
      <c r="AR240" s="515" t="s">
        <v>904</v>
      </c>
      <c r="AS240" s="95">
        <v>1</v>
      </c>
      <c r="AT240" s="75">
        <v>1</v>
      </c>
      <c r="AU240" s="75">
        <v>0</v>
      </c>
      <c r="AV240" s="75">
        <v>0</v>
      </c>
      <c r="AW240" s="123">
        <v>0</v>
      </c>
      <c r="AX240" s="516"/>
      <c r="AY240" s="75">
        <v>0</v>
      </c>
      <c r="AZ240" s="77" t="s">
        <v>131</v>
      </c>
      <c r="BA240" s="78" t="s">
        <v>131</v>
      </c>
      <c r="BB240" s="78" t="s">
        <v>131</v>
      </c>
      <c r="BC240" s="78" t="s">
        <v>131</v>
      </c>
      <c r="BD240" s="78" t="s">
        <v>131</v>
      </c>
      <c r="BE240" s="78" t="s">
        <v>131</v>
      </c>
      <c r="BF240" s="78" t="s">
        <v>131</v>
      </c>
      <c r="BG240" s="78" t="s">
        <v>132</v>
      </c>
      <c r="BH240" s="75" t="s">
        <v>5970</v>
      </c>
      <c r="BI240" s="295" t="s">
        <v>5963</v>
      </c>
      <c r="BJ240" s="546">
        <v>1</v>
      </c>
      <c r="BK240" s="294">
        <v>1</v>
      </c>
      <c r="BL240" s="157">
        <v>1</v>
      </c>
      <c r="BM240" s="548" t="s">
        <v>1345</v>
      </c>
      <c r="BN240" s="548" t="s">
        <v>4158</v>
      </c>
      <c r="BO240" s="157" t="s">
        <v>5883</v>
      </c>
      <c r="BP240" s="548" t="s">
        <v>5884</v>
      </c>
      <c r="BQ240" s="157" t="s">
        <v>5824</v>
      </c>
      <c r="BR240" s="157"/>
    </row>
    <row r="241" spans="1:70" x14ac:dyDescent="0.25">
      <c r="A241" s="19" t="s">
        <v>3686</v>
      </c>
      <c r="B241" s="37" t="s">
        <v>5304</v>
      </c>
      <c r="C241" s="90">
        <v>45467.65587962963</v>
      </c>
      <c r="D241" s="114">
        <v>45467.40587962963</v>
      </c>
      <c r="E241" s="38">
        <v>45467</v>
      </c>
      <c r="F241" s="91">
        <v>2024</v>
      </c>
      <c r="G241" s="93">
        <v>6</v>
      </c>
      <c r="H241" s="37" t="s">
        <v>475</v>
      </c>
      <c r="I241" s="37"/>
      <c r="J241" s="103">
        <v>-92.648591919680314</v>
      </c>
      <c r="K241" s="40">
        <v>44.075552678309997</v>
      </c>
      <c r="L241" s="74"/>
      <c r="M241" s="272" t="s">
        <v>5305</v>
      </c>
      <c r="N241" s="74">
        <v>1</v>
      </c>
      <c r="O241" s="94"/>
      <c r="P241" s="118">
        <v>0</v>
      </c>
      <c r="Q241" s="510"/>
      <c r="R241" s="513"/>
      <c r="S241" s="41"/>
      <c r="T241" s="40"/>
      <c r="U241" s="40"/>
      <c r="V241" s="119">
        <v>0</v>
      </c>
      <c r="W241" s="40"/>
      <c r="X241" s="119">
        <v>1</v>
      </c>
      <c r="Y241" s="40">
        <v>62</v>
      </c>
      <c r="Z241" s="119">
        <v>1</v>
      </c>
      <c r="AA241" s="368">
        <v>0</v>
      </c>
      <c r="AB241" s="535">
        <v>10</v>
      </c>
      <c r="AC241" s="39" t="s">
        <v>160</v>
      </c>
      <c r="AD241" s="75" t="s">
        <v>10</v>
      </c>
      <c r="AE241" s="95">
        <v>0</v>
      </c>
      <c r="AF241" s="75">
        <v>0</v>
      </c>
      <c r="AG241" s="75">
        <v>0</v>
      </c>
      <c r="AH241" s="75">
        <v>0</v>
      </c>
      <c r="AI241" s="75">
        <v>0</v>
      </c>
      <c r="AJ241" s="75">
        <v>0</v>
      </c>
      <c r="AK241" s="75">
        <v>0</v>
      </c>
      <c r="AL241" s="95">
        <v>1</v>
      </c>
      <c r="AM241" s="92">
        <v>0</v>
      </c>
      <c r="AN241" s="79" t="s">
        <v>195</v>
      </c>
      <c r="AO241" s="75">
        <v>1</v>
      </c>
      <c r="AP241" s="75"/>
      <c r="AQ241" s="122">
        <v>0</v>
      </c>
      <c r="AR241" s="515" t="s">
        <v>10</v>
      </c>
      <c r="AS241" s="95">
        <v>0</v>
      </c>
      <c r="AT241" s="75">
        <v>0</v>
      </c>
      <c r="AU241" s="75">
        <v>0</v>
      </c>
      <c r="AV241" s="75">
        <v>0</v>
      </c>
      <c r="AW241" s="123">
        <v>0</v>
      </c>
      <c r="AX241" s="516" t="s">
        <v>5306</v>
      </c>
      <c r="AY241" s="75">
        <v>1</v>
      </c>
      <c r="AZ241" s="77" t="s">
        <v>131</v>
      </c>
      <c r="BA241" s="78" t="s">
        <v>131</v>
      </c>
      <c r="BB241" s="78" t="s">
        <v>131</v>
      </c>
      <c r="BC241" s="78" t="s">
        <v>131</v>
      </c>
      <c r="BD241" s="78" t="s">
        <v>131</v>
      </c>
      <c r="BE241" s="78" t="s">
        <v>131</v>
      </c>
      <c r="BF241" s="78" t="s">
        <v>131</v>
      </c>
      <c r="BG241" s="78" t="s">
        <v>132</v>
      </c>
      <c r="BH241" s="75" t="s">
        <v>5970</v>
      </c>
      <c r="BI241" s="295" t="s">
        <v>5823</v>
      </c>
      <c r="BJ241" s="546" t="s">
        <v>16</v>
      </c>
      <c r="BK241" s="294" t="s">
        <v>16</v>
      </c>
      <c r="BL241" s="157" t="s">
        <v>16</v>
      </c>
      <c r="BM241" s="548" t="s">
        <v>1339</v>
      </c>
      <c r="BN241" s="548" t="s">
        <v>1339</v>
      </c>
      <c r="BO241" s="157" t="s">
        <v>5822</v>
      </c>
      <c r="BP241" s="548" t="s">
        <v>5823</v>
      </c>
      <c r="BQ241" s="157" t="s">
        <v>5821</v>
      </c>
      <c r="BR241" s="157"/>
    </row>
    <row r="242" spans="1:70" x14ac:dyDescent="0.25">
      <c r="A242" s="19" t="s">
        <v>3686</v>
      </c>
      <c r="B242" s="37" t="s">
        <v>5307</v>
      </c>
      <c r="C242" s="90">
        <v>45465.680462962962</v>
      </c>
      <c r="D242" s="114">
        <v>45465.430462962962</v>
      </c>
      <c r="E242" s="38">
        <v>45465</v>
      </c>
      <c r="F242" s="91">
        <v>2024</v>
      </c>
      <c r="G242" s="93">
        <v>6</v>
      </c>
      <c r="H242" s="37" t="s">
        <v>475</v>
      </c>
      <c r="I242" s="37"/>
      <c r="J242" s="103">
        <v>-92.495157793250399</v>
      </c>
      <c r="K242" s="40">
        <v>44.050666443113286</v>
      </c>
      <c r="L242" s="74"/>
      <c r="M242" s="272" t="s">
        <v>16</v>
      </c>
      <c r="N242" s="74">
        <v>0</v>
      </c>
      <c r="O242" s="94"/>
      <c r="P242" s="118">
        <v>0</v>
      </c>
      <c r="Q242" s="510"/>
      <c r="R242" s="513"/>
      <c r="S242" s="41"/>
      <c r="T242" s="40"/>
      <c r="U242" s="40"/>
      <c r="V242" s="119">
        <v>0</v>
      </c>
      <c r="W242" s="40"/>
      <c r="X242" s="119">
        <v>0</v>
      </c>
      <c r="Y242" s="40"/>
      <c r="Z242" s="119">
        <v>1</v>
      </c>
      <c r="AA242" s="368">
        <v>0</v>
      </c>
      <c r="AB242" s="535">
        <v>10</v>
      </c>
      <c r="AC242" s="39"/>
      <c r="AD242" s="75" t="s">
        <v>16</v>
      </c>
      <c r="AE242" s="95">
        <v>-1</v>
      </c>
      <c r="AF242" s="75">
        <v>-1</v>
      </c>
      <c r="AG242" s="75">
        <v>-1</v>
      </c>
      <c r="AH242" s="75">
        <v>-1</v>
      </c>
      <c r="AI242" s="75">
        <v>-1</v>
      </c>
      <c r="AJ242" s="75">
        <v>-1</v>
      </c>
      <c r="AK242" s="75">
        <v>-1</v>
      </c>
      <c r="AL242" s="95">
        <v>-1</v>
      </c>
      <c r="AM242" s="92">
        <v>1</v>
      </c>
      <c r="AN242" s="79"/>
      <c r="AO242" s="75">
        <v>0</v>
      </c>
      <c r="AP242" s="75"/>
      <c r="AQ242" s="122">
        <v>0</v>
      </c>
      <c r="AR242" s="515" t="s">
        <v>16</v>
      </c>
      <c r="AS242" s="95">
        <v>-1</v>
      </c>
      <c r="AT242" s="75">
        <v>-1</v>
      </c>
      <c r="AU242" s="75">
        <v>-1</v>
      </c>
      <c r="AV242" s="75">
        <v>-1</v>
      </c>
      <c r="AW242" s="123">
        <v>1</v>
      </c>
      <c r="AX242" s="516"/>
      <c r="AY242" s="75">
        <v>0</v>
      </c>
      <c r="AZ242" s="77" t="s">
        <v>5971</v>
      </c>
      <c r="BA242" s="78" t="s">
        <v>5971</v>
      </c>
      <c r="BB242" s="78" t="s">
        <v>5971</v>
      </c>
      <c r="BC242" s="78" t="s">
        <v>5971</v>
      </c>
      <c r="BD242" s="78" t="s">
        <v>5971</v>
      </c>
      <c r="BE242" s="78" t="s">
        <v>5971</v>
      </c>
      <c r="BF242" s="78" t="s">
        <v>5971</v>
      </c>
      <c r="BG242" s="78" t="s">
        <v>5971</v>
      </c>
      <c r="BH242" s="75" t="s">
        <v>5971</v>
      </c>
      <c r="BI242" s="295" t="s">
        <v>16</v>
      </c>
      <c r="BJ242" s="546" t="s">
        <v>16</v>
      </c>
      <c r="BK242" s="294" t="s">
        <v>16</v>
      </c>
      <c r="BL242" s="157" t="s">
        <v>16</v>
      </c>
      <c r="BM242" s="548" t="s">
        <v>1339</v>
      </c>
      <c r="BN242" s="548" t="s">
        <v>1339</v>
      </c>
      <c r="BO242" s="157" t="s">
        <v>5840</v>
      </c>
      <c r="BP242" s="548" t="s">
        <v>3967</v>
      </c>
      <c r="BQ242" s="157" t="s">
        <v>4380</v>
      </c>
      <c r="BR242" s="157"/>
    </row>
    <row r="243" spans="1:70" x14ac:dyDescent="0.25">
      <c r="A243" s="19" t="s">
        <v>3686</v>
      </c>
      <c r="B243" s="37" t="s">
        <v>5308</v>
      </c>
      <c r="C243" s="90">
        <v>45465.66851851852</v>
      </c>
      <c r="D243" s="114">
        <v>45465.41851851852</v>
      </c>
      <c r="E243" s="38">
        <v>45465</v>
      </c>
      <c r="F243" s="91">
        <v>2024</v>
      </c>
      <c r="G243" s="93">
        <v>6</v>
      </c>
      <c r="H243" s="37" t="s">
        <v>475</v>
      </c>
      <c r="I243" s="37"/>
      <c r="J243" s="103">
        <v>-92.64807157719288</v>
      </c>
      <c r="K243" s="40">
        <v>44.075731275218509</v>
      </c>
      <c r="L243" s="74"/>
      <c r="M243" s="272" t="s">
        <v>5309</v>
      </c>
      <c r="N243" s="74">
        <v>1</v>
      </c>
      <c r="O243" s="94"/>
      <c r="P243" s="118">
        <v>0</v>
      </c>
      <c r="Q243" s="510"/>
      <c r="R243" s="513"/>
      <c r="S243" s="41"/>
      <c r="T243" s="40"/>
      <c r="U243" s="40"/>
      <c r="V243" s="119">
        <v>0</v>
      </c>
      <c r="W243" s="40"/>
      <c r="X243" s="119">
        <v>1</v>
      </c>
      <c r="Y243" s="40">
        <v>62</v>
      </c>
      <c r="Z243" s="119">
        <v>1</v>
      </c>
      <c r="AA243" s="368">
        <v>0</v>
      </c>
      <c r="AB243" s="535">
        <v>5</v>
      </c>
      <c r="AC243" s="39" t="s">
        <v>160</v>
      </c>
      <c r="AD243" s="75" t="s">
        <v>16</v>
      </c>
      <c r="AE243" s="95">
        <v>-1</v>
      </c>
      <c r="AF243" s="75">
        <v>-1</v>
      </c>
      <c r="AG243" s="75">
        <v>-1</v>
      </c>
      <c r="AH243" s="75">
        <v>-1</v>
      </c>
      <c r="AI243" s="75">
        <v>-1</v>
      </c>
      <c r="AJ243" s="75">
        <v>-1</v>
      </c>
      <c r="AK243" s="75">
        <v>-1</v>
      </c>
      <c r="AL243" s="95">
        <v>-1</v>
      </c>
      <c r="AM243" s="92">
        <v>1</v>
      </c>
      <c r="AN243" s="79"/>
      <c r="AO243" s="75">
        <v>0</v>
      </c>
      <c r="AP243" s="75"/>
      <c r="AQ243" s="122">
        <v>0</v>
      </c>
      <c r="AR243" s="515" t="s">
        <v>16</v>
      </c>
      <c r="AS243" s="95">
        <v>-1</v>
      </c>
      <c r="AT243" s="75">
        <v>-1</v>
      </c>
      <c r="AU243" s="75">
        <v>-1</v>
      </c>
      <c r="AV243" s="75">
        <v>-1</v>
      </c>
      <c r="AW243" s="123">
        <v>1</v>
      </c>
      <c r="AX243" s="516" t="s">
        <v>5310</v>
      </c>
      <c r="AY243" s="75">
        <v>1</v>
      </c>
      <c r="AZ243" s="77" t="s">
        <v>5971</v>
      </c>
      <c r="BA243" s="78" t="s">
        <v>5971</v>
      </c>
      <c r="BB243" s="78" t="s">
        <v>5971</v>
      </c>
      <c r="BC243" s="78" t="s">
        <v>5971</v>
      </c>
      <c r="BD243" s="78" t="s">
        <v>5971</v>
      </c>
      <c r="BE243" s="78" t="s">
        <v>5971</v>
      </c>
      <c r="BF243" s="78" t="s">
        <v>5971</v>
      </c>
      <c r="BG243" s="78" t="s">
        <v>5971</v>
      </c>
      <c r="BH243" s="75" t="s">
        <v>5971</v>
      </c>
      <c r="BI243" s="295" t="s">
        <v>5823</v>
      </c>
      <c r="BJ243" s="546" t="s">
        <v>16</v>
      </c>
      <c r="BK243" s="294" t="s">
        <v>16</v>
      </c>
      <c r="BL243" s="157" t="s">
        <v>16</v>
      </c>
      <c r="BM243" s="548" t="s">
        <v>1339</v>
      </c>
      <c r="BN243" s="548" t="s">
        <v>1339</v>
      </c>
      <c r="BO243" s="157" t="s">
        <v>5822</v>
      </c>
      <c r="BP243" s="548" t="s">
        <v>5823</v>
      </c>
      <c r="BQ243" s="157" t="s">
        <v>5821</v>
      </c>
      <c r="BR243" s="157"/>
    </row>
    <row r="244" spans="1:70" x14ac:dyDescent="0.25">
      <c r="A244" s="19" t="s">
        <v>3686</v>
      </c>
      <c r="B244" s="37" t="s">
        <v>5311</v>
      </c>
      <c r="C244" s="90">
        <v>45465.604583333334</v>
      </c>
      <c r="D244" s="114">
        <v>45465.354583333334</v>
      </c>
      <c r="E244" s="38">
        <v>45465</v>
      </c>
      <c r="F244" s="91">
        <v>2024</v>
      </c>
      <c r="G244" s="93">
        <v>6</v>
      </c>
      <c r="H244" s="37" t="s">
        <v>2457</v>
      </c>
      <c r="I244" s="37" t="s">
        <v>337</v>
      </c>
      <c r="J244" s="103">
        <v>-92.644994290170715</v>
      </c>
      <c r="K244" s="40">
        <v>44.843506778780984</v>
      </c>
      <c r="L244" s="74"/>
      <c r="M244" s="272" t="s">
        <v>5312</v>
      </c>
      <c r="N244" s="74">
        <v>1</v>
      </c>
      <c r="O244" s="94"/>
      <c r="P244" s="118">
        <v>1</v>
      </c>
      <c r="Q244" s="510">
        <v>80</v>
      </c>
      <c r="R244" s="513">
        <v>120</v>
      </c>
      <c r="S244" s="41"/>
      <c r="T244" s="40"/>
      <c r="U244" s="40">
        <v>7</v>
      </c>
      <c r="V244" s="119">
        <v>1</v>
      </c>
      <c r="W244" s="40">
        <v>0</v>
      </c>
      <c r="X244" s="119">
        <v>1</v>
      </c>
      <c r="Y244" s="40">
        <v>58</v>
      </c>
      <c r="Z244" s="119">
        <v>1</v>
      </c>
      <c r="AA244" s="368">
        <v>0</v>
      </c>
      <c r="AB244" s="535">
        <v>2</v>
      </c>
      <c r="AC244" s="39" t="s">
        <v>160</v>
      </c>
      <c r="AD244" s="75" t="s">
        <v>10</v>
      </c>
      <c r="AE244" s="95">
        <v>0</v>
      </c>
      <c r="AF244" s="75">
        <v>0</v>
      </c>
      <c r="AG244" s="75">
        <v>0</v>
      </c>
      <c r="AH244" s="75">
        <v>0</v>
      </c>
      <c r="AI244" s="75">
        <v>0</v>
      </c>
      <c r="AJ244" s="75">
        <v>0</v>
      </c>
      <c r="AK244" s="75">
        <v>0</v>
      </c>
      <c r="AL244" s="95">
        <v>1</v>
      </c>
      <c r="AM244" s="92">
        <v>0</v>
      </c>
      <c r="AN244" s="79" t="s">
        <v>86</v>
      </c>
      <c r="AO244" s="75">
        <v>1</v>
      </c>
      <c r="AP244" s="75" t="s">
        <v>85</v>
      </c>
      <c r="AQ244" s="122">
        <v>1</v>
      </c>
      <c r="AR244" s="515" t="s">
        <v>13</v>
      </c>
      <c r="AS244" s="95">
        <v>1</v>
      </c>
      <c r="AT244" s="75">
        <v>0</v>
      </c>
      <c r="AU244" s="75">
        <v>0</v>
      </c>
      <c r="AV244" s="75">
        <v>0</v>
      </c>
      <c r="AW244" s="123">
        <v>0</v>
      </c>
      <c r="AX244" s="516" t="s">
        <v>5313</v>
      </c>
      <c r="AY244" s="75">
        <v>1</v>
      </c>
      <c r="AZ244" s="77" t="s">
        <v>131</v>
      </c>
      <c r="BA244" s="78" t="s">
        <v>131</v>
      </c>
      <c r="BB244" s="78" t="s">
        <v>131</v>
      </c>
      <c r="BC244" s="78" t="s">
        <v>131</v>
      </c>
      <c r="BD244" s="78" t="s">
        <v>131</v>
      </c>
      <c r="BE244" s="78" t="s">
        <v>131</v>
      </c>
      <c r="BF244" s="78" t="s">
        <v>131</v>
      </c>
      <c r="BG244" s="78" t="s">
        <v>132</v>
      </c>
      <c r="BH244" s="75" t="s">
        <v>5970</v>
      </c>
      <c r="BI244" s="295" t="s">
        <v>2227</v>
      </c>
      <c r="BJ244" s="546">
        <v>1</v>
      </c>
      <c r="BK244" s="294" t="s">
        <v>16</v>
      </c>
      <c r="BL244" s="157" t="s">
        <v>16</v>
      </c>
      <c r="BM244" s="548" t="s">
        <v>578</v>
      </c>
      <c r="BN244" s="548" t="s">
        <v>578</v>
      </c>
      <c r="BO244" s="157" t="s">
        <v>4341</v>
      </c>
      <c r="BP244" s="548" t="s">
        <v>4343</v>
      </c>
      <c r="BQ244" s="157" t="s">
        <v>4309</v>
      </c>
      <c r="BR244" s="157"/>
    </row>
    <row r="245" spans="1:70" x14ac:dyDescent="0.25">
      <c r="A245" s="19" t="s">
        <v>3686</v>
      </c>
      <c r="B245" s="37" t="s">
        <v>5314</v>
      </c>
      <c r="C245" s="90">
        <v>45464.902465277781</v>
      </c>
      <c r="D245" s="114">
        <v>45464.652465277781</v>
      </c>
      <c r="E245" s="38">
        <v>45464</v>
      </c>
      <c r="F245" s="91">
        <v>2024</v>
      </c>
      <c r="G245" s="93">
        <v>6</v>
      </c>
      <c r="H245" s="37" t="s">
        <v>201</v>
      </c>
      <c r="I245" s="37"/>
      <c r="J245" s="103">
        <v>-92.732126517355681</v>
      </c>
      <c r="K245" s="40">
        <v>44.831151052778388</v>
      </c>
      <c r="L245" s="74"/>
      <c r="M245" s="272" t="s">
        <v>16</v>
      </c>
      <c r="N245" s="74">
        <v>0</v>
      </c>
      <c r="O245" s="94"/>
      <c r="P245" s="118">
        <v>1</v>
      </c>
      <c r="Q245" s="510">
        <v>180</v>
      </c>
      <c r="R245" s="513">
        <v>180</v>
      </c>
      <c r="S245" s="41"/>
      <c r="T245" s="40"/>
      <c r="U245" s="40">
        <v>8</v>
      </c>
      <c r="V245" s="119">
        <v>1</v>
      </c>
      <c r="W245" s="40">
        <v>100</v>
      </c>
      <c r="X245" s="119">
        <v>1</v>
      </c>
      <c r="Y245" s="40">
        <v>60</v>
      </c>
      <c r="Z245" s="119">
        <v>1</v>
      </c>
      <c r="AA245" s="368">
        <v>0</v>
      </c>
      <c r="AB245" s="535">
        <v>5</v>
      </c>
      <c r="AC245" s="39" t="s">
        <v>160</v>
      </c>
      <c r="AD245" s="75" t="s">
        <v>8</v>
      </c>
      <c r="AE245" s="95">
        <v>0</v>
      </c>
      <c r="AF245" s="75">
        <v>1</v>
      </c>
      <c r="AG245" s="75">
        <v>0</v>
      </c>
      <c r="AH245" s="75">
        <v>0</v>
      </c>
      <c r="AI245" s="75">
        <v>0</v>
      </c>
      <c r="AJ245" s="75">
        <v>0</v>
      </c>
      <c r="AK245" s="75">
        <v>0</v>
      </c>
      <c r="AL245" s="95">
        <v>0</v>
      </c>
      <c r="AM245" s="92">
        <v>0</v>
      </c>
      <c r="AN245" s="79" t="s">
        <v>81</v>
      </c>
      <c r="AO245" s="75">
        <v>1</v>
      </c>
      <c r="AP245" s="75" t="s">
        <v>83</v>
      </c>
      <c r="AQ245" s="122">
        <v>1</v>
      </c>
      <c r="AR245" s="515" t="s">
        <v>13</v>
      </c>
      <c r="AS245" s="95">
        <v>1</v>
      </c>
      <c r="AT245" s="75">
        <v>0</v>
      </c>
      <c r="AU245" s="75">
        <v>0</v>
      </c>
      <c r="AV245" s="75">
        <v>0</v>
      </c>
      <c r="AW245" s="123">
        <v>0</v>
      </c>
      <c r="AX245" s="516" t="s">
        <v>5315</v>
      </c>
      <c r="AY245" s="75">
        <v>1</v>
      </c>
      <c r="AZ245" s="77" t="s">
        <v>131</v>
      </c>
      <c r="BA245" s="78" t="s">
        <v>132</v>
      </c>
      <c r="BB245" s="78" t="s">
        <v>131</v>
      </c>
      <c r="BC245" s="78" t="s">
        <v>131</v>
      </c>
      <c r="BD245" s="78" t="s">
        <v>131</v>
      </c>
      <c r="BE245" s="78" t="s">
        <v>131</v>
      </c>
      <c r="BF245" s="78" t="s">
        <v>131</v>
      </c>
      <c r="BG245" s="78" t="s">
        <v>131</v>
      </c>
      <c r="BH245" s="75" t="s">
        <v>5970</v>
      </c>
      <c r="BI245" s="295" t="s">
        <v>2227</v>
      </c>
      <c r="BJ245" s="546">
        <v>1</v>
      </c>
      <c r="BK245" s="294" t="s">
        <v>16</v>
      </c>
      <c r="BL245" s="157" t="s">
        <v>16</v>
      </c>
      <c r="BM245" s="548" t="s">
        <v>578</v>
      </c>
      <c r="BN245" s="548" t="s">
        <v>578</v>
      </c>
      <c r="BO245" s="157" t="s">
        <v>4341</v>
      </c>
      <c r="BP245" s="548" t="s">
        <v>4343</v>
      </c>
      <c r="BQ245" s="157" t="s">
        <v>4309</v>
      </c>
      <c r="BR245" s="157"/>
    </row>
    <row r="246" spans="1:70" x14ac:dyDescent="0.25">
      <c r="A246" s="19" t="s">
        <v>3686</v>
      </c>
      <c r="B246" s="37" t="s">
        <v>5316</v>
      </c>
      <c r="C246" s="90">
        <v>45463.805127314816</v>
      </c>
      <c r="D246" s="114">
        <v>45463.555127314816</v>
      </c>
      <c r="E246" s="38">
        <v>45463</v>
      </c>
      <c r="F246" s="91">
        <v>2024</v>
      </c>
      <c r="G246" s="93">
        <v>6</v>
      </c>
      <c r="H246" s="37" t="s">
        <v>2446</v>
      </c>
      <c r="I246" s="37"/>
      <c r="J246" s="103">
        <v>-90.539930927361283</v>
      </c>
      <c r="K246" s="40">
        <v>43.045889760775445</v>
      </c>
      <c r="L246" s="74"/>
      <c r="M246" s="272" t="s">
        <v>5317</v>
      </c>
      <c r="N246" s="74">
        <v>1</v>
      </c>
      <c r="O246" s="94"/>
      <c r="P246" s="118">
        <v>1</v>
      </c>
      <c r="Q246" s="510">
        <v>180</v>
      </c>
      <c r="R246" s="513">
        <v>180</v>
      </c>
      <c r="S246" s="41"/>
      <c r="T246" s="40"/>
      <c r="U246" s="40">
        <v>6</v>
      </c>
      <c r="V246" s="119">
        <v>1</v>
      </c>
      <c r="W246" s="40">
        <v>100</v>
      </c>
      <c r="X246" s="119">
        <v>1</v>
      </c>
      <c r="Y246" s="40">
        <v>62</v>
      </c>
      <c r="Z246" s="119">
        <v>0</v>
      </c>
      <c r="AA246" s="368" t="s">
        <v>16</v>
      </c>
      <c r="AB246" s="535" t="s">
        <v>16</v>
      </c>
      <c r="AC246" s="39" t="s">
        <v>160</v>
      </c>
      <c r="AD246" s="75" t="s">
        <v>10</v>
      </c>
      <c r="AE246" s="95">
        <v>0</v>
      </c>
      <c r="AF246" s="75">
        <v>0</v>
      </c>
      <c r="AG246" s="75">
        <v>0</v>
      </c>
      <c r="AH246" s="75">
        <v>0</v>
      </c>
      <c r="AI246" s="75">
        <v>0</v>
      </c>
      <c r="AJ246" s="75">
        <v>0</v>
      </c>
      <c r="AK246" s="75">
        <v>0</v>
      </c>
      <c r="AL246" s="95">
        <v>1</v>
      </c>
      <c r="AM246" s="92">
        <v>0</v>
      </c>
      <c r="AN246" s="79" t="s">
        <v>81</v>
      </c>
      <c r="AO246" s="75">
        <v>1</v>
      </c>
      <c r="AP246" s="75" t="s">
        <v>85</v>
      </c>
      <c r="AQ246" s="122">
        <v>1</v>
      </c>
      <c r="AR246" s="515" t="s">
        <v>35</v>
      </c>
      <c r="AS246" s="95">
        <v>0</v>
      </c>
      <c r="AT246" s="75">
        <v>1</v>
      </c>
      <c r="AU246" s="75">
        <v>0</v>
      </c>
      <c r="AV246" s="75">
        <v>0</v>
      </c>
      <c r="AW246" s="123">
        <v>0</v>
      </c>
      <c r="AX246" s="516"/>
      <c r="AY246" s="75">
        <v>0</v>
      </c>
      <c r="AZ246" s="77" t="s">
        <v>131</v>
      </c>
      <c r="BA246" s="78" t="s">
        <v>131</v>
      </c>
      <c r="BB246" s="78" t="s">
        <v>131</v>
      </c>
      <c r="BC246" s="78" t="s">
        <v>131</v>
      </c>
      <c r="BD246" s="78" t="s">
        <v>131</v>
      </c>
      <c r="BE246" s="78" t="s">
        <v>131</v>
      </c>
      <c r="BF246" s="78" t="s">
        <v>131</v>
      </c>
      <c r="BG246" s="78" t="s">
        <v>132</v>
      </c>
      <c r="BH246" s="75" t="s">
        <v>5970</v>
      </c>
      <c r="BI246" s="295" t="s">
        <v>5964</v>
      </c>
      <c r="BJ246" s="546">
        <v>1</v>
      </c>
      <c r="BK246" s="294" t="s">
        <v>16</v>
      </c>
      <c r="BL246" s="157" t="s">
        <v>16</v>
      </c>
      <c r="BM246" s="548" t="s">
        <v>1345</v>
      </c>
      <c r="BN246" s="548" t="s">
        <v>4158</v>
      </c>
      <c r="BO246" s="157" t="s">
        <v>5883</v>
      </c>
      <c r="BP246" s="548" t="s">
        <v>5884</v>
      </c>
      <c r="BQ246" s="157" t="s">
        <v>5824</v>
      </c>
      <c r="BR246" s="157"/>
    </row>
    <row r="247" spans="1:70" x14ac:dyDescent="0.25">
      <c r="A247" s="19" t="s">
        <v>3686</v>
      </c>
      <c r="B247" s="37" t="s">
        <v>5318</v>
      </c>
      <c r="C247" s="90">
        <v>45463.785532407404</v>
      </c>
      <c r="D247" s="114">
        <v>45463.535532407404</v>
      </c>
      <c r="E247" s="38">
        <v>45463</v>
      </c>
      <c r="F247" s="91">
        <v>2024</v>
      </c>
      <c r="G247" s="93">
        <v>6</v>
      </c>
      <c r="H247" s="37" t="s">
        <v>1378</v>
      </c>
      <c r="I247" s="37"/>
      <c r="J247" s="103">
        <v>-90.39488036641724</v>
      </c>
      <c r="K247" s="40">
        <v>43.393898365085661</v>
      </c>
      <c r="L247" s="74"/>
      <c r="M247" s="272" t="s">
        <v>5319</v>
      </c>
      <c r="N247" s="74">
        <v>1</v>
      </c>
      <c r="O247" s="94"/>
      <c r="P247" s="118">
        <v>1</v>
      </c>
      <c r="Q247" s="510">
        <v>180</v>
      </c>
      <c r="R247" s="513">
        <v>180</v>
      </c>
      <c r="S247" s="41"/>
      <c r="T247" s="40"/>
      <c r="U247" s="40">
        <v>8</v>
      </c>
      <c r="V247" s="119">
        <v>1</v>
      </c>
      <c r="W247" s="40">
        <v>200</v>
      </c>
      <c r="X247" s="119">
        <v>1</v>
      </c>
      <c r="Y247" s="40">
        <v>62</v>
      </c>
      <c r="Z247" s="119">
        <v>1</v>
      </c>
      <c r="AA247" s="368">
        <v>0</v>
      </c>
      <c r="AB247" s="535">
        <v>2</v>
      </c>
      <c r="AC247" s="39" t="s">
        <v>160</v>
      </c>
      <c r="AD247" s="75" t="s">
        <v>8</v>
      </c>
      <c r="AE247" s="95">
        <v>0</v>
      </c>
      <c r="AF247" s="75">
        <v>1</v>
      </c>
      <c r="AG247" s="75">
        <v>0</v>
      </c>
      <c r="AH247" s="75">
        <v>0</v>
      </c>
      <c r="AI247" s="75">
        <v>0</v>
      </c>
      <c r="AJ247" s="75">
        <v>0</v>
      </c>
      <c r="AK247" s="75">
        <v>0</v>
      </c>
      <c r="AL247" s="95">
        <v>0</v>
      </c>
      <c r="AM247" s="92">
        <v>0</v>
      </c>
      <c r="AN247" s="79"/>
      <c r="AO247" s="75">
        <v>0</v>
      </c>
      <c r="AP247" s="75" t="s">
        <v>84</v>
      </c>
      <c r="AQ247" s="122">
        <v>1</v>
      </c>
      <c r="AR247" s="515" t="s">
        <v>13</v>
      </c>
      <c r="AS247" s="95">
        <v>1</v>
      </c>
      <c r="AT247" s="75">
        <v>0</v>
      </c>
      <c r="AU247" s="75">
        <v>0</v>
      </c>
      <c r="AV247" s="75">
        <v>0</v>
      </c>
      <c r="AW247" s="123">
        <v>0</v>
      </c>
      <c r="AX247" s="516"/>
      <c r="AY247" s="75">
        <v>0</v>
      </c>
      <c r="AZ247" s="77" t="s">
        <v>131</v>
      </c>
      <c r="BA247" s="78" t="s">
        <v>132</v>
      </c>
      <c r="BB247" s="78" t="s">
        <v>131</v>
      </c>
      <c r="BC247" s="78" t="s">
        <v>131</v>
      </c>
      <c r="BD247" s="78" t="s">
        <v>131</v>
      </c>
      <c r="BE247" s="78" t="s">
        <v>131</v>
      </c>
      <c r="BF247" s="78" t="s">
        <v>131</v>
      </c>
      <c r="BG247" s="78" t="s">
        <v>131</v>
      </c>
      <c r="BH247" s="75" t="s">
        <v>5970</v>
      </c>
      <c r="BI247" s="295" t="s">
        <v>4080</v>
      </c>
      <c r="BJ247" s="546">
        <v>1</v>
      </c>
      <c r="BK247" s="294" t="s">
        <v>16</v>
      </c>
      <c r="BL247" s="157" t="s">
        <v>16</v>
      </c>
      <c r="BM247" s="548" t="s">
        <v>1342</v>
      </c>
      <c r="BN247" s="548" t="s">
        <v>4158</v>
      </c>
      <c r="BO247" s="157" t="s">
        <v>4487</v>
      </c>
      <c r="BP247" s="548" t="s">
        <v>4488</v>
      </c>
      <c r="BQ247" s="157" t="s">
        <v>4392</v>
      </c>
      <c r="BR247" s="157"/>
    </row>
    <row r="248" spans="1:70" x14ac:dyDescent="0.25">
      <c r="A248" s="19" t="s">
        <v>3686</v>
      </c>
      <c r="B248" s="37" t="s">
        <v>5320</v>
      </c>
      <c r="C248" s="90">
        <v>45463.753136574072</v>
      </c>
      <c r="D248" s="114">
        <v>45463.503136574072</v>
      </c>
      <c r="E248" s="38">
        <v>45463</v>
      </c>
      <c r="F248" s="91">
        <v>2024</v>
      </c>
      <c r="G248" s="93">
        <v>6</v>
      </c>
      <c r="H248" s="37" t="s">
        <v>2446</v>
      </c>
      <c r="I248" s="37"/>
      <c r="J248" s="103">
        <v>-90.563280674137005</v>
      </c>
      <c r="K248" s="40">
        <v>43.028051044286471</v>
      </c>
      <c r="L248" s="74"/>
      <c r="M248" s="272" t="s">
        <v>5321</v>
      </c>
      <c r="N248" s="74">
        <v>1</v>
      </c>
      <c r="O248" s="94"/>
      <c r="P248" s="118">
        <v>1</v>
      </c>
      <c r="Q248" s="510">
        <v>80</v>
      </c>
      <c r="R248" s="513">
        <v>180</v>
      </c>
      <c r="S248" s="41"/>
      <c r="T248" s="40"/>
      <c r="U248" s="40">
        <v>7</v>
      </c>
      <c r="V248" s="119">
        <v>1</v>
      </c>
      <c r="W248" s="40">
        <v>100</v>
      </c>
      <c r="X248" s="119">
        <v>1</v>
      </c>
      <c r="Y248" s="40">
        <v>63</v>
      </c>
      <c r="Z248" s="119">
        <v>0</v>
      </c>
      <c r="AA248" s="368" t="s">
        <v>16</v>
      </c>
      <c r="AB248" s="535" t="s">
        <v>16</v>
      </c>
      <c r="AC248" s="39" t="s">
        <v>160</v>
      </c>
      <c r="AD248" s="75" t="s">
        <v>10</v>
      </c>
      <c r="AE248" s="95">
        <v>0</v>
      </c>
      <c r="AF248" s="75">
        <v>0</v>
      </c>
      <c r="AG248" s="75">
        <v>0</v>
      </c>
      <c r="AH248" s="75">
        <v>0</v>
      </c>
      <c r="AI248" s="75">
        <v>0</v>
      </c>
      <c r="AJ248" s="75">
        <v>0</v>
      </c>
      <c r="AK248" s="75">
        <v>0</v>
      </c>
      <c r="AL248" s="95">
        <v>1</v>
      </c>
      <c r="AM248" s="92">
        <v>0</v>
      </c>
      <c r="AN248" s="79" t="s">
        <v>81</v>
      </c>
      <c r="AO248" s="75">
        <v>1</v>
      </c>
      <c r="AP248" s="75" t="s">
        <v>85</v>
      </c>
      <c r="AQ248" s="122">
        <v>1</v>
      </c>
      <c r="AR248" s="515" t="s">
        <v>35</v>
      </c>
      <c r="AS248" s="95">
        <v>0</v>
      </c>
      <c r="AT248" s="75">
        <v>1</v>
      </c>
      <c r="AU248" s="75">
        <v>0</v>
      </c>
      <c r="AV248" s="75">
        <v>0</v>
      </c>
      <c r="AW248" s="123">
        <v>0</v>
      </c>
      <c r="AX248" s="516"/>
      <c r="AY248" s="75">
        <v>0</v>
      </c>
      <c r="AZ248" s="77" t="s">
        <v>131</v>
      </c>
      <c r="BA248" s="78" t="s">
        <v>131</v>
      </c>
      <c r="BB248" s="78" t="s">
        <v>131</v>
      </c>
      <c r="BC248" s="78" t="s">
        <v>131</v>
      </c>
      <c r="BD248" s="78" t="s">
        <v>131</v>
      </c>
      <c r="BE248" s="78" t="s">
        <v>131</v>
      </c>
      <c r="BF248" s="78" t="s">
        <v>131</v>
      </c>
      <c r="BG248" s="78" t="s">
        <v>132</v>
      </c>
      <c r="BH248" s="75" t="s">
        <v>5970</v>
      </c>
      <c r="BI248" s="295" t="s">
        <v>5964</v>
      </c>
      <c r="BJ248" s="546">
        <v>1</v>
      </c>
      <c r="BK248" s="294" t="s">
        <v>16</v>
      </c>
      <c r="BL248" s="157" t="s">
        <v>16</v>
      </c>
      <c r="BM248" s="548" t="s">
        <v>1345</v>
      </c>
      <c r="BN248" s="548" t="s">
        <v>4158</v>
      </c>
      <c r="BO248" s="157" t="s">
        <v>5885</v>
      </c>
      <c r="BP248" s="548" t="s">
        <v>5886</v>
      </c>
      <c r="BQ248" s="157" t="s">
        <v>5824</v>
      </c>
      <c r="BR248" s="157"/>
    </row>
    <row r="249" spans="1:70" x14ac:dyDescent="0.25">
      <c r="A249" s="19" t="s">
        <v>3686</v>
      </c>
      <c r="B249" s="37" t="s">
        <v>5322</v>
      </c>
      <c r="C249" s="90">
        <v>45463.741666666669</v>
      </c>
      <c r="D249" s="114">
        <v>45463.491666666669</v>
      </c>
      <c r="E249" s="38">
        <v>45463</v>
      </c>
      <c r="F249" s="91">
        <v>2024</v>
      </c>
      <c r="G249" s="93">
        <v>6</v>
      </c>
      <c r="H249" s="37" t="s">
        <v>1386</v>
      </c>
      <c r="I249" s="37"/>
      <c r="J249" s="103">
        <v>-91.581078099999999</v>
      </c>
      <c r="K249" s="40">
        <v>43.641383900000001</v>
      </c>
      <c r="L249" s="74"/>
      <c r="M249" s="272" t="s">
        <v>16</v>
      </c>
      <c r="N249" s="74">
        <v>0</v>
      </c>
      <c r="O249" s="94"/>
      <c r="P249" s="118">
        <v>1</v>
      </c>
      <c r="Q249" s="510">
        <v>120</v>
      </c>
      <c r="R249" s="513">
        <v>180</v>
      </c>
      <c r="S249" s="41"/>
      <c r="T249" s="40"/>
      <c r="U249" s="40">
        <v>7</v>
      </c>
      <c r="V249" s="119">
        <v>1</v>
      </c>
      <c r="W249" s="40">
        <v>0</v>
      </c>
      <c r="X249" s="119">
        <v>1</v>
      </c>
      <c r="Y249" s="40">
        <v>50</v>
      </c>
      <c r="Z249" s="119">
        <v>1</v>
      </c>
      <c r="AA249" s="368">
        <v>0</v>
      </c>
      <c r="AB249" s="535">
        <v>5</v>
      </c>
      <c r="AC249" s="39" t="s">
        <v>160</v>
      </c>
      <c r="AD249" s="75" t="s">
        <v>10</v>
      </c>
      <c r="AE249" s="95">
        <v>0</v>
      </c>
      <c r="AF249" s="75">
        <v>0</v>
      </c>
      <c r="AG249" s="75">
        <v>0</v>
      </c>
      <c r="AH249" s="75">
        <v>0</v>
      </c>
      <c r="AI249" s="75">
        <v>0</v>
      </c>
      <c r="AJ249" s="75">
        <v>0</v>
      </c>
      <c r="AK249" s="75">
        <v>0</v>
      </c>
      <c r="AL249" s="95">
        <v>1</v>
      </c>
      <c r="AM249" s="92">
        <v>0</v>
      </c>
      <c r="AN249" s="79" t="s">
        <v>80</v>
      </c>
      <c r="AO249" s="75">
        <v>1</v>
      </c>
      <c r="AP249" s="75" t="s">
        <v>83</v>
      </c>
      <c r="AQ249" s="122">
        <v>1</v>
      </c>
      <c r="AR249" s="515" t="s">
        <v>10</v>
      </c>
      <c r="AS249" s="95">
        <v>0</v>
      </c>
      <c r="AT249" s="75">
        <v>0</v>
      </c>
      <c r="AU249" s="75">
        <v>0</v>
      </c>
      <c r="AV249" s="75">
        <v>0</v>
      </c>
      <c r="AW249" s="123">
        <v>0</v>
      </c>
      <c r="AX249" s="516"/>
      <c r="AY249" s="75">
        <v>0</v>
      </c>
      <c r="AZ249" s="77" t="s">
        <v>131</v>
      </c>
      <c r="BA249" s="78" t="s">
        <v>131</v>
      </c>
      <c r="BB249" s="78" t="s">
        <v>131</v>
      </c>
      <c r="BC249" s="78" t="s">
        <v>131</v>
      </c>
      <c r="BD249" s="78" t="s">
        <v>131</v>
      </c>
      <c r="BE249" s="78" t="s">
        <v>131</v>
      </c>
      <c r="BF249" s="78" t="s">
        <v>131</v>
      </c>
      <c r="BG249" s="78" t="s">
        <v>132</v>
      </c>
      <c r="BH249" s="75" t="s">
        <v>5970</v>
      </c>
      <c r="BI249" s="295" t="s">
        <v>2259</v>
      </c>
      <c r="BJ249" s="546">
        <v>1</v>
      </c>
      <c r="BK249" s="294" t="s">
        <v>16</v>
      </c>
      <c r="BL249" s="157" t="s">
        <v>16</v>
      </c>
      <c r="BM249" s="548" t="s">
        <v>1341</v>
      </c>
      <c r="BN249" s="548" t="s">
        <v>1339</v>
      </c>
      <c r="BO249" s="157" t="s">
        <v>4233</v>
      </c>
      <c r="BP249" s="548" t="s">
        <v>307</v>
      </c>
      <c r="BQ249" s="157" t="s">
        <v>4232</v>
      </c>
      <c r="BR249" s="157"/>
    </row>
    <row r="250" spans="1:70" x14ac:dyDescent="0.25">
      <c r="A250" s="19" t="s">
        <v>3686</v>
      </c>
      <c r="B250" s="37" t="s">
        <v>5323</v>
      </c>
      <c r="C250" s="90">
        <v>45463.720856481479</v>
      </c>
      <c r="D250" s="114">
        <v>45463.470856481479</v>
      </c>
      <c r="E250" s="38">
        <v>45463</v>
      </c>
      <c r="F250" s="91">
        <v>2024</v>
      </c>
      <c r="G250" s="93">
        <v>6</v>
      </c>
      <c r="H250" s="37" t="s">
        <v>1386</v>
      </c>
      <c r="I250" s="37"/>
      <c r="J250" s="103">
        <v>-91.3733754</v>
      </c>
      <c r="K250" s="40">
        <v>43.603581900000002</v>
      </c>
      <c r="L250" s="74"/>
      <c r="M250" s="272" t="s">
        <v>16</v>
      </c>
      <c r="N250" s="74">
        <v>0</v>
      </c>
      <c r="O250" s="94"/>
      <c r="P250" s="118">
        <v>1</v>
      </c>
      <c r="Q250" s="510">
        <v>80</v>
      </c>
      <c r="R250" s="513">
        <v>120</v>
      </c>
      <c r="S250" s="41"/>
      <c r="T250" s="40"/>
      <c r="U250" s="40">
        <v>7.5</v>
      </c>
      <c r="V250" s="119">
        <v>1</v>
      </c>
      <c r="W250" s="40">
        <v>0</v>
      </c>
      <c r="X250" s="119">
        <v>1</v>
      </c>
      <c r="Y250" s="40">
        <v>62</v>
      </c>
      <c r="Z250" s="119">
        <v>1</v>
      </c>
      <c r="AA250" s="368">
        <v>0</v>
      </c>
      <c r="AB250" s="535">
        <v>2</v>
      </c>
      <c r="AC250" s="39" t="s">
        <v>160</v>
      </c>
      <c r="AD250" s="75" t="s">
        <v>10</v>
      </c>
      <c r="AE250" s="95">
        <v>0</v>
      </c>
      <c r="AF250" s="75">
        <v>0</v>
      </c>
      <c r="AG250" s="75">
        <v>0</v>
      </c>
      <c r="AH250" s="75">
        <v>0</v>
      </c>
      <c r="AI250" s="75">
        <v>0</v>
      </c>
      <c r="AJ250" s="75">
        <v>0</v>
      </c>
      <c r="AK250" s="75">
        <v>0</v>
      </c>
      <c r="AL250" s="95">
        <v>1</v>
      </c>
      <c r="AM250" s="92">
        <v>0</v>
      </c>
      <c r="AN250" s="79" t="s">
        <v>80</v>
      </c>
      <c r="AO250" s="75">
        <v>1</v>
      </c>
      <c r="AP250" s="75" t="s">
        <v>83</v>
      </c>
      <c r="AQ250" s="122">
        <v>1</v>
      </c>
      <c r="AR250" s="515" t="s">
        <v>10</v>
      </c>
      <c r="AS250" s="95">
        <v>0</v>
      </c>
      <c r="AT250" s="75">
        <v>0</v>
      </c>
      <c r="AU250" s="75">
        <v>0</v>
      </c>
      <c r="AV250" s="75">
        <v>0</v>
      </c>
      <c r="AW250" s="123">
        <v>0</v>
      </c>
      <c r="AX250" s="516"/>
      <c r="AY250" s="75">
        <v>0</v>
      </c>
      <c r="AZ250" s="77" t="s">
        <v>131</v>
      </c>
      <c r="BA250" s="78" t="s">
        <v>131</v>
      </c>
      <c r="BB250" s="78" t="s">
        <v>131</v>
      </c>
      <c r="BC250" s="78" t="s">
        <v>131</v>
      </c>
      <c r="BD250" s="78" t="s">
        <v>131</v>
      </c>
      <c r="BE250" s="78" t="s">
        <v>131</v>
      </c>
      <c r="BF250" s="78" t="s">
        <v>131</v>
      </c>
      <c r="BG250" s="78" t="s">
        <v>132</v>
      </c>
      <c r="BH250" s="75" t="s">
        <v>5970</v>
      </c>
      <c r="BI250" s="295" t="s">
        <v>4019</v>
      </c>
      <c r="BJ250" s="546">
        <v>1</v>
      </c>
      <c r="BK250" s="294" t="s">
        <v>16</v>
      </c>
      <c r="BL250" s="157" t="s">
        <v>16</v>
      </c>
      <c r="BM250" s="548" t="s">
        <v>1341</v>
      </c>
      <c r="BN250" s="548" t="s">
        <v>1339</v>
      </c>
      <c r="BO250" s="157" t="s">
        <v>4235</v>
      </c>
      <c r="BP250" s="548" t="s">
        <v>4237</v>
      </c>
      <c r="BQ250" s="157" t="s">
        <v>4234</v>
      </c>
      <c r="BR250" s="157"/>
    </row>
    <row r="251" spans="1:70" x14ac:dyDescent="0.25">
      <c r="A251" s="19" t="s">
        <v>3686</v>
      </c>
      <c r="B251" s="37" t="s">
        <v>5324</v>
      </c>
      <c r="C251" s="90">
        <v>45463.702534722222</v>
      </c>
      <c r="D251" s="114">
        <v>45463.452534722222</v>
      </c>
      <c r="E251" s="38">
        <v>45463</v>
      </c>
      <c r="F251" s="91">
        <v>2024</v>
      </c>
      <c r="G251" s="93">
        <v>6</v>
      </c>
      <c r="H251" s="37" t="s">
        <v>1386</v>
      </c>
      <c r="I251" s="37"/>
      <c r="J251" s="103">
        <v>-91.413094299999997</v>
      </c>
      <c r="K251" s="40">
        <v>43.540538099999999</v>
      </c>
      <c r="L251" s="74"/>
      <c r="M251" s="272" t="s">
        <v>16</v>
      </c>
      <c r="N251" s="74">
        <v>0</v>
      </c>
      <c r="O251" s="94"/>
      <c r="P251" s="118">
        <v>1</v>
      </c>
      <c r="Q251" s="510">
        <v>0</v>
      </c>
      <c r="R251" s="513">
        <v>60</v>
      </c>
      <c r="S251" s="41"/>
      <c r="T251" s="40"/>
      <c r="U251" s="40">
        <v>7.5</v>
      </c>
      <c r="V251" s="119">
        <v>1</v>
      </c>
      <c r="W251" s="40">
        <v>0</v>
      </c>
      <c r="X251" s="119">
        <v>1</v>
      </c>
      <c r="Y251" s="40">
        <v>58</v>
      </c>
      <c r="Z251" s="119">
        <v>1</v>
      </c>
      <c r="AA251" s="368">
        <v>0</v>
      </c>
      <c r="AB251" s="535">
        <v>5</v>
      </c>
      <c r="AC251" s="39" t="s">
        <v>160</v>
      </c>
      <c r="AD251" s="75" t="s">
        <v>10</v>
      </c>
      <c r="AE251" s="95">
        <v>0</v>
      </c>
      <c r="AF251" s="75">
        <v>0</v>
      </c>
      <c r="AG251" s="75">
        <v>0</v>
      </c>
      <c r="AH251" s="75">
        <v>0</v>
      </c>
      <c r="AI251" s="75">
        <v>0</v>
      </c>
      <c r="AJ251" s="75">
        <v>0</v>
      </c>
      <c r="AK251" s="75">
        <v>0</v>
      </c>
      <c r="AL251" s="95">
        <v>1</v>
      </c>
      <c r="AM251" s="92">
        <v>0</v>
      </c>
      <c r="AN251" s="79" t="s">
        <v>80</v>
      </c>
      <c r="AO251" s="75">
        <v>1</v>
      </c>
      <c r="AP251" s="75" t="s">
        <v>83</v>
      </c>
      <c r="AQ251" s="122">
        <v>1</v>
      </c>
      <c r="AR251" s="515" t="s">
        <v>10</v>
      </c>
      <c r="AS251" s="95">
        <v>0</v>
      </c>
      <c r="AT251" s="75">
        <v>0</v>
      </c>
      <c r="AU251" s="75">
        <v>0</v>
      </c>
      <c r="AV251" s="75">
        <v>0</v>
      </c>
      <c r="AW251" s="123">
        <v>0</v>
      </c>
      <c r="AX251" s="516"/>
      <c r="AY251" s="75">
        <v>0</v>
      </c>
      <c r="AZ251" s="77" t="s">
        <v>131</v>
      </c>
      <c r="BA251" s="78" t="s">
        <v>131</v>
      </c>
      <c r="BB251" s="78" t="s">
        <v>131</v>
      </c>
      <c r="BC251" s="78" t="s">
        <v>131</v>
      </c>
      <c r="BD251" s="78" t="s">
        <v>131</v>
      </c>
      <c r="BE251" s="78" t="s">
        <v>131</v>
      </c>
      <c r="BF251" s="78" t="s">
        <v>131</v>
      </c>
      <c r="BG251" s="78" t="s">
        <v>132</v>
      </c>
      <c r="BH251" s="75" t="s">
        <v>5970</v>
      </c>
      <c r="BI251" s="295" t="s">
        <v>4020</v>
      </c>
      <c r="BJ251" s="546">
        <v>1</v>
      </c>
      <c r="BK251" s="294">
        <v>1</v>
      </c>
      <c r="BL251" s="157">
        <v>1</v>
      </c>
      <c r="BM251" s="548" t="s">
        <v>1341</v>
      </c>
      <c r="BN251" s="548" t="s">
        <v>1339</v>
      </c>
      <c r="BO251" s="157" t="s">
        <v>4239</v>
      </c>
      <c r="BP251" s="548" t="s">
        <v>4240</v>
      </c>
      <c r="BQ251" s="157" t="s">
        <v>4238</v>
      </c>
      <c r="BR251" s="157"/>
    </row>
    <row r="252" spans="1:70" x14ac:dyDescent="0.25">
      <c r="A252" s="19" t="s">
        <v>3686</v>
      </c>
      <c r="B252" s="37" t="s">
        <v>5325</v>
      </c>
      <c r="C252" s="90">
        <v>45463.67465277778</v>
      </c>
      <c r="D252" s="114">
        <v>45463.42465277778</v>
      </c>
      <c r="E252" s="38">
        <v>45463</v>
      </c>
      <c r="F252" s="91">
        <v>2024</v>
      </c>
      <c r="G252" s="93">
        <v>6</v>
      </c>
      <c r="H252" s="37" t="s">
        <v>1386</v>
      </c>
      <c r="I252" s="37"/>
      <c r="J252" s="103">
        <v>-91.569813499999995</v>
      </c>
      <c r="K252" s="40">
        <v>43.502290700000003</v>
      </c>
      <c r="L252" s="74"/>
      <c r="M252" s="272" t="s">
        <v>16</v>
      </c>
      <c r="N252" s="74">
        <v>0</v>
      </c>
      <c r="O252" s="94"/>
      <c r="P252" s="118">
        <v>1</v>
      </c>
      <c r="Q252" s="510">
        <v>120</v>
      </c>
      <c r="R252" s="513">
        <v>180</v>
      </c>
      <c r="S252" s="41"/>
      <c r="T252" s="40"/>
      <c r="U252" s="40">
        <v>7.5</v>
      </c>
      <c r="V252" s="119">
        <v>1</v>
      </c>
      <c r="W252" s="40">
        <v>0</v>
      </c>
      <c r="X252" s="119">
        <v>1</v>
      </c>
      <c r="Y252" s="40">
        <v>54</v>
      </c>
      <c r="Z252" s="119">
        <v>1</v>
      </c>
      <c r="AA252" s="368">
        <v>0</v>
      </c>
      <c r="AB252" s="535">
        <v>2</v>
      </c>
      <c r="AC252" s="39" t="s">
        <v>160</v>
      </c>
      <c r="AD252" s="75" t="s">
        <v>10</v>
      </c>
      <c r="AE252" s="95">
        <v>0</v>
      </c>
      <c r="AF252" s="75">
        <v>0</v>
      </c>
      <c r="AG252" s="75">
        <v>0</v>
      </c>
      <c r="AH252" s="75">
        <v>0</v>
      </c>
      <c r="AI252" s="75">
        <v>0</v>
      </c>
      <c r="AJ252" s="75">
        <v>0</v>
      </c>
      <c r="AK252" s="75">
        <v>0</v>
      </c>
      <c r="AL252" s="95">
        <v>1</v>
      </c>
      <c r="AM252" s="92">
        <v>0</v>
      </c>
      <c r="AN252" s="79" t="s">
        <v>80</v>
      </c>
      <c r="AO252" s="75">
        <v>1</v>
      </c>
      <c r="AP252" s="75" t="s">
        <v>83</v>
      </c>
      <c r="AQ252" s="122">
        <v>1</v>
      </c>
      <c r="AR252" s="515" t="s">
        <v>10</v>
      </c>
      <c r="AS252" s="95">
        <v>0</v>
      </c>
      <c r="AT252" s="75">
        <v>0</v>
      </c>
      <c r="AU252" s="75">
        <v>0</v>
      </c>
      <c r="AV252" s="75">
        <v>0</v>
      </c>
      <c r="AW252" s="123">
        <v>0</v>
      </c>
      <c r="AX252" s="516"/>
      <c r="AY252" s="75">
        <v>0</v>
      </c>
      <c r="AZ252" s="77" t="s">
        <v>131</v>
      </c>
      <c r="BA252" s="78" t="s">
        <v>131</v>
      </c>
      <c r="BB252" s="78" t="s">
        <v>131</v>
      </c>
      <c r="BC252" s="78" t="s">
        <v>131</v>
      </c>
      <c r="BD252" s="78" t="s">
        <v>131</v>
      </c>
      <c r="BE252" s="78" t="s">
        <v>131</v>
      </c>
      <c r="BF252" s="78" t="s">
        <v>131</v>
      </c>
      <c r="BG252" s="78" t="s">
        <v>132</v>
      </c>
      <c r="BH252" s="75" t="s">
        <v>5970</v>
      </c>
      <c r="BI252" s="295" t="s">
        <v>2265</v>
      </c>
      <c r="BJ252" s="546">
        <v>1</v>
      </c>
      <c r="BK252" s="294">
        <v>1</v>
      </c>
      <c r="BL252" s="157">
        <v>1</v>
      </c>
      <c r="BM252" s="548" t="s">
        <v>1341</v>
      </c>
      <c r="BN252" s="548" t="s">
        <v>1339</v>
      </c>
      <c r="BO252" s="157" t="s">
        <v>4242</v>
      </c>
      <c r="BP252" s="548" t="s">
        <v>4041</v>
      </c>
      <c r="BQ252" s="157" t="s">
        <v>4241</v>
      </c>
      <c r="BR252" s="157"/>
    </row>
    <row r="253" spans="1:70" x14ac:dyDescent="0.25">
      <c r="A253" s="19" t="s">
        <v>3686</v>
      </c>
      <c r="B253" s="37" t="s">
        <v>5326</v>
      </c>
      <c r="C253" s="90">
        <v>45463.645289351851</v>
      </c>
      <c r="D253" s="114">
        <v>45463.395289351851</v>
      </c>
      <c r="E253" s="38">
        <v>45463</v>
      </c>
      <c r="F253" s="91">
        <v>2024</v>
      </c>
      <c r="G253" s="93">
        <v>6</v>
      </c>
      <c r="H253" s="37" t="s">
        <v>1386</v>
      </c>
      <c r="I253" s="37"/>
      <c r="J253" s="103">
        <v>-91.8133895</v>
      </c>
      <c r="K253" s="40">
        <v>43.597596899999999</v>
      </c>
      <c r="L253" s="74"/>
      <c r="M253" s="272" t="s">
        <v>16</v>
      </c>
      <c r="N253" s="74">
        <v>0</v>
      </c>
      <c r="O253" s="94"/>
      <c r="P253" s="118">
        <v>1</v>
      </c>
      <c r="Q253" s="510">
        <v>80</v>
      </c>
      <c r="R253" s="513">
        <v>180</v>
      </c>
      <c r="S253" s="41"/>
      <c r="T253" s="40"/>
      <c r="U253" s="40">
        <v>7.5</v>
      </c>
      <c r="V253" s="119">
        <v>1</v>
      </c>
      <c r="W253" s="40">
        <v>0</v>
      </c>
      <c r="X253" s="119">
        <v>1</v>
      </c>
      <c r="Y253" s="40">
        <v>59</v>
      </c>
      <c r="Z253" s="119">
        <v>1</v>
      </c>
      <c r="AA253" s="368">
        <v>0</v>
      </c>
      <c r="AB253" s="535">
        <v>5</v>
      </c>
      <c r="AC253" s="39" t="s">
        <v>160</v>
      </c>
      <c r="AD253" s="75" t="s">
        <v>10</v>
      </c>
      <c r="AE253" s="95">
        <v>0</v>
      </c>
      <c r="AF253" s="75">
        <v>0</v>
      </c>
      <c r="AG253" s="75">
        <v>0</v>
      </c>
      <c r="AH253" s="75">
        <v>0</v>
      </c>
      <c r="AI253" s="75">
        <v>0</v>
      </c>
      <c r="AJ253" s="75">
        <v>0</v>
      </c>
      <c r="AK253" s="75">
        <v>0</v>
      </c>
      <c r="AL253" s="95">
        <v>1</v>
      </c>
      <c r="AM253" s="92">
        <v>0</v>
      </c>
      <c r="AN253" s="79" t="s">
        <v>81</v>
      </c>
      <c r="AO253" s="75">
        <v>1</v>
      </c>
      <c r="AP253" s="75" t="s">
        <v>84</v>
      </c>
      <c r="AQ253" s="122">
        <v>1</v>
      </c>
      <c r="AR253" s="515" t="s">
        <v>10</v>
      </c>
      <c r="AS253" s="95">
        <v>0</v>
      </c>
      <c r="AT253" s="75">
        <v>0</v>
      </c>
      <c r="AU253" s="75">
        <v>0</v>
      </c>
      <c r="AV253" s="75">
        <v>0</v>
      </c>
      <c r="AW253" s="123">
        <v>0</v>
      </c>
      <c r="AX253" s="516"/>
      <c r="AY253" s="75">
        <v>0</v>
      </c>
      <c r="AZ253" s="77" t="s">
        <v>131</v>
      </c>
      <c r="BA253" s="78" t="s">
        <v>131</v>
      </c>
      <c r="BB253" s="78" t="s">
        <v>131</v>
      </c>
      <c r="BC253" s="78" t="s">
        <v>131</v>
      </c>
      <c r="BD253" s="78" t="s">
        <v>131</v>
      </c>
      <c r="BE253" s="78" t="s">
        <v>131</v>
      </c>
      <c r="BF253" s="78" t="s">
        <v>131</v>
      </c>
      <c r="BG253" s="78" t="s">
        <v>132</v>
      </c>
      <c r="BH253" s="75" t="s">
        <v>5970</v>
      </c>
      <c r="BI253" s="295" t="s">
        <v>16</v>
      </c>
      <c r="BJ253" s="546">
        <v>1</v>
      </c>
      <c r="BK253" s="294">
        <v>1</v>
      </c>
      <c r="BL253" s="157">
        <v>1</v>
      </c>
      <c r="BM253" s="548" t="s">
        <v>1341</v>
      </c>
      <c r="BN253" s="548" t="s">
        <v>1339</v>
      </c>
      <c r="BO253" s="157" t="s">
        <v>4245</v>
      </c>
      <c r="BP253" s="548" t="s">
        <v>2271</v>
      </c>
      <c r="BQ253" s="157" t="s">
        <v>4232</v>
      </c>
      <c r="BR253" s="157"/>
    </row>
    <row r="254" spans="1:70" x14ac:dyDescent="0.25">
      <c r="A254" s="19" t="s">
        <v>3686</v>
      </c>
      <c r="B254" s="37" t="s">
        <v>5327</v>
      </c>
      <c r="C254" s="90">
        <v>45463.561388888891</v>
      </c>
      <c r="D254" s="114">
        <v>45463.311388888891</v>
      </c>
      <c r="E254" s="38">
        <v>45463</v>
      </c>
      <c r="F254" s="91">
        <v>2024</v>
      </c>
      <c r="G254" s="93">
        <v>6</v>
      </c>
      <c r="H254" s="37" t="s">
        <v>2548</v>
      </c>
      <c r="I254" s="37"/>
      <c r="J254" s="103">
        <v>-90.452654969144376</v>
      </c>
      <c r="K254" s="40">
        <v>42.907548382363011</v>
      </c>
      <c r="L254" s="74"/>
      <c r="M254" s="272" t="s">
        <v>5328</v>
      </c>
      <c r="N254" s="74">
        <v>1</v>
      </c>
      <c r="O254" s="94"/>
      <c r="P254" s="118">
        <v>1</v>
      </c>
      <c r="Q254" s="510">
        <v>180</v>
      </c>
      <c r="R254" s="513">
        <v>180</v>
      </c>
      <c r="S254" s="41"/>
      <c r="T254" s="40"/>
      <c r="U254" s="40">
        <v>7.5</v>
      </c>
      <c r="V254" s="119">
        <v>1</v>
      </c>
      <c r="W254" s="40">
        <v>0</v>
      </c>
      <c r="X254" s="119">
        <v>1</v>
      </c>
      <c r="Y254" s="40">
        <v>56</v>
      </c>
      <c r="Z254" s="119">
        <v>1</v>
      </c>
      <c r="AA254" s="368">
        <v>0</v>
      </c>
      <c r="AB254" s="535">
        <v>5</v>
      </c>
      <c r="AC254" s="39" t="s">
        <v>160</v>
      </c>
      <c r="AD254" s="75" t="s">
        <v>10</v>
      </c>
      <c r="AE254" s="95">
        <v>0</v>
      </c>
      <c r="AF254" s="75">
        <v>0</v>
      </c>
      <c r="AG254" s="75">
        <v>0</v>
      </c>
      <c r="AH254" s="75">
        <v>0</v>
      </c>
      <c r="AI254" s="75">
        <v>0</v>
      </c>
      <c r="AJ254" s="75">
        <v>0</v>
      </c>
      <c r="AK254" s="75">
        <v>0</v>
      </c>
      <c r="AL254" s="95">
        <v>1</v>
      </c>
      <c r="AM254" s="92">
        <v>0</v>
      </c>
      <c r="AN254" s="79" t="s">
        <v>80</v>
      </c>
      <c r="AO254" s="75">
        <v>1</v>
      </c>
      <c r="AP254" s="75" t="s">
        <v>83</v>
      </c>
      <c r="AQ254" s="122">
        <v>1</v>
      </c>
      <c r="AR254" s="515" t="s">
        <v>13</v>
      </c>
      <c r="AS254" s="95">
        <v>1</v>
      </c>
      <c r="AT254" s="75">
        <v>0</v>
      </c>
      <c r="AU254" s="75">
        <v>0</v>
      </c>
      <c r="AV254" s="75">
        <v>0</v>
      </c>
      <c r="AW254" s="123">
        <v>0</v>
      </c>
      <c r="AX254" s="516"/>
      <c r="AY254" s="75">
        <v>0</v>
      </c>
      <c r="AZ254" s="77" t="s">
        <v>131</v>
      </c>
      <c r="BA254" s="78" t="s">
        <v>131</v>
      </c>
      <c r="BB254" s="78" t="s">
        <v>131</v>
      </c>
      <c r="BC254" s="78" t="s">
        <v>131</v>
      </c>
      <c r="BD254" s="78" t="s">
        <v>131</v>
      </c>
      <c r="BE254" s="78" t="s">
        <v>131</v>
      </c>
      <c r="BF254" s="78" t="s">
        <v>131</v>
      </c>
      <c r="BG254" s="78" t="s">
        <v>132</v>
      </c>
      <c r="BH254" s="75" t="s">
        <v>5970</v>
      </c>
      <c r="BI254" s="295" t="s">
        <v>16</v>
      </c>
      <c r="BJ254" s="546">
        <v>1</v>
      </c>
      <c r="BK254" s="294" t="s">
        <v>16</v>
      </c>
      <c r="BL254" s="157" t="s">
        <v>16</v>
      </c>
      <c r="BM254" s="548" t="s">
        <v>1345</v>
      </c>
      <c r="BN254" s="548" t="s">
        <v>4158</v>
      </c>
      <c r="BO254" s="157" t="s">
        <v>5887</v>
      </c>
      <c r="BP254" s="548" t="s">
        <v>5888</v>
      </c>
      <c r="BQ254" s="157" t="s">
        <v>5879</v>
      </c>
      <c r="BR254" s="157"/>
    </row>
    <row r="255" spans="1:70" x14ac:dyDescent="0.25">
      <c r="A255" s="19" t="s">
        <v>3686</v>
      </c>
      <c r="B255" s="37" t="s">
        <v>5329</v>
      </c>
      <c r="C255" s="90">
        <v>45462.872662037036</v>
      </c>
      <c r="D255" s="114">
        <v>45462.622662037036</v>
      </c>
      <c r="E255" s="38">
        <v>45462</v>
      </c>
      <c r="F255" s="91">
        <v>2024</v>
      </c>
      <c r="G255" s="93">
        <v>6</v>
      </c>
      <c r="H255" s="37" t="s">
        <v>2548</v>
      </c>
      <c r="I255" s="37"/>
      <c r="J255" s="103">
        <v>-90.702210358032275</v>
      </c>
      <c r="K255" s="40">
        <v>43.133927074357352</v>
      </c>
      <c r="L255" s="74"/>
      <c r="M255" s="272" t="s">
        <v>5330</v>
      </c>
      <c r="N255" s="74">
        <v>1</v>
      </c>
      <c r="O255" s="94"/>
      <c r="P255" s="118">
        <v>1</v>
      </c>
      <c r="Q255" s="510">
        <v>180</v>
      </c>
      <c r="R255" s="513">
        <v>180</v>
      </c>
      <c r="S255" s="41"/>
      <c r="T255" s="40"/>
      <c r="U255" s="40">
        <v>7.5</v>
      </c>
      <c r="V255" s="119">
        <v>1</v>
      </c>
      <c r="W255" s="40">
        <v>200</v>
      </c>
      <c r="X255" s="119">
        <v>1</v>
      </c>
      <c r="Y255" s="40">
        <v>65</v>
      </c>
      <c r="Z255" s="119">
        <v>1</v>
      </c>
      <c r="AA255" s="368">
        <v>0</v>
      </c>
      <c r="AB255" s="535">
        <v>2</v>
      </c>
      <c r="AC255" s="39" t="s">
        <v>160</v>
      </c>
      <c r="AD255" s="75" t="s">
        <v>10</v>
      </c>
      <c r="AE255" s="95">
        <v>0</v>
      </c>
      <c r="AF255" s="75">
        <v>0</v>
      </c>
      <c r="AG255" s="75">
        <v>0</v>
      </c>
      <c r="AH255" s="75">
        <v>0</v>
      </c>
      <c r="AI255" s="75">
        <v>0</v>
      </c>
      <c r="AJ255" s="75">
        <v>0</v>
      </c>
      <c r="AK255" s="75">
        <v>0</v>
      </c>
      <c r="AL255" s="95">
        <v>1</v>
      </c>
      <c r="AM255" s="92">
        <v>0</v>
      </c>
      <c r="AN255" s="79" t="s">
        <v>80</v>
      </c>
      <c r="AO255" s="75">
        <v>1</v>
      </c>
      <c r="AP255" s="75" t="s">
        <v>84</v>
      </c>
      <c r="AQ255" s="122">
        <v>1</v>
      </c>
      <c r="AR255" s="515" t="s">
        <v>13</v>
      </c>
      <c r="AS255" s="95">
        <v>1</v>
      </c>
      <c r="AT255" s="75">
        <v>0</v>
      </c>
      <c r="AU255" s="75">
        <v>0</v>
      </c>
      <c r="AV255" s="75">
        <v>0</v>
      </c>
      <c r="AW255" s="123">
        <v>0</v>
      </c>
      <c r="AX255" s="516"/>
      <c r="AY255" s="75">
        <v>0</v>
      </c>
      <c r="AZ255" s="77" t="s">
        <v>131</v>
      </c>
      <c r="BA255" s="78" t="s">
        <v>131</v>
      </c>
      <c r="BB255" s="78" t="s">
        <v>131</v>
      </c>
      <c r="BC255" s="78" t="s">
        <v>131</v>
      </c>
      <c r="BD255" s="78" t="s">
        <v>131</v>
      </c>
      <c r="BE255" s="78" t="s">
        <v>131</v>
      </c>
      <c r="BF255" s="78" t="s">
        <v>131</v>
      </c>
      <c r="BG255" s="78" t="s">
        <v>132</v>
      </c>
      <c r="BH255" s="75" t="s">
        <v>5970</v>
      </c>
      <c r="BI255" s="295" t="s">
        <v>5890</v>
      </c>
      <c r="BJ255" s="546">
        <v>1</v>
      </c>
      <c r="BK255" s="294" t="s">
        <v>16</v>
      </c>
      <c r="BL255" s="157" t="s">
        <v>16</v>
      </c>
      <c r="BM255" s="548" t="s">
        <v>1345</v>
      </c>
      <c r="BN255" s="548" t="s">
        <v>4158</v>
      </c>
      <c r="BO255" s="157" t="s">
        <v>5889</v>
      </c>
      <c r="BP255" s="548" t="s">
        <v>5890</v>
      </c>
      <c r="BQ255" s="157" t="s">
        <v>4299</v>
      </c>
      <c r="BR255" s="157"/>
    </row>
    <row r="256" spans="1:70" x14ac:dyDescent="0.25">
      <c r="A256" s="19" t="s">
        <v>3686</v>
      </c>
      <c r="B256" s="37" t="s">
        <v>5331</v>
      </c>
      <c r="C256" s="90">
        <v>45462.67527777778</v>
      </c>
      <c r="D256" s="114">
        <v>45462.42527777778</v>
      </c>
      <c r="E256" s="38">
        <v>45462</v>
      </c>
      <c r="F256" s="91">
        <v>2024</v>
      </c>
      <c r="G256" s="93">
        <v>6</v>
      </c>
      <c r="H256" s="37" t="s">
        <v>1514</v>
      </c>
      <c r="I256" s="37" t="s">
        <v>1772</v>
      </c>
      <c r="J256" s="103">
        <v>-92.189606003513319</v>
      </c>
      <c r="K256" s="40">
        <v>44.632778817551177</v>
      </c>
      <c r="L256" s="74"/>
      <c r="M256" s="272" t="s">
        <v>16</v>
      </c>
      <c r="N256" s="74">
        <v>0</v>
      </c>
      <c r="O256" s="94"/>
      <c r="P256" s="118">
        <v>1</v>
      </c>
      <c r="Q256" s="510">
        <v>80</v>
      </c>
      <c r="R256" s="513">
        <v>60</v>
      </c>
      <c r="S256" s="41"/>
      <c r="T256" s="40"/>
      <c r="U256" s="40">
        <v>7</v>
      </c>
      <c r="V256" s="119">
        <v>1</v>
      </c>
      <c r="W256" s="40">
        <v>200</v>
      </c>
      <c r="X256" s="119">
        <v>1</v>
      </c>
      <c r="Y256" s="40">
        <v>64</v>
      </c>
      <c r="Z256" s="119">
        <v>1</v>
      </c>
      <c r="AA256" s="368">
        <v>0</v>
      </c>
      <c r="AB256" s="535">
        <v>2</v>
      </c>
      <c r="AC256" s="39" t="s">
        <v>160</v>
      </c>
      <c r="AD256" s="75" t="s">
        <v>16</v>
      </c>
      <c r="AE256" s="95">
        <v>-1</v>
      </c>
      <c r="AF256" s="75">
        <v>-1</v>
      </c>
      <c r="AG256" s="75">
        <v>-1</v>
      </c>
      <c r="AH256" s="75">
        <v>-1</v>
      </c>
      <c r="AI256" s="75">
        <v>-1</v>
      </c>
      <c r="AJ256" s="75">
        <v>-1</v>
      </c>
      <c r="AK256" s="75">
        <v>-1</v>
      </c>
      <c r="AL256" s="95">
        <v>-1</v>
      </c>
      <c r="AM256" s="92">
        <v>1</v>
      </c>
      <c r="AN256" s="79" t="s">
        <v>195</v>
      </c>
      <c r="AO256" s="75">
        <v>1</v>
      </c>
      <c r="AP256" s="75" t="s">
        <v>85</v>
      </c>
      <c r="AQ256" s="122">
        <v>1</v>
      </c>
      <c r="AR256" s="515" t="s">
        <v>13</v>
      </c>
      <c r="AS256" s="95">
        <v>1</v>
      </c>
      <c r="AT256" s="75">
        <v>0</v>
      </c>
      <c r="AU256" s="75">
        <v>0</v>
      </c>
      <c r="AV256" s="75">
        <v>0</v>
      </c>
      <c r="AW256" s="123">
        <v>0</v>
      </c>
      <c r="AX256" s="516"/>
      <c r="AY256" s="75">
        <v>0</v>
      </c>
      <c r="AZ256" s="77" t="s">
        <v>5971</v>
      </c>
      <c r="BA256" s="78" t="s">
        <v>5971</v>
      </c>
      <c r="BB256" s="78" t="s">
        <v>5971</v>
      </c>
      <c r="BC256" s="78" t="s">
        <v>5971</v>
      </c>
      <c r="BD256" s="78" t="s">
        <v>5971</v>
      </c>
      <c r="BE256" s="78" t="s">
        <v>5971</v>
      </c>
      <c r="BF256" s="78" t="s">
        <v>5971</v>
      </c>
      <c r="BG256" s="78" t="s">
        <v>5971</v>
      </c>
      <c r="BH256" s="75" t="s">
        <v>5971</v>
      </c>
      <c r="BI256" s="295" t="s">
        <v>16</v>
      </c>
      <c r="BJ256" s="546">
        <v>1</v>
      </c>
      <c r="BK256" s="294">
        <v>1</v>
      </c>
      <c r="BL256" s="157">
        <v>1</v>
      </c>
      <c r="BM256" s="548" t="s">
        <v>578</v>
      </c>
      <c r="BN256" s="548" t="s">
        <v>578</v>
      </c>
      <c r="BO256" s="157" t="s">
        <v>4218</v>
      </c>
      <c r="BP256" s="548" t="s">
        <v>4221</v>
      </c>
      <c r="BQ256" s="157" t="s">
        <v>4217</v>
      </c>
      <c r="BR256" s="157"/>
    </row>
    <row r="257" spans="1:70" x14ac:dyDescent="0.25">
      <c r="A257" s="19" t="s">
        <v>3686</v>
      </c>
      <c r="B257" s="37" t="s">
        <v>5332</v>
      </c>
      <c r="C257" s="90">
        <v>45462.669699074075</v>
      </c>
      <c r="D257" s="114">
        <v>45462.419699074075</v>
      </c>
      <c r="E257" s="38">
        <v>45462</v>
      </c>
      <c r="F257" s="91">
        <v>2024</v>
      </c>
      <c r="G257" s="93">
        <v>6</v>
      </c>
      <c r="H257" s="37" t="s">
        <v>2548</v>
      </c>
      <c r="I257" s="37"/>
      <c r="J257" s="103">
        <v>-90.446943545296961</v>
      </c>
      <c r="K257" s="40">
        <v>42.842408938201288</v>
      </c>
      <c r="L257" s="74"/>
      <c r="M257" s="272" t="s">
        <v>5333</v>
      </c>
      <c r="N257" s="74">
        <v>1</v>
      </c>
      <c r="O257" s="94"/>
      <c r="P257" s="118">
        <v>1</v>
      </c>
      <c r="Q257" s="510">
        <v>180</v>
      </c>
      <c r="R257" s="513">
        <v>120</v>
      </c>
      <c r="S257" s="41"/>
      <c r="T257" s="40"/>
      <c r="U257" s="40">
        <v>7.5</v>
      </c>
      <c r="V257" s="119">
        <v>1</v>
      </c>
      <c r="W257" s="40">
        <v>100</v>
      </c>
      <c r="X257" s="119">
        <v>1</v>
      </c>
      <c r="Y257" s="40">
        <v>60</v>
      </c>
      <c r="Z257" s="119">
        <v>1</v>
      </c>
      <c r="AA257" s="368">
        <v>0</v>
      </c>
      <c r="AB257" s="535">
        <v>5</v>
      </c>
      <c r="AC257" s="39" t="s">
        <v>160</v>
      </c>
      <c r="AD257" s="75" t="s">
        <v>10</v>
      </c>
      <c r="AE257" s="95">
        <v>0</v>
      </c>
      <c r="AF257" s="75">
        <v>0</v>
      </c>
      <c r="AG257" s="75">
        <v>0</v>
      </c>
      <c r="AH257" s="75">
        <v>0</v>
      </c>
      <c r="AI257" s="75">
        <v>0</v>
      </c>
      <c r="AJ257" s="75">
        <v>0</v>
      </c>
      <c r="AK257" s="75">
        <v>0</v>
      </c>
      <c r="AL257" s="95">
        <v>1</v>
      </c>
      <c r="AM257" s="92">
        <v>0</v>
      </c>
      <c r="AN257" s="79" t="s">
        <v>80</v>
      </c>
      <c r="AO257" s="75">
        <v>1</v>
      </c>
      <c r="AP257" s="75" t="s">
        <v>84</v>
      </c>
      <c r="AQ257" s="122">
        <v>1</v>
      </c>
      <c r="AR257" s="515" t="s">
        <v>10</v>
      </c>
      <c r="AS257" s="95">
        <v>0</v>
      </c>
      <c r="AT257" s="75">
        <v>0</v>
      </c>
      <c r="AU257" s="75">
        <v>0</v>
      </c>
      <c r="AV257" s="75">
        <v>0</v>
      </c>
      <c r="AW257" s="123">
        <v>0</v>
      </c>
      <c r="AX257" s="516"/>
      <c r="AY257" s="75">
        <v>0</v>
      </c>
      <c r="AZ257" s="77" t="s">
        <v>131</v>
      </c>
      <c r="BA257" s="78" t="s">
        <v>131</v>
      </c>
      <c r="BB257" s="78" t="s">
        <v>131</v>
      </c>
      <c r="BC257" s="78" t="s">
        <v>131</v>
      </c>
      <c r="BD257" s="78" t="s">
        <v>131</v>
      </c>
      <c r="BE257" s="78" t="s">
        <v>131</v>
      </c>
      <c r="BF257" s="78" t="s">
        <v>131</v>
      </c>
      <c r="BG257" s="78" t="s">
        <v>132</v>
      </c>
      <c r="BH257" s="75" t="s">
        <v>5970</v>
      </c>
      <c r="BI257" s="295" t="s">
        <v>5893</v>
      </c>
      <c r="BJ257" s="546">
        <v>1</v>
      </c>
      <c r="BK257" s="294" t="s">
        <v>16</v>
      </c>
      <c r="BL257" s="157" t="s">
        <v>16</v>
      </c>
      <c r="BM257" s="548" t="s">
        <v>1345</v>
      </c>
      <c r="BN257" s="548" t="s">
        <v>4158</v>
      </c>
      <c r="BO257" s="157" t="s">
        <v>5892</v>
      </c>
      <c r="BP257" s="548" t="s">
        <v>5895</v>
      </c>
      <c r="BQ257" s="157" t="s">
        <v>5891</v>
      </c>
      <c r="BR257" s="157"/>
    </row>
    <row r="258" spans="1:70" x14ac:dyDescent="0.25">
      <c r="A258" s="19" t="s">
        <v>3686</v>
      </c>
      <c r="B258" s="37" t="s">
        <v>5334</v>
      </c>
      <c r="C258" s="90">
        <v>45462.64875</v>
      </c>
      <c r="D258" s="114">
        <v>45462.39875</v>
      </c>
      <c r="E258" s="38">
        <v>45462</v>
      </c>
      <c r="F258" s="91">
        <v>2024</v>
      </c>
      <c r="G258" s="93">
        <v>6</v>
      </c>
      <c r="H258" s="37" t="s">
        <v>617</v>
      </c>
      <c r="I258" s="37" t="s">
        <v>2362</v>
      </c>
      <c r="J258" s="103">
        <v>-92.284023426437983</v>
      </c>
      <c r="K258" s="40">
        <v>44.542255730973714</v>
      </c>
      <c r="L258" s="74"/>
      <c r="M258" s="272" t="s">
        <v>16</v>
      </c>
      <c r="N258" s="74">
        <v>0</v>
      </c>
      <c r="O258" s="94"/>
      <c r="P258" s="118">
        <v>1</v>
      </c>
      <c r="Q258" s="510">
        <v>180</v>
      </c>
      <c r="R258" s="513">
        <v>180</v>
      </c>
      <c r="S258" s="41"/>
      <c r="T258" s="40"/>
      <c r="U258" s="40">
        <v>8</v>
      </c>
      <c r="V258" s="119">
        <v>1</v>
      </c>
      <c r="W258" s="40">
        <v>0</v>
      </c>
      <c r="X258" s="119">
        <v>1</v>
      </c>
      <c r="Y258" s="40">
        <v>54</v>
      </c>
      <c r="Z258" s="119">
        <v>1</v>
      </c>
      <c r="AA258" s="368">
        <v>0</v>
      </c>
      <c r="AB258" s="535">
        <v>5</v>
      </c>
      <c r="AC258" s="39" t="s">
        <v>160</v>
      </c>
      <c r="AD258" s="75" t="s">
        <v>10</v>
      </c>
      <c r="AE258" s="95">
        <v>0</v>
      </c>
      <c r="AF258" s="75">
        <v>0</v>
      </c>
      <c r="AG258" s="75">
        <v>0</v>
      </c>
      <c r="AH258" s="75">
        <v>0</v>
      </c>
      <c r="AI258" s="75">
        <v>0</v>
      </c>
      <c r="AJ258" s="75">
        <v>0</v>
      </c>
      <c r="AK258" s="75">
        <v>0</v>
      </c>
      <c r="AL258" s="95">
        <v>1</v>
      </c>
      <c r="AM258" s="92">
        <v>0</v>
      </c>
      <c r="AN258" s="79" t="s">
        <v>80</v>
      </c>
      <c r="AO258" s="75">
        <v>1</v>
      </c>
      <c r="AP258" s="75" t="s">
        <v>83</v>
      </c>
      <c r="AQ258" s="122">
        <v>1</v>
      </c>
      <c r="AR258" s="515" t="s">
        <v>13</v>
      </c>
      <c r="AS258" s="95">
        <v>1</v>
      </c>
      <c r="AT258" s="75">
        <v>0</v>
      </c>
      <c r="AU258" s="75">
        <v>0</v>
      </c>
      <c r="AV258" s="75">
        <v>0</v>
      </c>
      <c r="AW258" s="123">
        <v>0</v>
      </c>
      <c r="AX258" s="516"/>
      <c r="AY258" s="75">
        <v>0</v>
      </c>
      <c r="AZ258" s="77" t="s">
        <v>131</v>
      </c>
      <c r="BA258" s="78" t="s">
        <v>131</v>
      </c>
      <c r="BB258" s="78" t="s">
        <v>131</v>
      </c>
      <c r="BC258" s="78" t="s">
        <v>131</v>
      </c>
      <c r="BD258" s="78" t="s">
        <v>131</v>
      </c>
      <c r="BE258" s="78" t="s">
        <v>131</v>
      </c>
      <c r="BF258" s="78" t="s">
        <v>131</v>
      </c>
      <c r="BG258" s="78" t="s">
        <v>132</v>
      </c>
      <c r="BH258" s="75" t="s">
        <v>5970</v>
      </c>
      <c r="BI258" s="295" t="s">
        <v>2261</v>
      </c>
      <c r="BJ258" s="546">
        <v>1</v>
      </c>
      <c r="BK258" s="294">
        <v>1</v>
      </c>
      <c r="BL258" s="157">
        <v>1</v>
      </c>
      <c r="BM258" s="548" t="s">
        <v>1340</v>
      </c>
      <c r="BN258" s="548" t="s">
        <v>578</v>
      </c>
      <c r="BO258" s="157" t="s">
        <v>4268</v>
      </c>
      <c r="BP258" s="548" t="s">
        <v>2261</v>
      </c>
      <c r="BQ258" s="157" t="s">
        <v>4214</v>
      </c>
      <c r="BR258" s="157"/>
    </row>
    <row r="259" spans="1:70" x14ac:dyDescent="0.25">
      <c r="A259" s="19" t="s">
        <v>3686</v>
      </c>
      <c r="B259" s="37" t="s">
        <v>5335</v>
      </c>
      <c r="C259" s="90">
        <v>45461.854398148149</v>
      </c>
      <c r="D259" s="114">
        <v>45461.604398148149</v>
      </c>
      <c r="E259" s="38">
        <v>45461</v>
      </c>
      <c r="F259" s="91">
        <v>2024</v>
      </c>
      <c r="G259" s="93">
        <v>6</v>
      </c>
      <c r="H259" s="37" t="s">
        <v>1386</v>
      </c>
      <c r="I259" s="37"/>
      <c r="J259" s="103">
        <v>-92.2948758</v>
      </c>
      <c r="K259" s="40">
        <v>43.736237099999997</v>
      </c>
      <c r="L259" s="74"/>
      <c r="M259" s="272" t="s">
        <v>16</v>
      </c>
      <c r="N259" s="74">
        <v>0</v>
      </c>
      <c r="O259" s="94"/>
      <c r="P259" s="118">
        <v>1</v>
      </c>
      <c r="Q259" s="510">
        <v>80</v>
      </c>
      <c r="R259" s="513">
        <v>180</v>
      </c>
      <c r="S259" s="41"/>
      <c r="T259" s="40"/>
      <c r="U259" s="40">
        <v>7.5</v>
      </c>
      <c r="V259" s="119">
        <v>1</v>
      </c>
      <c r="W259" s="40">
        <v>0</v>
      </c>
      <c r="X259" s="119">
        <v>1</v>
      </c>
      <c r="Y259" s="40">
        <v>72</v>
      </c>
      <c r="Z259" s="119">
        <v>1</v>
      </c>
      <c r="AA259" s="368">
        <v>0</v>
      </c>
      <c r="AB259" s="535">
        <v>5</v>
      </c>
      <c r="AC259" s="39" t="s">
        <v>160</v>
      </c>
      <c r="AD259" s="75" t="s">
        <v>10</v>
      </c>
      <c r="AE259" s="95">
        <v>0</v>
      </c>
      <c r="AF259" s="75">
        <v>0</v>
      </c>
      <c r="AG259" s="75">
        <v>0</v>
      </c>
      <c r="AH259" s="75">
        <v>0</v>
      </c>
      <c r="AI259" s="75">
        <v>0</v>
      </c>
      <c r="AJ259" s="75">
        <v>0</v>
      </c>
      <c r="AK259" s="75">
        <v>0</v>
      </c>
      <c r="AL259" s="95">
        <v>1</v>
      </c>
      <c r="AM259" s="92">
        <v>0</v>
      </c>
      <c r="AN259" s="79" t="s">
        <v>195</v>
      </c>
      <c r="AO259" s="75">
        <v>1</v>
      </c>
      <c r="AP259" s="75"/>
      <c r="AQ259" s="122">
        <v>0</v>
      </c>
      <c r="AR259" s="515" t="s">
        <v>13</v>
      </c>
      <c r="AS259" s="95">
        <v>1</v>
      </c>
      <c r="AT259" s="75">
        <v>0</v>
      </c>
      <c r="AU259" s="75">
        <v>0</v>
      </c>
      <c r="AV259" s="75">
        <v>0</v>
      </c>
      <c r="AW259" s="123">
        <v>0</v>
      </c>
      <c r="AX259" s="516"/>
      <c r="AY259" s="75">
        <v>0</v>
      </c>
      <c r="AZ259" s="77" t="s">
        <v>131</v>
      </c>
      <c r="BA259" s="78" t="s">
        <v>131</v>
      </c>
      <c r="BB259" s="78" t="s">
        <v>131</v>
      </c>
      <c r="BC259" s="78" t="s">
        <v>131</v>
      </c>
      <c r="BD259" s="78" t="s">
        <v>131</v>
      </c>
      <c r="BE259" s="78" t="s">
        <v>131</v>
      </c>
      <c r="BF259" s="78" t="s">
        <v>131</v>
      </c>
      <c r="BG259" s="78" t="s">
        <v>132</v>
      </c>
      <c r="BH259" s="75" t="s">
        <v>5970</v>
      </c>
      <c r="BI259" s="295" t="s">
        <v>3974</v>
      </c>
      <c r="BJ259" s="546">
        <v>1</v>
      </c>
      <c r="BK259" s="294" t="s">
        <v>16</v>
      </c>
      <c r="BL259" s="157" t="s">
        <v>16</v>
      </c>
      <c r="BM259" s="548" t="s">
        <v>1339</v>
      </c>
      <c r="BN259" s="548" t="s">
        <v>1339</v>
      </c>
      <c r="BO259" s="157" t="s">
        <v>4387</v>
      </c>
      <c r="BP259" s="548" t="s">
        <v>3974</v>
      </c>
      <c r="BQ259" s="157" t="s">
        <v>4226</v>
      </c>
      <c r="BR259" s="157"/>
    </row>
    <row r="260" spans="1:70" x14ac:dyDescent="0.25">
      <c r="A260" s="19" t="s">
        <v>3686</v>
      </c>
      <c r="B260" s="37" t="s">
        <v>5336</v>
      </c>
      <c r="C260" s="90">
        <v>45461.822199074071</v>
      </c>
      <c r="D260" s="114">
        <v>45461.572199074071</v>
      </c>
      <c r="E260" s="38">
        <v>45461</v>
      </c>
      <c r="F260" s="91">
        <v>2024</v>
      </c>
      <c r="G260" s="93">
        <v>6</v>
      </c>
      <c r="H260" s="37" t="s">
        <v>1386</v>
      </c>
      <c r="I260" s="37"/>
      <c r="J260" s="103">
        <v>-92.342230200000003</v>
      </c>
      <c r="K260" s="40">
        <v>43.6031677</v>
      </c>
      <c r="L260" s="74"/>
      <c r="M260" s="272" t="s">
        <v>16</v>
      </c>
      <c r="N260" s="74">
        <v>0</v>
      </c>
      <c r="O260" s="94"/>
      <c r="P260" s="118">
        <v>1</v>
      </c>
      <c r="Q260" s="510">
        <v>80</v>
      </c>
      <c r="R260" s="513">
        <v>180</v>
      </c>
      <c r="S260" s="41"/>
      <c r="T260" s="40"/>
      <c r="U260" s="40">
        <v>7.5</v>
      </c>
      <c r="V260" s="119">
        <v>1</v>
      </c>
      <c r="W260" s="40">
        <v>0</v>
      </c>
      <c r="X260" s="119">
        <v>1</v>
      </c>
      <c r="Y260" s="40">
        <v>67</v>
      </c>
      <c r="Z260" s="119">
        <v>1</v>
      </c>
      <c r="AA260" s="368">
        <v>0</v>
      </c>
      <c r="AB260" s="535">
        <v>5</v>
      </c>
      <c r="AC260" s="39" t="s">
        <v>160</v>
      </c>
      <c r="AD260" s="75" t="s">
        <v>10</v>
      </c>
      <c r="AE260" s="95">
        <v>0</v>
      </c>
      <c r="AF260" s="75">
        <v>0</v>
      </c>
      <c r="AG260" s="75">
        <v>0</v>
      </c>
      <c r="AH260" s="75">
        <v>0</v>
      </c>
      <c r="AI260" s="75">
        <v>0</v>
      </c>
      <c r="AJ260" s="75">
        <v>0</v>
      </c>
      <c r="AK260" s="75">
        <v>0</v>
      </c>
      <c r="AL260" s="95">
        <v>1</v>
      </c>
      <c r="AM260" s="92">
        <v>0</v>
      </c>
      <c r="AN260" s="79" t="s">
        <v>195</v>
      </c>
      <c r="AO260" s="75">
        <v>1</v>
      </c>
      <c r="AP260" s="75"/>
      <c r="AQ260" s="122">
        <v>0</v>
      </c>
      <c r="AR260" s="515" t="s">
        <v>13</v>
      </c>
      <c r="AS260" s="95">
        <v>1</v>
      </c>
      <c r="AT260" s="75">
        <v>0</v>
      </c>
      <c r="AU260" s="75">
        <v>0</v>
      </c>
      <c r="AV260" s="75">
        <v>0</v>
      </c>
      <c r="AW260" s="123">
        <v>0</v>
      </c>
      <c r="AX260" s="516"/>
      <c r="AY260" s="75">
        <v>0</v>
      </c>
      <c r="AZ260" s="77" t="s">
        <v>131</v>
      </c>
      <c r="BA260" s="78" t="s">
        <v>131</v>
      </c>
      <c r="BB260" s="78" t="s">
        <v>131</v>
      </c>
      <c r="BC260" s="78" t="s">
        <v>131</v>
      </c>
      <c r="BD260" s="78" t="s">
        <v>131</v>
      </c>
      <c r="BE260" s="78" t="s">
        <v>131</v>
      </c>
      <c r="BF260" s="78" t="s">
        <v>131</v>
      </c>
      <c r="BG260" s="78" t="s">
        <v>132</v>
      </c>
      <c r="BH260" s="75" t="s">
        <v>5970</v>
      </c>
      <c r="BI260" s="295" t="s">
        <v>2294</v>
      </c>
      <c r="BJ260" s="546">
        <v>1</v>
      </c>
      <c r="BK260" s="294" t="s">
        <v>16</v>
      </c>
      <c r="BL260" s="157" t="s">
        <v>16</v>
      </c>
      <c r="BM260" s="548" t="s">
        <v>1339</v>
      </c>
      <c r="BN260" s="548" t="s">
        <v>1339</v>
      </c>
      <c r="BO260" s="157" t="s">
        <v>4230</v>
      </c>
      <c r="BP260" s="548" t="s">
        <v>4231</v>
      </c>
      <c r="BQ260" s="157" t="s">
        <v>4229</v>
      </c>
      <c r="BR260" s="157"/>
    </row>
    <row r="261" spans="1:70" x14ac:dyDescent="0.25">
      <c r="A261" s="19" t="s">
        <v>3686</v>
      </c>
      <c r="B261" s="37" t="s">
        <v>5337</v>
      </c>
      <c r="C261" s="90">
        <v>45461.77715277778</v>
      </c>
      <c r="D261" s="114">
        <v>45461.52715277778</v>
      </c>
      <c r="E261" s="38">
        <v>45461</v>
      </c>
      <c r="F261" s="91">
        <v>2024</v>
      </c>
      <c r="G261" s="93">
        <v>6</v>
      </c>
      <c r="H261" s="37" t="s">
        <v>2548</v>
      </c>
      <c r="I261" s="37"/>
      <c r="J261" s="103">
        <v>-90.628677102112817</v>
      </c>
      <c r="K261" s="40">
        <v>42.78574609490196</v>
      </c>
      <c r="L261" s="74"/>
      <c r="M261" s="272" t="s">
        <v>5338</v>
      </c>
      <c r="N261" s="74">
        <v>1</v>
      </c>
      <c r="O261" s="94"/>
      <c r="P261" s="118">
        <v>1</v>
      </c>
      <c r="Q261" s="510">
        <v>180</v>
      </c>
      <c r="R261" s="513">
        <v>120</v>
      </c>
      <c r="S261" s="41"/>
      <c r="T261" s="40"/>
      <c r="U261" s="40">
        <v>8</v>
      </c>
      <c r="V261" s="119">
        <v>1</v>
      </c>
      <c r="W261" s="40">
        <v>100</v>
      </c>
      <c r="X261" s="119">
        <v>1</v>
      </c>
      <c r="Y261" s="40">
        <v>67</v>
      </c>
      <c r="Z261" s="119">
        <v>1</v>
      </c>
      <c r="AA261" s="368">
        <v>0</v>
      </c>
      <c r="AB261" s="535">
        <v>5</v>
      </c>
      <c r="AC261" s="39" t="s">
        <v>160</v>
      </c>
      <c r="AD261" s="75" t="s">
        <v>10</v>
      </c>
      <c r="AE261" s="95">
        <v>0</v>
      </c>
      <c r="AF261" s="75">
        <v>0</v>
      </c>
      <c r="AG261" s="75">
        <v>0</v>
      </c>
      <c r="AH261" s="75">
        <v>0</v>
      </c>
      <c r="AI261" s="75">
        <v>0</v>
      </c>
      <c r="AJ261" s="75">
        <v>0</v>
      </c>
      <c r="AK261" s="75">
        <v>0</v>
      </c>
      <c r="AL261" s="95">
        <v>1</v>
      </c>
      <c r="AM261" s="92">
        <v>0</v>
      </c>
      <c r="AN261" s="79" t="s">
        <v>80</v>
      </c>
      <c r="AO261" s="75">
        <v>1</v>
      </c>
      <c r="AP261" s="75" t="s">
        <v>84</v>
      </c>
      <c r="AQ261" s="122">
        <v>1</v>
      </c>
      <c r="AR261" s="515" t="s">
        <v>13</v>
      </c>
      <c r="AS261" s="95">
        <v>1</v>
      </c>
      <c r="AT261" s="75">
        <v>0</v>
      </c>
      <c r="AU261" s="75">
        <v>0</v>
      </c>
      <c r="AV261" s="75">
        <v>0</v>
      </c>
      <c r="AW261" s="123">
        <v>0</v>
      </c>
      <c r="AX261" s="516"/>
      <c r="AY261" s="75">
        <v>0</v>
      </c>
      <c r="AZ261" s="77" t="s">
        <v>131</v>
      </c>
      <c r="BA261" s="78" t="s">
        <v>131</v>
      </c>
      <c r="BB261" s="78" t="s">
        <v>131</v>
      </c>
      <c r="BC261" s="78" t="s">
        <v>131</v>
      </c>
      <c r="BD261" s="78" t="s">
        <v>131</v>
      </c>
      <c r="BE261" s="78" t="s">
        <v>131</v>
      </c>
      <c r="BF261" s="78" t="s">
        <v>131</v>
      </c>
      <c r="BG261" s="78" t="s">
        <v>132</v>
      </c>
      <c r="BH261" s="75" t="s">
        <v>5970</v>
      </c>
      <c r="BI261" s="295" t="s">
        <v>16</v>
      </c>
      <c r="BJ261" s="546">
        <v>1</v>
      </c>
      <c r="BK261" s="294" t="s">
        <v>16</v>
      </c>
      <c r="BL261" s="157" t="s">
        <v>16</v>
      </c>
      <c r="BM261" s="548" t="s">
        <v>1345</v>
      </c>
      <c r="BN261" s="548" t="s">
        <v>4158</v>
      </c>
      <c r="BO261" s="157" t="s">
        <v>5896</v>
      </c>
      <c r="BP261" s="548" t="s">
        <v>5897</v>
      </c>
      <c r="BQ261" s="157" t="s">
        <v>5879</v>
      </c>
      <c r="BR261" s="157"/>
    </row>
    <row r="262" spans="1:70" x14ac:dyDescent="0.25">
      <c r="A262" s="19" t="s">
        <v>3686</v>
      </c>
      <c r="B262" s="37" t="s">
        <v>5339</v>
      </c>
      <c r="C262" s="90">
        <v>45461.722754629627</v>
      </c>
      <c r="D262" s="114">
        <v>45461.472754629627</v>
      </c>
      <c r="E262" s="38">
        <v>45461</v>
      </c>
      <c r="F262" s="91">
        <v>2024</v>
      </c>
      <c r="G262" s="93">
        <v>6</v>
      </c>
      <c r="H262" s="37" t="s">
        <v>461</v>
      </c>
      <c r="I262" s="37" t="s">
        <v>368</v>
      </c>
      <c r="J262" s="103">
        <v>-92.146813171270622</v>
      </c>
      <c r="K262" s="40">
        <v>44.793152364267762</v>
      </c>
      <c r="L262" s="74"/>
      <c r="M262" s="272" t="s">
        <v>5340</v>
      </c>
      <c r="N262" s="74">
        <v>1</v>
      </c>
      <c r="O262" s="94"/>
      <c r="P262" s="118">
        <v>1</v>
      </c>
      <c r="Q262" s="510">
        <v>80</v>
      </c>
      <c r="R262" s="513">
        <v>120</v>
      </c>
      <c r="S262" s="41"/>
      <c r="T262" s="40"/>
      <c r="U262" s="40">
        <v>7.5</v>
      </c>
      <c r="V262" s="119">
        <v>1</v>
      </c>
      <c r="W262" s="40">
        <v>200</v>
      </c>
      <c r="X262" s="119">
        <v>1</v>
      </c>
      <c r="Y262" s="40">
        <v>60</v>
      </c>
      <c r="Z262" s="119">
        <v>1</v>
      </c>
      <c r="AA262" s="368">
        <v>0</v>
      </c>
      <c r="AB262" s="535">
        <v>2</v>
      </c>
      <c r="AC262" s="39" t="s">
        <v>160</v>
      </c>
      <c r="AD262" s="75" t="s">
        <v>5341</v>
      </c>
      <c r="AE262" s="95">
        <v>0</v>
      </c>
      <c r="AF262" s="75">
        <v>0</v>
      </c>
      <c r="AG262" s="75">
        <v>0</v>
      </c>
      <c r="AH262" s="75">
        <v>0</v>
      </c>
      <c r="AI262" s="75">
        <v>1</v>
      </c>
      <c r="AJ262" s="75">
        <v>0</v>
      </c>
      <c r="AK262" s="75">
        <v>0</v>
      </c>
      <c r="AL262" s="95">
        <v>1</v>
      </c>
      <c r="AM262" s="92">
        <v>0</v>
      </c>
      <c r="AN262" s="79" t="s">
        <v>81</v>
      </c>
      <c r="AO262" s="75">
        <v>1</v>
      </c>
      <c r="AP262" s="75" t="s">
        <v>85</v>
      </c>
      <c r="AQ262" s="122">
        <v>1</v>
      </c>
      <c r="AR262" s="515" t="s">
        <v>35</v>
      </c>
      <c r="AS262" s="95">
        <v>0</v>
      </c>
      <c r="AT262" s="75">
        <v>1</v>
      </c>
      <c r="AU262" s="75">
        <v>0</v>
      </c>
      <c r="AV262" s="75">
        <v>0</v>
      </c>
      <c r="AW262" s="123">
        <v>0</v>
      </c>
      <c r="AX262" s="516"/>
      <c r="AY262" s="75">
        <v>0</v>
      </c>
      <c r="AZ262" s="77" t="s">
        <v>131</v>
      </c>
      <c r="BA262" s="78" t="s">
        <v>131</v>
      </c>
      <c r="BB262" s="78" t="s">
        <v>131</v>
      </c>
      <c r="BC262" s="78" t="s">
        <v>131</v>
      </c>
      <c r="BD262" s="78" t="s">
        <v>132</v>
      </c>
      <c r="BE262" s="78" t="s">
        <v>131</v>
      </c>
      <c r="BF262" s="78" t="s">
        <v>131</v>
      </c>
      <c r="BG262" s="78" t="s">
        <v>132</v>
      </c>
      <c r="BH262" s="75" t="s">
        <v>5970</v>
      </c>
      <c r="BI262" s="295" t="s">
        <v>2270</v>
      </c>
      <c r="BJ262" s="546">
        <v>1</v>
      </c>
      <c r="BK262" s="294">
        <v>1</v>
      </c>
      <c r="BL262" s="157">
        <v>1</v>
      </c>
      <c r="BM262" s="548" t="s">
        <v>578</v>
      </c>
      <c r="BN262" s="548" t="s">
        <v>578</v>
      </c>
      <c r="BO262" s="157" t="s">
        <v>4317</v>
      </c>
      <c r="BP262" s="548" t="s">
        <v>2270</v>
      </c>
      <c r="BQ262" s="157" t="s">
        <v>4316</v>
      </c>
      <c r="BR262" s="157"/>
    </row>
    <row r="263" spans="1:70" x14ac:dyDescent="0.25">
      <c r="A263" s="19" t="s">
        <v>3686</v>
      </c>
      <c r="B263" s="37" t="s">
        <v>5342</v>
      </c>
      <c r="C263" s="90">
        <v>45461.721956018519</v>
      </c>
      <c r="D263" s="114">
        <v>45461.471956018519</v>
      </c>
      <c r="E263" s="38">
        <v>45461</v>
      </c>
      <c r="F263" s="91">
        <v>2024</v>
      </c>
      <c r="G263" s="93">
        <v>6</v>
      </c>
      <c r="H263" s="37" t="s">
        <v>475</v>
      </c>
      <c r="I263" s="37"/>
      <c r="J263" s="103">
        <v>-92.650289624493396</v>
      </c>
      <c r="K263" s="40">
        <v>44.075238596212401</v>
      </c>
      <c r="L263" s="74"/>
      <c r="M263" s="272" t="s">
        <v>16</v>
      </c>
      <c r="N263" s="74">
        <v>0</v>
      </c>
      <c r="O263" s="94"/>
      <c r="P263" s="118">
        <v>1</v>
      </c>
      <c r="Q263" s="510">
        <v>120</v>
      </c>
      <c r="R263" s="513">
        <v>30</v>
      </c>
      <c r="S263" s="41"/>
      <c r="T263" s="40"/>
      <c r="U263" s="40">
        <v>6</v>
      </c>
      <c r="V263" s="119">
        <v>1</v>
      </c>
      <c r="W263" s="40">
        <v>100</v>
      </c>
      <c r="X263" s="119">
        <v>1</v>
      </c>
      <c r="Y263" s="40">
        <v>61</v>
      </c>
      <c r="Z263" s="119">
        <v>1</v>
      </c>
      <c r="AA263" s="368">
        <v>0</v>
      </c>
      <c r="AB263" s="535">
        <v>10</v>
      </c>
      <c r="AC263" s="39" t="s">
        <v>160</v>
      </c>
      <c r="AD263" s="75" t="s">
        <v>8</v>
      </c>
      <c r="AE263" s="95">
        <v>0</v>
      </c>
      <c r="AF263" s="75">
        <v>1</v>
      </c>
      <c r="AG263" s="75">
        <v>0</v>
      </c>
      <c r="AH263" s="75">
        <v>0</v>
      </c>
      <c r="AI263" s="75">
        <v>0</v>
      </c>
      <c r="AJ263" s="75">
        <v>0</v>
      </c>
      <c r="AK263" s="75">
        <v>0</v>
      </c>
      <c r="AL263" s="95">
        <v>0</v>
      </c>
      <c r="AM263" s="92">
        <v>0</v>
      </c>
      <c r="AN263" s="79" t="s">
        <v>195</v>
      </c>
      <c r="AO263" s="75">
        <v>1</v>
      </c>
      <c r="AP263" s="75" t="s">
        <v>85</v>
      </c>
      <c r="AQ263" s="122">
        <v>1</v>
      </c>
      <c r="AR263" s="515" t="s">
        <v>13</v>
      </c>
      <c r="AS263" s="95">
        <v>1</v>
      </c>
      <c r="AT263" s="75">
        <v>0</v>
      </c>
      <c r="AU263" s="75">
        <v>0</v>
      </c>
      <c r="AV263" s="75">
        <v>0</v>
      </c>
      <c r="AW263" s="123">
        <v>0</v>
      </c>
      <c r="AX263" s="516"/>
      <c r="AY263" s="75">
        <v>0</v>
      </c>
      <c r="AZ263" s="77" t="s">
        <v>131</v>
      </c>
      <c r="BA263" s="78" t="s">
        <v>132</v>
      </c>
      <c r="BB263" s="78" t="s">
        <v>131</v>
      </c>
      <c r="BC263" s="78" t="s">
        <v>131</v>
      </c>
      <c r="BD263" s="78" t="s">
        <v>131</v>
      </c>
      <c r="BE263" s="78" t="s">
        <v>131</v>
      </c>
      <c r="BF263" s="78" t="s">
        <v>131</v>
      </c>
      <c r="BG263" s="78" t="s">
        <v>131</v>
      </c>
      <c r="BH263" s="75" t="s">
        <v>5970</v>
      </c>
      <c r="BI263" s="295" t="s">
        <v>5823</v>
      </c>
      <c r="BJ263" s="546" t="s">
        <v>16</v>
      </c>
      <c r="BK263" s="294" t="s">
        <v>16</v>
      </c>
      <c r="BL263" s="157" t="s">
        <v>16</v>
      </c>
      <c r="BM263" s="548" t="s">
        <v>1339</v>
      </c>
      <c r="BN263" s="548" t="s">
        <v>1339</v>
      </c>
      <c r="BO263" s="157" t="s">
        <v>5822</v>
      </c>
      <c r="BP263" s="548" t="s">
        <v>5823</v>
      </c>
      <c r="BQ263" s="157" t="s">
        <v>5821</v>
      </c>
      <c r="BR263" s="157"/>
    </row>
    <row r="264" spans="1:70" x14ac:dyDescent="0.25">
      <c r="A264" s="19" t="s">
        <v>3686</v>
      </c>
      <c r="B264" s="37" t="s">
        <v>5343</v>
      </c>
      <c r="C264" s="90">
        <v>45461.699259259258</v>
      </c>
      <c r="D264" s="114">
        <v>45461.449259259258</v>
      </c>
      <c r="E264" s="38">
        <v>45461</v>
      </c>
      <c r="F264" s="91">
        <v>2024</v>
      </c>
      <c r="G264" s="93">
        <v>6</v>
      </c>
      <c r="H264" s="37" t="s">
        <v>475</v>
      </c>
      <c r="I264" s="37"/>
      <c r="J264" s="103">
        <v>-92.689007958328716</v>
      </c>
      <c r="K264" s="40">
        <v>44.151753745594625</v>
      </c>
      <c r="L264" s="74"/>
      <c r="M264" s="272" t="s">
        <v>5344</v>
      </c>
      <c r="N264" s="74">
        <v>1</v>
      </c>
      <c r="O264" s="94"/>
      <c r="P264" s="118">
        <v>1</v>
      </c>
      <c r="Q264" s="510">
        <v>120</v>
      </c>
      <c r="R264" s="513">
        <v>60</v>
      </c>
      <c r="S264" s="41"/>
      <c r="T264" s="40"/>
      <c r="U264" s="40">
        <v>8</v>
      </c>
      <c r="V264" s="119">
        <v>1</v>
      </c>
      <c r="W264" s="40">
        <v>200</v>
      </c>
      <c r="X264" s="119">
        <v>1</v>
      </c>
      <c r="Y264" s="40">
        <v>64</v>
      </c>
      <c r="Z264" s="119">
        <v>1</v>
      </c>
      <c r="AA264" s="368">
        <v>0</v>
      </c>
      <c r="AB264" s="535">
        <v>20</v>
      </c>
      <c r="AC264" s="39"/>
      <c r="AD264" s="75" t="s">
        <v>439</v>
      </c>
      <c r="AE264" s="95">
        <v>0</v>
      </c>
      <c r="AF264" s="75">
        <v>1</v>
      </c>
      <c r="AG264" s="75">
        <v>0</v>
      </c>
      <c r="AH264" s="75">
        <v>0</v>
      </c>
      <c r="AI264" s="75">
        <v>1</v>
      </c>
      <c r="AJ264" s="75">
        <v>0</v>
      </c>
      <c r="AK264" s="75">
        <v>0</v>
      </c>
      <c r="AL264" s="95">
        <v>0</v>
      </c>
      <c r="AM264" s="92">
        <v>0</v>
      </c>
      <c r="AN264" s="79" t="s">
        <v>81</v>
      </c>
      <c r="AO264" s="75">
        <v>1</v>
      </c>
      <c r="AP264" s="75" t="s">
        <v>84</v>
      </c>
      <c r="AQ264" s="122">
        <v>1</v>
      </c>
      <c r="AR264" s="515" t="s">
        <v>13</v>
      </c>
      <c r="AS264" s="95">
        <v>1</v>
      </c>
      <c r="AT264" s="75">
        <v>0</v>
      </c>
      <c r="AU264" s="75">
        <v>0</v>
      </c>
      <c r="AV264" s="75">
        <v>0</v>
      </c>
      <c r="AW264" s="123">
        <v>0</v>
      </c>
      <c r="AX264" s="516" t="s">
        <v>5345</v>
      </c>
      <c r="AY264" s="75">
        <v>1</v>
      </c>
      <c r="AZ264" s="77" t="s">
        <v>131</v>
      </c>
      <c r="BA264" s="78" t="s">
        <v>132</v>
      </c>
      <c r="BB264" s="78" t="s">
        <v>131</v>
      </c>
      <c r="BC264" s="78" t="s">
        <v>131</v>
      </c>
      <c r="BD264" s="78" t="s">
        <v>132</v>
      </c>
      <c r="BE264" s="78" t="s">
        <v>131</v>
      </c>
      <c r="BF264" s="78" t="s">
        <v>131</v>
      </c>
      <c r="BG264" s="78" t="s">
        <v>131</v>
      </c>
      <c r="BH264" s="75" t="s">
        <v>5970</v>
      </c>
      <c r="BI264" s="295" t="s">
        <v>5934</v>
      </c>
      <c r="BJ264" s="546" t="s">
        <v>16</v>
      </c>
      <c r="BK264" s="294" t="s">
        <v>16</v>
      </c>
      <c r="BL264" s="157" t="s">
        <v>16</v>
      </c>
      <c r="BM264" s="548" t="s">
        <v>1339</v>
      </c>
      <c r="BN264" s="548" t="s">
        <v>1339</v>
      </c>
      <c r="BO264" s="157" t="s">
        <v>5899</v>
      </c>
      <c r="BP264" s="548" t="s">
        <v>5900</v>
      </c>
      <c r="BQ264" s="157" t="s">
        <v>5898</v>
      </c>
      <c r="BR264" s="157"/>
    </row>
    <row r="265" spans="1:70" x14ac:dyDescent="0.25">
      <c r="A265" s="19" t="s">
        <v>3686</v>
      </c>
      <c r="B265" s="37" t="s">
        <v>5346</v>
      </c>
      <c r="C265" s="90">
        <v>45461.551180555558</v>
      </c>
      <c r="D265" s="114">
        <v>45461.301180555558</v>
      </c>
      <c r="E265" s="38">
        <v>45461</v>
      </c>
      <c r="F265" s="91">
        <v>2024</v>
      </c>
      <c r="G265" s="93">
        <v>6</v>
      </c>
      <c r="H265" s="37" t="s">
        <v>2548</v>
      </c>
      <c r="I265" s="37"/>
      <c r="J265" s="103">
        <v>-90.613384134680402</v>
      </c>
      <c r="K265" s="40">
        <v>42.762761089576848</v>
      </c>
      <c r="L265" s="74"/>
      <c r="M265" s="272" t="s">
        <v>5347</v>
      </c>
      <c r="N265" s="74">
        <v>1</v>
      </c>
      <c r="O265" s="94"/>
      <c r="P265" s="118">
        <v>1</v>
      </c>
      <c r="Q265" s="510">
        <v>180</v>
      </c>
      <c r="R265" s="513">
        <v>180</v>
      </c>
      <c r="S265" s="41"/>
      <c r="T265" s="40"/>
      <c r="U265" s="40">
        <v>8</v>
      </c>
      <c r="V265" s="119">
        <v>1</v>
      </c>
      <c r="W265" s="40">
        <v>100</v>
      </c>
      <c r="X265" s="119">
        <v>1</v>
      </c>
      <c r="Y265" s="40">
        <v>71</v>
      </c>
      <c r="Z265" s="119">
        <v>0</v>
      </c>
      <c r="AA265" s="368" t="s">
        <v>16</v>
      </c>
      <c r="AB265" s="535" t="s">
        <v>16</v>
      </c>
      <c r="AC265" s="39" t="s">
        <v>160</v>
      </c>
      <c r="AD265" s="75" t="s">
        <v>10</v>
      </c>
      <c r="AE265" s="95">
        <v>0</v>
      </c>
      <c r="AF265" s="75">
        <v>0</v>
      </c>
      <c r="AG265" s="75">
        <v>0</v>
      </c>
      <c r="AH265" s="75">
        <v>0</v>
      </c>
      <c r="AI265" s="75">
        <v>0</v>
      </c>
      <c r="AJ265" s="75">
        <v>0</v>
      </c>
      <c r="AK265" s="75">
        <v>0</v>
      </c>
      <c r="AL265" s="95">
        <v>1</v>
      </c>
      <c r="AM265" s="92">
        <v>0</v>
      </c>
      <c r="AN265" s="79" t="s">
        <v>80</v>
      </c>
      <c r="AO265" s="75">
        <v>1</v>
      </c>
      <c r="AP265" s="75" t="s">
        <v>85</v>
      </c>
      <c r="AQ265" s="122">
        <v>1</v>
      </c>
      <c r="AR265" s="515" t="s">
        <v>13</v>
      </c>
      <c r="AS265" s="95">
        <v>1</v>
      </c>
      <c r="AT265" s="75">
        <v>0</v>
      </c>
      <c r="AU265" s="75">
        <v>0</v>
      </c>
      <c r="AV265" s="75">
        <v>0</v>
      </c>
      <c r="AW265" s="123">
        <v>0</v>
      </c>
      <c r="AX265" s="516"/>
      <c r="AY265" s="75">
        <v>0</v>
      </c>
      <c r="AZ265" s="77" t="s">
        <v>131</v>
      </c>
      <c r="BA265" s="78" t="s">
        <v>131</v>
      </c>
      <c r="BB265" s="78" t="s">
        <v>131</v>
      </c>
      <c r="BC265" s="78" t="s">
        <v>131</v>
      </c>
      <c r="BD265" s="78" t="s">
        <v>131</v>
      </c>
      <c r="BE265" s="78" t="s">
        <v>131</v>
      </c>
      <c r="BF265" s="78" t="s">
        <v>131</v>
      </c>
      <c r="BG265" s="78" t="s">
        <v>132</v>
      </c>
      <c r="BH265" s="75" t="s">
        <v>5970</v>
      </c>
      <c r="BI265" s="295" t="s">
        <v>5881</v>
      </c>
      <c r="BJ265" s="546" t="s">
        <v>16</v>
      </c>
      <c r="BK265" s="294" t="s">
        <v>16</v>
      </c>
      <c r="BL265" s="157" t="s">
        <v>16</v>
      </c>
      <c r="BM265" s="548" t="s">
        <v>1345</v>
      </c>
      <c r="BN265" s="548" t="s">
        <v>4158</v>
      </c>
      <c r="BO265" s="157" t="s">
        <v>5896</v>
      </c>
      <c r="BP265" s="548" t="s">
        <v>5897</v>
      </c>
      <c r="BQ265" s="157" t="s">
        <v>5879</v>
      </c>
      <c r="BR265" s="157"/>
    </row>
    <row r="266" spans="1:70" x14ac:dyDescent="0.25">
      <c r="A266" s="19" t="s">
        <v>3686</v>
      </c>
      <c r="B266" s="37" t="s">
        <v>5348</v>
      </c>
      <c r="C266" s="90">
        <v>45460.921180555553</v>
      </c>
      <c r="D266" s="114">
        <v>45460.671180555553</v>
      </c>
      <c r="E266" s="38">
        <v>45460</v>
      </c>
      <c r="F266" s="91">
        <v>2024</v>
      </c>
      <c r="G266" s="93">
        <v>6</v>
      </c>
      <c r="H266" s="37" t="s">
        <v>4981</v>
      </c>
      <c r="I266" s="37"/>
      <c r="J266" s="103">
        <v>-91.203482493501085</v>
      </c>
      <c r="K266" s="40">
        <v>42.889858225215292</v>
      </c>
      <c r="L266" s="74"/>
      <c r="M266" s="272" t="s">
        <v>5349</v>
      </c>
      <c r="N266" s="74">
        <v>1</v>
      </c>
      <c r="O266" s="94"/>
      <c r="P266" s="118">
        <v>1</v>
      </c>
      <c r="Q266" s="510">
        <v>180</v>
      </c>
      <c r="R266" s="513">
        <v>120</v>
      </c>
      <c r="S266" s="41"/>
      <c r="T266" s="40"/>
      <c r="U266" s="40">
        <v>9</v>
      </c>
      <c r="V266" s="119">
        <v>1</v>
      </c>
      <c r="W266" s="40">
        <v>0</v>
      </c>
      <c r="X266" s="119">
        <v>1</v>
      </c>
      <c r="Y266" s="40">
        <v>72</v>
      </c>
      <c r="Z266" s="119">
        <v>0</v>
      </c>
      <c r="AA266" s="368" t="s">
        <v>16</v>
      </c>
      <c r="AB266" s="535" t="s">
        <v>16</v>
      </c>
      <c r="AC266" s="39" t="s">
        <v>160</v>
      </c>
      <c r="AD266" s="75" t="s">
        <v>10</v>
      </c>
      <c r="AE266" s="95">
        <v>0</v>
      </c>
      <c r="AF266" s="75">
        <v>0</v>
      </c>
      <c r="AG266" s="75">
        <v>0</v>
      </c>
      <c r="AH266" s="75">
        <v>0</v>
      </c>
      <c r="AI266" s="75">
        <v>0</v>
      </c>
      <c r="AJ266" s="75">
        <v>0</v>
      </c>
      <c r="AK266" s="75">
        <v>0</v>
      </c>
      <c r="AL266" s="95">
        <v>1</v>
      </c>
      <c r="AM266" s="92">
        <v>0</v>
      </c>
      <c r="AN266" s="79" t="s">
        <v>80</v>
      </c>
      <c r="AO266" s="75">
        <v>1</v>
      </c>
      <c r="AP266" s="75" t="s">
        <v>83</v>
      </c>
      <c r="AQ266" s="122">
        <v>1</v>
      </c>
      <c r="AR266" s="515" t="s">
        <v>10</v>
      </c>
      <c r="AS266" s="95">
        <v>0</v>
      </c>
      <c r="AT266" s="75">
        <v>0</v>
      </c>
      <c r="AU266" s="75">
        <v>0</v>
      </c>
      <c r="AV266" s="75">
        <v>0</v>
      </c>
      <c r="AW266" s="123">
        <v>0</v>
      </c>
      <c r="AX266" s="516"/>
      <c r="AY266" s="75">
        <v>0</v>
      </c>
      <c r="AZ266" s="77" t="s">
        <v>131</v>
      </c>
      <c r="BA266" s="78" t="s">
        <v>131</v>
      </c>
      <c r="BB266" s="78" t="s">
        <v>131</v>
      </c>
      <c r="BC266" s="78" t="s">
        <v>131</v>
      </c>
      <c r="BD266" s="78" t="s">
        <v>131</v>
      </c>
      <c r="BE266" s="78" t="s">
        <v>131</v>
      </c>
      <c r="BF266" s="78" t="s">
        <v>131</v>
      </c>
      <c r="BG266" s="78" t="s">
        <v>132</v>
      </c>
      <c r="BH266" s="75" t="s">
        <v>5970</v>
      </c>
      <c r="BI266" s="295" t="s">
        <v>4024</v>
      </c>
      <c r="BJ266" s="546">
        <v>1</v>
      </c>
      <c r="BK266" s="294" t="s">
        <v>16</v>
      </c>
      <c r="BL266" s="157" t="s">
        <v>16</v>
      </c>
      <c r="BM266" s="548" t="s">
        <v>1347</v>
      </c>
      <c r="BN266" s="548" t="s">
        <v>4160</v>
      </c>
      <c r="BO266" s="157" t="s">
        <v>5901</v>
      </c>
      <c r="BP266" s="548" t="s">
        <v>4024</v>
      </c>
      <c r="BQ266" s="157" t="s">
        <v>4503</v>
      </c>
      <c r="BR266" s="157"/>
    </row>
    <row r="267" spans="1:70" x14ac:dyDescent="0.25">
      <c r="A267" s="19" t="s">
        <v>3686</v>
      </c>
      <c r="B267" s="37" t="s">
        <v>5350</v>
      </c>
      <c r="C267" s="90">
        <v>45460.873171296298</v>
      </c>
      <c r="D267" s="114">
        <v>45460.623171296298</v>
      </c>
      <c r="E267" s="38">
        <v>45460</v>
      </c>
      <c r="F267" s="91">
        <v>2024</v>
      </c>
      <c r="G267" s="93">
        <v>6</v>
      </c>
      <c r="H267" s="37" t="s">
        <v>4981</v>
      </c>
      <c r="I267" s="37"/>
      <c r="J267" s="103">
        <v>-91.150353701555844</v>
      </c>
      <c r="K267" s="40">
        <v>42.69736597466774</v>
      </c>
      <c r="L267" s="74"/>
      <c r="M267" s="272" t="s">
        <v>5351</v>
      </c>
      <c r="N267" s="74">
        <v>1</v>
      </c>
      <c r="O267" s="94"/>
      <c r="P267" s="118">
        <v>1</v>
      </c>
      <c r="Q267" s="510">
        <v>180</v>
      </c>
      <c r="R267" s="513">
        <v>180</v>
      </c>
      <c r="S267" s="41"/>
      <c r="T267" s="40"/>
      <c r="U267" s="40">
        <v>7.5</v>
      </c>
      <c r="V267" s="119">
        <v>1</v>
      </c>
      <c r="W267" s="40">
        <v>100</v>
      </c>
      <c r="X267" s="119">
        <v>1</v>
      </c>
      <c r="Y267" s="40">
        <v>69</v>
      </c>
      <c r="Z267" s="119">
        <v>0</v>
      </c>
      <c r="AA267" s="368" t="s">
        <v>16</v>
      </c>
      <c r="AB267" s="535" t="s">
        <v>16</v>
      </c>
      <c r="AC267" s="39" t="s">
        <v>160</v>
      </c>
      <c r="AD267" s="75" t="s">
        <v>8</v>
      </c>
      <c r="AE267" s="95">
        <v>0</v>
      </c>
      <c r="AF267" s="75">
        <v>1</v>
      </c>
      <c r="AG267" s="75">
        <v>0</v>
      </c>
      <c r="AH267" s="75">
        <v>0</v>
      </c>
      <c r="AI267" s="75">
        <v>0</v>
      </c>
      <c r="AJ267" s="75">
        <v>0</v>
      </c>
      <c r="AK267" s="75">
        <v>0</v>
      </c>
      <c r="AL267" s="95">
        <v>0</v>
      </c>
      <c r="AM267" s="92">
        <v>0</v>
      </c>
      <c r="AN267" s="79" t="s">
        <v>81</v>
      </c>
      <c r="AO267" s="75">
        <v>1</v>
      </c>
      <c r="AP267" s="75" t="s">
        <v>84</v>
      </c>
      <c r="AQ267" s="122">
        <v>1</v>
      </c>
      <c r="AR267" s="515" t="s">
        <v>10</v>
      </c>
      <c r="AS267" s="95">
        <v>0</v>
      </c>
      <c r="AT267" s="75">
        <v>0</v>
      </c>
      <c r="AU267" s="75">
        <v>0</v>
      </c>
      <c r="AV267" s="75">
        <v>0</v>
      </c>
      <c r="AW267" s="123">
        <v>0</v>
      </c>
      <c r="AX267" s="516"/>
      <c r="AY267" s="75">
        <v>0</v>
      </c>
      <c r="AZ267" s="77" t="s">
        <v>131</v>
      </c>
      <c r="BA267" s="78" t="s">
        <v>132</v>
      </c>
      <c r="BB267" s="78" t="s">
        <v>131</v>
      </c>
      <c r="BC267" s="78" t="s">
        <v>131</v>
      </c>
      <c r="BD267" s="78" t="s">
        <v>131</v>
      </c>
      <c r="BE267" s="78" t="s">
        <v>131</v>
      </c>
      <c r="BF267" s="78" t="s">
        <v>131</v>
      </c>
      <c r="BG267" s="78" t="s">
        <v>131</v>
      </c>
      <c r="BH267" s="75" t="s">
        <v>5970</v>
      </c>
      <c r="BI267" s="295" t="s">
        <v>2243</v>
      </c>
      <c r="BJ267" s="546" t="s">
        <v>16</v>
      </c>
      <c r="BK267" s="294" t="s">
        <v>16</v>
      </c>
      <c r="BL267" s="157" t="s">
        <v>16</v>
      </c>
      <c r="BM267" s="548" t="s">
        <v>1347</v>
      </c>
      <c r="BN267" s="548" t="s">
        <v>4160</v>
      </c>
      <c r="BO267" s="157" t="s">
        <v>5903</v>
      </c>
      <c r="BP267" s="548" t="s">
        <v>5904</v>
      </c>
      <c r="BQ267" s="157" t="s">
        <v>5902</v>
      </c>
      <c r="BR267" s="157"/>
    </row>
    <row r="268" spans="1:70" x14ac:dyDescent="0.25">
      <c r="A268" s="19" t="s">
        <v>3686</v>
      </c>
      <c r="B268" s="37" t="s">
        <v>5352</v>
      </c>
      <c r="C268" s="90">
        <v>45460.858969907407</v>
      </c>
      <c r="D268" s="114">
        <v>45460.608969907407</v>
      </c>
      <c r="E268" s="38">
        <v>45460</v>
      </c>
      <c r="F268" s="91">
        <v>2024</v>
      </c>
      <c r="G268" s="93">
        <v>6</v>
      </c>
      <c r="H268" s="37" t="s">
        <v>4981</v>
      </c>
      <c r="I268" s="37"/>
      <c r="J268" s="103">
        <v>-91.166595220632658</v>
      </c>
      <c r="K268" s="40">
        <v>42.69536251606462</v>
      </c>
      <c r="L268" s="74"/>
      <c r="M268" s="272" t="s">
        <v>5353</v>
      </c>
      <c r="N268" s="74">
        <v>1</v>
      </c>
      <c r="O268" s="94"/>
      <c r="P268" s="118">
        <v>1</v>
      </c>
      <c r="Q268" s="510">
        <v>180</v>
      </c>
      <c r="R268" s="513">
        <v>120</v>
      </c>
      <c r="S268" s="41"/>
      <c r="T268" s="40"/>
      <c r="U268" s="40">
        <v>8</v>
      </c>
      <c r="V268" s="119">
        <v>1</v>
      </c>
      <c r="W268" s="40">
        <v>0</v>
      </c>
      <c r="X268" s="119">
        <v>1</v>
      </c>
      <c r="Y268" s="40">
        <v>74</v>
      </c>
      <c r="Z268" s="119">
        <v>0</v>
      </c>
      <c r="AA268" s="368" t="s">
        <v>16</v>
      </c>
      <c r="AB268" s="535" t="s">
        <v>16</v>
      </c>
      <c r="AC268" s="39" t="s">
        <v>160</v>
      </c>
      <c r="AD268" s="75" t="s">
        <v>10</v>
      </c>
      <c r="AE268" s="95">
        <v>0</v>
      </c>
      <c r="AF268" s="75">
        <v>0</v>
      </c>
      <c r="AG268" s="75">
        <v>0</v>
      </c>
      <c r="AH268" s="75">
        <v>0</v>
      </c>
      <c r="AI268" s="75">
        <v>0</v>
      </c>
      <c r="AJ268" s="75">
        <v>0</v>
      </c>
      <c r="AK268" s="75">
        <v>0</v>
      </c>
      <c r="AL268" s="95">
        <v>1</v>
      </c>
      <c r="AM268" s="92">
        <v>0</v>
      </c>
      <c r="AN268" s="79" t="s">
        <v>81</v>
      </c>
      <c r="AO268" s="75">
        <v>1</v>
      </c>
      <c r="AP268" s="75" t="s">
        <v>84</v>
      </c>
      <c r="AQ268" s="122">
        <v>1</v>
      </c>
      <c r="AR268" s="515" t="s">
        <v>10</v>
      </c>
      <c r="AS268" s="95">
        <v>0</v>
      </c>
      <c r="AT268" s="75">
        <v>0</v>
      </c>
      <c r="AU268" s="75">
        <v>0</v>
      </c>
      <c r="AV268" s="75">
        <v>0</v>
      </c>
      <c r="AW268" s="123">
        <v>0</v>
      </c>
      <c r="AX268" s="516"/>
      <c r="AY268" s="75">
        <v>0</v>
      </c>
      <c r="AZ268" s="77" t="s">
        <v>131</v>
      </c>
      <c r="BA268" s="78" t="s">
        <v>131</v>
      </c>
      <c r="BB268" s="78" t="s">
        <v>131</v>
      </c>
      <c r="BC268" s="78" t="s">
        <v>131</v>
      </c>
      <c r="BD268" s="78" t="s">
        <v>131</v>
      </c>
      <c r="BE268" s="78" t="s">
        <v>131</v>
      </c>
      <c r="BF268" s="78" t="s">
        <v>131</v>
      </c>
      <c r="BG268" s="78" t="s">
        <v>132</v>
      </c>
      <c r="BH268" s="75" t="s">
        <v>5970</v>
      </c>
      <c r="BI268" s="295" t="s">
        <v>5944</v>
      </c>
      <c r="BJ268" s="546">
        <v>1</v>
      </c>
      <c r="BK268" s="294" t="s">
        <v>16</v>
      </c>
      <c r="BL268" s="157" t="s">
        <v>16</v>
      </c>
      <c r="BM268" s="548" t="s">
        <v>1347</v>
      </c>
      <c r="BN268" s="548" t="s">
        <v>4160</v>
      </c>
      <c r="BO268" s="157" t="s">
        <v>5903</v>
      </c>
      <c r="BP268" s="548" t="s">
        <v>5904</v>
      </c>
      <c r="BQ268" s="157" t="s">
        <v>5902</v>
      </c>
      <c r="BR268" s="157"/>
    </row>
    <row r="269" spans="1:70" x14ac:dyDescent="0.25">
      <c r="A269" s="19" t="s">
        <v>3686</v>
      </c>
      <c r="B269" s="37" t="s">
        <v>5354</v>
      </c>
      <c r="C269" s="90">
        <v>45460.810833333337</v>
      </c>
      <c r="D269" s="114">
        <v>45460.560833333337</v>
      </c>
      <c r="E269" s="38">
        <v>45460</v>
      </c>
      <c r="F269" s="91">
        <v>2024</v>
      </c>
      <c r="G269" s="93">
        <v>6</v>
      </c>
      <c r="H269" s="37" t="s">
        <v>2446</v>
      </c>
      <c r="I269" s="37" t="s">
        <v>16</v>
      </c>
      <c r="J269" s="103">
        <v>-90.461641466319122</v>
      </c>
      <c r="K269" s="40">
        <v>42.733434269029978</v>
      </c>
      <c r="L269" s="74"/>
      <c r="M269" s="272" t="s">
        <v>5355</v>
      </c>
      <c r="N269" s="74">
        <v>1</v>
      </c>
      <c r="O269" s="94"/>
      <c r="P269" s="118">
        <v>1</v>
      </c>
      <c r="Q269" s="510">
        <v>180</v>
      </c>
      <c r="R269" s="513">
        <v>30</v>
      </c>
      <c r="S269" s="41"/>
      <c r="T269" s="40"/>
      <c r="U269" s="40">
        <v>7.5</v>
      </c>
      <c r="V269" s="119">
        <v>1</v>
      </c>
      <c r="W269" s="40">
        <v>0</v>
      </c>
      <c r="X269" s="119">
        <v>1</v>
      </c>
      <c r="Y269" s="40">
        <v>69</v>
      </c>
      <c r="Z269" s="119">
        <v>0</v>
      </c>
      <c r="AA269" s="368" t="s">
        <v>16</v>
      </c>
      <c r="AB269" s="535" t="s">
        <v>16</v>
      </c>
      <c r="AC269" s="39" t="s">
        <v>160</v>
      </c>
      <c r="AD269" s="75" t="s">
        <v>16</v>
      </c>
      <c r="AE269" s="95">
        <v>-1</v>
      </c>
      <c r="AF269" s="75">
        <v>-1</v>
      </c>
      <c r="AG269" s="75">
        <v>-1</v>
      </c>
      <c r="AH269" s="75">
        <v>-1</v>
      </c>
      <c r="AI269" s="75">
        <v>-1</v>
      </c>
      <c r="AJ269" s="75">
        <v>-1</v>
      </c>
      <c r="AK269" s="75">
        <v>-1</v>
      </c>
      <c r="AL269" s="95">
        <v>-1</v>
      </c>
      <c r="AM269" s="92">
        <v>1</v>
      </c>
      <c r="AN269" s="79" t="s">
        <v>81</v>
      </c>
      <c r="AO269" s="75">
        <v>1</v>
      </c>
      <c r="AP269" s="75" t="s">
        <v>84</v>
      </c>
      <c r="AQ269" s="122">
        <v>1</v>
      </c>
      <c r="AR269" s="515" t="s">
        <v>16</v>
      </c>
      <c r="AS269" s="95">
        <v>-1</v>
      </c>
      <c r="AT269" s="75">
        <v>-1</v>
      </c>
      <c r="AU269" s="75">
        <v>-1</v>
      </c>
      <c r="AV269" s="75">
        <v>-1</v>
      </c>
      <c r="AW269" s="123">
        <v>1</v>
      </c>
      <c r="AX269" s="516" t="s">
        <v>5356</v>
      </c>
      <c r="AY269" s="75">
        <v>1</v>
      </c>
      <c r="AZ269" s="77" t="s">
        <v>5971</v>
      </c>
      <c r="BA269" s="78" t="s">
        <v>5971</v>
      </c>
      <c r="BB269" s="78" t="s">
        <v>5971</v>
      </c>
      <c r="BC269" s="78" t="s">
        <v>5971</v>
      </c>
      <c r="BD269" s="78" t="s">
        <v>5971</v>
      </c>
      <c r="BE269" s="78" t="s">
        <v>5971</v>
      </c>
      <c r="BF269" s="78" t="s">
        <v>5971</v>
      </c>
      <c r="BG269" s="78" t="s">
        <v>5971</v>
      </c>
      <c r="BH269" s="75" t="s">
        <v>5971</v>
      </c>
      <c r="BI269" s="295" t="s">
        <v>5948</v>
      </c>
      <c r="BJ269" s="546">
        <v>1</v>
      </c>
      <c r="BK269" s="294" t="s">
        <v>16</v>
      </c>
      <c r="BL269" s="157" t="s">
        <v>16</v>
      </c>
      <c r="BM269" s="548" t="s">
        <v>1345</v>
      </c>
      <c r="BN269" s="548" t="s">
        <v>4158</v>
      </c>
      <c r="BO269" s="157" t="s">
        <v>5894</v>
      </c>
      <c r="BP269" s="548" t="s">
        <v>5905</v>
      </c>
      <c r="BQ269" s="157" t="s">
        <v>5891</v>
      </c>
      <c r="BR269" s="157"/>
    </row>
    <row r="270" spans="1:70" x14ac:dyDescent="0.25">
      <c r="A270" s="19" t="s">
        <v>3686</v>
      </c>
      <c r="B270" s="37" t="s">
        <v>5357</v>
      </c>
      <c r="C270" s="90">
        <v>45460.786863425928</v>
      </c>
      <c r="D270" s="114">
        <v>45460.536863425928</v>
      </c>
      <c r="E270" s="38">
        <v>45460</v>
      </c>
      <c r="F270" s="91">
        <v>2024</v>
      </c>
      <c r="G270" s="93">
        <v>6</v>
      </c>
      <c r="H270" s="37" t="s">
        <v>4981</v>
      </c>
      <c r="I270" s="37"/>
      <c r="J270" s="103">
        <v>-91.156208440746326</v>
      </c>
      <c r="K270" s="40">
        <v>42.633365490513732</v>
      </c>
      <c r="L270" s="74"/>
      <c r="M270" s="272" t="s">
        <v>5358</v>
      </c>
      <c r="N270" s="74">
        <v>1</v>
      </c>
      <c r="O270" s="94"/>
      <c r="P270" s="118">
        <v>1</v>
      </c>
      <c r="Q270" s="510">
        <v>180</v>
      </c>
      <c r="R270" s="513">
        <v>180</v>
      </c>
      <c r="S270" s="41"/>
      <c r="T270" s="40"/>
      <c r="U270" s="40">
        <v>8</v>
      </c>
      <c r="V270" s="119">
        <v>1</v>
      </c>
      <c r="W270" s="40">
        <v>100</v>
      </c>
      <c r="X270" s="119">
        <v>1</v>
      </c>
      <c r="Y270" s="40">
        <v>67</v>
      </c>
      <c r="Z270" s="119">
        <v>0</v>
      </c>
      <c r="AA270" s="368" t="s">
        <v>16</v>
      </c>
      <c r="AB270" s="535" t="s">
        <v>16</v>
      </c>
      <c r="AC270" s="39" t="s">
        <v>160</v>
      </c>
      <c r="AD270" s="75" t="s">
        <v>10</v>
      </c>
      <c r="AE270" s="95">
        <v>0</v>
      </c>
      <c r="AF270" s="75">
        <v>0</v>
      </c>
      <c r="AG270" s="75">
        <v>0</v>
      </c>
      <c r="AH270" s="75">
        <v>0</v>
      </c>
      <c r="AI270" s="75">
        <v>0</v>
      </c>
      <c r="AJ270" s="75">
        <v>0</v>
      </c>
      <c r="AK270" s="75">
        <v>0</v>
      </c>
      <c r="AL270" s="95">
        <v>1</v>
      </c>
      <c r="AM270" s="92">
        <v>0</v>
      </c>
      <c r="AN270" s="79" t="s">
        <v>81</v>
      </c>
      <c r="AO270" s="75">
        <v>1</v>
      </c>
      <c r="AP270" s="75" t="s">
        <v>85</v>
      </c>
      <c r="AQ270" s="122">
        <v>1</v>
      </c>
      <c r="AR270" s="515" t="s">
        <v>10</v>
      </c>
      <c r="AS270" s="95">
        <v>0</v>
      </c>
      <c r="AT270" s="75">
        <v>0</v>
      </c>
      <c r="AU270" s="75">
        <v>0</v>
      </c>
      <c r="AV270" s="75">
        <v>0</v>
      </c>
      <c r="AW270" s="123">
        <v>0</v>
      </c>
      <c r="AX270" s="516"/>
      <c r="AY270" s="75">
        <v>0</v>
      </c>
      <c r="AZ270" s="77" t="s">
        <v>131</v>
      </c>
      <c r="BA270" s="78" t="s">
        <v>131</v>
      </c>
      <c r="BB270" s="78" t="s">
        <v>131</v>
      </c>
      <c r="BC270" s="78" t="s">
        <v>131</v>
      </c>
      <c r="BD270" s="78" t="s">
        <v>131</v>
      </c>
      <c r="BE270" s="78" t="s">
        <v>131</v>
      </c>
      <c r="BF270" s="78" t="s">
        <v>131</v>
      </c>
      <c r="BG270" s="78" t="s">
        <v>132</v>
      </c>
      <c r="BH270" s="75" t="s">
        <v>5970</v>
      </c>
      <c r="BI270" s="295" t="s">
        <v>16</v>
      </c>
      <c r="BJ270" s="546">
        <v>1</v>
      </c>
      <c r="BK270" s="294" t="s">
        <v>16</v>
      </c>
      <c r="BL270" s="157" t="s">
        <v>16</v>
      </c>
      <c r="BM270" s="548" t="s">
        <v>1347</v>
      </c>
      <c r="BN270" s="548" t="s">
        <v>4160</v>
      </c>
      <c r="BO270" s="157" t="s">
        <v>5906</v>
      </c>
      <c r="BP270" s="548" t="s">
        <v>5907</v>
      </c>
      <c r="BQ270" s="157" t="s">
        <v>5902</v>
      </c>
      <c r="BR270" s="157"/>
    </row>
    <row r="271" spans="1:70" x14ac:dyDescent="0.25">
      <c r="A271" s="19" t="s">
        <v>3686</v>
      </c>
      <c r="B271" s="37" t="s">
        <v>5359</v>
      </c>
      <c r="C271" s="90">
        <v>45460.764027777775</v>
      </c>
      <c r="D271" s="114">
        <v>45460.514027777775</v>
      </c>
      <c r="E271" s="38">
        <v>45460</v>
      </c>
      <c r="F271" s="91">
        <v>2024</v>
      </c>
      <c r="G271" s="93">
        <v>6</v>
      </c>
      <c r="H271" s="37" t="s">
        <v>4981</v>
      </c>
      <c r="I271" s="37"/>
      <c r="J271" s="103">
        <v>-91.248304501681247</v>
      </c>
      <c r="K271" s="40">
        <v>42.656709419529854</v>
      </c>
      <c r="L271" s="74"/>
      <c r="M271" s="272" t="s">
        <v>5360</v>
      </c>
      <c r="N271" s="74">
        <v>1</v>
      </c>
      <c r="O271" s="94"/>
      <c r="P271" s="118">
        <v>1</v>
      </c>
      <c r="Q271" s="510">
        <v>180</v>
      </c>
      <c r="R271" s="513">
        <v>180</v>
      </c>
      <c r="S271" s="41"/>
      <c r="T271" s="40"/>
      <c r="U271" s="40">
        <v>8</v>
      </c>
      <c r="V271" s="119">
        <v>1</v>
      </c>
      <c r="W271" s="40">
        <v>100</v>
      </c>
      <c r="X271" s="119">
        <v>1</v>
      </c>
      <c r="Y271" s="40">
        <v>55</v>
      </c>
      <c r="Z271" s="119">
        <v>0</v>
      </c>
      <c r="AA271" s="368" t="s">
        <v>16</v>
      </c>
      <c r="AB271" s="535" t="s">
        <v>16</v>
      </c>
      <c r="AC271" s="39" t="s">
        <v>160</v>
      </c>
      <c r="AD271" s="75" t="s">
        <v>7</v>
      </c>
      <c r="AE271" s="95">
        <v>1</v>
      </c>
      <c r="AF271" s="75">
        <v>0</v>
      </c>
      <c r="AG271" s="75">
        <v>0</v>
      </c>
      <c r="AH271" s="75">
        <v>0</v>
      </c>
      <c r="AI271" s="75">
        <v>0</v>
      </c>
      <c r="AJ271" s="75">
        <v>0</v>
      </c>
      <c r="AK271" s="75">
        <v>0</v>
      </c>
      <c r="AL271" s="95">
        <v>0</v>
      </c>
      <c r="AM271" s="92">
        <v>0</v>
      </c>
      <c r="AN271" s="79" t="s">
        <v>81</v>
      </c>
      <c r="AO271" s="75">
        <v>1</v>
      </c>
      <c r="AP271" s="75" t="s">
        <v>84</v>
      </c>
      <c r="AQ271" s="122">
        <v>1</v>
      </c>
      <c r="AR271" s="515" t="s">
        <v>10</v>
      </c>
      <c r="AS271" s="95">
        <v>0</v>
      </c>
      <c r="AT271" s="75">
        <v>0</v>
      </c>
      <c r="AU271" s="75">
        <v>0</v>
      </c>
      <c r="AV271" s="75">
        <v>0</v>
      </c>
      <c r="AW271" s="123">
        <v>0</v>
      </c>
      <c r="AX271" s="516"/>
      <c r="AY271" s="75">
        <v>0</v>
      </c>
      <c r="AZ271" s="77" t="s">
        <v>132</v>
      </c>
      <c r="BA271" s="78" t="s">
        <v>131</v>
      </c>
      <c r="BB271" s="78" t="s">
        <v>131</v>
      </c>
      <c r="BC271" s="78" t="s">
        <v>131</v>
      </c>
      <c r="BD271" s="78" t="s">
        <v>131</v>
      </c>
      <c r="BE271" s="78" t="s">
        <v>131</v>
      </c>
      <c r="BF271" s="78" t="s">
        <v>131</v>
      </c>
      <c r="BG271" s="78" t="s">
        <v>131</v>
      </c>
      <c r="BH271" s="75" t="s">
        <v>5970</v>
      </c>
      <c r="BI271" s="295" t="s">
        <v>5946</v>
      </c>
      <c r="BJ271" s="546">
        <v>1</v>
      </c>
      <c r="BK271" s="294" t="s">
        <v>16</v>
      </c>
      <c r="BL271" s="157" t="s">
        <v>16</v>
      </c>
      <c r="BM271" s="548" t="s">
        <v>1347</v>
      </c>
      <c r="BN271" s="548" t="s">
        <v>4160</v>
      </c>
      <c r="BO271" s="157" t="s">
        <v>5909</v>
      </c>
      <c r="BP271" s="548" t="s">
        <v>5911</v>
      </c>
      <c r="BQ271" s="157" t="s">
        <v>5908</v>
      </c>
      <c r="BR271" s="157"/>
    </row>
    <row r="272" spans="1:70" x14ac:dyDescent="0.25">
      <c r="A272" s="19" t="s">
        <v>3686</v>
      </c>
      <c r="B272" s="37" t="s">
        <v>5361</v>
      </c>
      <c r="C272" s="90">
        <v>45460.738877314812</v>
      </c>
      <c r="D272" s="114">
        <v>45460.488877314812</v>
      </c>
      <c r="E272" s="38">
        <v>45460</v>
      </c>
      <c r="F272" s="91">
        <v>2024</v>
      </c>
      <c r="G272" s="93">
        <v>6</v>
      </c>
      <c r="H272" s="37" t="s">
        <v>4981</v>
      </c>
      <c r="I272" s="37"/>
      <c r="J272" s="103">
        <v>-91.284583903723799</v>
      </c>
      <c r="K272" s="40">
        <v>42.667317247539188</v>
      </c>
      <c r="L272" s="74"/>
      <c r="M272" s="272" t="s">
        <v>5362</v>
      </c>
      <c r="N272" s="74">
        <v>1</v>
      </c>
      <c r="O272" s="94"/>
      <c r="P272" s="118">
        <v>1</v>
      </c>
      <c r="Q272" s="510">
        <v>180</v>
      </c>
      <c r="R272" s="513">
        <v>120</v>
      </c>
      <c r="S272" s="41"/>
      <c r="T272" s="40"/>
      <c r="U272" s="40">
        <v>7.5</v>
      </c>
      <c r="V272" s="119">
        <v>1</v>
      </c>
      <c r="W272" s="40">
        <v>0</v>
      </c>
      <c r="X272" s="119">
        <v>1</v>
      </c>
      <c r="Y272" s="40">
        <v>72</v>
      </c>
      <c r="Z272" s="119">
        <v>0</v>
      </c>
      <c r="AA272" s="368" t="s">
        <v>16</v>
      </c>
      <c r="AB272" s="535" t="s">
        <v>16</v>
      </c>
      <c r="AC272" s="39" t="s">
        <v>160</v>
      </c>
      <c r="AD272" s="75" t="s">
        <v>439</v>
      </c>
      <c r="AE272" s="95">
        <v>0</v>
      </c>
      <c r="AF272" s="75">
        <v>1</v>
      </c>
      <c r="AG272" s="75">
        <v>0</v>
      </c>
      <c r="AH272" s="75">
        <v>0</v>
      </c>
      <c r="AI272" s="75">
        <v>1</v>
      </c>
      <c r="AJ272" s="75">
        <v>0</v>
      </c>
      <c r="AK272" s="75">
        <v>0</v>
      </c>
      <c r="AL272" s="95">
        <v>0</v>
      </c>
      <c r="AM272" s="92">
        <v>0</v>
      </c>
      <c r="AN272" s="79" t="s">
        <v>80</v>
      </c>
      <c r="AO272" s="75">
        <v>1</v>
      </c>
      <c r="AP272" s="75" t="s">
        <v>83</v>
      </c>
      <c r="AQ272" s="122">
        <v>1</v>
      </c>
      <c r="AR272" s="515" t="s">
        <v>10</v>
      </c>
      <c r="AS272" s="95">
        <v>0</v>
      </c>
      <c r="AT272" s="75">
        <v>0</v>
      </c>
      <c r="AU272" s="75">
        <v>0</v>
      </c>
      <c r="AV272" s="75">
        <v>0</v>
      </c>
      <c r="AW272" s="123">
        <v>0</v>
      </c>
      <c r="AX272" s="516" t="s">
        <v>5363</v>
      </c>
      <c r="AY272" s="75">
        <v>1</v>
      </c>
      <c r="AZ272" s="77" t="s">
        <v>131</v>
      </c>
      <c r="BA272" s="78" t="s">
        <v>132</v>
      </c>
      <c r="BB272" s="78" t="s">
        <v>131</v>
      </c>
      <c r="BC272" s="78" t="s">
        <v>131</v>
      </c>
      <c r="BD272" s="78" t="s">
        <v>132</v>
      </c>
      <c r="BE272" s="78" t="s">
        <v>131</v>
      </c>
      <c r="BF272" s="78" t="s">
        <v>131</v>
      </c>
      <c r="BG272" s="78" t="s">
        <v>131</v>
      </c>
      <c r="BH272" s="75" t="s">
        <v>5970</v>
      </c>
      <c r="BI272" s="295" t="s">
        <v>5945</v>
      </c>
      <c r="BJ272" s="546">
        <v>1</v>
      </c>
      <c r="BK272" s="294" t="s">
        <v>16</v>
      </c>
      <c r="BL272" s="157" t="s">
        <v>16</v>
      </c>
      <c r="BM272" s="548" t="s">
        <v>1347</v>
      </c>
      <c r="BN272" s="548" t="s">
        <v>4160</v>
      </c>
      <c r="BO272" s="157" t="s">
        <v>5910</v>
      </c>
      <c r="BP272" s="548" t="s">
        <v>2246</v>
      </c>
      <c r="BQ272" s="157" t="s">
        <v>5908</v>
      </c>
      <c r="BR272" s="157"/>
    </row>
    <row r="273" spans="1:70" x14ac:dyDescent="0.25">
      <c r="A273" s="19" t="s">
        <v>3686</v>
      </c>
      <c r="B273" s="37" t="s">
        <v>5364</v>
      </c>
      <c r="C273" s="90">
        <v>45460.723298611112</v>
      </c>
      <c r="D273" s="114">
        <v>45460.473298611112</v>
      </c>
      <c r="E273" s="38">
        <v>45460</v>
      </c>
      <c r="F273" s="91">
        <v>2024</v>
      </c>
      <c r="G273" s="93">
        <v>6</v>
      </c>
      <c r="H273" s="37" t="s">
        <v>4981</v>
      </c>
      <c r="I273" s="37"/>
      <c r="J273" s="103">
        <v>-91.288691922108583</v>
      </c>
      <c r="K273" s="40">
        <v>42.669500435772427</v>
      </c>
      <c r="L273" s="74"/>
      <c r="M273" s="272" t="s">
        <v>5365</v>
      </c>
      <c r="N273" s="74">
        <v>1</v>
      </c>
      <c r="O273" s="94"/>
      <c r="P273" s="118">
        <v>1</v>
      </c>
      <c r="Q273" s="510">
        <v>180</v>
      </c>
      <c r="R273" s="513">
        <v>120</v>
      </c>
      <c r="S273" s="41"/>
      <c r="T273" s="40"/>
      <c r="U273" s="40">
        <v>8</v>
      </c>
      <c r="V273" s="119">
        <v>1</v>
      </c>
      <c r="W273" s="40">
        <v>100</v>
      </c>
      <c r="X273" s="119">
        <v>1</v>
      </c>
      <c r="Y273" s="40">
        <v>72</v>
      </c>
      <c r="Z273" s="119">
        <v>0</v>
      </c>
      <c r="AA273" s="368" t="s">
        <v>16</v>
      </c>
      <c r="AB273" s="535" t="s">
        <v>16</v>
      </c>
      <c r="AC273" s="39" t="s">
        <v>160</v>
      </c>
      <c r="AD273" s="75" t="s">
        <v>439</v>
      </c>
      <c r="AE273" s="95">
        <v>0</v>
      </c>
      <c r="AF273" s="75">
        <v>1</v>
      </c>
      <c r="AG273" s="75">
        <v>0</v>
      </c>
      <c r="AH273" s="75">
        <v>0</v>
      </c>
      <c r="AI273" s="75">
        <v>1</v>
      </c>
      <c r="AJ273" s="75">
        <v>0</v>
      </c>
      <c r="AK273" s="75">
        <v>0</v>
      </c>
      <c r="AL273" s="95">
        <v>0</v>
      </c>
      <c r="AM273" s="92">
        <v>0</v>
      </c>
      <c r="AN273" s="79" t="s">
        <v>80</v>
      </c>
      <c r="AO273" s="75">
        <v>1</v>
      </c>
      <c r="AP273" s="75" t="s">
        <v>83</v>
      </c>
      <c r="AQ273" s="122">
        <v>1</v>
      </c>
      <c r="AR273" s="515" t="s">
        <v>10</v>
      </c>
      <c r="AS273" s="95">
        <v>0</v>
      </c>
      <c r="AT273" s="75">
        <v>0</v>
      </c>
      <c r="AU273" s="75">
        <v>0</v>
      </c>
      <c r="AV273" s="75">
        <v>0</v>
      </c>
      <c r="AW273" s="123">
        <v>0</v>
      </c>
      <c r="AX273" s="516" t="s">
        <v>5366</v>
      </c>
      <c r="AY273" s="75">
        <v>1</v>
      </c>
      <c r="AZ273" s="77" t="s">
        <v>131</v>
      </c>
      <c r="BA273" s="78" t="s">
        <v>132</v>
      </c>
      <c r="BB273" s="78" t="s">
        <v>131</v>
      </c>
      <c r="BC273" s="78" t="s">
        <v>131</v>
      </c>
      <c r="BD273" s="78" t="s">
        <v>132</v>
      </c>
      <c r="BE273" s="78" t="s">
        <v>131</v>
      </c>
      <c r="BF273" s="78" t="s">
        <v>131</v>
      </c>
      <c r="BG273" s="78" t="s">
        <v>131</v>
      </c>
      <c r="BH273" s="75" t="s">
        <v>5970</v>
      </c>
      <c r="BI273" s="295" t="s">
        <v>16</v>
      </c>
      <c r="BJ273" s="546">
        <v>1</v>
      </c>
      <c r="BK273" s="294" t="s">
        <v>16</v>
      </c>
      <c r="BL273" s="157" t="s">
        <v>16</v>
      </c>
      <c r="BM273" s="548" t="s">
        <v>1347</v>
      </c>
      <c r="BN273" s="548" t="s">
        <v>4160</v>
      </c>
      <c r="BO273" s="157" t="s">
        <v>5910</v>
      </c>
      <c r="BP273" s="548" t="s">
        <v>2246</v>
      </c>
      <c r="BQ273" s="157" t="s">
        <v>5908</v>
      </c>
      <c r="BR273" s="157"/>
    </row>
    <row r="274" spans="1:70" x14ac:dyDescent="0.25">
      <c r="A274" s="19" t="s">
        <v>3686</v>
      </c>
      <c r="B274" s="37" t="s">
        <v>5367</v>
      </c>
      <c r="C274" s="90">
        <v>45460.677256944444</v>
      </c>
      <c r="D274" s="114">
        <v>45460.427256944444</v>
      </c>
      <c r="E274" s="38">
        <v>45460</v>
      </c>
      <c r="F274" s="91">
        <v>2024</v>
      </c>
      <c r="G274" s="93">
        <v>6</v>
      </c>
      <c r="H274" s="37" t="s">
        <v>4981</v>
      </c>
      <c r="I274" s="37"/>
      <c r="J274" s="103">
        <v>-91.27903263075406</v>
      </c>
      <c r="K274" s="40">
        <v>42.6112396180269</v>
      </c>
      <c r="L274" s="74"/>
      <c r="M274" s="272" t="s">
        <v>5368</v>
      </c>
      <c r="N274" s="74">
        <v>1</v>
      </c>
      <c r="O274" s="94"/>
      <c r="P274" s="118">
        <v>1</v>
      </c>
      <c r="Q274" s="510">
        <v>180</v>
      </c>
      <c r="R274" s="513">
        <v>180</v>
      </c>
      <c r="S274" s="41"/>
      <c r="T274" s="40"/>
      <c r="U274" s="40">
        <v>8</v>
      </c>
      <c r="V274" s="119">
        <v>1</v>
      </c>
      <c r="W274" s="40">
        <v>500</v>
      </c>
      <c r="X274" s="119">
        <v>1</v>
      </c>
      <c r="Y274" s="40">
        <v>66</v>
      </c>
      <c r="Z274" s="119">
        <v>0</v>
      </c>
      <c r="AA274" s="368" t="s">
        <v>16</v>
      </c>
      <c r="AB274" s="535" t="s">
        <v>16</v>
      </c>
      <c r="AC274" s="39" t="s">
        <v>160</v>
      </c>
      <c r="AD274" s="75" t="s">
        <v>10</v>
      </c>
      <c r="AE274" s="95">
        <v>0</v>
      </c>
      <c r="AF274" s="75">
        <v>0</v>
      </c>
      <c r="AG274" s="75">
        <v>0</v>
      </c>
      <c r="AH274" s="75">
        <v>0</v>
      </c>
      <c r="AI274" s="75">
        <v>0</v>
      </c>
      <c r="AJ274" s="75">
        <v>0</v>
      </c>
      <c r="AK274" s="75">
        <v>0</v>
      </c>
      <c r="AL274" s="95">
        <v>1</v>
      </c>
      <c r="AM274" s="92">
        <v>0</v>
      </c>
      <c r="AN274" s="79" t="s">
        <v>81</v>
      </c>
      <c r="AO274" s="75">
        <v>1</v>
      </c>
      <c r="AP274" s="75" t="s">
        <v>85</v>
      </c>
      <c r="AQ274" s="122">
        <v>1</v>
      </c>
      <c r="AR274" s="515" t="s">
        <v>10</v>
      </c>
      <c r="AS274" s="95">
        <v>0</v>
      </c>
      <c r="AT274" s="75">
        <v>0</v>
      </c>
      <c r="AU274" s="75">
        <v>0</v>
      </c>
      <c r="AV274" s="75">
        <v>0</v>
      </c>
      <c r="AW274" s="123">
        <v>0</v>
      </c>
      <c r="AX274" s="516"/>
      <c r="AY274" s="75">
        <v>0</v>
      </c>
      <c r="AZ274" s="77" t="s">
        <v>131</v>
      </c>
      <c r="BA274" s="78" t="s">
        <v>131</v>
      </c>
      <c r="BB274" s="78" t="s">
        <v>131</v>
      </c>
      <c r="BC274" s="78" t="s">
        <v>131</v>
      </c>
      <c r="BD274" s="78" t="s">
        <v>131</v>
      </c>
      <c r="BE274" s="78" t="s">
        <v>131</v>
      </c>
      <c r="BF274" s="78" t="s">
        <v>131</v>
      </c>
      <c r="BG274" s="78" t="s">
        <v>132</v>
      </c>
      <c r="BH274" s="75" t="s">
        <v>5970</v>
      </c>
      <c r="BI274" s="295" t="s">
        <v>2246</v>
      </c>
      <c r="BJ274" s="546">
        <v>1</v>
      </c>
      <c r="BK274" s="294" t="s">
        <v>16</v>
      </c>
      <c r="BL274" s="157" t="s">
        <v>16</v>
      </c>
      <c r="BM274" s="548" t="s">
        <v>1347</v>
      </c>
      <c r="BN274" s="548" t="s">
        <v>4160</v>
      </c>
      <c r="BO274" s="157" t="s">
        <v>5909</v>
      </c>
      <c r="BP274" s="548" t="s">
        <v>5911</v>
      </c>
      <c r="BQ274" s="157" t="s">
        <v>5908</v>
      </c>
      <c r="BR274" s="157"/>
    </row>
    <row r="275" spans="1:70" x14ac:dyDescent="0.25">
      <c r="A275" s="19" t="s">
        <v>3686</v>
      </c>
      <c r="B275" s="37" t="s">
        <v>5369</v>
      </c>
      <c r="C275" s="90">
        <v>45460.657777777778</v>
      </c>
      <c r="D275" s="114">
        <v>45460.407777777778</v>
      </c>
      <c r="E275" s="38">
        <v>45460</v>
      </c>
      <c r="F275" s="91">
        <v>2024</v>
      </c>
      <c r="G275" s="93">
        <v>6</v>
      </c>
      <c r="H275" s="37" t="s">
        <v>4981</v>
      </c>
      <c r="I275" s="37"/>
      <c r="J275" s="103">
        <v>-91.308789471267801</v>
      </c>
      <c r="K275" s="40">
        <v>42.61767929407204</v>
      </c>
      <c r="L275" s="74"/>
      <c r="M275" s="272" t="s">
        <v>5370</v>
      </c>
      <c r="N275" s="74">
        <v>1</v>
      </c>
      <c r="O275" s="94"/>
      <c r="P275" s="118">
        <v>1</v>
      </c>
      <c r="Q275" s="510">
        <v>180</v>
      </c>
      <c r="R275" s="513">
        <v>180</v>
      </c>
      <c r="S275" s="41"/>
      <c r="T275" s="40"/>
      <c r="U275" s="40">
        <v>9</v>
      </c>
      <c r="V275" s="119">
        <v>1</v>
      </c>
      <c r="W275" s="40">
        <v>100</v>
      </c>
      <c r="X275" s="119">
        <v>1</v>
      </c>
      <c r="Y275" s="40">
        <v>60</v>
      </c>
      <c r="Z275" s="119">
        <v>0</v>
      </c>
      <c r="AA275" s="368" t="s">
        <v>16</v>
      </c>
      <c r="AB275" s="535" t="s">
        <v>16</v>
      </c>
      <c r="AC275" s="39" t="s">
        <v>160</v>
      </c>
      <c r="AD275" s="75" t="s">
        <v>10</v>
      </c>
      <c r="AE275" s="95">
        <v>0</v>
      </c>
      <c r="AF275" s="75">
        <v>0</v>
      </c>
      <c r="AG275" s="75">
        <v>0</v>
      </c>
      <c r="AH275" s="75">
        <v>0</v>
      </c>
      <c r="AI275" s="75">
        <v>0</v>
      </c>
      <c r="AJ275" s="75">
        <v>0</v>
      </c>
      <c r="AK275" s="75">
        <v>0</v>
      </c>
      <c r="AL275" s="95">
        <v>1</v>
      </c>
      <c r="AM275" s="92">
        <v>0</v>
      </c>
      <c r="AN275" s="79" t="s">
        <v>81</v>
      </c>
      <c r="AO275" s="75">
        <v>1</v>
      </c>
      <c r="AP275" s="75" t="s">
        <v>84</v>
      </c>
      <c r="AQ275" s="122">
        <v>1</v>
      </c>
      <c r="AR275" s="515" t="s">
        <v>10</v>
      </c>
      <c r="AS275" s="95">
        <v>0</v>
      </c>
      <c r="AT275" s="75">
        <v>0</v>
      </c>
      <c r="AU275" s="75">
        <v>0</v>
      </c>
      <c r="AV275" s="75">
        <v>0</v>
      </c>
      <c r="AW275" s="123">
        <v>0</v>
      </c>
      <c r="AX275" s="516"/>
      <c r="AY275" s="75">
        <v>0</v>
      </c>
      <c r="AZ275" s="77" t="s">
        <v>131</v>
      </c>
      <c r="BA275" s="78" t="s">
        <v>131</v>
      </c>
      <c r="BB275" s="78" t="s">
        <v>131</v>
      </c>
      <c r="BC275" s="78" t="s">
        <v>131</v>
      </c>
      <c r="BD275" s="78" t="s">
        <v>131</v>
      </c>
      <c r="BE275" s="78" t="s">
        <v>131</v>
      </c>
      <c r="BF275" s="78" t="s">
        <v>131</v>
      </c>
      <c r="BG275" s="78" t="s">
        <v>132</v>
      </c>
      <c r="BH275" s="75" t="s">
        <v>5970</v>
      </c>
      <c r="BI275" s="295" t="s">
        <v>5947</v>
      </c>
      <c r="BJ275" s="546">
        <v>1</v>
      </c>
      <c r="BK275" s="294" t="s">
        <v>16</v>
      </c>
      <c r="BL275" s="157" t="s">
        <v>16</v>
      </c>
      <c r="BM275" s="548" t="s">
        <v>1347</v>
      </c>
      <c r="BN275" s="548" t="s">
        <v>4160</v>
      </c>
      <c r="BO275" s="157" t="s">
        <v>5909</v>
      </c>
      <c r="BP275" s="548" t="s">
        <v>5911</v>
      </c>
      <c r="BQ275" s="157" t="s">
        <v>5908</v>
      </c>
      <c r="BR275" s="157"/>
    </row>
    <row r="276" spans="1:70" x14ac:dyDescent="0.25">
      <c r="A276" s="19" t="s">
        <v>3686</v>
      </c>
      <c r="B276" s="37" t="s">
        <v>5371</v>
      </c>
      <c r="C276" s="90">
        <v>45460.653252314813</v>
      </c>
      <c r="D276" s="114">
        <v>45460.403252314813</v>
      </c>
      <c r="E276" s="38">
        <v>45460</v>
      </c>
      <c r="F276" s="91">
        <v>2024</v>
      </c>
      <c r="G276" s="93">
        <v>6</v>
      </c>
      <c r="H276" s="37" t="s">
        <v>4981</v>
      </c>
      <c r="I276" s="37"/>
      <c r="J276" s="103">
        <v>-91.308758090273344</v>
      </c>
      <c r="K276" s="40">
        <v>42.617837711828528</v>
      </c>
      <c r="L276" s="74"/>
      <c r="M276" s="272" t="s">
        <v>5372</v>
      </c>
      <c r="N276" s="74">
        <v>1</v>
      </c>
      <c r="O276" s="94"/>
      <c r="P276" s="118">
        <v>1</v>
      </c>
      <c r="Q276" s="510">
        <v>180</v>
      </c>
      <c r="R276" s="513">
        <v>180</v>
      </c>
      <c r="S276" s="41"/>
      <c r="T276" s="40"/>
      <c r="U276" s="40">
        <v>9</v>
      </c>
      <c r="V276" s="119">
        <v>1</v>
      </c>
      <c r="W276" s="40">
        <v>200</v>
      </c>
      <c r="X276" s="119">
        <v>1</v>
      </c>
      <c r="Y276" s="40">
        <v>67</v>
      </c>
      <c r="Z276" s="119">
        <v>0</v>
      </c>
      <c r="AA276" s="368" t="s">
        <v>16</v>
      </c>
      <c r="AB276" s="535" t="s">
        <v>16</v>
      </c>
      <c r="AC276" s="39" t="s">
        <v>160</v>
      </c>
      <c r="AD276" s="75" t="s">
        <v>7</v>
      </c>
      <c r="AE276" s="95">
        <v>1</v>
      </c>
      <c r="AF276" s="75">
        <v>0</v>
      </c>
      <c r="AG276" s="75">
        <v>0</v>
      </c>
      <c r="AH276" s="75">
        <v>0</v>
      </c>
      <c r="AI276" s="75">
        <v>0</v>
      </c>
      <c r="AJ276" s="75">
        <v>0</v>
      </c>
      <c r="AK276" s="75">
        <v>0</v>
      </c>
      <c r="AL276" s="95">
        <v>0</v>
      </c>
      <c r="AM276" s="92">
        <v>0</v>
      </c>
      <c r="AN276" s="79" t="s">
        <v>81</v>
      </c>
      <c r="AO276" s="75">
        <v>1</v>
      </c>
      <c r="AP276" s="75" t="s">
        <v>84</v>
      </c>
      <c r="AQ276" s="122">
        <v>1</v>
      </c>
      <c r="AR276" s="515" t="s">
        <v>10</v>
      </c>
      <c r="AS276" s="95">
        <v>0</v>
      </c>
      <c r="AT276" s="75">
        <v>0</v>
      </c>
      <c r="AU276" s="75">
        <v>0</v>
      </c>
      <c r="AV276" s="75">
        <v>0</v>
      </c>
      <c r="AW276" s="123">
        <v>0</v>
      </c>
      <c r="AX276" s="516"/>
      <c r="AY276" s="75">
        <v>0</v>
      </c>
      <c r="AZ276" s="77" t="s">
        <v>132</v>
      </c>
      <c r="BA276" s="78" t="s">
        <v>131</v>
      </c>
      <c r="BB276" s="78" t="s">
        <v>131</v>
      </c>
      <c r="BC276" s="78" t="s">
        <v>131</v>
      </c>
      <c r="BD276" s="78" t="s">
        <v>131</v>
      </c>
      <c r="BE276" s="78" t="s">
        <v>131</v>
      </c>
      <c r="BF276" s="78" t="s">
        <v>131</v>
      </c>
      <c r="BG276" s="78" t="s">
        <v>131</v>
      </c>
      <c r="BH276" s="75" t="s">
        <v>5970</v>
      </c>
      <c r="BI276" s="295" t="s">
        <v>5947</v>
      </c>
      <c r="BJ276" s="546">
        <v>1</v>
      </c>
      <c r="BK276" s="294" t="s">
        <v>16</v>
      </c>
      <c r="BL276" s="157" t="s">
        <v>16</v>
      </c>
      <c r="BM276" s="548" t="s">
        <v>1347</v>
      </c>
      <c r="BN276" s="548" t="s">
        <v>4160</v>
      </c>
      <c r="BO276" s="157" t="s">
        <v>5909</v>
      </c>
      <c r="BP276" s="548" t="s">
        <v>5911</v>
      </c>
      <c r="BQ276" s="157" t="s">
        <v>5908</v>
      </c>
      <c r="BR276" s="157"/>
    </row>
    <row r="277" spans="1:70" x14ac:dyDescent="0.25">
      <c r="A277" s="19" t="s">
        <v>3686</v>
      </c>
      <c r="B277" s="37" t="s">
        <v>5373</v>
      </c>
      <c r="C277" s="90">
        <v>45460.630185185182</v>
      </c>
      <c r="D277" s="114">
        <v>45460.380185185182</v>
      </c>
      <c r="E277" s="38">
        <v>45460</v>
      </c>
      <c r="F277" s="91">
        <v>2024</v>
      </c>
      <c r="G277" s="93">
        <v>6</v>
      </c>
      <c r="H277" s="37" t="s">
        <v>2548</v>
      </c>
      <c r="I277" s="37"/>
      <c r="J277" s="103">
        <v>-90.512069027935766</v>
      </c>
      <c r="K277" s="40">
        <v>42.657929479247358</v>
      </c>
      <c r="L277" s="74"/>
      <c r="M277" s="272" t="s">
        <v>16</v>
      </c>
      <c r="N277" s="74">
        <v>0</v>
      </c>
      <c r="O277" s="94"/>
      <c r="P277" s="118">
        <v>1</v>
      </c>
      <c r="Q277" s="510">
        <v>180</v>
      </c>
      <c r="R277" s="513">
        <v>120</v>
      </c>
      <c r="S277" s="41"/>
      <c r="T277" s="40"/>
      <c r="U277" s="40">
        <v>8</v>
      </c>
      <c r="V277" s="119">
        <v>1</v>
      </c>
      <c r="W277" s="40">
        <v>0</v>
      </c>
      <c r="X277" s="119">
        <v>1</v>
      </c>
      <c r="Y277" s="40">
        <v>68</v>
      </c>
      <c r="Z277" s="119">
        <v>1</v>
      </c>
      <c r="AA277" s="368">
        <v>0</v>
      </c>
      <c r="AB277" s="535">
        <v>5</v>
      </c>
      <c r="AC277" s="39" t="s">
        <v>160</v>
      </c>
      <c r="AD277" s="75" t="s">
        <v>7</v>
      </c>
      <c r="AE277" s="95">
        <v>1</v>
      </c>
      <c r="AF277" s="75">
        <v>0</v>
      </c>
      <c r="AG277" s="75">
        <v>0</v>
      </c>
      <c r="AH277" s="75">
        <v>0</v>
      </c>
      <c r="AI277" s="75">
        <v>0</v>
      </c>
      <c r="AJ277" s="75">
        <v>0</v>
      </c>
      <c r="AK277" s="75">
        <v>0</v>
      </c>
      <c r="AL277" s="95">
        <v>0</v>
      </c>
      <c r="AM277" s="92">
        <v>0</v>
      </c>
      <c r="AN277" s="79" t="s">
        <v>80</v>
      </c>
      <c r="AO277" s="75">
        <v>1</v>
      </c>
      <c r="AP277" s="75" t="s">
        <v>84</v>
      </c>
      <c r="AQ277" s="122">
        <v>1</v>
      </c>
      <c r="AR277" s="515" t="s">
        <v>13</v>
      </c>
      <c r="AS277" s="95">
        <v>1</v>
      </c>
      <c r="AT277" s="75">
        <v>0</v>
      </c>
      <c r="AU277" s="75">
        <v>0</v>
      </c>
      <c r="AV277" s="75">
        <v>0</v>
      </c>
      <c r="AW277" s="123">
        <v>0</v>
      </c>
      <c r="AX277" s="516"/>
      <c r="AY277" s="75">
        <v>0</v>
      </c>
      <c r="AZ277" s="77" t="s">
        <v>132</v>
      </c>
      <c r="BA277" s="78" t="s">
        <v>131</v>
      </c>
      <c r="BB277" s="78" t="s">
        <v>131</v>
      </c>
      <c r="BC277" s="78" t="s">
        <v>131</v>
      </c>
      <c r="BD277" s="78" t="s">
        <v>131</v>
      </c>
      <c r="BE277" s="78" t="s">
        <v>131</v>
      </c>
      <c r="BF277" s="78" t="s">
        <v>131</v>
      </c>
      <c r="BG277" s="78" t="s">
        <v>131</v>
      </c>
      <c r="BH277" s="75" t="s">
        <v>5970</v>
      </c>
      <c r="BI277" s="295" t="s">
        <v>2321</v>
      </c>
      <c r="BJ277" s="546">
        <v>1</v>
      </c>
      <c r="BK277" s="294" t="s">
        <v>16</v>
      </c>
      <c r="BL277" s="157" t="s">
        <v>16</v>
      </c>
      <c r="BM277" s="548" t="s">
        <v>1345</v>
      </c>
      <c r="BN277" s="548" t="s">
        <v>4158</v>
      </c>
      <c r="BO277" s="157" t="s">
        <v>5912</v>
      </c>
      <c r="BP277" s="548" t="s">
        <v>5913</v>
      </c>
      <c r="BQ277" s="157" t="s">
        <v>5891</v>
      </c>
      <c r="BR277" s="157"/>
    </row>
    <row r="278" spans="1:70" x14ac:dyDescent="0.25">
      <c r="A278" s="19" t="s">
        <v>3686</v>
      </c>
      <c r="B278" s="37" t="s">
        <v>5374</v>
      </c>
      <c r="C278" s="90">
        <v>45459.607766203706</v>
      </c>
      <c r="D278" s="114">
        <v>45459.357766203706</v>
      </c>
      <c r="E278" s="38">
        <v>45459</v>
      </c>
      <c r="F278" s="91">
        <v>2024</v>
      </c>
      <c r="G278" s="93">
        <v>6</v>
      </c>
      <c r="H278" s="37" t="s">
        <v>2457</v>
      </c>
      <c r="I278" s="37" t="s">
        <v>337</v>
      </c>
      <c r="J278" s="103">
        <v>-92.645097357029883</v>
      </c>
      <c r="K278" s="40">
        <v>44.843512436979928</v>
      </c>
      <c r="L278" s="74"/>
      <c r="M278" s="272" t="s">
        <v>5375</v>
      </c>
      <c r="N278" s="74">
        <v>1</v>
      </c>
      <c r="O278" s="94"/>
      <c r="P278" s="118">
        <v>1</v>
      </c>
      <c r="Q278" s="510">
        <v>80</v>
      </c>
      <c r="R278" s="513">
        <v>120</v>
      </c>
      <c r="S278" s="41"/>
      <c r="T278" s="40"/>
      <c r="U278" s="40">
        <v>7</v>
      </c>
      <c r="V278" s="119">
        <v>1</v>
      </c>
      <c r="W278" s="40">
        <v>0</v>
      </c>
      <c r="X278" s="119">
        <v>1</v>
      </c>
      <c r="Y278" s="40">
        <v>58</v>
      </c>
      <c r="Z278" s="119">
        <v>0</v>
      </c>
      <c r="AA278" s="368" t="s">
        <v>16</v>
      </c>
      <c r="AB278" s="535" t="s">
        <v>16</v>
      </c>
      <c r="AC278" s="39" t="s">
        <v>160</v>
      </c>
      <c r="AD278" s="75" t="s">
        <v>10</v>
      </c>
      <c r="AE278" s="95">
        <v>0</v>
      </c>
      <c r="AF278" s="75">
        <v>0</v>
      </c>
      <c r="AG278" s="75">
        <v>0</v>
      </c>
      <c r="AH278" s="75">
        <v>0</v>
      </c>
      <c r="AI278" s="75">
        <v>0</v>
      </c>
      <c r="AJ278" s="75">
        <v>0</v>
      </c>
      <c r="AK278" s="75">
        <v>0</v>
      </c>
      <c r="AL278" s="95">
        <v>1</v>
      </c>
      <c r="AM278" s="92">
        <v>0</v>
      </c>
      <c r="AN278" s="79" t="s">
        <v>86</v>
      </c>
      <c r="AO278" s="75">
        <v>1</v>
      </c>
      <c r="AP278" s="75" t="s">
        <v>85</v>
      </c>
      <c r="AQ278" s="122">
        <v>1</v>
      </c>
      <c r="AR278" s="515" t="s">
        <v>13</v>
      </c>
      <c r="AS278" s="95">
        <v>1</v>
      </c>
      <c r="AT278" s="75">
        <v>0</v>
      </c>
      <c r="AU278" s="75">
        <v>0</v>
      </c>
      <c r="AV278" s="75">
        <v>0</v>
      </c>
      <c r="AW278" s="123">
        <v>0</v>
      </c>
      <c r="AX278" s="516" t="s">
        <v>5376</v>
      </c>
      <c r="AY278" s="75">
        <v>1</v>
      </c>
      <c r="AZ278" s="77" t="s">
        <v>131</v>
      </c>
      <c r="BA278" s="78" t="s">
        <v>131</v>
      </c>
      <c r="BB278" s="78" t="s">
        <v>131</v>
      </c>
      <c r="BC278" s="78" t="s">
        <v>131</v>
      </c>
      <c r="BD278" s="78" t="s">
        <v>131</v>
      </c>
      <c r="BE278" s="78" t="s">
        <v>131</v>
      </c>
      <c r="BF278" s="78" t="s">
        <v>131</v>
      </c>
      <c r="BG278" s="78" t="s">
        <v>132</v>
      </c>
      <c r="BH278" s="75" t="s">
        <v>5970</v>
      </c>
      <c r="BI278" s="295" t="s">
        <v>2227</v>
      </c>
      <c r="BJ278" s="546">
        <v>1</v>
      </c>
      <c r="BK278" s="294" t="s">
        <v>16</v>
      </c>
      <c r="BL278" s="157" t="s">
        <v>16</v>
      </c>
      <c r="BM278" s="548" t="s">
        <v>578</v>
      </c>
      <c r="BN278" s="548" t="s">
        <v>578</v>
      </c>
      <c r="BO278" s="157" t="s">
        <v>4341</v>
      </c>
      <c r="BP278" s="548" t="s">
        <v>4343</v>
      </c>
      <c r="BQ278" s="157" t="s">
        <v>4309</v>
      </c>
      <c r="BR278" s="157"/>
    </row>
    <row r="279" spans="1:70" x14ac:dyDescent="0.25">
      <c r="A279" s="19" t="s">
        <v>3686</v>
      </c>
      <c r="B279" s="37" t="s">
        <v>5377</v>
      </c>
      <c r="C279" s="90">
        <v>45457.592812499999</v>
      </c>
      <c r="D279" s="114">
        <v>45457.342812499999</v>
      </c>
      <c r="E279" s="38">
        <v>45457</v>
      </c>
      <c r="F279" s="91">
        <v>2024</v>
      </c>
      <c r="G279" s="93">
        <v>6</v>
      </c>
      <c r="H279" s="37" t="s">
        <v>1386</v>
      </c>
      <c r="I279" s="37"/>
      <c r="J279" s="103">
        <v>-92.614767299999997</v>
      </c>
      <c r="K279" s="40">
        <v>44.454594700000001</v>
      </c>
      <c r="L279" s="74"/>
      <c r="M279" s="272" t="s">
        <v>5378</v>
      </c>
      <c r="N279" s="74">
        <v>1</v>
      </c>
      <c r="O279" s="94"/>
      <c r="P279" s="118">
        <v>1</v>
      </c>
      <c r="Q279" s="510">
        <v>120</v>
      </c>
      <c r="R279" s="513">
        <v>180</v>
      </c>
      <c r="S279" s="41"/>
      <c r="T279" s="40"/>
      <c r="U279" s="40">
        <v>7.5</v>
      </c>
      <c r="V279" s="119">
        <v>1</v>
      </c>
      <c r="W279" s="40">
        <v>0</v>
      </c>
      <c r="X279" s="119">
        <v>1</v>
      </c>
      <c r="Y279" s="40">
        <v>49</v>
      </c>
      <c r="Z279" s="119">
        <v>1</v>
      </c>
      <c r="AA279" s="368">
        <v>0</v>
      </c>
      <c r="AB279" s="535">
        <v>10</v>
      </c>
      <c r="AC279" s="39" t="s">
        <v>162</v>
      </c>
      <c r="AD279" s="75" t="s">
        <v>10</v>
      </c>
      <c r="AE279" s="95">
        <v>0</v>
      </c>
      <c r="AF279" s="75">
        <v>0</v>
      </c>
      <c r="AG279" s="75">
        <v>0</v>
      </c>
      <c r="AH279" s="75">
        <v>0</v>
      </c>
      <c r="AI279" s="75">
        <v>0</v>
      </c>
      <c r="AJ279" s="75">
        <v>0</v>
      </c>
      <c r="AK279" s="75">
        <v>0</v>
      </c>
      <c r="AL279" s="95">
        <v>1</v>
      </c>
      <c r="AM279" s="92">
        <v>0</v>
      </c>
      <c r="AN279" s="79" t="s">
        <v>80</v>
      </c>
      <c r="AO279" s="75">
        <v>1</v>
      </c>
      <c r="AP279" s="75" t="s">
        <v>83</v>
      </c>
      <c r="AQ279" s="122">
        <v>1</v>
      </c>
      <c r="AR279" s="515" t="s">
        <v>10</v>
      </c>
      <c r="AS279" s="95">
        <v>0</v>
      </c>
      <c r="AT279" s="75">
        <v>0</v>
      </c>
      <c r="AU279" s="75">
        <v>0</v>
      </c>
      <c r="AV279" s="75">
        <v>0</v>
      </c>
      <c r="AW279" s="123">
        <v>0</v>
      </c>
      <c r="AX279" s="516"/>
      <c r="AY279" s="75">
        <v>0</v>
      </c>
      <c r="AZ279" s="77" t="s">
        <v>131</v>
      </c>
      <c r="BA279" s="78" t="s">
        <v>131</v>
      </c>
      <c r="BB279" s="78" t="s">
        <v>131</v>
      </c>
      <c r="BC279" s="78" t="s">
        <v>131</v>
      </c>
      <c r="BD279" s="78" t="s">
        <v>131</v>
      </c>
      <c r="BE279" s="78" t="s">
        <v>131</v>
      </c>
      <c r="BF279" s="78" t="s">
        <v>131</v>
      </c>
      <c r="BG279" s="78" t="s">
        <v>132</v>
      </c>
      <c r="BH279" s="75" t="s">
        <v>5970</v>
      </c>
      <c r="BI279" s="295" t="s">
        <v>16</v>
      </c>
      <c r="BJ279" s="546">
        <v>1</v>
      </c>
      <c r="BK279" s="294" t="s">
        <v>16</v>
      </c>
      <c r="BL279" s="157" t="s">
        <v>16</v>
      </c>
      <c r="BM279" s="548" t="s">
        <v>2343</v>
      </c>
      <c r="BN279" s="548" t="s">
        <v>1339</v>
      </c>
      <c r="BO279" s="157" t="s">
        <v>4308</v>
      </c>
      <c r="BP279" s="548" t="s">
        <v>2238</v>
      </c>
      <c r="BQ279" s="157" t="s">
        <v>4307</v>
      </c>
      <c r="BR279" s="157"/>
    </row>
    <row r="280" spans="1:70" x14ac:dyDescent="0.25">
      <c r="A280" s="19" t="s">
        <v>3686</v>
      </c>
      <c r="B280" s="37" t="s">
        <v>5379</v>
      </c>
      <c r="C280" s="90">
        <v>45456.713055555556</v>
      </c>
      <c r="D280" s="114">
        <v>45456.463055555556</v>
      </c>
      <c r="E280" s="38">
        <v>45456</v>
      </c>
      <c r="F280" s="91">
        <v>2024</v>
      </c>
      <c r="G280" s="93">
        <v>6</v>
      </c>
      <c r="H280" s="37" t="s">
        <v>1364</v>
      </c>
      <c r="I280" s="37"/>
      <c r="J280" s="103">
        <v>-92.563675399999994</v>
      </c>
      <c r="K280" s="40">
        <v>44.502608899999998</v>
      </c>
      <c r="L280" s="74"/>
      <c r="M280" s="272" t="s">
        <v>5380</v>
      </c>
      <c r="N280" s="74">
        <v>1</v>
      </c>
      <c r="O280" s="94"/>
      <c r="P280" s="118">
        <v>1</v>
      </c>
      <c r="Q280" s="510">
        <v>40</v>
      </c>
      <c r="R280" s="513">
        <v>0</v>
      </c>
      <c r="S280" s="41"/>
      <c r="T280" s="40"/>
      <c r="U280" s="40">
        <v>7</v>
      </c>
      <c r="V280" s="119">
        <v>1</v>
      </c>
      <c r="W280" s="40">
        <v>100</v>
      </c>
      <c r="X280" s="119">
        <v>1</v>
      </c>
      <c r="Y280" s="40">
        <v>56</v>
      </c>
      <c r="Z280" s="119">
        <v>1</v>
      </c>
      <c r="AA280" s="368">
        <v>0</v>
      </c>
      <c r="AB280" s="535">
        <v>0</v>
      </c>
      <c r="AC280" s="39" t="s">
        <v>160</v>
      </c>
      <c r="AD280" s="75" t="s">
        <v>10</v>
      </c>
      <c r="AE280" s="95">
        <v>0</v>
      </c>
      <c r="AF280" s="75">
        <v>0</v>
      </c>
      <c r="AG280" s="75">
        <v>0</v>
      </c>
      <c r="AH280" s="75">
        <v>0</v>
      </c>
      <c r="AI280" s="75">
        <v>0</v>
      </c>
      <c r="AJ280" s="75">
        <v>0</v>
      </c>
      <c r="AK280" s="75">
        <v>0</v>
      </c>
      <c r="AL280" s="95">
        <v>1</v>
      </c>
      <c r="AM280" s="92">
        <v>0</v>
      </c>
      <c r="AN280" s="79" t="s">
        <v>80</v>
      </c>
      <c r="AO280" s="75">
        <v>1</v>
      </c>
      <c r="AP280" s="75" t="s">
        <v>84</v>
      </c>
      <c r="AQ280" s="122">
        <v>1</v>
      </c>
      <c r="AR280" s="515" t="s">
        <v>13</v>
      </c>
      <c r="AS280" s="95">
        <v>1</v>
      </c>
      <c r="AT280" s="75">
        <v>0</v>
      </c>
      <c r="AU280" s="75">
        <v>0</v>
      </c>
      <c r="AV280" s="75">
        <v>0</v>
      </c>
      <c r="AW280" s="123">
        <v>0</v>
      </c>
      <c r="AX280" s="516" t="s">
        <v>5381</v>
      </c>
      <c r="AY280" s="75">
        <v>1</v>
      </c>
      <c r="AZ280" s="77" t="s">
        <v>131</v>
      </c>
      <c r="BA280" s="78" t="s">
        <v>131</v>
      </c>
      <c r="BB280" s="78" t="s">
        <v>131</v>
      </c>
      <c r="BC280" s="78" t="s">
        <v>131</v>
      </c>
      <c r="BD280" s="78" t="s">
        <v>131</v>
      </c>
      <c r="BE280" s="78" t="s">
        <v>131</v>
      </c>
      <c r="BF280" s="78" t="s">
        <v>131</v>
      </c>
      <c r="BG280" s="78" t="s">
        <v>132</v>
      </c>
      <c r="BH280" s="75" t="s">
        <v>5970</v>
      </c>
      <c r="BI280" s="295" t="s">
        <v>2238</v>
      </c>
      <c r="BJ280" s="546">
        <v>1</v>
      </c>
      <c r="BK280" s="294" t="s">
        <v>16</v>
      </c>
      <c r="BL280" s="157" t="s">
        <v>16</v>
      </c>
      <c r="BM280" s="548" t="s">
        <v>2343</v>
      </c>
      <c r="BN280" s="548" t="s">
        <v>4161</v>
      </c>
      <c r="BO280" s="157" t="s">
        <v>4308</v>
      </c>
      <c r="BP280" s="548" t="s">
        <v>2238</v>
      </c>
      <c r="BQ280" s="157" t="s">
        <v>4307</v>
      </c>
      <c r="BR280" s="157"/>
    </row>
    <row r="281" spans="1:70" x14ac:dyDescent="0.25">
      <c r="A281" s="19" t="s">
        <v>3686</v>
      </c>
      <c r="B281" s="37" t="s">
        <v>5382</v>
      </c>
      <c r="C281" s="90">
        <v>45456.692129629628</v>
      </c>
      <c r="D281" s="114">
        <v>45456.442129629628</v>
      </c>
      <c r="E281" s="38">
        <v>45456</v>
      </c>
      <c r="F281" s="91">
        <v>2024</v>
      </c>
      <c r="G281" s="93">
        <v>6</v>
      </c>
      <c r="H281" s="37" t="s">
        <v>1364</v>
      </c>
      <c r="I281" s="37" t="s">
        <v>958</v>
      </c>
      <c r="J281" s="103">
        <v>-92.575548400000002</v>
      </c>
      <c r="K281" s="40">
        <v>44.488357999999998</v>
      </c>
      <c r="L281" s="74"/>
      <c r="M281" s="272" t="s">
        <v>5383</v>
      </c>
      <c r="N281" s="74">
        <v>1</v>
      </c>
      <c r="O281" s="94"/>
      <c r="P281" s="118">
        <v>1</v>
      </c>
      <c r="Q281" s="510">
        <v>40</v>
      </c>
      <c r="R281" s="513">
        <v>0</v>
      </c>
      <c r="S281" s="41"/>
      <c r="T281" s="40"/>
      <c r="U281" s="40">
        <v>7</v>
      </c>
      <c r="V281" s="119">
        <v>1</v>
      </c>
      <c r="W281" s="40">
        <v>100</v>
      </c>
      <c r="X281" s="119">
        <v>1</v>
      </c>
      <c r="Y281" s="40">
        <v>56</v>
      </c>
      <c r="Z281" s="119">
        <v>1</v>
      </c>
      <c r="AA281" s="368">
        <v>0</v>
      </c>
      <c r="AB281" s="535">
        <v>0</v>
      </c>
      <c r="AC281" s="39" t="s">
        <v>160</v>
      </c>
      <c r="AD281" s="75" t="s">
        <v>10</v>
      </c>
      <c r="AE281" s="95">
        <v>0</v>
      </c>
      <c r="AF281" s="75">
        <v>0</v>
      </c>
      <c r="AG281" s="75">
        <v>0</v>
      </c>
      <c r="AH281" s="75">
        <v>0</v>
      </c>
      <c r="AI281" s="75">
        <v>0</v>
      </c>
      <c r="AJ281" s="75">
        <v>0</v>
      </c>
      <c r="AK281" s="75">
        <v>0</v>
      </c>
      <c r="AL281" s="95">
        <v>1</v>
      </c>
      <c r="AM281" s="92">
        <v>0</v>
      </c>
      <c r="AN281" s="79" t="s">
        <v>80</v>
      </c>
      <c r="AO281" s="75">
        <v>1</v>
      </c>
      <c r="AP281" s="75" t="s">
        <v>84</v>
      </c>
      <c r="AQ281" s="122">
        <v>1</v>
      </c>
      <c r="AR281" s="515" t="s">
        <v>13</v>
      </c>
      <c r="AS281" s="95">
        <v>1</v>
      </c>
      <c r="AT281" s="75">
        <v>0</v>
      </c>
      <c r="AU281" s="75">
        <v>0</v>
      </c>
      <c r="AV281" s="75">
        <v>0</v>
      </c>
      <c r="AW281" s="123">
        <v>0</v>
      </c>
      <c r="AX281" s="516" t="s">
        <v>5384</v>
      </c>
      <c r="AY281" s="75">
        <v>1</v>
      </c>
      <c r="AZ281" s="77" t="s">
        <v>131</v>
      </c>
      <c r="BA281" s="78" t="s">
        <v>131</v>
      </c>
      <c r="BB281" s="78" t="s">
        <v>131</v>
      </c>
      <c r="BC281" s="78" t="s">
        <v>131</v>
      </c>
      <c r="BD281" s="78" t="s">
        <v>131</v>
      </c>
      <c r="BE281" s="78" t="s">
        <v>131</v>
      </c>
      <c r="BF281" s="78" t="s">
        <v>131</v>
      </c>
      <c r="BG281" s="78" t="s">
        <v>132</v>
      </c>
      <c r="BH281" s="75" t="s">
        <v>5970</v>
      </c>
      <c r="BI281" s="295" t="s">
        <v>2238</v>
      </c>
      <c r="BJ281" s="546">
        <v>1</v>
      </c>
      <c r="BK281" s="294" t="s">
        <v>16</v>
      </c>
      <c r="BL281" s="157" t="s">
        <v>16</v>
      </c>
      <c r="BM281" s="548" t="s">
        <v>2343</v>
      </c>
      <c r="BN281" s="548" t="s">
        <v>4161</v>
      </c>
      <c r="BO281" s="157" t="s">
        <v>4308</v>
      </c>
      <c r="BP281" s="548" t="s">
        <v>2238</v>
      </c>
      <c r="BQ281" s="157" t="s">
        <v>4307</v>
      </c>
      <c r="BR281" s="157"/>
    </row>
    <row r="282" spans="1:70" x14ac:dyDescent="0.25">
      <c r="A282" s="19" t="s">
        <v>3686</v>
      </c>
      <c r="B282" s="37" t="s">
        <v>5385</v>
      </c>
      <c r="C282" s="90">
        <v>45456.663206018522</v>
      </c>
      <c r="D282" s="114">
        <v>45456.413206018522</v>
      </c>
      <c r="E282" s="38">
        <v>45456</v>
      </c>
      <c r="F282" s="91">
        <v>2024</v>
      </c>
      <c r="G282" s="93">
        <v>6</v>
      </c>
      <c r="H282" s="37" t="s">
        <v>1364</v>
      </c>
      <c r="I282" s="37" t="s">
        <v>959</v>
      </c>
      <c r="J282" s="103">
        <v>-92.597053900000006</v>
      </c>
      <c r="K282" s="40">
        <v>44.472658199999998</v>
      </c>
      <c r="L282" s="74"/>
      <c r="M282" s="272" t="s">
        <v>5386</v>
      </c>
      <c r="N282" s="74">
        <v>1</v>
      </c>
      <c r="O282" s="94"/>
      <c r="P282" s="118">
        <v>1</v>
      </c>
      <c r="Q282" s="510">
        <v>120</v>
      </c>
      <c r="R282" s="513">
        <v>180</v>
      </c>
      <c r="S282" s="41"/>
      <c r="T282" s="40"/>
      <c r="U282" s="40">
        <v>7</v>
      </c>
      <c r="V282" s="119">
        <v>1</v>
      </c>
      <c r="W282" s="40">
        <v>200</v>
      </c>
      <c r="X282" s="119">
        <v>1</v>
      </c>
      <c r="Y282" s="40">
        <v>53</v>
      </c>
      <c r="Z282" s="119">
        <v>1</v>
      </c>
      <c r="AA282" s="368">
        <v>0</v>
      </c>
      <c r="AB282" s="535">
        <v>2</v>
      </c>
      <c r="AC282" s="39" t="s">
        <v>186</v>
      </c>
      <c r="AD282" s="75" t="s">
        <v>10</v>
      </c>
      <c r="AE282" s="95">
        <v>0</v>
      </c>
      <c r="AF282" s="75">
        <v>0</v>
      </c>
      <c r="AG282" s="75">
        <v>0</v>
      </c>
      <c r="AH282" s="75">
        <v>0</v>
      </c>
      <c r="AI282" s="75">
        <v>0</v>
      </c>
      <c r="AJ282" s="75">
        <v>0</v>
      </c>
      <c r="AK282" s="75">
        <v>0</v>
      </c>
      <c r="AL282" s="95">
        <v>1</v>
      </c>
      <c r="AM282" s="92">
        <v>0</v>
      </c>
      <c r="AN282" s="79" t="s">
        <v>80</v>
      </c>
      <c r="AO282" s="75">
        <v>1</v>
      </c>
      <c r="AP282" s="75" t="s">
        <v>83</v>
      </c>
      <c r="AQ282" s="122">
        <v>1</v>
      </c>
      <c r="AR282" s="515" t="s">
        <v>13</v>
      </c>
      <c r="AS282" s="95">
        <v>1</v>
      </c>
      <c r="AT282" s="75">
        <v>0</v>
      </c>
      <c r="AU282" s="75">
        <v>0</v>
      </c>
      <c r="AV282" s="75">
        <v>0</v>
      </c>
      <c r="AW282" s="123">
        <v>0</v>
      </c>
      <c r="AX282" s="516" t="s">
        <v>5387</v>
      </c>
      <c r="AY282" s="75">
        <v>1</v>
      </c>
      <c r="AZ282" s="77" t="s">
        <v>131</v>
      </c>
      <c r="BA282" s="78" t="s">
        <v>131</v>
      </c>
      <c r="BB282" s="78" t="s">
        <v>131</v>
      </c>
      <c r="BC282" s="78" t="s">
        <v>131</v>
      </c>
      <c r="BD282" s="78" t="s">
        <v>131</v>
      </c>
      <c r="BE282" s="78" t="s">
        <v>131</v>
      </c>
      <c r="BF282" s="78" t="s">
        <v>131</v>
      </c>
      <c r="BG282" s="78" t="s">
        <v>132</v>
      </c>
      <c r="BH282" s="75" t="s">
        <v>5970</v>
      </c>
      <c r="BI282" s="295" t="s">
        <v>2238</v>
      </c>
      <c r="BJ282" s="546">
        <v>1</v>
      </c>
      <c r="BK282" s="294" t="s">
        <v>16</v>
      </c>
      <c r="BL282" s="157" t="s">
        <v>16</v>
      </c>
      <c r="BM282" s="548" t="s">
        <v>2343</v>
      </c>
      <c r="BN282" s="548" t="s">
        <v>4161</v>
      </c>
      <c r="BO282" s="157" t="s">
        <v>4308</v>
      </c>
      <c r="BP282" s="548" t="s">
        <v>2238</v>
      </c>
      <c r="BQ282" s="157" t="s">
        <v>4307</v>
      </c>
      <c r="BR282" s="157"/>
    </row>
    <row r="283" spans="1:70" x14ac:dyDescent="0.25">
      <c r="A283" s="19" t="s">
        <v>3686</v>
      </c>
      <c r="B283" s="37" t="s">
        <v>5388</v>
      </c>
      <c r="C283" s="90">
        <v>45449.841747685183</v>
      </c>
      <c r="D283" s="114">
        <v>45449.591747685183</v>
      </c>
      <c r="E283" s="38">
        <v>45449</v>
      </c>
      <c r="F283" s="91">
        <v>2024</v>
      </c>
      <c r="G283" s="93">
        <v>6</v>
      </c>
      <c r="H283" s="37" t="s">
        <v>5389</v>
      </c>
      <c r="I283" s="37"/>
      <c r="J283" s="103">
        <v>-91.462337300000002</v>
      </c>
      <c r="K283" s="40">
        <v>42.7389309</v>
      </c>
      <c r="L283" s="74"/>
      <c r="M283" s="272" t="s">
        <v>5390</v>
      </c>
      <c r="N283" s="74">
        <v>1</v>
      </c>
      <c r="O283" s="94"/>
      <c r="P283" s="118">
        <v>1</v>
      </c>
      <c r="Q283" s="510">
        <v>180</v>
      </c>
      <c r="R283" s="513">
        <v>180</v>
      </c>
      <c r="S283" s="41"/>
      <c r="T283" s="40"/>
      <c r="U283" s="40">
        <v>8.5</v>
      </c>
      <c r="V283" s="119">
        <v>1</v>
      </c>
      <c r="W283" s="40">
        <v>300</v>
      </c>
      <c r="X283" s="119">
        <v>1</v>
      </c>
      <c r="Y283" s="40">
        <v>65</v>
      </c>
      <c r="Z283" s="119">
        <v>0</v>
      </c>
      <c r="AA283" s="368" t="s">
        <v>16</v>
      </c>
      <c r="AB283" s="535" t="s">
        <v>16</v>
      </c>
      <c r="AC283" s="39" t="s">
        <v>160</v>
      </c>
      <c r="AD283" s="75" t="s">
        <v>1622</v>
      </c>
      <c r="AE283" s="95">
        <v>1</v>
      </c>
      <c r="AF283" s="75">
        <v>1</v>
      </c>
      <c r="AG283" s="75">
        <v>0</v>
      </c>
      <c r="AH283" s="75">
        <v>0</v>
      </c>
      <c r="AI283" s="75">
        <v>0</v>
      </c>
      <c r="AJ283" s="75">
        <v>0</v>
      </c>
      <c r="AK283" s="75">
        <v>0</v>
      </c>
      <c r="AL283" s="95">
        <v>0</v>
      </c>
      <c r="AM283" s="92">
        <v>0</v>
      </c>
      <c r="AN283" s="79" t="s">
        <v>80</v>
      </c>
      <c r="AO283" s="75">
        <v>1</v>
      </c>
      <c r="AP283" s="75" t="s">
        <v>83</v>
      </c>
      <c r="AQ283" s="122">
        <v>1</v>
      </c>
      <c r="AR283" s="515" t="s">
        <v>10</v>
      </c>
      <c r="AS283" s="95">
        <v>0</v>
      </c>
      <c r="AT283" s="75">
        <v>0</v>
      </c>
      <c r="AU283" s="75">
        <v>0</v>
      </c>
      <c r="AV283" s="75">
        <v>0</v>
      </c>
      <c r="AW283" s="123">
        <v>0</v>
      </c>
      <c r="AX283" s="516" t="s">
        <v>5391</v>
      </c>
      <c r="AY283" s="75">
        <v>1</v>
      </c>
      <c r="AZ283" s="77" t="s">
        <v>132</v>
      </c>
      <c r="BA283" s="78" t="s">
        <v>132</v>
      </c>
      <c r="BB283" s="78" t="s">
        <v>131</v>
      </c>
      <c r="BC283" s="78" t="s">
        <v>131</v>
      </c>
      <c r="BD283" s="78" t="s">
        <v>131</v>
      </c>
      <c r="BE283" s="78" t="s">
        <v>131</v>
      </c>
      <c r="BF283" s="78" t="s">
        <v>131</v>
      </c>
      <c r="BG283" s="78" t="s">
        <v>131</v>
      </c>
      <c r="BH283" s="75" t="s">
        <v>5970</v>
      </c>
      <c r="BI283" s="295">
        <v>0</v>
      </c>
      <c r="BJ283" s="546" t="s">
        <v>16</v>
      </c>
      <c r="BK283" s="294" t="s">
        <v>16</v>
      </c>
      <c r="BL283" s="157" t="s">
        <v>16</v>
      </c>
      <c r="BM283" s="548" t="s">
        <v>1347</v>
      </c>
      <c r="BN283" s="548" t="s">
        <v>1344</v>
      </c>
      <c r="BO283" s="157" t="s">
        <v>4593</v>
      </c>
      <c r="BP283" s="548" t="s">
        <v>4035</v>
      </c>
      <c r="BQ283" s="157" t="s">
        <v>4563</v>
      </c>
      <c r="BR283" s="157"/>
    </row>
    <row r="284" spans="1:70" x14ac:dyDescent="0.25">
      <c r="A284" s="19" t="s">
        <v>3686</v>
      </c>
      <c r="B284" s="37" t="s">
        <v>5392</v>
      </c>
      <c r="C284" s="90">
        <v>45449.82540509259</v>
      </c>
      <c r="D284" s="114">
        <v>45449.57540509259</v>
      </c>
      <c r="E284" s="38">
        <v>45449</v>
      </c>
      <c r="F284" s="91">
        <v>2024</v>
      </c>
      <c r="G284" s="93">
        <v>6</v>
      </c>
      <c r="H284" s="37" t="s">
        <v>5389</v>
      </c>
      <c r="I284" s="37"/>
      <c r="J284" s="103">
        <v>-91.462105800000003</v>
      </c>
      <c r="K284" s="40">
        <v>42.767018100000001</v>
      </c>
      <c r="L284" s="74"/>
      <c r="M284" s="272" t="s">
        <v>5393</v>
      </c>
      <c r="N284" s="74">
        <v>1</v>
      </c>
      <c r="O284" s="94"/>
      <c r="P284" s="118">
        <v>1</v>
      </c>
      <c r="Q284" s="510">
        <v>40</v>
      </c>
      <c r="R284" s="513">
        <v>0</v>
      </c>
      <c r="S284" s="41"/>
      <c r="T284" s="40"/>
      <c r="U284" s="40">
        <v>7.5</v>
      </c>
      <c r="V284" s="119">
        <v>0</v>
      </c>
      <c r="W284" s="40"/>
      <c r="X284" s="119">
        <v>1</v>
      </c>
      <c r="Y284" s="40">
        <v>69</v>
      </c>
      <c r="Z284" s="119">
        <v>0</v>
      </c>
      <c r="AA284" s="368" t="s">
        <v>16</v>
      </c>
      <c r="AB284" s="535" t="s">
        <v>16</v>
      </c>
      <c r="AC284" s="39" t="s">
        <v>160</v>
      </c>
      <c r="AD284" s="75" t="s">
        <v>365</v>
      </c>
      <c r="AE284" s="95">
        <v>0</v>
      </c>
      <c r="AF284" s="75">
        <v>1</v>
      </c>
      <c r="AG284" s="75">
        <v>1</v>
      </c>
      <c r="AH284" s="75">
        <v>0</v>
      </c>
      <c r="AI284" s="75">
        <v>0</v>
      </c>
      <c r="AJ284" s="75">
        <v>0</v>
      </c>
      <c r="AK284" s="75">
        <v>0</v>
      </c>
      <c r="AL284" s="95">
        <v>0</v>
      </c>
      <c r="AM284" s="92">
        <v>0</v>
      </c>
      <c r="AN284" s="79" t="s">
        <v>81</v>
      </c>
      <c r="AO284" s="75">
        <v>1</v>
      </c>
      <c r="AP284" s="75" t="s">
        <v>84</v>
      </c>
      <c r="AQ284" s="122">
        <v>1</v>
      </c>
      <c r="AR284" s="515" t="s">
        <v>10</v>
      </c>
      <c r="AS284" s="95">
        <v>0</v>
      </c>
      <c r="AT284" s="75">
        <v>0</v>
      </c>
      <c r="AU284" s="75">
        <v>0</v>
      </c>
      <c r="AV284" s="75">
        <v>0</v>
      </c>
      <c r="AW284" s="123">
        <v>0</v>
      </c>
      <c r="AX284" s="516" t="s">
        <v>5394</v>
      </c>
      <c r="AY284" s="75">
        <v>1</v>
      </c>
      <c r="AZ284" s="77" t="s">
        <v>131</v>
      </c>
      <c r="BA284" s="78" t="s">
        <v>132</v>
      </c>
      <c r="BB284" s="78" t="s">
        <v>132</v>
      </c>
      <c r="BC284" s="78" t="s">
        <v>131</v>
      </c>
      <c r="BD284" s="78" t="s">
        <v>131</v>
      </c>
      <c r="BE284" s="78" t="s">
        <v>131</v>
      </c>
      <c r="BF284" s="78" t="s">
        <v>131</v>
      </c>
      <c r="BG284" s="78" t="s">
        <v>131</v>
      </c>
      <c r="BH284" s="75" t="s">
        <v>5970</v>
      </c>
      <c r="BI284" s="295" t="s">
        <v>16</v>
      </c>
      <c r="BJ284" s="546">
        <v>1</v>
      </c>
      <c r="BK284" s="294" t="s">
        <v>16</v>
      </c>
      <c r="BL284" s="157" t="s">
        <v>16</v>
      </c>
      <c r="BM284" s="548" t="s">
        <v>1347</v>
      </c>
      <c r="BN284" s="548" t="s">
        <v>1344</v>
      </c>
      <c r="BO284" s="157" t="s">
        <v>4593</v>
      </c>
      <c r="BP284" s="548" t="s">
        <v>4035</v>
      </c>
      <c r="BQ284" s="157" t="s">
        <v>4563</v>
      </c>
      <c r="BR284" s="157"/>
    </row>
    <row r="285" spans="1:70" x14ac:dyDescent="0.25">
      <c r="A285" s="19" t="s">
        <v>3686</v>
      </c>
      <c r="B285" s="37" t="s">
        <v>5395</v>
      </c>
      <c r="C285" s="90">
        <v>45449.798854166664</v>
      </c>
      <c r="D285" s="114">
        <v>45449.548854166664</v>
      </c>
      <c r="E285" s="38">
        <v>45449</v>
      </c>
      <c r="F285" s="91">
        <v>2024</v>
      </c>
      <c r="G285" s="93">
        <v>6</v>
      </c>
      <c r="H285" s="37" t="s">
        <v>5389</v>
      </c>
      <c r="I285" s="37"/>
      <c r="J285" s="103">
        <v>-91.655045099999995</v>
      </c>
      <c r="K285" s="40">
        <v>42.804478799999998</v>
      </c>
      <c r="L285" s="74"/>
      <c r="M285" s="272" t="s">
        <v>5396</v>
      </c>
      <c r="N285" s="74">
        <v>1</v>
      </c>
      <c r="O285" s="94"/>
      <c r="P285" s="118">
        <v>1</v>
      </c>
      <c r="Q285" s="510">
        <v>120</v>
      </c>
      <c r="R285" s="513">
        <v>180</v>
      </c>
      <c r="S285" s="41"/>
      <c r="T285" s="40"/>
      <c r="U285" s="40">
        <v>7.5</v>
      </c>
      <c r="V285" s="119">
        <v>1</v>
      </c>
      <c r="W285" s="40">
        <v>0</v>
      </c>
      <c r="X285" s="119">
        <v>1</v>
      </c>
      <c r="Y285" s="40">
        <v>68</v>
      </c>
      <c r="Z285" s="119">
        <v>0</v>
      </c>
      <c r="AA285" s="368" t="s">
        <v>16</v>
      </c>
      <c r="AB285" s="535" t="s">
        <v>16</v>
      </c>
      <c r="AC285" s="39" t="s">
        <v>160</v>
      </c>
      <c r="AD285" s="75" t="s">
        <v>8</v>
      </c>
      <c r="AE285" s="95">
        <v>0</v>
      </c>
      <c r="AF285" s="75">
        <v>1</v>
      </c>
      <c r="AG285" s="75">
        <v>0</v>
      </c>
      <c r="AH285" s="75">
        <v>0</v>
      </c>
      <c r="AI285" s="75">
        <v>0</v>
      </c>
      <c r="AJ285" s="75">
        <v>0</v>
      </c>
      <c r="AK285" s="75">
        <v>0</v>
      </c>
      <c r="AL285" s="95">
        <v>0</v>
      </c>
      <c r="AM285" s="92">
        <v>0</v>
      </c>
      <c r="AN285" s="79" t="s">
        <v>81</v>
      </c>
      <c r="AO285" s="75">
        <v>1</v>
      </c>
      <c r="AP285" s="75" t="s">
        <v>83</v>
      </c>
      <c r="AQ285" s="122">
        <v>1</v>
      </c>
      <c r="AR285" s="515" t="s">
        <v>10</v>
      </c>
      <c r="AS285" s="95">
        <v>0</v>
      </c>
      <c r="AT285" s="75">
        <v>0</v>
      </c>
      <c r="AU285" s="75">
        <v>0</v>
      </c>
      <c r="AV285" s="75">
        <v>0</v>
      </c>
      <c r="AW285" s="123">
        <v>0</v>
      </c>
      <c r="AX285" s="516" t="s">
        <v>5391</v>
      </c>
      <c r="AY285" s="75">
        <v>1</v>
      </c>
      <c r="AZ285" s="77" t="s">
        <v>131</v>
      </c>
      <c r="BA285" s="78" t="s">
        <v>132</v>
      </c>
      <c r="BB285" s="78" t="s">
        <v>131</v>
      </c>
      <c r="BC285" s="78" t="s">
        <v>131</v>
      </c>
      <c r="BD285" s="78" t="s">
        <v>131</v>
      </c>
      <c r="BE285" s="78" t="s">
        <v>131</v>
      </c>
      <c r="BF285" s="78" t="s">
        <v>131</v>
      </c>
      <c r="BG285" s="78" t="s">
        <v>131</v>
      </c>
      <c r="BH285" s="75" t="s">
        <v>5970</v>
      </c>
      <c r="BI285" s="295" t="s">
        <v>4031</v>
      </c>
      <c r="BJ285" s="546" t="s">
        <v>16</v>
      </c>
      <c r="BK285" s="294" t="s">
        <v>16</v>
      </c>
      <c r="BL285" s="157" t="s">
        <v>16</v>
      </c>
      <c r="BM285" s="548" t="s">
        <v>1348</v>
      </c>
      <c r="BN285" s="548" t="s">
        <v>1344</v>
      </c>
      <c r="BO285" s="157" t="s">
        <v>4565</v>
      </c>
      <c r="BP285" s="548" t="s">
        <v>4567</v>
      </c>
      <c r="BQ285" s="157" t="s">
        <v>4563</v>
      </c>
      <c r="BR285" s="157"/>
    </row>
    <row r="286" spans="1:70" x14ac:dyDescent="0.25">
      <c r="A286" s="19" t="s">
        <v>3686</v>
      </c>
      <c r="B286" s="37" t="s">
        <v>5397</v>
      </c>
      <c r="C286" s="90">
        <v>45449.779664351852</v>
      </c>
      <c r="D286" s="114">
        <v>45449.529664351852</v>
      </c>
      <c r="E286" s="38">
        <v>45449</v>
      </c>
      <c r="F286" s="91">
        <v>2024</v>
      </c>
      <c r="G286" s="93">
        <v>6</v>
      </c>
      <c r="H286" s="37" t="s">
        <v>5389</v>
      </c>
      <c r="I286" s="37"/>
      <c r="J286" s="103">
        <v>-91.607115500000006</v>
      </c>
      <c r="K286" s="40">
        <v>42.816734199999999</v>
      </c>
      <c r="L286" s="74"/>
      <c r="M286" s="272" t="s">
        <v>5398</v>
      </c>
      <c r="N286" s="74">
        <v>1</v>
      </c>
      <c r="O286" s="94"/>
      <c r="P286" s="118">
        <v>1</v>
      </c>
      <c r="Q286" s="510">
        <v>240</v>
      </c>
      <c r="R286" s="513">
        <v>120</v>
      </c>
      <c r="S286" s="41"/>
      <c r="T286" s="40"/>
      <c r="U286" s="40">
        <v>7.5</v>
      </c>
      <c r="V286" s="119">
        <v>1</v>
      </c>
      <c r="W286" s="40">
        <v>300</v>
      </c>
      <c r="X286" s="119">
        <v>1</v>
      </c>
      <c r="Y286" s="40">
        <v>65</v>
      </c>
      <c r="Z286" s="119">
        <v>0</v>
      </c>
      <c r="AA286" s="368" t="s">
        <v>16</v>
      </c>
      <c r="AB286" s="535" t="s">
        <v>16</v>
      </c>
      <c r="AC286" s="39" t="s">
        <v>160</v>
      </c>
      <c r="AD286" s="75" t="s">
        <v>8</v>
      </c>
      <c r="AE286" s="95">
        <v>0</v>
      </c>
      <c r="AF286" s="75">
        <v>1</v>
      </c>
      <c r="AG286" s="75">
        <v>0</v>
      </c>
      <c r="AH286" s="75">
        <v>0</v>
      </c>
      <c r="AI286" s="75">
        <v>0</v>
      </c>
      <c r="AJ286" s="75">
        <v>0</v>
      </c>
      <c r="AK286" s="75">
        <v>0</v>
      </c>
      <c r="AL286" s="95">
        <v>0</v>
      </c>
      <c r="AM286" s="92">
        <v>0</v>
      </c>
      <c r="AN286" s="79" t="s">
        <v>81</v>
      </c>
      <c r="AO286" s="75">
        <v>1</v>
      </c>
      <c r="AP286" s="75" t="s">
        <v>83</v>
      </c>
      <c r="AQ286" s="122">
        <v>1</v>
      </c>
      <c r="AR286" s="515" t="s">
        <v>10</v>
      </c>
      <c r="AS286" s="95">
        <v>0</v>
      </c>
      <c r="AT286" s="75">
        <v>0</v>
      </c>
      <c r="AU286" s="75">
        <v>0</v>
      </c>
      <c r="AV286" s="75">
        <v>0</v>
      </c>
      <c r="AW286" s="123">
        <v>0</v>
      </c>
      <c r="AX286" s="516" t="s">
        <v>5399</v>
      </c>
      <c r="AY286" s="75">
        <v>1</v>
      </c>
      <c r="AZ286" s="77" t="s">
        <v>131</v>
      </c>
      <c r="BA286" s="78" t="s">
        <v>132</v>
      </c>
      <c r="BB286" s="78" t="s">
        <v>131</v>
      </c>
      <c r="BC286" s="78" t="s">
        <v>131</v>
      </c>
      <c r="BD286" s="78" t="s">
        <v>131</v>
      </c>
      <c r="BE286" s="78" t="s">
        <v>131</v>
      </c>
      <c r="BF286" s="78" t="s">
        <v>131</v>
      </c>
      <c r="BG286" s="78" t="s">
        <v>131</v>
      </c>
      <c r="BH286" s="75" t="s">
        <v>5970</v>
      </c>
      <c r="BI286" s="295" t="s">
        <v>4031</v>
      </c>
      <c r="BJ286" s="546">
        <v>1</v>
      </c>
      <c r="BK286" s="294" t="s">
        <v>16</v>
      </c>
      <c r="BL286" s="157" t="s">
        <v>16</v>
      </c>
      <c r="BM286" s="548" t="s">
        <v>1347</v>
      </c>
      <c r="BN286" s="548" t="s">
        <v>1344</v>
      </c>
      <c r="BO286" s="157" t="s">
        <v>4565</v>
      </c>
      <c r="BP286" s="548" t="s">
        <v>4567</v>
      </c>
      <c r="BQ286" s="157" t="s">
        <v>4563</v>
      </c>
      <c r="BR286" s="157"/>
    </row>
    <row r="287" spans="1:70" x14ac:dyDescent="0.25">
      <c r="A287" s="19" t="s">
        <v>3686</v>
      </c>
      <c r="B287" s="37" t="s">
        <v>5400</v>
      </c>
      <c r="C287" s="90">
        <v>45449.760937500003</v>
      </c>
      <c r="D287" s="114">
        <v>45449.510937500003</v>
      </c>
      <c r="E287" s="38">
        <v>45449</v>
      </c>
      <c r="F287" s="91">
        <v>2024</v>
      </c>
      <c r="G287" s="93">
        <v>6</v>
      </c>
      <c r="H287" s="37" t="s">
        <v>5389</v>
      </c>
      <c r="I287" s="37"/>
      <c r="J287" s="103">
        <v>-91.607352199999994</v>
      </c>
      <c r="K287" s="40">
        <v>42.821662199999999</v>
      </c>
      <c r="L287" s="74"/>
      <c r="M287" s="272" t="s">
        <v>5401</v>
      </c>
      <c r="N287" s="74">
        <v>1</v>
      </c>
      <c r="O287" s="94"/>
      <c r="P287" s="118">
        <v>1</v>
      </c>
      <c r="Q287" s="510">
        <v>180</v>
      </c>
      <c r="R287" s="513">
        <v>180</v>
      </c>
      <c r="S287" s="41"/>
      <c r="T287" s="40"/>
      <c r="U287" s="40">
        <v>9</v>
      </c>
      <c r="V287" s="119">
        <v>1</v>
      </c>
      <c r="W287" s="40">
        <v>100</v>
      </c>
      <c r="X287" s="119">
        <v>1</v>
      </c>
      <c r="Y287" s="40">
        <v>68</v>
      </c>
      <c r="Z287" s="119">
        <v>1</v>
      </c>
      <c r="AA287" s="368">
        <v>0</v>
      </c>
      <c r="AB287" s="535">
        <v>5</v>
      </c>
      <c r="AC287" s="39" t="s">
        <v>160</v>
      </c>
      <c r="AD287" s="75" t="s">
        <v>3742</v>
      </c>
      <c r="AE287" s="95">
        <v>1</v>
      </c>
      <c r="AF287" s="75">
        <v>1</v>
      </c>
      <c r="AG287" s="75">
        <v>0</v>
      </c>
      <c r="AH287" s="75">
        <v>1</v>
      </c>
      <c r="AI287" s="75">
        <v>0</v>
      </c>
      <c r="AJ287" s="75">
        <v>0</v>
      </c>
      <c r="AK287" s="75">
        <v>0</v>
      </c>
      <c r="AL287" s="95">
        <v>0</v>
      </c>
      <c r="AM287" s="92">
        <v>0</v>
      </c>
      <c r="AN287" s="79" t="s">
        <v>81</v>
      </c>
      <c r="AO287" s="75">
        <v>1</v>
      </c>
      <c r="AP287" s="75" t="s">
        <v>83</v>
      </c>
      <c r="AQ287" s="122">
        <v>1</v>
      </c>
      <c r="AR287" s="515" t="s">
        <v>10</v>
      </c>
      <c r="AS287" s="95">
        <v>0</v>
      </c>
      <c r="AT287" s="75">
        <v>0</v>
      </c>
      <c r="AU287" s="75">
        <v>0</v>
      </c>
      <c r="AV287" s="75">
        <v>0</v>
      </c>
      <c r="AW287" s="123">
        <v>0</v>
      </c>
      <c r="AX287" s="516" t="s">
        <v>5402</v>
      </c>
      <c r="AY287" s="75">
        <v>1</v>
      </c>
      <c r="AZ287" s="77" t="s">
        <v>132</v>
      </c>
      <c r="BA287" s="78" t="s">
        <v>132</v>
      </c>
      <c r="BB287" s="78" t="s">
        <v>131</v>
      </c>
      <c r="BC287" s="78" t="s">
        <v>132</v>
      </c>
      <c r="BD287" s="78" t="s">
        <v>131</v>
      </c>
      <c r="BE287" s="78" t="s">
        <v>131</v>
      </c>
      <c r="BF287" s="78" t="s">
        <v>131</v>
      </c>
      <c r="BG287" s="78" t="s">
        <v>131</v>
      </c>
      <c r="BH287" s="75" t="s">
        <v>5970</v>
      </c>
      <c r="BI287" s="295" t="s">
        <v>16</v>
      </c>
      <c r="BJ287" s="546">
        <v>1</v>
      </c>
      <c r="BK287" s="294" t="s">
        <v>16</v>
      </c>
      <c r="BL287" s="157" t="s">
        <v>16</v>
      </c>
      <c r="BM287" s="548" t="s">
        <v>1347</v>
      </c>
      <c r="BN287" s="548" t="s">
        <v>1344</v>
      </c>
      <c r="BO287" s="157" t="s">
        <v>4565</v>
      </c>
      <c r="BP287" s="548" t="s">
        <v>4567</v>
      </c>
      <c r="BQ287" s="157" t="s">
        <v>4563</v>
      </c>
      <c r="BR287" s="157"/>
    </row>
    <row r="288" spans="1:70" x14ac:dyDescent="0.25">
      <c r="A288" s="19" t="s">
        <v>3686</v>
      </c>
      <c r="B288" s="37" t="s">
        <v>5403</v>
      </c>
      <c r="C288" s="90">
        <v>45449.726990740739</v>
      </c>
      <c r="D288" s="114">
        <v>45449.476990740739</v>
      </c>
      <c r="E288" s="38">
        <v>45449</v>
      </c>
      <c r="F288" s="91">
        <v>2024</v>
      </c>
      <c r="G288" s="93">
        <v>6</v>
      </c>
      <c r="H288" s="37" t="s">
        <v>5389</v>
      </c>
      <c r="I288" s="37"/>
      <c r="J288" s="103">
        <v>-91.577038400000006</v>
      </c>
      <c r="K288" s="40">
        <v>42.818039400000004</v>
      </c>
      <c r="L288" s="74"/>
      <c r="M288" s="272" t="s">
        <v>5404</v>
      </c>
      <c r="N288" s="74">
        <v>1</v>
      </c>
      <c r="O288" s="94"/>
      <c r="P288" s="118">
        <v>1</v>
      </c>
      <c r="Q288" s="510">
        <v>180</v>
      </c>
      <c r="R288" s="513">
        <v>180</v>
      </c>
      <c r="S288" s="41"/>
      <c r="T288" s="40"/>
      <c r="U288" s="40">
        <v>7</v>
      </c>
      <c r="V288" s="119">
        <v>1</v>
      </c>
      <c r="W288" s="40">
        <v>0</v>
      </c>
      <c r="X288" s="119">
        <v>1</v>
      </c>
      <c r="Y288" s="40">
        <v>64</v>
      </c>
      <c r="Z288" s="119">
        <v>1</v>
      </c>
      <c r="AA288" s="368">
        <v>0</v>
      </c>
      <c r="AB288" s="535">
        <v>5</v>
      </c>
      <c r="AC288" s="39" t="s">
        <v>160</v>
      </c>
      <c r="AD288" s="75" t="s">
        <v>551</v>
      </c>
      <c r="AE288" s="95">
        <v>0</v>
      </c>
      <c r="AF288" s="75">
        <v>0</v>
      </c>
      <c r="AG288" s="75">
        <v>0</v>
      </c>
      <c r="AH288" s="75">
        <v>0</v>
      </c>
      <c r="AI288" s="75">
        <v>1</v>
      </c>
      <c r="AJ288" s="75">
        <v>0</v>
      </c>
      <c r="AK288" s="75">
        <v>0</v>
      </c>
      <c r="AL288" s="95">
        <v>0</v>
      </c>
      <c r="AM288" s="92">
        <v>0</v>
      </c>
      <c r="AN288" s="79" t="s">
        <v>81</v>
      </c>
      <c r="AO288" s="75">
        <v>1</v>
      </c>
      <c r="AP288" s="75" t="s">
        <v>83</v>
      </c>
      <c r="AQ288" s="122">
        <v>1</v>
      </c>
      <c r="AR288" s="515" t="s">
        <v>10</v>
      </c>
      <c r="AS288" s="95">
        <v>0</v>
      </c>
      <c r="AT288" s="75">
        <v>0</v>
      </c>
      <c r="AU288" s="75">
        <v>0</v>
      </c>
      <c r="AV288" s="75">
        <v>0</v>
      </c>
      <c r="AW288" s="123">
        <v>0</v>
      </c>
      <c r="AX288" s="516" t="s">
        <v>5402</v>
      </c>
      <c r="AY288" s="75">
        <v>1</v>
      </c>
      <c r="AZ288" s="77" t="s">
        <v>131</v>
      </c>
      <c r="BA288" s="78" t="s">
        <v>131</v>
      </c>
      <c r="BB288" s="78" t="s">
        <v>131</v>
      </c>
      <c r="BC288" s="78" t="s">
        <v>131</v>
      </c>
      <c r="BD288" s="78" t="s">
        <v>132</v>
      </c>
      <c r="BE288" s="78" t="s">
        <v>131</v>
      </c>
      <c r="BF288" s="78" t="s">
        <v>131</v>
      </c>
      <c r="BG288" s="78" t="s">
        <v>131</v>
      </c>
      <c r="BH288" s="75" t="s">
        <v>5970</v>
      </c>
      <c r="BI288" s="295" t="s">
        <v>2284</v>
      </c>
      <c r="BJ288" s="546">
        <v>1</v>
      </c>
      <c r="BK288" s="294" t="s">
        <v>16</v>
      </c>
      <c r="BL288" s="157" t="s">
        <v>16</v>
      </c>
      <c r="BM288" s="548" t="s">
        <v>1347</v>
      </c>
      <c r="BN288" s="548" t="s">
        <v>1344</v>
      </c>
      <c r="BO288" s="157" t="s">
        <v>4565</v>
      </c>
      <c r="BP288" s="548" t="s">
        <v>4567</v>
      </c>
      <c r="BQ288" s="157" t="s">
        <v>4563</v>
      </c>
      <c r="BR288" s="157"/>
    </row>
    <row r="289" spans="1:70" x14ac:dyDescent="0.25">
      <c r="A289" s="19" t="s">
        <v>3686</v>
      </c>
      <c r="B289" s="37" t="s">
        <v>5405</v>
      </c>
      <c r="C289" s="90">
        <v>45449.712222222224</v>
      </c>
      <c r="D289" s="114">
        <v>45449.462222222224</v>
      </c>
      <c r="E289" s="38">
        <v>45449</v>
      </c>
      <c r="F289" s="91">
        <v>2024</v>
      </c>
      <c r="G289" s="93">
        <v>6</v>
      </c>
      <c r="H289" s="37" t="s">
        <v>5389</v>
      </c>
      <c r="I289" s="37"/>
      <c r="J289" s="103">
        <v>-91.557055399999996</v>
      </c>
      <c r="K289" s="40">
        <v>42.792573599999997</v>
      </c>
      <c r="L289" s="74"/>
      <c r="M289" s="272" t="s">
        <v>5406</v>
      </c>
      <c r="N289" s="74">
        <v>1</v>
      </c>
      <c r="O289" s="94"/>
      <c r="P289" s="118">
        <v>1</v>
      </c>
      <c r="Q289" s="510">
        <v>40</v>
      </c>
      <c r="R289" s="513">
        <v>0</v>
      </c>
      <c r="S289" s="41"/>
      <c r="T289" s="40"/>
      <c r="U289" s="40">
        <v>7.5</v>
      </c>
      <c r="V289" s="119">
        <v>1</v>
      </c>
      <c r="W289" s="40">
        <v>100</v>
      </c>
      <c r="X289" s="119">
        <v>1</v>
      </c>
      <c r="Y289" s="40">
        <v>61</v>
      </c>
      <c r="Z289" s="119">
        <v>1</v>
      </c>
      <c r="AA289" s="368">
        <v>0</v>
      </c>
      <c r="AB289" s="535">
        <v>5</v>
      </c>
      <c r="AC289" s="39" t="s">
        <v>160</v>
      </c>
      <c r="AD289" s="75" t="s">
        <v>8</v>
      </c>
      <c r="AE289" s="95">
        <v>0</v>
      </c>
      <c r="AF289" s="75">
        <v>1</v>
      </c>
      <c r="AG289" s="75">
        <v>0</v>
      </c>
      <c r="AH289" s="75">
        <v>0</v>
      </c>
      <c r="AI289" s="75">
        <v>0</v>
      </c>
      <c r="AJ289" s="75">
        <v>0</v>
      </c>
      <c r="AK289" s="75">
        <v>0</v>
      </c>
      <c r="AL289" s="95">
        <v>0</v>
      </c>
      <c r="AM289" s="92">
        <v>0</v>
      </c>
      <c r="AN289" s="79" t="s">
        <v>81</v>
      </c>
      <c r="AO289" s="75">
        <v>1</v>
      </c>
      <c r="AP289" s="75" t="s">
        <v>84</v>
      </c>
      <c r="AQ289" s="122">
        <v>1</v>
      </c>
      <c r="AR289" s="515" t="s">
        <v>10</v>
      </c>
      <c r="AS289" s="95">
        <v>0</v>
      </c>
      <c r="AT289" s="75">
        <v>0</v>
      </c>
      <c r="AU289" s="75">
        <v>0</v>
      </c>
      <c r="AV289" s="75">
        <v>0</v>
      </c>
      <c r="AW289" s="123">
        <v>0</v>
      </c>
      <c r="AX289" s="516" t="s">
        <v>5402</v>
      </c>
      <c r="AY289" s="75">
        <v>1</v>
      </c>
      <c r="AZ289" s="77" t="s">
        <v>131</v>
      </c>
      <c r="BA289" s="78" t="s">
        <v>132</v>
      </c>
      <c r="BB289" s="78" t="s">
        <v>131</v>
      </c>
      <c r="BC289" s="78" t="s">
        <v>131</v>
      </c>
      <c r="BD289" s="78" t="s">
        <v>131</v>
      </c>
      <c r="BE289" s="78" t="s">
        <v>131</v>
      </c>
      <c r="BF289" s="78" t="s">
        <v>131</v>
      </c>
      <c r="BG289" s="78" t="s">
        <v>131</v>
      </c>
      <c r="BH289" s="75" t="s">
        <v>5970</v>
      </c>
      <c r="BI289" s="295" t="s">
        <v>16</v>
      </c>
      <c r="BJ289" s="546">
        <v>1</v>
      </c>
      <c r="BK289" s="294" t="s">
        <v>16</v>
      </c>
      <c r="BL289" s="157" t="s">
        <v>16</v>
      </c>
      <c r="BM289" s="548" t="s">
        <v>1347</v>
      </c>
      <c r="BN289" s="548" t="s">
        <v>1344</v>
      </c>
      <c r="BO289" s="157" t="s">
        <v>4565</v>
      </c>
      <c r="BP289" s="548" t="s">
        <v>4567</v>
      </c>
      <c r="BQ289" s="157" t="s">
        <v>4563</v>
      </c>
      <c r="BR289" s="157"/>
    </row>
    <row r="290" spans="1:70" x14ac:dyDescent="0.25">
      <c r="A290" s="19" t="s">
        <v>3686</v>
      </c>
      <c r="B290" s="37" t="s">
        <v>5407</v>
      </c>
      <c r="C290" s="90">
        <v>45449.696331018517</v>
      </c>
      <c r="D290" s="114">
        <v>45449.446331018517</v>
      </c>
      <c r="E290" s="38">
        <v>45449</v>
      </c>
      <c r="F290" s="91">
        <v>2024</v>
      </c>
      <c r="G290" s="93">
        <v>6</v>
      </c>
      <c r="H290" s="37" t="s">
        <v>5389</v>
      </c>
      <c r="I290" s="37"/>
      <c r="J290" s="103">
        <v>-91.590878599999996</v>
      </c>
      <c r="K290" s="40">
        <v>42.780273899999997</v>
      </c>
      <c r="L290" s="74"/>
      <c r="M290" s="272" t="s">
        <v>5408</v>
      </c>
      <c r="N290" s="74">
        <v>1</v>
      </c>
      <c r="O290" s="94"/>
      <c r="P290" s="118">
        <v>1</v>
      </c>
      <c r="Q290" s="510">
        <v>240</v>
      </c>
      <c r="R290" s="513">
        <v>180</v>
      </c>
      <c r="S290" s="41"/>
      <c r="T290" s="40"/>
      <c r="U290" s="40">
        <v>7.5</v>
      </c>
      <c r="V290" s="119">
        <v>1</v>
      </c>
      <c r="W290" s="40">
        <v>200</v>
      </c>
      <c r="X290" s="119">
        <v>1</v>
      </c>
      <c r="Y290" s="40">
        <v>61</v>
      </c>
      <c r="Z290" s="119">
        <v>1</v>
      </c>
      <c r="AA290" s="368">
        <v>0</v>
      </c>
      <c r="AB290" s="535">
        <v>2</v>
      </c>
      <c r="AC290" s="39" t="s">
        <v>160</v>
      </c>
      <c r="AD290" s="75" t="s">
        <v>3015</v>
      </c>
      <c r="AE290" s="95">
        <v>1</v>
      </c>
      <c r="AF290" s="75">
        <v>1</v>
      </c>
      <c r="AG290" s="75">
        <v>0</v>
      </c>
      <c r="AH290" s="75">
        <v>0</v>
      </c>
      <c r="AI290" s="75">
        <v>1</v>
      </c>
      <c r="AJ290" s="75">
        <v>0</v>
      </c>
      <c r="AK290" s="75">
        <v>0</v>
      </c>
      <c r="AL290" s="95">
        <v>0</v>
      </c>
      <c r="AM290" s="92">
        <v>0</v>
      </c>
      <c r="AN290" s="79" t="s">
        <v>81</v>
      </c>
      <c r="AO290" s="75">
        <v>1</v>
      </c>
      <c r="AP290" s="75" t="s">
        <v>83</v>
      </c>
      <c r="AQ290" s="122">
        <v>1</v>
      </c>
      <c r="AR290" s="515" t="s">
        <v>10</v>
      </c>
      <c r="AS290" s="95">
        <v>0</v>
      </c>
      <c r="AT290" s="75">
        <v>0</v>
      </c>
      <c r="AU290" s="75">
        <v>0</v>
      </c>
      <c r="AV290" s="75">
        <v>0</v>
      </c>
      <c r="AW290" s="123">
        <v>0</v>
      </c>
      <c r="AX290" s="516" t="s">
        <v>5402</v>
      </c>
      <c r="AY290" s="75">
        <v>1</v>
      </c>
      <c r="AZ290" s="77" t="s">
        <v>132</v>
      </c>
      <c r="BA290" s="78" t="s">
        <v>132</v>
      </c>
      <c r="BB290" s="78" t="s">
        <v>131</v>
      </c>
      <c r="BC290" s="78" t="s">
        <v>131</v>
      </c>
      <c r="BD290" s="78" t="s">
        <v>132</v>
      </c>
      <c r="BE290" s="78" t="s">
        <v>131</v>
      </c>
      <c r="BF290" s="78" t="s">
        <v>131</v>
      </c>
      <c r="BG290" s="78" t="s">
        <v>131</v>
      </c>
      <c r="BH290" s="75" t="s">
        <v>5970</v>
      </c>
      <c r="BI290" s="295" t="s">
        <v>4034</v>
      </c>
      <c r="BJ290" s="546" t="s">
        <v>16</v>
      </c>
      <c r="BK290" s="294" t="s">
        <v>16</v>
      </c>
      <c r="BL290" s="157" t="s">
        <v>16</v>
      </c>
      <c r="BM290" s="548" t="s">
        <v>1348</v>
      </c>
      <c r="BN290" s="548" t="s">
        <v>1344</v>
      </c>
      <c r="BO290" s="157" t="s">
        <v>4565</v>
      </c>
      <c r="BP290" s="548" t="s">
        <v>4567</v>
      </c>
      <c r="BQ290" s="157" t="s">
        <v>4563</v>
      </c>
      <c r="BR290" s="157"/>
    </row>
    <row r="291" spans="1:70" x14ac:dyDescent="0.25">
      <c r="A291" s="19" t="s">
        <v>3686</v>
      </c>
      <c r="B291" s="37" t="s">
        <v>5409</v>
      </c>
      <c r="C291" s="90">
        <v>45449.680300925924</v>
      </c>
      <c r="D291" s="114">
        <v>45449.430300925924</v>
      </c>
      <c r="E291" s="38">
        <v>45449</v>
      </c>
      <c r="F291" s="91">
        <v>2024</v>
      </c>
      <c r="G291" s="93">
        <v>6</v>
      </c>
      <c r="H291" s="37" t="s">
        <v>5389</v>
      </c>
      <c r="I291" s="37"/>
      <c r="J291" s="103">
        <v>-91.700803500000006</v>
      </c>
      <c r="K291" s="40">
        <v>42.767247699999999</v>
      </c>
      <c r="L291" s="74"/>
      <c r="M291" s="272" t="s">
        <v>5410</v>
      </c>
      <c r="N291" s="74">
        <v>1</v>
      </c>
      <c r="O291" s="94"/>
      <c r="P291" s="118">
        <v>1</v>
      </c>
      <c r="Q291" s="510">
        <v>80</v>
      </c>
      <c r="R291" s="513">
        <v>120</v>
      </c>
      <c r="S291" s="41"/>
      <c r="T291" s="40"/>
      <c r="U291" s="40">
        <v>7.5</v>
      </c>
      <c r="V291" s="119">
        <v>1</v>
      </c>
      <c r="W291" s="40">
        <v>0</v>
      </c>
      <c r="X291" s="119">
        <v>1</v>
      </c>
      <c r="Y291" s="40">
        <v>63</v>
      </c>
      <c r="Z291" s="119">
        <v>1</v>
      </c>
      <c r="AA291" s="368">
        <v>0</v>
      </c>
      <c r="AB291" s="535">
        <v>20</v>
      </c>
      <c r="AC291" s="39" t="s">
        <v>160</v>
      </c>
      <c r="AD291" s="75" t="s">
        <v>3015</v>
      </c>
      <c r="AE291" s="95">
        <v>1</v>
      </c>
      <c r="AF291" s="75">
        <v>1</v>
      </c>
      <c r="AG291" s="75">
        <v>0</v>
      </c>
      <c r="AH291" s="75">
        <v>0</v>
      </c>
      <c r="AI291" s="75">
        <v>1</v>
      </c>
      <c r="AJ291" s="75">
        <v>0</v>
      </c>
      <c r="AK291" s="75">
        <v>0</v>
      </c>
      <c r="AL291" s="95">
        <v>0</v>
      </c>
      <c r="AM291" s="92">
        <v>0</v>
      </c>
      <c r="AN291" s="79" t="s">
        <v>81</v>
      </c>
      <c r="AO291" s="75">
        <v>1</v>
      </c>
      <c r="AP291" s="75" t="s">
        <v>83</v>
      </c>
      <c r="AQ291" s="122">
        <v>1</v>
      </c>
      <c r="AR291" s="515" t="s">
        <v>10</v>
      </c>
      <c r="AS291" s="95">
        <v>0</v>
      </c>
      <c r="AT291" s="75">
        <v>0</v>
      </c>
      <c r="AU291" s="75">
        <v>0</v>
      </c>
      <c r="AV291" s="75">
        <v>0</v>
      </c>
      <c r="AW291" s="123">
        <v>0</v>
      </c>
      <c r="AX291" s="516" t="s">
        <v>5402</v>
      </c>
      <c r="AY291" s="75">
        <v>1</v>
      </c>
      <c r="AZ291" s="77" t="s">
        <v>132</v>
      </c>
      <c r="BA291" s="78" t="s">
        <v>132</v>
      </c>
      <c r="BB291" s="78" t="s">
        <v>131</v>
      </c>
      <c r="BC291" s="78" t="s">
        <v>131</v>
      </c>
      <c r="BD291" s="78" t="s">
        <v>132</v>
      </c>
      <c r="BE291" s="78" t="s">
        <v>131</v>
      </c>
      <c r="BF291" s="78" t="s">
        <v>131</v>
      </c>
      <c r="BG291" s="78" t="s">
        <v>131</v>
      </c>
      <c r="BH291" s="75" t="s">
        <v>5970</v>
      </c>
      <c r="BI291" s="295" t="s">
        <v>2298</v>
      </c>
      <c r="BJ291" s="546" t="s">
        <v>16</v>
      </c>
      <c r="BK291" s="294" t="s">
        <v>16</v>
      </c>
      <c r="BL291" s="157" t="s">
        <v>16</v>
      </c>
      <c r="BM291" s="548" t="s">
        <v>1348</v>
      </c>
      <c r="BN291" s="548" t="s">
        <v>1344</v>
      </c>
      <c r="BO291" s="157" t="s">
        <v>4569</v>
      </c>
      <c r="BP291" s="548" t="s">
        <v>2299</v>
      </c>
      <c r="BQ291" s="157" t="s">
        <v>4563</v>
      </c>
      <c r="BR291" s="157"/>
    </row>
    <row r="292" spans="1:70" x14ac:dyDescent="0.25">
      <c r="A292" s="19" t="s">
        <v>3686</v>
      </c>
      <c r="B292" s="37" t="s">
        <v>5411</v>
      </c>
      <c r="C292" s="90">
        <v>45449.656747685185</v>
      </c>
      <c r="D292" s="114">
        <v>45449.406747685185</v>
      </c>
      <c r="E292" s="38">
        <v>45449</v>
      </c>
      <c r="F292" s="91">
        <v>2024</v>
      </c>
      <c r="G292" s="93">
        <v>6</v>
      </c>
      <c r="H292" s="37" t="s">
        <v>5389</v>
      </c>
      <c r="I292" s="37"/>
      <c r="J292" s="103">
        <v>-91.685995599999998</v>
      </c>
      <c r="K292" s="40">
        <v>42.805166300000003</v>
      </c>
      <c r="L292" s="74"/>
      <c r="M292" s="272" t="s">
        <v>5412</v>
      </c>
      <c r="N292" s="74">
        <v>1</v>
      </c>
      <c r="O292" s="94"/>
      <c r="P292" s="118">
        <v>1</v>
      </c>
      <c r="Q292" s="510">
        <v>80</v>
      </c>
      <c r="R292" s="513">
        <v>180</v>
      </c>
      <c r="S292" s="41"/>
      <c r="T292" s="40"/>
      <c r="U292" s="40">
        <v>7.5</v>
      </c>
      <c r="V292" s="119">
        <v>0</v>
      </c>
      <c r="W292" s="40"/>
      <c r="X292" s="119">
        <v>1</v>
      </c>
      <c r="Y292" s="40">
        <v>63</v>
      </c>
      <c r="Z292" s="119">
        <v>1</v>
      </c>
      <c r="AA292" s="368">
        <v>0</v>
      </c>
      <c r="AB292" s="535">
        <v>20</v>
      </c>
      <c r="AC292" s="39" t="s">
        <v>160</v>
      </c>
      <c r="AD292" s="75" t="s">
        <v>8</v>
      </c>
      <c r="AE292" s="95">
        <v>0</v>
      </c>
      <c r="AF292" s="75">
        <v>1</v>
      </c>
      <c r="AG292" s="75">
        <v>0</v>
      </c>
      <c r="AH292" s="75">
        <v>0</v>
      </c>
      <c r="AI292" s="75">
        <v>0</v>
      </c>
      <c r="AJ292" s="75">
        <v>0</v>
      </c>
      <c r="AK292" s="75">
        <v>0</v>
      </c>
      <c r="AL292" s="95">
        <v>0</v>
      </c>
      <c r="AM292" s="92">
        <v>0</v>
      </c>
      <c r="AN292" s="79" t="s">
        <v>81</v>
      </c>
      <c r="AO292" s="75">
        <v>1</v>
      </c>
      <c r="AP292" s="75" t="s">
        <v>83</v>
      </c>
      <c r="AQ292" s="122">
        <v>1</v>
      </c>
      <c r="AR292" s="515" t="s">
        <v>10</v>
      </c>
      <c r="AS292" s="95">
        <v>0</v>
      </c>
      <c r="AT292" s="75">
        <v>0</v>
      </c>
      <c r="AU292" s="75">
        <v>0</v>
      </c>
      <c r="AV292" s="75">
        <v>0</v>
      </c>
      <c r="AW292" s="123">
        <v>0</v>
      </c>
      <c r="AX292" s="516" t="s">
        <v>5413</v>
      </c>
      <c r="AY292" s="75">
        <v>1</v>
      </c>
      <c r="AZ292" s="77" t="s">
        <v>131</v>
      </c>
      <c r="BA292" s="78" t="s">
        <v>132</v>
      </c>
      <c r="BB292" s="78" t="s">
        <v>131</v>
      </c>
      <c r="BC292" s="78" t="s">
        <v>131</v>
      </c>
      <c r="BD292" s="78" t="s">
        <v>131</v>
      </c>
      <c r="BE292" s="78" t="s">
        <v>131</v>
      </c>
      <c r="BF292" s="78" t="s">
        <v>131</v>
      </c>
      <c r="BG292" s="78" t="s">
        <v>131</v>
      </c>
      <c r="BH292" s="75" t="s">
        <v>5970</v>
      </c>
      <c r="BI292" s="295" t="s">
        <v>2260</v>
      </c>
      <c r="BJ292" s="546">
        <v>1</v>
      </c>
      <c r="BK292" s="294" t="s">
        <v>16</v>
      </c>
      <c r="BL292" s="157" t="s">
        <v>16</v>
      </c>
      <c r="BM292" s="548" t="s">
        <v>1348</v>
      </c>
      <c r="BN292" s="548" t="s">
        <v>1344</v>
      </c>
      <c r="BO292" s="157" t="s">
        <v>4569</v>
      </c>
      <c r="BP292" s="548" t="s">
        <v>2299</v>
      </c>
      <c r="BQ292" s="157" t="s">
        <v>4563</v>
      </c>
      <c r="BR292" s="157"/>
    </row>
    <row r="293" spans="1:70" x14ac:dyDescent="0.25">
      <c r="A293" s="19" t="s">
        <v>3686</v>
      </c>
      <c r="B293" s="37" t="s">
        <v>5414</v>
      </c>
      <c r="C293" s="90">
        <v>45449.639594907407</v>
      </c>
      <c r="D293" s="114">
        <v>45449.389594907407</v>
      </c>
      <c r="E293" s="38">
        <v>45449</v>
      </c>
      <c r="F293" s="91">
        <v>2024</v>
      </c>
      <c r="G293" s="93">
        <v>6</v>
      </c>
      <c r="H293" s="37" t="s">
        <v>5389</v>
      </c>
      <c r="I293" s="37" t="s">
        <v>16</v>
      </c>
      <c r="J293" s="103">
        <v>-91.688460199999994</v>
      </c>
      <c r="K293" s="40">
        <v>42.803147899999999</v>
      </c>
      <c r="L293" s="74"/>
      <c r="M293" s="272" t="s">
        <v>5415</v>
      </c>
      <c r="N293" s="74">
        <v>1</v>
      </c>
      <c r="O293" s="94"/>
      <c r="P293" s="118">
        <v>1</v>
      </c>
      <c r="Q293" s="510">
        <v>40</v>
      </c>
      <c r="R293" s="513">
        <v>0</v>
      </c>
      <c r="S293" s="41"/>
      <c r="T293" s="40"/>
      <c r="U293" s="40">
        <v>7.5</v>
      </c>
      <c r="V293" s="119">
        <v>1</v>
      </c>
      <c r="W293" s="40">
        <v>0</v>
      </c>
      <c r="X293" s="119">
        <v>1</v>
      </c>
      <c r="Y293" s="40">
        <v>63</v>
      </c>
      <c r="Z293" s="119">
        <v>1</v>
      </c>
      <c r="AA293" s="368">
        <v>0</v>
      </c>
      <c r="AB293" s="535">
        <v>10</v>
      </c>
      <c r="AC293" s="39" t="s">
        <v>160</v>
      </c>
      <c r="AD293" s="75" t="s">
        <v>439</v>
      </c>
      <c r="AE293" s="95">
        <v>0</v>
      </c>
      <c r="AF293" s="75">
        <v>1</v>
      </c>
      <c r="AG293" s="75">
        <v>0</v>
      </c>
      <c r="AH293" s="75">
        <v>0</v>
      </c>
      <c r="AI293" s="75">
        <v>1</v>
      </c>
      <c r="AJ293" s="75">
        <v>0</v>
      </c>
      <c r="AK293" s="75">
        <v>0</v>
      </c>
      <c r="AL293" s="95">
        <v>0</v>
      </c>
      <c r="AM293" s="92">
        <v>0</v>
      </c>
      <c r="AN293" s="79" t="s">
        <v>81</v>
      </c>
      <c r="AO293" s="75">
        <v>1</v>
      </c>
      <c r="AP293" s="75" t="s">
        <v>83</v>
      </c>
      <c r="AQ293" s="122">
        <v>1</v>
      </c>
      <c r="AR293" s="515" t="s">
        <v>10</v>
      </c>
      <c r="AS293" s="95">
        <v>0</v>
      </c>
      <c r="AT293" s="75">
        <v>0</v>
      </c>
      <c r="AU293" s="75">
        <v>0</v>
      </c>
      <c r="AV293" s="75">
        <v>0</v>
      </c>
      <c r="AW293" s="123">
        <v>0</v>
      </c>
      <c r="AX293" s="516" t="s">
        <v>5416</v>
      </c>
      <c r="AY293" s="75">
        <v>1</v>
      </c>
      <c r="AZ293" s="77" t="s">
        <v>131</v>
      </c>
      <c r="BA293" s="78" t="s">
        <v>132</v>
      </c>
      <c r="BB293" s="78" t="s">
        <v>131</v>
      </c>
      <c r="BC293" s="78" t="s">
        <v>131</v>
      </c>
      <c r="BD293" s="78" t="s">
        <v>132</v>
      </c>
      <c r="BE293" s="78" t="s">
        <v>131</v>
      </c>
      <c r="BF293" s="78" t="s">
        <v>131</v>
      </c>
      <c r="BG293" s="78" t="s">
        <v>131</v>
      </c>
      <c r="BH293" s="75" t="s">
        <v>5970</v>
      </c>
      <c r="BI293" s="295" t="s">
        <v>2260</v>
      </c>
      <c r="BJ293" s="546">
        <v>1</v>
      </c>
      <c r="BK293" s="294" t="s">
        <v>16</v>
      </c>
      <c r="BL293" s="157" t="s">
        <v>16</v>
      </c>
      <c r="BM293" s="548" t="s">
        <v>1348</v>
      </c>
      <c r="BN293" s="548" t="s">
        <v>1344</v>
      </c>
      <c r="BO293" s="157" t="s">
        <v>4569</v>
      </c>
      <c r="BP293" s="548" t="s">
        <v>2299</v>
      </c>
      <c r="BQ293" s="157" t="s">
        <v>4563</v>
      </c>
      <c r="BR293" s="157"/>
    </row>
    <row r="294" spans="1:70" x14ac:dyDescent="0.25">
      <c r="A294" s="19" t="s">
        <v>3686</v>
      </c>
      <c r="B294" s="37" t="s">
        <v>5417</v>
      </c>
      <c r="C294" s="90">
        <v>45448.841770833336</v>
      </c>
      <c r="D294" s="114">
        <v>45448.591770833336</v>
      </c>
      <c r="E294" s="38">
        <v>45448</v>
      </c>
      <c r="F294" s="91">
        <v>2024</v>
      </c>
      <c r="G294" s="93">
        <v>6</v>
      </c>
      <c r="H294" s="37" t="s">
        <v>5389</v>
      </c>
      <c r="I294" s="37"/>
      <c r="J294" s="103">
        <v>-91.706748899999994</v>
      </c>
      <c r="K294" s="40">
        <v>42.744865699999998</v>
      </c>
      <c r="L294" s="74"/>
      <c r="M294" s="272" t="s">
        <v>5418</v>
      </c>
      <c r="N294" s="74">
        <v>1</v>
      </c>
      <c r="O294" s="94"/>
      <c r="P294" s="118">
        <v>1</v>
      </c>
      <c r="Q294" s="510">
        <v>80</v>
      </c>
      <c r="R294" s="513">
        <v>0</v>
      </c>
      <c r="S294" s="41"/>
      <c r="T294" s="40"/>
      <c r="U294" s="40">
        <v>7</v>
      </c>
      <c r="V294" s="119">
        <v>1</v>
      </c>
      <c r="W294" s="40">
        <v>0</v>
      </c>
      <c r="X294" s="119">
        <v>1</v>
      </c>
      <c r="Y294" s="40">
        <v>64</v>
      </c>
      <c r="Z294" s="119">
        <v>1</v>
      </c>
      <c r="AA294" s="368">
        <v>0</v>
      </c>
      <c r="AB294" s="535">
        <v>20</v>
      </c>
      <c r="AC294" s="39" t="s">
        <v>160</v>
      </c>
      <c r="AD294" s="75" t="s">
        <v>1622</v>
      </c>
      <c r="AE294" s="95">
        <v>1</v>
      </c>
      <c r="AF294" s="75">
        <v>1</v>
      </c>
      <c r="AG294" s="75">
        <v>0</v>
      </c>
      <c r="AH294" s="75">
        <v>0</v>
      </c>
      <c r="AI294" s="75">
        <v>0</v>
      </c>
      <c r="AJ294" s="75">
        <v>0</v>
      </c>
      <c r="AK294" s="75">
        <v>0</v>
      </c>
      <c r="AL294" s="95">
        <v>0</v>
      </c>
      <c r="AM294" s="92">
        <v>0</v>
      </c>
      <c r="AN294" s="79" t="s">
        <v>81</v>
      </c>
      <c r="AO294" s="75">
        <v>1</v>
      </c>
      <c r="AP294" s="75"/>
      <c r="AQ294" s="122">
        <v>0</v>
      </c>
      <c r="AR294" s="515" t="s">
        <v>16</v>
      </c>
      <c r="AS294" s="95">
        <v>-1</v>
      </c>
      <c r="AT294" s="75">
        <v>-1</v>
      </c>
      <c r="AU294" s="75">
        <v>-1</v>
      </c>
      <c r="AV294" s="75">
        <v>-1</v>
      </c>
      <c r="AW294" s="123">
        <v>1</v>
      </c>
      <c r="AX294" s="516" t="s">
        <v>5419</v>
      </c>
      <c r="AY294" s="75">
        <v>1</v>
      </c>
      <c r="AZ294" s="77" t="s">
        <v>132</v>
      </c>
      <c r="BA294" s="78" t="s">
        <v>132</v>
      </c>
      <c r="BB294" s="78" t="s">
        <v>131</v>
      </c>
      <c r="BC294" s="78" t="s">
        <v>131</v>
      </c>
      <c r="BD294" s="78" t="s">
        <v>131</v>
      </c>
      <c r="BE294" s="78" t="s">
        <v>131</v>
      </c>
      <c r="BF294" s="78" t="s">
        <v>131</v>
      </c>
      <c r="BG294" s="78" t="s">
        <v>131</v>
      </c>
      <c r="BH294" s="75" t="s">
        <v>5970</v>
      </c>
      <c r="BI294" s="295" t="s">
        <v>2299</v>
      </c>
      <c r="BJ294" s="546" t="s">
        <v>16</v>
      </c>
      <c r="BK294" s="294" t="s">
        <v>16</v>
      </c>
      <c r="BL294" s="157" t="s">
        <v>16</v>
      </c>
      <c r="BM294" s="548" t="s">
        <v>1348</v>
      </c>
      <c r="BN294" s="548" t="s">
        <v>1344</v>
      </c>
      <c r="BO294" s="157" t="s">
        <v>4569</v>
      </c>
      <c r="BP294" s="548" t="s">
        <v>2299</v>
      </c>
      <c r="BQ294" s="157" t="s">
        <v>4563</v>
      </c>
      <c r="BR294" s="157"/>
    </row>
    <row r="295" spans="1:70" x14ac:dyDescent="0.25">
      <c r="A295" s="19" t="s">
        <v>3686</v>
      </c>
      <c r="B295" s="37" t="s">
        <v>5420</v>
      </c>
      <c r="C295" s="90">
        <v>45448.837523148148</v>
      </c>
      <c r="D295" s="114">
        <v>45448.587523148148</v>
      </c>
      <c r="E295" s="38">
        <v>45448</v>
      </c>
      <c r="F295" s="91">
        <v>2024</v>
      </c>
      <c r="G295" s="93">
        <v>6</v>
      </c>
      <c r="H295" s="37" t="s">
        <v>5389</v>
      </c>
      <c r="I295" s="37"/>
      <c r="J295" s="103">
        <v>-91.706941999999998</v>
      </c>
      <c r="K295" s="40">
        <v>42.744971999999997</v>
      </c>
      <c r="L295" s="74"/>
      <c r="M295" s="272" t="s">
        <v>5421</v>
      </c>
      <c r="N295" s="74">
        <v>1</v>
      </c>
      <c r="O295" s="94"/>
      <c r="P295" s="118">
        <v>1</v>
      </c>
      <c r="Q295" s="510">
        <v>40</v>
      </c>
      <c r="R295" s="513">
        <v>0</v>
      </c>
      <c r="S295" s="41"/>
      <c r="T295" s="40"/>
      <c r="U295" s="40">
        <v>7</v>
      </c>
      <c r="V295" s="119">
        <v>1</v>
      </c>
      <c r="W295" s="40">
        <v>100</v>
      </c>
      <c r="X295" s="119">
        <v>1</v>
      </c>
      <c r="Y295" s="40">
        <v>68</v>
      </c>
      <c r="Z295" s="119">
        <v>1</v>
      </c>
      <c r="AA295" s="368">
        <v>0</v>
      </c>
      <c r="AB295" s="535">
        <v>5</v>
      </c>
      <c r="AC295" s="39" t="s">
        <v>160</v>
      </c>
      <c r="AD295" s="75" t="s">
        <v>8</v>
      </c>
      <c r="AE295" s="95">
        <v>0</v>
      </c>
      <c r="AF295" s="75">
        <v>1</v>
      </c>
      <c r="AG295" s="75">
        <v>0</v>
      </c>
      <c r="AH295" s="75">
        <v>0</v>
      </c>
      <c r="AI295" s="75">
        <v>0</v>
      </c>
      <c r="AJ295" s="75">
        <v>0</v>
      </c>
      <c r="AK295" s="75">
        <v>0</v>
      </c>
      <c r="AL295" s="95">
        <v>0</v>
      </c>
      <c r="AM295" s="92">
        <v>0</v>
      </c>
      <c r="AN295" s="79" t="s">
        <v>81</v>
      </c>
      <c r="AO295" s="75">
        <v>1</v>
      </c>
      <c r="AP295" s="75" t="s">
        <v>84</v>
      </c>
      <c r="AQ295" s="122">
        <v>1</v>
      </c>
      <c r="AR295" s="515" t="s">
        <v>13</v>
      </c>
      <c r="AS295" s="95">
        <v>1</v>
      </c>
      <c r="AT295" s="75">
        <v>0</v>
      </c>
      <c r="AU295" s="75">
        <v>0</v>
      </c>
      <c r="AV295" s="75">
        <v>0</v>
      </c>
      <c r="AW295" s="123">
        <v>0</v>
      </c>
      <c r="AX295" s="516"/>
      <c r="AY295" s="75">
        <v>0</v>
      </c>
      <c r="AZ295" s="77" t="s">
        <v>131</v>
      </c>
      <c r="BA295" s="78" t="s">
        <v>132</v>
      </c>
      <c r="BB295" s="78" t="s">
        <v>131</v>
      </c>
      <c r="BC295" s="78" t="s">
        <v>131</v>
      </c>
      <c r="BD295" s="78" t="s">
        <v>131</v>
      </c>
      <c r="BE295" s="78" t="s">
        <v>131</v>
      </c>
      <c r="BF295" s="78" t="s">
        <v>131</v>
      </c>
      <c r="BG295" s="78" t="s">
        <v>131</v>
      </c>
      <c r="BH295" s="75" t="s">
        <v>5970</v>
      </c>
      <c r="BI295" s="295" t="s">
        <v>2299</v>
      </c>
      <c r="BJ295" s="546" t="s">
        <v>16</v>
      </c>
      <c r="BK295" s="294" t="s">
        <v>16</v>
      </c>
      <c r="BL295" s="157" t="s">
        <v>16</v>
      </c>
      <c r="BM295" s="548" t="s">
        <v>1348</v>
      </c>
      <c r="BN295" s="548" t="s">
        <v>1344</v>
      </c>
      <c r="BO295" s="157" t="s">
        <v>4569</v>
      </c>
      <c r="BP295" s="548" t="s">
        <v>2299</v>
      </c>
      <c r="BQ295" s="157" t="s">
        <v>4563</v>
      </c>
      <c r="BR295" s="157"/>
    </row>
    <row r="296" spans="1:70" x14ac:dyDescent="0.25">
      <c r="A296" s="19" t="s">
        <v>3686</v>
      </c>
      <c r="B296" s="37" t="s">
        <v>5422</v>
      </c>
      <c r="C296" s="90">
        <v>45448.811793981484</v>
      </c>
      <c r="D296" s="114">
        <v>45448.561793981484</v>
      </c>
      <c r="E296" s="38">
        <v>45448</v>
      </c>
      <c r="F296" s="91">
        <v>2024</v>
      </c>
      <c r="G296" s="93">
        <v>6</v>
      </c>
      <c r="H296" s="37" t="s">
        <v>5389</v>
      </c>
      <c r="I296" s="37"/>
      <c r="J296" s="103">
        <v>-91.666450600000005</v>
      </c>
      <c r="K296" s="40">
        <v>42.754166699999999</v>
      </c>
      <c r="L296" s="74"/>
      <c r="M296" s="272" t="s">
        <v>5423</v>
      </c>
      <c r="N296" s="74">
        <v>1</v>
      </c>
      <c r="O296" s="94"/>
      <c r="P296" s="118">
        <v>1</v>
      </c>
      <c r="Q296" s="510">
        <v>40</v>
      </c>
      <c r="R296" s="513">
        <v>120</v>
      </c>
      <c r="S296" s="41"/>
      <c r="T296" s="40"/>
      <c r="U296" s="40">
        <v>6</v>
      </c>
      <c r="V296" s="119">
        <v>1</v>
      </c>
      <c r="W296" s="40">
        <v>100</v>
      </c>
      <c r="X296" s="119">
        <v>1</v>
      </c>
      <c r="Y296" s="40">
        <v>64</v>
      </c>
      <c r="Z296" s="119">
        <v>1</v>
      </c>
      <c r="AA296" s="368">
        <v>0</v>
      </c>
      <c r="AB296" s="535">
        <v>20</v>
      </c>
      <c r="AC296" s="39" t="s">
        <v>160</v>
      </c>
      <c r="AD296" s="75" t="s">
        <v>10</v>
      </c>
      <c r="AE296" s="95">
        <v>0</v>
      </c>
      <c r="AF296" s="75">
        <v>0</v>
      </c>
      <c r="AG296" s="75">
        <v>0</v>
      </c>
      <c r="AH296" s="75">
        <v>0</v>
      </c>
      <c r="AI296" s="75">
        <v>0</v>
      </c>
      <c r="AJ296" s="75">
        <v>0</v>
      </c>
      <c r="AK296" s="75">
        <v>0</v>
      </c>
      <c r="AL296" s="95">
        <v>1</v>
      </c>
      <c r="AM296" s="92">
        <v>0</v>
      </c>
      <c r="AN296" s="79" t="s">
        <v>81</v>
      </c>
      <c r="AO296" s="75">
        <v>1</v>
      </c>
      <c r="AP296" s="75" t="s">
        <v>84</v>
      </c>
      <c r="AQ296" s="122">
        <v>1</v>
      </c>
      <c r="AR296" s="515" t="s">
        <v>13</v>
      </c>
      <c r="AS296" s="95">
        <v>1</v>
      </c>
      <c r="AT296" s="75">
        <v>0</v>
      </c>
      <c r="AU296" s="75">
        <v>0</v>
      </c>
      <c r="AV296" s="75">
        <v>0</v>
      </c>
      <c r="AW296" s="123">
        <v>0</v>
      </c>
      <c r="AX296" s="516" t="s">
        <v>5419</v>
      </c>
      <c r="AY296" s="75">
        <v>1</v>
      </c>
      <c r="AZ296" s="77" t="s">
        <v>131</v>
      </c>
      <c r="BA296" s="78" t="s">
        <v>131</v>
      </c>
      <c r="BB296" s="78" t="s">
        <v>131</v>
      </c>
      <c r="BC296" s="78" t="s">
        <v>131</v>
      </c>
      <c r="BD296" s="78" t="s">
        <v>131</v>
      </c>
      <c r="BE296" s="78" t="s">
        <v>131</v>
      </c>
      <c r="BF296" s="78" t="s">
        <v>131</v>
      </c>
      <c r="BG296" s="78" t="s">
        <v>132</v>
      </c>
      <c r="BH296" s="75" t="s">
        <v>5970</v>
      </c>
      <c r="BI296" s="295" t="s">
        <v>2299</v>
      </c>
      <c r="BJ296" s="546">
        <v>1</v>
      </c>
      <c r="BK296" s="294" t="s">
        <v>16</v>
      </c>
      <c r="BL296" s="157" t="s">
        <v>16</v>
      </c>
      <c r="BM296" s="548" t="s">
        <v>1348</v>
      </c>
      <c r="BN296" s="548" t="s">
        <v>1344</v>
      </c>
      <c r="BO296" s="157" t="s">
        <v>4569</v>
      </c>
      <c r="BP296" s="548" t="s">
        <v>2299</v>
      </c>
      <c r="BQ296" s="157" t="s">
        <v>4563</v>
      </c>
      <c r="BR296" s="157"/>
    </row>
    <row r="297" spans="1:70" x14ac:dyDescent="0.25">
      <c r="A297" s="19" t="s">
        <v>3686</v>
      </c>
      <c r="B297" s="37" t="s">
        <v>5424</v>
      </c>
      <c r="C297" s="90">
        <v>45448.790092592593</v>
      </c>
      <c r="D297" s="114">
        <v>45448.540092592593</v>
      </c>
      <c r="E297" s="38">
        <v>45448</v>
      </c>
      <c r="F297" s="91">
        <v>2024</v>
      </c>
      <c r="G297" s="93">
        <v>6</v>
      </c>
      <c r="H297" s="37" t="s">
        <v>5389</v>
      </c>
      <c r="I297" s="37"/>
      <c r="J297" s="103">
        <v>-91.561875299999997</v>
      </c>
      <c r="K297" s="40">
        <v>42.757368399999997</v>
      </c>
      <c r="L297" s="74"/>
      <c r="M297" s="272" t="s">
        <v>5425</v>
      </c>
      <c r="N297" s="74">
        <v>1</v>
      </c>
      <c r="O297" s="94"/>
      <c r="P297" s="118">
        <v>1</v>
      </c>
      <c r="Q297" s="510">
        <v>180</v>
      </c>
      <c r="R297" s="513">
        <v>120</v>
      </c>
      <c r="S297" s="41"/>
      <c r="T297" s="40"/>
      <c r="U297" s="40">
        <v>8</v>
      </c>
      <c r="V297" s="119">
        <v>1</v>
      </c>
      <c r="W297" s="40">
        <v>100</v>
      </c>
      <c r="X297" s="119">
        <v>1</v>
      </c>
      <c r="Y297" s="40">
        <v>63</v>
      </c>
      <c r="Z297" s="119">
        <v>1</v>
      </c>
      <c r="AA297" s="368">
        <v>0</v>
      </c>
      <c r="AB297" s="535">
        <v>5</v>
      </c>
      <c r="AC297" s="39" t="s">
        <v>160</v>
      </c>
      <c r="AD297" s="75" t="s">
        <v>8</v>
      </c>
      <c r="AE297" s="95">
        <v>0</v>
      </c>
      <c r="AF297" s="75">
        <v>1</v>
      </c>
      <c r="AG297" s="75">
        <v>0</v>
      </c>
      <c r="AH297" s="75">
        <v>0</v>
      </c>
      <c r="AI297" s="75">
        <v>0</v>
      </c>
      <c r="AJ297" s="75">
        <v>0</v>
      </c>
      <c r="AK297" s="75">
        <v>0</v>
      </c>
      <c r="AL297" s="95">
        <v>0</v>
      </c>
      <c r="AM297" s="92">
        <v>0</v>
      </c>
      <c r="AN297" s="79" t="s">
        <v>81</v>
      </c>
      <c r="AO297" s="75">
        <v>1</v>
      </c>
      <c r="AP297" s="75" t="s">
        <v>84</v>
      </c>
      <c r="AQ297" s="122">
        <v>1</v>
      </c>
      <c r="AR297" s="515" t="s">
        <v>13</v>
      </c>
      <c r="AS297" s="95">
        <v>1</v>
      </c>
      <c r="AT297" s="75">
        <v>0</v>
      </c>
      <c r="AU297" s="75">
        <v>0</v>
      </c>
      <c r="AV297" s="75">
        <v>0</v>
      </c>
      <c r="AW297" s="123">
        <v>0</v>
      </c>
      <c r="AX297" s="516" t="s">
        <v>5419</v>
      </c>
      <c r="AY297" s="75">
        <v>1</v>
      </c>
      <c r="AZ297" s="77" t="s">
        <v>131</v>
      </c>
      <c r="BA297" s="78" t="s">
        <v>132</v>
      </c>
      <c r="BB297" s="78" t="s">
        <v>131</v>
      </c>
      <c r="BC297" s="78" t="s">
        <v>131</v>
      </c>
      <c r="BD297" s="78" t="s">
        <v>131</v>
      </c>
      <c r="BE297" s="78" t="s">
        <v>131</v>
      </c>
      <c r="BF297" s="78" t="s">
        <v>131</v>
      </c>
      <c r="BG297" s="78" t="s">
        <v>131</v>
      </c>
      <c r="BH297" s="75" t="s">
        <v>5970</v>
      </c>
      <c r="BI297" s="295" t="s">
        <v>5943</v>
      </c>
      <c r="BJ297" s="546">
        <v>1</v>
      </c>
      <c r="BK297" s="294" t="s">
        <v>16</v>
      </c>
      <c r="BL297" s="157" t="s">
        <v>16</v>
      </c>
      <c r="BM297" s="548" t="s">
        <v>1347</v>
      </c>
      <c r="BN297" s="548" t="s">
        <v>1344</v>
      </c>
      <c r="BO297" s="157" t="s">
        <v>4568</v>
      </c>
      <c r="BP297" s="548" t="s">
        <v>4036</v>
      </c>
      <c r="BQ297" s="157" t="s">
        <v>4563</v>
      </c>
      <c r="BR297" s="157"/>
    </row>
    <row r="298" spans="1:70" x14ac:dyDescent="0.25">
      <c r="A298" s="19" t="s">
        <v>3686</v>
      </c>
      <c r="B298" s="37" t="s">
        <v>5426</v>
      </c>
      <c r="C298" s="90">
        <v>45448.765173611115</v>
      </c>
      <c r="D298" s="114">
        <v>45448.515173611115</v>
      </c>
      <c r="E298" s="38">
        <v>45448</v>
      </c>
      <c r="F298" s="91">
        <v>2024</v>
      </c>
      <c r="G298" s="93">
        <v>6</v>
      </c>
      <c r="H298" s="37" t="s">
        <v>5389</v>
      </c>
      <c r="I298" s="37"/>
      <c r="J298" s="103">
        <v>-91.497416200000004</v>
      </c>
      <c r="K298" s="40">
        <v>42.744628499999997</v>
      </c>
      <c r="L298" s="74"/>
      <c r="M298" s="272" t="s">
        <v>5427</v>
      </c>
      <c r="N298" s="74">
        <v>1</v>
      </c>
      <c r="O298" s="94"/>
      <c r="P298" s="118">
        <v>1</v>
      </c>
      <c r="Q298" s="510">
        <v>80</v>
      </c>
      <c r="R298" s="513">
        <v>0</v>
      </c>
      <c r="S298" s="41"/>
      <c r="T298" s="40"/>
      <c r="U298" s="40">
        <v>7.5</v>
      </c>
      <c r="V298" s="119">
        <v>1</v>
      </c>
      <c r="W298" s="40">
        <v>100</v>
      </c>
      <c r="X298" s="119">
        <v>1</v>
      </c>
      <c r="Y298" s="40">
        <v>67</v>
      </c>
      <c r="Z298" s="119">
        <v>1</v>
      </c>
      <c r="AA298" s="368">
        <v>0</v>
      </c>
      <c r="AB298" s="535">
        <v>5</v>
      </c>
      <c r="AC298" s="39" t="s">
        <v>160</v>
      </c>
      <c r="AD298" s="75" t="s">
        <v>8</v>
      </c>
      <c r="AE298" s="95">
        <v>0</v>
      </c>
      <c r="AF298" s="75">
        <v>1</v>
      </c>
      <c r="AG298" s="75">
        <v>0</v>
      </c>
      <c r="AH298" s="75">
        <v>0</v>
      </c>
      <c r="AI298" s="75">
        <v>0</v>
      </c>
      <c r="AJ298" s="75">
        <v>0</v>
      </c>
      <c r="AK298" s="75">
        <v>0</v>
      </c>
      <c r="AL298" s="95">
        <v>0</v>
      </c>
      <c r="AM298" s="92">
        <v>0</v>
      </c>
      <c r="AN298" s="79" t="s">
        <v>81</v>
      </c>
      <c r="AO298" s="75">
        <v>1</v>
      </c>
      <c r="AP298" s="75" t="s">
        <v>84</v>
      </c>
      <c r="AQ298" s="122">
        <v>1</v>
      </c>
      <c r="AR298" s="515" t="s">
        <v>13</v>
      </c>
      <c r="AS298" s="95">
        <v>1</v>
      </c>
      <c r="AT298" s="75">
        <v>0</v>
      </c>
      <c r="AU298" s="75">
        <v>0</v>
      </c>
      <c r="AV298" s="75">
        <v>0</v>
      </c>
      <c r="AW298" s="123">
        <v>0</v>
      </c>
      <c r="AX298" s="516" t="s">
        <v>5419</v>
      </c>
      <c r="AY298" s="75">
        <v>1</v>
      </c>
      <c r="AZ298" s="77" t="s">
        <v>131</v>
      </c>
      <c r="BA298" s="78" t="s">
        <v>132</v>
      </c>
      <c r="BB298" s="78" t="s">
        <v>131</v>
      </c>
      <c r="BC298" s="78" t="s">
        <v>131</v>
      </c>
      <c r="BD298" s="78" t="s">
        <v>131</v>
      </c>
      <c r="BE298" s="78" t="s">
        <v>131</v>
      </c>
      <c r="BF298" s="78" t="s">
        <v>131</v>
      </c>
      <c r="BG298" s="78" t="s">
        <v>131</v>
      </c>
      <c r="BH298" s="75" t="s">
        <v>5970</v>
      </c>
      <c r="BI298" s="295" t="s">
        <v>4035</v>
      </c>
      <c r="BJ298" s="546">
        <v>1</v>
      </c>
      <c r="BK298" s="294" t="s">
        <v>16</v>
      </c>
      <c r="BL298" s="157" t="s">
        <v>16</v>
      </c>
      <c r="BM298" s="548" t="s">
        <v>1347</v>
      </c>
      <c r="BN298" s="548" t="s">
        <v>1344</v>
      </c>
      <c r="BO298" s="157" t="s">
        <v>4593</v>
      </c>
      <c r="BP298" s="548" t="s">
        <v>4035</v>
      </c>
      <c r="BQ298" s="157" t="s">
        <v>4563</v>
      </c>
      <c r="BR298" s="157"/>
    </row>
    <row r="299" spans="1:70" x14ac:dyDescent="0.25">
      <c r="A299" s="19" t="s">
        <v>3686</v>
      </c>
      <c r="B299" s="37" t="s">
        <v>5428</v>
      </c>
      <c r="C299" s="90">
        <v>45448.751689814817</v>
      </c>
      <c r="D299" s="114">
        <v>45448.501689814817</v>
      </c>
      <c r="E299" s="38">
        <v>45448</v>
      </c>
      <c r="F299" s="91">
        <v>2024</v>
      </c>
      <c r="G299" s="93">
        <v>6</v>
      </c>
      <c r="H299" s="37" t="s">
        <v>5429</v>
      </c>
      <c r="I299" s="37"/>
      <c r="J299" s="103">
        <v>-91.772142516802447</v>
      </c>
      <c r="K299" s="40">
        <v>42.864771818820593</v>
      </c>
      <c r="L299" s="74"/>
      <c r="M299" s="272" t="s">
        <v>16</v>
      </c>
      <c r="N299" s="74">
        <v>0</v>
      </c>
      <c r="O299" s="94"/>
      <c r="P299" s="118">
        <v>1</v>
      </c>
      <c r="Q299" s="510">
        <v>80</v>
      </c>
      <c r="R299" s="513">
        <v>180</v>
      </c>
      <c r="S299" s="41"/>
      <c r="T299" s="40"/>
      <c r="U299" s="40">
        <v>9</v>
      </c>
      <c r="V299" s="119">
        <v>1</v>
      </c>
      <c r="W299" s="40">
        <v>0</v>
      </c>
      <c r="X299" s="119">
        <v>1</v>
      </c>
      <c r="Y299" s="40">
        <v>56</v>
      </c>
      <c r="Z299" s="119">
        <v>1</v>
      </c>
      <c r="AA299" s="368">
        <v>0</v>
      </c>
      <c r="AB299" s="535">
        <v>0</v>
      </c>
      <c r="AC299" s="39" t="s">
        <v>160</v>
      </c>
      <c r="AD299" s="75" t="s">
        <v>16</v>
      </c>
      <c r="AE299" s="95">
        <v>-1</v>
      </c>
      <c r="AF299" s="75">
        <v>-1</v>
      </c>
      <c r="AG299" s="75">
        <v>-1</v>
      </c>
      <c r="AH299" s="75">
        <v>-1</v>
      </c>
      <c r="AI299" s="75">
        <v>-1</v>
      </c>
      <c r="AJ299" s="75">
        <v>-1</v>
      </c>
      <c r="AK299" s="75">
        <v>-1</v>
      </c>
      <c r="AL299" s="95">
        <v>-1</v>
      </c>
      <c r="AM299" s="92">
        <v>1</v>
      </c>
      <c r="AN299" s="79"/>
      <c r="AO299" s="75">
        <v>0</v>
      </c>
      <c r="AP299" s="75"/>
      <c r="AQ299" s="122">
        <v>0</v>
      </c>
      <c r="AR299" s="515" t="s">
        <v>16</v>
      </c>
      <c r="AS299" s="95">
        <v>-1</v>
      </c>
      <c r="AT299" s="75">
        <v>-1</v>
      </c>
      <c r="AU299" s="75">
        <v>-1</v>
      </c>
      <c r="AV299" s="75">
        <v>-1</v>
      </c>
      <c r="AW299" s="123">
        <v>1</v>
      </c>
      <c r="AX299" s="516" t="s">
        <v>5430</v>
      </c>
      <c r="AY299" s="75">
        <v>1</v>
      </c>
      <c r="AZ299" s="77" t="s">
        <v>5971</v>
      </c>
      <c r="BA299" s="78" t="s">
        <v>5971</v>
      </c>
      <c r="BB299" s="78" t="s">
        <v>5971</v>
      </c>
      <c r="BC299" s="78" t="s">
        <v>5971</v>
      </c>
      <c r="BD299" s="78" t="s">
        <v>5971</v>
      </c>
      <c r="BE299" s="78" t="s">
        <v>5971</v>
      </c>
      <c r="BF299" s="78" t="s">
        <v>5971</v>
      </c>
      <c r="BG299" s="78" t="s">
        <v>5971</v>
      </c>
      <c r="BH299" s="75" t="s">
        <v>5971</v>
      </c>
      <c r="BI299" s="295" t="s">
        <v>2284</v>
      </c>
      <c r="BJ299" s="546">
        <v>1</v>
      </c>
      <c r="BK299" s="294" t="s">
        <v>16</v>
      </c>
      <c r="BL299" s="157" t="s">
        <v>16</v>
      </c>
      <c r="BM299" s="548" t="s">
        <v>1344</v>
      </c>
      <c r="BN299" s="548" t="s">
        <v>4160</v>
      </c>
      <c r="BO299" s="157" t="s">
        <v>4572</v>
      </c>
      <c r="BP299" s="548" t="s">
        <v>4574</v>
      </c>
      <c r="BQ299" s="157" t="s">
        <v>4571</v>
      </c>
      <c r="BR299" s="157"/>
    </row>
    <row r="300" spans="1:70" x14ac:dyDescent="0.25">
      <c r="A300" s="19" t="s">
        <v>3686</v>
      </c>
      <c r="B300" s="37" t="s">
        <v>5431</v>
      </c>
      <c r="C300" s="90">
        <v>45448.749282407407</v>
      </c>
      <c r="D300" s="114">
        <v>45448.499282407407</v>
      </c>
      <c r="E300" s="38">
        <v>45448</v>
      </c>
      <c r="F300" s="91">
        <v>2024</v>
      </c>
      <c r="G300" s="93">
        <v>6</v>
      </c>
      <c r="H300" s="37" t="s">
        <v>5389</v>
      </c>
      <c r="I300" s="37"/>
      <c r="J300" s="103">
        <v>-91.525964999999999</v>
      </c>
      <c r="K300" s="40">
        <v>42.725836700000002</v>
      </c>
      <c r="L300" s="74"/>
      <c r="M300" s="272" t="s">
        <v>5432</v>
      </c>
      <c r="N300" s="74">
        <v>1</v>
      </c>
      <c r="O300" s="94"/>
      <c r="P300" s="118">
        <v>1</v>
      </c>
      <c r="Q300" s="510">
        <v>40</v>
      </c>
      <c r="R300" s="513">
        <v>0</v>
      </c>
      <c r="S300" s="41"/>
      <c r="T300" s="40"/>
      <c r="U300" s="40">
        <v>7.5</v>
      </c>
      <c r="V300" s="119">
        <v>1</v>
      </c>
      <c r="W300" s="40">
        <v>100</v>
      </c>
      <c r="X300" s="119">
        <v>1</v>
      </c>
      <c r="Y300" s="40">
        <v>63</v>
      </c>
      <c r="Z300" s="119">
        <v>1</v>
      </c>
      <c r="AA300" s="368">
        <v>0</v>
      </c>
      <c r="AB300" s="535">
        <v>5</v>
      </c>
      <c r="AC300" s="39" t="s">
        <v>160</v>
      </c>
      <c r="AD300" s="75" t="s">
        <v>439</v>
      </c>
      <c r="AE300" s="95">
        <v>0</v>
      </c>
      <c r="AF300" s="75">
        <v>1</v>
      </c>
      <c r="AG300" s="75">
        <v>0</v>
      </c>
      <c r="AH300" s="75">
        <v>0</v>
      </c>
      <c r="AI300" s="75">
        <v>1</v>
      </c>
      <c r="AJ300" s="75">
        <v>0</v>
      </c>
      <c r="AK300" s="75">
        <v>0</v>
      </c>
      <c r="AL300" s="95">
        <v>0</v>
      </c>
      <c r="AM300" s="92">
        <v>0</v>
      </c>
      <c r="AN300" s="79" t="s">
        <v>81</v>
      </c>
      <c r="AO300" s="75">
        <v>1</v>
      </c>
      <c r="AP300" s="75" t="s">
        <v>84</v>
      </c>
      <c r="AQ300" s="122">
        <v>1</v>
      </c>
      <c r="AR300" s="515" t="s">
        <v>13</v>
      </c>
      <c r="AS300" s="95">
        <v>1</v>
      </c>
      <c r="AT300" s="75">
        <v>0</v>
      </c>
      <c r="AU300" s="75">
        <v>0</v>
      </c>
      <c r="AV300" s="75">
        <v>0</v>
      </c>
      <c r="AW300" s="123">
        <v>0</v>
      </c>
      <c r="AX300" s="516"/>
      <c r="AY300" s="75">
        <v>0</v>
      </c>
      <c r="AZ300" s="77" t="s">
        <v>131</v>
      </c>
      <c r="BA300" s="78" t="s">
        <v>132</v>
      </c>
      <c r="BB300" s="78" t="s">
        <v>131</v>
      </c>
      <c r="BC300" s="78" t="s">
        <v>131</v>
      </c>
      <c r="BD300" s="78" t="s">
        <v>132</v>
      </c>
      <c r="BE300" s="78" t="s">
        <v>131</v>
      </c>
      <c r="BF300" s="78" t="s">
        <v>131</v>
      </c>
      <c r="BG300" s="78" t="s">
        <v>131</v>
      </c>
      <c r="BH300" s="75" t="s">
        <v>5970</v>
      </c>
      <c r="BI300" s="295" t="s">
        <v>4038</v>
      </c>
      <c r="BJ300" s="546">
        <v>1</v>
      </c>
      <c r="BK300" s="294" t="s">
        <v>16</v>
      </c>
      <c r="BL300" s="157" t="s">
        <v>16</v>
      </c>
      <c r="BM300" s="548" t="s">
        <v>1347</v>
      </c>
      <c r="BN300" s="548" t="s">
        <v>1344</v>
      </c>
      <c r="BO300" s="157" t="s">
        <v>4593</v>
      </c>
      <c r="BP300" s="548" t="s">
        <v>4035</v>
      </c>
      <c r="BQ300" s="157" t="s">
        <v>4563</v>
      </c>
      <c r="BR300" s="157"/>
    </row>
    <row r="301" spans="1:70" x14ac:dyDescent="0.25">
      <c r="A301" s="19" t="s">
        <v>3686</v>
      </c>
      <c r="B301" s="37" t="s">
        <v>5433</v>
      </c>
      <c r="C301" s="90">
        <v>45448.738437499997</v>
      </c>
      <c r="D301" s="114">
        <v>45448.488437499997</v>
      </c>
      <c r="E301" s="38">
        <v>45448</v>
      </c>
      <c r="F301" s="91">
        <v>2024</v>
      </c>
      <c r="G301" s="93">
        <v>6</v>
      </c>
      <c r="H301" s="37" t="s">
        <v>5389</v>
      </c>
      <c r="I301" s="37"/>
      <c r="J301" s="103">
        <v>-91.520044499999997</v>
      </c>
      <c r="K301" s="40">
        <v>42.730483200000002</v>
      </c>
      <c r="L301" s="74"/>
      <c r="M301" s="272" t="s">
        <v>5434</v>
      </c>
      <c r="N301" s="74">
        <v>1</v>
      </c>
      <c r="O301" s="94"/>
      <c r="P301" s="118">
        <v>1</v>
      </c>
      <c r="Q301" s="510">
        <v>80</v>
      </c>
      <c r="R301" s="513">
        <v>120</v>
      </c>
      <c r="S301" s="41"/>
      <c r="T301" s="40"/>
      <c r="U301" s="40">
        <v>7</v>
      </c>
      <c r="V301" s="119">
        <v>1</v>
      </c>
      <c r="W301" s="40">
        <v>100</v>
      </c>
      <c r="X301" s="119">
        <v>1</v>
      </c>
      <c r="Y301" s="40">
        <v>60</v>
      </c>
      <c r="Z301" s="119">
        <v>1</v>
      </c>
      <c r="AA301" s="368">
        <v>0</v>
      </c>
      <c r="AB301" s="535">
        <v>10</v>
      </c>
      <c r="AC301" s="39" t="s">
        <v>160</v>
      </c>
      <c r="AD301" s="75" t="s">
        <v>8</v>
      </c>
      <c r="AE301" s="95">
        <v>0</v>
      </c>
      <c r="AF301" s="75">
        <v>1</v>
      </c>
      <c r="AG301" s="75">
        <v>0</v>
      </c>
      <c r="AH301" s="75">
        <v>0</v>
      </c>
      <c r="AI301" s="75">
        <v>0</v>
      </c>
      <c r="AJ301" s="75">
        <v>0</v>
      </c>
      <c r="AK301" s="75">
        <v>0</v>
      </c>
      <c r="AL301" s="95">
        <v>0</v>
      </c>
      <c r="AM301" s="92">
        <v>0</v>
      </c>
      <c r="AN301" s="79" t="s">
        <v>81</v>
      </c>
      <c r="AO301" s="75">
        <v>1</v>
      </c>
      <c r="AP301" s="75" t="s">
        <v>84</v>
      </c>
      <c r="AQ301" s="122">
        <v>1</v>
      </c>
      <c r="AR301" s="515" t="s">
        <v>13</v>
      </c>
      <c r="AS301" s="95">
        <v>1</v>
      </c>
      <c r="AT301" s="75">
        <v>0</v>
      </c>
      <c r="AU301" s="75">
        <v>0</v>
      </c>
      <c r="AV301" s="75">
        <v>0</v>
      </c>
      <c r="AW301" s="123">
        <v>0</v>
      </c>
      <c r="AX301" s="516" t="s">
        <v>5435</v>
      </c>
      <c r="AY301" s="75">
        <v>1</v>
      </c>
      <c r="AZ301" s="77" t="s">
        <v>131</v>
      </c>
      <c r="BA301" s="78" t="s">
        <v>132</v>
      </c>
      <c r="BB301" s="78" t="s">
        <v>131</v>
      </c>
      <c r="BC301" s="78" t="s">
        <v>131</v>
      </c>
      <c r="BD301" s="78" t="s">
        <v>131</v>
      </c>
      <c r="BE301" s="78" t="s">
        <v>131</v>
      </c>
      <c r="BF301" s="78" t="s">
        <v>131</v>
      </c>
      <c r="BG301" s="78" t="s">
        <v>131</v>
      </c>
      <c r="BH301" s="75" t="s">
        <v>5970</v>
      </c>
      <c r="BI301" s="295" t="s">
        <v>4038</v>
      </c>
      <c r="BJ301" s="546">
        <v>1</v>
      </c>
      <c r="BK301" s="294" t="s">
        <v>16</v>
      </c>
      <c r="BL301" s="157" t="s">
        <v>16</v>
      </c>
      <c r="BM301" s="548" t="s">
        <v>1347</v>
      </c>
      <c r="BN301" s="548" t="s">
        <v>1344</v>
      </c>
      <c r="BO301" s="157" t="s">
        <v>4593</v>
      </c>
      <c r="BP301" s="548" t="s">
        <v>4035</v>
      </c>
      <c r="BQ301" s="157" t="s">
        <v>4563</v>
      </c>
      <c r="BR301" s="157"/>
    </row>
    <row r="302" spans="1:70" x14ac:dyDescent="0.25">
      <c r="A302" s="19" t="s">
        <v>3686</v>
      </c>
      <c r="B302" s="37" t="s">
        <v>5436</v>
      </c>
      <c r="C302" s="90">
        <v>45448.723437499997</v>
      </c>
      <c r="D302" s="114">
        <v>45448.473437499997</v>
      </c>
      <c r="E302" s="38">
        <v>45448</v>
      </c>
      <c r="F302" s="91">
        <v>2024</v>
      </c>
      <c r="G302" s="93">
        <v>6</v>
      </c>
      <c r="H302" s="37" t="s">
        <v>5429</v>
      </c>
      <c r="I302" s="37"/>
      <c r="J302" s="103">
        <v>-91.771704527913485</v>
      </c>
      <c r="K302" s="40">
        <v>42.864188244580212</v>
      </c>
      <c r="L302" s="74"/>
      <c r="M302" s="272" t="s">
        <v>16</v>
      </c>
      <c r="N302" s="74">
        <v>0</v>
      </c>
      <c r="O302" s="94"/>
      <c r="P302" s="118">
        <v>1</v>
      </c>
      <c r="Q302" s="510">
        <v>120</v>
      </c>
      <c r="R302" s="513">
        <v>180</v>
      </c>
      <c r="S302" s="41"/>
      <c r="T302" s="40"/>
      <c r="U302" s="40">
        <v>8</v>
      </c>
      <c r="V302" s="119">
        <v>1</v>
      </c>
      <c r="W302" s="40">
        <v>0</v>
      </c>
      <c r="X302" s="119">
        <v>1</v>
      </c>
      <c r="Y302" s="40">
        <v>54</v>
      </c>
      <c r="Z302" s="119">
        <v>1</v>
      </c>
      <c r="AA302" s="368">
        <v>0</v>
      </c>
      <c r="AB302" s="535">
        <v>2</v>
      </c>
      <c r="AC302" s="39" t="s">
        <v>160</v>
      </c>
      <c r="AD302" s="75" t="s">
        <v>16</v>
      </c>
      <c r="AE302" s="95">
        <v>-1</v>
      </c>
      <c r="AF302" s="75">
        <v>-1</v>
      </c>
      <c r="AG302" s="75">
        <v>-1</v>
      </c>
      <c r="AH302" s="75">
        <v>-1</v>
      </c>
      <c r="AI302" s="75">
        <v>-1</v>
      </c>
      <c r="AJ302" s="75">
        <v>-1</v>
      </c>
      <c r="AK302" s="75">
        <v>-1</v>
      </c>
      <c r="AL302" s="95">
        <v>-1</v>
      </c>
      <c r="AM302" s="92">
        <v>1</v>
      </c>
      <c r="AN302" s="79"/>
      <c r="AO302" s="75">
        <v>0</v>
      </c>
      <c r="AP302" s="75"/>
      <c r="AQ302" s="122">
        <v>0</v>
      </c>
      <c r="AR302" s="515" t="s">
        <v>16</v>
      </c>
      <c r="AS302" s="95">
        <v>-1</v>
      </c>
      <c r="AT302" s="75">
        <v>-1</v>
      </c>
      <c r="AU302" s="75">
        <v>-1</v>
      </c>
      <c r="AV302" s="75">
        <v>-1</v>
      </c>
      <c r="AW302" s="123">
        <v>1</v>
      </c>
      <c r="AX302" s="516"/>
      <c r="AY302" s="75">
        <v>0</v>
      </c>
      <c r="AZ302" s="77" t="s">
        <v>5971</v>
      </c>
      <c r="BA302" s="78" t="s">
        <v>5971</v>
      </c>
      <c r="BB302" s="78" t="s">
        <v>5971</v>
      </c>
      <c r="BC302" s="78" t="s">
        <v>5971</v>
      </c>
      <c r="BD302" s="78" t="s">
        <v>5971</v>
      </c>
      <c r="BE302" s="78" t="s">
        <v>5971</v>
      </c>
      <c r="BF302" s="78" t="s">
        <v>5971</v>
      </c>
      <c r="BG302" s="78" t="s">
        <v>5971</v>
      </c>
      <c r="BH302" s="75" t="s">
        <v>5971</v>
      </c>
      <c r="BI302" s="295" t="s">
        <v>2284</v>
      </c>
      <c r="BJ302" s="546">
        <v>1</v>
      </c>
      <c r="BK302" s="294" t="s">
        <v>16</v>
      </c>
      <c r="BL302" s="157" t="s">
        <v>16</v>
      </c>
      <c r="BM302" s="548" t="s">
        <v>1344</v>
      </c>
      <c r="BN302" s="548" t="s">
        <v>4160</v>
      </c>
      <c r="BO302" s="157" t="s">
        <v>4572</v>
      </c>
      <c r="BP302" s="548" t="s">
        <v>4574</v>
      </c>
      <c r="BQ302" s="157" t="s">
        <v>4571</v>
      </c>
      <c r="BR302" s="157"/>
    </row>
    <row r="303" spans="1:70" x14ac:dyDescent="0.25">
      <c r="A303" s="19" t="s">
        <v>3686</v>
      </c>
      <c r="B303" s="37" t="s">
        <v>5437</v>
      </c>
      <c r="C303" s="90">
        <v>45448.701828703706</v>
      </c>
      <c r="D303" s="114">
        <v>45448.451828703706</v>
      </c>
      <c r="E303" s="38">
        <v>45448</v>
      </c>
      <c r="F303" s="91">
        <v>2024</v>
      </c>
      <c r="G303" s="93">
        <v>6</v>
      </c>
      <c r="H303" s="37" t="s">
        <v>5389</v>
      </c>
      <c r="I303" s="37"/>
      <c r="J303" s="103">
        <v>-91.7268021</v>
      </c>
      <c r="K303" s="40">
        <v>42.794574799999999</v>
      </c>
      <c r="L303" s="74"/>
      <c r="M303" s="272" t="s">
        <v>5438</v>
      </c>
      <c r="N303" s="74">
        <v>1</v>
      </c>
      <c r="O303" s="94"/>
      <c r="P303" s="118">
        <v>1</v>
      </c>
      <c r="Q303" s="510">
        <v>40</v>
      </c>
      <c r="R303" s="513">
        <v>180</v>
      </c>
      <c r="S303" s="41"/>
      <c r="T303" s="40"/>
      <c r="U303" s="40">
        <v>7.5</v>
      </c>
      <c r="V303" s="119">
        <v>1</v>
      </c>
      <c r="W303" s="40">
        <v>0</v>
      </c>
      <c r="X303" s="119">
        <v>0</v>
      </c>
      <c r="Y303" s="40"/>
      <c r="Z303" s="119">
        <v>1</v>
      </c>
      <c r="AA303" s="368">
        <v>0</v>
      </c>
      <c r="AB303" s="535">
        <v>10</v>
      </c>
      <c r="AC303" s="39" t="s">
        <v>160</v>
      </c>
      <c r="AD303" s="75" t="s">
        <v>8</v>
      </c>
      <c r="AE303" s="95">
        <v>0</v>
      </c>
      <c r="AF303" s="75">
        <v>1</v>
      </c>
      <c r="AG303" s="75">
        <v>0</v>
      </c>
      <c r="AH303" s="75">
        <v>0</v>
      </c>
      <c r="AI303" s="75">
        <v>0</v>
      </c>
      <c r="AJ303" s="75">
        <v>0</v>
      </c>
      <c r="AK303" s="75">
        <v>0</v>
      </c>
      <c r="AL303" s="95">
        <v>0</v>
      </c>
      <c r="AM303" s="92">
        <v>0</v>
      </c>
      <c r="AN303" s="79" t="s">
        <v>81</v>
      </c>
      <c r="AO303" s="75">
        <v>1</v>
      </c>
      <c r="AP303" s="75" t="s">
        <v>83</v>
      </c>
      <c r="AQ303" s="122">
        <v>1</v>
      </c>
      <c r="AR303" s="515" t="s">
        <v>13</v>
      </c>
      <c r="AS303" s="95">
        <v>1</v>
      </c>
      <c r="AT303" s="75">
        <v>0</v>
      </c>
      <c r="AU303" s="75">
        <v>0</v>
      </c>
      <c r="AV303" s="75">
        <v>0</v>
      </c>
      <c r="AW303" s="123">
        <v>0</v>
      </c>
      <c r="AX303" s="516" t="s">
        <v>5439</v>
      </c>
      <c r="AY303" s="75">
        <v>1</v>
      </c>
      <c r="AZ303" s="77" t="s">
        <v>131</v>
      </c>
      <c r="BA303" s="78" t="s">
        <v>132</v>
      </c>
      <c r="BB303" s="78" t="s">
        <v>131</v>
      </c>
      <c r="BC303" s="78" t="s">
        <v>131</v>
      </c>
      <c r="BD303" s="78" t="s">
        <v>131</v>
      </c>
      <c r="BE303" s="78" t="s">
        <v>131</v>
      </c>
      <c r="BF303" s="78" t="s">
        <v>131</v>
      </c>
      <c r="BG303" s="78" t="s">
        <v>131</v>
      </c>
      <c r="BH303" s="75" t="s">
        <v>5970</v>
      </c>
      <c r="BI303" s="295" t="s">
        <v>2260</v>
      </c>
      <c r="BJ303" s="546">
        <v>1</v>
      </c>
      <c r="BK303" s="294" t="s">
        <v>16</v>
      </c>
      <c r="BL303" s="157" t="s">
        <v>16</v>
      </c>
      <c r="BM303" s="548" t="s">
        <v>1344</v>
      </c>
      <c r="BN303" s="548" t="s">
        <v>1344</v>
      </c>
      <c r="BO303" s="157" t="s">
        <v>4569</v>
      </c>
      <c r="BP303" s="548" t="s">
        <v>2299</v>
      </c>
      <c r="BQ303" s="157" t="s">
        <v>4563</v>
      </c>
      <c r="BR303" s="157"/>
    </row>
    <row r="304" spans="1:70" x14ac:dyDescent="0.25">
      <c r="A304" s="19" t="s">
        <v>3686</v>
      </c>
      <c r="B304" s="37" t="s">
        <v>5440</v>
      </c>
      <c r="C304" s="90">
        <v>45448.69153935185</v>
      </c>
      <c r="D304" s="114">
        <v>45448.44153935185</v>
      </c>
      <c r="E304" s="38">
        <v>45448</v>
      </c>
      <c r="F304" s="91">
        <v>2024</v>
      </c>
      <c r="G304" s="93">
        <v>6</v>
      </c>
      <c r="H304" s="37" t="s">
        <v>5389</v>
      </c>
      <c r="I304" s="37" t="s">
        <v>16</v>
      </c>
      <c r="J304" s="103">
        <v>-91.730973199999994</v>
      </c>
      <c r="K304" s="40">
        <v>42.796690699999999</v>
      </c>
      <c r="L304" s="74"/>
      <c r="M304" s="272" t="s">
        <v>5441</v>
      </c>
      <c r="N304" s="74">
        <v>1</v>
      </c>
      <c r="O304" s="94"/>
      <c r="P304" s="118">
        <v>1</v>
      </c>
      <c r="Q304" s="510">
        <v>40</v>
      </c>
      <c r="R304" s="513">
        <v>0</v>
      </c>
      <c r="S304" s="41"/>
      <c r="T304" s="40"/>
      <c r="U304" s="40">
        <v>6.5</v>
      </c>
      <c r="V304" s="119">
        <v>1</v>
      </c>
      <c r="W304" s="40">
        <v>0</v>
      </c>
      <c r="X304" s="119">
        <v>0</v>
      </c>
      <c r="Y304" s="40"/>
      <c r="Z304" s="119">
        <v>1</v>
      </c>
      <c r="AA304" s="368">
        <v>0</v>
      </c>
      <c r="AB304" s="535">
        <v>20</v>
      </c>
      <c r="AC304" s="39" t="s">
        <v>160</v>
      </c>
      <c r="AD304" s="75" t="s">
        <v>718</v>
      </c>
      <c r="AE304" s="95">
        <v>0</v>
      </c>
      <c r="AF304" s="75">
        <v>1</v>
      </c>
      <c r="AG304" s="75">
        <v>0</v>
      </c>
      <c r="AH304" s="75">
        <v>1</v>
      </c>
      <c r="AI304" s="75">
        <v>0</v>
      </c>
      <c r="AJ304" s="75">
        <v>0</v>
      </c>
      <c r="AK304" s="75">
        <v>0</v>
      </c>
      <c r="AL304" s="95">
        <v>0</v>
      </c>
      <c r="AM304" s="92">
        <v>0</v>
      </c>
      <c r="AN304" s="79" t="s">
        <v>81</v>
      </c>
      <c r="AO304" s="75">
        <v>1</v>
      </c>
      <c r="AP304" s="75" t="s">
        <v>83</v>
      </c>
      <c r="AQ304" s="122">
        <v>1</v>
      </c>
      <c r="AR304" s="515" t="s">
        <v>13</v>
      </c>
      <c r="AS304" s="95">
        <v>1</v>
      </c>
      <c r="AT304" s="75">
        <v>0</v>
      </c>
      <c r="AU304" s="75">
        <v>0</v>
      </c>
      <c r="AV304" s="75">
        <v>0</v>
      </c>
      <c r="AW304" s="123">
        <v>0</v>
      </c>
      <c r="AX304" s="516" t="s">
        <v>5442</v>
      </c>
      <c r="AY304" s="75">
        <v>1</v>
      </c>
      <c r="AZ304" s="77" t="s">
        <v>131</v>
      </c>
      <c r="BA304" s="78" t="s">
        <v>132</v>
      </c>
      <c r="BB304" s="78" t="s">
        <v>131</v>
      </c>
      <c r="BC304" s="78" t="s">
        <v>132</v>
      </c>
      <c r="BD304" s="78" t="s">
        <v>131</v>
      </c>
      <c r="BE304" s="78" t="s">
        <v>131</v>
      </c>
      <c r="BF304" s="78" t="s">
        <v>131</v>
      </c>
      <c r="BG304" s="78" t="s">
        <v>131</v>
      </c>
      <c r="BH304" s="75" t="s">
        <v>5970</v>
      </c>
      <c r="BI304" s="295" t="s">
        <v>2260</v>
      </c>
      <c r="BJ304" s="546">
        <v>1</v>
      </c>
      <c r="BK304" s="294" t="s">
        <v>16</v>
      </c>
      <c r="BL304" s="157" t="s">
        <v>16</v>
      </c>
      <c r="BM304" s="548" t="s">
        <v>1344</v>
      </c>
      <c r="BN304" s="548" t="s">
        <v>1344</v>
      </c>
      <c r="BO304" s="157" t="s">
        <v>4569</v>
      </c>
      <c r="BP304" s="548" t="s">
        <v>2299</v>
      </c>
      <c r="BQ304" s="157" t="s">
        <v>4563</v>
      </c>
      <c r="BR304" s="157"/>
    </row>
    <row r="305" spans="1:70" x14ac:dyDescent="0.25">
      <c r="A305" s="19" t="s">
        <v>3686</v>
      </c>
      <c r="B305" s="37" t="s">
        <v>5443</v>
      </c>
      <c r="C305" s="90">
        <v>45448.598356481481</v>
      </c>
      <c r="D305" s="114">
        <v>45448.348356481481</v>
      </c>
      <c r="E305" s="38">
        <v>45448</v>
      </c>
      <c r="F305" s="91">
        <v>2024</v>
      </c>
      <c r="G305" s="93">
        <v>6</v>
      </c>
      <c r="H305" s="37" t="s">
        <v>5429</v>
      </c>
      <c r="I305" s="37"/>
      <c r="J305" s="103">
        <v>-91.76896800186428</v>
      </c>
      <c r="K305" s="40">
        <v>42.863481305524566</v>
      </c>
      <c r="L305" s="74"/>
      <c r="M305" s="272" t="s">
        <v>5444</v>
      </c>
      <c r="N305" s="74">
        <v>1</v>
      </c>
      <c r="O305" s="94"/>
      <c r="P305" s="118">
        <v>1</v>
      </c>
      <c r="Q305" s="510">
        <v>80</v>
      </c>
      <c r="R305" s="513">
        <v>180</v>
      </c>
      <c r="S305" s="41"/>
      <c r="T305" s="40"/>
      <c r="U305" s="40">
        <v>8</v>
      </c>
      <c r="V305" s="119">
        <v>1</v>
      </c>
      <c r="W305" s="40">
        <v>0</v>
      </c>
      <c r="X305" s="119">
        <v>1</v>
      </c>
      <c r="Y305" s="40">
        <v>53</v>
      </c>
      <c r="Z305" s="119">
        <v>1</v>
      </c>
      <c r="AA305" s="368">
        <v>0</v>
      </c>
      <c r="AB305" s="535">
        <v>2</v>
      </c>
      <c r="AC305" s="39" t="s">
        <v>160</v>
      </c>
      <c r="AD305" s="75" t="s">
        <v>16</v>
      </c>
      <c r="AE305" s="95">
        <v>-1</v>
      </c>
      <c r="AF305" s="75">
        <v>-1</v>
      </c>
      <c r="AG305" s="75">
        <v>-1</v>
      </c>
      <c r="AH305" s="75">
        <v>-1</v>
      </c>
      <c r="AI305" s="75">
        <v>-1</v>
      </c>
      <c r="AJ305" s="75">
        <v>-1</v>
      </c>
      <c r="AK305" s="75">
        <v>-1</v>
      </c>
      <c r="AL305" s="95">
        <v>-1</v>
      </c>
      <c r="AM305" s="92">
        <v>1</v>
      </c>
      <c r="AN305" s="79"/>
      <c r="AO305" s="75">
        <v>0</v>
      </c>
      <c r="AP305" s="75"/>
      <c r="AQ305" s="122">
        <v>0</v>
      </c>
      <c r="AR305" s="515" t="s">
        <v>16</v>
      </c>
      <c r="AS305" s="95">
        <v>-1</v>
      </c>
      <c r="AT305" s="75">
        <v>-1</v>
      </c>
      <c r="AU305" s="75">
        <v>-1</v>
      </c>
      <c r="AV305" s="75">
        <v>-1</v>
      </c>
      <c r="AW305" s="123">
        <v>1</v>
      </c>
      <c r="AX305" s="516"/>
      <c r="AY305" s="75">
        <v>0</v>
      </c>
      <c r="AZ305" s="77" t="s">
        <v>5971</v>
      </c>
      <c r="BA305" s="78" t="s">
        <v>5971</v>
      </c>
      <c r="BB305" s="78" t="s">
        <v>5971</v>
      </c>
      <c r="BC305" s="78" t="s">
        <v>5971</v>
      </c>
      <c r="BD305" s="78" t="s">
        <v>5971</v>
      </c>
      <c r="BE305" s="78" t="s">
        <v>5971</v>
      </c>
      <c r="BF305" s="78" t="s">
        <v>5971</v>
      </c>
      <c r="BG305" s="78" t="s">
        <v>5971</v>
      </c>
      <c r="BH305" s="75" t="s">
        <v>5971</v>
      </c>
      <c r="BI305" s="295" t="s">
        <v>2284</v>
      </c>
      <c r="BJ305" s="546">
        <v>1</v>
      </c>
      <c r="BK305" s="294" t="s">
        <v>16</v>
      </c>
      <c r="BL305" s="157" t="s">
        <v>16</v>
      </c>
      <c r="BM305" s="548" t="s">
        <v>1344</v>
      </c>
      <c r="BN305" s="548" t="s">
        <v>4160</v>
      </c>
      <c r="BO305" s="157" t="s">
        <v>4572</v>
      </c>
      <c r="BP305" s="548" t="s">
        <v>4574</v>
      </c>
      <c r="BQ305" s="157" t="s">
        <v>4571</v>
      </c>
      <c r="BR305" s="157"/>
    </row>
    <row r="306" spans="1:70" x14ac:dyDescent="0.25">
      <c r="A306" s="19" t="s">
        <v>3686</v>
      </c>
      <c r="B306" s="37" t="s">
        <v>5445</v>
      </c>
      <c r="C306" s="90">
        <v>45447.812511574077</v>
      </c>
      <c r="D306" s="114">
        <v>45447.562511574077</v>
      </c>
      <c r="E306" s="38">
        <v>45447</v>
      </c>
      <c r="F306" s="91">
        <v>2024</v>
      </c>
      <c r="G306" s="93">
        <v>6</v>
      </c>
      <c r="H306" s="37" t="s">
        <v>5429</v>
      </c>
      <c r="I306" s="37"/>
      <c r="J306" s="103">
        <v>-91.768482273192163</v>
      </c>
      <c r="K306" s="40">
        <v>42.863462642609782</v>
      </c>
      <c r="L306" s="74"/>
      <c r="M306" s="272" t="s">
        <v>16</v>
      </c>
      <c r="N306" s="74">
        <v>0</v>
      </c>
      <c r="O306" s="94"/>
      <c r="P306" s="118">
        <v>1</v>
      </c>
      <c r="Q306" s="510">
        <v>120</v>
      </c>
      <c r="R306" s="513">
        <v>180</v>
      </c>
      <c r="S306" s="41"/>
      <c r="T306" s="40"/>
      <c r="U306" s="40">
        <v>8</v>
      </c>
      <c r="V306" s="119">
        <v>1</v>
      </c>
      <c r="W306" s="40">
        <v>0</v>
      </c>
      <c r="X306" s="119">
        <v>1</v>
      </c>
      <c r="Y306" s="40">
        <v>56</v>
      </c>
      <c r="Z306" s="119">
        <v>1</v>
      </c>
      <c r="AA306" s="368">
        <v>0</v>
      </c>
      <c r="AB306" s="535">
        <v>2</v>
      </c>
      <c r="AC306" s="39" t="s">
        <v>160</v>
      </c>
      <c r="AD306" s="75" t="s">
        <v>16</v>
      </c>
      <c r="AE306" s="95">
        <v>-1</v>
      </c>
      <c r="AF306" s="75">
        <v>-1</v>
      </c>
      <c r="AG306" s="75">
        <v>-1</v>
      </c>
      <c r="AH306" s="75">
        <v>-1</v>
      </c>
      <c r="AI306" s="75">
        <v>-1</v>
      </c>
      <c r="AJ306" s="75">
        <v>-1</v>
      </c>
      <c r="AK306" s="75">
        <v>-1</v>
      </c>
      <c r="AL306" s="95">
        <v>-1</v>
      </c>
      <c r="AM306" s="92">
        <v>1</v>
      </c>
      <c r="AN306" s="79"/>
      <c r="AO306" s="75">
        <v>0</v>
      </c>
      <c r="AP306" s="75"/>
      <c r="AQ306" s="122">
        <v>0</v>
      </c>
      <c r="AR306" s="515" t="s">
        <v>16</v>
      </c>
      <c r="AS306" s="95">
        <v>-1</v>
      </c>
      <c r="AT306" s="75">
        <v>-1</v>
      </c>
      <c r="AU306" s="75">
        <v>-1</v>
      </c>
      <c r="AV306" s="75">
        <v>-1</v>
      </c>
      <c r="AW306" s="123">
        <v>1</v>
      </c>
      <c r="AX306" s="516"/>
      <c r="AY306" s="75">
        <v>0</v>
      </c>
      <c r="AZ306" s="77" t="s">
        <v>5971</v>
      </c>
      <c r="BA306" s="78" t="s">
        <v>5971</v>
      </c>
      <c r="BB306" s="78" t="s">
        <v>5971</v>
      </c>
      <c r="BC306" s="78" t="s">
        <v>5971</v>
      </c>
      <c r="BD306" s="78" t="s">
        <v>5971</v>
      </c>
      <c r="BE306" s="78" t="s">
        <v>5971</v>
      </c>
      <c r="BF306" s="78" t="s">
        <v>5971</v>
      </c>
      <c r="BG306" s="78" t="s">
        <v>5971</v>
      </c>
      <c r="BH306" s="75" t="s">
        <v>5971</v>
      </c>
      <c r="BI306" s="295" t="s">
        <v>2284</v>
      </c>
      <c r="BJ306" s="546">
        <v>1</v>
      </c>
      <c r="BK306" s="294" t="s">
        <v>16</v>
      </c>
      <c r="BL306" s="157" t="s">
        <v>16</v>
      </c>
      <c r="BM306" s="548" t="s">
        <v>1344</v>
      </c>
      <c r="BN306" s="548" t="s">
        <v>4160</v>
      </c>
      <c r="BO306" s="157" t="s">
        <v>4572</v>
      </c>
      <c r="BP306" s="548" t="s">
        <v>4574</v>
      </c>
      <c r="BQ306" s="157" t="s">
        <v>4571</v>
      </c>
      <c r="BR306" s="157"/>
    </row>
    <row r="307" spans="1:70" x14ac:dyDescent="0.25">
      <c r="A307" s="19" t="s">
        <v>3686</v>
      </c>
      <c r="B307" s="37" t="s">
        <v>5446</v>
      </c>
      <c r="C307" s="90">
        <v>45447.655636574076</v>
      </c>
      <c r="D307" s="114">
        <v>45447.405636574076</v>
      </c>
      <c r="E307" s="38">
        <v>45447</v>
      </c>
      <c r="F307" s="91">
        <v>2024</v>
      </c>
      <c r="G307" s="93">
        <v>6</v>
      </c>
      <c r="H307" s="37" t="s">
        <v>5429</v>
      </c>
      <c r="I307" s="37"/>
      <c r="J307" s="103">
        <v>-91.768154325323522</v>
      </c>
      <c r="K307" s="40">
        <v>42.863614258583318</v>
      </c>
      <c r="L307" s="74"/>
      <c r="M307" s="272" t="s">
        <v>16</v>
      </c>
      <c r="N307" s="74">
        <v>0</v>
      </c>
      <c r="O307" s="94"/>
      <c r="P307" s="118">
        <v>1</v>
      </c>
      <c r="Q307" s="510">
        <v>80</v>
      </c>
      <c r="R307" s="513">
        <v>120</v>
      </c>
      <c r="S307" s="41"/>
      <c r="T307" s="40"/>
      <c r="U307" s="40">
        <v>8</v>
      </c>
      <c r="V307" s="119">
        <v>1</v>
      </c>
      <c r="W307" s="40">
        <v>0</v>
      </c>
      <c r="X307" s="119">
        <v>1</v>
      </c>
      <c r="Y307" s="40">
        <v>50</v>
      </c>
      <c r="Z307" s="119">
        <v>1</v>
      </c>
      <c r="AA307" s="368">
        <v>0</v>
      </c>
      <c r="AB307" s="535">
        <v>0</v>
      </c>
      <c r="AC307" s="39" t="s">
        <v>162</v>
      </c>
      <c r="AD307" s="75" t="s">
        <v>16</v>
      </c>
      <c r="AE307" s="95">
        <v>-1</v>
      </c>
      <c r="AF307" s="75">
        <v>-1</v>
      </c>
      <c r="AG307" s="75">
        <v>-1</v>
      </c>
      <c r="AH307" s="75">
        <v>-1</v>
      </c>
      <c r="AI307" s="75">
        <v>-1</v>
      </c>
      <c r="AJ307" s="75">
        <v>-1</v>
      </c>
      <c r="AK307" s="75">
        <v>-1</v>
      </c>
      <c r="AL307" s="95">
        <v>-1</v>
      </c>
      <c r="AM307" s="92">
        <v>1</v>
      </c>
      <c r="AN307" s="79"/>
      <c r="AO307" s="75">
        <v>0</v>
      </c>
      <c r="AP307" s="75"/>
      <c r="AQ307" s="122">
        <v>0</v>
      </c>
      <c r="AR307" s="515" t="s">
        <v>16</v>
      </c>
      <c r="AS307" s="95">
        <v>-1</v>
      </c>
      <c r="AT307" s="75">
        <v>-1</v>
      </c>
      <c r="AU307" s="75">
        <v>-1</v>
      </c>
      <c r="AV307" s="75">
        <v>-1</v>
      </c>
      <c r="AW307" s="123">
        <v>1</v>
      </c>
      <c r="AX307" s="516" t="s">
        <v>5447</v>
      </c>
      <c r="AY307" s="75">
        <v>1</v>
      </c>
      <c r="AZ307" s="77" t="s">
        <v>5971</v>
      </c>
      <c r="BA307" s="78" t="s">
        <v>5971</v>
      </c>
      <c r="BB307" s="78" t="s">
        <v>5971</v>
      </c>
      <c r="BC307" s="78" t="s">
        <v>5971</v>
      </c>
      <c r="BD307" s="78" t="s">
        <v>5971</v>
      </c>
      <c r="BE307" s="78" t="s">
        <v>5971</v>
      </c>
      <c r="BF307" s="78" t="s">
        <v>5971</v>
      </c>
      <c r="BG307" s="78" t="s">
        <v>5971</v>
      </c>
      <c r="BH307" s="75" t="s">
        <v>5971</v>
      </c>
      <c r="BI307" s="295" t="s">
        <v>2284</v>
      </c>
      <c r="BJ307" s="546">
        <v>1</v>
      </c>
      <c r="BK307" s="294" t="s">
        <v>16</v>
      </c>
      <c r="BL307" s="157" t="s">
        <v>16</v>
      </c>
      <c r="BM307" s="548" t="s">
        <v>1344</v>
      </c>
      <c r="BN307" s="548" t="s">
        <v>4160</v>
      </c>
      <c r="BO307" s="157" t="s">
        <v>4572</v>
      </c>
      <c r="BP307" s="548" t="s">
        <v>4574</v>
      </c>
      <c r="BQ307" s="157" t="s">
        <v>4571</v>
      </c>
      <c r="BR307" s="157"/>
    </row>
    <row r="308" spans="1:70" x14ac:dyDescent="0.25">
      <c r="A308" s="19" t="s">
        <v>3686</v>
      </c>
      <c r="B308" s="37" t="s">
        <v>5448</v>
      </c>
      <c r="C308" s="90">
        <v>45446.685798611114</v>
      </c>
      <c r="D308" s="114">
        <v>45446.435798611114</v>
      </c>
      <c r="E308" s="38">
        <v>45446</v>
      </c>
      <c r="F308" s="91">
        <v>2024</v>
      </c>
      <c r="G308" s="93">
        <v>6</v>
      </c>
      <c r="H308" s="37" t="s">
        <v>5449</v>
      </c>
      <c r="I308" s="37"/>
      <c r="J308" s="103">
        <v>-91.766556753151633</v>
      </c>
      <c r="K308" s="40">
        <v>42.862850468518928</v>
      </c>
      <c r="L308" s="74"/>
      <c r="M308" s="272" t="s">
        <v>16</v>
      </c>
      <c r="N308" s="74">
        <v>0</v>
      </c>
      <c r="O308" s="94"/>
      <c r="P308" s="118">
        <v>1</v>
      </c>
      <c r="Q308" s="510">
        <v>120</v>
      </c>
      <c r="R308" s="513">
        <v>180</v>
      </c>
      <c r="S308" s="41"/>
      <c r="T308" s="40"/>
      <c r="U308" s="40">
        <v>9</v>
      </c>
      <c r="V308" s="119">
        <v>1</v>
      </c>
      <c r="W308" s="40">
        <v>0</v>
      </c>
      <c r="X308" s="119">
        <v>1</v>
      </c>
      <c r="Y308" s="40">
        <v>58</v>
      </c>
      <c r="Z308" s="119">
        <v>1</v>
      </c>
      <c r="AA308" s="368">
        <v>0</v>
      </c>
      <c r="AB308" s="535">
        <v>2</v>
      </c>
      <c r="AC308" s="39" t="s">
        <v>160</v>
      </c>
      <c r="AD308" s="75" t="s">
        <v>16</v>
      </c>
      <c r="AE308" s="95">
        <v>-1</v>
      </c>
      <c r="AF308" s="75">
        <v>-1</v>
      </c>
      <c r="AG308" s="75">
        <v>-1</v>
      </c>
      <c r="AH308" s="75">
        <v>-1</v>
      </c>
      <c r="AI308" s="75">
        <v>-1</v>
      </c>
      <c r="AJ308" s="75">
        <v>-1</v>
      </c>
      <c r="AK308" s="75">
        <v>-1</v>
      </c>
      <c r="AL308" s="95">
        <v>-1</v>
      </c>
      <c r="AM308" s="92">
        <v>1</v>
      </c>
      <c r="AN308" s="79"/>
      <c r="AO308" s="75">
        <v>0</v>
      </c>
      <c r="AP308" s="75"/>
      <c r="AQ308" s="122">
        <v>0</v>
      </c>
      <c r="AR308" s="515" t="s">
        <v>16</v>
      </c>
      <c r="AS308" s="95">
        <v>-1</v>
      </c>
      <c r="AT308" s="75">
        <v>-1</v>
      </c>
      <c r="AU308" s="75">
        <v>-1</v>
      </c>
      <c r="AV308" s="75">
        <v>-1</v>
      </c>
      <c r="AW308" s="123">
        <v>1</v>
      </c>
      <c r="AX308" s="516"/>
      <c r="AY308" s="75">
        <v>0</v>
      </c>
      <c r="AZ308" s="77" t="s">
        <v>5971</v>
      </c>
      <c r="BA308" s="78" t="s">
        <v>5971</v>
      </c>
      <c r="BB308" s="78" t="s">
        <v>5971</v>
      </c>
      <c r="BC308" s="78" t="s">
        <v>5971</v>
      </c>
      <c r="BD308" s="78" t="s">
        <v>5971</v>
      </c>
      <c r="BE308" s="78" t="s">
        <v>5971</v>
      </c>
      <c r="BF308" s="78" t="s">
        <v>5971</v>
      </c>
      <c r="BG308" s="78" t="s">
        <v>5971</v>
      </c>
      <c r="BH308" s="75" t="s">
        <v>5971</v>
      </c>
      <c r="BI308" s="295" t="s">
        <v>2284</v>
      </c>
      <c r="BJ308" s="546">
        <v>1</v>
      </c>
      <c r="BK308" s="294" t="s">
        <v>16</v>
      </c>
      <c r="BL308" s="157" t="s">
        <v>16</v>
      </c>
      <c r="BM308" s="548" t="s">
        <v>1344</v>
      </c>
      <c r="BN308" s="548" t="s">
        <v>5969</v>
      </c>
      <c r="BO308" s="157" t="s">
        <v>4572</v>
      </c>
      <c r="BP308" s="548" t="s">
        <v>4574</v>
      </c>
      <c r="BQ308" s="157" t="s">
        <v>4571</v>
      </c>
      <c r="BR308" s="157"/>
    </row>
    <row r="309" spans="1:70" x14ac:dyDescent="0.25">
      <c r="A309" s="19" t="s">
        <v>3686</v>
      </c>
      <c r="B309" s="37" t="s">
        <v>5450</v>
      </c>
      <c r="C309" s="90">
        <v>45445.918611111112</v>
      </c>
      <c r="D309" s="114">
        <v>45445.668611111112</v>
      </c>
      <c r="E309" s="38">
        <v>45445</v>
      </c>
      <c r="F309" s="91">
        <v>2024</v>
      </c>
      <c r="G309" s="93">
        <v>6</v>
      </c>
      <c r="H309" s="37" t="s">
        <v>461</v>
      </c>
      <c r="I309" s="37" t="s">
        <v>368</v>
      </c>
      <c r="J309" s="103">
        <v>-92.146842370033596</v>
      </c>
      <c r="K309" s="40">
        <v>44.793183419148349</v>
      </c>
      <c r="L309" s="74"/>
      <c r="M309" s="272" t="s">
        <v>5451</v>
      </c>
      <c r="N309" s="74">
        <v>1</v>
      </c>
      <c r="O309" s="94"/>
      <c r="P309" s="118">
        <v>1</v>
      </c>
      <c r="Q309" s="510">
        <v>180</v>
      </c>
      <c r="R309" s="513">
        <v>180</v>
      </c>
      <c r="S309" s="41"/>
      <c r="T309" s="40"/>
      <c r="U309" s="40">
        <v>7</v>
      </c>
      <c r="V309" s="119">
        <v>1</v>
      </c>
      <c r="W309" s="40">
        <v>200</v>
      </c>
      <c r="X309" s="119">
        <v>1</v>
      </c>
      <c r="Y309" s="40">
        <v>59</v>
      </c>
      <c r="Z309" s="119">
        <v>1</v>
      </c>
      <c r="AA309" s="368">
        <v>0</v>
      </c>
      <c r="AB309" s="535">
        <v>2</v>
      </c>
      <c r="AC309" s="39" t="s">
        <v>160</v>
      </c>
      <c r="AD309" s="75" t="s">
        <v>10</v>
      </c>
      <c r="AE309" s="95">
        <v>0</v>
      </c>
      <c r="AF309" s="75">
        <v>0</v>
      </c>
      <c r="AG309" s="75">
        <v>0</v>
      </c>
      <c r="AH309" s="75">
        <v>0</v>
      </c>
      <c r="AI309" s="75">
        <v>0</v>
      </c>
      <c r="AJ309" s="75">
        <v>0</v>
      </c>
      <c r="AK309" s="75">
        <v>0</v>
      </c>
      <c r="AL309" s="95">
        <v>1</v>
      </c>
      <c r="AM309" s="92">
        <v>0</v>
      </c>
      <c r="AN309" s="79" t="s">
        <v>80</v>
      </c>
      <c r="AO309" s="75">
        <v>1</v>
      </c>
      <c r="AP309" s="75" t="s">
        <v>83</v>
      </c>
      <c r="AQ309" s="122">
        <v>1</v>
      </c>
      <c r="AR309" s="515" t="s">
        <v>10</v>
      </c>
      <c r="AS309" s="95">
        <v>0</v>
      </c>
      <c r="AT309" s="75">
        <v>0</v>
      </c>
      <c r="AU309" s="75">
        <v>0</v>
      </c>
      <c r="AV309" s="75">
        <v>0</v>
      </c>
      <c r="AW309" s="123">
        <v>0</v>
      </c>
      <c r="AX309" s="516"/>
      <c r="AY309" s="75">
        <v>0</v>
      </c>
      <c r="AZ309" s="77" t="s">
        <v>131</v>
      </c>
      <c r="BA309" s="78" t="s">
        <v>131</v>
      </c>
      <c r="BB309" s="78" t="s">
        <v>131</v>
      </c>
      <c r="BC309" s="78" t="s">
        <v>131</v>
      </c>
      <c r="BD309" s="78" t="s">
        <v>131</v>
      </c>
      <c r="BE309" s="78" t="s">
        <v>131</v>
      </c>
      <c r="BF309" s="78" t="s">
        <v>131</v>
      </c>
      <c r="BG309" s="78" t="s">
        <v>132</v>
      </c>
      <c r="BH309" s="75" t="s">
        <v>5970</v>
      </c>
      <c r="BI309" s="295" t="s">
        <v>2270</v>
      </c>
      <c r="BJ309" s="546">
        <v>1</v>
      </c>
      <c r="BK309" s="294">
        <v>1</v>
      </c>
      <c r="BL309" s="157">
        <v>1</v>
      </c>
      <c r="BM309" s="548" t="s">
        <v>578</v>
      </c>
      <c r="BN309" s="548" t="s">
        <v>578</v>
      </c>
      <c r="BO309" s="157" t="s">
        <v>4317</v>
      </c>
      <c r="BP309" s="548" t="s">
        <v>2270</v>
      </c>
      <c r="BQ309" s="157" t="s">
        <v>4316</v>
      </c>
      <c r="BR309" s="157"/>
    </row>
    <row r="310" spans="1:70" x14ac:dyDescent="0.25">
      <c r="A310" s="19" t="s">
        <v>3686</v>
      </c>
      <c r="B310" s="37" t="s">
        <v>5452</v>
      </c>
      <c r="C310" s="90">
        <v>45445.864108796297</v>
      </c>
      <c r="D310" s="114">
        <v>45445.614108796297</v>
      </c>
      <c r="E310" s="38">
        <v>45445</v>
      </c>
      <c r="F310" s="91">
        <v>2024</v>
      </c>
      <c r="G310" s="93">
        <v>6</v>
      </c>
      <c r="H310" s="37" t="s">
        <v>475</v>
      </c>
      <c r="I310" s="37"/>
      <c r="J310" s="103">
        <v>-92.495168354448396</v>
      </c>
      <c r="K310" s="40">
        <v>44.050527890254109</v>
      </c>
      <c r="L310" s="74"/>
      <c r="M310" s="272" t="s">
        <v>16</v>
      </c>
      <c r="N310" s="74">
        <v>0</v>
      </c>
      <c r="O310" s="94"/>
      <c r="P310" s="118">
        <v>0</v>
      </c>
      <c r="Q310" s="510"/>
      <c r="R310" s="513"/>
      <c r="S310" s="41"/>
      <c r="T310" s="40"/>
      <c r="U310" s="40"/>
      <c r="V310" s="119">
        <v>0</v>
      </c>
      <c r="W310" s="40"/>
      <c r="X310" s="119">
        <v>0</v>
      </c>
      <c r="Y310" s="40"/>
      <c r="Z310" s="119">
        <v>1</v>
      </c>
      <c r="AA310" s="368">
        <v>0</v>
      </c>
      <c r="AB310" s="535">
        <v>20</v>
      </c>
      <c r="AC310" s="39" t="s">
        <v>160</v>
      </c>
      <c r="AD310" s="75" t="s">
        <v>16</v>
      </c>
      <c r="AE310" s="95">
        <v>-1</v>
      </c>
      <c r="AF310" s="75">
        <v>-1</v>
      </c>
      <c r="AG310" s="75">
        <v>-1</v>
      </c>
      <c r="AH310" s="75">
        <v>-1</v>
      </c>
      <c r="AI310" s="75">
        <v>-1</v>
      </c>
      <c r="AJ310" s="75">
        <v>-1</v>
      </c>
      <c r="AK310" s="75">
        <v>-1</v>
      </c>
      <c r="AL310" s="95">
        <v>-1</v>
      </c>
      <c r="AM310" s="92">
        <v>1</v>
      </c>
      <c r="AN310" s="79"/>
      <c r="AO310" s="75">
        <v>0</v>
      </c>
      <c r="AP310" s="75"/>
      <c r="AQ310" s="122">
        <v>0</v>
      </c>
      <c r="AR310" s="515" t="s">
        <v>16</v>
      </c>
      <c r="AS310" s="95">
        <v>-1</v>
      </c>
      <c r="AT310" s="75">
        <v>-1</v>
      </c>
      <c r="AU310" s="75">
        <v>-1</v>
      </c>
      <c r="AV310" s="75">
        <v>-1</v>
      </c>
      <c r="AW310" s="123">
        <v>1</v>
      </c>
      <c r="AX310" s="516"/>
      <c r="AY310" s="75">
        <v>0</v>
      </c>
      <c r="AZ310" s="77" t="s">
        <v>5971</v>
      </c>
      <c r="BA310" s="78" t="s">
        <v>5971</v>
      </c>
      <c r="BB310" s="78" t="s">
        <v>5971</v>
      </c>
      <c r="BC310" s="78" t="s">
        <v>5971</v>
      </c>
      <c r="BD310" s="78" t="s">
        <v>5971</v>
      </c>
      <c r="BE310" s="78" t="s">
        <v>5971</v>
      </c>
      <c r="BF310" s="78" t="s">
        <v>5971</v>
      </c>
      <c r="BG310" s="78" t="s">
        <v>5971</v>
      </c>
      <c r="BH310" s="75" t="s">
        <v>5971</v>
      </c>
      <c r="BI310" s="295" t="s">
        <v>16</v>
      </c>
      <c r="BJ310" s="546" t="s">
        <v>16</v>
      </c>
      <c r="BK310" s="294" t="s">
        <v>16</v>
      </c>
      <c r="BL310" s="157" t="s">
        <v>16</v>
      </c>
      <c r="BM310" s="548" t="s">
        <v>1339</v>
      </c>
      <c r="BN310" s="548" t="s">
        <v>1339</v>
      </c>
      <c r="BO310" s="157" t="s">
        <v>5840</v>
      </c>
      <c r="BP310" s="548" t="s">
        <v>3967</v>
      </c>
      <c r="BQ310" s="157" t="s">
        <v>4380</v>
      </c>
      <c r="BR310" s="157"/>
    </row>
    <row r="311" spans="1:70" x14ac:dyDescent="0.25">
      <c r="A311" s="19" t="s">
        <v>3686</v>
      </c>
      <c r="B311" s="37" t="s">
        <v>5453</v>
      </c>
      <c r="C311" s="90">
        <v>45443.750405092593</v>
      </c>
      <c r="D311" s="114">
        <v>45443.500405092593</v>
      </c>
      <c r="E311" s="38">
        <v>45443</v>
      </c>
      <c r="F311" s="91">
        <v>2024</v>
      </c>
      <c r="G311" s="93">
        <v>5</v>
      </c>
      <c r="H311" s="37" t="s">
        <v>2475</v>
      </c>
      <c r="I311" s="37"/>
      <c r="J311" s="103">
        <v>-90.282976068640394</v>
      </c>
      <c r="K311" s="40">
        <v>42.998195537406019</v>
      </c>
      <c r="L311" s="74"/>
      <c r="M311" s="272" t="s">
        <v>5454</v>
      </c>
      <c r="N311" s="74">
        <v>1</v>
      </c>
      <c r="O311" s="94"/>
      <c r="P311" s="118">
        <v>1</v>
      </c>
      <c r="Q311" s="510">
        <v>40</v>
      </c>
      <c r="R311" s="513">
        <v>0</v>
      </c>
      <c r="S311" s="41"/>
      <c r="T311" s="40"/>
      <c r="U311" s="40">
        <v>7.5</v>
      </c>
      <c r="V311" s="119">
        <v>1</v>
      </c>
      <c r="W311" s="40">
        <v>200</v>
      </c>
      <c r="X311" s="119">
        <v>1</v>
      </c>
      <c r="Y311" s="40">
        <v>58</v>
      </c>
      <c r="Z311" s="119">
        <v>1</v>
      </c>
      <c r="AA311" s="368">
        <v>0</v>
      </c>
      <c r="AB311" s="535">
        <v>5</v>
      </c>
      <c r="AC311" s="39" t="s">
        <v>160</v>
      </c>
      <c r="AD311" s="75" t="s">
        <v>10</v>
      </c>
      <c r="AE311" s="95">
        <v>0</v>
      </c>
      <c r="AF311" s="75">
        <v>0</v>
      </c>
      <c r="AG311" s="75">
        <v>0</v>
      </c>
      <c r="AH311" s="75">
        <v>0</v>
      </c>
      <c r="AI311" s="75">
        <v>0</v>
      </c>
      <c r="AJ311" s="75">
        <v>0</v>
      </c>
      <c r="AK311" s="75">
        <v>0</v>
      </c>
      <c r="AL311" s="95">
        <v>1</v>
      </c>
      <c r="AM311" s="92">
        <v>0</v>
      </c>
      <c r="AN311" s="79" t="s">
        <v>80</v>
      </c>
      <c r="AO311" s="75">
        <v>1</v>
      </c>
      <c r="AP311" s="75" t="s">
        <v>83</v>
      </c>
      <c r="AQ311" s="122">
        <v>1</v>
      </c>
      <c r="AR311" s="515" t="s">
        <v>10</v>
      </c>
      <c r="AS311" s="95">
        <v>0</v>
      </c>
      <c r="AT311" s="75">
        <v>0</v>
      </c>
      <c r="AU311" s="75">
        <v>0</v>
      </c>
      <c r="AV311" s="75">
        <v>0</v>
      </c>
      <c r="AW311" s="123">
        <v>0</v>
      </c>
      <c r="AX311" s="516"/>
      <c r="AY311" s="75">
        <v>0</v>
      </c>
      <c r="AZ311" s="77" t="s">
        <v>131</v>
      </c>
      <c r="BA311" s="78" t="s">
        <v>131</v>
      </c>
      <c r="BB311" s="78" t="s">
        <v>131</v>
      </c>
      <c r="BC311" s="78" t="s">
        <v>131</v>
      </c>
      <c r="BD311" s="78" t="s">
        <v>131</v>
      </c>
      <c r="BE311" s="78" t="s">
        <v>131</v>
      </c>
      <c r="BF311" s="78" t="s">
        <v>131</v>
      </c>
      <c r="BG311" s="78" t="s">
        <v>132</v>
      </c>
      <c r="BH311" s="75" t="s">
        <v>5970</v>
      </c>
      <c r="BI311" s="295" t="s">
        <v>5965</v>
      </c>
      <c r="BJ311" s="546">
        <v>1</v>
      </c>
      <c r="BK311" s="294" t="s">
        <v>16</v>
      </c>
      <c r="BL311" s="157" t="s">
        <v>16</v>
      </c>
      <c r="BM311" s="548" t="s">
        <v>1345</v>
      </c>
      <c r="BN311" s="548" t="s">
        <v>4162</v>
      </c>
      <c r="BO311" s="157" t="s">
        <v>4748</v>
      </c>
      <c r="BP311" s="548" t="s">
        <v>4749</v>
      </c>
      <c r="BQ311" s="157" t="s">
        <v>4747</v>
      </c>
      <c r="BR311" s="157"/>
    </row>
    <row r="312" spans="1:70" x14ac:dyDescent="0.25">
      <c r="A312" s="19" t="s">
        <v>3686</v>
      </c>
      <c r="B312" s="37" t="s">
        <v>5455</v>
      </c>
      <c r="C312" s="90">
        <v>45443.66679398148</v>
      </c>
      <c r="D312" s="114">
        <v>45443.41679398148</v>
      </c>
      <c r="E312" s="38">
        <v>45443</v>
      </c>
      <c r="F312" s="91">
        <v>2024</v>
      </c>
      <c r="G312" s="93">
        <v>5</v>
      </c>
      <c r="H312" s="37" t="s">
        <v>5456</v>
      </c>
      <c r="I312" s="37"/>
      <c r="J312" s="103">
        <v>-93.151433699999998</v>
      </c>
      <c r="K312" s="40">
        <v>44.641173500000001</v>
      </c>
      <c r="L312" s="74"/>
      <c r="M312" s="272" t="s">
        <v>5457</v>
      </c>
      <c r="N312" s="74">
        <v>1</v>
      </c>
      <c r="O312" s="94"/>
      <c r="P312" s="118">
        <v>1</v>
      </c>
      <c r="Q312" s="510">
        <v>0</v>
      </c>
      <c r="R312" s="513">
        <v>120</v>
      </c>
      <c r="S312" s="41"/>
      <c r="T312" s="40"/>
      <c r="U312" s="40">
        <v>7.5</v>
      </c>
      <c r="V312" s="119">
        <v>0</v>
      </c>
      <c r="W312" s="40"/>
      <c r="X312" s="119">
        <v>1</v>
      </c>
      <c r="Y312" s="40">
        <v>58</v>
      </c>
      <c r="Z312" s="119">
        <v>1</v>
      </c>
      <c r="AA312" s="368">
        <v>0</v>
      </c>
      <c r="AB312" s="535">
        <v>0</v>
      </c>
      <c r="AC312" s="39"/>
      <c r="AD312" s="75" t="s">
        <v>8</v>
      </c>
      <c r="AE312" s="95">
        <v>0</v>
      </c>
      <c r="AF312" s="75">
        <v>1</v>
      </c>
      <c r="AG312" s="75">
        <v>0</v>
      </c>
      <c r="AH312" s="75">
        <v>0</v>
      </c>
      <c r="AI312" s="75">
        <v>0</v>
      </c>
      <c r="AJ312" s="75">
        <v>0</v>
      </c>
      <c r="AK312" s="75">
        <v>0</v>
      </c>
      <c r="AL312" s="95">
        <v>0</v>
      </c>
      <c r="AM312" s="92">
        <v>0</v>
      </c>
      <c r="AN312" s="79" t="s">
        <v>81</v>
      </c>
      <c r="AO312" s="75">
        <v>1</v>
      </c>
      <c r="AP312" s="75" t="s">
        <v>84</v>
      </c>
      <c r="AQ312" s="122">
        <v>1</v>
      </c>
      <c r="AR312" s="515" t="s">
        <v>13</v>
      </c>
      <c r="AS312" s="95">
        <v>1</v>
      </c>
      <c r="AT312" s="75">
        <v>0</v>
      </c>
      <c r="AU312" s="75">
        <v>0</v>
      </c>
      <c r="AV312" s="75">
        <v>0</v>
      </c>
      <c r="AW312" s="123">
        <v>0</v>
      </c>
      <c r="AX312" s="516"/>
      <c r="AY312" s="75">
        <v>0</v>
      </c>
      <c r="AZ312" s="77" t="s">
        <v>131</v>
      </c>
      <c r="BA312" s="78" t="s">
        <v>132</v>
      </c>
      <c r="BB312" s="78" t="s">
        <v>131</v>
      </c>
      <c r="BC312" s="78" t="s">
        <v>131</v>
      </c>
      <c r="BD312" s="78" t="s">
        <v>131</v>
      </c>
      <c r="BE312" s="78" t="s">
        <v>131</v>
      </c>
      <c r="BF312" s="78" t="s">
        <v>131</v>
      </c>
      <c r="BG312" s="78" t="s">
        <v>131</v>
      </c>
      <c r="BH312" s="75" t="s">
        <v>5970</v>
      </c>
      <c r="BI312" s="295" t="s">
        <v>2233</v>
      </c>
      <c r="BJ312" s="546">
        <v>1</v>
      </c>
      <c r="BK312" s="294" t="s">
        <v>16</v>
      </c>
      <c r="BL312" s="157" t="s">
        <v>16</v>
      </c>
      <c r="BM312" s="548" t="s">
        <v>2343</v>
      </c>
      <c r="BN312" s="548" t="s">
        <v>5969</v>
      </c>
      <c r="BO312" s="157" t="s">
        <v>4685</v>
      </c>
      <c r="BP312" s="548" t="s">
        <v>4686</v>
      </c>
      <c r="BQ312" s="157" t="s">
        <v>4292</v>
      </c>
      <c r="BR312" s="157"/>
    </row>
    <row r="313" spans="1:70" x14ac:dyDescent="0.25">
      <c r="A313" s="19" t="s">
        <v>3686</v>
      </c>
      <c r="B313" s="37" t="s">
        <v>5458</v>
      </c>
      <c r="C313" s="90">
        <v>45443.651412037034</v>
      </c>
      <c r="D313" s="114">
        <v>45443.401412037034</v>
      </c>
      <c r="E313" s="38">
        <v>45443</v>
      </c>
      <c r="F313" s="91">
        <v>2024</v>
      </c>
      <c r="G313" s="93">
        <v>5</v>
      </c>
      <c r="H313" s="37" t="s">
        <v>5456</v>
      </c>
      <c r="I313" s="37"/>
      <c r="J313" s="103">
        <v>-93.151350800000003</v>
      </c>
      <c r="K313" s="40">
        <v>44.641131600000001</v>
      </c>
      <c r="L313" s="74"/>
      <c r="M313" s="272" t="s">
        <v>16</v>
      </c>
      <c r="N313" s="74">
        <v>0</v>
      </c>
      <c r="O313" s="94"/>
      <c r="P313" s="118">
        <v>1</v>
      </c>
      <c r="Q313" s="510">
        <v>0</v>
      </c>
      <c r="R313" s="513">
        <v>60</v>
      </c>
      <c r="S313" s="41"/>
      <c r="T313" s="40"/>
      <c r="U313" s="40">
        <v>7.5</v>
      </c>
      <c r="V313" s="119">
        <v>0</v>
      </c>
      <c r="W313" s="40"/>
      <c r="X313" s="119">
        <v>0</v>
      </c>
      <c r="Y313" s="40"/>
      <c r="Z313" s="119">
        <v>1</v>
      </c>
      <c r="AA313" s="368">
        <v>0</v>
      </c>
      <c r="AB313" s="535">
        <v>0</v>
      </c>
      <c r="AC313" s="39"/>
      <c r="AD313" s="75" t="s">
        <v>8</v>
      </c>
      <c r="AE313" s="95">
        <v>0</v>
      </c>
      <c r="AF313" s="75">
        <v>1</v>
      </c>
      <c r="AG313" s="75">
        <v>0</v>
      </c>
      <c r="AH313" s="75">
        <v>0</v>
      </c>
      <c r="AI313" s="75">
        <v>0</v>
      </c>
      <c r="AJ313" s="75">
        <v>0</v>
      </c>
      <c r="AK313" s="75">
        <v>0</v>
      </c>
      <c r="AL313" s="95">
        <v>0</v>
      </c>
      <c r="AM313" s="92">
        <v>0</v>
      </c>
      <c r="AN313" s="79" t="s">
        <v>81</v>
      </c>
      <c r="AO313" s="75">
        <v>1</v>
      </c>
      <c r="AP313" s="75" t="s">
        <v>84</v>
      </c>
      <c r="AQ313" s="122">
        <v>1</v>
      </c>
      <c r="AR313" s="515" t="s">
        <v>13</v>
      </c>
      <c r="AS313" s="95">
        <v>1</v>
      </c>
      <c r="AT313" s="75">
        <v>0</v>
      </c>
      <c r="AU313" s="75">
        <v>0</v>
      </c>
      <c r="AV313" s="75">
        <v>0</v>
      </c>
      <c r="AW313" s="123">
        <v>0</v>
      </c>
      <c r="AX313" s="516"/>
      <c r="AY313" s="75">
        <v>0</v>
      </c>
      <c r="AZ313" s="77" t="s">
        <v>131</v>
      </c>
      <c r="BA313" s="78" t="s">
        <v>132</v>
      </c>
      <c r="BB313" s="78" t="s">
        <v>131</v>
      </c>
      <c r="BC313" s="78" t="s">
        <v>131</v>
      </c>
      <c r="BD313" s="78" t="s">
        <v>131</v>
      </c>
      <c r="BE313" s="78" t="s">
        <v>131</v>
      </c>
      <c r="BF313" s="78" t="s">
        <v>131</v>
      </c>
      <c r="BG313" s="78" t="s">
        <v>131</v>
      </c>
      <c r="BH313" s="75" t="s">
        <v>5970</v>
      </c>
      <c r="BI313" s="295" t="s">
        <v>2233</v>
      </c>
      <c r="BJ313" s="546">
        <v>1</v>
      </c>
      <c r="BK313" s="294" t="s">
        <v>16</v>
      </c>
      <c r="BL313" s="157" t="s">
        <v>16</v>
      </c>
      <c r="BM313" s="548" t="s">
        <v>2343</v>
      </c>
      <c r="BN313" s="548" t="s">
        <v>5969</v>
      </c>
      <c r="BO313" s="157" t="s">
        <v>4685</v>
      </c>
      <c r="BP313" s="548" t="s">
        <v>4686</v>
      </c>
      <c r="BQ313" s="157" t="s">
        <v>4292</v>
      </c>
      <c r="BR313" s="157"/>
    </row>
    <row r="314" spans="1:70" x14ac:dyDescent="0.25">
      <c r="A314" s="19" t="s">
        <v>3686</v>
      </c>
      <c r="B314" s="37" t="s">
        <v>5459</v>
      </c>
      <c r="C314" s="90">
        <v>45441.994606481479</v>
      </c>
      <c r="D314" s="114">
        <v>45441.744606481479</v>
      </c>
      <c r="E314" s="38">
        <v>45441</v>
      </c>
      <c r="F314" s="91">
        <v>2024</v>
      </c>
      <c r="G314" s="93">
        <v>5</v>
      </c>
      <c r="H314" s="37" t="s">
        <v>1616</v>
      </c>
      <c r="I314" s="37" t="s">
        <v>1212</v>
      </c>
      <c r="J314" s="103">
        <v>-92.236535000000003</v>
      </c>
      <c r="K314" s="40">
        <v>44.8398161</v>
      </c>
      <c r="L314" s="74"/>
      <c r="M314" s="272" t="s">
        <v>5460</v>
      </c>
      <c r="N314" s="74">
        <v>1</v>
      </c>
      <c r="O314" s="94"/>
      <c r="P314" s="118">
        <v>1</v>
      </c>
      <c r="Q314" s="510">
        <v>40</v>
      </c>
      <c r="R314" s="513">
        <v>60</v>
      </c>
      <c r="S314" s="41"/>
      <c r="T314" s="40"/>
      <c r="U314" s="40">
        <v>7.5</v>
      </c>
      <c r="V314" s="119">
        <v>1</v>
      </c>
      <c r="W314" s="40">
        <v>100</v>
      </c>
      <c r="X314" s="119">
        <v>1</v>
      </c>
      <c r="Y314" s="40">
        <v>63</v>
      </c>
      <c r="Z314" s="119">
        <v>1</v>
      </c>
      <c r="AA314" s="368">
        <v>0</v>
      </c>
      <c r="AB314" s="535">
        <v>2</v>
      </c>
      <c r="AC314" s="39" t="s">
        <v>160</v>
      </c>
      <c r="AD314" s="75" t="s">
        <v>16</v>
      </c>
      <c r="AE314" s="95">
        <v>-1</v>
      </c>
      <c r="AF314" s="75">
        <v>-1</v>
      </c>
      <c r="AG314" s="75">
        <v>-1</v>
      </c>
      <c r="AH314" s="75">
        <v>-1</v>
      </c>
      <c r="AI314" s="75">
        <v>-1</v>
      </c>
      <c r="AJ314" s="75">
        <v>-1</v>
      </c>
      <c r="AK314" s="75">
        <v>-1</v>
      </c>
      <c r="AL314" s="95">
        <v>-1</v>
      </c>
      <c r="AM314" s="92">
        <v>1</v>
      </c>
      <c r="AN314" s="79" t="s">
        <v>80</v>
      </c>
      <c r="AO314" s="75">
        <v>1</v>
      </c>
      <c r="AP314" s="75" t="s">
        <v>84</v>
      </c>
      <c r="AQ314" s="122">
        <v>1</v>
      </c>
      <c r="AR314" s="515" t="s">
        <v>10</v>
      </c>
      <c r="AS314" s="95">
        <v>0</v>
      </c>
      <c r="AT314" s="75">
        <v>0</v>
      </c>
      <c r="AU314" s="75">
        <v>0</v>
      </c>
      <c r="AV314" s="75">
        <v>0</v>
      </c>
      <c r="AW314" s="123">
        <v>0</v>
      </c>
      <c r="AX314" s="516"/>
      <c r="AY314" s="75">
        <v>0</v>
      </c>
      <c r="AZ314" s="77" t="s">
        <v>5971</v>
      </c>
      <c r="BA314" s="78" t="s">
        <v>5971</v>
      </c>
      <c r="BB314" s="78" t="s">
        <v>5971</v>
      </c>
      <c r="BC314" s="78" t="s">
        <v>5971</v>
      </c>
      <c r="BD314" s="78" t="s">
        <v>5971</v>
      </c>
      <c r="BE314" s="78" t="s">
        <v>5971</v>
      </c>
      <c r="BF314" s="78" t="s">
        <v>5971</v>
      </c>
      <c r="BG314" s="78" t="s">
        <v>5971</v>
      </c>
      <c r="BH314" s="75" t="s">
        <v>5971</v>
      </c>
      <c r="BI314" s="295" t="s">
        <v>2247</v>
      </c>
      <c r="BJ314" s="546">
        <v>1</v>
      </c>
      <c r="BK314" s="294">
        <v>1</v>
      </c>
      <c r="BL314" s="157">
        <v>1</v>
      </c>
      <c r="BM314" s="548" t="s">
        <v>578</v>
      </c>
      <c r="BN314" s="548" t="s">
        <v>578</v>
      </c>
      <c r="BO314" s="157" t="s">
        <v>4318</v>
      </c>
      <c r="BP314" s="548" t="s">
        <v>4439</v>
      </c>
      <c r="BQ314" s="157" t="s">
        <v>4316</v>
      </c>
      <c r="BR314" s="157"/>
    </row>
    <row r="315" spans="1:70" x14ac:dyDescent="0.25">
      <c r="A315" s="19" t="s">
        <v>3686</v>
      </c>
      <c r="B315" s="37" t="s">
        <v>5461</v>
      </c>
      <c r="C315" s="90">
        <v>45441.609143518515</v>
      </c>
      <c r="D315" s="114">
        <v>45441.359143518515</v>
      </c>
      <c r="E315" s="38">
        <v>45441</v>
      </c>
      <c r="F315" s="91">
        <v>2024</v>
      </c>
      <c r="G315" s="93">
        <v>5</v>
      </c>
      <c r="H315" s="37" t="s">
        <v>2548</v>
      </c>
      <c r="I315" s="37"/>
      <c r="J315" s="103">
        <v>-90.70311807993896</v>
      </c>
      <c r="K315" s="40">
        <v>43.135789191856396</v>
      </c>
      <c r="L315" s="74"/>
      <c r="M315" s="272" t="s">
        <v>5462</v>
      </c>
      <c r="N315" s="74">
        <v>1</v>
      </c>
      <c r="O315" s="94"/>
      <c r="P315" s="118">
        <v>1</v>
      </c>
      <c r="Q315" s="510">
        <v>180</v>
      </c>
      <c r="R315" s="513">
        <v>120</v>
      </c>
      <c r="S315" s="41"/>
      <c r="T315" s="40"/>
      <c r="U315" s="40">
        <v>8</v>
      </c>
      <c r="V315" s="119">
        <v>1</v>
      </c>
      <c r="W315" s="40">
        <v>0</v>
      </c>
      <c r="X315" s="119">
        <v>1</v>
      </c>
      <c r="Y315" s="40">
        <v>53</v>
      </c>
      <c r="Z315" s="119">
        <v>1</v>
      </c>
      <c r="AA315" s="368">
        <v>0</v>
      </c>
      <c r="AB315" s="535">
        <v>2</v>
      </c>
      <c r="AC315" s="39" t="s">
        <v>160</v>
      </c>
      <c r="AD315" s="75" t="s">
        <v>10</v>
      </c>
      <c r="AE315" s="95">
        <v>0</v>
      </c>
      <c r="AF315" s="75">
        <v>0</v>
      </c>
      <c r="AG315" s="75">
        <v>0</v>
      </c>
      <c r="AH315" s="75">
        <v>0</v>
      </c>
      <c r="AI315" s="75">
        <v>0</v>
      </c>
      <c r="AJ315" s="75">
        <v>0</v>
      </c>
      <c r="AK315" s="75">
        <v>0</v>
      </c>
      <c r="AL315" s="95">
        <v>1</v>
      </c>
      <c r="AM315" s="92">
        <v>0</v>
      </c>
      <c r="AN315" s="79" t="s">
        <v>80</v>
      </c>
      <c r="AO315" s="75">
        <v>1</v>
      </c>
      <c r="AP315" s="75" t="s">
        <v>83</v>
      </c>
      <c r="AQ315" s="122">
        <v>1</v>
      </c>
      <c r="AR315" s="515" t="s">
        <v>13</v>
      </c>
      <c r="AS315" s="95">
        <v>1</v>
      </c>
      <c r="AT315" s="75">
        <v>0</v>
      </c>
      <c r="AU315" s="75">
        <v>0</v>
      </c>
      <c r="AV315" s="75">
        <v>0</v>
      </c>
      <c r="AW315" s="123">
        <v>0</v>
      </c>
      <c r="AX315" s="516"/>
      <c r="AY315" s="75">
        <v>0</v>
      </c>
      <c r="AZ315" s="77" t="s">
        <v>131</v>
      </c>
      <c r="BA315" s="78" t="s">
        <v>131</v>
      </c>
      <c r="BB315" s="78" t="s">
        <v>131</v>
      </c>
      <c r="BC315" s="78" t="s">
        <v>131</v>
      </c>
      <c r="BD315" s="78" t="s">
        <v>131</v>
      </c>
      <c r="BE315" s="78" t="s">
        <v>131</v>
      </c>
      <c r="BF315" s="78" t="s">
        <v>131</v>
      </c>
      <c r="BG315" s="78" t="s">
        <v>132</v>
      </c>
      <c r="BH315" s="75" t="s">
        <v>5970</v>
      </c>
      <c r="BI315" s="295" t="s">
        <v>16</v>
      </c>
      <c r="BJ315" s="546">
        <v>1</v>
      </c>
      <c r="BK315" s="294" t="s">
        <v>16</v>
      </c>
      <c r="BL315" s="157" t="s">
        <v>16</v>
      </c>
      <c r="BM315" s="548" t="s">
        <v>1345</v>
      </c>
      <c r="BN315" s="548" t="s">
        <v>4158</v>
      </c>
      <c r="BO315" s="157" t="s">
        <v>5889</v>
      </c>
      <c r="BP315" s="548" t="s">
        <v>5890</v>
      </c>
      <c r="BQ315" s="157" t="s">
        <v>4299</v>
      </c>
      <c r="BR315" s="157"/>
    </row>
    <row r="316" spans="1:70" x14ac:dyDescent="0.25">
      <c r="A316" s="19" t="s">
        <v>3686</v>
      </c>
      <c r="B316" s="37" t="s">
        <v>5463</v>
      </c>
      <c r="C316" s="90">
        <v>45440.783518518518</v>
      </c>
      <c r="D316" s="114">
        <v>45440.533518518518</v>
      </c>
      <c r="E316" s="38">
        <v>45440</v>
      </c>
      <c r="F316" s="91">
        <v>2024</v>
      </c>
      <c r="G316" s="93">
        <v>5</v>
      </c>
      <c r="H316" s="37" t="s">
        <v>599</v>
      </c>
      <c r="I316" s="37" t="s">
        <v>2361</v>
      </c>
      <c r="J316" s="103">
        <v>-92.442901465951365</v>
      </c>
      <c r="K316" s="40">
        <v>44.621400825028601</v>
      </c>
      <c r="L316" s="74"/>
      <c r="M316" s="272" t="s">
        <v>16</v>
      </c>
      <c r="N316" s="74">
        <v>0</v>
      </c>
      <c r="O316" s="94"/>
      <c r="P316" s="118">
        <v>1</v>
      </c>
      <c r="Q316" s="510">
        <v>120</v>
      </c>
      <c r="R316" s="513">
        <v>180</v>
      </c>
      <c r="S316" s="41"/>
      <c r="T316" s="40"/>
      <c r="U316" s="40">
        <v>8</v>
      </c>
      <c r="V316" s="119">
        <v>1</v>
      </c>
      <c r="W316" s="40">
        <v>200</v>
      </c>
      <c r="X316" s="119">
        <v>1</v>
      </c>
      <c r="Y316" s="40">
        <v>55</v>
      </c>
      <c r="Z316" s="119">
        <v>1</v>
      </c>
      <c r="AA316" s="368">
        <v>0</v>
      </c>
      <c r="AB316" s="535">
        <v>5</v>
      </c>
      <c r="AC316" s="39" t="s">
        <v>160</v>
      </c>
      <c r="AD316" s="75" t="s">
        <v>10</v>
      </c>
      <c r="AE316" s="95">
        <v>0</v>
      </c>
      <c r="AF316" s="75">
        <v>0</v>
      </c>
      <c r="AG316" s="75">
        <v>0</v>
      </c>
      <c r="AH316" s="75">
        <v>0</v>
      </c>
      <c r="AI316" s="75">
        <v>0</v>
      </c>
      <c r="AJ316" s="75">
        <v>0</v>
      </c>
      <c r="AK316" s="75">
        <v>0</v>
      </c>
      <c r="AL316" s="95">
        <v>1</v>
      </c>
      <c r="AM316" s="92">
        <v>0</v>
      </c>
      <c r="AN316" s="79" t="s">
        <v>81</v>
      </c>
      <c r="AO316" s="75">
        <v>1</v>
      </c>
      <c r="AP316" s="75" t="s">
        <v>84</v>
      </c>
      <c r="AQ316" s="122">
        <v>1</v>
      </c>
      <c r="AR316" s="515" t="s">
        <v>10</v>
      </c>
      <c r="AS316" s="95">
        <v>0</v>
      </c>
      <c r="AT316" s="75">
        <v>0</v>
      </c>
      <c r="AU316" s="75">
        <v>0</v>
      </c>
      <c r="AV316" s="75">
        <v>0</v>
      </c>
      <c r="AW316" s="123">
        <v>0</v>
      </c>
      <c r="AX316" s="516"/>
      <c r="AY316" s="75">
        <v>0</v>
      </c>
      <c r="AZ316" s="77" t="s">
        <v>131</v>
      </c>
      <c r="BA316" s="78" t="s">
        <v>131</v>
      </c>
      <c r="BB316" s="78" t="s">
        <v>131</v>
      </c>
      <c r="BC316" s="78" t="s">
        <v>131</v>
      </c>
      <c r="BD316" s="78" t="s">
        <v>131</v>
      </c>
      <c r="BE316" s="78" t="s">
        <v>131</v>
      </c>
      <c r="BF316" s="78" t="s">
        <v>131</v>
      </c>
      <c r="BG316" s="78" t="s">
        <v>132</v>
      </c>
      <c r="BH316" s="75" t="s">
        <v>5970</v>
      </c>
      <c r="BI316" s="295" t="s">
        <v>2289</v>
      </c>
      <c r="BJ316" s="546">
        <v>1</v>
      </c>
      <c r="BK316" s="294" t="s">
        <v>16</v>
      </c>
      <c r="BL316" s="157" t="s">
        <v>16</v>
      </c>
      <c r="BM316" s="548" t="s">
        <v>578</v>
      </c>
      <c r="BN316" s="548" t="s">
        <v>544</v>
      </c>
      <c r="BO316" s="157" t="s">
        <v>4283</v>
      </c>
      <c r="BP316" s="548" t="s">
        <v>2289</v>
      </c>
      <c r="BQ316" s="157" t="s">
        <v>4214</v>
      </c>
      <c r="BR316" s="157"/>
    </row>
    <row r="317" spans="1:70" x14ac:dyDescent="0.25">
      <c r="A317" s="19" t="s">
        <v>3686</v>
      </c>
      <c r="B317" s="37" t="s">
        <v>5464</v>
      </c>
      <c r="C317" s="90">
        <v>45439.646018518521</v>
      </c>
      <c r="D317" s="114">
        <v>45439.396018518521</v>
      </c>
      <c r="E317" s="38">
        <v>45439</v>
      </c>
      <c r="F317" s="91">
        <v>2024</v>
      </c>
      <c r="G317" s="93">
        <v>5</v>
      </c>
      <c r="H317" s="37" t="s">
        <v>475</v>
      </c>
      <c r="I317" s="37"/>
      <c r="J317" s="103">
        <v>-92.649984732759478</v>
      </c>
      <c r="K317" s="40">
        <v>44.075201598585899</v>
      </c>
      <c r="L317" s="74"/>
      <c r="M317" s="272" t="s">
        <v>16</v>
      </c>
      <c r="N317" s="74">
        <v>0</v>
      </c>
      <c r="O317" s="94"/>
      <c r="P317" s="118">
        <v>0</v>
      </c>
      <c r="Q317" s="510"/>
      <c r="R317" s="513"/>
      <c r="S317" s="41"/>
      <c r="T317" s="40"/>
      <c r="U317" s="40"/>
      <c r="V317" s="119">
        <v>0</v>
      </c>
      <c r="W317" s="40"/>
      <c r="X317" s="119">
        <v>1</v>
      </c>
      <c r="Y317" s="40">
        <v>50</v>
      </c>
      <c r="Z317" s="119">
        <v>1</v>
      </c>
      <c r="AA317" s="368">
        <v>0</v>
      </c>
      <c r="AB317" s="535">
        <v>10</v>
      </c>
      <c r="AC317" s="39" t="s">
        <v>160</v>
      </c>
      <c r="AD317" s="75" t="s">
        <v>16</v>
      </c>
      <c r="AE317" s="95">
        <v>-1</v>
      </c>
      <c r="AF317" s="75">
        <v>-1</v>
      </c>
      <c r="AG317" s="75">
        <v>-1</v>
      </c>
      <c r="AH317" s="75">
        <v>-1</v>
      </c>
      <c r="AI317" s="75">
        <v>-1</v>
      </c>
      <c r="AJ317" s="75">
        <v>-1</v>
      </c>
      <c r="AK317" s="75">
        <v>-1</v>
      </c>
      <c r="AL317" s="95">
        <v>-1</v>
      </c>
      <c r="AM317" s="92">
        <v>1</v>
      </c>
      <c r="AN317" s="79"/>
      <c r="AO317" s="75">
        <v>0</v>
      </c>
      <c r="AP317" s="75"/>
      <c r="AQ317" s="122">
        <v>0</v>
      </c>
      <c r="AR317" s="515" t="s">
        <v>16</v>
      </c>
      <c r="AS317" s="95">
        <v>-1</v>
      </c>
      <c r="AT317" s="75">
        <v>-1</v>
      </c>
      <c r="AU317" s="75">
        <v>-1</v>
      </c>
      <c r="AV317" s="75">
        <v>-1</v>
      </c>
      <c r="AW317" s="123">
        <v>1</v>
      </c>
      <c r="AX317" s="516" t="s">
        <v>5465</v>
      </c>
      <c r="AY317" s="75">
        <v>1</v>
      </c>
      <c r="AZ317" s="77" t="s">
        <v>5971</v>
      </c>
      <c r="BA317" s="78" t="s">
        <v>5971</v>
      </c>
      <c r="BB317" s="78" t="s">
        <v>5971</v>
      </c>
      <c r="BC317" s="78" t="s">
        <v>5971</v>
      </c>
      <c r="BD317" s="78" t="s">
        <v>5971</v>
      </c>
      <c r="BE317" s="78" t="s">
        <v>5971</v>
      </c>
      <c r="BF317" s="78" t="s">
        <v>5971</v>
      </c>
      <c r="BG317" s="78" t="s">
        <v>5971</v>
      </c>
      <c r="BH317" s="75" t="s">
        <v>5971</v>
      </c>
      <c r="BI317" s="295" t="s">
        <v>5823</v>
      </c>
      <c r="BJ317" s="546" t="s">
        <v>16</v>
      </c>
      <c r="BK317" s="294" t="s">
        <v>16</v>
      </c>
      <c r="BL317" s="157" t="s">
        <v>16</v>
      </c>
      <c r="BM317" s="548" t="s">
        <v>1339</v>
      </c>
      <c r="BN317" s="548" t="s">
        <v>1339</v>
      </c>
      <c r="BO317" s="157" t="s">
        <v>5822</v>
      </c>
      <c r="BP317" s="548" t="s">
        <v>5823</v>
      </c>
      <c r="BQ317" s="157" t="s">
        <v>5821</v>
      </c>
      <c r="BR317" s="157"/>
    </row>
    <row r="318" spans="1:70" x14ac:dyDescent="0.25">
      <c r="A318" s="19" t="s">
        <v>3686</v>
      </c>
      <c r="B318" s="37" t="s">
        <v>5466</v>
      </c>
      <c r="C318" s="90">
        <v>45435.701388888891</v>
      </c>
      <c r="D318" s="114">
        <v>45435.451388888891</v>
      </c>
      <c r="E318" s="38">
        <v>45435</v>
      </c>
      <c r="F318" s="91">
        <v>2024</v>
      </c>
      <c r="G318" s="93">
        <v>5</v>
      </c>
      <c r="H318" s="37" t="s">
        <v>1386</v>
      </c>
      <c r="I318" s="37"/>
      <c r="J318" s="103">
        <v>-91.878845499999997</v>
      </c>
      <c r="K318" s="40">
        <v>43.877980299999997</v>
      </c>
      <c r="L318" s="74"/>
      <c r="M318" s="272" t="s">
        <v>16</v>
      </c>
      <c r="N318" s="74">
        <v>0</v>
      </c>
      <c r="O318" s="94"/>
      <c r="P318" s="118">
        <v>1</v>
      </c>
      <c r="Q318" s="510">
        <v>120</v>
      </c>
      <c r="R318" s="513">
        <v>120</v>
      </c>
      <c r="S318" s="41"/>
      <c r="T318" s="40"/>
      <c r="U318" s="40">
        <v>7</v>
      </c>
      <c r="V318" s="119">
        <v>1</v>
      </c>
      <c r="W318" s="40">
        <v>0</v>
      </c>
      <c r="X318" s="119">
        <v>1</v>
      </c>
      <c r="Y318" s="40">
        <v>55</v>
      </c>
      <c r="Z318" s="119">
        <v>1</v>
      </c>
      <c r="AA318" s="368">
        <v>0</v>
      </c>
      <c r="AB318" s="535">
        <v>5</v>
      </c>
      <c r="AC318" s="39" t="s">
        <v>160</v>
      </c>
      <c r="AD318" s="75" t="s">
        <v>10</v>
      </c>
      <c r="AE318" s="95">
        <v>0</v>
      </c>
      <c r="AF318" s="75">
        <v>0</v>
      </c>
      <c r="AG318" s="75">
        <v>0</v>
      </c>
      <c r="AH318" s="75">
        <v>0</v>
      </c>
      <c r="AI318" s="75">
        <v>0</v>
      </c>
      <c r="AJ318" s="75">
        <v>0</v>
      </c>
      <c r="AK318" s="75">
        <v>0</v>
      </c>
      <c r="AL318" s="95">
        <v>1</v>
      </c>
      <c r="AM318" s="92">
        <v>0</v>
      </c>
      <c r="AN318" s="79" t="s">
        <v>80</v>
      </c>
      <c r="AO318" s="75">
        <v>1</v>
      </c>
      <c r="AP318" s="75" t="s">
        <v>83</v>
      </c>
      <c r="AQ318" s="122">
        <v>1</v>
      </c>
      <c r="AR318" s="515" t="s">
        <v>10</v>
      </c>
      <c r="AS318" s="95">
        <v>0</v>
      </c>
      <c r="AT318" s="75">
        <v>0</v>
      </c>
      <c r="AU318" s="75">
        <v>0</v>
      </c>
      <c r="AV318" s="75">
        <v>0</v>
      </c>
      <c r="AW318" s="123">
        <v>0</v>
      </c>
      <c r="AX318" s="516"/>
      <c r="AY318" s="75">
        <v>0</v>
      </c>
      <c r="AZ318" s="77" t="s">
        <v>131</v>
      </c>
      <c r="BA318" s="78" t="s">
        <v>131</v>
      </c>
      <c r="BB318" s="78" t="s">
        <v>131</v>
      </c>
      <c r="BC318" s="78" t="s">
        <v>131</v>
      </c>
      <c r="BD318" s="78" t="s">
        <v>131</v>
      </c>
      <c r="BE318" s="78" t="s">
        <v>131</v>
      </c>
      <c r="BF318" s="78" t="s">
        <v>131</v>
      </c>
      <c r="BG318" s="78" t="s">
        <v>132</v>
      </c>
      <c r="BH318" s="75" t="s">
        <v>5970</v>
      </c>
      <c r="BI318" s="295">
        <v>0</v>
      </c>
      <c r="BJ318" s="546">
        <v>1</v>
      </c>
      <c r="BK318" s="294">
        <v>1</v>
      </c>
      <c r="BL318" s="157">
        <v>1</v>
      </c>
      <c r="BM318" s="548" t="s">
        <v>1341</v>
      </c>
      <c r="BN318" s="548" t="s">
        <v>1339</v>
      </c>
      <c r="BO318" s="157" t="s">
        <v>4640</v>
      </c>
      <c r="BP318" s="548" t="s">
        <v>2261</v>
      </c>
      <c r="BQ318" s="157" t="s">
        <v>4635</v>
      </c>
      <c r="BR318" s="157"/>
    </row>
    <row r="319" spans="1:70" x14ac:dyDescent="0.25">
      <c r="A319" s="19" t="s">
        <v>3686</v>
      </c>
      <c r="B319" s="37" t="s">
        <v>5467</v>
      </c>
      <c r="C319" s="90">
        <v>45434.986840277779</v>
      </c>
      <c r="D319" s="114">
        <v>45434.736840277779</v>
      </c>
      <c r="E319" s="38">
        <v>45434</v>
      </c>
      <c r="F319" s="91">
        <v>2024</v>
      </c>
      <c r="G319" s="93">
        <v>5</v>
      </c>
      <c r="H319" s="37" t="s">
        <v>596</v>
      </c>
      <c r="I319" s="37" t="s">
        <v>360</v>
      </c>
      <c r="J319" s="103">
        <v>-92.633970700000006</v>
      </c>
      <c r="K319" s="40">
        <v>44.834445100000003</v>
      </c>
      <c r="L319" s="74"/>
      <c r="M319" s="272" t="s">
        <v>16</v>
      </c>
      <c r="N319" s="74">
        <v>0</v>
      </c>
      <c r="O319" s="94"/>
      <c r="P319" s="118">
        <v>1</v>
      </c>
      <c r="Q319" s="510">
        <v>120</v>
      </c>
      <c r="R319" s="513">
        <v>120</v>
      </c>
      <c r="S319" s="41"/>
      <c r="T319" s="40"/>
      <c r="U319" s="40">
        <v>7.5</v>
      </c>
      <c r="V319" s="119">
        <v>1</v>
      </c>
      <c r="W319" s="40">
        <v>100</v>
      </c>
      <c r="X319" s="119">
        <v>1</v>
      </c>
      <c r="Y319" s="40">
        <v>57</v>
      </c>
      <c r="Z319" s="119">
        <v>1</v>
      </c>
      <c r="AA319" s="368">
        <v>0</v>
      </c>
      <c r="AB319" s="535">
        <v>2</v>
      </c>
      <c r="AC319" s="39" t="s">
        <v>160</v>
      </c>
      <c r="AD319" s="75" t="s">
        <v>10</v>
      </c>
      <c r="AE319" s="95">
        <v>0</v>
      </c>
      <c r="AF319" s="75">
        <v>0</v>
      </c>
      <c r="AG319" s="75">
        <v>0</v>
      </c>
      <c r="AH319" s="75">
        <v>0</v>
      </c>
      <c r="AI319" s="75">
        <v>0</v>
      </c>
      <c r="AJ319" s="75">
        <v>0</v>
      </c>
      <c r="AK319" s="75">
        <v>0</v>
      </c>
      <c r="AL319" s="95">
        <v>1</v>
      </c>
      <c r="AM319" s="92">
        <v>0</v>
      </c>
      <c r="AN319" s="79" t="s">
        <v>81</v>
      </c>
      <c r="AO319" s="75">
        <v>1</v>
      </c>
      <c r="AP319" s="75" t="s">
        <v>84</v>
      </c>
      <c r="AQ319" s="122">
        <v>1</v>
      </c>
      <c r="AR319" s="515" t="s">
        <v>13</v>
      </c>
      <c r="AS319" s="95">
        <v>1</v>
      </c>
      <c r="AT319" s="75">
        <v>0</v>
      </c>
      <c r="AU319" s="75">
        <v>0</v>
      </c>
      <c r="AV319" s="75">
        <v>0</v>
      </c>
      <c r="AW319" s="123">
        <v>0</v>
      </c>
      <c r="AX319" s="516" t="s">
        <v>5468</v>
      </c>
      <c r="AY319" s="75">
        <v>1</v>
      </c>
      <c r="AZ319" s="77" t="s">
        <v>131</v>
      </c>
      <c r="BA319" s="78" t="s">
        <v>131</v>
      </c>
      <c r="BB319" s="78" t="s">
        <v>131</v>
      </c>
      <c r="BC319" s="78" t="s">
        <v>131</v>
      </c>
      <c r="BD319" s="78" t="s">
        <v>131</v>
      </c>
      <c r="BE319" s="78" t="s">
        <v>131</v>
      </c>
      <c r="BF319" s="78" t="s">
        <v>131</v>
      </c>
      <c r="BG319" s="78" t="s">
        <v>132</v>
      </c>
      <c r="BH319" s="75" t="s">
        <v>5970</v>
      </c>
      <c r="BI319" s="295">
        <v>0</v>
      </c>
      <c r="BJ319" s="546">
        <v>1</v>
      </c>
      <c r="BK319" s="294" t="s">
        <v>16</v>
      </c>
      <c r="BL319" s="157" t="s">
        <v>16</v>
      </c>
      <c r="BM319" s="548" t="s">
        <v>578</v>
      </c>
      <c r="BN319" s="548" t="s">
        <v>578</v>
      </c>
      <c r="BO319" s="157" t="s">
        <v>4341</v>
      </c>
      <c r="BP319" s="548" t="s">
        <v>4343</v>
      </c>
      <c r="BQ319" s="157" t="s">
        <v>4309</v>
      </c>
      <c r="BR319" s="157"/>
    </row>
    <row r="320" spans="1:70" x14ac:dyDescent="0.25">
      <c r="A320" s="19" t="s">
        <v>3686</v>
      </c>
      <c r="B320" s="37" t="s">
        <v>5469</v>
      </c>
      <c r="C320" s="90">
        <v>45434.821840277778</v>
      </c>
      <c r="D320" s="114">
        <v>45434.571840277778</v>
      </c>
      <c r="E320" s="38">
        <v>45434</v>
      </c>
      <c r="F320" s="91">
        <v>2024</v>
      </c>
      <c r="G320" s="93">
        <v>5</v>
      </c>
      <c r="H320" s="37" t="s">
        <v>5449</v>
      </c>
      <c r="I320" s="37"/>
      <c r="J320" s="103">
        <v>-91.760325194848633</v>
      </c>
      <c r="K320" s="40">
        <v>42.860957836765841</v>
      </c>
      <c r="L320" s="74"/>
      <c r="M320" s="272" t="s">
        <v>5470</v>
      </c>
      <c r="N320" s="74">
        <v>1</v>
      </c>
      <c r="O320" s="94"/>
      <c r="P320" s="118">
        <v>1</v>
      </c>
      <c r="Q320" s="510">
        <v>180</v>
      </c>
      <c r="R320" s="513">
        <v>180</v>
      </c>
      <c r="S320" s="41"/>
      <c r="T320" s="40"/>
      <c r="U320" s="40">
        <v>8</v>
      </c>
      <c r="V320" s="119">
        <v>1</v>
      </c>
      <c r="W320" s="40">
        <v>0</v>
      </c>
      <c r="X320" s="119">
        <v>1</v>
      </c>
      <c r="Y320" s="40">
        <v>60</v>
      </c>
      <c r="Z320" s="119">
        <v>1</v>
      </c>
      <c r="AA320" s="368">
        <v>0</v>
      </c>
      <c r="AB320" s="535">
        <v>2</v>
      </c>
      <c r="AC320" s="39" t="s">
        <v>162</v>
      </c>
      <c r="AD320" s="75" t="s">
        <v>16</v>
      </c>
      <c r="AE320" s="95">
        <v>-1</v>
      </c>
      <c r="AF320" s="75">
        <v>-1</v>
      </c>
      <c r="AG320" s="75">
        <v>-1</v>
      </c>
      <c r="AH320" s="75">
        <v>-1</v>
      </c>
      <c r="AI320" s="75">
        <v>-1</v>
      </c>
      <c r="AJ320" s="75">
        <v>-1</v>
      </c>
      <c r="AK320" s="75">
        <v>-1</v>
      </c>
      <c r="AL320" s="95">
        <v>-1</v>
      </c>
      <c r="AM320" s="92">
        <v>1</v>
      </c>
      <c r="AN320" s="79"/>
      <c r="AO320" s="75">
        <v>0</v>
      </c>
      <c r="AP320" s="75"/>
      <c r="AQ320" s="122">
        <v>0</v>
      </c>
      <c r="AR320" s="515" t="s">
        <v>16</v>
      </c>
      <c r="AS320" s="95">
        <v>-1</v>
      </c>
      <c r="AT320" s="75">
        <v>-1</v>
      </c>
      <c r="AU320" s="75">
        <v>-1</v>
      </c>
      <c r="AV320" s="75">
        <v>-1</v>
      </c>
      <c r="AW320" s="123">
        <v>1</v>
      </c>
      <c r="AX320" s="516"/>
      <c r="AY320" s="75">
        <v>0</v>
      </c>
      <c r="AZ320" s="77" t="s">
        <v>5971</v>
      </c>
      <c r="BA320" s="78" t="s">
        <v>5971</v>
      </c>
      <c r="BB320" s="78" t="s">
        <v>5971</v>
      </c>
      <c r="BC320" s="78" t="s">
        <v>5971</v>
      </c>
      <c r="BD320" s="78" t="s">
        <v>5971</v>
      </c>
      <c r="BE320" s="78" t="s">
        <v>5971</v>
      </c>
      <c r="BF320" s="78" t="s">
        <v>5971</v>
      </c>
      <c r="BG320" s="78" t="s">
        <v>5971</v>
      </c>
      <c r="BH320" s="75" t="s">
        <v>5971</v>
      </c>
      <c r="BI320" s="295" t="s">
        <v>16</v>
      </c>
      <c r="BJ320" s="546">
        <v>1</v>
      </c>
      <c r="BK320" s="294" t="s">
        <v>16</v>
      </c>
      <c r="BL320" s="157" t="s">
        <v>16</v>
      </c>
      <c r="BM320" s="548" t="s">
        <v>1344</v>
      </c>
      <c r="BN320" s="548" t="s">
        <v>5969</v>
      </c>
      <c r="BO320" s="157" t="s">
        <v>4572</v>
      </c>
      <c r="BP320" s="548" t="s">
        <v>4574</v>
      </c>
      <c r="BQ320" s="157" t="s">
        <v>4571</v>
      </c>
      <c r="BR320" s="157"/>
    </row>
    <row r="321" spans="1:70" x14ac:dyDescent="0.25">
      <c r="A321" s="19" t="s">
        <v>3686</v>
      </c>
      <c r="B321" s="37" t="s">
        <v>5471</v>
      </c>
      <c r="C321" s="90">
        <v>45434.817650462966</v>
      </c>
      <c r="D321" s="114">
        <v>45434.567650462966</v>
      </c>
      <c r="E321" s="38">
        <v>45434</v>
      </c>
      <c r="F321" s="91">
        <v>2024</v>
      </c>
      <c r="G321" s="93">
        <v>5</v>
      </c>
      <c r="H321" s="37" t="s">
        <v>1386</v>
      </c>
      <c r="I321" s="37"/>
      <c r="J321" s="103">
        <v>-91.5809979</v>
      </c>
      <c r="K321" s="40">
        <v>43.641412899999999</v>
      </c>
      <c r="L321" s="74"/>
      <c r="M321" s="272" t="s">
        <v>16</v>
      </c>
      <c r="N321" s="74">
        <v>0</v>
      </c>
      <c r="O321" s="94"/>
      <c r="P321" s="118">
        <v>1</v>
      </c>
      <c r="Q321" s="510">
        <v>80</v>
      </c>
      <c r="R321" s="513">
        <v>180</v>
      </c>
      <c r="S321" s="41"/>
      <c r="T321" s="40"/>
      <c r="U321" s="40">
        <v>7.5</v>
      </c>
      <c r="V321" s="119">
        <v>1</v>
      </c>
      <c r="W321" s="40">
        <v>0</v>
      </c>
      <c r="X321" s="119">
        <v>1</v>
      </c>
      <c r="Y321" s="40">
        <v>52</v>
      </c>
      <c r="Z321" s="119">
        <v>1</v>
      </c>
      <c r="AA321" s="368">
        <v>0</v>
      </c>
      <c r="AB321" s="535">
        <v>5</v>
      </c>
      <c r="AC321" s="39" t="s">
        <v>160</v>
      </c>
      <c r="AD321" s="75" t="s">
        <v>16</v>
      </c>
      <c r="AE321" s="95">
        <v>-1</v>
      </c>
      <c r="AF321" s="75">
        <v>-1</v>
      </c>
      <c r="AG321" s="75">
        <v>-1</v>
      </c>
      <c r="AH321" s="75">
        <v>-1</v>
      </c>
      <c r="AI321" s="75">
        <v>-1</v>
      </c>
      <c r="AJ321" s="75">
        <v>-1</v>
      </c>
      <c r="AK321" s="75">
        <v>-1</v>
      </c>
      <c r="AL321" s="95">
        <v>-1</v>
      </c>
      <c r="AM321" s="92">
        <v>1</v>
      </c>
      <c r="AN321" s="79" t="s">
        <v>80</v>
      </c>
      <c r="AO321" s="75">
        <v>1</v>
      </c>
      <c r="AP321" s="75" t="s">
        <v>83</v>
      </c>
      <c r="AQ321" s="122">
        <v>1</v>
      </c>
      <c r="AR321" s="515" t="s">
        <v>10</v>
      </c>
      <c r="AS321" s="95">
        <v>0</v>
      </c>
      <c r="AT321" s="75">
        <v>0</v>
      </c>
      <c r="AU321" s="75">
        <v>0</v>
      </c>
      <c r="AV321" s="75">
        <v>0</v>
      </c>
      <c r="AW321" s="123">
        <v>0</v>
      </c>
      <c r="AX321" s="516"/>
      <c r="AY321" s="75">
        <v>0</v>
      </c>
      <c r="AZ321" s="77" t="s">
        <v>5971</v>
      </c>
      <c r="BA321" s="78" t="s">
        <v>5971</v>
      </c>
      <c r="BB321" s="78" t="s">
        <v>5971</v>
      </c>
      <c r="BC321" s="78" t="s">
        <v>5971</v>
      </c>
      <c r="BD321" s="78" t="s">
        <v>5971</v>
      </c>
      <c r="BE321" s="78" t="s">
        <v>5971</v>
      </c>
      <c r="BF321" s="78" t="s">
        <v>5971</v>
      </c>
      <c r="BG321" s="78" t="s">
        <v>5971</v>
      </c>
      <c r="BH321" s="75" t="s">
        <v>5971</v>
      </c>
      <c r="BI321" s="295" t="s">
        <v>2259</v>
      </c>
      <c r="BJ321" s="546">
        <v>1</v>
      </c>
      <c r="BK321" s="294" t="s">
        <v>16</v>
      </c>
      <c r="BL321" s="157" t="s">
        <v>16</v>
      </c>
      <c r="BM321" s="548" t="s">
        <v>1341</v>
      </c>
      <c r="BN321" s="548" t="s">
        <v>1339</v>
      </c>
      <c r="BO321" s="157" t="s">
        <v>4233</v>
      </c>
      <c r="BP321" s="548" t="s">
        <v>307</v>
      </c>
      <c r="BQ321" s="157" t="s">
        <v>4232</v>
      </c>
      <c r="BR321" s="157"/>
    </row>
    <row r="322" spans="1:70" x14ac:dyDescent="0.25">
      <c r="A322" s="19" t="s">
        <v>3686</v>
      </c>
      <c r="B322" s="37" t="s">
        <v>5472</v>
      </c>
      <c r="C322" s="90">
        <v>45434.796469907407</v>
      </c>
      <c r="D322" s="114">
        <v>45434.546469907407</v>
      </c>
      <c r="E322" s="38">
        <v>45434</v>
      </c>
      <c r="F322" s="91">
        <v>2024</v>
      </c>
      <c r="G322" s="93">
        <v>5</v>
      </c>
      <c r="H322" s="37" t="s">
        <v>1386</v>
      </c>
      <c r="I322" s="37"/>
      <c r="J322" s="103">
        <v>-91.373378400000007</v>
      </c>
      <c r="K322" s="40">
        <v>43.603574299999998</v>
      </c>
      <c r="L322" s="74"/>
      <c r="M322" s="272" t="s">
        <v>16</v>
      </c>
      <c r="N322" s="74">
        <v>0</v>
      </c>
      <c r="O322" s="94"/>
      <c r="P322" s="118">
        <v>1</v>
      </c>
      <c r="Q322" s="510">
        <v>80</v>
      </c>
      <c r="R322" s="513">
        <v>180</v>
      </c>
      <c r="S322" s="41"/>
      <c r="T322" s="40"/>
      <c r="U322" s="40">
        <v>7</v>
      </c>
      <c r="V322" s="119">
        <v>1</v>
      </c>
      <c r="W322" s="40">
        <v>0</v>
      </c>
      <c r="X322" s="119">
        <v>1</v>
      </c>
      <c r="Y322" s="40">
        <v>61</v>
      </c>
      <c r="Z322" s="119">
        <v>1</v>
      </c>
      <c r="AA322" s="368">
        <v>0</v>
      </c>
      <c r="AB322" s="535">
        <v>5</v>
      </c>
      <c r="AC322" s="39" t="s">
        <v>160</v>
      </c>
      <c r="AD322" s="75" t="s">
        <v>10</v>
      </c>
      <c r="AE322" s="95">
        <v>0</v>
      </c>
      <c r="AF322" s="75">
        <v>0</v>
      </c>
      <c r="AG322" s="75">
        <v>0</v>
      </c>
      <c r="AH322" s="75">
        <v>0</v>
      </c>
      <c r="AI322" s="75">
        <v>0</v>
      </c>
      <c r="AJ322" s="75">
        <v>0</v>
      </c>
      <c r="AK322" s="75">
        <v>0</v>
      </c>
      <c r="AL322" s="95">
        <v>1</v>
      </c>
      <c r="AM322" s="92">
        <v>0</v>
      </c>
      <c r="AN322" s="79" t="s">
        <v>195</v>
      </c>
      <c r="AO322" s="75">
        <v>1</v>
      </c>
      <c r="AP322" s="75" t="s">
        <v>84</v>
      </c>
      <c r="AQ322" s="122">
        <v>1</v>
      </c>
      <c r="AR322" s="515" t="s">
        <v>13</v>
      </c>
      <c r="AS322" s="95">
        <v>1</v>
      </c>
      <c r="AT322" s="75">
        <v>0</v>
      </c>
      <c r="AU322" s="75">
        <v>0</v>
      </c>
      <c r="AV322" s="75">
        <v>0</v>
      </c>
      <c r="AW322" s="123">
        <v>0</v>
      </c>
      <c r="AX322" s="516"/>
      <c r="AY322" s="75">
        <v>0</v>
      </c>
      <c r="AZ322" s="77" t="s">
        <v>131</v>
      </c>
      <c r="BA322" s="78" t="s">
        <v>131</v>
      </c>
      <c r="BB322" s="78" t="s">
        <v>131</v>
      </c>
      <c r="BC322" s="78" t="s">
        <v>131</v>
      </c>
      <c r="BD322" s="78" t="s">
        <v>131</v>
      </c>
      <c r="BE322" s="78" t="s">
        <v>131</v>
      </c>
      <c r="BF322" s="78" t="s">
        <v>131</v>
      </c>
      <c r="BG322" s="78" t="s">
        <v>132</v>
      </c>
      <c r="BH322" s="75" t="s">
        <v>5970</v>
      </c>
      <c r="BI322" s="295" t="s">
        <v>16</v>
      </c>
      <c r="BJ322" s="546">
        <v>1</v>
      </c>
      <c r="BK322" s="294" t="s">
        <v>16</v>
      </c>
      <c r="BL322" s="157" t="s">
        <v>16</v>
      </c>
      <c r="BM322" s="548" t="s">
        <v>1341</v>
      </c>
      <c r="BN322" s="548" t="s">
        <v>1339</v>
      </c>
      <c r="BO322" s="157" t="s">
        <v>4235</v>
      </c>
      <c r="BP322" s="548" t="s">
        <v>4237</v>
      </c>
      <c r="BQ322" s="157" t="s">
        <v>4234</v>
      </c>
      <c r="BR322" s="157"/>
    </row>
    <row r="323" spans="1:70" x14ac:dyDescent="0.25">
      <c r="A323" s="19" t="s">
        <v>3686</v>
      </c>
      <c r="B323" s="37" t="s">
        <v>5473</v>
      </c>
      <c r="C323" s="90">
        <v>45434.777083333334</v>
      </c>
      <c r="D323" s="114">
        <v>45434.527083333334</v>
      </c>
      <c r="E323" s="38">
        <v>45434</v>
      </c>
      <c r="F323" s="91">
        <v>2024</v>
      </c>
      <c r="G323" s="93">
        <v>5</v>
      </c>
      <c r="H323" s="37" t="s">
        <v>5429</v>
      </c>
      <c r="I323" s="37"/>
      <c r="J323" s="103">
        <v>-91.758627450101059</v>
      </c>
      <c r="K323" s="40">
        <v>42.860029972914347</v>
      </c>
      <c r="L323" s="74"/>
      <c r="M323" s="272" t="s">
        <v>5474</v>
      </c>
      <c r="N323" s="74">
        <v>1</v>
      </c>
      <c r="O323" s="94"/>
      <c r="P323" s="118">
        <v>1</v>
      </c>
      <c r="Q323" s="510">
        <v>120</v>
      </c>
      <c r="R323" s="513">
        <v>120</v>
      </c>
      <c r="S323" s="41"/>
      <c r="T323" s="40"/>
      <c r="U323" s="40">
        <v>8</v>
      </c>
      <c r="V323" s="119">
        <v>1</v>
      </c>
      <c r="W323" s="40">
        <v>0</v>
      </c>
      <c r="X323" s="119">
        <v>1</v>
      </c>
      <c r="Y323" s="40">
        <v>63</v>
      </c>
      <c r="Z323" s="119">
        <v>1</v>
      </c>
      <c r="AA323" s="368">
        <v>0</v>
      </c>
      <c r="AB323" s="535">
        <v>2</v>
      </c>
      <c r="AC323" s="39" t="s">
        <v>160</v>
      </c>
      <c r="AD323" s="75" t="s">
        <v>16</v>
      </c>
      <c r="AE323" s="95">
        <v>-1</v>
      </c>
      <c r="AF323" s="75">
        <v>-1</v>
      </c>
      <c r="AG323" s="75">
        <v>-1</v>
      </c>
      <c r="AH323" s="75">
        <v>-1</v>
      </c>
      <c r="AI323" s="75">
        <v>-1</v>
      </c>
      <c r="AJ323" s="75">
        <v>-1</v>
      </c>
      <c r="AK323" s="75">
        <v>-1</v>
      </c>
      <c r="AL323" s="95">
        <v>-1</v>
      </c>
      <c r="AM323" s="92">
        <v>1</v>
      </c>
      <c r="AN323" s="79"/>
      <c r="AO323" s="75">
        <v>0</v>
      </c>
      <c r="AP323" s="75"/>
      <c r="AQ323" s="122">
        <v>0</v>
      </c>
      <c r="AR323" s="515" t="s">
        <v>16</v>
      </c>
      <c r="AS323" s="95">
        <v>-1</v>
      </c>
      <c r="AT323" s="75">
        <v>-1</v>
      </c>
      <c r="AU323" s="75">
        <v>-1</v>
      </c>
      <c r="AV323" s="75">
        <v>-1</v>
      </c>
      <c r="AW323" s="123">
        <v>1</v>
      </c>
      <c r="AX323" s="516"/>
      <c r="AY323" s="75">
        <v>0</v>
      </c>
      <c r="AZ323" s="77" t="s">
        <v>5971</v>
      </c>
      <c r="BA323" s="78" t="s">
        <v>5971</v>
      </c>
      <c r="BB323" s="78" t="s">
        <v>5971</v>
      </c>
      <c r="BC323" s="78" t="s">
        <v>5971</v>
      </c>
      <c r="BD323" s="78" t="s">
        <v>5971</v>
      </c>
      <c r="BE323" s="78" t="s">
        <v>5971</v>
      </c>
      <c r="BF323" s="78" t="s">
        <v>5971</v>
      </c>
      <c r="BG323" s="78" t="s">
        <v>5971</v>
      </c>
      <c r="BH323" s="75" t="s">
        <v>5971</v>
      </c>
      <c r="BI323" s="295" t="s">
        <v>2284</v>
      </c>
      <c r="BJ323" s="546">
        <v>1</v>
      </c>
      <c r="BK323" s="294" t="s">
        <v>16</v>
      </c>
      <c r="BL323" s="157" t="s">
        <v>16</v>
      </c>
      <c r="BM323" s="548" t="s">
        <v>1344</v>
      </c>
      <c r="BN323" s="548" t="s">
        <v>4160</v>
      </c>
      <c r="BO323" s="157" t="s">
        <v>4572</v>
      </c>
      <c r="BP323" s="548" t="s">
        <v>4574</v>
      </c>
      <c r="BQ323" s="157" t="s">
        <v>4571</v>
      </c>
      <c r="BR323" s="157"/>
    </row>
    <row r="324" spans="1:70" x14ac:dyDescent="0.25">
      <c r="A324" s="19" t="s">
        <v>3686</v>
      </c>
      <c r="B324" s="37" t="s">
        <v>5475</v>
      </c>
      <c r="C324" s="90">
        <v>45434.776655092595</v>
      </c>
      <c r="D324" s="114">
        <v>45434.526655092595</v>
      </c>
      <c r="E324" s="38">
        <v>45434</v>
      </c>
      <c r="F324" s="91">
        <v>2024</v>
      </c>
      <c r="G324" s="93">
        <v>5</v>
      </c>
      <c r="H324" s="37" t="s">
        <v>201</v>
      </c>
      <c r="I324" s="37"/>
      <c r="J324" s="103">
        <v>-92.732075073499601</v>
      </c>
      <c r="K324" s="40">
        <v>44.831220463273368</v>
      </c>
      <c r="L324" s="74"/>
      <c r="M324" s="272" t="s">
        <v>16</v>
      </c>
      <c r="N324" s="74">
        <v>0</v>
      </c>
      <c r="O324" s="94"/>
      <c r="P324" s="118">
        <v>1</v>
      </c>
      <c r="Q324" s="510">
        <v>80</v>
      </c>
      <c r="R324" s="513">
        <v>120</v>
      </c>
      <c r="S324" s="41"/>
      <c r="T324" s="40"/>
      <c r="U324" s="40">
        <v>7</v>
      </c>
      <c r="V324" s="119">
        <v>1</v>
      </c>
      <c r="W324" s="40">
        <v>100</v>
      </c>
      <c r="X324" s="119">
        <v>1</v>
      </c>
      <c r="Y324" s="40">
        <v>62</v>
      </c>
      <c r="Z324" s="119">
        <v>1</v>
      </c>
      <c r="AA324" s="368">
        <v>0</v>
      </c>
      <c r="AB324" s="535">
        <v>2</v>
      </c>
      <c r="AC324" s="39" t="s">
        <v>160</v>
      </c>
      <c r="AD324" s="75" t="s">
        <v>8</v>
      </c>
      <c r="AE324" s="95">
        <v>0</v>
      </c>
      <c r="AF324" s="75">
        <v>1</v>
      </c>
      <c r="AG324" s="75">
        <v>0</v>
      </c>
      <c r="AH324" s="75">
        <v>0</v>
      </c>
      <c r="AI324" s="75">
        <v>0</v>
      </c>
      <c r="AJ324" s="75">
        <v>0</v>
      </c>
      <c r="AK324" s="75">
        <v>0</v>
      </c>
      <c r="AL324" s="95">
        <v>0</v>
      </c>
      <c r="AM324" s="92">
        <v>0</v>
      </c>
      <c r="AN324" s="79" t="s">
        <v>195</v>
      </c>
      <c r="AO324" s="75">
        <v>1</v>
      </c>
      <c r="AP324" s="75" t="s">
        <v>85</v>
      </c>
      <c r="AQ324" s="122">
        <v>1</v>
      </c>
      <c r="AR324" s="515" t="s">
        <v>13</v>
      </c>
      <c r="AS324" s="95">
        <v>1</v>
      </c>
      <c r="AT324" s="75">
        <v>0</v>
      </c>
      <c r="AU324" s="75">
        <v>0</v>
      </c>
      <c r="AV324" s="75">
        <v>0</v>
      </c>
      <c r="AW324" s="123">
        <v>0</v>
      </c>
      <c r="AX324" s="516" t="s">
        <v>5476</v>
      </c>
      <c r="AY324" s="75">
        <v>1</v>
      </c>
      <c r="AZ324" s="77" t="s">
        <v>131</v>
      </c>
      <c r="BA324" s="78" t="s">
        <v>132</v>
      </c>
      <c r="BB324" s="78" t="s">
        <v>131</v>
      </c>
      <c r="BC324" s="78" t="s">
        <v>131</v>
      </c>
      <c r="BD324" s="78" t="s">
        <v>131</v>
      </c>
      <c r="BE324" s="78" t="s">
        <v>131</v>
      </c>
      <c r="BF324" s="78" t="s">
        <v>131</v>
      </c>
      <c r="BG324" s="78" t="s">
        <v>131</v>
      </c>
      <c r="BH324" s="75" t="s">
        <v>5970</v>
      </c>
      <c r="BI324" s="295" t="s">
        <v>2227</v>
      </c>
      <c r="BJ324" s="546">
        <v>1</v>
      </c>
      <c r="BK324" s="294" t="s">
        <v>16</v>
      </c>
      <c r="BL324" s="157" t="s">
        <v>16</v>
      </c>
      <c r="BM324" s="548" t="s">
        <v>578</v>
      </c>
      <c r="BN324" s="548" t="s">
        <v>578</v>
      </c>
      <c r="BO324" s="157" t="s">
        <v>4341</v>
      </c>
      <c r="BP324" s="548" t="s">
        <v>4343</v>
      </c>
      <c r="BQ324" s="157" t="s">
        <v>4309</v>
      </c>
      <c r="BR324" s="157"/>
    </row>
    <row r="325" spans="1:70" x14ac:dyDescent="0.25">
      <c r="A325" s="19" t="s">
        <v>3686</v>
      </c>
      <c r="B325" s="37" t="s">
        <v>5477</v>
      </c>
      <c r="C325" s="90">
        <v>45434.773344907408</v>
      </c>
      <c r="D325" s="114">
        <v>45434.523344907408</v>
      </c>
      <c r="E325" s="38">
        <v>45434</v>
      </c>
      <c r="F325" s="91">
        <v>2024</v>
      </c>
      <c r="G325" s="93">
        <v>5</v>
      </c>
      <c r="H325" s="37" t="s">
        <v>1386</v>
      </c>
      <c r="I325" s="37"/>
      <c r="J325" s="103">
        <v>-91.413028999999995</v>
      </c>
      <c r="K325" s="40">
        <v>43.540586300000001</v>
      </c>
      <c r="L325" s="74"/>
      <c r="M325" s="272" t="s">
        <v>16</v>
      </c>
      <c r="N325" s="74">
        <v>0</v>
      </c>
      <c r="O325" s="94"/>
      <c r="P325" s="118">
        <v>1</v>
      </c>
      <c r="Q325" s="510">
        <v>80</v>
      </c>
      <c r="R325" s="513">
        <v>120</v>
      </c>
      <c r="S325" s="41"/>
      <c r="T325" s="40"/>
      <c r="U325" s="40">
        <v>7.5</v>
      </c>
      <c r="V325" s="119">
        <v>1</v>
      </c>
      <c r="W325" s="40">
        <v>0</v>
      </c>
      <c r="X325" s="119">
        <v>1</v>
      </c>
      <c r="Y325" s="40">
        <v>61</v>
      </c>
      <c r="Z325" s="119">
        <v>1</v>
      </c>
      <c r="AA325" s="368">
        <v>0</v>
      </c>
      <c r="AB325" s="535">
        <v>5</v>
      </c>
      <c r="AC325" s="39" t="s">
        <v>160</v>
      </c>
      <c r="AD325" s="75" t="s">
        <v>10</v>
      </c>
      <c r="AE325" s="95">
        <v>0</v>
      </c>
      <c r="AF325" s="75">
        <v>0</v>
      </c>
      <c r="AG325" s="75">
        <v>0</v>
      </c>
      <c r="AH325" s="75">
        <v>0</v>
      </c>
      <c r="AI325" s="75">
        <v>0</v>
      </c>
      <c r="AJ325" s="75">
        <v>0</v>
      </c>
      <c r="AK325" s="75">
        <v>0</v>
      </c>
      <c r="AL325" s="95">
        <v>1</v>
      </c>
      <c r="AM325" s="92">
        <v>0</v>
      </c>
      <c r="AN325" s="79" t="s">
        <v>81</v>
      </c>
      <c r="AO325" s="75">
        <v>1</v>
      </c>
      <c r="AP325" s="75" t="s">
        <v>84</v>
      </c>
      <c r="AQ325" s="122">
        <v>1</v>
      </c>
      <c r="AR325" s="515" t="s">
        <v>13</v>
      </c>
      <c r="AS325" s="95">
        <v>1</v>
      </c>
      <c r="AT325" s="75">
        <v>0</v>
      </c>
      <c r="AU325" s="75">
        <v>0</v>
      </c>
      <c r="AV325" s="75">
        <v>0</v>
      </c>
      <c r="AW325" s="123">
        <v>0</v>
      </c>
      <c r="AX325" s="516"/>
      <c r="AY325" s="75">
        <v>0</v>
      </c>
      <c r="AZ325" s="77" t="s">
        <v>131</v>
      </c>
      <c r="BA325" s="78" t="s">
        <v>131</v>
      </c>
      <c r="BB325" s="78" t="s">
        <v>131</v>
      </c>
      <c r="BC325" s="78" t="s">
        <v>131</v>
      </c>
      <c r="BD325" s="78" t="s">
        <v>131</v>
      </c>
      <c r="BE325" s="78" t="s">
        <v>131</v>
      </c>
      <c r="BF325" s="78" t="s">
        <v>131</v>
      </c>
      <c r="BG325" s="78" t="s">
        <v>132</v>
      </c>
      <c r="BH325" s="75" t="s">
        <v>5970</v>
      </c>
      <c r="BI325" s="295" t="s">
        <v>16</v>
      </c>
      <c r="BJ325" s="546">
        <v>1</v>
      </c>
      <c r="BK325" s="294">
        <v>1</v>
      </c>
      <c r="BL325" s="157">
        <v>1</v>
      </c>
      <c r="BM325" s="548" t="s">
        <v>1341</v>
      </c>
      <c r="BN325" s="548" t="s">
        <v>1339</v>
      </c>
      <c r="BO325" s="157" t="s">
        <v>4239</v>
      </c>
      <c r="BP325" s="548" t="s">
        <v>4240</v>
      </c>
      <c r="BQ325" s="157" t="s">
        <v>4238</v>
      </c>
      <c r="BR325" s="157"/>
    </row>
    <row r="326" spans="1:70" x14ac:dyDescent="0.25">
      <c r="A326" s="19" t="s">
        <v>3686</v>
      </c>
      <c r="B326" s="37" t="s">
        <v>5478</v>
      </c>
      <c r="C326" s="90">
        <v>45434.747581018521</v>
      </c>
      <c r="D326" s="114">
        <v>45434.497581018521</v>
      </c>
      <c r="E326" s="38">
        <v>45434</v>
      </c>
      <c r="F326" s="91">
        <v>2024</v>
      </c>
      <c r="G326" s="93">
        <v>5</v>
      </c>
      <c r="H326" s="37" t="s">
        <v>1386</v>
      </c>
      <c r="I326" s="37"/>
      <c r="J326" s="103">
        <v>-91.569752300000005</v>
      </c>
      <c r="K326" s="40">
        <v>43.502323599999997</v>
      </c>
      <c r="L326" s="74"/>
      <c r="M326" s="272" t="s">
        <v>16</v>
      </c>
      <c r="N326" s="74">
        <v>0</v>
      </c>
      <c r="O326" s="94"/>
      <c r="P326" s="118">
        <v>1</v>
      </c>
      <c r="Q326" s="510">
        <v>120</v>
      </c>
      <c r="R326" s="513">
        <v>180</v>
      </c>
      <c r="S326" s="41"/>
      <c r="T326" s="40"/>
      <c r="U326" s="40">
        <v>7.5</v>
      </c>
      <c r="V326" s="119">
        <v>1</v>
      </c>
      <c r="W326" s="40">
        <v>0</v>
      </c>
      <c r="X326" s="119">
        <v>1</v>
      </c>
      <c r="Y326" s="40">
        <v>57</v>
      </c>
      <c r="Z326" s="119">
        <v>1</v>
      </c>
      <c r="AA326" s="368">
        <v>0</v>
      </c>
      <c r="AB326" s="535">
        <v>5</v>
      </c>
      <c r="AC326" s="39" t="s">
        <v>160</v>
      </c>
      <c r="AD326" s="75" t="s">
        <v>10</v>
      </c>
      <c r="AE326" s="95">
        <v>0</v>
      </c>
      <c r="AF326" s="75">
        <v>0</v>
      </c>
      <c r="AG326" s="75">
        <v>0</v>
      </c>
      <c r="AH326" s="75">
        <v>0</v>
      </c>
      <c r="AI326" s="75">
        <v>0</v>
      </c>
      <c r="AJ326" s="75">
        <v>0</v>
      </c>
      <c r="AK326" s="75">
        <v>0</v>
      </c>
      <c r="AL326" s="95">
        <v>1</v>
      </c>
      <c r="AM326" s="92">
        <v>0</v>
      </c>
      <c r="AN326" s="79" t="s">
        <v>195</v>
      </c>
      <c r="AO326" s="75">
        <v>1</v>
      </c>
      <c r="AP326" s="75" t="s">
        <v>85</v>
      </c>
      <c r="AQ326" s="122">
        <v>1</v>
      </c>
      <c r="AR326" s="515" t="s">
        <v>226</v>
      </c>
      <c r="AS326" s="95">
        <v>1</v>
      </c>
      <c r="AT326" s="75">
        <v>0</v>
      </c>
      <c r="AU326" s="75">
        <v>1</v>
      </c>
      <c r="AV326" s="75">
        <v>0</v>
      </c>
      <c r="AW326" s="123">
        <v>0</v>
      </c>
      <c r="AX326" s="516"/>
      <c r="AY326" s="75">
        <v>0</v>
      </c>
      <c r="AZ326" s="77" t="s">
        <v>131</v>
      </c>
      <c r="BA326" s="78" t="s">
        <v>131</v>
      </c>
      <c r="BB326" s="78" t="s">
        <v>131</v>
      </c>
      <c r="BC326" s="78" t="s">
        <v>131</v>
      </c>
      <c r="BD326" s="78" t="s">
        <v>131</v>
      </c>
      <c r="BE326" s="78" t="s">
        <v>131</v>
      </c>
      <c r="BF326" s="78" t="s">
        <v>131</v>
      </c>
      <c r="BG326" s="78" t="s">
        <v>132</v>
      </c>
      <c r="BH326" s="75" t="s">
        <v>5970</v>
      </c>
      <c r="BI326" s="295" t="s">
        <v>2265</v>
      </c>
      <c r="BJ326" s="546">
        <v>1</v>
      </c>
      <c r="BK326" s="294">
        <v>1</v>
      </c>
      <c r="BL326" s="157">
        <v>1</v>
      </c>
      <c r="BM326" s="548" t="s">
        <v>1341</v>
      </c>
      <c r="BN326" s="548" t="s">
        <v>1339</v>
      </c>
      <c r="BO326" s="157" t="s">
        <v>4242</v>
      </c>
      <c r="BP326" s="548" t="s">
        <v>4041</v>
      </c>
      <c r="BQ326" s="157" t="s">
        <v>4241</v>
      </c>
      <c r="BR326" s="157"/>
    </row>
    <row r="327" spans="1:70" x14ac:dyDescent="0.25">
      <c r="A327" s="19" t="s">
        <v>3686</v>
      </c>
      <c r="B327" s="37" t="s">
        <v>5479</v>
      </c>
      <c r="C327" s="90">
        <v>45434.682766203703</v>
      </c>
      <c r="D327" s="114">
        <v>45434.432766203703</v>
      </c>
      <c r="E327" s="38">
        <v>45434</v>
      </c>
      <c r="F327" s="91">
        <v>2024</v>
      </c>
      <c r="G327" s="93">
        <v>5</v>
      </c>
      <c r="H327" s="37" t="s">
        <v>1386</v>
      </c>
      <c r="I327" s="37"/>
      <c r="J327" s="103">
        <v>-91.813317400000003</v>
      </c>
      <c r="K327" s="40">
        <v>43.597542400000002</v>
      </c>
      <c r="L327" s="74"/>
      <c r="M327" s="272" t="s">
        <v>16</v>
      </c>
      <c r="N327" s="74">
        <v>0</v>
      </c>
      <c r="O327" s="94"/>
      <c r="P327" s="118">
        <v>1</v>
      </c>
      <c r="Q327" s="510">
        <v>80</v>
      </c>
      <c r="R327" s="513">
        <v>120</v>
      </c>
      <c r="S327" s="41"/>
      <c r="T327" s="40"/>
      <c r="U327" s="40">
        <v>8</v>
      </c>
      <c r="V327" s="119">
        <v>1</v>
      </c>
      <c r="W327" s="40">
        <v>100</v>
      </c>
      <c r="X327" s="119">
        <v>1</v>
      </c>
      <c r="Y327" s="40">
        <v>58</v>
      </c>
      <c r="Z327" s="119">
        <v>1</v>
      </c>
      <c r="AA327" s="368">
        <v>0</v>
      </c>
      <c r="AB327" s="535">
        <v>5</v>
      </c>
      <c r="AC327" s="39" t="s">
        <v>160</v>
      </c>
      <c r="AD327" s="75" t="s">
        <v>10</v>
      </c>
      <c r="AE327" s="95">
        <v>0</v>
      </c>
      <c r="AF327" s="75">
        <v>0</v>
      </c>
      <c r="AG327" s="75">
        <v>0</v>
      </c>
      <c r="AH327" s="75">
        <v>0</v>
      </c>
      <c r="AI327" s="75">
        <v>0</v>
      </c>
      <c r="AJ327" s="75">
        <v>0</v>
      </c>
      <c r="AK327" s="75">
        <v>0</v>
      </c>
      <c r="AL327" s="95">
        <v>1</v>
      </c>
      <c r="AM327" s="92">
        <v>0</v>
      </c>
      <c r="AN327" s="79" t="s">
        <v>81</v>
      </c>
      <c r="AO327" s="75">
        <v>1</v>
      </c>
      <c r="AP327" s="75" t="s">
        <v>84</v>
      </c>
      <c r="AQ327" s="122">
        <v>1</v>
      </c>
      <c r="AR327" s="515" t="s">
        <v>13</v>
      </c>
      <c r="AS327" s="95">
        <v>1</v>
      </c>
      <c r="AT327" s="75">
        <v>0</v>
      </c>
      <c r="AU327" s="75">
        <v>0</v>
      </c>
      <c r="AV327" s="75">
        <v>0</v>
      </c>
      <c r="AW327" s="123">
        <v>0</v>
      </c>
      <c r="AX327" s="516"/>
      <c r="AY327" s="75">
        <v>0</v>
      </c>
      <c r="AZ327" s="77" t="s">
        <v>131</v>
      </c>
      <c r="BA327" s="78" t="s">
        <v>131</v>
      </c>
      <c r="BB327" s="78" t="s">
        <v>131</v>
      </c>
      <c r="BC327" s="78" t="s">
        <v>131</v>
      </c>
      <c r="BD327" s="78" t="s">
        <v>131</v>
      </c>
      <c r="BE327" s="78" t="s">
        <v>131</v>
      </c>
      <c r="BF327" s="78" t="s">
        <v>131</v>
      </c>
      <c r="BG327" s="78" t="s">
        <v>132</v>
      </c>
      <c r="BH327" s="75" t="s">
        <v>5970</v>
      </c>
      <c r="BI327" s="295" t="s">
        <v>16</v>
      </c>
      <c r="BJ327" s="546">
        <v>1</v>
      </c>
      <c r="BK327" s="294">
        <v>1</v>
      </c>
      <c r="BL327" s="157">
        <v>1</v>
      </c>
      <c r="BM327" s="548" t="s">
        <v>1341</v>
      </c>
      <c r="BN327" s="548" t="s">
        <v>1339</v>
      </c>
      <c r="BO327" s="157" t="s">
        <v>4245</v>
      </c>
      <c r="BP327" s="548" t="s">
        <v>2271</v>
      </c>
      <c r="BQ327" s="157" t="s">
        <v>4232</v>
      </c>
      <c r="BR327" s="157"/>
    </row>
    <row r="328" spans="1:70" x14ac:dyDescent="0.25">
      <c r="A328" s="19" t="s">
        <v>3686</v>
      </c>
      <c r="B328" s="37" t="s">
        <v>5480</v>
      </c>
      <c r="C328" s="90">
        <v>45433.883958333332</v>
      </c>
      <c r="D328" s="114">
        <v>45433.633958333332</v>
      </c>
      <c r="E328" s="38">
        <v>45433</v>
      </c>
      <c r="F328" s="91">
        <v>2024</v>
      </c>
      <c r="G328" s="93">
        <v>5</v>
      </c>
      <c r="H328" s="37" t="s">
        <v>1378</v>
      </c>
      <c r="I328" s="37"/>
      <c r="J328" s="103">
        <v>-91.189034090300041</v>
      </c>
      <c r="K328" s="40">
        <v>43.790819518138022</v>
      </c>
      <c r="L328" s="74"/>
      <c r="M328" s="272" t="s">
        <v>5481</v>
      </c>
      <c r="N328" s="74">
        <v>1</v>
      </c>
      <c r="O328" s="94"/>
      <c r="P328" s="118">
        <v>1</v>
      </c>
      <c r="Q328" s="510">
        <v>180</v>
      </c>
      <c r="R328" s="513">
        <v>120</v>
      </c>
      <c r="S328" s="41"/>
      <c r="T328" s="40"/>
      <c r="U328" s="40">
        <v>7</v>
      </c>
      <c r="V328" s="119">
        <v>1</v>
      </c>
      <c r="W328" s="40">
        <v>100</v>
      </c>
      <c r="X328" s="119">
        <v>1</v>
      </c>
      <c r="Y328" s="40">
        <v>61</v>
      </c>
      <c r="Z328" s="119">
        <v>1</v>
      </c>
      <c r="AA328" s="368">
        <v>0</v>
      </c>
      <c r="AB328" s="535">
        <v>0</v>
      </c>
      <c r="AC328" s="39" t="s">
        <v>160</v>
      </c>
      <c r="AD328" s="75" t="s">
        <v>355</v>
      </c>
      <c r="AE328" s="95">
        <v>0</v>
      </c>
      <c r="AF328" s="75">
        <v>0</v>
      </c>
      <c r="AG328" s="75">
        <v>0</v>
      </c>
      <c r="AH328" s="75">
        <v>1</v>
      </c>
      <c r="AI328" s="75">
        <v>0</v>
      </c>
      <c r="AJ328" s="75">
        <v>0</v>
      </c>
      <c r="AK328" s="75">
        <v>0</v>
      </c>
      <c r="AL328" s="95">
        <v>0</v>
      </c>
      <c r="AM328" s="92">
        <v>0</v>
      </c>
      <c r="AN328" s="79" t="s">
        <v>81</v>
      </c>
      <c r="AO328" s="75">
        <v>1</v>
      </c>
      <c r="AP328" s="75" t="s">
        <v>84</v>
      </c>
      <c r="AQ328" s="122">
        <v>1</v>
      </c>
      <c r="AR328" s="515" t="s">
        <v>13</v>
      </c>
      <c r="AS328" s="95">
        <v>1</v>
      </c>
      <c r="AT328" s="75">
        <v>0</v>
      </c>
      <c r="AU328" s="75">
        <v>0</v>
      </c>
      <c r="AV328" s="75">
        <v>0</v>
      </c>
      <c r="AW328" s="123">
        <v>0</v>
      </c>
      <c r="AX328" s="516" t="s">
        <v>5482</v>
      </c>
      <c r="AY328" s="75">
        <v>1</v>
      </c>
      <c r="AZ328" s="77" t="s">
        <v>131</v>
      </c>
      <c r="BA328" s="78" t="s">
        <v>131</v>
      </c>
      <c r="BB328" s="78" t="s">
        <v>131</v>
      </c>
      <c r="BC328" s="78" t="s">
        <v>132</v>
      </c>
      <c r="BD328" s="78" t="s">
        <v>131</v>
      </c>
      <c r="BE328" s="78" t="s">
        <v>131</v>
      </c>
      <c r="BF328" s="78" t="s">
        <v>131</v>
      </c>
      <c r="BG328" s="78" t="s">
        <v>131</v>
      </c>
      <c r="BH328" s="75" t="s">
        <v>5970</v>
      </c>
      <c r="BI328" s="295" t="s">
        <v>3970</v>
      </c>
      <c r="BJ328" s="546" t="s">
        <v>16</v>
      </c>
      <c r="BK328" s="294">
        <v>1</v>
      </c>
      <c r="BL328" s="157">
        <v>1</v>
      </c>
      <c r="BM328" s="548" t="s">
        <v>1342</v>
      </c>
      <c r="BN328" s="548" t="s">
        <v>4158</v>
      </c>
      <c r="BO328" s="157" t="s">
        <v>4616</v>
      </c>
      <c r="BP328" s="548" t="s">
        <v>4624</v>
      </c>
      <c r="BQ328" s="157" t="s">
        <v>4592</v>
      </c>
      <c r="BR328" s="157"/>
    </row>
    <row r="329" spans="1:70" x14ac:dyDescent="0.25">
      <c r="A329" s="19" t="s">
        <v>3686</v>
      </c>
      <c r="B329" s="37" t="s">
        <v>5483</v>
      </c>
      <c r="C329" s="90">
        <v>45433.674722222226</v>
      </c>
      <c r="D329" s="114">
        <v>45433.424722222226</v>
      </c>
      <c r="E329" s="38">
        <v>45433</v>
      </c>
      <c r="F329" s="91">
        <v>2024</v>
      </c>
      <c r="G329" s="93">
        <v>5</v>
      </c>
      <c r="H329" s="37" t="s">
        <v>1514</v>
      </c>
      <c r="I329" s="37" t="s">
        <v>1772</v>
      </c>
      <c r="J329" s="103">
        <v>-92.18960429573184</v>
      </c>
      <c r="K329" s="40">
        <v>44.632831381396976</v>
      </c>
      <c r="L329" s="74"/>
      <c r="M329" s="272" t="s">
        <v>16</v>
      </c>
      <c r="N329" s="74">
        <v>0</v>
      </c>
      <c r="O329" s="94"/>
      <c r="P329" s="118">
        <v>1</v>
      </c>
      <c r="Q329" s="510">
        <v>180</v>
      </c>
      <c r="R329" s="513">
        <v>120</v>
      </c>
      <c r="S329" s="41"/>
      <c r="T329" s="40"/>
      <c r="U329" s="40">
        <v>7.5</v>
      </c>
      <c r="V329" s="119">
        <v>1</v>
      </c>
      <c r="W329" s="40">
        <v>0</v>
      </c>
      <c r="X329" s="119">
        <v>1</v>
      </c>
      <c r="Y329" s="40">
        <v>54</v>
      </c>
      <c r="Z329" s="119">
        <v>1</v>
      </c>
      <c r="AA329" s="368">
        <v>0</v>
      </c>
      <c r="AB329" s="535">
        <v>2</v>
      </c>
      <c r="AC329" s="39" t="s">
        <v>160</v>
      </c>
      <c r="AD329" s="75" t="s">
        <v>10</v>
      </c>
      <c r="AE329" s="95">
        <v>0</v>
      </c>
      <c r="AF329" s="75">
        <v>0</v>
      </c>
      <c r="AG329" s="75">
        <v>0</v>
      </c>
      <c r="AH329" s="75">
        <v>0</v>
      </c>
      <c r="AI329" s="75">
        <v>0</v>
      </c>
      <c r="AJ329" s="75">
        <v>0</v>
      </c>
      <c r="AK329" s="75">
        <v>0</v>
      </c>
      <c r="AL329" s="95">
        <v>1</v>
      </c>
      <c r="AM329" s="92">
        <v>0</v>
      </c>
      <c r="AN329" s="79" t="s">
        <v>80</v>
      </c>
      <c r="AO329" s="75">
        <v>1</v>
      </c>
      <c r="AP329" s="75" t="s">
        <v>83</v>
      </c>
      <c r="AQ329" s="122">
        <v>1</v>
      </c>
      <c r="AR329" s="515" t="s">
        <v>13</v>
      </c>
      <c r="AS329" s="95">
        <v>1</v>
      </c>
      <c r="AT329" s="75">
        <v>0</v>
      </c>
      <c r="AU329" s="75">
        <v>0</v>
      </c>
      <c r="AV329" s="75">
        <v>0</v>
      </c>
      <c r="AW329" s="123">
        <v>0</v>
      </c>
      <c r="AX329" s="516" t="s">
        <v>5484</v>
      </c>
      <c r="AY329" s="75">
        <v>1</v>
      </c>
      <c r="AZ329" s="77" t="s">
        <v>131</v>
      </c>
      <c r="BA329" s="78" t="s">
        <v>131</v>
      </c>
      <c r="BB329" s="78" t="s">
        <v>131</v>
      </c>
      <c r="BC329" s="78" t="s">
        <v>131</v>
      </c>
      <c r="BD329" s="78" t="s">
        <v>131</v>
      </c>
      <c r="BE329" s="78" t="s">
        <v>131</v>
      </c>
      <c r="BF329" s="78" t="s">
        <v>131</v>
      </c>
      <c r="BG329" s="78" t="s">
        <v>132</v>
      </c>
      <c r="BH329" s="75" t="s">
        <v>5970</v>
      </c>
      <c r="BI329" s="295" t="s">
        <v>2248</v>
      </c>
      <c r="BJ329" s="546">
        <v>1</v>
      </c>
      <c r="BK329" s="294">
        <v>1</v>
      </c>
      <c r="BL329" s="157">
        <v>1</v>
      </c>
      <c r="BM329" s="548" t="s">
        <v>578</v>
      </c>
      <c r="BN329" s="548" t="s">
        <v>578</v>
      </c>
      <c r="BO329" s="157" t="s">
        <v>4218</v>
      </c>
      <c r="BP329" s="548" t="s">
        <v>4221</v>
      </c>
      <c r="BQ329" s="157" t="s">
        <v>4217</v>
      </c>
      <c r="BR329" s="157"/>
    </row>
    <row r="330" spans="1:70" x14ac:dyDescent="0.25">
      <c r="A330" s="19" t="s">
        <v>3686</v>
      </c>
      <c r="B330" s="37" t="s">
        <v>5485</v>
      </c>
      <c r="C330" s="90">
        <v>45433.646319444444</v>
      </c>
      <c r="D330" s="114">
        <v>45433.396319444444</v>
      </c>
      <c r="E330" s="38">
        <v>45433</v>
      </c>
      <c r="F330" s="91">
        <v>2024</v>
      </c>
      <c r="G330" s="93">
        <v>5</v>
      </c>
      <c r="H330" s="37" t="s">
        <v>617</v>
      </c>
      <c r="I330" s="37" t="s">
        <v>2362</v>
      </c>
      <c r="J330" s="103">
        <v>-92.284084819381917</v>
      </c>
      <c r="K330" s="40">
        <v>44.542197630829946</v>
      </c>
      <c r="L330" s="74"/>
      <c r="M330" s="272" t="s">
        <v>16</v>
      </c>
      <c r="N330" s="74">
        <v>0</v>
      </c>
      <c r="O330" s="94"/>
      <c r="P330" s="118">
        <v>1</v>
      </c>
      <c r="Q330" s="510">
        <v>180</v>
      </c>
      <c r="R330" s="513">
        <v>120</v>
      </c>
      <c r="S330" s="41"/>
      <c r="T330" s="40"/>
      <c r="U330" s="40">
        <v>7</v>
      </c>
      <c r="V330" s="119">
        <v>1</v>
      </c>
      <c r="W330" s="40">
        <v>0</v>
      </c>
      <c r="X330" s="119">
        <v>1</v>
      </c>
      <c r="Y330" s="40">
        <v>54</v>
      </c>
      <c r="Z330" s="119">
        <v>1</v>
      </c>
      <c r="AA330" s="368">
        <v>0</v>
      </c>
      <c r="AB330" s="535">
        <v>5</v>
      </c>
      <c r="AC330" s="39" t="s">
        <v>160</v>
      </c>
      <c r="AD330" s="75" t="s">
        <v>10</v>
      </c>
      <c r="AE330" s="95">
        <v>0</v>
      </c>
      <c r="AF330" s="75">
        <v>0</v>
      </c>
      <c r="AG330" s="75">
        <v>0</v>
      </c>
      <c r="AH330" s="75">
        <v>0</v>
      </c>
      <c r="AI330" s="75">
        <v>0</v>
      </c>
      <c r="AJ330" s="75">
        <v>0</v>
      </c>
      <c r="AK330" s="75">
        <v>0</v>
      </c>
      <c r="AL330" s="95">
        <v>1</v>
      </c>
      <c r="AM330" s="92">
        <v>0</v>
      </c>
      <c r="AN330" s="79" t="s">
        <v>80</v>
      </c>
      <c r="AO330" s="75">
        <v>1</v>
      </c>
      <c r="AP330" s="75" t="s">
        <v>83</v>
      </c>
      <c r="AQ330" s="122">
        <v>1</v>
      </c>
      <c r="AR330" s="515" t="s">
        <v>35</v>
      </c>
      <c r="AS330" s="95">
        <v>0</v>
      </c>
      <c r="AT330" s="75">
        <v>1</v>
      </c>
      <c r="AU330" s="75">
        <v>0</v>
      </c>
      <c r="AV330" s="75">
        <v>0</v>
      </c>
      <c r="AW330" s="123">
        <v>0</v>
      </c>
      <c r="AX330" s="516" t="s">
        <v>5486</v>
      </c>
      <c r="AY330" s="75">
        <v>1</v>
      </c>
      <c r="AZ330" s="77" t="s">
        <v>131</v>
      </c>
      <c r="BA330" s="78" t="s">
        <v>131</v>
      </c>
      <c r="BB330" s="78" t="s">
        <v>131</v>
      </c>
      <c r="BC330" s="78" t="s">
        <v>131</v>
      </c>
      <c r="BD330" s="78" t="s">
        <v>131</v>
      </c>
      <c r="BE330" s="78" t="s">
        <v>131</v>
      </c>
      <c r="BF330" s="78" t="s">
        <v>131</v>
      </c>
      <c r="BG330" s="78" t="s">
        <v>132</v>
      </c>
      <c r="BH330" s="75" t="s">
        <v>5970</v>
      </c>
      <c r="BI330" s="295" t="s">
        <v>2261</v>
      </c>
      <c r="BJ330" s="546">
        <v>1</v>
      </c>
      <c r="BK330" s="294">
        <v>1</v>
      </c>
      <c r="BL330" s="157">
        <v>1</v>
      </c>
      <c r="BM330" s="548" t="s">
        <v>1340</v>
      </c>
      <c r="BN330" s="548" t="s">
        <v>578</v>
      </c>
      <c r="BO330" s="157" t="s">
        <v>4268</v>
      </c>
      <c r="BP330" s="548" t="s">
        <v>2261</v>
      </c>
      <c r="BQ330" s="157" t="s">
        <v>4214</v>
      </c>
      <c r="BR330" s="157"/>
    </row>
    <row r="331" spans="1:70" x14ac:dyDescent="0.25">
      <c r="A331" s="19" t="s">
        <v>3686</v>
      </c>
      <c r="B331" s="37" t="s">
        <v>5487</v>
      </c>
      <c r="C331" s="90">
        <v>45432.707337962966</v>
      </c>
      <c r="D331" s="114">
        <v>45432.457337962966</v>
      </c>
      <c r="E331" s="38">
        <v>45432</v>
      </c>
      <c r="F331" s="91">
        <v>2024</v>
      </c>
      <c r="G331" s="93">
        <v>5</v>
      </c>
      <c r="H331" s="37" t="s">
        <v>5429</v>
      </c>
      <c r="I331" s="37"/>
      <c r="J331" s="103">
        <v>-91.756900993531218</v>
      </c>
      <c r="K331" s="40">
        <v>42.869679268539755</v>
      </c>
      <c r="L331" s="74"/>
      <c r="M331" s="272" t="s">
        <v>16</v>
      </c>
      <c r="N331" s="74">
        <v>0</v>
      </c>
      <c r="O331" s="94"/>
      <c r="P331" s="118">
        <v>1</v>
      </c>
      <c r="Q331" s="510">
        <v>80</v>
      </c>
      <c r="R331" s="513">
        <v>120</v>
      </c>
      <c r="S331" s="41"/>
      <c r="T331" s="40"/>
      <c r="U331" s="40">
        <v>8</v>
      </c>
      <c r="V331" s="119">
        <v>1</v>
      </c>
      <c r="W331" s="40">
        <v>0</v>
      </c>
      <c r="X331" s="119">
        <v>1</v>
      </c>
      <c r="Y331" s="40">
        <v>61</v>
      </c>
      <c r="Z331" s="119">
        <v>1</v>
      </c>
      <c r="AA331" s="368">
        <v>0</v>
      </c>
      <c r="AB331" s="535">
        <v>2</v>
      </c>
      <c r="AC331" s="39" t="s">
        <v>160</v>
      </c>
      <c r="AD331" s="75" t="s">
        <v>16</v>
      </c>
      <c r="AE331" s="95">
        <v>-1</v>
      </c>
      <c r="AF331" s="75">
        <v>-1</v>
      </c>
      <c r="AG331" s="75">
        <v>-1</v>
      </c>
      <c r="AH331" s="75">
        <v>-1</v>
      </c>
      <c r="AI331" s="75">
        <v>-1</v>
      </c>
      <c r="AJ331" s="75">
        <v>-1</v>
      </c>
      <c r="AK331" s="75">
        <v>-1</v>
      </c>
      <c r="AL331" s="95">
        <v>-1</v>
      </c>
      <c r="AM331" s="92">
        <v>1</v>
      </c>
      <c r="AN331" s="79"/>
      <c r="AO331" s="75">
        <v>0</v>
      </c>
      <c r="AP331" s="75"/>
      <c r="AQ331" s="122">
        <v>0</v>
      </c>
      <c r="AR331" s="515" t="s">
        <v>16</v>
      </c>
      <c r="AS331" s="95">
        <v>-1</v>
      </c>
      <c r="AT331" s="75">
        <v>-1</v>
      </c>
      <c r="AU331" s="75">
        <v>-1</v>
      </c>
      <c r="AV331" s="75">
        <v>-1</v>
      </c>
      <c r="AW331" s="123">
        <v>1</v>
      </c>
      <c r="AX331" s="516"/>
      <c r="AY331" s="75">
        <v>0</v>
      </c>
      <c r="AZ331" s="77" t="s">
        <v>5971</v>
      </c>
      <c r="BA331" s="78" t="s">
        <v>5971</v>
      </c>
      <c r="BB331" s="78" t="s">
        <v>5971</v>
      </c>
      <c r="BC331" s="78" t="s">
        <v>5971</v>
      </c>
      <c r="BD331" s="78" t="s">
        <v>5971</v>
      </c>
      <c r="BE331" s="78" t="s">
        <v>5971</v>
      </c>
      <c r="BF331" s="78" t="s">
        <v>5971</v>
      </c>
      <c r="BG331" s="78" t="s">
        <v>5971</v>
      </c>
      <c r="BH331" s="75" t="s">
        <v>5971</v>
      </c>
      <c r="BI331" s="295" t="s">
        <v>4680</v>
      </c>
      <c r="BJ331" s="546">
        <v>1</v>
      </c>
      <c r="BK331" s="294" t="s">
        <v>16</v>
      </c>
      <c r="BL331" s="157" t="s">
        <v>16</v>
      </c>
      <c r="BM331" s="548" t="s">
        <v>1344</v>
      </c>
      <c r="BN331" s="548" t="s">
        <v>4160</v>
      </c>
      <c r="BO331" s="157" t="s">
        <v>4572</v>
      </c>
      <c r="BP331" s="548" t="s">
        <v>4574</v>
      </c>
      <c r="BQ331" s="157" t="s">
        <v>4571</v>
      </c>
      <c r="BR331" s="157"/>
    </row>
    <row r="332" spans="1:70" x14ac:dyDescent="0.25">
      <c r="A332" s="19" t="s">
        <v>3686</v>
      </c>
      <c r="B332" s="37" t="s">
        <v>5488</v>
      </c>
      <c r="C332" s="90">
        <v>45432.632685185185</v>
      </c>
      <c r="D332" s="114">
        <v>45432.382685185185</v>
      </c>
      <c r="E332" s="38">
        <v>45432</v>
      </c>
      <c r="F332" s="91">
        <v>2024</v>
      </c>
      <c r="G332" s="93">
        <v>5</v>
      </c>
      <c r="H332" s="37" t="s">
        <v>5429</v>
      </c>
      <c r="I332" s="37" t="s">
        <v>146</v>
      </c>
      <c r="J332" s="103">
        <v>-91.765877869703885</v>
      </c>
      <c r="K332" s="40">
        <v>42.867917748707853</v>
      </c>
      <c r="L332" s="74"/>
      <c r="M332" s="272" t="s">
        <v>5489</v>
      </c>
      <c r="N332" s="74">
        <v>1</v>
      </c>
      <c r="O332" s="94"/>
      <c r="P332" s="118">
        <v>1</v>
      </c>
      <c r="Q332" s="510">
        <v>80</v>
      </c>
      <c r="R332" s="513">
        <v>120</v>
      </c>
      <c r="S332" s="41"/>
      <c r="T332" s="40"/>
      <c r="U332" s="40">
        <v>8</v>
      </c>
      <c r="V332" s="119">
        <v>1</v>
      </c>
      <c r="W332" s="40">
        <v>0</v>
      </c>
      <c r="X332" s="119">
        <v>1</v>
      </c>
      <c r="Y332" s="40">
        <v>54</v>
      </c>
      <c r="Z332" s="119">
        <v>1</v>
      </c>
      <c r="AA332" s="368">
        <v>0</v>
      </c>
      <c r="AB332" s="535">
        <v>2</v>
      </c>
      <c r="AC332" s="39" t="s">
        <v>160</v>
      </c>
      <c r="AD332" s="75" t="s">
        <v>16</v>
      </c>
      <c r="AE332" s="95">
        <v>-1</v>
      </c>
      <c r="AF332" s="75">
        <v>-1</v>
      </c>
      <c r="AG332" s="75">
        <v>-1</v>
      </c>
      <c r="AH332" s="75">
        <v>-1</v>
      </c>
      <c r="AI332" s="75">
        <v>-1</v>
      </c>
      <c r="AJ332" s="75">
        <v>-1</v>
      </c>
      <c r="AK332" s="75">
        <v>-1</v>
      </c>
      <c r="AL332" s="95">
        <v>-1</v>
      </c>
      <c r="AM332" s="92">
        <v>1</v>
      </c>
      <c r="AN332" s="79"/>
      <c r="AO332" s="75">
        <v>0</v>
      </c>
      <c r="AP332" s="75"/>
      <c r="AQ332" s="122">
        <v>0</v>
      </c>
      <c r="AR332" s="515" t="s">
        <v>16</v>
      </c>
      <c r="AS332" s="95">
        <v>-1</v>
      </c>
      <c r="AT332" s="75">
        <v>-1</v>
      </c>
      <c r="AU332" s="75">
        <v>-1</v>
      </c>
      <c r="AV332" s="75">
        <v>-1</v>
      </c>
      <c r="AW332" s="123">
        <v>1</v>
      </c>
      <c r="AX332" s="516"/>
      <c r="AY332" s="75">
        <v>0</v>
      </c>
      <c r="AZ332" s="77" t="s">
        <v>5971</v>
      </c>
      <c r="BA332" s="78" t="s">
        <v>5971</v>
      </c>
      <c r="BB332" s="78" t="s">
        <v>5971</v>
      </c>
      <c r="BC332" s="78" t="s">
        <v>5971</v>
      </c>
      <c r="BD332" s="78" t="s">
        <v>5971</v>
      </c>
      <c r="BE332" s="78" t="s">
        <v>5971</v>
      </c>
      <c r="BF332" s="78" t="s">
        <v>5971</v>
      </c>
      <c r="BG332" s="78" t="s">
        <v>5971</v>
      </c>
      <c r="BH332" s="75" t="s">
        <v>5971</v>
      </c>
      <c r="BI332" s="295" t="s">
        <v>16</v>
      </c>
      <c r="BJ332" s="546">
        <v>1</v>
      </c>
      <c r="BK332" s="294" t="s">
        <v>16</v>
      </c>
      <c r="BL332" s="157" t="s">
        <v>16</v>
      </c>
      <c r="BM332" s="548" t="s">
        <v>1344</v>
      </c>
      <c r="BN332" s="548" t="s">
        <v>4160</v>
      </c>
      <c r="BO332" s="157" t="s">
        <v>4572</v>
      </c>
      <c r="BP332" s="548" t="s">
        <v>4574</v>
      </c>
      <c r="BQ332" s="157" t="s">
        <v>4571</v>
      </c>
      <c r="BR332" s="157"/>
    </row>
    <row r="333" spans="1:70" x14ac:dyDescent="0.25">
      <c r="A333" s="19" t="s">
        <v>3686</v>
      </c>
      <c r="B333" s="37" t="s">
        <v>5490</v>
      </c>
      <c r="C333" s="90">
        <v>45430.767777777779</v>
      </c>
      <c r="D333" s="114">
        <v>45430.517777777779</v>
      </c>
      <c r="E333" s="38">
        <v>45430</v>
      </c>
      <c r="F333" s="91">
        <v>2024</v>
      </c>
      <c r="G333" s="93">
        <v>5</v>
      </c>
      <c r="H333" s="37" t="s">
        <v>2457</v>
      </c>
      <c r="I333" s="37" t="s">
        <v>337</v>
      </c>
      <c r="J333" s="103">
        <v>-92.645077169371859</v>
      </c>
      <c r="K333" s="40">
        <v>44.843566012261739</v>
      </c>
      <c r="L333" s="74"/>
      <c r="M333" s="272" t="s">
        <v>5491</v>
      </c>
      <c r="N333" s="74">
        <v>1</v>
      </c>
      <c r="O333" s="94"/>
      <c r="P333" s="118">
        <v>1</v>
      </c>
      <c r="Q333" s="510">
        <v>80</v>
      </c>
      <c r="R333" s="513">
        <v>120</v>
      </c>
      <c r="S333" s="41"/>
      <c r="T333" s="40"/>
      <c r="U333" s="40">
        <v>7.5</v>
      </c>
      <c r="V333" s="119">
        <v>1</v>
      </c>
      <c r="W333" s="40">
        <v>0</v>
      </c>
      <c r="X333" s="119">
        <v>1</v>
      </c>
      <c r="Y333" s="40">
        <v>63</v>
      </c>
      <c r="Z333" s="119">
        <v>1</v>
      </c>
      <c r="AA333" s="368">
        <v>0</v>
      </c>
      <c r="AB333" s="535">
        <v>5</v>
      </c>
      <c r="AC333" s="39" t="s">
        <v>160</v>
      </c>
      <c r="AD333" s="75" t="s">
        <v>10</v>
      </c>
      <c r="AE333" s="95">
        <v>0</v>
      </c>
      <c r="AF333" s="75">
        <v>0</v>
      </c>
      <c r="AG333" s="75">
        <v>0</v>
      </c>
      <c r="AH333" s="75">
        <v>0</v>
      </c>
      <c r="AI333" s="75">
        <v>0</v>
      </c>
      <c r="AJ333" s="75">
        <v>0</v>
      </c>
      <c r="AK333" s="75">
        <v>0</v>
      </c>
      <c r="AL333" s="95">
        <v>1</v>
      </c>
      <c r="AM333" s="92">
        <v>0</v>
      </c>
      <c r="AN333" s="79" t="s">
        <v>81</v>
      </c>
      <c r="AO333" s="75">
        <v>1</v>
      </c>
      <c r="AP333" s="75" t="s">
        <v>83</v>
      </c>
      <c r="AQ333" s="122">
        <v>1</v>
      </c>
      <c r="AR333" s="515" t="s">
        <v>35</v>
      </c>
      <c r="AS333" s="95">
        <v>0</v>
      </c>
      <c r="AT333" s="75">
        <v>1</v>
      </c>
      <c r="AU333" s="75">
        <v>0</v>
      </c>
      <c r="AV333" s="75">
        <v>0</v>
      </c>
      <c r="AW333" s="123">
        <v>0</v>
      </c>
      <c r="AX333" s="516" t="s">
        <v>5492</v>
      </c>
      <c r="AY333" s="75">
        <v>1</v>
      </c>
      <c r="AZ333" s="77" t="s">
        <v>131</v>
      </c>
      <c r="BA333" s="78" t="s">
        <v>131</v>
      </c>
      <c r="BB333" s="78" t="s">
        <v>131</v>
      </c>
      <c r="BC333" s="78" t="s">
        <v>131</v>
      </c>
      <c r="BD333" s="78" t="s">
        <v>131</v>
      </c>
      <c r="BE333" s="78" t="s">
        <v>131</v>
      </c>
      <c r="BF333" s="78" t="s">
        <v>131</v>
      </c>
      <c r="BG333" s="78" t="s">
        <v>132</v>
      </c>
      <c r="BH333" s="75" t="s">
        <v>5970</v>
      </c>
      <c r="BI333" s="295" t="s">
        <v>2227</v>
      </c>
      <c r="BJ333" s="546">
        <v>1</v>
      </c>
      <c r="BK333" s="294" t="s">
        <v>16</v>
      </c>
      <c r="BL333" s="157" t="s">
        <v>16</v>
      </c>
      <c r="BM333" s="548" t="s">
        <v>578</v>
      </c>
      <c r="BN333" s="548" t="s">
        <v>578</v>
      </c>
      <c r="BO333" s="157" t="s">
        <v>4341</v>
      </c>
      <c r="BP333" s="548" t="s">
        <v>4343</v>
      </c>
      <c r="BQ333" s="157" t="s">
        <v>4309</v>
      </c>
      <c r="BR333" s="157"/>
    </row>
    <row r="334" spans="1:70" x14ac:dyDescent="0.25">
      <c r="A334" s="19" t="s">
        <v>3686</v>
      </c>
      <c r="B334" s="37" t="s">
        <v>5493</v>
      </c>
      <c r="C334" s="90">
        <v>45430.646377314813</v>
      </c>
      <c r="D334" s="114">
        <v>45430.396377314813</v>
      </c>
      <c r="E334" s="38">
        <v>45430</v>
      </c>
      <c r="F334" s="91">
        <v>2024</v>
      </c>
      <c r="G334" s="93">
        <v>5</v>
      </c>
      <c r="H334" s="37" t="s">
        <v>475</v>
      </c>
      <c r="I334" s="37"/>
      <c r="J334" s="103">
        <v>-92.222117177004506</v>
      </c>
      <c r="K334" s="40">
        <v>43.611165823405955</v>
      </c>
      <c r="L334" s="74"/>
      <c r="M334" s="272" t="s">
        <v>5494</v>
      </c>
      <c r="N334" s="74">
        <v>1</v>
      </c>
      <c r="O334" s="94"/>
      <c r="P334" s="118">
        <v>1</v>
      </c>
      <c r="Q334" s="510">
        <v>180</v>
      </c>
      <c r="R334" s="513">
        <v>180</v>
      </c>
      <c r="S334" s="41"/>
      <c r="T334" s="40"/>
      <c r="U334" s="40">
        <v>8</v>
      </c>
      <c r="V334" s="119">
        <v>0</v>
      </c>
      <c r="W334" s="40"/>
      <c r="X334" s="119">
        <v>1</v>
      </c>
      <c r="Y334" s="40">
        <v>50</v>
      </c>
      <c r="Z334" s="119">
        <v>1</v>
      </c>
      <c r="AA334" s="368">
        <v>0</v>
      </c>
      <c r="AB334" s="535">
        <v>10</v>
      </c>
      <c r="AC334" s="39" t="s">
        <v>160</v>
      </c>
      <c r="AD334" s="75" t="s">
        <v>10</v>
      </c>
      <c r="AE334" s="95">
        <v>0</v>
      </c>
      <c r="AF334" s="75">
        <v>0</v>
      </c>
      <c r="AG334" s="75">
        <v>0</v>
      </c>
      <c r="AH334" s="75">
        <v>0</v>
      </c>
      <c r="AI334" s="75">
        <v>0</v>
      </c>
      <c r="AJ334" s="75">
        <v>0</v>
      </c>
      <c r="AK334" s="75">
        <v>0</v>
      </c>
      <c r="AL334" s="95">
        <v>1</v>
      </c>
      <c r="AM334" s="92">
        <v>0</v>
      </c>
      <c r="AN334" s="79" t="s">
        <v>81</v>
      </c>
      <c r="AO334" s="75">
        <v>1</v>
      </c>
      <c r="AP334" s="75" t="s">
        <v>83</v>
      </c>
      <c r="AQ334" s="122">
        <v>1</v>
      </c>
      <c r="AR334" s="515" t="s">
        <v>10</v>
      </c>
      <c r="AS334" s="95">
        <v>0</v>
      </c>
      <c r="AT334" s="75">
        <v>0</v>
      </c>
      <c r="AU334" s="75">
        <v>0</v>
      </c>
      <c r="AV334" s="75">
        <v>0</v>
      </c>
      <c r="AW334" s="123">
        <v>0</v>
      </c>
      <c r="AX334" s="516" t="s">
        <v>5495</v>
      </c>
      <c r="AY334" s="75">
        <v>1</v>
      </c>
      <c r="AZ334" s="77" t="s">
        <v>131</v>
      </c>
      <c r="BA334" s="78" t="s">
        <v>131</v>
      </c>
      <c r="BB334" s="78" t="s">
        <v>131</v>
      </c>
      <c r="BC334" s="78" t="s">
        <v>131</v>
      </c>
      <c r="BD334" s="78" t="s">
        <v>131</v>
      </c>
      <c r="BE334" s="78" t="s">
        <v>131</v>
      </c>
      <c r="BF334" s="78" t="s">
        <v>131</v>
      </c>
      <c r="BG334" s="78" t="s">
        <v>132</v>
      </c>
      <c r="BH334" s="75" t="s">
        <v>5970</v>
      </c>
      <c r="BI334" s="295" t="s">
        <v>2232</v>
      </c>
      <c r="BJ334" s="546">
        <v>1</v>
      </c>
      <c r="BK334" s="294" t="s">
        <v>16</v>
      </c>
      <c r="BL334" s="157" t="s">
        <v>16</v>
      </c>
      <c r="BM334" s="548" t="s">
        <v>1339</v>
      </c>
      <c r="BN334" s="548" t="s">
        <v>1339</v>
      </c>
      <c r="BO334" s="157" t="s">
        <v>4719</v>
      </c>
      <c r="BP334" s="548" t="s">
        <v>2232</v>
      </c>
      <c r="BQ334" s="157" t="s">
        <v>4229</v>
      </c>
      <c r="BR334" s="157"/>
    </row>
    <row r="335" spans="1:70" x14ac:dyDescent="0.25">
      <c r="A335" s="19" t="s">
        <v>3686</v>
      </c>
      <c r="B335" s="37" t="s">
        <v>5496</v>
      </c>
      <c r="C335" s="90">
        <v>45430.615034722221</v>
      </c>
      <c r="D335" s="114">
        <v>45430.365034722221</v>
      </c>
      <c r="E335" s="38">
        <v>45430</v>
      </c>
      <c r="F335" s="91">
        <v>2024</v>
      </c>
      <c r="G335" s="93">
        <v>5</v>
      </c>
      <c r="H335" s="37" t="s">
        <v>5032</v>
      </c>
      <c r="I335" s="37"/>
      <c r="J335" s="103">
        <v>-90.725578600000006</v>
      </c>
      <c r="K335" s="40">
        <v>43.305622</v>
      </c>
      <c r="L335" s="74"/>
      <c r="M335" s="272" t="s">
        <v>5497</v>
      </c>
      <c r="N335" s="74">
        <v>1</v>
      </c>
      <c r="O335" s="94"/>
      <c r="P335" s="118">
        <v>1</v>
      </c>
      <c r="Q335" s="510">
        <v>80</v>
      </c>
      <c r="R335" s="513">
        <v>120</v>
      </c>
      <c r="S335" s="41"/>
      <c r="T335" s="40"/>
      <c r="U335" s="40">
        <v>7.5</v>
      </c>
      <c r="V335" s="119">
        <v>1</v>
      </c>
      <c r="W335" s="40">
        <v>0</v>
      </c>
      <c r="X335" s="119">
        <v>1</v>
      </c>
      <c r="Y335" s="40">
        <v>51</v>
      </c>
      <c r="Z335" s="119">
        <v>1</v>
      </c>
      <c r="AA335" s="368">
        <v>0</v>
      </c>
      <c r="AB335" s="535">
        <v>2</v>
      </c>
      <c r="AC335" s="39" t="s">
        <v>160</v>
      </c>
      <c r="AD335" s="75" t="s">
        <v>10</v>
      </c>
      <c r="AE335" s="95">
        <v>0</v>
      </c>
      <c r="AF335" s="75">
        <v>0</v>
      </c>
      <c r="AG335" s="75">
        <v>0</v>
      </c>
      <c r="AH335" s="75">
        <v>0</v>
      </c>
      <c r="AI335" s="75">
        <v>0</v>
      </c>
      <c r="AJ335" s="75">
        <v>0</v>
      </c>
      <c r="AK335" s="75">
        <v>0</v>
      </c>
      <c r="AL335" s="95">
        <v>1</v>
      </c>
      <c r="AM335" s="92">
        <v>0</v>
      </c>
      <c r="AN335" s="79" t="s">
        <v>80</v>
      </c>
      <c r="AO335" s="75">
        <v>1</v>
      </c>
      <c r="AP335" s="75" t="s">
        <v>83</v>
      </c>
      <c r="AQ335" s="122">
        <v>1</v>
      </c>
      <c r="AR335" s="515" t="s">
        <v>10</v>
      </c>
      <c r="AS335" s="95">
        <v>0</v>
      </c>
      <c r="AT335" s="75">
        <v>0</v>
      </c>
      <c r="AU335" s="75">
        <v>0</v>
      </c>
      <c r="AV335" s="75">
        <v>0</v>
      </c>
      <c r="AW335" s="123">
        <v>0</v>
      </c>
      <c r="AX335" s="516"/>
      <c r="AY335" s="75">
        <v>0</v>
      </c>
      <c r="AZ335" s="77" t="s">
        <v>131</v>
      </c>
      <c r="BA335" s="78" t="s">
        <v>131</v>
      </c>
      <c r="BB335" s="78" t="s">
        <v>131</v>
      </c>
      <c r="BC335" s="78" t="s">
        <v>131</v>
      </c>
      <c r="BD335" s="78" t="s">
        <v>131</v>
      </c>
      <c r="BE335" s="78" t="s">
        <v>131</v>
      </c>
      <c r="BF335" s="78" t="s">
        <v>131</v>
      </c>
      <c r="BG335" s="78" t="s">
        <v>132</v>
      </c>
      <c r="BH335" s="75" t="s">
        <v>5970</v>
      </c>
      <c r="BI335" s="295" t="s">
        <v>5960</v>
      </c>
      <c r="BJ335" s="546">
        <v>1</v>
      </c>
      <c r="BK335" s="294">
        <v>1</v>
      </c>
      <c r="BL335" s="157">
        <v>1</v>
      </c>
      <c r="BM335" s="548" t="s">
        <v>1342</v>
      </c>
      <c r="BN335" s="548" t="s">
        <v>1342</v>
      </c>
      <c r="BO335" s="157" t="s">
        <v>4580</v>
      </c>
      <c r="BP335" s="548" t="s">
        <v>4097</v>
      </c>
      <c r="BQ335" s="157" t="s">
        <v>4427</v>
      </c>
      <c r="BR335" s="157"/>
    </row>
    <row r="336" spans="1:70" x14ac:dyDescent="0.25">
      <c r="A336" s="19" t="s">
        <v>3686</v>
      </c>
      <c r="B336" s="37" t="s">
        <v>5498</v>
      </c>
      <c r="C336" s="90">
        <v>45430.593310185184</v>
      </c>
      <c r="D336" s="114">
        <v>45430.343310185184</v>
      </c>
      <c r="E336" s="38">
        <v>45430</v>
      </c>
      <c r="F336" s="91">
        <v>2024</v>
      </c>
      <c r="G336" s="93">
        <v>5</v>
      </c>
      <c r="H336" s="37" t="s">
        <v>475</v>
      </c>
      <c r="I336" s="37"/>
      <c r="J336" s="103">
        <v>-92.224456958687256</v>
      </c>
      <c r="K336" s="40">
        <v>43.622698528303196</v>
      </c>
      <c r="L336" s="74"/>
      <c r="M336" s="272" t="s">
        <v>5499</v>
      </c>
      <c r="N336" s="74">
        <v>1</v>
      </c>
      <c r="O336" s="94"/>
      <c r="P336" s="118">
        <v>1</v>
      </c>
      <c r="Q336" s="510">
        <v>80</v>
      </c>
      <c r="R336" s="513">
        <v>120</v>
      </c>
      <c r="S336" s="41"/>
      <c r="T336" s="40"/>
      <c r="U336" s="40">
        <v>8</v>
      </c>
      <c r="V336" s="119">
        <v>1</v>
      </c>
      <c r="W336" s="40">
        <v>0</v>
      </c>
      <c r="X336" s="119">
        <v>1</v>
      </c>
      <c r="Y336" s="40">
        <v>61</v>
      </c>
      <c r="Z336" s="119">
        <v>1</v>
      </c>
      <c r="AA336" s="368">
        <v>0</v>
      </c>
      <c r="AB336" s="535">
        <v>20</v>
      </c>
      <c r="AC336" s="39" t="s">
        <v>160</v>
      </c>
      <c r="AD336" s="75" t="s">
        <v>10</v>
      </c>
      <c r="AE336" s="95">
        <v>0</v>
      </c>
      <c r="AF336" s="75">
        <v>0</v>
      </c>
      <c r="AG336" s="75">
        <v>0</v>
      </c>
      <c r="AH336" s="75">
        <v>0</v>
      </c>
      <c r="AI336" s="75">
        <v>0</v>
      </c>
      <c r="AJ336" s="75">
        <v>0</v>
      </c>
      <c r="AK336" s="75">
        <v>0</v>
      </c>
      <c r="AL336" s="95">
        <v>1</v>
      </c>
      <c r="AM336" s="92">
        <v>0</v>
      </c>
      <c r="AN336" s="79" t="s">
        <v>81</v>
      </c>
      <c r="AO336" s="75">
        <v>1</v>
      </c>
      <c r="AP336" s="75" t="s">
        <v>83</v>
      </c>
      <c r="AQ336" s="122">
        <v>1</v>
      </c>
      <c r="AR336" s="515" t="s">
        <v>10</v>
      </c>
      <c r="AS336" s="95">
        <v>0</v>
      </c>
      <c r="AT336" s="75">
        <v>0</v>
      </c>
      <c r="AU336" s="75">
        <v>0</v>
      </c>
      <c r="AV336" s="75">
        <v>0</v>
      </c>
      <c r="AW336" s="123">
        <v>0</v>
      </c>
      <c r="AX336" s="516" t="s">
        <v>5500</v>
      </c>
      <c r="AY336" s="75">
        <v>1</v>
      </c>
      <c r="AZ336" s="77" t="s">
        <v>131</v>
      </c>
      <c r="BA336" s="78" t="s">
        <v>131</v>
      </c>
      <c r="BB336" s="78" t="s">
        <v>131</v>
      </c>
      <c r="BC336" s="78" t="s">
        <v>131</v>
      </c>
      <c r="BD336" s="78" t="s">
        <v>131</v>
      </c>
      <c r="BE336" s="78" t="s">
        <v>131</v>
      </c>
      <c r="BF336" s="78" t="s">
        <v>131</v>
      </c>
      <c r="BG336" s="78" t="s">
        <v>132</v>
      </c>
      <c r="BH336" s="75" t="s">
        <v>5970</v>
      </c>
      <c r="BI336" s="295" t="s">
        <v>2232</v>
      </c>
      <c r="BJ336" s="546">
        <v>1</v>
      </c>
      <c r="BK336" s="294" t="s">
        <v>16</v>
      </c>
      <c r="BL336" s="157" t="s">
        <v>16</v>
      </c>
      <c r="BM336" s="548" t="s">
        <v>1339</v>
      </c>
      <c r="BN336" s="548" t="s">
        <v>1339</v>
      </c>
      <c r="BO336" s="157" t="s">
        <v>4332</v>
      </c>
      <c r="BP336" s="548" t="s">
        <v>4333</v>
      </c>
      <c r="BQ336" s="157" t="s">
        <v>4229</v>
      </c>
      <c r="BR336" s="157"/>
    </row>
    <row r="337" spans="1:70" x14ac:dyDescent="0.25">
      <c r="A337" s="19" t="s">
        <v>3686</v>
      </c>
      <c r="B337" s="37" t="s">
        <v>5501</v>
      </c>
      <c r="C337" s="90">
        <v>45430.540590277778</v>
      </c>
      <c r="D337" s="114">
        <v>45430.290590277778</v>
      </c>
      <c r="E337" s="38">
        <v>45430</v>
      </c>
      <c r="F337" s="91">
        <v>2024</v>
      </c>
      <c r="G337" s="93">
        <v>5</v>
      </c>
      <c r="H337" s="37" t="s">
        <v>475</v>
      </c>
      <c r="I337" s="37"/>
      <c r="J337" s="103">
        <v>-92.270482032959364</v>
      </c>
      <c r="K337" s="40">
        <v>43.757767311878069</v>
      </c>
      <c r="L337" s="74"/>
      <c r="M337" s="272" t="s">
        <v>5502</v>
      </c>
      <c r="N337" s="74">
        <v>1</v>
      </c>
      <c r="O337" s="94"/>
      <c r="P337" s="118">
        <v>1</v>
      </c>
      <c r="Q337" s="510">
        <v>120</v>
      </c>
      <c r="R337" s="513">
        <v>120</v>
      </c>
      <c r="S337" s="41"/>
      <c r="T337" s="40"/>
      <c r="U337" s="40">
        <v>7.5</v>
      </c>
      <c r="V337" s="119">
        <v>1</v>
      </c>
      <c r="W337" s="40">
        <v>0</v>
      </c>
      <c r="X337" s="119">
        <v>1</v>
      </c>
      <c r="Y337" s="40">
        <v>61</v>
      </c>
      <c r="Z337" s="119">
        <v>1</v>
      </c>
      <c r="AA337" s="368">
        <v>0</v>
      </c>
      <c r="AB337" s="535">
        <v>5</v>
      </c>
      <c r="AC337" s="39" t="s">
        <v>160</v>
      </c>
      <c r="AD337" s="75" t="s">
        <v>10</v>
      </c>
      <c r="AE337" s="95">
        <v>0</v>
      </c>
      <c r="AF337" s="75">
        <v>0</v>
      </c>
      <c r="AG337" s="75">
        <v>0</v>
      </c>
      <c r="AH337" s="75">
        <v>0</v>
      </c>
      <c r="AI337" s="75">
        <v>0</v>
      </c>
      <c r="AJ337" s="75">
        <v>0</v>
      </c>
      <c r="AK337" s="75">
        <v>0</v>
      </c>
      <c r="AL337" s="95">
        <v>1</v>
      </c>
      <c r="AM337" s="92">
        <v>0</v>
      </c>
      <c r="AN337" s="79" t="s">
        <v>81</v>
      </c>
      <c r="AO337" s="75">
        <v>1</v>
      </c>
      <c r="AP337" s="75" t="s">
        <v>84</v>
      </c>
      <c r="AQ337" s="122">
        <v>1</v>
      </c>
      <c r="AR337" s="515" t="s">
        <v>10</v>
      </c>
      <c r="AS337" s="95">
        <v>0</v>
      </c>
      <c r="AT337" s="75">
        <v>0</v>
      </c>
      <c r="AU337" s="75">
        <v>0</v>
      </c>
      <c r="AV337" s="75">
        <v>0</v>
      </c>
      <c r="AW337" s="123">
        <v>0</v>
      </c>
      <c r="AX337" s="516" t="s">
        <v>5503</v>
      </c>
      <c r="AY337" s="75">
        <v>1</v>
      </c>
      <c r="AZ337" s="77" t="s">
        <v>131</v>
      </c>
      <c r="BA337" s="78" t="s">
        <v>131</v>
      </c>
      <c r="BB337" s="78" t="s">
        <v>131</v>
      </c>
      <c r="BC337" s="78" t="s">
        <v>131</v>
      </c>
      <c r="BD337" s="78" t="s">
        <v>131</v>
      </c>
      <c r="BE337" s="78" t="s">
        <v>131</v>
      </c>
      <c r="BF337" s="78" t="s">
        <v>131</v>
      </c>
      <c r="BG337" s="78" t="s">
        <v>132</v>
      </c>
      <c r="BH337" s="75" t="s">
        <v>5970</v>
      </c>
      <c r="BI337" s="295" t="s">
        <v>4228</v>
      </c>
      <c r="BJ337" s="546" t="s">
        <v>16</v>
      </c>
      <c r="BK337" s="294" t="s">
        <v>16</v>
      </c>
      <c r="BL337" s="157" t="s">
        <v>16</v>
      </c>
      <c r="BM337" s="548" t="s">
        <v>1339</v>
      </c>
      <c r="BN337" s="548" t="s">
        <v>1339</v>
      </c>
      <c r="BO337" s="157" t="s">
        <v>4329</v>
      </c>
      <c r="BP337" s="548" t="s">
        <v>4228</v>
      </c>
      <c r="BQ337" s="157" t="s">
        <v>4226</v>
      </c>
      <c r="BR337" s="157"/>
    </row>
    <row r="338" spans="1:70" x14ac:dyDescent="0.25">
      <c r="A338" s="19" t="s">
        <v>3686</v>
      </c>
      <c r="B338" s="37" t="s">
        <v>5504</v>
      </c>
      <c r="C338" s="90">
        <v>45430.527604166666</v>
      </c>
      <c r="D338" s="114">
        <v>45430.277604166666</v>
      </c>
      <c r="E338" s="38">
        <v>45430</v>
      </c>
      <c r="F338" s="91">
        <v>2024</v>
      </c>
      <c r="G338" s="93">
        <v>5</v>
      </c>
      <c r="H338" s="37" t="s">
        <v>475</v>
      </c>
      <c r="I338" s="37"/>
      <c r="J338" s="103">
        <v>-92.251840414563219</v>
      </c>
      <c r="K338" s="40">
        <v>43.78639179964766</v>
      </c>
      <c r="L338" s="74"/>
      <c r="M338" s="272" t="s">
        <v>5505</v>
      </c>
      <c r="N338" s="74">
        <v>1</v>
      </c>
      <c r="O338" s="94"/>
      <c r="P338" s="118">
        <v>1</v>
      </c>
      <c r="Q338" s="510">
        <v>180</v>
      </c>
      <c r="R338" s="513">
        <v>180</v>
      </c>
      <c r="S338" s="41"/>
      <c r="T338" s="40"/>
      <c r="U338" s="40">
        <v>8</v>
      </c>
      <c r="V338" s="119">
        <v>1</v>
      </c>
      <c r="W338" s="40">
        <v>0</v>
      </c>
      <c r="X338" s="119">
        <v>1</v>
      </c>
      <c r="Y338" s="40">
        <v>54</v>
      </c>
      <c r="Z338" s="119">
        <v>1</v>
      </c>
      <c r="AA338" s="368">
        <v>0</v>
      </c>
      <c r="AB338" s="535">
        <v>2</v>
      </c>
      <c r="AC338" s="39" t="s">
        <v>160</v>
      </c>
      <c r="AD338" s="75" t="s">
        <v>439</v>
      </c>
      <c r="AE338" s="95">
        <v>0</v>
      </c>
      <c r="AF338" s="75">
        <v>1</v>
      </c>
      <c r="AG338" s="75">
        <v>0</v>
      </c>
      <c r="AH338" s="75">
        <v>0</v>
      </c>
      <c r="AI338" s="75">
        <v>1</v>
      </c>
      <c r="AJ338" s="75">
        <v>0</v>
      </c>
      <c r="AK338" s="75">
        <v>0</v>
      </c>
      <c r="AL338" s="95">
        <v>0</v>
      </c>
      <c r="AM338" s="92">
        <v>0</v>
      </c>
      <c r="AN338" s="79" t="s">
        <v>80</v>
      </c>
      <c r="AO338" s="75">
        <v>1</v>
      </c>
      <c r="AP338" s="75" t="s">
        <v>83</v>
      </c>
      <c r="AQ338" s="122">
        <v>1</v>
      </c>
      <c r="AR338" s="515" t="s">
        <v>10</v>
      </c>
      <c r="AS338" s="95">
        <v>0</v>
      </c>
      <c r="AT338" s="75">
        <v>0</v>
      </c>
      <c r="AU338" s="75">
        <v>0</v>
      </c>
      <c r="AV338" s="75">
        <v>0</v>
      </c>
      <c r="AW338" s="123">
        <v>0</v>
      </c>
      <c r="AX338" s="516" t="s">
        <v>5506</v>
      </c>
      <c r="AY338" s="75">
        <v>1</v>
      </c>
      <c r="AZ338" s="77" t="s">
        <v>131</v>
      </c>
      <c r="BA338" s="78" t="s">
        <v>132</v>
      </c>
      <c r="BB338" s="78" t="s">
        <v>131</v>
      </c>
      <c r="BC338" s="78" t="s">
        <v>131</v>
      </c>
      <c r="BD338" s="78" t="s">
        <v>132</v>
      </c>
      <c r="BE338" s="78" t="s">
        <v>131</v>
      </c>
      <c r="BF338" s="78" t="s">
        <v>131</v>
      </c>
      <c r="BG338" s="78" t="s">
        <v>131</v>
      </c>
      <c r="BH338" s="75" t="s">
        <v>5970</v>
      </c>
      <c r="BI338" s="295" t="s">
        <v>2251</v>
      </c>
      <c r="BJ338" s="546">
        <v>1</v>
      </c>
      <c r="BK338" s="294" t="s">
        <v>16</v>
      </c>
      <c r="BL338" s="157" t="s">
        <v>16</v>
      </c>
      <c r="BM338" s="548" t="s">
        <v>1339</v>
      </c>
      <c r="BN338" s="548" t="s">
        <v>1339</v>
      </c>
      <c r="BO338" s="157" t="s">
        <v>4329</v>
      </c>
      <c r="BP338" s="548" t="s">
        <v>4228</v>
      </c>
      <c r="BQ338" s="157" t="s">
        <v>4226</v>
      </c>
      <c r="BR338" s="157"/>
    </row>
    <row r="339" spans="1:70" x14ac:dyDescent="0.25">
      <c r="A339" s="19" t="s">
        <v>3686</v>
      </c>
      <c r="B339" s="37" t="s">
        <v>5507</v>
      </c>
      <c r="C339" s="90">
        <v>45430.512835648151</v>
      </c>
      <c r="D339" s="114">
        <v>45430.262835648151</v>
      </c>
      <c r="E339" s="38">
        <v>45430</v>
      </c>
      <c r="F339" s="91">
        <v>2024</v>
      </c>
      <c r="G339" s="93">
        <v>5</v>
      </c>
      <c r="H339" s="37" t="s">
        <v>475</v>
      </c>
      <c r="I339" s="37"/>
      <c r="J339" s="103">
        <v>-92.196052858260046</v>
      </c>
      <c r="K339" s="40">
        <v>43.811042507516262</v>
      </c>
      <c r="L339" s="74"/>
      <c r="M339" s="272" t="s">
        <v>5508</v>
      </c>
      <c r="N339" s="74">
        <v>1</v>
      </c>
      <c r="O339" s="94"/>
      <c r="P339" s="118">
        <v>1</v>
      </c>
      <c r="Q339" s="510">
        <v>180</v>
      </c>
      <c r="R339" s="513">
        <v>120</v>
      </c>
      <c r="S339" s="41"/>
      <c r="T339" s="40"/>
      <c r="U339" s="40">
        <v>7</v>
      </c>
      <c r="V339" s="119">
        <v>1</v>
      </c>
      <c r="W339" s="40">
        <v>0</v>
      </c>
      <c r="X339" s="119">
        <v>1</v>
      </c>
      <c r="Y339" s="40">
        <v>56</v>
      </c>
      <c r="Z339" s="119">
        <v>1</v>
      </c>
      <c r="AA339" s="368">
        <v>0</v>
      </c>
      <c r="AB339" s="535">
        <v>5</v>
      </c>
      <c r="AC339" s="39" t="s">
        <v>160</v>
      </c>
      <c r="AD339" s="75" t="s">
        <v>16</v>
      </c>
      <c r="AE339" s="95">
        <v>-1</v>
      </c>
      <c r="AF339" s="75">
        <v>-1</v>
      </c>
      <c r="AG339" s="75">
        <v>-1</v>
      </c>
      <c r="AH339" s="75">
        <v>-1</v>
      </c>
      <c r="AI339" s="75">
        <v>-1</v>
      </c>
      <c r="AJ339" s="75">
        <v>-1</v>
      </c>
      <c r="AK339" s="75">
        <v>-1</v>
      </c>
      <c r="AL339" s="95">
        <v>-1</v>
      </c>
      <c r="AM339" s="92">
        <v>1</v>
      </c>
      <c r="AN339" s="79" t="s">
        <v>81</v>
      </c>
      <c r="AO339" s="75">
        <v>1</v>
      </c>
      <c r="AP339" s="75" t="s">
        <v>83</v>
      </c>
      <c r="AQ339" s="122">
        <v>1</v>
      </c>
      <c r="AR339" s="515" t="s">
        <v>10</v>
      </c>
      <c r="AS339" s="95">
        <v>0</v>
      </c>
      <c r="AT339" s="75">
        <v>0</v>
      </c>
      <c r="AU339" s="75">
        <v>0</v>
      </c>
      <c r="AV339" s="75">
        <v>0</v>
      </c>
      <c r="AW339" s="123">
        <v>0</v>
      </c>
      <c r="AX339" s="516" t="s">
        <v>5509</v>
      </c>
      <c r="AY339" s="75">
        <v>1</v>
      </c>
      <c r="AZ339" s="77" t="s">
        <v>5971</v>
      </c>
      <c r="BA339" s="78" t="s">
        <v>5971</v>
      </c>
      <c r="BB339" s="78" t="s">
        <v>5971</v>
      </c>
      <c r="BC339" s="78" t="s">
        <v>5971</v>
      </c>
      <c r="BD339" s="78" t="s">
        <v>5971</v>
      </c>
      <c r="BE339" s="78" t="s">
        <v>5971</v>
      </c>
      <c r="BF339" s="78" t="s">
        <v>5971</v>
      </c>
      <c r="BG339" s="78" t="s">
        <v>5971</v>
      </c>
      <c r="BH339" s="75" t="s">
        <v>5971</v>
      </c>
      <c r="BI339" s="295" t="s">
        <v>2260</v>
      </c>
      <c r="BJ339" s="546">
        <v>1</v>
      </c>
      <c r="BK339" s="294" t="s">
        <v>16</v>
      </c>
      <c r="BL339" s="157" t="s">
        <v>16</v>
      </c>
      <c r="BM339" s="548" t="s">
        <v>1339</v>
      </c>
      <c r="BN339" s="548" t="s">
        <v>1339</v>
      </c>
      <c r="BO339" s="157" t="s">
        <v>4726</v>
      </c>
      <c r="BP339" s="548" t="s">
        <v>2260</v>
      </c>
      <c r="BQ339" s="157" t="s">
        <v>4226</v>
      </c>
      <c r="BR339" s="157"/>
    </row>
    <row r="340" spans="1:70" x14ac:dyDescent="0.25">
      <c r="A340" s="19" t="s">
        <v>3686</v>
      </c>
      <c r="B340" s="37" t="s">
        <v>5510</v>
      </c>
      <c r="C340" s="90">
        <v>45429.81050925926</v>
      </c>
      <c r="D340" s="114">
        <v>45429.56050925926</v>
      </c>
      <c r="E340" s="38">
        <v>45429</v>
      </c>
      <c r="F340" s="91">
        <v>2024</v>
      </c>
      <c r="G340" s="93">
        <v>5</v>
      </c>
      <c r="H340" s="37" t="s">
        <v>5449</v>
      </c>
      <c r="I340" s="37"/>
      <c r="J340" s="103">
        <v>-91.765978357826114</v>
      </c>
      <c r="K340" s="40">
        <v>42.868224431590988</v>
      </c>
      <c r="L340" s="74"/>
      <c r="M340" s="272" t="s">
        <v>5511</v>
      </c>
      <c r="N340" s="74">
        <v>1</v>
      </c>
      <c r="O340" s="94"/>
      <c r="P340" s="118">
        <v>1</v>
      </c>
      <c r="Q340" s="510">
        <v>180</v>
      </c>
      <c r="R340" s="513">
        <v>180</v>
      </c>
      <c r="S340" s="41"/>
      <c r="T340" s="40"/>
      <c r="U340" s="40">
        <v>8</v>
      </c>
      <c r="V340" s="119">
        <v>1</v>
      </c>
      <c r="W340" s="40">
        <v>0</v>
      </c>
      <c r="X340" s="119">
        <v>1</v>
      </c>
      <c r="Y340" s="40">
        <v>51</v>
      </c>
      <c r="Z340" s="119">
        <v>1</v>
      </c>
      <c r="AA340" s="368">
        <v>0</v>
      </c>
      <c r="AB340" s="535">
        <v>1</v>
      </c>
      <c r="AC340" s="39" t="s">
        <v>162</v>
      </c>
      <c r="AD340" s="75" t="s">
        <v>16</v>
      </c>
      <c r="AE340" s="95">
        <v>-1</v>
      </c>
      <c r="AF340" s="75">
        <v>-1</v>
      </c>
      <c r="AG340" s="75">
        <v>-1</v>
      </c>
      <c r="AH340" s="75">
        <v>-1</v>
      </c>
      <c r="AI340" s="75">
        <v>-1</v>
      </c>
      <c r="AJ340" s="75">
        <v>-1</v>
      </c>
      <c r="AK340" s="75">
        <v>-1</v>
      </c>
      <c r="AL340" s="95">
        <v>-1</v>
      </c>
      <c r="AM340" s="92">
        <v>1</v>
      </c>
      <c r="AN340" s="79"/>
      <c r="AO340" s="75">
        <v>0</v>
      </c>
      <c r="AP340" s="75"/>
      <c r="AQ340" s="122">
        <v>0</v>
      </c>
      <c r="AR340" s="515" t="s">
        <v>16</v>
      </c>
      <c r="AS340" s="95">
        <v>-1</v>
      </c>
      <c r="AT340" s="75">
        <v>-1</v>
      </c>
      <c r="AU340" s="75">
        <v>-1</v>
      </c>
      <c r="AV340" s="75">
        <v>-1</v>
      </c>
      <c r="AW340" s="123">
        <v>1</v>
      </c>
      <c r="AX340" s="516"/>
      <c r="AY340" s="75">
        <v>0</v>
      </c>
      <c r="AZ340" s="77" t="s">
        <v>5971</v>
      </c>
      <c r="BA340" s="78" t="s">
        <v>5971</v>
      </c>
      <c r="BB340" s="78" t="s">
        <v>5971</v>
      </c>
      <c r="BC340" s="78" t="s">
        <v>5971</v>
      </c>
      <c r="BD340" s="78" t="s">
        <v>5971</v>
      </c>
      <c r="BE340" s="78" t="s">
        <v>5971</v>
      </c>
      <c r="BF340" s="78" t="s">
        <v>5971</v>
      </c>
      <c r="BG340" s="78" t="s">
        <v>5971</v>
      </c>
      <c r="BH340" s="75" t="s">
        <v>5971</v>
      </c>
      <c r="BI340" s="295" t="s">
        <v>2284</v>
      </c>
      <c r="BJ340" s="546">
        <v>1</v>
      </c>
      <c r="BK340" s="294" t="s">
        <v>16</v>
      </c>
      <c r="BL340" s="157" t="s">
        <v>16</v>
      </c>
      <c r="BM340" s="548" t="s">
        <v>1344</v>
      </c>
      <c r="BN340" s="548" t="s">
        <v>5969</v>
      </c>
      <c r="BO340" s="157" t="s">
        <v>4572</v>
      </c>
      <c r="BP340" s="548" t="s">
        <v>4574</v>
      </c>
      <c r="BQ340" s="157" t="s">
        <v>4571</v>
      </c>
      <c r="BR340" s="157"/>
    </row>
    <row r="341" spans="1:70" x14ac:dyDescent="0.25">
      <c r="A341" s="19" t="s">
        <v>3686</v>
      </c>
      <c r="B341" s="37" t="s">
        <v>5512</v>
      </c>
      <c r="C341" s="90">
        <v>45429.673009259262</v>
      </c>
      <c r="D341" s="114">
        <v>45429.423009259262</v>
      </c>
      <c r="E341" s="38">
        <v>45429</v>
      </c>
      <c r="F341" s="91">
        <v>2024</v>
      </c>
      <c r="G341" s="93">
        <v>5</v>
      </c>
      <c r="H341" s="37" t="s">
        <v>5449</v>
      </c>
      <c r="I341" s="37"/>
      <c r="J341" s="103">
        <v>-91.758436339868993</v>
      </c>
      <c r="K341" s="40">
        <v>42.880891149879588</v>
      </c>
      <c r="L341" s="74"/>
      <c r="M341" s="272" t="s">
        <v>5513</v>
      </c>
      <c r="N341" s="74">
        <v>1</v>
      </c>
      <c r="O341" s="94"/>
      <c r="P341" s="118">
        <v>1</v>
      </c>
      <c r="Q341" s="510">
        <v>180</v>
      </c>
      <c r="R341" s="513">
        <v>180</v>
      </c>
      <c r="S341" s="41"/>
      <c r="T341" s="40"/>
      <c r="U341" s="40">
        <v>9</v>
      </c>
      <c r="V341" s="119">
        <v>1</v>
      </c>
      <c r="W341" s="40">
        <v>0</v>
      </c>
      <c r="X341" s="119">
        <v>1</v>
      </c>
      <c r="Y341" s="40">
        <v>51</v>
      </c>
      <c r="Z341" s="119">
        <v>1</v>
      </c>
      <c r="AA341" s="368">
        <v>0</v>
      </c>
      <c r="AB341" s="535">
        <v>2</v>
      </c>
      <c r="AC341" s="39" t="s">
        <v>160</v>
      </c>
      <c r="AD341" s="75" t="s">
        <v>16</v>
      </c>
      <c r="AE341" s="95">
        <v>-1</v>
      </c>
      <c r="AF341" s="75">
        <v>-1</v>
      </c>
      <c r="AG341" s="75">
        <v>-1</v>
      </c>
      <c r="AH341" s="75">
        <v>-1</v>
      </c>
      <c r="AI341" s="75">
        <v>-1</v>
      </c>
      <c r="AJ341" s="75">
        <v>-1</v>
      </c>
      <c r="AK341" s="75">
        <v>-1</v>
      </c>
      <c r="AL341" s="95">
        <v>-1</v>
      </c>
      <c r="AM341" s="92">
        <v>1</v>
      </c>
      <c r="AN341" s="79"/>
      <c r="AO341" s="75">
        <v>0</v>
      </c>
      <c r="AP341" s="75"/>
      <c r="AQ341" s="122">
        <v>0</v>
      </c>
      <c r="AR341" s="515" t="s">
        <v>16</v>
      </c>
      <c r="AS341" s="95">
        <v>-1</v>
      </c>
      <c r="AT341" s="75">
        <v>-1</v>
      </c>
      <c r="AU341" s="75">
        <v>-1</v>
      </c>
      <c r="AV341" s="75">
        <v>-1</v>
      </c>
      <c r="AW341" s="123">
        <v>1</v>
      </c>
      <c r="AX341" s="516"/>
      <c r="AY341" s="75">
        <v>0</v>
      </c>
      <c r="AZ341" s="77" t="s">
        <v>5971</v>
      </c>
      <c r="BA341" s="78" t="s">
        <v>5971</v>
      </c>
      <c r="BB341" s="78" t="s">
        <v>5971</v>
      </c>
      <c r="BC341" s="78" t="s">
        <v>5971</v>
      </c>
      <c r="BD341" s="78" t="s">
        <v>5971</v>
      </c>
      <c r="BE341" s="78" t="s">
        <v>5971</v>
      </c>
      <c r="BF341" s="78" t="s">
        <v>5971</v>
      </c>
      <c r="BG341" s="78" t="s">
        <v>5971</v>
      </c>
      <c r="BH341" s="75" t="s">
        <v>5971</v>
      </c>
      <c r="BI341" s="295" t="s">
        <v>4680</v>
      </c>
      <c r="BJ341" s="546">
        <v>1</v>
      </c>
      <c r="BK341" s="294" t="s">
        <v>16</v>
      </c>
      <c r="BL341" s="157" t="s">
        <v>16</v>
      </c>
      <c r="BM341" s="548" t="s">
        <v>1344</v>
      </c>
      <c r="BN341" s="548" t="s">
        <v>5969</v>
      </c>
      <c r="BO341" s="157" t="s">
        <v>4679</v>
      </c>
      <c r="BP341" s="548" t="s">
        <v>4680</v>
      </c>
      <c r="BQ341" s="157" t="s">
        <v>4571</v>
      </c>
      <c r="BR341" s="157"/>
    </row>
    <row r="342" spans="1:70" x14ac:dyDescent="0.25">
      <c r="A342" s="19" t="s">
        <v>3686</v>
      </c>
      <c r="B342" s="37" t="s">
        <v>5514</v>
      </c>
      <c r="C342" s="90">
        <v>45429.627939814818</v>
      </c>
      <c r="D342" s="114">
        <v>45429.377939814818</v>
      </c>
      <c r="E342" s="38">
        <v>45429</v>
      </c>
      <c r="F342" s="91">
        <v>2024</v>
      </c>
      <c r="G342" s="93">
        <v>5</v>
      </c>
      <c r="H342" s="37" t="s">
        <v>5449</v>
      </c>
      <c r="I342" s="37"/>
      <c r="J342" s="103">
        <v>-91.760890516967081</v>
      </c>
      <c r="K342" s="40">
        <v>42.881235097897211</v>
      </c>
      <c r="L342" s="74"/>
      <c r="M342" s="272" t="s">
        <v>5515</v>
      </c>
      <c r="N342" s="74">
        <v>1</v>
      </c>
      <c r="O342" s="94"/>
      <c r="P342" s="118">
        <v>1</v>
      </c>
      <c r="Q342" s="510">
        <v>180</v>
      </c>
      <c r="R342" s="513">
        <v>180</v>
      </c>
      <c r="S342" s="41"/>
      <c r="T342" s="40"/>
      <c r="U342" s="40">
        <v>9</v>
      </c>
      <c r="V342" s="119">
        <v>1</v>
      </c>
      <c r="W342" s="40">
        <v>0</v>
      </c>
      <c r="X342" s="119">
        <v>1</v>
      </c>
      <c r="Y342" s="40">
        <v>54</v>
      </c>
      <c r="Z342" s="119">
        <v>1</v>
      </c>
      <c r="AA342" s="368">
        <v>0</v>
      </c>
      <c r="AB342" s="535">
        <v>0</v>
      </c>
      <c r="AC342" s="39" t="s">
        <v>160</v>
      </c>
      <c r="AD342" s="75" t="s">
        <v>16</v>
      </c>
      <c r="AE342" s="95">
        <v>-1</v>
      </c>
      <c r="AF342" s="75">
        <v>-1</v>
      </c>
      <c r="AG342" s="75">
        <v>-1</v>
      </c>
      <c r="AH342" s="75">
        <v>-1</v>
      </c>
      <c r="AI342" s="75">
        <v>-1</v>
      </c>
      <c r="AJ342" s="75">
        <v>-1</v>
      </c>
      <c r="AK342" s="75">
        <v>-1</v>
      </c>
      <c r="AL342" s="95">
        <v>-1</v>
      </c>
      <c r="AM342" s="92">
        <v>1</v>
      </c>
      <c r="AN342" s="79"/>
      <c r="AO342" s="75">
        <v>0</v>
      </c>
      <c r="AP342" s="75"/>
      <c r="AQ342" s="122">
        <v>0</v>
      </c>
      <c r="AR342" s="515" t="s">
        <v>16</v>
      </c>
      <c r="AS342" s="95">
        <v>-1</v>
      </c>
      <c r="AT342" s="75">
        <v>-1</v>
      </c>
      <c r="AU342" s="75">
        <v>-1</v>
      </c>
      <c r="AV342" s="75">
        <v>-1</v>
      </c>
      <c r="AW342" s="123">
        <v>1</v>
      </c>
      <c r="AX342" s="516"/>
      <c r="AY342" s="75">
        <v>0</v>
      </c>
      <c r="AZ342" s="77" t="s">
        <v>5971</v>
      </c>
      <c r="BA342" s="78" t="s">
        <v>5971</v>
      </c>
      <c r="BB342" s="78" t="s">
        <v>5971</v>
      </c>
      <c r="BC342" s="78" t="s">
        <v>5971</v>
      </c>
      <c r="BD342" s="78" t="s">
        <v>5971</v>
      </c>
      <c r="BE342" s="78" t="s">
        <v>5971</v>
      </c>
      <c r="BF342" s="78" t="s">
        <v>5971</v>
      </c>
      <c r="BG342" s="78" t="s">
        <v>5971</v>
      </c>
      <c r="BH342" s="75" t="s">
        <v>5971</v>
      </c>
      <c r="BI342" s="295" t="s">
        <v>4680</v>
      </c>
      <c r="BJ342" s="546">
        <v>1</v>
      </c>
      <c r="BK342" s="294" t="s">
        <v>16</v>
      </c>
      <c r="BL342" s="157" t="s">
        <v>16</v>
      </c>
      <c r="BM342" s="548" t="s">
        <v>1344</v>
      </c>
      <c r="BN342" s="548" t="s">
        <v>5969</v>
      </c>
      <c r="BO342" s="157" t="s">
        <v>4679</v>
      </c>
      <c r="BP342" s="548" t="s">
        <v>4680</v>
      </c>
      <c r="BQ342" s="157" t="s">
        <v>4571</v>
      </c>
      <c r="BR342" s="157"/>
    </row>
    <row r="343" spans="1:70" x14ac:dyDescent="0.25">
      <c r="A343" s="19" t="s">
        <v>3686</v>
      </c>
      <c r="B343" s="37" t="s">
        <v>5516</v>
      </c>
      <c r="C343" s="90">
        <v>45428.839212962965</v>
      </c>
      <c r="D343" s="114">
        <v>45428.589212962965</v>
      </c>
      <c r="E343" s="38">
        <v>45428</v>
      </c>
      <c r="F343" s="91">
        <v>2024</v>
      </c>
      <c r="G343" s="93">
        <v>5</v>
      </c>
      <c r="H343" s="37" t="s">
        <v>5429</v>
      </c>
      <c r="I343" s="37"/>
      <c r="J343" s="103">
        <v>-91.756191926266922</v>
      </c>
      <c r="K343" s="40">
        <v>42.859249654565069</v>
      </c>
      <c r="L343" s="74"/>
      <c r="M343" s="272" t="s">
        <v>5517</v>
      </c>
      <c r="N343" s="74">
        <v>1</v>
      </c>
      <c r="O343" s="94"/>
      <c r="P343" s="118">
        <v>1</v>
      </c>
      <c r="Q343" s="510">
        <v>80</v>
      </c>
      <c r="R343" s="513">
        <v>180</v>
      </c>
      <c r="S343" s="41"/>
      <c r="T343" s="40"/>
      <c r="U343" s="40">
        <v>8</v>
      </c>
      <c r="V343" s="119">
        <v>1</v>
      </c>
      <c r="W343" s="40">
        <v>0</v>
      </c>
      <c r="X343" s="119">
        <v>1</v>
      </c>
      <c r="Y343" s="40">
        <v>66</v>
      </c>
      <c r="Z343" s="119">
        <v>1</v>
      </c>
      <c r="AA343" s="368">
        <v>0</v>
      </c>
      <c r="AB343" s="535">
        <v>10</v>
      </c>
      <c r="AC343" s="39" t="s">
        <v>160</v>
      </c>
      <c r="AD343" s="75" t="s">
        <v>16</v>
      </c>
      <c r="AE343" s="95">
        <v>-1</v>
      </c>
      <c r="AF343" s="75">
        <v>-1</v>
      </c>
      <c r="AG343" s="75">
        <v>-1</v>
      </c>
      <c r="AH343" s="75">
        <v>-1</v>
      </c>
      <c r="AI343" s="75">
        <v>-1</v>
      </c>
      <c r="AJ343" s="75">
        <v>-1</v>
      </c>
      <c r="AK343" s="75">
        <v>-1</v>
      </c>
      <c r="AL343" s="95">
        <v>-1</v>
      </c>
      <c r="AM343" s="92">
        <v>1</v>
      </c>
      <c r="AN343" s="79"/>
      <c r="AO343" s="75">
        <v>0</v>
      </c>
      <c r="AP343" s="75"/>
      <c r="AQ343" s="122">
        <v>0</v>
      </c>
      <c r="AR343" s="515" t="s">
        <v>16</v>
      </c>
      <c r="AS343" s="95">
        <v>-1</v>
      </c>
      <c r="AT343" s="75">
        <v>-1</v>
      </c>
      <c r="AU343" s="75">
        <v>-1</v>
      </c>
      <c r="AV343" s="75">
        <v>-1</v>
      </c>
      <c r="AW343" s="123">
        <v>1</v>
      </c>
      <c r="AX343" s="516"/>
      <c r="AY343" s="75">
        <v>0</v>
      </c>
      <c r="AZ343" s="77" t="s">
        <v>5971</v>
      </c>
      <c r="BA343" s="78" t="s">
        <v>5971</v>
      </c>
      <c r="BB343" s="78" t="s">
        <v>5971</v>
      </c>
      <c r="BC343" s="78" t="s">
        <v>5971</v>
      </c>
      <c r="BD343" s="78" t="s">
        <v>5971</v>
      </c>
      <c r="BE343" s="78" t="s">
        <v>5971</v>
      </c>
      <c r="BF343" s="78" t="s">
        <v>5971</v>
      </c>
      <c r="BG343" s="78" t="s">
        <v>5971</v>
      </c>
      <c r="BH343" s="75" t="s">
        <v>5971</v>
      </c>
      <c r="BI343" s="295" t="s">
        <v>2284</v>
      </c>
      <c r="BJ343" s="546">
        <v>1</v>
      </c>
      <c r="BK343" s="294" t="s">
        <v>16</v>
      </c>
      <c r="BL343" s="157" t="s">
        <v>16</v>
      </c>
      <c r="BM343" s="548" t="s">
        <v>1344</v>
      </c>
      <c r="BN343" s="548" t="s">
        <v>4160</v>
      </c>
      <c r="BO343" s="157" t="s">
        <v>4572</v>
      </c>
      <c r="BP343" s="548" t="s">
        <v>4574</v>
      </c>
      <c r="BQ343" s="157" t="s">
        <v>4571</v>
      </c>
      <c r="BR343" s="157"/>
    </row>
    <row r="344" spans="1:70" x14ac:dyDescent="0.25">
      <c r="A344" s="19" t="s">
        <v>3686</v>
      </c>
      <c r="B344" s="37" t="s">
        <v>5518</v>
      </c>
      <c r="C344" s="90">
        <v>45428.82571759259</v>
      </c>
      <c r="D344" s="114">
        <v>45428.57571759259</v>
      </c>
      <c r="E344" s="38">
        <v>45428</v>
      </c>
      <c r="F344" s="91">
        <v>2024</v>
      </c>
      <c r="G344" s="93">
        <v>5</v>
      </c>
      <c r="H344" s="37" t="s">
        <v>5449</v>
      </c>
      <c r="I344" s="37"/>
      <c r="J344" s="103">
        <v>-91.758104295103422</v>
      </c>
      <c r="K344" s="40">
        <v>42.858787374098171</v>
      </c>
      <c r="L344" s="74"/>
      <c r="M344" s="272" t="s">
        <v>5519</v>
      </c>
      <c r="N344" s="74">
        <v>1</v>
      </c>
      <c r="O344" s="94"/>
      <c r="P344" s="118">
        <v>1</v>
      </c>
      <c r="Q344" s="510">
        <v>80</v>
      </c>
      <c r="R344" s="513">
        <v>180</v>
      </c>
      <c r="S344" s="41"/>
      <c r="T344" s="40"/>
      <c r="U344" s="40">
        <v>7.5</v>
      </c>
      <c r="V344" s="119">
        <v>1</v>
      </c>
      <c r="W344" s="40">
        <v>0</v>
      </c>
      <c r="X344" s="119">
        <v>1</v>
      </c>
      <c r="Y344" s="40">
        <v>65</v>
      </c>
      <c r="Z344" s="119">
        <v>1</v>
      </c>
      <c r="AA344" s="368">
        <v>0</v>
      </c>
      <c r="AB344" s="535">
        <v>10</v>
      </c>
      <c r="AC344" s="39" t="s">
        <v>160</v>
      </c>
      <c r="AD344" s="75" t="s">
        <v>16</v>
      </c>
      <c r="AE344" s="95">
        <v>-1</v>
      </c>
      <c r="AF344" s="75">
        <v>-1</v>
      </c>
      <c r="AG344" s="75">
        <v>-1</v>
      </c>
      <c r="AH344" s="75">
        <v>-1</v>
      </c>
      <c r="AI344" s="75">
        <v>-1</v>
      </c>
      <c r="AJ344" s="75">
        <v>-1</v>
      </c>
      <c r="AK344" s="75">
        <v>-1</v>
      </c>
      <c r="AL344" s="95">
        <v>-1</v>
      </c>
      <c r="AM344" s="92">
        <v>1</v>
      </c>
      <c r="AN344" s="79"/>
      <c r="AO344" s="75">
        <v>0</v>
      </c>
      <c r="AP344" s="75"/>
      <c r="AQ344" s="122">
        <v>0</v>
      </c>
      <c r="AR344" s="515" t="s">
        <v>16</v>
      </c>
      <c r="AS344" s="95">
        <v>-1</v>
      </c>
      <c r="AT344" s="75">
        <v>-1</v>
      </c>
      <c r="AU344" s="75">
        <v>-1</v>
      </c>
      <c r="AV344" s="75">
        <v>-1</v>
      </c>
      <c r="AW344" s="123">
        <v>1</v>
      </c>
      <c r="AX344" s="516"/>
      <c r="AY344" s="75">
        <v>0</v>
      </c>
      <c r="AZ344" s="77" t="s">
        <v>5971</v>
      </c>
      <c r="BA344" s="78" t="s">
        <v>5971</v>
      </c>
      <c r="BB344" s="78" t="s">
        <v>5971</v>
      </c>
      <c r="BC344" s="78" t="s">
        <v>5971</v>
      </c>
      <c r="BD344" s="78" t="s">
        <v>5971</v>
      </c>
      <c r="BE344" s="78" t="s">
        <v>5971</v>
      </c>
      <c r="BF344" s="78" t="s">
        <v>5971</v>
      </c>
      <c r="BG344" s="78" t="s">
        <v>5971</v>
      </c>
      <c r="BH344" s="75" t="s">
        <v>5971</v>
      </c>
      <c r="BI344" s="295" t="s">
        <v>2284</v>
      </c>
      <c r="BJ344" s="546">
        <v>1</v>
      </c>
      <c r="BK344" s="294" t="s">
        <v>16</v>
      </c>
      <c r="BL344" s="157" t="s">
        <v>16</v>
      </c>
      <c r="BM344" s="548" t="s">
        <v>1344</v>
      </c>
      <c r="BN344" s="548" t="s">
        <v>5969</v>
      </c>
      <c r="BO344" s="157" t="s">
        <v>4572</v>
      </c>
      <c r="BP344" s="548" t="s">
        <v>4574</v>
      </c>
      <c r="BQ344" s="157" t="s">
        <v>4571</v>
      </c>
      <c r="BR344" s="157"/>
    </row>
    <row r="345" spans="1:70" x14ac:dyDescent="0.25">
      <c r="A345" s="19" t="s">
        <v>3686</v>
      </c>
      <c r="B345" s="37" t="s">
        <v>5520</v>
      </c>
      <c r="C345" s="90">
        <v>45428.636805555558</v>
      </c>
      <c r="D345" s="114">
        <v>45428.386805555558</v>
      </c>
      <c r="E345" s="38">
        <v>45428</v>
      </c>
      <c r="F345" s="91">
        <v>2024</v>
      </c>
      <c r="G345" s="93">
        <v>5</v>
      </c>
      <c r="H345" s="37" t="s">
        <v>5449</v>
      </c>
      <c r="I345" s="37"/>
      <c r="J345" s="103">
        <v>-91.759837796201282</v>
      </c>
      <c r="K345" s="40">
        <v>42.860395097533988</v>
      </c>
      <c r="L345" s="74"/>
      <c r="M345" s="272" t="s">
        <v>5521</v>
      </c>
      <c r="N345" s="74">
        <v>1</v>
      </c>
      <c r="O345" s="94"/>
      <c r="P345" s="118">
        <v>1</v>
      </c>
      <c r="Q345" s="510">
        <v>80</v>
      </c>
      <c r="R345" s="513">
        <v>180</v>
      </c>
      <c r="S345" s="41"/>
      <c r="T345" s="40"/>
      <c r="U345" s="40">
        <v>7</v>
      </c>
      <c r="V345" s="119">
        <v>1</v>
      </c>
      <c r="W345" s="40">
        <v>0</v>
      </c>
      <c r="X345" s="119">
        <v>1</v>
      </c>
      <c r="Y345" s="40">
        <v>58</v>
      </c>
      <c r="Z345" s="119">
        <v>1</v>
      </c>
      <c r="AA345" s="368">
        <v>0</v>
      </c>
      <c r="AB345" s="535">
        <v>2</v>
      </c>
      <c r="AC345" s="39" t="s">
        <v>160</v>
      </c>
      <c r="AD345" s="75" t="s">
        <v>16</v>
      </c>
      <c r="AE345" s="95">
        <v>-1</v>
      </c>
      <c r="AF345" s="75">
        <v>-1</v>
      </c>
      <c r="AG345" s="75">
        <v>-1</v>
      </c>
      <c r="AH345" s="75">
        <v>-1</v>
      </c>
      <c r="AI345" s="75">
        <v>-1</v>
      </c>
      <c r="AJ345" s="75">
        <v>-1</v>
      </c>
      <c r="AK345" s="75">
        <v>-1</v>
      </c>
      <c r="AL345" s="95">
        <v>-1</v>
      </c>
      <c r="AM345" s="92">
        <v>1</v>
      </c>
      <c r="AN345" s="79"/>
      <c r="AO345" s="75">
        <v>0</v>
      </c>
      <c r="AP345" s="75"/>
      <c r="AQ345" s="122">
        <v>0</v>
      </c>
      <c r="AR345" s="515" t="s">
        <v>16</v>
      </c>
      <c r="AS345" s="95">
        <v>-1</v>
      </c>
      <c r="AT345" s="75">
        <v>-1</v>
      </c>
      <c r="AU345" s="75">
        <v>-1</v>
      </c>
      <c r="AV345" s="75">
        <v>-1</v>
      </c>
      <c r="AW345" s="123">
        <v>1</v>
      </c>
      <c r="AX345" s="516"/>
      <c r="AY345" s="75">
        <v>0</v>
      </c>
      <c r="AZ345" s="77" t="s">
        <v>5971</v>
      </c>
      <c r="BA345" s="78" t="s">
        <v>5971</v>
      </c>
      <c r="BB345" s="78" t="s">
        <v>5971</v>
      </c>
      <c r="BC345" s="78" t="s">
        <v>5971</v>
      </c>
      <c r="BD345" s="78" t="s">
        <v>5971</v>
      </c>
      <c r="BE345" s="78" t="s">
        <v>5971</v>
      </c>
      <c r="BF345" s="78" t="s">
        <v>5971</v>
      </c>
      <c r="BG345" s="78" t="s">
        <v>5971</v>
      </c>
      <c r="BH345" s="75" t="s">
        <v>5971</v>
      </c>
      <c r="BI345" s="295" t="s">
        <v>2284</v>
      </c>
      <c r="BJ345" s="546">
        <v>1</v>
      </c>
      <c r="BK345" s="294" t="s">
        <v>16</v>
      </c>
      <c r="BL345" s="157" t="s">
        <v>16</v>
      </c>
      <c r="BM345" s="548" t="s">
        <v>1344</v>
      </c>
      <c r="BN345" s="548" t="s">
        <v>5969</v>
      </c>
      <c r="BO345" s="157" t="s">
        <v>4572</v>
      </c>
      <c r="BP345" s="548" t="s">
        <v>4574</v>
      </c>
      <c r="BQ345" s="157" t="s">
        <v>4571</v>
      </c>
      <c r="BR345" s="157"/>
    </row>
    <row r="346" spans="1:70" x14ac:dyDescent="0.25">
      <c r="A346" s="19" t="s">
        <v>3686</v>
      </c>
      <c r="B346" s="37" t="s">
        <v>5522</v>
      </c>
      <c r="C346" s="90">
        <v>45427.812974537039</v>
      </c>
      <c r="D346" s="114">
        <v>45427.562974537039</v>
      </c>
      <c r="E346" s="38">
        <v>45427</v>
      </c>
      <c r="F346" s="91">
        <v>2024</v>
      </c>
      <c r="G346" s="93">
        <v>5</v>
      </c>
      <c r="H346" s="37" t="s">
        <v>2473</v>
      </c>
      <c r="I346" s="37" t="s">
        <v>368</v>
      </c>
      <c r="J346" s="103">
        <v>-92.331456378126234</v>
      </c>
      <c r="K346" s="40">
        <v>44.746337225464003</v>
      </c>
      <c r="L346" s="74"/>
      <c r="M346" s="272" t="s">
        <v>5523</v>
      </c>
      <c r="N346" s="74">
        <v>1</v>
      </c>
      <c r="O346" s="94"/>
      <c r="P346" s="118">
        <v>1</v>
      </c>
      <c r="Q346" s="510">
        <v>0</v>
      </c>
      <c r="R346" s="513">
        <v>30</v>
      </c>
      <c r="S346" s="41"/>
      <c r="T346" s="40"/>
      <c r="U346" s="40">
        <v>7.5</v>
      </c>
      <c r="V346" s="119">
        <v>1</v>
      </c>
      <c r="W346" s="40">
        <v>100</v>
      </c>
      <c r="X346" s="119">
        <v>1</v>
      </c>
      <c r="Y346" s="40">
        <v>59</v>
      </c>
      <c r="Z346" s="119">
        <v>1</v>
      </c>
      <c r="AA346" s="368">
        <v>1</v>
      </c>
      <c r="AB346" s="535">
        <v>0</v>
      </c>
      <c r="AC346" s="39" t="s">
        <v>160</v>
      </c>
      <c r="AD346" s="75" t="s">
        <v>10</v>
      </c>
      <c r="AE346" s="95">
        <v>0</v>
      </c>
      <c r="AF346" s="75">
        <v>0</v>
      </c>
      <c r="AG346" s="75">
        <v>0</v>
      </c>
      <c r="AH346" s="75">
        <v>0</v>
      </c>
      <c r="AI346" s="75">
        <v>0</v>
      </c>
      <c r="AJ346" s="75">
        <v>0</v>
      </c>
      <c r="AK346" s="75">
        <v>0</v>
      </c>
      <c r="AL346" s="95">
        <v>1</v>
      </c>
      <c r="AM346" s="92">
        <v>0</v>
      </c>
      <c r="AN346" s="79" t="s">
        <v>80</v>
      </c>
      <c r="AO346" s="75">
        <v>1</v>
      </c>
      <c r="AP346" s="75" t="s">
        <v>83</v>
      </c>
      <c r="AQ346" s="122">
        <v>1</v>
      </c>
      <c r="AR346" s="515" t="s">
        <v>10</v>
      </c>
      <c r="AS346" s="95">
        <v>0</v>
      </c>
      <c r="AT346" s="75">
        <v>0</v>
      </c>
      <c r="AU346" s="75">
        <v>0</v>
      </c>
      <c r="AV346" s="75">
        <v>0</v>
      </c>
      <c r="AW346" s="123">
        <v>0</v>
      </c>
      <c r="AX346" s="516" t="s">
        <v>5524</v>
      </c>
      <c r="AY346" s="75">
        <v>1</v>
      </c>
      <c r="AZ346" s="77" t="s">
        <v>131</v>
      </c>
      <c r="BA346" s="78" t="s">
        <v>131</v>
      </c>
      <c r="BB346" s="78" t="s">
        <v>131</v>
      </c>
      <c r="BC346" s="78" t="s">
        <v>131</v>
      </c>
      <c r="BD346" s="78" t="s">
        <v>131</v>
      </c>
      <c r="BE346" s="78" t="s">
        <v>131</v>
      </c>
      <c r="BF346" s="78" t="s">
        <v>131</v>
      </c>
      <c r="BG346" s="78" t="s">
        <v>132</v>
      </c>
      <c r="BH346" s="75" t="s">
        <v>5970</v>
      </c>
      <c r="BI346" s="295" t="s">
        <v>2231</v>
      </c>
      <c r="BJ346" s="546">
        <v>1</v>
      </c>
      <c r="BK346" s="294">
        <v>1</v>
      </c>
      <c r="BL346" s="157">
        <v>1</v>
      </c>
      <c r="BM346" s="548" t="s">
        <v>578</v>
      </c>
      <c r="BN346" s="548" t="s">
        <v>578</v>
      </c>
      <c r="BO346" s="157" t="s">
        <v>4213</v>
      </c>
      <c r="BP346" s="548" t="s">
        <v>4216</v>
      </c>
      <c r="BQ346" s="157" t="s">
        <v>4212</v>
      </c>
      <c r="BR346" s="157"/>
    </row>
    <row r="347" spans="1:70" x14ac:dyDescent="0.25">
      <c r="A347" s="19" t="s">
        <v>3686</v>
      </c>
      <c r="B347" s="37" t="s">
        <v>5525</v>
      </c>
      <c r="C347" s="90">
        <v>45427.689259259256</v>
      </c>
      <c r="D347" s="114">
        <v>45427.439259259256</v>
      </c>
      <c r="E347" s="38">
        <v>45427</v>
      </c>
      <c r="F347" s="91">
        <v>2024</v>
      </c>
      <c r="G347" s="93">
        <v>5</v>
      </c>
      <c r="H347" s="37" t="s">
        <v>1386</v>
      </c>
      <c r="I347" s="37" t="s">
        <v>16</v>
      </c>
      <c r="J347" s="103">
        <v>-92.294216899999995</v>
      </c>
      <c r="K347" s="40">
        <v>43.727943000000003</v>
      </c>
      <c r="L347" s="74"/>
      <c r="M347" s="272" t="s">
        <v>16</v>
      </c>
      <c r="N347" s="74">
        <v>0</v>
      </c>
      <c r="O347" s="94"/>
      <c r="P347" s="118">
        <v>1</v>
      </c>
      <c r="Q347" s="510">
        <v>80</v>
      </c>
      <c r="R347" s="513">
        <v>180</v>
      </c>
      <c r="S347" s="41"/>
      <c r="T347" s="40"/>
      <c r="U347" s="40">
        <v>7.5</v>
      </c>
      <c r="V347" s="119">
        <v>1</v>
      </c>
      <c r="W347" s="40">
        <v>0</v>
      </c>
      <c r="X347" s="119">
        <v>1</v>
      </c>
      <c r="Y347" s="40">
        <v>57</v>
      </c>
      <c r="Z347" s="119">
        <v>1</v>
      </c>
      <c r="AA347" s="368">
        <v>0</v>
      </c>
      <c r="AB347" s="535">
        <v>5</v>
      </c>
      <c r="AC347" s="39"/>
      <c r="AD347" s="75" t="s">
        <v>10</v>
      </c>
      <c r="AE347" s="95">
        <v>0</v>
      </c>
      <c r="AF347" s="75">
        <v>0</v>
      </c>
      <c r="AG347" s="75">
        <v>0</v>
      </c>
      <c r="AH347" s="75">
        <v>0</v>
      </c>
      <c r="AI347" s="75">
        <v>0</v>
      </c>
      <c r="AJ347" s="75">
        <v>0</v>
      </c>
      <c r="AK347" s="75">
        <v>0</v>
      </c>
      <c r="AL347" s="95">
        <v>1</v>
      </c>
      <c r="AM347" s="92">
        <v>0</v>
      </c>
      <c r="AN347" s="79" t="s">
        <v>80</v>
      </c>
      <c r="AO347" s="75">
        <v>1</v>
      </c>
      <c r="AP347" s="75" t="s">
        <v>83</v>
      </c>
      <c r="AQ347" s="122">
        <v>1</v>
      </c>
      <c r="AR347" s="515" t="s">
        <v>10</v>
      </c>
      <c r="AS347" s="95">
        <v>0</v>
      </c>
      <c r="AT347" s="75">
        <v>0</v>
      </c>
      <c r="AU347" s="75">
        <v>0</v>
      </c>
      <c r="AV347" s="75">
        <v>0</v>
      </c>
      <c r="AW347" s="123">
        <v>0</v>
      </c>
      <c r="AX347" s="516"/>
      <c r="AY347" s="75">
        <v>0</v>
      </c>
      <c r="AZ347" s="77" t="s">
        <v>131</v>
      </c>
      <c r="BA347" s="78" t="s">
        <v>131</v>
      </c>
      <c r="BB347" s="78" t="s">
        <v>131</v>
      </c>
      <c r="BC347" s="78" t="s">
        <v>131</v>
      </c>
      <c r="BD347" s="78" t="s">
        <v>131</v>
      </c>
      <c r="BE347" s="78" t="s">
        <v>131</v>
      </c>
      <c r="BF347" s="78" t="s">
        <v>131</v>
      </c>
      <c r="BG347" s="78" t="s">
        <v>132</v>
      </c>
      <c r="BH347" s="75" t="s">
        <v>5970</v>
      </c>
      <c r="BI347" s="295" t="s">
        <v>2230</v>
      </c>
      <c r="BJ347" s="546">
        <v>1</v>
      </c>
      <c r="BK347" s="294" t="s">
        <v>16</v>
      </c>
      <c r="BL347" s="157" t="s">
        <v>16</v>
      </c>
      <c r="BM347" s="548" t="s">
        <v>1339</v>
      </c>
      <c r="BN347" s="548" t="s">
        <v>1339</v>
      </c>
      <c r="BO347" s="157" t="s">
        <v>4227</v>
      </c>
      <c r="BP347" s="548" t="s">
        <v>2230</v>
      </c>
      <c r="BQ347" s="157" t="s">
        <v>4226</v>
      </c>
      <c r="BR347" s="157"/>
    </row>
    <row r="348" spans="1:70" x14ac:dyDescent="0.25">
      <c r="A348" s="19" t="s">
        <v>3686</v>
      </c>
      <c r="B348" s="37" t="s">
        <v>5526</v>
      </c>
      <c r="C348" s="90">
        <v>45426.856134259258</v>
      </c>
      <c r="D348" s="114">
        <v>45426.606134259258</v>
      </c>
      <c r="E348" s="38">
        <v>45426</v>
      </c>
      <c r="F348" s="91">
        <v>2024</v>
      </c>
      <c r="G348" s="93">
        <v>5</v>
      </c>
      <c r="H348" s="37" t="s">
        <v>5449</v>
      </c>
      <c r="I348" s="37"/>
      <c r="J348" s="103">
        <v>-91.760587858853498</v>
      </c>
      <c r="K348" s="40">
        <v>42.860742960931461</v>
      </c>
      <c r="L348" s="74"/>
      <c r="M348" s="272" t="s">
        <v>5527</v>
      </c>
      <c r="N348" s="74">
        <v>1</v>
      </c>
      <c r="O348" s="94"/>
      <c r="P348" s="118">
        <v>1</v>
      </c>
      <c r="Q348" s="510">
        <v>120</v>
      </c>
      <c r="R348" s="513">
        <v>180</v>
      </c>
      <c r="S348" s="41"/>
      <c r="T348" s="40"/>
      <c r="U348" s="40">
        <v>8</v>
      </c>
      <c r="V348" s="119">
        <v>1</v>
      </c>
      <c r="W348" s="40">
        <v>0</v>
      </c>
      <c r="X348" s="119">
        <v>1</v>
      </c>
      <c r="Y348" s="40">
        <v>57</v>
      </c>
      <c r="Z348" s="119">
        <v>1</v>
      </c>
      <c r="AA348" s="368">
        <v>0</v>
      </c>
      <c r="AB348" s="535">
        <v>2</v>
      </c>
      <c r="AC348" s="39" t="s">
        <v>160</v>
      </c>
      <c r="AD348" s="75" t="s">
        <v>16</v>
      </c>
      <c r="AE348" s="95">
        <v>-1</v>
      </c>
      <c r="AF348" s="75">
        <v>-1</v>
      </c>
      <c r="AG348" s="75">
        <v>-1</v>
      </c>
      <c r="AH348" s="75">
        <v>-1</v>
      </c>
      <c r="AI348" s="75">
        <v>-1</v>
      </c>
      <c r="AJ348" s="75">
        <v>-1</v>
      </c>
      <c r="AK348" s="75">
        <v>-1</v>
      </c>
      <c r="AL348" s="95">
        <v>-1</v>
      </c>
      <c r="AM348" s="92">
        <v>1</v>
      </c>
      <c r="AN348" s="79"/>
      <c r="AO348" s="75">
        <v>0</v>
      </c>
      <c r="AP348" s="75"/>
      <c r="AQ348" s="122">
        <v>0</v>
      </c>
      <c r="AR348" s="515" t="s">
        <v>16</v>
      </c>
      <c r="AS348" s="95">
        <v>-1</v>
      </c>
      <c r="AT348" s="75">
        <v>-1</v>
      </c>
      <c r="AU348" s="75">
        <v>-1</v>
      </c>
      <c r="AV348" s="75">
        <v>-1</v>
      </c>
      <c r="AW348" s="123">
        <v>1</v>
      </c>
      <c r="AX348" s="516"/>
      <c r="AY348" s="75">
        <v>0</v>
      </c>
      <c r="AZ348" s="77" t="s">
        <v>5971</v>
      </c>
      <c r="BA348" s="78" t="s">
        <v>5971</v>
      </c>
      <c r="BB348" s="78" t="s">
        <v>5971</v>
      </c>
      <c r="BC348" s="78" t="s">
        <v>5971</v>
      </c>
      <c r="BD348" s="78" t="s">
        <v>5971</v>
      </c>
      <c r="BE348" s="78" t="s">
        <v>5971</v>
      </c>
      <c r="BF348" s="78" t="s">
        <v>5971</v>
      </c>
      <c r="BG348" s="78" t="s">
        <v>5971</v>
      </c>
      <c r="BH348" s="75" t="s">
        <v>5971</v>
      </c>
      <c r="BI348" s="295" t="s">
        <v>2284</v>
      </c>
      <c r="BJ348" s="546">
        <v>1</v>
      </c>
      <c r="BK348" s="294" t="s">
        <v>16</v>
      </c>
      <c r="BL348" s="157" t="s">
        <v>16</v>
      </c>
      <c r="BM348" s="548" t="s">
        <v>1344</v>
      </c>
      <c r="BN348" s="548" t="s">
        <v>5969</v>
      </c>
      <c r="BO348" s="157" t="s">
        <v>4572</v>
      </c>
      <c r="BP348" s="548" t="s">
        <v>4574</v>
      </c>
      <c r="BQ348" s="157" t="s">
        <v>4571</v>
      </c>
      <c r="BR348" s="157"/>
    </row>
    <row r="349" spans="1:70" x14ac:dyDescent="0.25">
      <c r="A349" s="19" t="s">
        <v>3686</v>
      </c>
      <c r="B349" s="37" t="s">
        <v>5528</v>
      </c>
      <c r="C349" s="90">
        <v>45426.633726851855</v>
      </c>
      <c r="D349" s="114">
        <v>45426.383726851855</v>
      </c>
      <c r="E349" s="38">
        <v>45426</v>
      </c>
      <c r="F349" s="91">
        <v>2024</v>
      </c>
      <c r="G349" s="93">
        <v>5</v>
      </c>
      <c r="H349" s="37" t="s">
        <v>5429</v>
      </c>
      <c r="I349" s="37"/>
      <c r="J349" s="103">
        <v>-91.790305369275956</v>
      </c>
      <c r="K349" s="40">
        <v>42.840803225191969</v>
      </c>
      <c r="L349" s="74"/>
      <c r="M349" s="272" t="s">
        <v>5529</v>
      </c>
      <c r="N349" s="74">
        <v>1</v>
      </c>
      <c r="O349" s="94"/>
      <c r="P349" s="118">
        <v>1</v>
      </c>
      <c r="Q349" s="510">
        <v>80</v>
      </c>
      <c r="R349" s="513">
        <v>60</v>
      </c>
      <c r="S349" s="41"/>
      <c r="T349" s="40"/>
      <c r="U349" s="40">
        <v>7</v>
      </c>
      <c r="V349" s="119">
        <v>1</v>
      </c>
      <c r="W349" s="40">
        <v>100</v>
      </c>
      <c r="X349" s="119">
        <v>1</v>
      </c>
      <c r="Y349" s="40">
        <v>63</v>
      </c>
      <c r="Z349" s="119">
        <v>1</v>
      </c>
      <c r="AA349" s="368">
        <v>0</v>
      </c>
      <c r="AB349" s="535">
        <v>0</v>
      </c>
      <c r="AC349" s="39" t="s">
        <v>355</v>
      </c>
      <c r="AD349" s="75" t="s">
        <v>16</v>
      </c>
      <c r="AE349" s="95">
        <v>-1</v>
      </c>
      <c r="AF349" s="75">
        <v>-1</v>
      </c>
      <c r="AG349" s="75">
        <v>-1</v>
      </c>
      <c r="AH349" s="75">
        <v>-1</v>
      </c>
      <c r="AI349" s="75">
        <v>-1</v>
      </c>
      <c r="AJ349" s="75">
        <v>-1</v>
      </c>
      <c r="AK349" s="75">
        <v>-1</v>
      </c>
      <c r="AL349" s="95">
        <v>-1</v>
      </c>
      <c r="AM349" s="92">
        <v>1</v>
      </c>
      <c r="AN349" s="79"/>
      <c r="AO349" s="75">
        <v>0</v>
      </c>
      <c r="AP349" s="75"/>
      <c r="AQ349" s="122">
        <v>0</v>
      </c>
      <c r="AR349" s="515" t="s">
        <v>16</v>
      </c>
      <c r="AS349" s="95">
        <v>-1</v>
      </c>
      <c r="AT349" s="75">
        <v>-1</v>
      </c>
      <c r="AU349" s="75">
        <v>-1</v>
      </c>
      <c r="AV349" s="75">
        <v>-1</v>
      </c>
      <c r="AW349" s="123">
        <v>1</v>
      </c>
      <c r="AX349" s="516"/>
      <c r="AY349" s="75">
        <v>0</v>
      </c>
      <c r="AZ349" s="77" t="s">
        <v>5971</v>
      </c>
      <c r="BA349" s="78" t="s">
        <v>5971</v>
      </c>
      <c r="BB349" s="78" t="s">
        <v>5971</v>
      </c>
      <c r="BC349" s="78" t="s">
        <v>5971</v>
      </c>
      <c r="BD349" s="78" t="s">
        <v>5971</v>
      </c>
      <c r="BE349" s="78" t="s">
        <v>5971</v>
      </c>
      <c r="BF349" s="78" t="s">
        <v>5971</v>
      </c>
      <c r="BG349" s="78" t="s">
        <v>5971</v>
      </c>
      <c r="BH349" s="75" t="s">
        <v>5971</v>
      </c>
      <c r="BI349" s="295" t="s">
        <v>2284</v>
      </c>
      <c r="BJ349" s="546">
        <v>1</v>
      </c>
      <c r="BK349" s="294" t="s">
        <v>16</v>
      </c>
      <c r="BL349" s="157" t="s">
        <v>16</v>
      </c>
      <c r="BM349" s="548" t="s">
        <v>1344</v>
      </c>
      <c r="BN349" s="548" t="s">
        <v>4160</v>
      </c>
      <c r="BO349" s="157" t="s">
        <v>4572</v>
      </c>
      <c r="BP349" s="548" t="s">
        <v>4574</v>
      </c>
      <c r="BQ349" s="157" t="s">
        <v>4571</v>
      </c>
      <c r="BR349" s="157"/>
    </row>
    <row r="350" spans="1:70" x14ac:dyDescent="0.25">
      <c r="A350" s="19" t="s">
        <v>3686</v>
      </c>
      <c r="B350" s="37" t="s">
        <v>5530</v>
      </c>
      <c r="C350" s="90">
        <v>45426.633576388886</v>
      </c>
      <c r="D350" s="114">
        <v>45426.383576388886</v>
      </c>
      <c r="E350" s="38">
        <v>45426</v>
      </c>
      <c r="F350" s="91">
        <v>2024</v>
      </c>
      <c r="G350" s="93">
        <v>5</v>
      </c>
      <c r="H350" s="37" t="s">
        <v>5449</v>
      </c>
      <c r="I350" s="37"/>
      <c r="J350" s="103">
        <v>-91.790340489226637</v>
      </c>
      <c r="K350" s="40">
        <v>42.840828375357191</v>
      </c>
      <c r="L350" s="74"/>
      <c r="M350" s="272" t="s">
        <v>5531</v>
      </c>
      <c r="N350" s="74">
        <v>1</v>
      </c>
      <c r="O350" s="94"/>
      <c r="P350" s="118">
        <v>1</v>
      </c>
      <c r="Q350" s="510">
        <v>80</v>
      </c>
      <c r="R350" s="513">
        <v>180</v>
      </c>
      <c r="S350" s="41"/>
      <c r="T350" s="40"/>
      <c r="U350" s="40">
        <v>7.5</v>
      </c>
      <c r="V350" s="119">
        <v>1</v>
      </c>
      <c r="W350" s="40">
        <v>100</v>
      </c>
      <c r="X350" s="119">
        <v>1</v>
      </c>
      <c r="Y350" s="40">
        <v>56</v>
      </c>
      <c r="Z350" s="119">
        <v>1</v>
      </c>
      <c r="AA350" s="368">
        <v>0</v>
      </c>
      <c r="AB350" s="535">
        <v>5</v>
      </c>
      <c r="AC350" s="39" t="s">
        <v>160</v>
      </c>
      <c r="AD350" s="75" t="s">
        <v>16</v>
      </c>
      <c r="AE350" s="95">
        <v>-1</v>
      </c>
      <c r="AF350" s="75">
        <v>-1</v>
      </c>
      <c r="AG350" s="75">
        <v>-1</v>
      </c>
      <c r="AH350" s="75">
        <v>-1</v>
      </c>
      <c r="AI350" s="75">
        <v>-1</v>
      </c>
      <c r="AJ350" s="75">
        <v>-1</v>
      </c>
      <c r="AK350" s="75">
        <v>-1</v>
      </c>
      <c r="AL350" s="95">
        <v>-1</v>
      </c>
      <c r="AM350" s="92">
        <v>1</v>
      </c>
      <c r="AN350" s="79"/>
      <c r="AO350" s="75">
        <v>0</v>
      </c>
      <c r="AP350" s="75"/>
      <c r="AQ350" s="122">
        <v>0</v>
      </c>
      <c r="AR350" s="515" t="s">
        <v>16</v>
      </c>
      <c r="AS350" s="95">
        <v>-1</v>
      </c>
      <c r="AT350" s="75">
        <v>-1</v>
      </c>
      <c r="AU350" s="75">
        <v>-1</v>
      </c>
      <c r="AV350" s="75">
        <v>-1</v>
      </c>
      <c r="AW350" s="123">
        <v>1</v>
      </c>
      <c r="AX350" s="516"/>
      <c r="AY350" s="75">
        <v>0</v>
      </c>
      <c r="AZ350" s="77" t="s">
        <v>5971</v>
      </c>
      <c r="BA350" s="78" t="s">
        <v>5971</v>
      </c>
      <c r="BB350" s="78" t="s">
        <v>5971</v>
      </c>
      <c r="BC350" s="78" t="s">
        <v>5971</v>
      </c>
      <c r="BD350" s="78" t="s">
        <v>5971</v>
      </c>
      <c r="BE350" s="78" t="s">
        <v>5971</v>
      </c>
      <c r="BF350" s="78" t="s">
        <v>5971</v>
      </c>
      <c r="BG350" s="78" t="s">
        <v>5971</v>
      </c>
      <c r="BH350" s="75" t="s">
        <v>5971</v>
      </c>
      <c r="BI350" s="295" t="s">
        <v>2284</v>
      </c>
      <c r="BJ350" s="546">
        <v>1</v>
      </c>
      <c r="BK350" s="294" t="s">
        <v>16</v>
      </c>
      <c r="BL350" s="157" t="s">
        <v>16</v>
      </c>
      <c r="BM350" s="548" t="s">
        <v>1344</v>
      </c>
      <c r="BN350" s="548" t="s">
        <v>5969</v>
      </c>
      <c r="BO350" s="157" t="s">
        <v>4572</v>
      </c>
      <c r="BP350" s="548" t="s">
        <v>4574</v>
      </c>
      <c r="BQ350" s="157" t="s">
        <v>4571</v>
      </c>
      <c r="BR350" s="157"/>
    </row>
    <row r="351" spans="1:70" x14ac:dyDescent="0.25">
      <c r="A351" s="19" t="s">
        <v>3686</v>
      </c>
      <c r="B351" s="37" t="s">
        <v>5532</v>
      </c>
      <c r="C351" s="90">
        <v>45426.608506944445</v>
      </c>
      <c r="D351" s="114">
        <v>45426.358506944445</v>
      </c>
      <c r="E351" s="38">
        <v>45426</v>
      </c>
      <c r="F351" s="91">
        <v>2024</v>
      </c>
      <c r="G351" s="93">
        <v>5</v>
      </c>
      <c r="H351" s="37" t="s">
        <v>5449</v>
      </c>
      <c r="I351" s="37"/>
      <c r="J351" s="103">
        <v>-91.797382412380514</v>
      </c>
      <c r="K351" s="40">
        <v>42.837411275783509</v>
      </c>
      <c r="L351" s="74"/>
      <c r="M351" s="272" t="s">
        <v>16</v>
      </c>
      <c r="N351" s="74">
        <v>0</v>
      </c>
      <c r="O351" s="94"/>
      <c r="P351" s="118">
        <v>1</v>
      </c>
      <c r="Q351" s="510">
        <v>40</v>
      </c>
      <c r="R351" s="513">
        <v>60</v>
      </c>
      <c r="S351" s="41"/>
      <c r="T351" s="40"/>
      <c r="U351" s="40">
        <v>6</v>
      </c>
      <c r="V351" s="119">
        <v>1</v>
      </c>
      <c r="W351" s="40">
        <v>200</v>
      </c>
      <c r="X351" s="119">
        <v>1</v>
      </c>
      <c r="Y351" s="40">
        <v>58</v>
      </c>
      <c r="Z351" s="119">
        <v>1</v>
      </c>
      <c r="AA351" s="368">
        <v>0</v>
      </c>
      <c r="AB351" s="535">
        <v>1</v>
      </c>
      <c r="AC351" s="39" t="s">
        <v>355</v>
      </c>
      <c r="AD351" s="75" t="s">
        <v>16</v>
      </c>
      <c r="AE351" s="95">
        <v>-1</v>
      </c>
      <c r="AF351" s="75">
        <v>-1</v>
      </c>
      <c r="AG351" s="75">
        <v>-1</v>
      </c>
      <c r="AH351" s="75">
        <v>-1</v>
      </c>
      <c r="AI351" s="75">
        <v>-1</v>
      </c>
      <c r="AJ351" s="75">
        <v>-1</v>
      </c>
      <c r="AK351" s="75">
        <v>-1</v>
      </c>
      <c r="AL351" s="95">
        <v>-1</v>
      </c>
      <c r="AM351" s="92">
        <v>1</v>
      </c>
      <c r="AN351" s="79"/>
      <c r="AO351" s="75">
        <v>0</v>
      </c>
      <c r="AP351" s="75"/>
      <c r="AQ351" s="122">
        <v>0</v>
      </c>
      <c r="AR351" s="515" t="s">
        <v>16</v>
      </c>
      <c r="AS351" s="95">
        <v>-1</v>
      </c>
      <c r="AT351" s="75">
        <v>-1</v>
      </c>
      <c r="AU351" s="75">
        <v>-1</v>
      </c>
      <c r="AV351" s="75">
        <v>-1</v>
      </c>
      <c r="AW351" s="123">
        <v>1</v>
      </c>
      <c r="AX351" s="516"/>
      <c r="AY351" s="75">
        <v>0</v>
      </c>
      <c r="AZ351" s="77" t="s">
        <v>5971</v>
      </c>
      <c r="BA351" s="78" t="s">
        <v>5971</v>
      </c>
      <c r="BB351" s="78" t="s">
        <v>5971</v>
      </c>
      <c r="BC351" s="78" t="s">
        <v>5971</v>
      </c>
      <c r="BD351" s="78" t="s">
        <v>5971</v>
      </c>
      <c r="BE351" s="78" t="s">
        <v>5971</v>
      </c>
      <c r="BF351" s="78" t="s">
        <v>5971</v>
      </c>
      <c r="BG351" s="78" t="s">
        <v>5971</v>
      </c>
      <c r="BH351" s="75" t="s">
        <v>5971</v>
      </c>
      <c r="BI351" s="295" t="s">
        <v>16</v>
      </c>
      <c r="BJ351" s="546" t="s">
        <v>16</v>
      </c>
      <c r="BK351" s="294" t="s">
        <v>16</v>
      </c>
      <c r="BL351" s="157" t="s">
        <v>16</v>
      </c>
      <c r="BM351" s="548" t="s">
        <v>1344</v>
      </c>
      <c r="BN351" s="548" t="s">
        <v>5969</v>
      </c>
      <c r="BO351" s="157" t="s">
        <v>4572</v>
      </c>
      <c r="BP351" s="548" t="s">
        <v>4574</v>
      </c>
      <c r="BQ351" s="157" t="s">
        <v>4571</v>
      </c>
      <c r="BR351" s="157"/>
    </row>
    <row r="352" spans="1:70" x14ac:dyDescent="0.25">
      <c r="A352" s="19" t="s">
        <v>3686</v>
      </c>
      <c r="B352" s="37" t="s">
        <v>5533</v>
      </c>
      <c r="C352" s="90">
        <v>45424.867777777778</v>
      </c>
      <c r="D352" s="114">
        <v>45424.617777777778</v>
      </c>
      <c r="E352" s="38">
        <v>45424</v>
      </c>
      <c r="F352" s="91">
        <v>2024</v>
      </c>
      <c r="G352" s="93">
        <v>5</v>
      </c>
      <c r="H352" s="37" t="s">
        <v>475</v>
      </c>
      <c r="I352" s="37"/>
      <c r="J352" s="103">
        <v>-92.649874093156313</v>
      </c>
      <c r="K352" s="40">
        <v>44.075193165007207</v>
      </c>
      <c r="L352" s="74"/>
      <c r="M352" s="272" t="s">
        <v>16</v>
      </c>
      <c r="N352" s="74">
        <v>0</v>
      </c>
      <c r="O352" s="94"/>
      <c r="P352" s="118">
        <v>0</v>
      </c>
      <c r="Q352" s="510"/>
      <c r="R352" s="513"/>
      <c r="S352" s="41"/>
      <c r="T352" s="40"/>
      <c r="U352" s="40"/>
      <c r="V352" s="119">
        <v>0</v>
      </c>
      <c r="W352" s="40"/>
      <c r="X352" s="119">
        <v>1</v>
      </c>
      <c r="Y352" s="40">
        <v>58</v>
      </c>
      <c r="Z352" s="119">
        <v>1</v>
      </c>
      <c r="AA352" s="368">
        <v>0</v>
      </c>
      <c r="AB352" s="535">
        <v>20</v>
      </c>
      <c r="AC352" s="39" t="s">
        <v>160</v>
      </c>
      <c r="AD352" s="75" t="s">
        <v>8</v>
      </c>
      <c r="AE352" s="95">
        <v>0</v>
      </c>
      <c r="AF352" s="75">
        <v>1</v>
      </c>
      <c r="AG352" s="75">
        <v>0</v>
      </c>
      <c r="AH352" s="75">
        <v>0</v>
      </c>
      <c r="AI352" s="75">
        <v>0</v>
      </c>
      <c r="AJ352" s="75">
        <v>0</v>
      </c>
      <c r="AK352" s="75">
        <v>0</v>
      </c>
      <c r="AL352" s="95">
        <v>0</v>
      </c>
      <c r="AM352" s="92">
        <v>0</v>
      </c>
      <c r="AN352" s="79" t="s">
        <v>81</v>
      </c>
      <c r="AO352" s="75">
        <v>1</v>
      </c>
      <c r="AP352" s="75" t="s">
        <v>84</v>
      </c>
      <c r="AQ352" s="122">
        <v>1</v>
      </c>
      <c r="AR352" s="515" t="s">
        <v>10</v>
      </c>
      <c r="AS352" s="95">
        <v>0</v>
      </c>
      <c r="AT352" s="75">
        <v>0</v>
      </c>
      <c r="AU352" s="75">
        <v>0</v>
      </c>
      <c r="AV352" s="75">
        <v>0</v>
      </c>
      <c r="AW352" s="123">
        <v>0</v>
      </c>
      <c r="AX352" s="516"/>
      <c r="AY352" s="75">
        <v>0</v>
      </c>
      <c r="AZ352" s="77" t="s">
        <v>131</v>
      </c>
      <c r="BA352" s="78" t="s">
        <v>132</v>
      </c>
      <c r="BB352" s="78" t="s">
        <v>131</v>
      </c>
      <c r="BC352" s="78" t="s">
        <v>131</v>
      </c>
      <c r="BD352" s="78" t="s">
        <v>131</v>
      </c>
      <c r="BE352" s="78" t="s">
        <v>131</v>
      </c>
      <c r="BF352" s="78" t="s">
        <v>131</v>
      </c>
      <c r="BG352" s="78" t="s">
        <v>131</v>
      </c>
      <c r="BH352" s="75" t="s">
        <v>5970</v>
      </c>
      <c r="BI352" s="295" t="s">
        <v>5823</v>
      </c>
      <c r="BJ352" s="546" t="s">
        <v>16</v>
      </c>
      <c r="BK352" s="294" t="s">
        <v>16</v>
      </c>
      <c r="BL352" s="157" t="s">
        <v>16</v>
      </c>
      <c r="BM352" s="548" t="s">
        <v>1339</v>
      </c>
      <c r="BN352" s="548" t="s">
        <v>1339</v>
      </c>
      <c r="BO352" s="157" t="s">
        <v>5822</v>
      </c>
      <c r="BP352" s="548" t="s">
        <v>5823</v>
      </c>
      <c r="BQ352" s="157" t="s">
        <v>5821</v>
      </c>
      <c r="BR352" s="157"/>
    </row>
    <row r="353" spans="1:70" x14ac:dyDescent="0.25">
      <c r="A353" s="19" t="s">
        <v>3686</v>
      </c>
      <c r="B353" s="37" t="s">
        <v>5534</v>
      </c>
      <c r="C353" s="90">
        <v>45423.788738425923</v>
      </c>
      <c r="D353" s="114">
        <v>45423.538738425923</v>
      </c>
      <c r="E353" s="38">
        <v>45423</v>
      </c>
      <c r="F353" s="91">
        <v>2024</v>
      </c>
      <c r="G353" s="93">
        <v>5</v>
      </c>
      <c r="H353" s="37" t="s">
        <v>475</v>
      </c>
      <c r="I353" s="37"/>
      <c r="J353" s="103">
        <v>-92.423462833914087</v>
      </c>
      <c r="K353" s="40">
        <v>44.279815292182576</v>
      </c>
      <c r="L353" s="74"/>
      <c r="M353" s="272" t="s">
        <v>5535</v>
      </c>
      <c r="N353" s="74">
        <v>1</v>
      </c>
      <c r="O353" s="94"/>
      <c r="P353" s="118">
        <v>1</v>
      </c>
      <c r="Q353" s="510">
        <v>180</v>
      </c>
      <c r="R353" s="513">
        <v>120</v>
      </c>
      <c r="S353" s="41"/>
      <c r="T353" s="40"/>
      <c r="U353" s="40">
        <v>7</v>
      </c>
      <c r="V353" s="119">
        <v>1</v>
      </c>
      <c r="W353" s="40">
        <v>0</v>
      </c>
      <c r="X353" s="119">
        <v>1</v>
      </c>
      <c r="Y353" s="40">
        <v>61</v>
      </c>
      <c r="Z353" s="119">
        <v>1</v>
      </c>
      <c r="AA353" s="368">
        <v>0</v>
      </c>
      <c r="AB353" s="535">
        <v>20</v>
      </c>
      <c r="AC353" s="39" t="s">
        <v>160</v>
      </c>
      <c r="AD353" s="75" t="s">
        <v>8</v>
      </c>
      <c r="AE353" s="95">
        <v>0</v>
      </c>
      <c r="AF353" s="75">
        <v>1</v>
      </c>
      <c r="AG353" s="75">
        <v>0</v>
      </c>
      <c r="AH353" s="75">
        <v>0</v>
      </c>
      <c r="AI353" s="75">
        <v>0</v>
      </c>
      <c r="AJ353" s="75">
        <v>0</v>
      </c>
      <c r="AK353" s="75">
        <v>0</v>
      </c>
      <c r="AL353" s="95">
        <v>0</v>
      </c>
      <c r="AM353" s="92">
        <v>0</v>
      </c>
      <c r="AN353" s="79" t="s">
        <v>81</v>
      </c>
      <c r="AO353" s="75">
        <v>1</v>
      </c>
      <c r="AP353" s="75" t="s">
        <v>84</v>
      </c>
      <c r="AQ353" s="122">
        <v>1</v>
      </c>
      <c r="AR353" s="515" t="s">
        <v>10</v>
      </c>
      <c r="AS353" s="95">
        <v>0</v>
      </c>
      <c r="AT353" s="75">
        <v>0</v>
      </c>
      <c r="AU353" s="75">
        <v>0</v>
      </c>
      <c r="AV353" s="75">
        <v>0</v>
      </c>
      <c r="AW353" s="123">
        <v>0</v>
      </c>
      <c r="AX353" s="516" t="s">
        <v>5536</v>
      </c>
      <c r="AY353" s="75">
        <v>1</v>
      </c>
      <c r="AZ353" s="77" t="s">
        <v>131</v>
      </c>
      <c r="BA353" s="78" t="s">
        <v>132</v>
      </c>
      <c r="BB353" s="78" t="s">
        <v>131</v>
      </c>
      <c r="BC353" s="78" t="s">
        <v>131</v>
      </c>
      <c r="BD353" s="78" t="s">
        <v>131</v>
      </c>
      <c r="BE353" s="78" t="s">
        <v>131</v>
      </c>
      <c r="BF353" s="78" t="s">
        <v>131</v>
      </c>
      <c r="BG353" s="78" t="s">
        <v>131</v>
      </c>
      <c r="BH353" s="75" t="s">
        <v>5970</v>
      </c>
      <c r="BI353" s="295" t="s">
        <v>2279</v>
      </c>
      <c r="BJ353" s="546" t="s">
        <v>16</v>
      </c>
      <c r="BK353" s="294" t="s">
        <v>16</v>
      </c>
      <c r="BL353" s="157" t="s">
        <v>16</v>
      </c>
      <c r="BM353" s="548" t="s">
        <v>1339</v>
      </c>
      <c r="BN353" s="548" t="s">
        <v>1339</v>
      </c>
      <c r="BO353" s="157" t="s">
        <v>5914</v>
      </c>
      <c r="BP353" s="548" t="s">
        <v>5915</v>
      </c>
      <c r="BQ353" s="157" t="s">
        <v>4330</v>
      </c>
      <c r="BR353" s="157"/>
    </row>
    <row r="354" spans="1:70" x14ac:dyDescent="0.25">
      <c r="A354" s="19" t="s">
        <v>3686</v>
      </c>
      <c r="B354" s="37" t="s">
        <v>5537</v>
      </c>
      <c r="C354" s="90">
        <v>45422.69971064815</v>
      </c>
      <c r="D354" s="114">
        <v>45422.44971064815</v>
      </c>
      <c r="E354" s="38">
        <v>45422</v>
      </c>
      <c r="F354" s="91">
        <v>2024</v>
      </c>
      <c r="G354" s="93">
        <v>5</v>
      </c>
      <c r="H354" s="37" t="s">
        <v>475</v>
      </c>
      <c r="I354" s="37"/>
      <c r="J354" s="103">
        <v>-92.072960425351127</v>
      </c>
      <c r="K354" s="40">
        <v>44.278434346011331</v>
      </c>
      <c r="L354" s="74"/>
      <c r="M354" s="272" t="s">
        <v>5538</v>
      </c>
      <c r="N354" s="74">
        <v>1</v>
      </c>
      <c r="O354" s="94"/>
      <c r="P354" s="118">
        <v>0</v>
      </c>
      <c r="Q354" s="510"/>
      <c r="R354" s="513"/>
      <c r="S354" s="41"/>
      <c r="T354" s="40"/>
      <c r="U354" s="40"/>
      <c r="V354" s="119">
        <v>1</v>
      </c>
      <c r="W354" s="40">
        <v>0</v>
      </c>
      <c r="X354" s="119">
        <v>1</v>
      </c>
      <c r="Y354" s="40">
        <v>50</v>
      </c>
      <c r="Z354" s="119">
        <v>1</v>
      </c>
      <c r="AA354" s="368">
        <v>0</v>
      </c>
      <c r="AB354" s="535">
        <v>5</v>
      </c>
      <c r="AC354" s="39" t="s">
        <v>160</v>
      </c>
      <c r="AD354" s="75" t="s">
        <v>16</v>
      </c>
      <c r="AE354" s="95">
        <v>-1</v>
      </c>
      <c r="AF354" s="75">
        <v>-1</v>
      </c>
      <c r="AG354" s="75">
        <v>-1</v>
      </c>
      <c r="AH354" s="75">
        <v>-1</v>
      </c>
      <c r="AI354" s="75">
        <v>-1</v>
      </c>
      <c r="AJ354" s="75">
        <v>-1</v>
      </c>
      <c r="AK354" s="75">
        <v>-1</v>
      </c>
      <c r="AL354" s="95">
        <v>-1</v>
      </c>
      <c r="AM354" s="92">
        <v>1</v>
      </c>
      <c r="AN354" s="79" t="s">
        <v>80</v>
      </c>
      <c r="AO354" s="75">
        <v>1</v>
      </c>
      <c r="AP354" s="75" t="s">
        <v>83</v>
      </c>
      <c r="AQ354" s="122">
        <v>1</v>
      </c>
      <c r="AR354" s="515" t="s">
        <v>10</v>
      </c>
      <c r="AS354" s="95">
        <v>0</v>
      </c>
      <c r="AT354" s="75">
        <v>0</v>
      </c>
      <c r="AU354" s="75">
        <v>0</v>
      </c>
      <c r="AV354" s="75">
        <v>0</v>
      </c>
      <c r="AW354" s="123">
        <v>0</v>
      </c>
      <c r="AX354" s="516" t="s">
        <v>5539</v>
      </c>
      <c r="AY354" s="75">
        <v>1</v>
      </c>
      <c r="AZ354" s="77" t="s">
        <v>5971</v>
      </c>
      <c r="BA354" s="78" t="s">
        <v>5971</v>
      </c>
      <c r="BB354" s="78" t="s">
        <v>5971</v>
      </c>
      <c r="BC354" s="78" t="s">
        <v>5971</v>
      </c>
      <c r="BD354" s="78" t="s">
        <v>5971</v>
      </c>
      <c r="BE354" s="78" t="s">
        <v>5971</v>
      </c>
      <c r="BF354" s="78" t="s">
        <v>5971</v>
      </c>
      <c r="BG354" s="78" t="s">
        <v>5971</v>
      </c>
      <c r="BH354" s="75" t="s">
        <v>5971</v>
      </c>
      <c r="BI354" s="295" t="s">
        <v>2323</v>
      </c>
      <c r="BJ354" s="546">
        <v>1</v>
      </c>
      <c r="BK354" s="294">
        <v>1</v>
      </c>
      <c r="BL354" s="157">
        <v>1</v>
      </c>
      <c r="BM354" s="548" t="s">
        <v>1341</v>
      </c>
      <c r="BN354" s="548" t="s">
        <v>1339</v>
      </c>
      <c r="BO354" s="157" t="s">
        <v>4652</v>
      </c>
      <c r="BP354" s="548" t="s">
        <v>2241</v>
      </c>
      <c r="BQ354" s="157" t="s">
        <v>4269</v>
      </c>
      <c r="BR354" s="157"/>
    </row>
    <row r="355" spans="1:70" x14ac:dyDescent="0.25">
      <c r="A355" s="19" t="s">
        <v>3686</v>
      </c>
      <c r="B355" s="37" t="s">
        <v>5540</v>
      </c>
      <c r="C355" s="90">
        <v>45422.679629629631</v>
      </c>
      <c r="D355" s="114">
        <v>45422.429629629631</v>
      </c>
      <c r="E355" s="38">
        <v>45422</v>
      </c>
      <c r="F355" s="91">
        <v>2024</v>
      </c>
      <c r="G355" s="93">
        <v>5</v>
      </c>
      <c r="H355" s="37" t="s">
        <v>475</v>
      </c>
      <c r="I355" s="37"/>
      <c r="J355" s="103">
        <v>-91.952754631388018</v>
      </c>
      <c r="K355" s="40">
        <v>44.226962526564577</v>
      </c>
      <c r="L355" s="74"/>
      <c r="M355" s="272" t="s">
        <v>5541</v>
      </c>
      <c r="N355" s="74">
        <v>1</v>
      </c>
      <c r="O355" s="94"/>
      <c r="P355" s="118">
        <v>1</v>
      </c>
      <c r="Q355" s="510">
        <v>180</v>
      </c>
      <c r="R355" s="513">
        <v>180</v>
      </c>
      <c r="S355" s="41"/>
      <c r="T355" s="40"/>
      <c r="U355" s="40">
        <v>7.5</v>
      </c>
      <c r="V355" s="119">
        <v>1</v>
      </c>
      <c r="W355" s="40">
        <v>0</v>
      </c>
      <c r="X355" s="119">
        <v>1</v>
      </c>
      <c r="Y355" s="40">
        <v>55</v>
      </c>
      <c r="Z355" s="119">
        <v>1</v>
      </c>
      <c r="AA355" s="368">
        <v>0</v>
      </c>
      <c r="AB355" s="535">
        <v>2</v>
      </c>
      <c r="AC355" s="39" t="s">
        <v>160</v>
      </c>
      <c r="AD355" s="75" t="s">
        <v>16</v>
      </c>
      <c r="AE355" s="95">
        <v>-1</v>
      </c>
      <c r="AF355" s="75">
        <v>-1</v>
      </c>
      <c r="AG355" s="75">
        <v>-1</v>
      </c>
      <c r="AH355" s="75">
        <v>-1</v>
      </c>
      <c r="AI355" s="75">
        <v>-1</v>
      </c>
      <c r="AJ355" s="75">
        <v>-1</v>
      </c>
      <c r="AK355" s="75">
        <v>-1</v>
      </c>
      <c r="AL355" s="95">
        <v>-1</v>
      </c>
      <c r="AM355" s="92">
        <v>1</v>
      </c>
      <c r="AN355" s="79" t="s">
        <v>80</v>
      </c>
      <c r="AO355" s="75">
        <v>1</v>
      </c>
      <c r="AP355" s="75" t="s">
        <v>83</v>
      </c>
      <c r="AQ355" s="122">
        <v>1</v>
      </c>
      <c r="AR355" s="515" t="s">
        <v>10</v>
      </c>
      <c r="AS355" s="95">
        <v>0</v>
      </c>
      <c r="AT355" s="75">
        <v>0</v>
      </c>
      <c r="AU355" s="75">
        <v>0</v>
      </c>
      <c r="AV355" s="75">
        <v>0</v>
      </c>
      <c r="AW355" s="123">
        <v>0</v>
      </c>
      <c r="AX355" s="516" t="s">
        <v>5542</v>
      </c>
      <c r="AY355" s="75">
        <v>1</v>
      </c>
      <c r="AZ355" s="77" t="s">
        <v>5971</v>
      </c>
      <c r="BA355" s="78" t="s">
        <v>5971</v>
      </c>
      <c r="BB355" s="78" t="s">
        <v>5971</v>
      </c>
      <c r="BC355" s="78" t="s">
        <v>5971</v>
      </c>
      <c r="BD355" s="78" t="s">
        <v>5971</v>
      </c>
      <c r="BE355" s="78" t="s">
        <v>5971</v>
      </c>
      <c r="BF355" s="78" t="s">
        <v>5971</v>
      </c>
      <c r="BG355" s="78" t="s">
        <v>5971</v>
      </c>
      <c r="BH355" s="75" t="s">
        <v>5971</v>
      </c>
      <c r="BI355" s="295" t="s">
        <v>2256</v>
      </c>
      <c r="BJ355" s="546">
        <v>1</v>
      </c>
      <c r="BK355" s="294">
        <v>1</v>
      </c>
      <c r="BL355" s="157">
        <v>1</v>
      </c>
      <c r="BM355" s="548" t="s">
        <v>1341</v>
      </c>
      <c r="BN355" s="548" t="s">
        <v>1339</v>
      </c>
      <c r="BO355" s="157" t="s">
        <v>4507</v>
      </c>
      <c r="BP355" s="548" t="s">
        <v>2256</v>
      </c>
      <c r="BQ355" s="157" t="s">
        <v>4269</v>
      </c>
      <c r="BR355" s="157"/>
    </row>
    <row r="356" spans="1:70" x14ac:dyDescent="0.25">
      <c r="A356" s="19" t="s">
        <v>3686</v>
      </c>
      <c r="B356" s="37" t="s">
        <v>5543</v>
      </c>
      <c r="C356" s="90">
        <v>45420.75236111111</v>
      </c>
      <c r="D356" s="114">
        <v>45420.50236111111</v>
      </c>
      <c r="E356" s="38">
        <v>45420</v>
      </c>
      <c r="F356" s="91">
        <v>2024</v>
      </c>
      <c r="G356" s="93">
        <v>5</v>
      </c>
      <c r="H356" s="37" t="s">
        <v>1386</v>
      </c>
      <c r="I356" s="37"/>
      <c r="J356" s="103">
        <v>-92.343843399999997</v>
      </c>
      <c r="K356" s="40">
        <v>43.602251199999998</v>
      </c>
      <c r="L356" s="74"/>
      <c r="M356" s="272" t="s">
        <v>5544</v>
      </c>
      <c r="N356" s="74">
        <v>1</v>
      </c>
      <c r="O356" s="94"/>
      <c r="P356" s="118">
        <v>1</v>
      </c>
      <c r="Q356" s="510">
        <v>80</v>
      </c>
      <c r="R356" s="513">
        <v>180</v>
      </c>
      <c r="S356" s="41"/>
      <c r="T356" s="40"/>
      <c r="U356" s="40">
        <v>7.5</v>
      </c>
      <c r="V356" s="119">
        <v>1</v>
      </c>
      <c r="W356" s="40">
        <v>0</v>
      </c>
      <c r="X356" s="119">
        <v>0</v>
      </c>
      <c r="Y356" s="40"/>
      <c r="Z356" s="119">
        <v>1</v>
      </c>
      <c r="AA356" s="368">
        <v>0</v>
      </c>
      <c r="AB356" s="535">
        <v>10</v>
      </c>
      <c r="AC356" s="39" t="s">
        <v>160</v>
      </c>
      <c r="AD356" s="75" t="s">
        <v>10</v>
      </c>
      <c r="AE356" s="95">
        <v>0</v>
      </c>
      <c r="AF356" s="75">
        <v>0</v>
      </c>
      <c r="AG356" s="75">
        <v>0</v>
      </c>
      <c r="AH356" s="75">
        <v>0</v>
      </c>
      <c r="AI356" s="75">
        <v>0</v>
      </c>
      <c r="AJ356" s="75">
        <v>0</v>
      </c>
      <c r="AK356" s="75">
        <v>0</v>
      </c>
      <c r="AL356" s="95">
        <v>1</v>
      </c>
      <c r="AM356" s="92">
        <v>0</v>
      </c>
      <c r="AN356" s="79" t="s">
        <v>80</v>
      </c>
      <c r="AO356" s="75">
        <v>1</v>
      </c>
      <c r="AP356" s="75" t="s">
        <v>83</v>
      </c>
      <c r="AQ356" s="122">
        <v>1</v>
      </c>
      <c r="AR356" s="515" t="s">
        <v>10</v>
      </c>
      <c r="AS356" s="95">
        <v>0</v>
      </c>
      <c r="AT356" s="75">
        <v>0</v>
      </c>
      <c r="AU356" s="75">
        <v>0</v>
      </c>
      <c r="AV356" s="75">
        <v>0</v>
      </c>
      <c r="AW356" s="123">
        <v>0</v>
      </c>
      <c r="AX356" s="516"/>
      <c r="AY356" s="75">
        <v>0</v>
      </c>
      <c r="AZ356" s="77" t="s">
        <v>131</v>
      </c>
      <c r="BA356" s="78" t="s">
        <v>131</v>
      </c>
      <c r="BB356" s="78" t="s">
        <v>131</v>
      </c>
      <c r="BC356" s="78" t="s">
        <v>131</v>
      </c>
      <c r="BD356" s="78" t="s">
        <v>131</v>
      </c>
      <c r="BE356" s="78" t="s">
        <v>131</v>
      </c>
      <c r="BF356" s="78" t="s">
        <v>131</v>
      </c>
      <c r="BG356" s="78" t="s">
        <v>132</v>
      </c>
      <c r="BH356" s="75" t="s">
        <v>5970</v>
      </c>
      <c r="BI356" s="295" t="s">
        <v>2294</v>
      </c>
      <c r="BJ356" s="546">
        <v>1</v>
      </c>
      <c r="BK356" s="294" t="s">
        <v>16</v>
      </c>
      <c r="BL356" s="157" t="s">
        <v>16</v>
      </c>
      <c r="BM356" s="548" t="s">
        <v>1339</v>
      </c>
      <c r="BN356" s="548" t="s">
        <v>1339</v>
      </c>
      <c r="BO356" s="157" t="s">
        <v>4230</v>
      </c>
      <c r="BP356" s="548" t="s">
        <v>4231</v>
      </c>
      <c r="BQ356" s="157" t="s">
        <v>4229</v>
      </c>
      <c r="BR356" s="157"/>
    </row>
    <row r="357" spans="1:70" x14ac:dyDescent="0.25">
      <c r="A357" s="19" t="s">
        <v>3686</v>
      </c>
      <c r="B357" s="37" t="s">
        <v>5545</v>
      </c>
      <c r="C357" s="90">
        <v>45420.74622685185</v>
      </c>
      <c r="D357" s="114">
        <v>45420.49622685185</v>
      </c>
      <c r="E357" s="38">
        <v>45420</v>
      </c>
      <c r="F357" s="91">
        <v>2024</v>
      </c>
      <c r="G357" s="93">
        <v>5</v>
      </c>
      <c r="H357" s="37" t="s">
        <v>201</v>
      </c>
      <c r="I357" s="37"/>
      <c r="J357" s="103">
        <v>-92.732178870335474</v>
      </c>
      <c r="K357" s="40">
        <v>44.831178471635859</v>
      </c>
      <c r="L357" s="74"/>
      <c r="M357" s="272" t="s">
        <v>16</v>
      </c>
      <c r="N357" s="74">
        <v>0</v>
      </c>
      <c r="O357" s="94"/>
      <c r="P357" s="118">
        <v>1</v>
      </c>
      <c r="Q357" s="510">
        <v>180</v>
      </c>
      <c r="R357" s="513">
        <v>120</v>
      </c>
      <c r="S357" s="41"/>
      <c r="T357" s="40"/>
      <c r="U357" s="40">
        <v>8</v>
      </c>
      <c r="V357" s="119">
        <v>1</v>
      </c>
      <c r="W357" s="40">
        <v>0</v>
      </c>
      <c r="X357" s="119">
        <v>1</v>
      </c>
      <c r="Y357" s="40">
        <v>60</v>
      </c>
      <c r="Z357" s="119">
        <v>1</v>
      </c>
      <c r="AA357" s="368">
        <v>0</v>
      </c>
      <c r="AB357" s="535">
        <v>5</v>
      </c>
      <c r="AC357" s="39" t="s">
        <v>160</v>
      </c>
      <c r="AD357" s="75" t="s">
        <v>8</v>
      </c>
      <c r="AE357" s="95">
        <v>0</v>
      </c>
      <c r="AF357" s="75">
        <v>1</v>
      </c>
      <c r="AG357" s="75">
        <v>0</v>
      </c>
      <c r="AH357" s="75">
        <v>0</v>
      </c>
      <c r="AI357" s="75">
        <v>0</v>
      </c>
      <c r="AJ357" s="75">
        <v>0</v>
      </c>
      <c r="AK357" s="75">
        <v>0</v>
      </c>
      <c r="AL357" s="95">
        <v>0</v>
      </c>
      <c r="AM357" s="92">
        <v>0</v>
      </c>
      <c r="AN357" s="79" t="s">
        <v>80</v>
      </c>
      <c r="AO357" s="75">
        <v>1</v>
      </c>
      <c r="AP357" s="75" t="s">
        <v>83</v>
      </c>
      <c r="AQ357" s="122">
        <v>1</v>
      </c>
      <c r="AR357" s="515" t="s">
        <v>10</v>
      </c>
      <c r="AS357" s="95">
        <v>0</v>
      </c>
      <c r="AT357" s="75">
        <v>0</v>
      </c>
      <c r="AU357" s="75">
        <v>0</v>
      </c>
      <c r="AV357" s="75">
        <v>0</v>
      </c>
      <c r="AW357" s="123">
        <v>0</v>
      </c>
      <c r="AX357" s="516" t="s">
        <v>1537</v>
      </c>
      <c r="AY357" s="75">
        <v>1</v>
      </c>
      <c r="AZ357" s="77" t="s">
        <v>131</v>
      </c>
      <c r="BA357" s="78" t="s">
        <v>132</v>
      </c>
      <c r="BB357" s="78" t="s">
        <v>131</v>
      </c>
      <c r="BC357" s="78" t="s">
        <v>131</v>
      </c>
      <c r="BD357" s="78" t="s">
        <v>131</v>
      </c>
      <c r="BE357" s="78" t="s">
        <v>131</v>
      </c>
      <c r="BF357" s="78" t="s">
        <v>131</v>
      </c>
      <c r="BG357" s="78" t="s">
        <v>131</v>
      </c>
      <c r="BH357" s="75" t="s">
        <v>5970</v>
      </c>
      <c r="BI357" s="295" t="s">
        <v>2227</v>
      </c>
      <c r="BJ357" s="546">
        <v>1</v>
      </c>
      <c r="BK357" s="294" t="s">
        <v>16</v>
      </c>
      <c r="BL357" s="157" t="s">
        <v>16</v>
      </c>
      <c r="BM357" s="548" t="s">
        <v>578</v>
      </c>
      <c r="BN357" s="548" t="s">
        <v>578</v>
      </c>
      <c r="BO357" s="157" t="s">
        <v>4341</v>
      </c>
      <c r="BP357" s="548" t="s">
        <v>4343</v>
      </c>
      <c r="BQ357" s="157" t="s">
        <v>4309</v>
      </c>
      <c r="BR357" s="157"/>
    </row>
    <row r="358" spans="1:70" x14ac:dyDescent="0.25">
      <c r="A358" s="19" t="s">
        <v>3686</v>
      </c>
      <c r="B358" s="37" t="s">
        <v>5546</v>
      </c>
      <c r="C358" s="90">
        <v>45420.735162037039</v>
      </c>
      <c r="D358" s="114">
        <v>45420.485162037039</v>
      </c>
      <c r="E358" s="38">
        <v>45420</v>
      </c>
      <c r="F358" s="91">
        <v>2024</v>
      </c>
      <c r="G358" s="93">
        <v>5</v>
      </c>
      <c r="H358" s="37" t="s">
        <v>1386</v>
      </c>
      <c r="I358" s="37"/>
      <c r="J358" s="103">
        <v>-92.488058100000003</v>
      </c>
      <c r="K358" s="40">
        <v>43.645058499999998</v>
      </c>
      <c r="L358" s="74"/>
      <c r="M358" s="272" t="s">
        <v>5547</v>
      </c>
      <c r="N358" s="74">
        <v>1</v>
      </c>
      <c r="O358" s="94"/>
      <c r="P358" s="118">
        <v>1</v>
      </c>
      <c r="Q358" s="510">
        <v>80</v>
      </c>
      <c r="R358" s="513">
        <v>180</v>
      </c>
      <c r="S358" s="41"/>
      <c r="T358" s="40"/>
      <c r="U358" s="40">
        <v>7</v>
      </c>
      <c r="V358" s="119">
        <v>1</v>
      </c>
      <c r="W358" s="40">
        <v>0</v>
      </c>
      <c r="X358" s="119">
        <v>0</v>
      </c>
      <c r="Y358" s="40"/>
      <c r="Z358" s="119">
        <v>1</v>
      </c>
      <c r="AA358" s="368">
        <v>0</v>
      </c>
      <c r="AB358" s="535">
        <v>10</v>
      </c>
      <c r="AC358" s="39" t="s">
        <v>160</v>
      </c>
      <c r="AD358" s="75" t="s">
        <v>355</v>
      </c>
      <c r="AE358" s="95">
        <v>0</v>
      </c>
      <c r="AF358" s="75">
        <v>0</v>
      </c>
      <c r="AG358" s="75">
        <v>0</v>
      </c>
      <c r="AH358" s="75">
        <v>1</v>
      </c>
      <c r="AI358" s="75">
        <v>0</v>
      </c>
      <c r="AJ358" s="75">
        <v>0</v>
      </c>
      <c r="AK358" s="75">
        <v>0</v>
      </c>
      <c r="AL358" s="95">
        <v>0</v>
      </c>
      <c r="AM358" s="92">
        <v>0</v>
      </c>
      <c r="AN358" s="79" t="s">
        <v>80</v>
      </c>
      <c r="AO358" s="75">
        <v>1</v>
      </c>
      <c r="AP358" s="75" t="s">
        <v>83</v>
      </c>
      <c r="AQ358" s="122">
        <v>1</v>
      </c>
      <c r="AR358" s="515" t="s">
        <v>10</v>
      </c>
      <c r="AS358" s="95">
        <v>0</v>
      </c>
      <c r="AT358" s="75">
        <v>0</v>
      </c>
      <c r="AU358" s="75">
        <v>0</v>
      </c>
      <c r="AV358" s="75">
        <v>0</v>
      </c>
      <c r="AW358" s="123">
        <v>0</v>
      </c>
      <c r="AX358" s="516"/>
      <c r="AY358" s="75">
        <v>0</v>
      </c>
      <c r="AZ358" s="77" t="s">
        <v>131</v>
      </c>
      <c r="BA358" s="78" t="s">
        <v>131</v>
      </c>
      <c r="BB358" s="78" t="s">
        <v>131</v>
      </c>
      <c r="BC358" s="78" t="s">
        <v>132</v>
      </c>
      <c r="BD358" s="78" t="s">
        <v>131</v>
      </c>
      <c r="BE358" s="78" t="s">
        <v>131</v>
      </c>
      <c r="BF358" s="78" t="s">
        <v>131</v>
      </c>
      <c r="BG358" s="78" t="s">
        <v>131</v>
      </c>
      <c r="BH358" s="75" t="s">
        <v>5970</v>
      </c>
      <c r="BI358" s="295" t="s">
        <v>2268</v>
      </c>
      <c r="BJ358" s="546" t="s">
        <v>16</v>
      </c>
      <c r="BK358" s="294" t="s">
        <v>16</v>
      </c>
      <c r="BL358" s="157" t="s">
        <v>16</v>
      </c>
      <c r="BM358" s="548" t="s">
        <v>1339</v>
      </c>
      <c r="BN358" s="548" t="s">
        <v>1339</v>
      </c>
      <c r="BO358" s="157" t="s">
        <v>5819</v>
      </c>
      <c r="BP358" s="548" t="s">
        <v>5820</v>
      </c>
      <c r="BQ358" s="157" t="s">
        <v>4229</v>
      </c>
      <c r="BR358" s="157"/>
    </row>
    <row r="359" spans="1:70" x14ac:dyDescent="0.25">
      <c r="A359" s="19" t="s">
        <v>3686</v>
      </c>
      <c r="B359" s="37" t="s">
        <v>5548</v>
      </c>
      <c r="C359" s="90">
        <v>45420.702951388892</v>
      </c>
      <c r="D359" s="114">
        <v>45420.452951388892</v>
      </c>
      <c r="E359" s="38">
        <v>45420</v>
      </c>
      <c r="F359" s="91">
        <v>2024</v>
      </c>
      <c r="G359" s="93">
        <v>5</v>
      </c>
      <c r="H359" s="37" t="s">
        <v>1386</v>
      </c>
      <c r="I359" s="37"/>
      <c r="J359" s="103">
        <v>-92.689373000000003</v>
      </c>
      <c r="K359" s="40">
        <v>43.824736399999999</v>
      </c>
      <c r="L359" s="74"/>
      <c r="M359" s="272" t="s">
        <v>5549</v>
      </c>
      <c r="N359" s="74">
        <v>1</v>
      </c>
      <c r="O359" s="94"/>
      <c r="P359" s="118">
        <v>1</v>
      </c>
      <c r="Q359" s="510">
        <v>80</v>
      </c>
      <c r="R359" s="513">
        <v>120</v>
      </c>
      <c r="S359" s="41"/>
      <c r="T359" s="40"/>
      <c r="U359" s="40">
        <v>7.5</v>
      </c>
      <c r="V359" s="119">
        <v>1</v>
      </c>
      <c r="W359" s="40">
        <v>100</v>
      </c>
      <c r="X359" s="119">
        <v>0</v>
      </c>
      <c r="Y359" s="40"/>
      <c r="Z359" s="119">
        <v>1</v>
      </c>
      <c r="AA359" s="368">
        <v>0</v>
      </c>
      <c r="AB359" s="535">
        <v>10</v>
      </c>
      <c r="AC359" s="39" t="s">
        <v>160</v>
      </c>
      <c r="AD359" s="75" t="s">
        <v>355</v>
      </c>
      <c r="AE359" s="95">
        <v>0</v>
      </c>
      <c r="AF359" s="75">
        <v>0</v>
      </c>
      <c r="AG359" s="75">
        <v>0</v>
      </c>
      <c r="AH359" s="75">
        <v>1</v>
      </c>
      <c r="AI359" s="75">
        <v>0</v>
      </c>
      <c r="AJ359" s="75">
        <v>0</v>
      </c>
      <c r="AK359" s="75">
        <v>0</v>
      </c>
      <c r="AL359" s="95">
        <v>0</v>
      </c>
      <c r="AM359" s="92">
        <v>0</v>
      </c>
      <c r="AN359" s="79" t="s">
        <v>80</v>
      </c>
      <c r="AO359" s="75">
        <v>1</v>
      </c>
      <c r="AP359" s="75" t="s">
        <v>84</v>
      </c>
      <c r="AQ359" s="122">
        <v>1</v>
      </c>
      <c r="AR359" s="515" t="s">
        <v>10</v>
      </c>
      <c r="AS359" s="95">
        <v>0</v>
      </c>
      <c r="AT359" s="75">
        <v>0</v>
      </c>
      <c r="AU359" s="75">
        <v>0</v>
      </c>
      <c r="AV359" s="75">
        <v>0</v>
      </c>
      <c r="AW359" s="123">
        <v>0</v>
      </c>
      <c r="AX359" s="516"/>
      <c r="AY359" s="75">
        <v>0</v>
      </c>
      <c r="AZ359" s="77" t="s">
        <v>131</v>
      </c>
      <c r="BA359" s="78" t="s">
        <v>131</v>
      </c>
      <c r="BB359" s="78" t="s">
        <v>131</v>
      </c>
      <c r="BC359" s="78" t="s">
        <v>132</v>
      </c>
      <c r="BD359" s="78" t="s">
        <v>131</v>
      </c>
      <c r="BE359" s="78" t="s">
        <v>131</v>
      </c>
      <c r="BF359" s="78" t="s">
        <v>131</v>
      </c>
      <c r="BG359" s="78" t="s">
        <v>131</v>
      </c>
      <c r="BH359" s="75" t="s">
        <v>5970</v>
      </c>
      <c r="BI359" s="295" t="s">
        <v>4675</v>
      </c>
      <c r="BJ359" s="546" t="s">
        <v>16</v>
      </c>
      <c r="BK359" s="294" t="s">
        <v>16</v>
      </c>
      <c r="BL359" s="157" t="s">
        <v>16</v>
      </c>
      <c r="BM359" s="548" t="s">
        <v>1339</v>
      </c>
      <c r="BN359" s="548" t="s">
        <v>1339</v>
      </c>
      <c r="BO359" s="157" t="s">
        <v>5817</v>
      </c>
      <c r="BP359" s="548" t="s">
        <v>5818</v>
      </c>
      <c r="BQ359" s="157" t="s">
        <v>4673</v>
      </c>
      <c r="BR359" s="157"/>
    </row>
    <row r="360" spans="1:70" x14ac:dyDescent="0.25">
      <c r="A360" s="19" t="s">
        <v>3686</v>
      </c>
      <c r="B360" s="37" t="s">
        <v>5550</v>
      </c>
      <c r="C360" s="90">
        <v>45419.797881944447</v>
      </c>
      <c r="D360" s="114">
        <v>45419.547881944447</v>
      </c>
      <c r="E360" s="38">
        <v>45419</v>
      </c>
      <c r="F360" s="91">
        <v>2024</v>
      </c>
      <c r="G360" s="93">
        <v>5</v>
      </c>
      <c r="H360" s="37" t="s">
        <v>475</v>
      </c>
      <c r="I360" s="37"/>
      <c r="J360" s="103">
        <v>-92.268279677439821</v>
      </c>
      <c r="K360" s="40">
        <v>43.888332061071416</v>
      </c>
      <c r="L360" s="74"/>
      <c r="M360" s="272" t="s">
        <v>16</v>
      </c>
      <c r="N360" s="74">
        <v>0</v>
      </c>
      <c r="O360" s="94"/>
      <c r="P360" s="118">
        <v>0</v>
      </c>
      <c r="Q360" s="510"/>
      <c r="R360" s="513"/>
      <c r="S360" s="41"/>
      <c r="T360" s="40"/>
      <c r="U360" s="40"/>
      <c r="V360" s="119">
        <v>0</v>
      </c>
      <c r="W360" s="40"/>
      <c r="X360" s="119">
        <v>1</v>
      </c>
      <c r="Y360" s="40">
        <v>50</v>
      </c>
      <c r="Z360" s="119">
        <v>1</v>
      </c>
      <c r="AA360" s="368">
        <v>0</v>
      </c>
      <c r="AB360" s="535">
        <v>5</v>
      </c>
      <c r="AC360" s="39" t="s">
        <v>160</v>
      </c>
      <c r="AD360" s="75" t="s">
        <v>8</v>
      </c>
      <c r="AE360" s="95">
        <v>0</v>
      </c>
      <c r="AF360" s="75">
        <v>1</v>
      </c>
      <c r="AG360" s="75">
        <v>0</v>
      </c>
      <c r="AH360" s="75">
        <v>0</v>
      </c>
      <c r="AI360" s="75">
        <v>0</v>
      </c>
      <c r="AJ360" s="75">
        <v>0</v>
      </c>
      <c r="AK360" s="75">
        <v>0</v>
      </c>
      <c r="AL360" s="95">
        <v>0</v>
      </c>
      <c r="AM360" s="92">
        <v>0</v>
      </c>
      <c r="AN360" s="79" t="s">
        <v>81</v>
      </c>
      <c r="AO360" s="75">
        <v>1</v>
      </c>
      <c r="AP360" s="75" t="s">
        <v>85</v>
      </c>
      <c r="AQ360" s="122">
        <v>1</v>
      </c>
      <c r="AR360" s="515" t="s">
        <v>13</v>
      </c>
      <c r="AS360" s="95">
        <v>1</v>
      </c>
      <c r="AT360" s="75">
        <v>0</v>
      </c>
      <c r="AU360" s="75">
        <v>0</v>
      </c>
      <c r="AV360" s="75">
        <v>0</v>
      </c>
      <c r="AW360" s="123">
        <v>0</v>
      </c>
      <c r="AX360" s="516" t="s">
        <v>5551</v>
      </c>
      <c r="AY360" s="75">
        <v>1</v>
      </c>
      <c r="AZ360" s="77" t="s">
        <v>131</v>
      </c>
      <c r="BA360" s="78" t="s">
        <v>132</v>
      </c>
      <c r="BB360" s="78" t="s">
        <v>131</v>
      </c>
      <c r="BC360" s="78" t="s">
        <v>131</v>
      </c>
      <c r="BD360" s="78" t="s">
        <v>131</v>
      </c>
      <c r="BE360" s="78" t="s">
        <v>131</v>
      </c>
      <c r="BF360" s="78" t="s">
        <v>131</v>
      </c>
      <c r="BG360" s="78" t="s">
        <v>131</v>
      </c>
      <c r="BH360" s="75" t="s">
        <v>5970</v>
      </c>
      <c r="BI360" s="295" t="s">
        <v>16</v>
      </c>
      <c r="BJ360" s="546" t="s">
        <v>16</v>
      </c>
      <c r="BK360" s="294" t="s">
        <v>16</v>
      </c>
      <c r="BL360" s="157" t="s">
        <v>16</v>
      </c>
      <c r="BM360" s="548" t="s">
        <v>1339</v>
      </c>
      <c r="BN360" s="548" t="s">
        <v>1339</v>
      </c>
      <c r="BO360" s="157" t="s">
        <v>4674</v>
      </c>
      <c r="BP360" s="548" t="s">
        <v>4675</v>
      </c>
      <c r="BQ360" s="157" t="s">
        <v>4673</v>
      </c>
      <c r="BR360" s="157"/>
    </row>
    <row r="361" spans="1:70" x14ac:dyDescent="0.25">
      <c r="A361" s="19" t="s">
        <v>3686</v>
      </c>
      <c r="B361" s="37" t="s">
        <v>5552</v>
      </c>
      <c r="C361" s="90">
        <v>45419.686307870368</v>
      </c>
      <c r="D361" s="114">
        <v>45419.436307870368</v>
      </c>
      <c r="E361" s="38">
        <v>45419</v>
      </c>
      <c r="F361" s="91">
        <v>2024</v>
      </c>
      <c r="G361" s="93">
        <v>5</v>
      </c>
      <c r="H361" s="37" t="s">
        <v>5389</v>
      </c>
      <c r="I361" s="37"/>
      <c r="J361" s="103">
        <v>-91.941535599999995</v>
      </c>
      <c r="K361" s="40">
        <v>42.890827000000002</v>
      </c>
      <c r="L361" s="74"/>
      <c r="M361" s="272" t="s">
        <v>5553</v>
      </c>
      <c r="N361" s="74">
        <v>1</v>
      </c>
      <c r="O361" s="94"/>
      <c r="P361" s="118">
        <v>1</v>
      </c>
      <c r="Q361" s="510">
        <v>40</v>
      </c>
      <c r="R361" s="513">
        <v>0</v>
      </c>
      <c r="S361" s="41"/>
      <c r="T361" s="40"/>
      <c r="U361" s="40">
        <v>7.5</v>
      </c>
      <c r="V361" s="119">
        <v>1</v>
      </c>
      <c r="W361" s="40">
        <v>200</v>
      </c>
      <c r="X361" s="119">
        <v>0</v>
      </c>
      <c r="Y361" s="40"/>
      <c r="Z361" s="119">
        <v>1</v>
      </c>
      <c r="AA361" s="368">
        <v>0</v>
      </c>
      <c r="AB361" s="535">
        <v>20</v>
      </c>
      <c r="AC361" s="39" t="s">
        <v>160</v>
      </c>
      <c r="AD361" s="75" t="s">
        <v>8</v>
      </c>
      <c r="AE361" s="95">
        <v>0</v>
      </c>
      <c r="AF361" s="75">
        <v>1</v>
      </c>
      <c r="AG361" s="75">
        <v>0</v>
      </c>
      <c r="AH361" s="75">
        <v>0</v>
      </c>
      <c r="AI361" s="75">
        <v>0</v>
      </c>
      <c r="AJ361" s="75">
        <v>0</v>
      </c>
      <c r="AK361" s="75">
        <v>0</v>
      </c>
      <c r="AL361" s="95">
        <v>0</v>
      </c>
      <c r="AM361" s="92">
        <v>0</v>
      </c>
      <c r="AN361" s="79" t="s">
        <v>81</v>
      </c>
      <c r="AO361" s="75">
        <v>1</v>
      </c>
      <c r="AP361" s="75" t="s">
        <v>85</v>
      </c>
      <c r="AQ361" s="122">
        <v>1</v>
      </c>
      <c r="AR361" s="515" t="s">
        <v>13</v>
      </c>
      <c r="AS361" s="95">
        <v>1</v>
      </c>
      <c r="AT361" s="75">
        <v>0</v>
      </c>
      <c r="AU361" s="75">
        <v>0</v>
      </c>
      <c r="AV361" s="75">
        <v>0</v>
      </c>
      <c r="AW361" s="123">
        <v>0</v>
      </c>
      <c r="AX361" s="516" t="s">
        <v>5554</v>
      </c>
      <c r="AY361" s="75">
        <v>1</v>
      </c>
      <c r="AZ361" s="77" t="s">
        <v>131</v>
      </c>
      <c r="BA361" s="78" t="s">
        <v>132</v>
      </c>
      <c r="BB361" s="78" t="s">
        <v>131</v>
      </c>
      <c r="BC361" s="78" t="s">
        <v>131</v>
      </c>
      <c r="BD361" s="78" t="s">
        <v>131</v>
      </c>
      <c r="BE361" s="78" t="s">
        <v>131</v>
      </c>
      <c r="BF361" s="78" t="s">
        <v>131</v>
      </c>
      <c r="BG361" s="78" t="s">
        <v>131</v>
      </c>
      <c r="BH361" s="75" t="s">
        <v>5970</v>
      </c>
      <c r="BI361" s="295" t="s">
        <v>4029</v>
      </c>
      <c r="BJ361" s="546" t="s">
        <v>16</v>
      </c>
      <c r="BK361" s="294" t="s">
        <v>16</v>
      </c>
      <c r="BL361" s="157" t="s">
        <v>16</v>
      </c>
      <c r="BM361" s="548" t="s">
        <v>1344</v>
      </c>
      <c r="BN361" s="548" t="s">
        <v>1344</v>
      </c>
      <c r="BO361" s="157" t="s">
        <v>4583</v>
      </c>
      <c r="BP361" s="548" t="s">
        <v>4029</v>
      </c>
      <c r="BQ361" s="157" t="s">
        <v>4571</v>
      </c>
      <c r="BR361" s="157"/>
    </row>
    <row r="362" spans="1:70" x14ac:dyDescent="0.25">
      <c r="A362" s="19" t="s">
        <v>3686</v>
      </c>
      <c r="B362" s="37" t="s">
        <v>5555</v>
      </c>
      <c r="C362" s="90">
        <v>45419.661203703705</v>
      </c>
      <c r="D362" s="114">
        <v>45419.411203703705</v>
      </c>
      <c r="E362" s="38">
        <v>45419</v>
      </c>
      <c r="F362" s="91">
        <v>2024</v>
      </c>
      <c r="G362" s="93">
        <v>5</v>
      </c>
      <c r="H362" s="37" t="s">
        <v>5389</v>
      </c>
      <c r="I362" s="37"/>
      <c r="J362" s="103">
        <v>-91.851373899999999</v>
      </c>
      <c r="K362" s="40">
        <v>42.890595300000001</v>
      </c>
      <c r="L362" s="74"/>
      <c r="M362" s="272" t="s">
        <v>5556</v>
      </c>
      <c r="N362" s="74">
        <v>1</v>
      </c>
      <c r="O362" s="94"/>
      <c r="P362" s="118">
        <v>1</v>
      </c>
      <c r="Q362" s="510">
        <v>40</v>
      </c>
      <c r="R362" s="513">
        <v>180</v>
      </c>
      <c r="S362" s="41"/>
      <c r="T362" s="40"/>
      <c r="U362" s="40">
        <v>7</v>
      </c>
      <c r="V362" s="119">
        <v>1</v>
      </c>
      <c r="W362" s="40">
        <v>100</v>
      </c>
      <c r="X362" s="119">
        <v>0</v>
      </c>
      <c r="Y362" s="40"/>
      <c r="Z362" s="119">
        <v>1</v>
      </c>
      <c r="AA362" s="368">
        <v>0</v>
      </c>
      <c r="AB362" s="535">
        <v>20</v>
      </c>
      <c r="AC362" s="39" t="s">
        <v>160</v>
      </c>
      <c r="AD362" s="75" t="s">
        <v>10</v>
      </c>
      <c r="AE362" s="95">
        <v>0</v>
      </c>
      <c r="AF362" s="75">
        <v>0</v>
      </c>
      <c r="AG362" s="75">
        <v>0</v>
      </c>
      <c r="AH362" s="75">
        <v>0</v>
      </c>
      <c r="AI362" s="75">
        <v>0</v>
      </c>
      <c r="AJ362" s="75">
        <v>0</v>
      </c>
      <c r="AK362" s="75">
        <v>0</v>
      </c>
      <c r="AL362" s="95">
        <v>1</v>
      </c>
      <c r="AM362" s="92">
        <v>0</v>
      </c>
      <c r="AN362" s="79" t="s">
        <v>81</v>
      </c>
      <c r="AO362" s="75">
        <v>1</v>
      </c>
      <c r="AP362" s="75" t="s">
        <v>84</v>
      </c>
      <c r="AQ362" s="122">
        <v>1</v>
      </c>
      <c r="AR362" s="515" t="s">
        <v>13</v>
      </c>
      <c r="AS362" s="95">
        <v>1</v>
      </c>
      <c r="AT362" s="75">
        <v>0</v>
      </c>
      <c r="AU362" s="75">
        <v>0</v>
      </c>
      <c r="AV362" s="75">
        <v>0</v>
      </c>
      <c r="AW362" s="123">
        <v>0</v>
      </c>
      <c r="AX362" s="516" t="s">
        <v>5557</v>
      </c>
      <c r="AY362" s="75">
        <v>1</v>
      </c>
      <c r="AZ362" s="77" t="s">
        <v>131</v>
      </c>
      <c r="BA362" s="78" t="s">
        <v>131</v>
      </c>
      <c r="BB362" s="78" t="s">
        <v>131</v>
      </c>
      <c r="BC362" s="78" t="s">
        <v>131</v>
      </c>
      <c r="BD362" s="78" t="s">
        <v>131</v>
      </c>
      <c r="BE362" s="78" t="s">
        <v>131</v>
      </c>
      <c r="BF362" s="78" t="s">
        <v>131</v>
      </c>
      <c r="BG362" s="78" t="s">
        <v>132</v>
      </c>
      <c r="BH362" s="75" t="s">
        <v>5970</v>
      </c>
      <c r="BI362" s="295">
        <v>0</v>
      </c>
      <c r="BJ362" s="546" t="s">
        <v>16</v>
      </c>
      <c r="BK362" s="294" t="s">
        <v>16</v>
      </c>
      <c r="BL362" s="157" t="s">
        <v>16</v>
      </c>
      <c r="BM362" s="548" t="s">
        <v>1344</v>
      </c>
      <c r="BN362" s="548" t="s">
        <v>1344</v>
      </c>
      <c r="BO362" s="157" t="s">
        <v>4576</v>
      </c>
      <c r="BP362" s="548" t="s">
        <v>4577</v>
      </c>
      <c r="BQ362" s="157" t="s">
        <v>4571</v>
      </c>
      <c r="BR362" s="157"/>
    </row>
    <row r="363" spans="1:70" x14ac:dyDescent="0.25">
      <c r="A363" s="19" t="s">
        <v>3686</v>
      </c>
      <c r="B363" s="37" t="s">
        <v>5558</v>
      </c>
      <c r="C363" s="90">
        <v>45419.646817129629</v>
      </c>
      <c r="D363" s="114">
        <v>45419.396817129629</v>
      </c>
      <c r="E363" s="38">
        <v>45419</v>
      </c>
      <c r="F363" s="91">
        <v>2024</v>
      </c>
      <c r="G363" s="93">
        <v>5</v>
      </c>
      <c r="H363" s="37" t="s">
        <v>5389</v>
      </c>
      <c r="I363" s="37"/>
      <c r="J363" s="103">
        <v>-91.865690099999995</v>
      </c>
      <c r="K363" s="40">
        <v>42.890242600000001</v>
      </c>
      <c r="L363" s="74"/>
      <c r="M363" s="272" t="s">
        <v>5559</v>
      </c>
      <c r="N363" s="74">
        <v>1</v>
      </c>
      <c r="O363" s="94"/>
      <c r="P363" s="118">
        <v>1</v>
      </c>
      <c r="Q363" s="510">
        <v>40</v>
      </c>
      <c r="R363" s="513">
        <v>120</v>
      </c>
      <c r="S363" s="41"/>
      <c r="T363" s="40"/>
      <c r="U363" s="40">
        <v>7</v>
      </c>
      <c r="V363" s="119">
        <v>0</v>
      </c>
      <c r="W363" s="40"/>
      <c r="X363" s="119">
        <v>0</v>
      </c>
      <c r="Y363" s="40"/>
      <c r="Z363" s="119">
        <v>1</v>
      </c>
      <c r="AA363" s="368">
        <v>0</v>
      </c>
      <c r="AB363" s="535">
        <v>20</v>
      </c>
      <c r="AC363" s="39" t="s">
        <v>160</v>
      </c>
      <c r="AD363" s="75" t="s">
        <v>10</v>
      </c>
      <c r="AE363" s="95">
        <v>0</v>
      </c>
      <c r="AF363" s="75">
        <v>0</v>
      </c>
      <c r="AG363" s="75">
        <v>0</v>
      </c>
      <c r="AH363" s="75">
        <v>0</v>
      </c>
      <c r="AI363" s="75">
        <v>0</v>
      </c>
      <c r="AJ363" s="75">
        <v>0</v>
      </c>
      <c r="AK363" s="75">
        <v>0</v>
      </c>
      <c r="AL363" s="95">
        <v>1</v>
      </c>
      <c r="AM363" s="92">
        <v>0</v>
      </c>
      <c r="AN363" s="79" t="s">
        <v>81</v>
      </c>
      <c r="AO363" s="75">
        <v>1</v>
      </c>
      <c r="AP363" s="75" t="s">
        <v>84</v>
      </c>
      <c r="AQ363" s="122">
        <v>1</v>
      </c>
      <c r="AR363" s="515" t="s">
        <v>2508</v>
      </c>
      <c r="AS363" s="95">
        <v>1</v>
      </c>
      <c r="AT363" s="75">
        <v>0</v>
      </c>
      <c r="AU363" s="75">
        <v>0</v>
      </c>
      <c r="AV363" s="75">
        <v>0</v>
      </c>
      <c r="AW363" s="123">
        <v>0</v>
      </c>
      <c r="AX363" s="516" t="s">
        <v>5560</v>
      </c>
      <c r="AY363" s="75">
        <v>1</v>
      </c>
      <c r="AZ363" s="77" t="s">
        <v>131</v>
      </c>
      <c r="BA363" s="78" t="s">
        <v>131</v>
      </c>
      <c r="BB363" s="78" t="s">
        <v>131</v>
      </c>
      <c r="BC363" s="78" t="s">
        <v>131</v>
      </c>
      <c r="BD363" s="78" t="s">
        <v>131</v>
      </c>
      <c r="BE363" s="78" t="s">
        <v>131</v>
      </c>
      <c r="BF363" s="78" t="s">
        <v>131</v>
      </c>
      <c r="BG363" s="78" t="s">
        <v>132</v>
      </c>
      <c r="BH363" s="75" t="s">
        <v>5970</v>
      </c>
      <c r="BI363" s="295" t="s">
        <v>4030</v>
      </c>
      <c r="BJ363" s="546" t="s">
        <v>16</v>
      </c>
      <c r="BK363" s="294" t="s">
        <v>16</v>
      </c>
      <c r="BL363" s="157" t="s">
        <v>16</v>
      </c>
      <c r="BM363" s="548" t="s">
        <v>1347</v>
      </c>
      <c r="BN363" s="548" t="s">
        <v>1344</v>
      </c>
      <c r="BO363" s="157" t="s">
        <v>4576</v>
      </c>
      <c r="BP363" s="548" t="s">
        <v>4577</v>
      </c>
      <c r="BQ363" s="157" t="s">
        <v>4571</v>
      </c>
      <c r="BR363" s="157"/>
    </row>
    <row r="364" spans="1:70" x14ac:dyDescent="0.25">
      <c r="A364" s="19" t="s">
        <v>3686</v>
      </c>
      <c r="B364" s="37" t="s">
        <v>5561</v>
      </c>
      <c r="C364" s="90">
        <v>45419.629560185182</v>
      </c>
      <c r="D364" s="114">
        <v>45419.379560185182</v>
      </c>
      <c r="E364" s="38">
        <v>45419</v>
      </c>
      <c r="F364" s="91">
        <v>2024</v>
      </c>
      <c r="G364" s="93">
        <v>5</v>
      </c>
      <c r="H364" s="37" t="s">
        <v>5389</v>
      </c>
      <c r="I364" s="37"/>
      <c r="J364" s="103">
        <v>-91.870803600000002</v>
      </c>
      <c r="K364" s="40">
        <v>42.847243800000001</v>
      </c>
      <c r="L364" s="74"/>
      <c r="M364" s="272" t="s">
        <v>5562</v>
      </c>
      <c r="N364" s="74">
        <v>1</v>
      </c>
      <c r="O364" s="94"/>
      <c r="P364" s="118">
        <v>1</v>
      </c>
      <c r="Q364" s="510">
        <v>40</v>
      </c>
      <c r="R364" s="513">
        <v>0</v>
      </c>
      <c r="S364" s="41"/>
      <c r="T364" s="40"/>
      <c r="U364" s="40">
        <v>7</v>
      </c>
      <c r="V364" s="119">
        <v>1</v>
      </c>
      <c r="W364" s="40">
        <v>100</v>
      </c>
      <c r="X364" s="119">
        <v>0</v>
      </c>
      <c r="Y364" s="40"/>
      <c r="Z364" s="119">
        <v>1</v>
      </c>
      <c r="AA364" s="368">
        <v>0</v>
      </c>
      <c r="AB364" s="535">
        <v>10</v>
      </c>
      <c r="AC364" s="39" t="s">
        <v>160</v>
      </c>
      <c r="AD364" s="75" t="s">
        <v>365</v>
      </c>
      <c r="AE364" s="95">
        <v>0</v>
      </c>
      <c r="AF364" s="75">
        <v>1</v>
      </c>
      <c r="AG364" s="75">
        <v>1</v>
      </c>
      <c r="AH364" s="75">
        <v>0</v>
      </c>
      <c r="AI364" s="75">
        <v>0</v>
      </c>
      <c r="AJ364" s="75">
        <v>0</v>
      </c>
      <c r="AK364" s="75">
        <v>0</v>
      </c>
      <c r="AL364" s="95">
        <v>0</v>
      </c>
      <c r="AM364" s="92">
        <v>0</v>
      </c>
      <c r="AN364" s="79" t="s">
        <v>81</v>
      </c>
      <c r="AO364" s="75">
        <v>1</v>
      </c>
      <c r="AP364" s="75" t="s">
        <v>84</v>
      </c>
      <c r="AQ364" s="122">
        <v>1</v>
      </c>
      <c r="AR364" s="515" t="s">
        <v>13</v>
      </c>
      <c r="AS364" s="95">
        <v>1</v>
      </c>
      <c r="AT364" s="75">
        <v>0</v>
      </c>
      <c r="AU364" s="75">
        <v>0</v>
      </c>
      <c r="AV364" s="75">
        <v>0</v>
      </c>
      <c r="AW364" s="123">
        <v>0</v>
      </c>
      <c r="AX364" s="516" t="s">
        <v>5563</v>
      </c>
      <c r="AY364" s="75">
        <v>1</v>
      </c>
      <c r="AZ364" s="77" t="s">
        <v>131</v>
      </c>
      <c r="BA364" s="78" t="s">
        <v>132</v>
      </c>
      <c r="BB364" s="78" t="s">
        <v>132</v>
      </c>
      <c r="BC364" s="78" t="s">
        <v>131</v>
      </c>
      <c r="BD364" s="78" t="s">
        <v>131</v>
      </c>
      <c r="BE364" s="78" t="s">
        <v>131</v>
      </c>
      <c r="BF364" s="78" t="s">
        <v>131</v>
      </c>
      <c r="BG364" s="78" t="s">
        <v>131</v>
      </c>
      <c r="BH364" s="75" t="s">
        <v>5970</v>
      </c>
      <c r="BI364" s="295">
        <v>0</v>
      </c>
      <c r="BJ364" s="546" t="s">
        <v>16</v>
      </c>
      <c r="BK364" s="294" t="s">
        <v>16</v>
      </c>
      <c r="BL364" s="157" t="s">
        <v>16</v>
      </c>
      <c r="BM364" s="548" t="s">
        <v>1347</v>
      </c>
      <c r="BN364" s="548" t="s">
        <v>1344</v>
      </c>
      <c r="BO364" s="157" t="s">
        <v>4576</v>
      </c>
      <c r="BP364" s="548" t="s">
        <v>4577</v>
      </c>
      <c r="BQ364" s="157" t="s">
        <v>4571</v>
      </c>
      <c r="BR364" s="157"/>
    </row>
    <row r="365" spans="1:70" x14ac:dyDescent="0.25">
      <c r="A365" s="19" t="s">
        <v>3686</v>
      </c>
      <c r="B365" s="37" t="s">
        <v>5564</v>
      </c>
      <c r="C365" s="90">
        <v>45419.619444444441</v>
      </c>
      <c r="D365" s="114">
        <v>45419.369444444441</v>
      </c>
      <c r="E365" s="38">
        <v>45419</v>
      </c>
      <c r="F365" s="91">
        <v>2024</v>
      </c>
      <c r="G365" s="93">
        <v>5</v>
      </c>
      <c r="H365" s="37" t="s">
        <v>5389</v>
      </c>
      <c r="I365" s="37"/>
      <c r="J365" s="103">
        <v>-91.835832600000003</v>
      </c>
      <c r="K365" s="40">
        <v>42.845439499999998</v>
      </c>
      <c r="L365" s="74"/>
      <c r="M365" s="272" t="s">
        <v>5565</v>
      </c>
      <c r="N365" s="74">
        <v>1</v>
      </c>
      <c r="O365" s="94"/>
      <c r="P365" s="118">
        <v>1</v>
      </c>
      <c r="Q365" s="510">
        <v>40</v>
      </c>
      <c r="R365" s="513">
        <v>120</v>
      </c>
      <c r="S365" s="41"/>
      <c r="T365" s="40"/>
      <c r="U365" s="40">
        <v>7</v>
      </c>
      <c r="V365" s="119">
        <v>1</v>
      </c>
      <c r="W365" s="40">
        <v>100</v>
      </c>
      <c r="X365" s="119">
        <v>0</v>
      </c>
      <c r="Y365" s="40"/>
      <c r="Z365" s="119">
        <v>1</v>
      </c>
      <c r="AA365" s="368">
        <v>0</v>
      </c>
      <c r="AB365" s="535">
        <v>10</v>
      </c>
      <c r="AC365" s="39" t="s">
        <v>160</v>
      </c>
      <c r="AD365" s="75" t="s">
        <v>365</v>
      </c>
      <c r="AE365" s="95">
        <v>0</v>
      </c>
      <c r="AF365" s="75">
        <v>1</v>
      </c>
      <c r="AG365" s="75">
        <v>1</v>
      </c>
      <c r="AH365" s="75">
        <v>0</v>
      </c>
      <c r="AI365" s="75">
        <v>0</v>
      </c>
      <c r="AJ365" s="75">
        <v>0</v>
      </c>
      <c r="AK365" s="75">
        <v>0</v>
      </c>
      <c r="AL365" s="95">
        <v>0</v>
      </c>
      <c r="AM365" s="92">
        <v>0</v>
      </c>
      <c r="AN365" s="79" t="s">
        <v>81</v>
      </c>
      <c r="AO365" s="75">
        <v>1</v>
      </c>
      <c r="AP365" s="75" t="s">
        <v>84</v>
      </c>
      <c r="AQ365" s="122">
        <v>1</v>
      </c>
      <c r="AR365" s="515" t="s">
        <v>13</v>
      </c>
      <c r="AS365" s="95">
        <v>1</v>
      </c>
      <c r="AT365" s="75">
        <v>0</v>
      </c>
      <c r="AU365" s="75">
        <v>0</v>
      </c>
      <c r="AV365" s="75">
        <v>0</v>
      </c>
      <c r="AW365" s="123">
        <v>0</v>
      </c>
      <c r="AX365" s="516" t="s">
        <v>5566</v>
      </c>
      <c r="AY365" s="75">
        <v>1</v>
      </c>
      <c r="AZ365" s="77" t="s">
        <v>131</v>
      </c>
      <c r="BA365" s="78" t="s">
        <v>132</v>
      </c>
      <c r="BB365" s="78" t="s">
        <v>132</v>
      </c>
      <c r="BC365" s="78" t="s">
        <v>131</v>
      </c>
      <c r="BD365" s="78" t="s">
        <v>131</v>
      </c>
      <c r="BE365" s="78" t="s">
        <v>131</v>
      </c>
      <c r="BF365" s="78" t="s">
        <v>131</v>
      </c>
      <c r="BG365" s="78" t="s">
        <v>131</v>
      </c>
      <c r="BH365" s="75" t="s">
        <v>5970</v>
      </c>
      <c r="BI365" s="295" t="s">
        <v>4030</v>
      </c>
      <c r="BJ365" s="546">
        <v>1</v>
      </c>
      <c r="BK365" s="294" t="s">
        <v>16</v>
      </c>
      <c r="BL365" s="157" t="s">
        <v>16</v>
      </c>
      <c r="BM365" s="548" t="s">
        <v>1344</v>
      </c>
      <c r="BN365" s="548" t="s">
        <v>1344</v>
      </c>
      <c r="BO365" s="157" t="s">
        <v>4576</v>
      </c>
      <c r="BP365" s="548" t="s">
        <v>4577</v>
      </c>
      <c r="BQ365" s="157" t="s">
        <v>4571</v>
      </c>
      <c r="BR365" s="157"/>
    </row>
    <row r="366" spans="1:70" x14ac:dyDescent="0.25">
      <c r="A366" s="19" t="s">
        <v>3686</v>
      </c>
      <c r="B366" s="37" t="s">
        <v>5567</v>
      </c>
      <c r="C366" s="90">
        <v>45419.60670138889</v>
      </c>
      <c r="D366" s="114">
        <v>45419.35670138889</v>
      </c>
      <c r="E366" s="38">
        <v>45419</v>
      </c>
      <c r="F366" s="91">
        <v>2024</v>
      </c>
      <c r="G366" s="93">
        <v>5</v>
      </c>
      <c r="H366" s="37" t="s">
        <v>5389</v>
      </c>
      <c r="I366" s="37"/>
      <c r="J366" s="103">
        <v>-91.819112099999998</v>
      </c>
      <c r="K366" s="40">
        <v>42.843298900000001</v>
      </c>
      <c r="L366" s="74"/>
      <c r="M366" s="272" t="s">
        <v>5568</v>
      </c>
      <c r="N366" s="74">
        <v>1</v>
      </c>
      <c r="O366" s="94"/>
      <c r="P366" s="118">
        <v>1</v>
      </c>
      <c r="Q366" s="510">
        <v>40</v>
      </c>
      <c r="R366" s="513">
        <v>180</v>
      </c>
      <c r="S366" s="41"/>
      <c r="T366" s="40"/>
      <c r="U366" s="40">
        <v>6.5</v>
      </c>
      <c r="V366" s="119">
        <v>1</v>
      </c>
      <c r="W366" s="40">
        <v>100</v>
      </c>
      <c r="X366" s="119">
        <v>0</v>
      </c>
      <c r="Y366" s="40"/>
      <c r="Z366" s="119">
        <v>1</v>
      </c>
      <c r="AA366" s="368">
        <v>0</v>
      </c>
      <c r="AB366" s="535">
        <v>10</v>
      </c>
      <c r="AC366" s="39" t="s">
        <v>160</v>
      </c>
      <c r="AD366" s="75" t="s">
        <v>8</v>
      </c>
      <c r="AE366" s="95">
        <v>0</v>
      </c>
      <c r="AF366" s="75">
        <v>1</v>
      </c>
      <c r="AG366" s="75">
        <v>0</v>
      </c>
      <c r="AH366" s="75">
        <v>0</v>
      </c>
      <c r="AI366" s="75">
        <v>0</v>
      </c>
      <c r="AJ366" s="75">
        <v>0</v>
      </c>
      <c r="AK366" s="75">
        <v>0</v>
      </c>
      <c r="AL366" s="95">
        <v>0</v>
      </c>
      <c r="AM366" s="92">
        <v>0</v>
      </c>
      <c r="AN366" s="79" t="s">
        <v>81</v>
      </c>
      <c r="AO366" s="75">
        <v>1</v>
      </c>
      <c r="AP366" s="75"/>
      <c r="AQ366" s="122">
        <v>0</v>
      </c>
      <c r="AR366" s="515" t="s">
        <v>13</v>
      </c>
      <c r="AS366" s="95">
        <v>1</v>
      </c>
      <c r="AT366" s="75">
        <v>0</v>
      </c>
      <c r="AU366" s="75">
        <v>0</v>
      </c>
      <c r="AV366" s="75">
        <v>0</v>
      </c>
      <c r="AW366" s="123">
        <v>0</v>
      </c>
      <c r="AX366" s="516" t="s">
        <v>5569</v>
      </c>
      <c r="AY366" s="75">
        <v>1</v>
      </c>
      <c r="AZ366" s="77" t="s">
        <v>131</v>
      </c>
      <c r="BA366" s="78" t="s">
        <v>132</v>
      </c>
      <c r="BB366" s="78" t="s">
        <v>131</v>
      </c>
      <c r="BC366" s="78" t="s">
        <v>131</v>
      </c>
      <c r="BD366" s="78" t="s">
        <v>131</v>
      </c>
      <c r="BE366" s="78" t="s">
        <v>131</v>
      </c>
      <c r="BF366" s="78" t="s">
        <v>131</v>
      </c>
      <c r="BG366" s="78" t="s">
        <v>131</v>
      </c>
      <c r="BH366" s="75" t="s">
        <v>5970</v>
      </c>
      <c r="BI366" s="295" t="s">
        <v>2284</v>
      </c>
      <c r="BJ366" s="546">
        <v>1</v>
      </c>
      <c r="BK366" s="294" t="s">
        <v>16</v>
      </c>
      <c r="BL366" s="157" t="s">
        <v>16</v>
      </c>
      <c r="BM366" s="548" t="s">
        <v>1344</v>
      </c>
      <c r="BN366" s="548" t="s">
        <v>1344</v>
      </c>
      <c r="BO366" s="157" t="s">
        <v>4572</v>
      </c>
      <c r="BP366" s="548" t="s">
        <v>4574</v>
      </c>
      <c r="BQ366" s="157" t="s">
        <v>4571</v>
      </c>
      <c r="BR366" s="157"/>
    </row>
    <row r="367" spans="1:70" x14ac:dyDescent="0.25">
      <c r="A367" s="19" t="s">
        <v>3686</v>
      </c>
      <c r="B367" s="37" t="s">
        <v>5570</v>
      </c>
      <c r="C367" s="90">
        <v>45418.930312500001</v>
      </c>
      <c r="D367" s="114">
        <v>45418.680312500001</v>
      </c>
      <c r="E367" s="38">
        <v>45418</v>
      </c>
      <c r="F367" s="91">
        <v>2024</v>
      </c>
      <c r="G367" s="93">
        <v>5</v>
      </c>
      <c r="H367" s="37" t="s">
        <v>5389</v>
      </c>
      <c r="I367" s="37"/>
      <c r="J367" s="103">
        <v>-91.947840400000004</v>
      </c>
      <c r="K367" s="40">
        <v>42.847297699999999</v>
      </c>
      <c r="L367" s="74"/>
      <c r="M367" s="272" t="s">
        <v>5571</v>
      </c>
      <c r="N367" s="74">
        <v>1</v>
      </c>
      <c r="O367" s="94"/>
      <c r="P367" s="118">
        <v>1</v>
      </c>
      <c r="Q367" s="510">
        <v>80</v>
      </c>
      <c r="R367" s="513">
        <v>180</v>
      </c>
      <c r="S367" s="41"/>
      <c r="T367" s="40"/>
      <c r="U367" s="40">
        <v>6.5</v>
      </c>
      <c r="V367" s="119">
        <v>1</v>
      </c>
      <c r="W367" s="40">
        <v>0</v>
      </c>
      <c r="X367" s="119">
        <v>0</v>
      </c>
      <c r="Y367" s="40"/>
      <c r="Z367" s="119">
        <v>1</v>
      </c>
      <c r="AA367" s="368">
        <v>0</v>
      </c>
      <c r="AB367" s="535">
        <v>10</v>
      </c>
      <c r="AC367" s="39" t="s">
        <v>160</v>
      </c>
      <c r="AD367" s="75" t="s">
        <v>8</v>
      </c>
      <c r="AE367" s="95">
        <v>0</v>
      </c>
      <c r="AF367" s="75">
        <v>1</v>
      </c>
      <c r="AG367" s="75">
        <v>0</v>
      </c>
      <c r="AH367" s="75">
        <v>0</v>
      </c>
      <c r="AI367" s="75">
        <v>0</v>
      </c>
      <c r="AJ367" s="75">
        <v>0</v>
      </c>
      <c r="AK367" s="75">
        <v>0</v>
      </c>
      <c r="AL367" s="95">
        <v>0</v>
      </c>
      <c r="AM367" s="92">
        <v>0</v>
      </c>
      <c r="AN367" s="79" t="s">
        <v>81</v>
      </c>
      <c r="AO367" s="75">
        <v>1</v>
      </c>
      <c r="AP367" s="75" t="s">
        <v>84</v>
      </c>
      <c r="AQ367" s="122">
        <v>1</v>
      </c>
      <c r="AR367" s="515" t="s">
        <v>10</v>
      </c>
      <c r="AS367" s="95">
        <v>0</v>
      </c>
      <c r="AT367" s="75">
        <v>0</v>
      </c>
      <c r="AU367" s="75">
        <v>0</v>
      </c>
      <c r="AV367" s="75">
        <v>0</v>
      </c>
      <c r="AW367" s="123">
        <v>0</v>
      </c>
      <c r="AX367" s="516" t="s">
        <v>5572</v>
      </c>
      <c r="AY367" s="75">
        <v>1</v>
      </c>
      <c r="AZ367" s="77" t="s">
        <v>131</v>
      </c>
      <c r="BA367" s="78" t="s">
        <v>132</v>
      </c>
      <c r="BB367" s="78" t="s">
        <v>131</v>
      </c>
      <c r="BC367" s="78" t="s">
        <v>131</v>
      </c>
      <c r="BD367" s="78" t="s">
        <v>131</v>
      </c>
      <c r="BE367" s="78" t="s">
        <v>131</v>
      </c>
      <c r="BF367" s="78" t="s">
        <v>131</v>
      </c>
      <c r="BG367" s="78" t="s">
        <v>131</v>
      </c>
      <c r="BH367" s="75" t="s">
        <v>5970</v>
      </c>
      <c r="BI367" s="295" t="s">
        <v>2284</v>
      </c>
      <c r="BJ367" s="546">
        <v>1</v>
      </c>
      <c r="BK367" s="294" t="s">
        <v>16</v>
      </c>
      <c r="BL367" s="157" t="s">
        <v>16</v>
      </c>
      <c r="BM367" s="548" t="s">
        <v>1347</v>
      </c>
      <c r="BN367" s="548" t="s">
        <v>1344</v>
      </c>
      <c r="BO367" s="157" t="s">
        <v>4578</v>
      </c>
      <c r="BP367" s="548" t="s">
        <v>4573</v>
      </c>
      <c r="BQ367" s="157" t="s">
        <v>4571</v>
      </c>
      <c r="BR367" s="157"/>
    </row>
    <row r="368" spans="1:70" x14ac:dyDescent="0.25">
      <c r="A368" s="19" t="s">
        <v>3686</v>
      </c>
      <c r="B368" s="37" t="s">
        <v>5573</v>
      </c>
      <c r="C368" s="90">
        <v>45418.915613425925</v>
      </c>
      <c r="D368" s="114">
        <v>45418.665613425925</v>
      </c>
      <c r="E368" s="38">
        <v>45418</v>
      </c>
      <c r="F368" s="91">
        <v>2024</v>
      </c>
      <c r="G368" s="93">
        <v>5</v>
      </c>
      <c r="H368" s="37" t="s">
        <v>5389</v>
      </c>
      <c r="I368" s="37"/>
      <c r="J368" s="103">
        <v>-91.977284400000002</v>
      </c>
      <c r="K368" s="40">
        <v>42.890940800000003</v>
      </c>
      <c r="L368" s="74"/>
      <c r="M368" s="272" t="s">
        <v>5574</v>
      </c>
      <c r="N368" s="74">
        <v>1</v>
      </c>
      <c r="O368" s="94"/>
      <c r="P368" s="118">
        <v>1</v>
      </c>
      <c r="Q368" s="510">
        <v>40</v>
      </c>
      <c r="R368" s="513">
        <v>180</v>
      </c>
      <c r="S368" s="41"/>
      <c r="T368" s="40"/>
      <c r="U368" s="40">
        <v>7</v>
      </c>
      <c r="V368" s="119">
        <v>0</v>
      </c>
      <c r="W368" s="40"/>
      <c r="X368" s="119">
        <v>0</v>
      </c>
      <c r="Y368" s="40"/>
      <c r="Z368" s="119">
        <v>1</v>
      </c>
      <c r="AA368" s="368">
        <v>0</v>
      </c>
      <c r="AB368" s="535">
        <v>20</v>
      </c>
      <c r="AC368" s="39" t="s">
        <v>160</v>
      </c>
      <c r="AD368" s="75" t="s">
        <v>365</v>
      </c>
      <c r="AE368" s="95">
        <v>0</v>
      </c>
      <c r="AF368" s="75">
        <v>1</v>
      </c>
      <c r="AG368" s="75">
        <v>1</v>
      </c>
      <c r="AH368" s="75">
        <v>0</v>
      </c>
      <c r="AI368" s="75">
        <v>0</v>
      </c>
      <c r="AJ368" s="75">
        <v>0</v>
      </c>
      <c r="AK368" s="75">
        <v>0</v>
      </c>
      <c r="AL368" s="95">
        <v>0</v>
      </c>
      <c r="AM368" s="92">
        <v>0</v>
      </c>
      <c r="AN368" s="79" t="s">
        <v>81</v>
      </c>
      <c r="AO368" s="75">
        <v>1</v>
      </c>
      <c r="AP368" s="75"/>
      <c r="AQ368" s="122">
        <v>0</v>
      </c>
      <c r="AR368" s="515" t="s">
        <v>10</v>
      </c>
      <c r="AS368" s="95">
        <v>0</v>
      </c>
      <c r="AT368" s="75">
        <v>0</v>
      </c>
      <c r="AU368" s="75">
        <v>0</v>
      </c>
      <c r="AV368" s="75">
        <v>0</v>
      </c>
      <c r="AW368" s="123">
        <v>0</v>
      </c>
      <c r="AX368" s="516" t="s">
        <v>5575</v>
      </c>
      <c r="AY368" s="75">
        <v>1</v>
      </c>
      <c r="AZ368" s="77" t="s">
        <v>131</v>
      </c>
      <c r="BA368" s="78" t="s">
        <v>132</v>
      </c>
      <c r="BB368" s="78" t="s">
        <v>132</v>
      </c>
      <c r="BC368" s="78" t="s">
        <v>131</v>
      </c>
      <c r="BD368" s="78" t="s">
        <v>131</v>
      </c>
      <c r="BE368" s="78" t="s">
        <v>131</v>
      </c>
      <c r="BF368" s="78" t="s">
        <v>131</v>
      </c>
      <c r="BG368" s="78" t="s">
        <v>131</v>
      </c>
      <c r="BH368" s="75" t="s">
        <v>5970</v>
      </c>
      <c r="BI368" s="295">
        <v>0</v>
      </c>
      <c r="BJ368" s="546" t="s">
        <v>16</v>
      </c>
      <c r="BK368" s="294" t="s">
        <v>16</v>
      </c>
      <c r="BL368" s="157" t="s">
        <v>16</v>
      </c>
      <c r="BM368" s="548" t="s">
        <v>1348</v>
      </c>
      <c r="BN368" s="548" t="s">
        <v>1344</v>
      </c>
      <c r="BO368" s="157" t="s">
        <v>4578</v>
      </c>
      <c r="BP368" s="548" t="s">
        <v>4573</v>
      </c>
      <c r="BQ368" s="157" t="s">
        <v>4571</v>
      </c>
      <c r="BR368" s="157"/>
    </row>
    <row r="369" spans="1:70" x14ac:dyDescent="0.25">
      <c r="A369" s="19" t="s">
        <v>3686</v>
      </c>
      <c r="B369" s="37" t="s">
        <v>5576</v>
      </c>
      <c r="C369" s="90">
        <v>45418.900995370372</v>
      </c>
      <c r="D369" s="114">
        <v>45418.650995370372</v>
      </c>
      <c r="E369" s="38">
        <v>45418</v>
      </c>
      <c r="F369" s="91">
        <v>2024</v>
      </c>
      <c r="G369" s="93">
        <v>5</v>
      </c>
      <c r="H369" s="37" t="s">
        <v>5389</v>
      </c>
      <c r="I369" s="37"/>
      <c r="J369" s="103">
        <v>-91.960412000000005</v>
      </c>
      <c r="K369" s="40">
        <v>42.862059000000002</v>
      </c>
      <c r="L369" s="74"/>
      <c r="M369" s="272" t="s">
        <v>5577</v>
      </c>
      <c r="N369" s="74">
        <v>1</v>
      </c>
      <c r="O369" s="94"/>
      <c r="P369" s="118">
        <v>1</v>
      </c>
      <c r="Q369" s="510">
        <v>80</v>
      </c>
      <c r="R369" s="513">
        <v>180</v>
      </c>
      <c r="S369" s="41"/>
      <c r="T369" s="40"/>
      <c r="U369" s="40">
        <v>6.5</v>
      </c>
      <c r="V369" s="119">
        <v>0</v>
      </c>
      <c r="W369" s="40"/>
      <c r="X369" s="119">
        <v>0</v>
      </c>
      <c r="Y369" s="40"/>
      <c r="Z369" s="119">
        <v>1</v>
      </c>
      <c r="AA369" s="368">
        <v>0</v>
      </c>
      <c r="AB369" s="535">
        <v>5</v>
      </c>
      <c r="AC369" s="39" t="s">
        <v>160</v>
      </c>
      <c r="AD369" s="75" t="s">
        <v>10</v>
      </c>
      <c r="AE369" s="95">
        <v>0</v>
      </c>
      <c r="AF369" s="75">
        <v>0</v>
      </c>
      <c r="AG369" s="75">
        <v>0</v>
      </c>
      <c r="AH369" s="75">
        <v>0</v>
      </c>
      <c r="AI369" s="75">
        <v>0</v>
      </c>
      <c r="AJ369" s="75">
        <v>0</v>
      </c>
      <c r="AK369" s="75">
        <v>0</v>
      </c>
      <c r="AL369" s="95">
        <v>1</v>
      </c>
      <c r="AM369" s="92">
        <v>0</v>
      </c>
      <c r="AN369" s="79" t="s">
        <v>81</v>
      </c>
      <c r="AO369" s="75">
        <v>1</v>
      </c>
      <c r="AP369" s="75" t="s">
        <v>83</v>
      </c>
      <c r="AQ369" s="122">
        <v>1</v>
      </c>
      <c r="AR369" s="515" t="s">
        <v>10</v>
      </c>
      <c r="AS369" s="95">
        <v>0</v>
      </c>
      <c r="AT369" s="75">
        <v>0</v>
      </c>
      <c r="AU369" s="75">
        <v>0</v>
      </c>
      <c r="AV369" s="75">
        <v>0</v>
      </c>
      <c r="AW369" s="123">
        <v>0</v>
      </c>
      <c r="AX369" s="516" t="s">
        <v>5578</v>
      </c>
      <c r="AY369" s="75">
        <v>1</v>
      </c>
      <c r="AZ369" s="77" t="s">
        <v>131</v>
      </c>
      <c r="BA369" s="78" t="s">
        <v>131</v>
      </c>
      <c r="BB369" s="78" t="s">
        <v>131</v>
      </c>
      <c r="BC369" s="78" t="s">
        <v>131</v>
      </c>
      <c r="BD369" s="78" t="s">
        <v>131</v>
      </c>
      <c r="BE369" s="78" t="s">
        <v>131</v>
      </c>
      <c r="BF369" s="78" t="s">
        <v>131</v>
      </c>
      <c r="BG369" s="78" t="s">
        <v>132</v>
      </c>
      <c r="BH369" s="75" t="s">
        <v>5970</v>
      </c>
      <c r="BI369" s="295">
        <v>0</v>
      </c>
      <c r="BJ369" s="546" t="s">
        <v>16</v>
      </c>
      <c r="BK369" s="294" t="s">
        <v>16</v>
      </c>
      <c r="BL369" s="157" t="s">
        <v>16</v>
      </c>
      <c r="BM369" s="548" t="s">
        <v>1348</v>
      </c>
      <c r="BN369" s="548" t="s">
        <v>1344</v>
      </c>
      <c r="BO369" s="157" t="s">
        <v>4578</v>
      </c>
      <c r="BP369" s="548" t="s">
        <v>4573</v>
      </c>
      <c r="BQ369" s="157" t="s">
        <v>4571</v>
      </c>
      <c r="BR369" s="157"/>
    </row>
    <row r="370" spans="1:70" x14ac:dyDescent="0.25">
      <c r="A370" s="19" t="s">
        <v>3686</v>
      </c>
      <c r="B370" s="37" t="s">
        <v>5579</v>
      </c>
      <c r="C370" s="90">
        <v>45418.890590277777</v>
      </c>
      <c r="D370" s="114">
        <v>45418.640590277777</v>
      </c>
      <c r="E370" s="38">
        <v>45418</v>
      </c>
      <c r="F370" s="91">
        <v>2024</v>
      </c>
      <c r="G370" s="93">
        <v>5</v>
      </c>
      <c r="H370" s="37" t="s">
        <v>5389</v>
      </c>
      <c r="I370" s="37"/>
      <c r="J370" s="103">
        <v>-91.9773383</v>
      </c>
      <c r="K370" s="40">
        <v>42.862026499999999</v>
      </c>
      <c r="L370" s="74"/>
      <c r="M370" s="272" t="s">
        <v>5580</v>
      </c>
      <c r="N370" s="74">
        <v>1</v>
      </c>
      <c r="O370" s="94"/>
      <c r="P370" s="118">
        <v>1</v>
      </c>
      <c r="Q370" s="510">
        <v>40</v>
      </c>
      <c r="R370" s="513">
        <v>180</v>
      </c>
      <c r="S370" s="41"/>
      <c r="T370" s="40"/>
      <c r="U370" s="40">
        <v>7.5</v>
      </c>
      <c r="V370" s="119">
        <v>1</v>
      </c>
      <c r="W370" s="40">
        <v>100</v>
      </c>
      <c r="X370" s="119">
        <v>0</v>
      </c>
      <c r="Y370" s="40"/>
      <c r="Z370" s="119">
        <v>1</v>
      </c>
      <c r="AA370" s="368">
        <v>0</v>
      </c>
      <c r="AB370" s="535">
        <v>20</v>
      </c>
      <c r="AC370" s="39" t="s">
        <v>160</v>
      </c>
      <c r="AD370" s="75" t="s">
        <v>365</v>
      </c>
      <c r="AE370" s="95">
        <v>0</v>
      </c>
      <c r="AF370" s="75">
        <v>1</v>
      </c>
      <c r="AG370" s="75">
        <v>1</v>
      </c>
      <c r="AH370" s="75">
        <v>0</v>
      </c>
      <c r="AI370" s="75">
        <v>0</v>
      </c>
      <c r="AJ370" s="75">
        <v>0</v>
      </c>
      <c r="AK370" s="75">
        <v>0</v>
      </c>
      <c r="AL370" s="95">
        <v>0</v>
      </c>
      <c r="AM370" s="92">
        <v>0</v>
      </c>
      <c r="AN370" s="79" t="s">
        <v>81</v>
      </c>
      <c r="AO370" s="75">
        <v>1</v>
      </c>
      <c r="AP370" s="75" t="s">
        <v>84</v>
      </c>
      <c r="AQ370" s="122">
        <v>1</v>
      </c>
      <c r="AR370" s="515" t="s">
        <v>10</v>
      </c>
      <c r="AS370" s="95">
        <v>0</v>
      </c>
      <c r="AT370" s="75">
        <v>0</v>
      </c>
      <c r="AU370" s="75">
        <v>0</v>
      </c>
      <c r="AV370" s="75">
        <v>0</v>
      </c>
      <c r="AW370" s="123">
        <v>0</v>
      </c>
      <c r="AX370" s="516" t="s">
        <v>5581</v>
      </c>
      <c r="AY370" s="75">
        <v>1</v>
      </c>
      <c r="AZ370" s="77" t="s">
        <v>131</v>
      </c>
      <c r="BA370" s="78" t="s">
        <v>132</v>
      </c>
      <c r="BB370" s="78" t="s">
        <v>132</v>
      </c>
      <c r="BC370" s="78" t="s">
        <v>131</v>
      </c>
      <c r="BD370" s="78" t="s">
        <v>131</v>
      </c>
      <c r="BE370" s="78" t="s">
        <v>131</v>
      </c>
      <c r="BF370" s="78" t="s">
        <v>131</v>
      </c>
      <c r="BG370" s="78" t="s">
        <v>131</v>
      </c>
      <c r="BH370" s="75" t="s">
        <v>5970</v>
      </c>
      <c r="BI370" s="295" t="s">
        <v>2284</v>
      </c>
      <c r="BJ370" s="546" t="s">
        <v>16</v>
      </c>
      <c r="BK370" s="294" t="s">
        <v>16</v>
      </c>
      <c r="BL370" s="157" t="s">
        <v>16</v>
      </c>
      <c r="BM370" s="548" t="s">
        <v>1348</v>
      </c>
      <c r="BN370" s="548" t="s">
        <v>1344</v>
      </c>
      <c r="BO370" s="157" t="s">
        <v>4578</v>
      </c>
      <c r="BP370" s="548" t="s">
        <v>4573</v>
      </c>
      <c r="BQ370" s="157" t="s">
        <v>4571</v>
      </c>
      <c r="BR370" s="157"/>
    </row>
    <row r="371" spans="1:70" x14ac:dyDescent="0.25">
      <c r="A371" s="19" t="s">
        <v>3686</v>
      </c>
      <c r="B371" s="37" t="s">
        <v>5582</v>
      </c>
      <c r="C371" s="90">
        <v>45418.876747685186</v>
      </c>
      <c r="D371" s="114">
        <v>45418.626747685186</v>
      </c>
      <c r="E371" s="38">
        <v>45418</v>
      </c>
      <c r="F371" s="91">
        <v>2024</v>
      </c>
      <c r="G371" s="93">
        <v>5</v>
      </c>
      <c r="H371" s="37" t="s">
        <v>5389</v>
      </c>
      <c r="I371" s="37"/>
      <c r="J371" s="103">
        <v>-91.983403999999993</v>
      </c>
      <c r="K371" s="40">
        <v>42.851429699999997</v>
      </c>
      <c r="L371" s="74"/>
      <c r="M371" s="272" t="s">
        <v>5583</v>
      </c>
      <c r="N371" s="74">
        <v>1</v>
      </c>
      <c r="O371" s="94"/>
      <c r="P371" s="118">
        <v>1</v>
      </c>
      <c r="Q371" s="510">
        <v>80</v>
      </c>
      <c r="R371" s="513">
        <v>180</v>
      </c>
      <c r="S371" s="41"/>
      <c r="T371" s="40"/>
      <c r="U371" s="40">
        <v>7</v>
      </c>
      <c r="V371" s="119">
        <v>1</v>
      </c>
      <c r="W371" s="40">
        <v>0</v>
      </c>
      <c r="X371" s="119">
        <v>0</v>
      </c>
      <c r="Y371" s="40"/>
      <c r="Z371" s="119">
        <v>1</v>
      </c>
      <c r="AA371" s="368">
        <v>0</v>
      </c>
      <c r="AB371" s="535">
        <v>20</v>
      </c>
      <c r="AC371" s="39" t="s">
        <v>160</v>
      </c>
      <c r="AD371" s="75" t="s">
        <v>8</v>
      </c>
      <c r="AE371" s="95">
        <v>0</v>
      </c>
      <c r="AF371" s="75">
        <v>1</v>
      </c>
      <c r="AG371" s="75">
        <v>0</v>
      </c>
      <c r="AH371" s="75">
        <v>0</v>
      </c>
      <c r="AI371" s="75">
        <v>0</v>
      </c>
      <c r="AJ371" s="75">
        <v>0</v>
      </c>
      <c r="AK371" s="75">
        <v>0</v>
      </c>
      <c r="AL371" s="95">
        <v>0</v>
      </c>
      <c r="AM371" s="92">
        <v>0</v>
      </c>
      <c r="AN371" s="79" t="s">
        <v>81</v>
      </c>
      <c r="AO371" s="75">
        <v>1</v>
      </c>
      <c r="AP371" s="75"/>
      <c r="AQ371" s="122">
        <v>0</v>
      </c>
      <c r="AR371" s="515" t="s">
        <v>10</v>
      </c>
      <c r="AS371" s="95">
        <v>0</v>
      </c>
      <c r="AT371" s="75">
        <v>0</v>
      </c>
      <c r="AU371" s="75">
        <v>0</v>
      </c>
      <c r="AV371" s="75">
        <v>0</v>
      </c>
      <c r="AW371" s="123">
        <v>0</v>
      </c>
      <c r="AX371" s="516" t="s">
        <v>5584</v>
      </c>
      <c r="AY371" s="75">
        <v>1</v>
      </c>
      <c r="AZ371" s="77" t="s">
        <v>131</v>
      </c>
      <c r="BA371" s="78" t="s">
        <v>132</v>
      </c>
      <c r="BB371" s="78" t="s">
        <v>131</v>
      </c>
      <c r="BC371" s="78" t="s">
        <v>131</v>
      </c>
      <c r="BD371" s="78" t="s">
        <v>131</v>
      </c>
      <c r="BE371" s="78" t="s">
        <v>131</v>
      </c>
      <c r="BF371" s="78" t="s">
        <v>131</v>
      </c>
      <c r="BG371" s="78" t="s">
        <v>131</v>
      </c>
      <c r="BH371" s="75" t="s">
        <v>5970</v>
      </c>
      <c r="BI371" s="295">
        <v>0</v>
      </c>
      <c r="BJ371" s="546" t="s">
        <v>16</v>
      </c>
      <c r="BK371" s="294" t="s">
        <v>16</v>
      </c>
      <c r="BL371" s="157" t="s">
        <v>16</v>
      </c>
      <c r="BM371" s="548" t="s">
        <v>1348</v>
      </c>
      <c r="BN371" s="548" t="s">
        <v>1344</v>
      </c>
      <c r="BO371" s="157" t="s">
        <v>4578</v>
      </c>
      <c r="BP371" s="548" t="s">
        <v>4573</v>
      </c>
      <c r="BQ371" s="157" t="s">
        <v>4571</v>
      </c>
      <c r="BR371" s="157"/>
    </row>
    <row r="372" spans="1:70" x14ac:dyDescent="0.25">
      <c r="A372" s="19" t="s">
        <v>3686</v>
      </c>
      <c r="B372" s="37" t="s">
        <v>5585</v>
      </c>
      <c r="C372" s="90">
        <v>45418.866180555553</v>
      </c>
      <c r="D372" s="114">
        <v>45418.616180555553</v>
      </c>
      <c r="E372" s="38">
        <v>45418</v>
      </c>
      <c r="F372" s="91">
        <v>2024</v>
      </c>
      <c r="G372" s="93">
        <v>5</v>
      </c>
      <c r="H372" s="37" t="s">
        <v>5389</v>
      </c>
      <c r="I372" s="37"/>
      <c r="J372" s="103">
        <v>-91.973487500000005</v>
      </c>
      <c r="K372" s="40">
        <v>42.847543399999999</v>
      </c>
      <c r="L372" s="74"/>
      <c r="M372" s="272" t="s">
        <v>5586</v>
      </c>
      <c r="N372" s="74">
        <v>1</v>
      </c>
      <c r="O372" s="94"/>
      <c r="P372" s="118">
        <v>1</v>
      </c>
      <c r="Q372" s="510">
        <v>80</v>
      </c>
      <c r="R372" s="513">
        <v>180</v>
      </c>
      <c r="S372" s="41"/>
      <c r="T372" s="40"/>
      <c r="U372" s="40">
        <v>6.5</v>
      </c>
      <c r="V372" s="119">
        <v>1</v>
      </c>
      <c r="W372" s="40">
        <v>0</v>
      </c>
      <c r="X372" s="119">
        <v>0</v>
      </c>
      <c r="Y372" s="40"/>
      <c r="Z372" s="119">
        <v>1</v>
      </c>
      <c r="AA372" s="368">
        <v>0</v>
      </c>
      <c r="AB372" s="535">
        <v>20</v>
      </c>
      <c r="AC372" s="39" t="s">
        <v>160</v>
      </c>
      <c r="AD372" s="75" t="s">
        <v>9</v>
      </c>
      <c r="AE372" s="95">
        <v>0</v>
      </c>
      <c r="AF372" s="75">
        <v>0</v>
      </c>
      <c r="AG372" s="75">
        <v>1</v>
      </c>
      <c r="AH372" s="75">
        <v>0</v>
      </c>
      <c r="AI372" s="75">
        <v>0</v>
      </c>
      <c r="AJ372" s="75">
        <v>0</v>
      </c>
      <c r="AK372" s="75">
        <v>0</v>
      </c>
      <c r="AL372" s="95">
        <v>0</v>
      </c>
      <c r="AM372" s="92">
        <v>0</v>
      </c>
      <c r="AN372" s="79" t="s">
        <v>80</v>
      </c>
      <c r="AO372" s="75">
        <v>1</v>
      </c>
      <c r="AP372" s="75" t="s">
        <v>83</v>
      </c>
      <c r="AQ372" s="122">
        <v>1</v>
      </c>
      <c r="AR372" s="515" t="s">
        <v>10</v>
      </c>
      <c r="AS372" s="95">
        <v>0</v>
      </c>
      <c r="AT372" s="75">
        <v>0</v>
      </c>
      <c r="AU372" s="75">
        <v>0</v>
      </c>
      <c r="AV372" s="75">
        <v>0</v>
      </c>
      <c r="AW372" s="123">
        <v>0</v>
      </c>
      <c r="AX372" s="516" t="s">
        <v>5587</v>
      </c>
      <c r="AY372" s="75">
        <v>1</v>
      </c>
      <c r="AZ372" s="77" t="s">
        <v>131</v>
      </c>
      <c r="BA372" s="78" t="s">
        <v>131</v>
      </c>
      <c r="BB372" s="78" t="s">
        <v>132</v>
      </c>
      <c r="BC372" s="78" t="s">
        <v>131</v>
      </c>
      <c r="BD372" s="78" t="s">
        <v>131</v>
      </c>
      <c r="BE372" s="78" t="s">
        <v>131</v>
      </c>
      <c r="BF372" s="78" t="s">
        <v>131</v>
      </c>
      <c r="BG372" s="78" t="s">
        <v>131</v>
      </c>
      <c r="BH372" s="75" t="s">
        <v>5970</v>
      </c>
      <c r="BI372" s="295" t="s">
        <v>16</v>
      </c>
      <c r="BJ372" s="546" t="s">
        <v>16</v>
      </c>
      <c r="BK372" s="294" t="s">
        <v>16</v>
      </c>
      <c r="BL372" s="157" t="s">
        <v>16</v>
      </c>
      <c r="BM372" s="548" t="s">
        <v>1348</v>
      </c>
      <c r="BN372" s="548" t="s">
        <v>1344</v>
      </c>
      <c r="BO372" s="157" t="s">
        <v>4578</v>
      </c>
      <c r="BP372" s="548" t="s">
        <v>4573</v>
      </c>
      <c r="BQ372" s="157" t="s">
        <v>4571</v>
      </c>
      <c r="BR372" s="157"/>
    </row>
    <row r="373" spans="1:70" x14ac:dyDescent="0.25">
      <c r="A373" s="19" t="s">
        <v>3686</v>
      </c>
      <c r="B373" s="37" t="s">
        <v>5588</v>
      </c>
      <c r="C373" s="90">
        <v>45418.854525462964</v>
      </c>
      <c r="D373" s="114">
        <v>45418.604525462964</v>
      </c>
      <c r="E373" s="38">
        <v>45418</v>
      </c>
      <c r="F373" s="91">
        <v>2024</v>
      </c>
      <c r="G373" s="93">
        <v>5</v>
      </c>
      <c r="H373" s="37" t="s">
        <v>5389</v>
      </c>
      <c r="I373" s="37"/>
      <c r="J373" s="103">
        <v>-91.930767500000002</v>
      </c>
      <c r="K373" s="40">
        <v>42.832675000000002</v>
      </c>
      <c r="L373" s="74"/>
      <c r="M373" s="272" t="s">
        <v>5589</v>
      </c>
      <c r="N373" s="74">
        <v>1</v>
      </c>
      <c r="O373" s="94"/>
      <c r="P373" s="118">
        <v>1</v>
      </c>
      <c r="Q373" s="510">
        <v>80</v>
      </c>
      <c r="R373" s="513">
        <v>180</v>
      </c>
      <c r="S373" s="41"/>
      <c r="T373" s="40"/>
      <c r="U373" s="40">
        <v>6.5</v>
      </c>
      <c r="V373" s="119">
        <v>1</v>
      </c>
      <c r="W373" s="40">
        <v>0</v>
      </c>
      <c r="X373" s="119">
        <v>0</v>
      </c>
      <c r="Y373" s="40"/>
      <c r="Z373" s="119">
        <v>1</v>
      </c>
      <c r="AA373" s="368">
        <v>0</v>
      </c>
      <c r="AB373" s="535">
        <v>20</v>
      </c>
      <c r="AC373" s="39" t="s">
        <v>160</v>
      </c>
      <c r="AD373" s="75" t="s">
        <v>8</v>
      </c>
      <c r="AE373" s="95">
        <v>0</v>
      </c>
      <c r="AF373" s="75">
        <v>1</v>
      </c>
      <c r="AG373" s="75">
        <v>0</v>
      </c>
      <c r="AH373" s="75">
        <v>0</v>
      </c>
      <c r="AI373" s="75">
        <v>0</v>
      </c>
      <c r="AJ373" s="75">
        <v>0</v>
      </c>
      <c r="AK373" s="75">
        <v>0</v>
      </c>
      <c r="AL373" s="95">
        <v>0</v>
      </c>
      <c r="AM373" s="92">
        <v>0</v>
      </c>
      <c r="AN373" s="79" t="s">
        <v>80</v>
      </c>
      <c r="AO373" s="75">
        <v>1</v>
      </c>
      <c r="AP373" s="75" t="s">
        <v>83</v>
      </c>
      <c r="AQ373" s="122">
        <v>1</v>
      </c>
      <c r="AR373" s="515" t="s">
        <v>10</v>
      </c>
      <c r="AS373" s="95">
        <v>0</v>
      </c>
      <c r="AT373" s="75">
        <v>0</v>
      </c>
      <c r="AU373" s="75">
        <v>0</v>
      </c>
      <c r="AV373" s="75">
        <v>0</v>
      </c>
      <c r="AW373" s="123">
        <v>0</v>
      </c>
      <c r="AX373" s="516" t="s">
        <v>5590</v>
      </c>
      <c r="AY373" s="75">
        <v>1</v>
      </c>
      <c r="AZ373" s="77" t="s">
        <v>131</v>
      </c>
      <c r="BA373" s="78" t="s">
        <v>132</v>
      </c>
      <c r="BB373" s="78" t="s">
        <v>131</v>
      </c>
      <c r="BC373" s="78" t="s">
        <v>131</v>
      </c>
      <c r="BD373" s="78" t="s">
        <v>131</v>
      </c>
      <c r="BE373" s="78" t="s">
        <v>131</v>
      </c>
      <c r="BF373" s="78" t="s">
        <v>131</v>
      </c>
      <c r="BG373" s="78" t="s">
        <v>131</v>
      </c>
      <c r="BH373" s="75" t="s">
        <v>5970</v>
      </c>
      <c r="BI373" s="295">
        <v>0</v>
      </c>
      <c r="BJ373" s="546" t="s">
        <v>16</v>
      </c>
      <c r="BK373" s="294" t="s">
        <v>16</v>
      </c>
      <c r="BL373" s="157" t="s">
        <v>16</v>
      </c>
      <c r="BM373" s="548" t="s">
        <v>1347</v>
      </c>
      <c r="BN373" s="548" t="s">
        <v>1344</v>
      </c>
      <c r="BO373" s="157" t="s">
        <v>4578</v>
      </c>
      <c r="BP373" s="548" t="s">
        <v>4573</v>
      </c>
      <c r="BQ373" s="157" t="s">
        <v>4571</v>
      </c>
      <c r="BR373" s="157"/>
    </row>
    <row r="374" spans="1:70" x14ac:dyDescent="0.25">
      <c r="A374" s="19" t="s">
        <v>3686</v>
      </c>
      <c r="B374" s="37" t="s">
        <v>5591</v>
      </c>
      <c r="C374" s="90">
        <v>45418.837546296294</v>
      </c>
      <c r="D374" s="114">
        <v>45418.587546296294</v>
      </c>
      <c r="E374" s="38">
        <v>45418</v>
      </c>
      <c r="F374" s="91">
        <v>2024</v>
      </c>
      <c r="G374" s="93">
        <v>5</v>
      </c>
      <c r="H374" s="37" t="s">
        <v>5389</v>
      </c>
      <c r="I374" s="37"/>
      <c r="J374" s="103">
        <v>-91.879588799999993</v>
      </c>
      <c r="K374" s="40">
        <v>42.8178026</v>
      </c>
      <c r="L374" s="74"/>
      <c r="M374" s="272" t="s">
        <v>5592</v>
      </c>
      <c r="N374" s="74">
        <v>1</v>
      </c>
      <c r="O374" s="94"/>
      <c r="P374" s="118">
        <v>1</v>
      </c>
      <c r="Q374" s="510">
        <v>240</v>
      </c>
      <c r="R374" s="513">
        <v>120</v>
      </c>
      <c r="S374" s="41"/>
      <c r="T374" s="40"/>
      <c r="U374" s="40">
        <v>9</v>
      </c>
      <c r="V374" s="119">
        <v>1</v>
      </c>
      <c r="W374" s="40">
        <v>100</v>
      </c>
      <c r="X374" s="119">
        <v>0</v>
      </c>
      <c r="Y374" s="40"/>
      <c r="Z374" s="119">
        <v>1</v>
      </c>
      <c r="AA374" s="368">
        <v>0</v>
      </c>
      <c r="AB374" s="535">
        <v>20</v>
      </c>
      <c r="AC374" s="39" t="s">
        <v>160</v>
      </c>
      <c r="AD374" s="75" t="s">
        <v>8</v>
      </c>
      <c r="AE374" s="95">
        <v>0</v>
      </c>
      <c r="AF374" s="75">
        <v>1</v>
      </c>
      <c r="AG374" s="75">
        <v>0</v>
      </c>
      <c r="AH374" s="75">
        <v>0</v>
      </c>
      <c r="AI374" s="75">
        <v>0</v>
      </c>
      <c r="AJ374" s="75">
        <v>0</v>
      </c>
      <c r="AK374" s="75">
        <v>0</v>
      </c>
      <c r="AL374" s="95">
        <v>0</v>
      </c>
      <c r="AM374" s="92">
        <v>0</v>
      </c>
      <c r="AN374" s="79" t="s">
        <v>80</v>
      </c>
      <c r="AO374" s="75">
        <v>1</v>
      </c>
      <c r="AP374" s="75" t="s">
        <v>84</v>
      </c>
      <c r="AQ374" s="122">
        <v>1</v>
      </c>
      <c r="AR374" s="515" t="s">
        <v>10</v>
      </c>
      <c r="AS374" s="95">
        <v>0</v>
      </c>
      <c r="AT374" s="75">
        <v>0</v>
      </c>
      <c r="AU374" s="75">
        <v>0</v>
      </c>
      <c r="AV374" s="75">
        <v>0</v>
      </c>
      <c r="AW374" s="123">
        <v>0</v>
      </c>
      <c r="AX374" s="516" t="s">
        <v>5593</v>
      </c>
      <c r="AY374" s="75">
        <v>1</v>
      </c>
      <c r="AZ374" s="77" t="s">
        <v>131</v>
      </c>
      <c r="BA374" s="78" t="s">
        <v>132</v>
      </c>
      <c r="BB374" s="78" t="s">
        <v>131</v>
      </c>
      <c r="BC374" s="78" t="s">
        <v>131</v>
      </c>
      <c r="BD374" s="78" t="s">
        <v>131</v>
      </c>
      <c r="BE374" s="78" t="s">
        <v>131</v>
      </c>
      <c r="BF374" s="78" t="s">
        <v>131</v>
      </c>
      <c r="BG374" s="78" t="s">
        <v>131</v>
      </c>
      <c r="BH374" s="75" t="s">
        <v>5970</v>
      </c>
      <c r="BI374" s="295" t="s">
        <v>4033</v>
      </c>
      <c r="BJ374" s="546">
        <v>1</v>
      </c>
      <c r="BK374" s="294" t="s">
        <v>16</v>
      </c>
      <c r="BL374" s="157" t="s">
        <v>16</v>
      </c>
      <c r="BM374" s="548" t="s">
        <v>1348</v>
      </c>
      <c r="BN374" s="548" t="s">
        <v>1344</v>
      </c>
      <c r="BO374" s="157" t="s">
        <v>4579</v>
      </c>
      <c r="BP374" s="548" t="s">
        <v>4033</v>
      </c>
      <c r="BQ374" s="157" t="s">
        <v>4571</v>
      </c>
      <c r="BR374" s="157"/>
    </row>
    <row r="375" spans="1:70" x14ac:dyDescent="0.25">
      <c r="A375" s="19" t="s">
        <v>3686</v>
      </c>
      <c r="B375" s="37" t="s">
        <v>5594</v>
      </c>
      <c r="C375" s="90">
        <v>45418.786620370367</v>
      </c>
      <c r="D375" s="114">
        <v>45418.536620370367</v>
      </c>
      <c r="E375" s="38">
        <v>45418</v>
      </c>
      <c r="F375" s="91">
        <v>2024</v>
      </c>
      <c r="G375" s="93">
        <v>5</v>
      </c>
      <c r="H375" s="37" t="s">
        <v>5389</v>
      </c>
      <c r="I375" s="37"/>
      <c r="J375" s="103">
        <v>-91.651229900000004</v>
      </c>
      <c r="K375" s="40">
        <v>42.869538900000002</v>
      </c>
      <c r="L375" s="74"/>
      <c r="M375" s="272" t="s">
        <v>5595</v>
      </c>
      <c r="N375" s="74">
        <v>1</v>
      </c>
      <c r="O375" s="94"/>
      <c r="P375" s="118">
        <v>1</v>
      </c>
      <c r="Q375" s="510">
        <v>180</v>
      </c>
      <c r="R375" s="513">
        <v>120</v>
      </c>
      <c r="S375" s="41"/>
      <c r="T375" s="40"/>
      <c r="U375" s="40">
        <v>8</v>
      </c>
      <c r="V375" s="119">
        <v>1</v>
      </c>
      <c r="W375" s="40">
        <v>100</v>
      </c>
      <c r="X375" s="119">
        <v>0</v>
      </c>
      <c r="Y375" s="40"/>
      <c r="Z375" s="119">
        <v>1</v>
      </c>
      <c r="AA375" s="368">
        <v>0</v>
      </c>
      <c r="AB375" s="535">
        <v>5</v>
      </c>
      <c r="AC375" s="39" t="s">
        <v>160</v>
      </c>
      <c r="AD375" s="75" t="s">
        <v>8</v>
      </c>
      <c r="AE375" s="95">
        <v>0</v>
      </c>
      <c r="AF375" s="75">
        <v>1</v>
      </c>
      <c r="AG375" s="75">
        <v>0</v>
      </c>
      <c r="AH375" s="75">
        <v>0</v>
      </c>
      <c r="AI375" s="75">
        <v>0</v>
      </c>
      <c r="AJ375" s="75">
        <v>0</v>
      </c>
      <c r="AK375" s="75">
        <v>0</v>
      </c>
      <c r="AL375" s="95">
        <v>0</v>
      </c>
      <c r="AM375" s="92">
        <v>0</v>
      </c>
      <c r="AN375" s="79" t="s">
        <v>80</v>
      </c>
      <c r="AO375" s="75">
        <v>1</v>
      </c>
      <c r="AP375" s="75" t="s">
        <v>83</v>
      </c>
      <c r="AQ375" s="122">
        <v>1</v>
      </c>
      <c r="AR375" s="515" t="s">
        <v>10</v>
      </c>
      <c r="AS375" s="95">
        <v>0</v>
      </c>
      <c r="AT375" s="75">
        <v>0</v>
      </c>
      <c r="AU375" s="75">
        <v>0</v>
      </c>
      <c r="AV375" s="75">
        <v>0</v>
      </c>
      <c r="AW375" s="123">
        <v>0</v>
      </c>
      <c r="AX375" s="516" t="s">
        <v>5596</v>
      </c>
      <c r="AY375" s="75">
        <v>1</v>
      </c>
      <c r="AZ375" s="77" t="s">
        <v>131</v>
      </c>
      <c r="BA375" s="78" t="s">
        <v>132</v>
      </c>
      <c r="BB375" s="78" t="s">
        <v>131</v>
      </c>
      <c r="BC375" s="78" t="s">
        <v>131</v>
      </c>
      <c r="BD375" s="78" t="s">
        <v>131</v>
      </c>
      <c r="BE375" s="78" t="s">
        <v>131</v>
      </c>
      <c r="BF375" s="78" t="s">
        <v>131</v>
      </c>
      <c r="BG375" s="78" t="s">
        <v>131</v>
      </c>
      <c r="BH375" s="75" t="s">
        <v>5970</v>
      </c>
      <c r="BI375" s="295" t="s">
        <v>2283</v>
      </c>
      <c r="BJ375" s="546">
        <v>1</v>
      </c>
      <c r="BK375" s="294" t="s">
        <v>16</v>
      </c>
      <c r="BL375" s="157" t="s">
        <v>16</v>
      </c>
      <c r="BM375" s="548" t="s">
        <v>1347</v>
      </c>
      <c r="BN375" s="548" t="s">
        <v>1344</v>
      </c>
      <c r="BO375" s="157" t="s">
        <v>4564</v>
      </c>
      <c r="BP375" s="548" t="s">
        <v>2283</v>
      </c>
      <c r="BQ375" s="157" t="s">
        <v>4563</v>
      </c>
      <c r="BR375" s="157"/>
    </row>
    <row r="376" spans="1:70" x14ac:dyDescent="0.25">
      <c r="A376" s="19" t="s">
        <v>3686</v>
      </c>
      <c r="B376" s="37" t="s">
        <v>5597</v>
      </c>
      <c r="C376" s="90">
        <v>45418.769988425927</v>
      </c>
      <c r="D376" s="114">
        <v>45418.519988425927</v>
      </c>
      <c r="E376" s="38">
        <v>45418</v>
      </c>
      <c r="F376" s="91">
        <v>2024</v>
      </c>
      <c r="G376" s="93">
        <v>5</v>
      </c>
      <c r="H376" s="37" t="s">
        <v>5389</v>
      </c>
      <c r="I376" s="37"/>
      <c r="J376" s="103">
        <v>-91.694911599999998</v>
      </c>
      <c r="K376" s="40">
        <v>42.890022799999997</v>
      </c>
      <c r="L376" s="74"/>
      <c r="M376" s="272" t="s">
        <v>5598</v>
      </c>
      <c r="N376" s="74">
        <v>1</v>
      </c>
      <c r="O376" s="94"/>
      <c r="P376" s="118">
        <v>1</v>
      </c>
      <c r="Q376" s="510">
        <v>180</v>
      </c>
      <c r="R376" s="513">
        <v>180</v>
      </c>
      <c r="S376" s="41"/>
      <c r="T376" s="40"/>
      <c r="U376" s="40">
        <v>8.5</v>
      </c>
      <c r="V376" s="119">
        <v>1</v>
      </c>
      <c r="W376" s="40">
        <v>200</v>
      </c>
      <c r="X376" s="119">
        <v>0</v>
      </c>
      <c r="Y376" s="40"/>
      <c r="Z376" s="119">
        <v>1</v>
      </c>
      <c r="AA376" s="368">
        <v>0</v>
      </c>
      <c r="AB376" s="535">
        <v>10</v>
      </c>
      <c r="AC376" s="39" t="s">
        <v>160</v>
      </c>
      <c r="AD376" s="75" t="s">
        <v>5599</v>
      </c>
      <c r="AE376" s="95">
        <v>1</v>
      </c>
      <c r="AF376" s="75">
        <v>1</v>
      </c>
      <c r="AG376" s="75">
        <v>1</v>
      </c>
      <c r="AH376" s="75">
        <v>0</v>
      </c>
      <c r="AI376" s="75">
        <v>0</v>
      </c>
      <c r="AJ376" s="75">
        <v>0</v>
      </c>
      <c r="AK376" s="75">
        <v>0</v>
      </c>
      <c r="AL376" s="95">
        <v>0</v>
      </c>
      <c r="AM376" s="92">
        <v>0</v>
      </c>
      <c r="AN376" s="79" t="s">
        <v>80</v>
      </c>
      <c r="AO376" s="75">
        <v>1</v>
      </c>
      <c r="AP376" s="75" t="s">
        <v>83</v>
      </c>
      <c r="AQ376" s="122">
        <v>1</v>
      </c>
      <c r="AR376" s="515" t="s">
        <v>10</v>
      </c>
      <c r="AS376" s="95">
        <v>0</v>
      </c>
      <c r="AT376" s="75">
        <v>0</v>
      </c>
      <c r="AU376" s="75">
        <v>0</v>
      </c>
      <c r="AV376" s="75">
        <v>0</v>
      </c>
      <c r="AW376" s="123">
        <v>0</v>
      </c>
      <c r="AX376" s="516" t="s">
        <v>5600</v>
      </c>
      <c r="AY376" s="75">
        <v>1</v>
      </c>
      <c r="AZ376" s="77" t="s">
        <v>132</v>
      </c>
      <c r="BA376" s="78" t="s">
        <v>132</v>
      </c>
      <c r="BB376" s="78" t="s">
        <v>132</v>
      </c>
      <c r="BC376" s="78" t="s">
        <v>131</v>
      </c>
      <c r="BD376" s="78" t="s">
        <v>131</v>
      </c>
      <c r="BE376" s="78" t="s">
        <v>131</v>
      </c>
      <c r="BF376" s="78" t="s">
        <v>131</v>
      </c>
      <c r="BG376" s="78" t="s">
        <v>131</v>
      </c>
      <c r="BH376" s="75" t="s">
        <v>5970</v>
      </c>
      <c r="BI376" s="295" t="s">
        <v>16</v>
      </c>
      <c r="BJ376" s="546">
        <v>1</v>
      </c>
      <c r="BK376" s="294" t="s">
        <v>16</v>
      </c>
      <c r="BL376" s="157" t="s">
        <v>16</v>
      </c>
      <c r="BM376" s="548" t="s">
        <v>1347</v>
      </c>
      <c r="BN376" s="548" t="s">
        <v>1344</v>
      </c>
      <c r="BO376" s="157" t="s">
        <v>4564</v>
      </c>
      <c r="BP376" s="548" t="s">
        <v>2283</v>
      </c>
      <c r="BQ376" s="157" t="s">
        <v>4563</v>
      </c>
      <c r="BR376" s="157"/>
    </row>
    <row r="377" spans="1:70" x14ac:dyDescent="0.25">
      <c r="A377" s="19" t="s">
        <v>3686</v>
      </c>
      <c r="B377" s="37" t="s">
        <v>5601</v>
      </c>
      <c r="C377" s="90">
        <v>45418.758761574078</v>
      </c>
      <c r="D377" s="114">
        <v>45418.508761574078</v>
      </c>
      <c r="E377" s="38">
        <v>45418</v>
      </c>
      <c r="F377" s="91">
        <v>2024</v>
      </c>
      <c r="G377" s="93">
        <v>5</v>
      </c>
      <c r="H377" s="37" t="s">
        <v>5389</v>
      </c>
      <c r="I377" s="37"/>
      <c r="J377" s="103">
        <v>-91.676995500000004</v>
      </c>
      <c r="K377" s="40">
        <v>42.880471999999997</v>
      </c>
      <c r="L377" s="74"/>
      <c r="M377" s="272" t="s">
        <v>5602</v>
      </c>
      <c r="N377" s="74">
        <v>1</v>
      </c>
      <c r="O377" s="94"/>
      <c r="P377" s="118">
        <v>1</v>
      </c>
      <c r="Q377" s="510">
        <v>80</v>
      </c>
      <c r="R377" s="513">
        <v>180</v>
      </c>
      <c r="S377" s="41"/>
      <c r="T377" s="40"/>
      <c r="U377" s="40">
        <v>8.5</v>
      </c>
      <c r="V377" s="119">
        <v>1</v>
      </c>
      <c r="W377" s="40">
        <v>100</v>
      </c>
      <c r="X377" s="119">
        <v>0</v>
      </c>
      <c r="Y377" s="40"/>
      <c r="Z377" s="119">
        <v>1</v>
      </c>
      <c r="AA377" s="368">
        <v>0</v>
      </c>
      <c r="AB377" s="535">
        <v>10</v>
      </c>
      <c r="AC377" s="39" t="s">
        <v>160</v>
      </c>
      <c r="AD377" s="75" t="s">
        <v>8</v>
      </c>
      <c r="AE377" s="95">
        <v>0</v>
      </c>
      <c r="AF377" s="75">
        <v>1</v>
      </c>
      <c r="AG377" s="75">
        <v>0</v>
      </c>
      <c r="AH377" s="75">
        <v>0</v>
      </c>
      <c r="AI377" s="75">
        <v>0</v>
      </c>
      <c r="AJ377" s="75">
        <v>0</v>
      </c>
      <c r="AK377" s="75">
        <v>0</v>
      </c>
      <c r="AL377" s="95">
        <v>0</v>
      </c>
      <c r="AM377" s="92">
        <v>0</v>
      </c>
      <c r="AN377" s="79" t="s">
        <v>80</v>
      </c>
      <c r="AO377" s="75">
        <v>1</v>
      </c>
      <c r="AP377" s="75" t="s">
        <v>83</v>
      </c>
      <c r="AQ377" s="122">
        <v>1</v>
      </c>
      <c r="AR377" s="515" t="s">
        <v>10</v>
      </c>
      <c r="AS377" s="95">
        <v>0</v>
      </c>
      <c r="AT377" s="75">
        <v>0</v>
      </c>
      <c r="AU377" s="75">
        <v>0</v>
      </c>
      <c r="AV377" s="75">
        <v>0</v>
      </c>
      <c r="AW377" s="123">
        <v>0</v>
      </c>
      <c r="AX377" s="516" t="s">
        <v>5603</v>
      </c>
      <c r="AY377" s="75">
        <v>1</v>
      </c>
      <c r="AZ377" s="77" t="s">
        <v>131</v>
      </c>
      <c r="BA377" s="78" t="s">
        <v>132</v>
      </c>
      <c r="BB377" s="78" t="s">
        <v>131</v>
      </c>
      <c r="BC377" s="78" t="s">
        <v>131</v>
      </c>
      <c r="BD377" s="78" t="s">
        <v>131</v>
      </c>
      <c r="BE377" s="78" t="s">
        <v>131</v>
      </c>
      <c r="BF377" s="78" t="s">
        <v>131</v>
      </c>
      <c r="BG377" s="78" t="s">
        <v>131</v>
      </c>
      <c r="BH377" s="75" t="s">
        <v>5970</v>
      </c>
      <c r="BI377" s="295" t="s">
        <v>2283</v>
      </c>
      <c r="BJ377" s="546">
        <v>1</v>
      </c>
      <c r="BK377" s="294" t="s">
        <v>16</v>
      </c>
      <c r="BL377" s="157" t="s">
        <v>16</v>
      </c>
      <c r="BM377" s="548" t="s">
        <v>1347</v>
      </c>
      <c r="BN377" s="548" t="s">
        <v>1344</v>
      </c>
      <c r="BO377" s="157" t="s">
        <v>4564</v>
      </c>
      <c r="BP377" s="548" t="s">
        <v>2283</v>
      </c>
      <c r="BQ377" s="157" t="s">
        <v>4563</v>
      </c>
      <c r="BR377" s="157"/>
    </row>
    <row r="378" spans="1:70" x14ac:dyDescent="0.25">
      <c r="A378" s="19" t="s">
        <v>3686</v>
      </c>
      <c r="B378" s="37" t="s">
        <v>5604</v>
      </c>
      <c r="C378" s="90">
        <v>45418.75371527778</v>
      </c>
      <c r="D378" s="114">
        <v>45418.50371527778</v>
      </c>
      <c r="E378" s="38">
        <v>45418</v>
      </c>
      <c r="F378" s="91">
        <v>2024</v>
      </c>
      <c r="G378" s="93">
        <v>5</v>
      </c>
      <c r="H378" s="37" t="s">
        <v>5389</v>
      </c>
      <c r="I378" s="37"/>
      <c r="J378" s="103">
        <v>-91.676942199999999</v>
      </c>
      <c r="K378" s="40">
        <v>42.880426300000003</v>
      </c>
      <c r="L378" s="74"/>
      <c r="M378" s="272" t="s">
        <v>5605</v>
      </c>
      <c r="N378" s="74">
        <v>1</v>
      </c>
      <c r="O378" s="94"/>
      <c r="P378" s="118">
        <v>1</v>
      </c>
      <c r="Q378" s="510">
        <v>240</v>
      </c>
      <c r="R378" s="513">
        <v>120</v>
      </c>
      <c r="S378" s="41"/>
      <c r="T378" s="40"/>
      <c r="U378" s="40">
        <v>7.5</v>
      </c>
      <c r="V378" s="119">
        <v>1</v>
      </c>
      <c r="W378" s="40">
        <v>100</v>
      </c>
      <c r="X378" s="119">
        <v>0</v>
      </c>
      <c r="Y378" s="40"/>
      <c r="Z378" s="119">
        <v>1</v>
      </c>
      <c r="AA378" s="368">
        <v>0</v>
      </c>
      <c r="AB378" s="535">
        <v>5</v>
      </c>
      <c r="AC378" s="39" t="s">
        <v>160</v>
      </c>
      <c r="AD378" s="75" t="s">
        <v>8</v>
      </c>
      <c r="AE378" s="95">
        <v>0</v>
      </c>
      <c r="AF378" s="75">
        <v>1</v>
      </c>
      <c r="AG378" s="75">
        <v>0</v>
      </c>
      <c r="AH378" s="75">
        <v>0</v>
      </c>
      <c r="AI378" s="75">
        <v>0</v>
      </c>
      <c r="AJ378" s="75">
        <v>0</v>
      </c>
      <c r="AK378" s="75">
        <v>0</v>
      </c>
      <c r="AL378" s="95">
        <v>0</v>
      </c>
      <c r="AM378" s="92">
        <v>0</v>
      </c>
      <c r="AN378" s="79" t="s">
        <v>80</v>
      </c>
      <c r="AO378" s="75">
        <v>1</v>
      </c>
      <c r="AP378" s="75" t="s">
        <v>83</v>
      </c>
      <c r="AQ378" s="122">
        <v>1</v>
      </c>
      <c r="AR378" s="515" t="s">
        <v>10</v>
      </c>
      <c r="AS378" s="95">
        <v>0</v>
      </c>
      <c r="AT378" s="75">
        <v>0</v>
      </c>
      <c r="AU378" s="75">
        <v>0</v>
      </c>
      <c r="AV378" s="75">
        <v>0</v>
      </c>
      <c r="AW378" s="123">
        <v>0</v>
      </c>
      <c r="AX378" s="516" t="s">
        <v>5606</v>
      </c>
      <c r="AY378" s="75">
        <v>1</v>
      </c>
      <c r="AZ378" s="77" t="s">
        <v>131</v>
      </c>
      <c r="BA378" s="78" t="s">
        <v>132</v>
      </c>
      <c r="BB378" s="78" t="s">
        <v>131</v>
      </c>
      <c r="BC378" s="78" t="s">
        <v>131</v>
      </c>
      <c r="BD378" s="78" t="s">
        <v>131</v>
      </c>
      <c r="BE378" s="78" t="s">
        <v>131</v>
      </c>
      <c r="BF378" s="78" t="s">
        <v>131</v>
      </c>
      <c r="BG378" s="78" t="s">
        <v>131</v>
      </c>
      <c r="BH378" s="75" t="s">
        <v>5970</v>
      </c>
      <c r="BI378" s="295" t="s">
        <v>16</v>
      </c>
      <c r="BJ378" s="546">
        <v>1</v>
      </c>
      <c r="BK378" s="294" t="s">
        <v>16</v>
      </c>
      <c r="BL378" s="157" t="s">
        <v>16</v>
      </c>
      <c r="BM378" s="548" t="s">
        <v>1347</v>
      </c>
      <c r="BN378" s="548" t="s">
        <v>1344</v>
      </c>
      <c r="BO378" s="157" t="s">
        <v>4564</v>
      </c>
      <c r="BP378" s="548" t="s">
        <v>2283</v>
      </c>
      <c r="BQ378" s="157" t="s">
        <v>4563</v>
      </c>
      <c r="BR378" s="157"/>
    </row>
    <row r="379" spans="1:70" x14ac:dyDescent="0.25">
      <c r="A379" s="19" t="s">
        <v>3686</v>
      </c>
      <c r="B379" s="37" t="s">
        <v>5607</v>
      </c>
      <c r="C379" s="90">
        <v>45418.732430555552</v>
      </c>
      <c r="D379" s="114">
        <v>45418.482430555552</v>
      </c>
      <c r="E379" s="38">
        <v>45418</v>
      </c>
      <c r="F379" s="91">
        <v>2024</v>
      </c>
      <c r="G379" s="93">
        <v>5</v>
      </c>
      <c r="H379" s="37" t="s">
        <v>5389</v>
      </c>
      <c r="I379" s="37"/>
      <c r="J379" s="103">
        <v>-91.672397500000002</v>
      </c>
      <c r="K379" s="40">
        <v>42.8467068</v>
      </c>
      <c r="L379" s="74"/>
      <c r="M379" s="272" t="s">
        <v>5608</v>
      </c>
      <c r="N379" s="74">
        <v>1</v>
      </c>
      <c r="O379" s="94"/>
      <c r="P379" s="118">
        <v>1</v>
      </c>
      <c r="Q379" s="510">
        <v>120</v>
      </c>
      <c r="R379" s="513">
        <v>120</v>
      </c>
      <c r="S379" s="41"/>
      <c r="T379" s="40"/>
      <c r="U379" s="40">
        <v>6.5</v>
      </c>
      <c r="V379" s="119">
        <v>1</v>
      </c>
      <c r="W379" s="40">
        <v>0</v>
      </c>
      <c r="X379" s="119">
        <v>0</v>
      </c>
      <c r="Y379" s="40"/>
      <c r="Z379" s="119">
        <v>1</v>
      </c>
      <c r="AA379" s="368">
        <v>0</v>
      </c>
      <c r="AB379" s="535">
        <v>5</v>
      </c>
      <c r="AC379" s="39" t="s">
        <v>160</v>
      </c>
      <c r="AD379" s="75" t="s">
        <v>365</v>
      </c>
      <c r="AE379" s="95">
        <v>0</v>
      </c>
      <c r="AF379" s="75">
        <v>1</v>
      </c>
      <c r="AG379" s="75">
        <v>1</v>
      </c>
      <c r="AH379" s="75">
        <v>0</v>
      </c>
      <c r="AI379" s="75">
        <v>0</v>
      </c>
      <c r="AJ379" s="75">
        <v>0</v>
      </c>
      <c r="AK379" s="75">
        <v>0</v>
      </c>
      <c r="AL379" s="95">
        <v>0</v>
      </c>
      <c r="AM379" s="92">
        <v>0</v>
      </c>
      <c r="AN379" s="79" t="s">
        <v>80</v>
      </c>
      <c r="AO379" s="75">
        <v>1</v>
      </c>
      <c r="AP379" s="75" t="s">
        <v>83</v>
      </c>
      <c r="AQ379" s="122">
        <v>1</v>
      </c>
      <c r="AR379" s="515" t="s">
        <v>10</v>
      </c>
      <c r="AS379" s="95">
        <v>0</v>
      </c>
      <c r="AT379" s="75">
        <v>0</v>
      </c>
      <c r="AU379" s="75">
        <v>0</v>
      </c>
      <c r="AV379" s="75">
        <v>0</v>
      </c>
      <c r="AW379" s="123">
        <v>0</v>
      </c>
      <c r="AX379" s="516" t="s">
        <v>5609</v>
      </c>
      <c r="AY379" s="75">
        <v>1</v>
      </c>
      <c r="AZ379" s="77" t="s">
        <v>131</v>
      </c>
      <c r="BA379" s="78" t="s">
        <v>132</v>
      </c>
      <c r="BB379" s="78" t="s">
        <v>132</v>
      </c>
      <c r="BC379" s="78" t="s">
        <v>131</v>
      </c>
      <c r="BD379" s="78" t="s">
        <v>131</v>
      </c>
      <c r="BE379" s="78" t="s">
        <v>131</v>
      </c>
      <c r="BF379" s="78" t="s">
        <v>131</v>
      </c>
      <c r="BG379" s="78" t="s">
        <v>131</v>
      </c>
      <c r="BH379" s="75" t="s">
        <v>5970</v>
      </c>
      <c r="BI379" s="295" t="s">
        <v>2248</v>
      </c>
      <c r="BJ379" s="546" t="s">
        <v>16</v>
      </c>
      <c r="BK379" s="294" t="s">
        <v>16</v>
      </c>
      <c r="BL379" s="157" t="s">
        <v>16</v>
      </c>
      <c r="BM379" s="548" t="s">
        <v>1347</v>
      </c>
      <c r="BN379" s="548" t="s">
        <v>1344</v>
      </c>
      <c r="BO379" s="157" t="s">
        <v>4565</v>
      </c>
      <c r="BP379" s="548" t="s">
        <v>4567</v>
      </c>
      <c r="BQ379" s="157" t="s">
        <v>4563</v>
      </c>
      <c r="BR379" s="157"/>
    </row>
    <row r="380" spans="1:70" x14ac:dyDescent="0.25">
      <c r="A380" s="19" t="s">
        <v>3686</v>
      </c>
      <c r="B380" s="37" t="s">
        <v>5610</v>
      </c>
      <c r="C380" s="90">
        <v>45418.720601851855</v>
      </c>
      <c r="D380" s="114">
        <v>45418.470601851855</v>
      </c>
      <c r="E380" s="38">
        <v>45418</v>
      </c>
      <c r="F380" s="91">
        <v>2024</v>
      </c>
      <c r="G380" s="93">
        <v>5</v>
      </c>
      <c r="H380" s="37" t="s">
        <v>5389</v>
      </c>
      <c r="I380" s="37"/>
      <c r="J380" s="103">
        <v>-91.631466799999998</v>
      </c>
      <c r="K380" s="40">
        <v>42.843260100000002</v>
      </c>
      <c r="L380" s="74"/>
      <c r="M380" s="272" t="s">
        <v>5611</v>
      </c>
      <c r="N380" s="74">
        <v>1</v>
      </c>
      <c r="O380" s="94"/>
      <c r="P380" s="118">
        <v>1</v>
      </c>
      <c r="Q380" s="510">
        <v>120</v>
      </c>
      <c r="R380" s="513">
        <v>180</v>
      </c>
      <c r="S380" s="41"/>
      <c r="T380" s="40"/>
      <c r="U380" s="40">
        <v>9</v>
      </c>
      <c r="V380" s="119">
        <v>1</v>
      </c>
      <c r="W380" s="40">
        <v>100</v>
      </c>
      <c r="X380" s="119">
        <v>0</v>
      </c>
      <c r="Y380" s="40"/>
      <c r="Z380" s="119">
        <v>1</v>
      </c>
      <c r="AA380" s="368">
        <v>0</v>
      </c>
      <c r="AB380" s="535">
        <v>0</v>
      </c>
      <c r="AC380" s="39" t="s">
        <v>160</v>
      </c>
      <c r="AD380" s="75" t="s">
        <v>3015</v>
      </c>
      <c r="AE380" s="95">
        <v>1</v>
      </c>
      <c r="AF380" s="75">
        <v>1</v>
      </c>
      <c r="AG380" s="75">
        <v>0</v>
      </c>
      <c r="AH380" s="75">
        <v>0</v>
      </c>
      <c r="AI380" s="75">
        <v>1</v>
      </c>
      <c r="AJ380" s="75">
        <v>0</v>
      </c>
      <c r="AK380" s="75">
        <v>0</v>
      </c>
      <c r="AL380" s="95">
        <v>0</v>
      </c>
      <c r="AM380" s="92">
        <v>0</v>
      </c>
      <c r="AN380" s="79" t="s">
        <v>80</v>
      </c>
      <c r="AO380" s="75">
        <v>1</v>
      </c>
      <c r="AP380" s="75" t="s">
        <v>83</v>
      </c>
      <c r="AQ380" s="122">
        <v>1</v>
      </c>
      <c r="AR380" s="515" t="s">
        <v>10</v>
      </c>
      <c r="AS380" s="95">
        <v>0</v>
      </c>
      <c r="AT380" s="75">
        <v>0</v>
      </c>
      <c r="AU380" s="75">
        <v>0</v>
      </c>
      <c r="AV380" s="75">
        <v>0</v>
      </c>
      <c r="AW380" s="123">
        <v>0</v>
      </c>
      <c r="AX380" s="516" t="s">
        <v>5612</v>
      </c>
      <c r="AY380" s="75">
        <v>1</v>
      </c>
      <c r="AZ380" s="77" t="s">
        <v>132</v>
      </c>
      <c r="BA380" s="78" t="s">
        <v>132</v>
      </c>
      <c r="BB380" s="78" t="s">
        <v>131</v>
      </c>
      <c r="BC380" s="78" t="s">
        <v>131</v>
      </c>
      <c r="BD380" s="78" t="s">
        <v>132</v>
      </c>
      <c r="BE380" s="78" t="s">
        <v>131</v>
      </c>
      <c r="BF380" s="78" t="s">
        <v>131</v>
      </c>
      <c r="BG380" s="78" t="s">
        <v>131</v>
      </c>
      <c r="BH380" s="75" t="s">
        <v>5970</v>
      </c>
      <c r="BI380" s="295" t="s">
        <v>16</v>
      </c>
      <c r="BJ380" s="546" t="s">
        <v>16</v>
      </c>
      <c r="BK380" s="294" t="s">
        <v>16</v>
      </c>
      <c r="BL380" s="157" t="s">
        <v>16</v>
      </c>
      <c r="BM380" s="548" t="s">
        <v>1347</v>
      </c>
      <c r="BN380" s="548" t="s">
        <v>1344</v>
      </c>
      <c r="BO380" s="157" t="s">
        <v>4565</v>
      </c>
      <c r="BP380" s="548" t="s">
        <v>4567</v>
      </c>
      <c r="BQ380" s="157" t="s">
        <v>4563</v>
      </c>
      <c r="BR380" s="157"/>
    </row>
    <row r="381" spans="1:70" x14ac:dyDescent="0.25">
      <c r="A381" s="19" t="s">
        <v>3686</v>
      </c>
      <c r="B381" s="37" t="s">
        <v>5613</v>
      </c>
      <c r="C381" s="90">
        <v>45418.703761574077</v>
      </c>
      <c r="D381" s="114">
        <v>45418.453761574077</v>
      </c>
      <c r="E381" s="38">
        <v>45418</v>
      </c>
      <c r="F381" s="91">
        <v>2024</v>
      </c>
      <c r="G381" s="93">
        <v>5</v>
      </c>
      <c r="H381" s="37" t="s">
        <v>5389</v>
      </c>
      <c r="I381" s="37"/>
      <c r="J381" s="103">
        <v>-91.645492899999994</v>
      </c>
      <c r="K381" s="40">
        <v>42.843175000000002</v>
      </c>
      <c r="L381" s="74"/>
      <c r="M381" s="272" t="s">
        <v>5614</v>
      </c>
      <c r="N381" s="74">
        <v>1</v>
      </c>
      <c r="O381" s="94"/>
      <c r="P381" s="118">
        <v>1</v>
      </c>
      <c r="Q381" s="510">
        <v>120</v>
      </c>
      <c r="R381" s="513">
        <v>180</v>
      </c>
      <c r="S381" s="41"/>
      <c r="T381" s="40"/>
      <c r="U381" s="40">
        <v>8</v>
      </c>
      <c r="V381" s="119">
        <v>1</v>
      </c>
      <c r="W381" s="40">
        <v>100</v>
      </c>
      <c r="X381" s="119">
        <v>0</v>
      </c>
      <c r="Y381" s="40"/>
      <c r="Z381" s="119">
        <v>1</v>
      </c>
      <c r="AA381" s="368">
        <v>0</v>
      </c>
      <c r="AB381" s="535">
        <v>5</v>
      </c>
      <c r="AC381" s="39"/>
      <c r="AD381" s="75" t="s">
        <v>5599</v>
      </c>
      <c r="AE381" s="95">
        <v>1</v>
      </c>
      <c r="AF381" s="75">
        <v>1</v>
      </c>
      <c r="AG381" s="75">
        <v>1</v>
      </c>
      <c r="AH381" s="75">
        <v>0</v>
      </c>
      <c r="AI381" s="75">
        <v>0</v>
      </c>
      <c r="AJ381" s="75">
        <v>0</v>
      </c>
      <c r="AK381" s="75">
        <v>0</v>
      </c>
      <c r="AL381" s="95">
        <v>0</v>
      </c>
      <c r="AM381" s="92">
        <v>0</v>
      </c>
      <c r="AN381" s="79" t="s">
        <v>80</v>
      </c>
      <c r="AO381" s="75">
        <v>1</v>
      </c>
      <c r="AP381" s="75" t="s">
        <v>84</v>
      </c>
      <c r="AQ381" s="122">
        <v>1</v>
      </c>
      <c r="AR381" s="515" t="s">
        <v>10</v>
      </c>
      <c r="AS381" s="95">
        <v>0</v>
      </c>
      <c r="AT381" s="75">
        <v>0</v>
      </c>
      <c r="AU381" s="75">
        <v>0</v>
      </c>
      <c r="AV381" s="75">
        <v>0</v>
      </c>
      <c r="AW381" s="123">
        <v>0</v>
      </c>
      <c r="AX381" s="516" t="s">
        <v>5593</v>
      </c>
      <c r="AY381" s="75">
        <v>1</v>
      </c>
      <c r="AZ381" s="77" t="s">
        <v>132</v>
      </c>
      <c r="BA381" s="78" t="s">
        <v>132</v>
      </c>
      <c r="BB381" s="78" t="s">
        <v>132</v>
      </c>
      <c r="BC381" s="78" t="s">
        <v>131</v>
      </c>
      <c r="BD381" s="78" t="s">
        <v>131</v>
      </c>
      <c r="BE381" s="78" t="s">
        <v>131</v>
      </c>
      <c r="BF381" s="78" t="s">
        <v>131</v>
      </c>
      <c r="BG381" s="78" t="s">
        <v>131</v>
      </c>
      <c r="BH381" s="75" t="s">
        <v>5970</v>
      </c>
      <c r="BI381" s="295">
        <v>0</v>
      </c>
      <c r="BJ381" s="546" t="s">
        <v>16</v>
      </c>
      <c r="BK381" s="294" t="s">
        <v>16</v>
      </c>
      <c r="BL381" s="157" t="s">
        <v>16</v>
      </c>
      <c r="BM381" s="548" t="s">
        <v>1347</v>
      </c>
      <c r="BN381" s="548" t="s">
        <v>1344</v>
      </c>
      <c r="BO381" s="157" t="s">
        <v>4565</v>
      </c>
      <c r="BP381" s="548" t="s">
        <v>4567</v>
      </c>
      <c r="BQ381" s="157" t="s">
        <v>4563</v>
      </c>
      <c r="BR381" s="157"/>
    </row>
    <row r="382" spans="1:70" x14ac:dyDescent="0.25">
      <c r="A382" s="19" t="s">
        <v>3686</v>
      </c>
      <c r="B382" s="37" t="s">
        <v>5615</v>
      </c>
      <c r="C382" s="90">
        <v>45418.69122685185</v>
      </c>
      <c r="D382" s="114">
        <v>45418.44122685185</v>
      </c>
      <c r="E382" s="38">
        <v>45418</v>
      </c>
      <c r="F382" s="91">
        <v>2024</v>
      </c>
      <c r="G382" s="93">
        <v>5</v>
      </c>
      <c r="H382" s="37" t="s">
        <v>5389</v>
      </c>
      <c r="I382" s="37"/>
      <c r="J382" s="103">
        <v>-91.667412799999994</v>
      </c>
      <c r="K382" s="40">
        <v>42.8102144</v>
      </c>
      <c r="L382" s="74"/>
      <c r="M382" s="272" t="s">
        <v>5616</v>
      </c>
      <c r="N382" s="74">
        <v>1</v>
      </c>
      <c r="O382" s="94"/>
      <c r="P382" s="118">
        <v>1</v>
      </c>
      <c r="Q382" s="510">
        <v>80</v>
      </c>
      <c r="R382" s="513">
        <v>180</v>
      </c>
      <c r="S382" s="41"/>
      <c r="T382" s="40"/>
      <c r="U382" s="40">
        <v>7</v>
      </c>
      <c r="V382" s="119">
        <v>1</v>
      </c>
      <c r="W382" s="40">
        <v>0</v>
      </c>
      <c r="X382" s="119">
        <v>0</v>
      </c>
      <c r="Y382" s="40"/>
      <c r="Z382" s="119">
        <v>1</v>
      </c>
      <c r="AA382" s="368">
        <v>0</v>
      </c>
      <c r="AB382" s="535">
        <v>10</v>
      </c>
      <c r="AC382" s="39"/>
      <c r="AD382" s="75" t="s">
        <v>8</v>
      </c>
      <c r="AE382" s="95">
        <v>0</v>
      </c>
      <c r="AF382" s="75">
        <v>1</v>
      </c>
      <c r="AG382" s="75">
        <v>0</v>
      </c>
      <c r="AH382" s="75">
        <v>0</v>
      </c>
      <c r="AI382" s="75">
        <v>0</v>
      </c>
      <c r="AJ382" s="75">
        <v>0</v>
      </c>
      <c r="AK382" s="75">
        <v>0</v>
      </c>
      <c r="AL382" s="95">
        <v>0</v>
      </c>
      <c r="AM382" s="92">
        <v>0</v>
      </c>
      <c r="AN382" s="79" t="s">
        <v>80</v>
      </c>
      <c r="AO382" s="75">
        <v>1</v>
      </c>
      <c r="AP382" s="75" t="s">
        <v>83</v>
      </c>
      <c r="AQ382" s="122">
        <v>1</v>
      </c>
      <c r="AR382" s="515" t="s">
        <v>10</v>
      </c>
      <c r="AS382" s="95">
        <v>0</v>
      </c>
      <c r="AT382" s="75">
        <v>0</v>
      </c>
      <c r="AU382" s="75">
        <v>0</v>
      </c>
      <c r="AV382" s="75">
        <v>0</v>
      </c>
      <c r="AW382" s="123">
        <v>0</v>
      </c>
      <c r="AX382" s="516" t="s">
        <v>5617</v>
      </c>
      <c r="AY382" s="75">
        <v>1</v>
      </c>
      <c r="AZ382" s="77" t="s">
        <v>131</v>
      </c>
      <c r="BA382" s="78" t="s">
        <v>132</v>
      </c>
      <c r="BB382" s="78" t="s">
        <v>131</v>
      </c>
      <c r="BC382" s="78" t="s">
        <v>131</v>
      </c>
      <c r="BD382" s="78" t="s">
        <v>131</v>
      </c>
      <c r="BE382" s="78" t="s">
        <v>131</v>
      </c>
      <c r="BF382" s="78" t="s">
        <v>131</v>
      </c>
      <c r="BG382" s="78" t="s">
        <v>131</v>
      </c>
      <c r="BH382" s="75" t="s">
        <v>5970</v>
      </c>
      <c r="BI382" s="295" t="s">
        <v>2299</v>
      </c>
      <c r="BJ382" s="546">
        <v>1</v>
      </c>
      <c r="BK382" s="294" t="s">
        <v>16</v>
      </c>
      <c r="BL382" s="157" t="s">
        <v>16</v>
      </c>
      <c r="BM382" s="548" t="s">
        <v>1347</v>
      </c>
      <c r="BN382" s="548" t="s">
        <v>1344</v>
      </c>
      <c r="BO382" s="157" t="s">
        <v>4569</v>
      </c>
      <c r="BP382" s="548" t="s">
        <v>2299</v>
      </c>
      <c r="BQ382" s="157" t="s">
        <v>4563</v>
      </c>
      <c r="BR382" s="157"/>
    </row>
    <row r="383" spans="1:70" x14ac:dyDescent="0.25">
      <c r="A383" s="19" t="s">
        <v>3686</v>
      </c>
      <c r="B383" s="37" t="s">
        <v>5618</v>
      </c>
      <c r="C383" s="90">
        <v>45418.680428240739</v>
      </c>
      <c r="D383" s="114">
        <v>45418.430428240739</v>
      </c>
      <c r="E383" s="38">
        <v>45418</v>
      </c>
      <c r="F383" s="91">
        <v>2024</v>
      </c>
      <c r="G383" s="93">
        <v>5</v>
      </c>
      <c r="H383" s="37" t="s">
        <v>5389</v>
      </c>
      <c r="I383" s="37" t="s">
        <v>16</v>
      </c>
      <c r="J383" s="103">
        <v>-91.666468300000005</v>
      </c>
      <c r="K383" s="40">
        <v>42.803266700000002</v>
      </c>
      <c r="L383" s="74"/>
      <c r="M383" s="272" t="s">
        <v>5619</v>
      </c>
      <c r="N383" s="74">
        <v>1</v>
      </c>
      <c r="O383" s="94"/>
      <c r="P383" s="118">
        <v>1</v>
      </c>
      <c r="Q383" s="510">
        <v>180</v>
      </c>
      <c r="R383" s="513">
        <v>120</v>
      </c>
      <c r="S383" s="41"/>
      <c r="T383" s="40"/>
      <c r="U383" s="40">
        <v>7</v>
      </c>
      <c r="V383" s="119">
        <v>1</v>
      </c>
      <c r="W383" s="40">
        <v>0</v>
      </c>
      <c r="X383" s="119">
        <v>0</v>
      </c>
      <c r="Y383" s="40"/>
      <c r="Z383" s="119">
        <v>1</v>
      </c>
      <c r="AA383" s="368">
        <v>0</v>
      </c>
      <c r="AB383" s="535">
        <v>2</v>
      </c>
      <c r="AC383" s="39" t="s">
        <v>160</v>
      </c>
      <c r="AD383" s="75" t="s">
        <v>10</v>
      </c>
      <c r="AE383" s="95">
        <v>0</v>
      </c>
      <c r="AF383" s="75">
        <v>0</v>
      </c>
      <c r="AG383" s="75">
        <v>0</v>
      </c>
      <c r="AH383" s="75">
        <v>0</v>
      </c>
      <c r="AI383" s="75">
        <v>0</v>
      </c>
      <c r="AJ383" s="75">
        <v>0</v>
      </c>
      <c r="AK383" s="75">
        <v>0</v>
      </c>
      <c r="AL383" s="95">
        <v>1</v>
      </c>
      <c r="AM383" s="92">
        <v>0</v>
      </c>
      <c r="AN383" s="79" t="s">
        <v>80</v>
      </c>
      <c r="AO383" s="75">
        <v>1</v>
      </c>
      <c r="AP383" s="75" t="s">
        <v>83</v>
      </c>
      <c r="AQ383" s="122">
        <v>1</v>
      </c>
      <c r="AR383" s="515" t="s">
        <v>10</v>
      </c>
      <c r="AS383" s="95">
        <v>0</v>
      </c>
      <c r="AT383" s="75">
        <v>0</v>
      </c>
      <c r="AU383" s="75">
        <v>0</v>
      </c>
      <c r="AV383" s="75">
        <v>0</v>
      </c>
      <c r="AW383" s="123">
        <v>0</v>
      </c>
      <c r="AX383" s="516" t="s">
        <v>5620</v>
      </c>
      <c r="AY383" s="75">
        <v>1</v>
      </c>
      <c r="AZ383" s="77" t="s">
        <v>131</v>
      </c>
      <c r="BA383" s="78" t="s">
        <v>131</v>
      </c>
      <c r="BB383" s="78" t="s">
        <v>131</v>
      </c>
      <c r="BC383" s="78" t="s">
        <v>131</v>
      </c>
      <c r="BD383" s="78" t="s">
        <v>131</v>
      </c>
      <c r="BE383" s="78" t="s">
        <v>131</v>
      </c>
      <c r="BF383" s="78" t="s">
        <v>131</v>
      </c>
      <c r="BG383" s="78" t="s">
        <v>132</v>
      </c>
      <c r="BH383" s="75" t="s">
        <v>5970</v>
      </c>
      <c r="BI383" s="295">
        <v>0</v>
      </c>
      <c r="BJ383" s="546" t="s">
        <v>16</v>
      </c>
      <c r="BK383" s="294" t="s">
        <v>16</v>
      </c>
      <c r="BL383" s="157" t="s">
        <v>16</v>
      </c>
      <c r="BM383" s="548" t="s">
        <v>1348</v>
      </c>
      <c r="BN383" s="548" t="s">
        <v>1344</v>
      </c>
      <c r="BO383" s="157" t="s">
        <v>4569</v>
      </c>
      <c r="BP383" s="548" t="s">
        <v>2299</v>
      </c>
      <c r="BQ383" s="157" t="s">
        <v>4563</v>
      </c>
      <c r="BR383" s="157"/>
    </row>
    <row r="384" spans="1:70" x14ac:dyDescent="0.25">
      <c r="A384" s="19" t="s">
        <v>3686</v>
      </c>
      <c r="B384" s="37" t="s">
        <v>5621</v>
      </c>
      <c r="C384" s="90">
        <v>45418.663587962961</v>
      </c>
      <c r="D384" s="114">
        <v>45418.413587962961</v>
      </c>
      <c r="E384" s="38">
        <v>45418</v>
      </c>
      <c r="F384" s="91">
        <v>2024</v>
      </c>
      <c r="G384" s="93">
        <v>5</v>
      </c>
      <c r="H384" s="37" t="s">
        <v>5389</v>
      </c>
      <c r="I384" s="37"/>
      <c r="J384" s="103">
        <v>-91.721139600000001</v>
      </c>
      <c r="K384" s="40">
        <v>42.824431300000001</v>
      </c>
      <c r="L384" s="74"/>
      <c r="M384" s="272" t="s">
        <v>5622</v>
      </c>
      <c r="N384" s="74">
        <v>1</v>
      </c>
      <c r="O384" s="94"/>
      <c r="P384" s="118">
        <v>1</v>
      </c>
      <c r="Q384" s="510">
        <v>80</v>
      </c>
      <c r="R384" s="513">
        <v>180</v>
      </c>
      <c r="S384" s="41"/>
      <c r="T384" s="40"/>
      <c r="U384" s="40">
        <v>8.5</v>
      </c>
      <c r="V384" s="119">
        <v>1</v>
      </c>
      <c r="W384" s="40">
        <v>0</v>
      </c>
      <c r="X384" s="119">
        <v>0</v>
      </c>
      <c r="Y384" s="40"/>
      <c r="Z384" s="119">
        <v>1</v>
      </c>
      <c r="AA384" s="368">
        <v>0</v>
      </c>
      <c r="AB384" s="535">
        <v>5</v>
      </c>
      <c r="AC384" s="39" t="s">
        <v>160</v>
      </c>
      <c r="AD384" s="75" t="s">
        <v>10</v>
      </c>
      <c r="AE384" s="95">
        <v>0</v>
      </c>
      <c r="AF384" s="75">
        <v>0</v>
      </c>
      <c r="AG384" s="75">
        <v>0</v>
      </c>
      <c r="AH384" s="75">
        <v>0</v>
      </c>
      <c r="AI384" s="75">
        <v>0</v>
      </c>
      <c r="AJ384" s="75">
        <v>0</v>
      </c>
      <c r="AK384" s="75">
        <v>0</v>
      </c>
      <c r="AL384" s="95">
        <v>1</v>
      </c>
      <c r="AM384" s="92">
        <v>0</v>
      </c>
      <c r="AN384" s="79" t="s">
        <v>80</v>
      </c>
      <c r="AO384" s="75">
        <v>1</v>
      </c>
      <c r="AP384" s="75" t="s">
        <v>83</v>
      </c>
      <c r="AQ384" s="122">
        <v>1</v>
      </c>
      <c r="AR384" s="515" t="s">
        <v>10</v>
      </c>
      <c r="AS384" s="95">
        <v>0</v>
      </c>
      <c r="AT384" s="75">
        <v>0</v>
      </c>
      <c r="AU384" s="75">
        <v>0</v>
      </c>
      <c r="AV384" s="75">
        <v>0</v>
      </c>
      <c r="AW384" s="123">
        <v>0</v>
      </c>
      <c r="AX384" s="516" t="s">
        <v>5623</v>
      </c>
      <c r="AY384" s="75">
        <v>1</v>
      </c>
      <c r="AZ384" s="77" t="s">
        <v>131</v>
      </c>
      <c r="BA384" s="78" t="s">
        <v>131</v>
      </c>
      <c r="BB384" s="78" t="s">
        <v>131</v>
      </c>
      <c r="BC384" s="78" t="s">
        <v>131</v>
      </c>
      <c r="BD384" s="78" t="s">
        <v>131</v>
      </c>
      <c r="BE384" s="78" t="s">
        <v>131</v>
      </c>
      <c r="BF384" s="78" t="s">
        <v>131</v>
      </c>
      <c r="BG384" s="78" t="s">
        <v>132</v>
      </c>
      <c r="BH384" s="75" t="s">
        <v>5970</v>
      </c>
      <c r="BI384" s="295" t="s">
        <v>16</v>
      </c>
      <c r="BJ384" s="546">
        <v>1</v>
      </c>
      <c r="BK384" s="294" t="s">
        <v>16</v>
      </c>
      <c r="BL384" s="157" t="s">
        <v>16</v>
      </c>
      <c r="BM384" s="548" t="s">
        <v>1344</v>
      </c>
      <c r="BN384" s="548" t="s">
        <v>1344</v>
      </c>
      <c r="BO384" s="157" t="s">
        <v>4572</v>
      </c>
      <c r="BP384" s="548" t="s">
        <v>4574</v>
      </c>
      <c r="BQ384" s="157" t="s">
        <v>4571</v>
      </c>
      <c r="BR384" s="157"/>
    </row>
    <row r="385" spans="1:70" x14ac:dyDescent="0.25">
      <c r="A385" s="19" t="s">
        <v>3686</v>
      </c>
      <c r="B385" s="37" t="s">
        <v>5624</v>
      </c>
      <c r="C385" s="90">
        <v>45417.784687500003</v>
      </c>
      <c r="D385" s="114">
        <v>45417.534687500003</v>
      </c>
      <c r="E385" s="38">
        <v>45417</v>
      </c>
      <c r="F385" s="91">
        <v>2024</v>
      </c>
      <c r="G385" s="93">
        <v>5</v>
      </c>
      <c r="H385" s="37" t="s">
        <v>5625</v>
      </c>
      <c r="I385" s="37"/>
      <c r="J385" s="103">
        <v>-90.647744139413675</v>
      </c>
      <c r="K385" s="40">
        <v>43.500023454449469</v>
      </c>
      <c r="L385" s="74"/>
      <c r="M385" s="272" t="s">
        <v>16</v>
      </c>
      <c r="N385" s="74">
        <v>0</v>
      </c>
      <c r="O385" s="94"/>
      <c r="P385" s="118">
        <v>1</v>
      </c>
      <c r="Q385" s="510">
        <v>180</v>
      </c>
      <c r="R385" s="513">
        <v>120</v>
      </c>
      <c r="S385" s="41"/>
      <c r="T385" s="40"/>
      <c r="U385" s="40">
        <v>6.5</v>
      </c>
      <c r="V385" s="119">
        <v>0</v>
      </c>
      <c r="W385" s="40"/>
      <c r="X385" s="119">
        <v>0</v>
      </c>
      <c r="Y385" s="40"/>
      <c r="Z385" s="119">
        <v>0</v>
      </c>
      <c r="AA385" s="368" t="s">
        <v>16</v>
      </c>
      <c r="AB385" s="535" t="s">
        <v>16</v>
      </c>
      <c r="AC385" s="39" t="s">
        <v>160</v>
      </c>
      <c r="AD385" s="75" t="s">
        <v>16</v>
      </c>
      <c r="AE385" s="95">
        <v>-1</v>
      </c>
      <c r="AF385" s="75">
        <v>-1</v>
      </c>
      <c r="AG385" s="75">
        <v>-1</v>
      </c>
      <c r="AH385" s="75">
        <v>-1</v>
      </c>
      <c r="AI385" s="75">
        <v>-1</v>
      </c>
      <c r="AJ385" s="75">
        <v>-1</v>
      </c>
      <c r="AK385" s="75">
        <v>-1</v>
      </c>
      <c r="AL385" s="95">
        <v>-1</v>
      </c>
      <c r="AM385" s="92">
        <v>1</v>
      </c>
      <c r="AN385" s="79" t="s">
        <v>16</v>
      </c>
      <c r="AO385" s="75">
        <v>0</v>
      </c>
      <c r="AP385" s="75" t="s">
        <v>83</v>
      </c>
      <c r="AQ385" s="122">
        <v>1</v>
      </c>
      <c r="AR385" s="515" t="s">
        <v>58</v>
      </c>
      <c r="AS385" s="95">
        <v>0</v>
      </c>
      <c r="AT385" s="75">
        <v>0</v>
      </c>
      <c r="AU385" s="75">
        <v>1</v>
      </c>
      <c r="AV385" s="75">
        <v>0</v>
      </c>
      <c r="AW385" s="123">
        <v>0</v>
      </c>
      <c r="AX385" s="516"/>
      <c r="AY385" s="75">
        <v>0</v>
      </c>
      <c r="AZ385" s="77" t="s">
        <v>5971</v>
      </c>
      <c r="BA385" s="78" t="s">
        <v>5971</v>
      </c>
      <c r="BB385" s="78" t="s">
        <v>5971</v>
      </c>
      <c r="BC385" s="78" t="s">
        <v>5971</v>
      </c>
      <c r="BD385" s="78" t="s">
        <v>5971</v>
      </c>
      <c r="BE385" s="78" t="s">
        <v>5971</v>
      </c>
      <c r="BF385" s="78" t="s">
        <v>5971</v>
      </c>
      <c r="BG385" s="78" t="s">
        <v>5971</v>
      </c>
      <c r="BH385" s="75" t="s">
        <v>5971</v>
      </c>
      <c r="BI385" s="295" t="s">
        <v>2269</v>
      </c>
      <c r="BJ385" s="546">
        <v>1</v>
      </c>
      <c r="BK385" s="294" t="s">
        <v>16</v>
      </c>
      <c r="BL385" s="157" t="s">
        <v>16</v>
      </c>
      <c r="BM385" s="548" t="s">
        <v>1342</v>
      </c>
      <c r="BN385" s="548" t="s">
        <v>1342</v>
      </c>
      <c r="BO385" s="157" t="s">
        <v>4511</v>
      </c>
      <c r="BP385" s="548" t="s">
        <v>2269</v>
      </c>
      <c r="BQ385" s="157" t="s">
        <v>4274</v>
      </c>
      <c r="BR385" s="157"/>
    </row>
    <row r="386" spans="1:70" x14ac:dyDescent="0.25">
      <c r="A386" s="19" t="s">
        <v>3686</v>
      </c>
      <c r="B386" s="37" t="s">
        <v>5626</v>
      </c>
      <c r="C386" s="90">
        <v>45415.82603009259</v>
      </c>
      <c r="D386" s="114">
        <v>45415.57603009259</v>
      </c>
      <c r="E386" s="38">
        <v>45415</v>
      </c>
      <c r="F386" s="91">
        <v>2024</v>
      </c>
      <c r="G386" s="93">
        <v>5</v>
      </c>
      <c r="H386" s="37" t="s">
        <v>1361</v>
      </c>
      <c r="I386" s="37" t="s">
        <v>16</v>
      </c>
      <c r="J386" s="103">
        <v>-91.920082541268243</v>
      </c>
      <c r="K386" s="40">
        <v>42.795396731274941</v>
      </c>
      <c r="L386" s="74"/>
      <c r="M386" s="272" t="s">
        <v>5627</v>
      </c>
      <c r="N386" s="74">
        <v>1</v>
      </c>
      <c r="O386" s="94"/>
      <c r="P386" s="118">
        <v>1</v>
      </c>
      <c r="Q386" s="510">
        <v>240</v>
      </c>
      <c r="R386" s="513">
        <v>30</v>
      </c>
      <c r="S386" s="41"/>
      <c r="T386" s="40"/>
      <c r="U386" s="40">
        <v>6</v>
      </c>
      <c r="V386" s="119">
        <v>1</v>
      </c>
      <c r="W386" s="40">
        <v>100</v>
      </c>
      <c r="X386" s="119">
        <v>0</v>
      </c>
      <c r="Y386" s="40"/>
      <c r="Z386" s="119">
        <v>1</v>
      </c>
      <c r="AA386" s="368">
        <v>0</v>
      </c>
      <c r="AB386" s="535">
        <v>10</v>
      </c>
      <c r="AC386" s="39" t="s">
        <v>160</v>
      </c>
      <c r="AD386" s="75" t="s">
        <v>8</v>
      </c>
      <c r="AE386" s="95">
        <v>0</v>
      </c>
      <c r="AF386" s="75">
        <v>1</v>
      </c>
      <c r="AG386" s="75">
        <v>0</v>
      </c>
      <c r="AH386" s="75">
        <v>0</v>
      </c>
      <c r="AI386" s="75">
        <v>0</v>
      </c>
      <c r="AJ386" s="75">
        <v>0</v>
      </c>
      <c r="AK386" s="75">
        <v>0</v>
      </c>
      <c r="AL386" s="95">
        <v>0</v>
      </c>
      <c r="AM386" s="92">
        <v>0</v>
      </c>
      <c r="AN386" s="79" t="s">
        <v>81</v>
      </c>
      <c r="AO386" s="75">
        <v>1</v>
      </c>
      <c r="AP386" s="75" t="s">
        <v>83</v>
      </c>
      <c r="AQ386" s="122">
        <v>1</v>
      </c>
      <c r="AR386" s="515" t="s">
        <v>13</v>
      </c>
      <c r="AS386" s="95">
        <v>1</v>
      </c>
      <c r="AT386" s="75">
        <v>0</v>
      </c>
      <c r="AU386" s="75">
        <v>0</v>
      </c>
      <c r="AV386" s="75">
        <v>0</v>
      </c>
      <c r="AW386" s="123">
        <v>0</v>
      </c>
      <c r="AX386" s="516" t="s">
        <v>5628</v>
      </c>
      <c r="AY386" s="75">
        <v>1</v>
      </c>
      <c r="AZ386" s="77" t="s">
        <v>131</v>
      </c>
      <c r="BA386" s="78" t="s">
        <v>132</v>
      </c>
      <c r="BB386" s="78" t="s">
        <v>131</v>
      </c>
      <c r="BC386" s="78" t="s">
        <v>131</v>
      </c>
      <c r="BD386" s="78" t="s">
        <v>131</v>
      </c>
      <c r="BE386" s="78" t="s">
        <v>131</v>
      </c>
      <c r="BF386" s="78" t="s">
        <v>131</v>
      </c>
      <c r="BG386" s="78" t="s">
        <v>131</v>
      </c>
      <c r="BH386" s="75" t="s">
        <v>5970</v>
      </c>
      <c r="BI386" s="295">
        <v>0</v>
      </c>
      <c r="BJ386" s="546" t="s">
        <v>16</v>
      </c>
      <c r="BK386" s="294" t="s">
        <v>16</v>
      </c>
      <c r="BL386" s="157" t="s">
        <v>16</v>
      </c>
      <c r="BM386" s="548" t="s">
        <v>1348</v>
      </c>
      <c r="BN386" s="548" t="s">
        <v>4160</v>
      </c>
      <c r="BO386" s="157" t="s">
        <v>4579</v>
      </c>
      <c r="BP386" s="548" t="s">
        <v>4033</v>
      </c>
      <c r="BQ386" s="157" t="s">
        <v>4571</v>
      </c>
      <c r="BR386" s="157"/>
    </row>
    <row r="387" spans="1:70" x14ac:dyDescent="0.25">
      <c r="A387" s="19" t="s">
        <v>3686</v>
      </c>
      <c r="B387" s="37" t="s">
        <v>5629</v>
      </c>
      <c r="C387" s="90">
        <v>45415.808587962965</v>
      </c>
      <c r="D387" s="114">
        <v>45415.558587962965</v>
      </c>
      <c r="E387" s="38">
        <v>45415</v>
      </c>
      <c r="F387" s="91">
        <v>2024</v>
      </c>
      <c r="G387" s="93">
        <v>5</v>
      </c>
      <c r="H387" s="37" t="s">
        <v>5389</v>
      </c>
      <c r="I387" s="37"/>
      <c r="J387" s="103">
        <v>-91.885192399999994</v>
      </c>
      <c r="K387" s="40">
        <v>42.802768399999998</v>
      </c>
      <c r="L387" s="74"/>
      <c r="M387" s="272" t="s">
        <v>5630</v>
      </c>
      <c r="N387" s="74">
        <v>1</v>
      </c>
      <c r="O387" s="94"/>
      <c r="P387" s="118">
        <v>1</v>
      </c>
      <c r="Q387" s="510">
        <v>40</v>
      </c>
      <c r="R387" s="513">
        <v>180</v>
      </c>
      <c r="S387" s="41"/>
      <c r="T387" s="40"/>
      <c r="U387" s="40">
        <v>7</v>
      </c>
      <c r="V387" s="119">
        <v>1</v>
      </c>
      <c r="W387" s="40">
        <v>100</v>
      </c>
      <c r="X387" s="119">
        <v>0</v>
      </c>
      <c r="Y387" s="40"/>
      <c r="Z387" s="119">
        <v>1</v>
      </c>
      <c r="AA387" s="368">
        <v>0</v>
      </c>
      <c r="AB387" s="535">
        <v>20</v>
      </c>
      <c r="AC387" s="39"/>
      <c r="AD387" s="75" t="s">
        <v>8</v>
      </c>
      <c r="AE387" s="95">
        <v>0</v>
      </c>
      <c r="AF387" s="75">
        <v>1</v>
      </c>
      <c r="AG387" s="75">
        <v>0</v>
      </c>
      <c r="AH387" s="75">
        <v>0</v>
      </c>
      <c r="AI387" s="75">
        <v>0</v>
      </c>
      <c r="AJ387" s="75">
        <v>0</v>
      </c>
      <c r="AK387" s="75">
        <v>0</v>
      </c>
      <c r="AL387" s="95">
        <v>0</v>
      </c>
      <c r="AM387" s="92">
        <v>0</v>
      </c>
      <c r="AN387" s="79" t="s">
        <v>81</v>
      </c>
      <c r="AO387" s="75">
        <v>1</v>
      </c>
      <c r="AP387" s="75" t="s">
        <v>84</v>
      </c>
      <c r="AQ387" s="122">
        <v>1</v>
      </c>
      <c r="AR387" s="515" t="s">
        <v>13</v>
      </c>
      <c r="AS387" s="95">
        <v>1</v>
      </c>
      <c r="AT387" s="75">
        <v>0</v>
      </c>
      <c r="AU387" s="75">
        <v>0</v>
      </c>
      <c r="AV387" s="75">
        <v>0</v>
      </c>
      <c r="AW387" s="123">
        <v>0</v>
      </c>
      <c r="AX387" s="516"/>
      <c r="AY387" s="75">
        <v>0</v>
      </c>
      <c r="AZ387" s="77" t="s">
        <v>131</v>
      </c>
      <c r="BA387" s="78" t="s">
        <v>132</v>
      </c>
      <c r="BB387" s="78" t="s">
        <v>131</v>
      </c>
      <c r="BC387" s="78" t="s">
        <v>131</v>
      </c>
      <c r="BD387" s="78" t="s">
        <v>131</v>
      </c>
      <c r="BE387" s="78" t="s">
        <v>131</v>
      </c>
      <c r="BF387" s="78" t="s">
        <v>131</v>
      </c>
      <c r="BG387" s="78" t="s">
        <v>131</v>
      </c>
      <c r="BH387" s="75" t="s">
        <v>5970</v>
      </c>
      <c r="BI387" s="295" t="s">
        <v>16</v>
      </c>
      <c r="BJ387" s="546">
        <v>1</v>
      </c>
      <c r="BK387" s="294" t="s">
        <v>16</v>
      </c>
      <c r="BL387" s="157" t="s">
        <v>16</v>
      </c>
      <c r="BM387" s="548" t="s">
        <v>1348</v>
      </c>
      <c r="BN387" s="548" t="s">
        <v>1344</v>
      </c>
      <c r="BO387" s="157" t="s">
        <v>4579</v>
      </c>
      <c r="BP387" s="548" t="s">
        <v>4033</v>
      </c>
      <c r="BQ387" s="157" t="s">
        <v>4571</v>
      </c>
      <c r="BR387" s="157"/>
    </row>
    <row r="388" spans="1:70" x14ac:dyDescent="0.25">
      <c r="A388" s="19" t="s">
        <v>3686</v>
      </c>
      <c r="B388" s="37" t="s">
        <v>5631</v>
      </c>
      <c r="C388" s="90">
        <v>45415.779374999998</v>
      </c>
      <c r="D388" s="114">
        <v>45415.529374999998</v>
      </c>
      <c r="E388" s="38">
        <v>45415</v>
      </c>
      <c r="F388" s="91">
        <v>2024</v>
      </c>
      <c r="G388" s="93">
        <v>5</v>
      </c>
      <c r="H388" s="37" t="s">
        <v>5389</v>
      </c>
      <c r="I388" s="37"/>
      <c r="J388" s="103">
        <v>-91.804122399999997</v>
      </c>
      <c r="K388" s="40">
        <v>42.7559009</v>
      </c>
      <c r="L388" s="74"/>
      <c r="M388" s="272" t="s">
        <v>5632</v>
      </c>
      <c r="N388" s="74">
        <v>1</v>
      </c>
      <c r="O388" s="94"/>
      <c r="P388" s="118">
        <v>1</v>
      </c>
      <c r="Q388" s="510">
        <v>80</v>
      </c>
      <c r="R388" s="513">
        <v>120</v>
      </c>
      <c r="S388" s="41"/>
      <c r="T388" s="40"/>
      <c r="U388" s="40">
        <v>6.5</v>
      </c>
      <c r="V388" s="119">
        <v>1</v>
      </c>
      <c r="W388" s="40">
        <v>200</v>
      </c>
      <c r="X388" s="119">
        <v>0</v>
      </c>
      <c r="Y388" s="40"/>
      <c r="Z388" s="119">
        <v>1</v>
      </c>
      <c r="AA388" s="368">
        <v>0</v>
      </c>
      <c r="AB388" s="535">
        <v>20</v>
      </c>
      <c r="AC388" s="39" t="s">
        <v>160</v>
      </c>
      <c r="AD388" s="75" t="s">
        <v>8</v>
      </c>
      <c r="AE388" s="95">
        <v>0</v>
      </c>
      <c r="AF388" s="75">
        <v>1</v>
      </c>
      <c r="AG388" s="75">
        <v>0</v>
      </c>
      <c r="AH388" s="75">
        <v>0</v>
      </c>
      <c r="AI388" s="75">
        <v>0</v>
      </c>
      <c r="AJ388" s="75">
        <v>0</v>
      </c>
      <c r="AK388" s="75">
        <v>0</v>
      </c>
      <c r="AL388" s="95">
        <v>0</v>
      </c>
      <c r="AM388" s="92">
        <v>0</v>
      </c>
      <c r="AN388" s="79" t="s">
        <v>81</v>
      </c>
      <c r="AO388" s="75">
        <v>1</v>
      </c>
      <c r="AP388" s="75" t="s">
        <v>84</v>
      </c>
      <c r="AQ388" s="122">
        <v>1</v>
      </c>
      <c r="AR388" s="515" t="s">
        <v>13</v>
      </c>
      <c r="AS388" s="95">
        <v>1</v>
      </c>
      <c r="AT388" s="75">
        <v>0</v>
      </c>
      <c r="AU388" s="75">
        <v>0</v>
      </c>
      <c r="AV388" s="75">
        <v>0</v>
      </c>
      <c r="AW388" s="123">
        <v>0</v>
      </c>
      <c r="AX388" s="516" t="s">
        <v>5633</v>
      </c>
      <c r="AY388" s="75">
        <v>1</v>
      </c>
      <c r="AZ388" s="77" t="s">
        <v>131</v>
      </c>
      <c r="BA388" s="78" t="s">
        <v>132</v>
      </c>
      <c r="BB388" s="78" t="s">
        <v>131</v>
      </c>
      <c r="BC388" s="78" t="s">
        <v>131</v>
      </c>
      <c r="BD388" s="78" t="s">
        <v>131</v>
      </c>
      <c r="BE388" s="78" t="s">
        <v>131</v>
      </c>
      <c r="BF388" s="78" t="s">
        <v>131</v>
      </c>
      <c r="BG388" s="78" t="s">
        <v>131</v>
      </c>
      <c r="BH388" s="75" t="s">
        <v>5970</v>
      </c>
      <c r="BI388" s="295" t="s">
        <v>4033</v>
      </c>
      <c r="BJ388" s="546" t="s">
        <v>16</v>
      </c>
      <c r="BK388" s="294" t="s">
        <v>16</v>
      </c>
      <c r="BL388" s="157" t="s">
        <v>16</v>
      </c>
      <c r="BM388" s="548" t="s">
        <v>1344</v>
      </c>
      <c r="BN388" s="548" t="s">
        <v>1344</v>
      </c>
      <c r="BO388" s="157" t="s">
        <v>4579</v>
      </c>
      <c r="BP388" s="548" t="s">
        <v>4033</v>
      </c>
      <c r="BQ388" s="157" t="s">
        <v>4571</v>
      </c>
      <c r="BR388" s="157"/>
    </row>
    <row r="389" spans="1:70" x14ac:dyDescent="0.25">
      <c r="A389" s="19" t="s">
        <v>3686</v>
      </c>
      <c r="B389" s="37" t="s">
        <v>5634</v>
      </c>
      <c r="C389" s="90">
        <v>45415.758657407408</v>
      </c>
      <c r="D389" s="114">
        <v>45415.508657407408</v>
      </c>
      <c r="E389" s="38">
        <v>45415</v>
      </c>
      <c r="F389" s="91">
        <v>2024</v>
      </c>
      <c r="G389" s="93">
        <v>5</v>
      </c>
      <c r="H389" s="37" t="s">
        <v>5389</v>
      </c>
      <c r="I389" s="37"/>
      <c r="J389" s="103">
        <v>-91.843702699999994</v>
      </c>
      <c r="K389" s="40">
        <v>42.738380200000002</v>
      </c>
      <c r="L389" s="74"/>
      <c r="M389" s="272" t="s">
        <v>5635</v>
      </c>
      <c r="N389" s="74">
        <v>1</v>
      </c>
      <c r="O389" s="94"/>
      <c r="P389" s="118">
        <v>1</v>
      </c>
      <c r="Q389" s="510">
        <v>80</v>
      </c>
      <c r="R389" s="513">
        <v>120</v>
      </c>
      <c r="S389" s="41"/>
      <c r="T389" s="40"/>
      <c r="U389" s="40">
        <v>6.5</v>
      </c>
      <c r="V389" s="119">
        <v>1</v>
      </c>
      <c r="W389" s="40">
        <v>100</v>
      </c>
      <c r="X389" s="119">
        <v>0</v>
      </c>
      <c r="Y389" s="40"/>
      <c r="Z389" s="119">
        <v>1</v>
      </c>
      <c r="AA389" s="368">
        <v>0</v>
      </c>
      <c r="AB389" s="535">
        <v>20</v>
      </c>
      <c r="AC389" s="39" t="s">
        <v>160</v>
      </c>
      <c r="AD389" s="75" t="s">
        <v>365</v>
      </c>
      <c r="AE389" s="95">
        <v>0</v>
      </c>
      <c r="AF389" s="75">
        <v>1</v>
      </c>
      <c r="AG389" s="75">
        <v>1</v>
      </c>
      <c r="AH389" s="75">
        <v>0</v>
      </c>
      <c r="AI389" s="75">
        <v>0</v>
      </c>
      <c r="AJ389" s="75">
        <v>0</v>
      </c>
      <c r="AK389" s="75">
        <v>0</v>
      </c>
      <c r="AL389" s="95">
        <v>0</v>
      </c>
      <c r="AM389" s="92">
        <v>0</v>
      </c>
      <c r="AN389" s="79" t="s">
        <v>81</v>
      </c>
      <c r="AO389" s="75">
        <v>1</v>
      </c>
      <c r="AP389" s="75" t="s">
        <v>84</v>
      </c>
      <c r="AQ389" s="122">
        <v>1</v>
      </c>
      <c r="AR389" s="515" t="s">
        <v>13</v>
      </c>
      <c r="AS389" s="95">
        <v>1</v>
      </c>
      <c r="AT389" s="75">
        <v>0</v>
      </c>
      <c r="AU389" s="75">
        <v>0</v>
      </c>
      <c r="AV389" s="75">
        <v>0</v>
      </c>
      <c r="AW389" s="123">
        <v>0</v>
      </c>
      <c r="AX389" s="516" t="s">
        <v>5636</v>
      </c>
      <c r="AY389" s="75">
        <v>1</v>
      </c>
      <c r="AZ389" s="77" t="s">
        <v>131</v>
      </c>
      <c r="BA389" s="78" t="s">
        <v>132</v>
      </c>
      <c r="BB389" s="78" t="s">
        <v>132</v>
      </c>
      <c r="BC389" s="78" t="s">
        <v>131</v>
      </c>
      <c r="BD389" s="78" t="s">
        <v>131</v>
      </c>
      <c r="BE389" s="78" t="s">
        <v>131</v>
      </c>
      <c r="BF389" s="78" t="s">
        <v>131</v>
      </c>
      <c r="BG389" s="78" t="s">
        <v>131</v>
      </c>
      <c r="BH389" s="75" t="s">
        <v>5970</v>
      </c>
      <c r="BI389" s="295" t="s">
        <v>4033</v>
      </c>
      <c r="BJ389" s="546">
        <v>1</v>
      </c>
      <c r="BK389" s="294" t="s">
        <v>16</v>
      </c>
      <c r="BL389" s="157" t="s">
        <v>16</v>
      </c>
      <c r="BM389" s="548" t="s">
        <v>1348</v>
      </c>
      <c r="BN389" s="548" t="s">
        <v>1344</v>
      </c>
      <c r="BO389" s="157" t="s">
        <v>4579</v>
      </c>
      <c r="BP389" s="548" t="s">
        <v>4033</v>
      </c>
      <c r="BQ389" s="157" t="s">
        <v>4571</v>
      </c>
      <c r="BR389" s="157"/>
    </row>
    <row r="390" spans="1:70" x14ac:dyDescent="0.25">
      <c r="A390" s="19" t="s">
        <v>3686</v>
      </c>
      <c r="B390" s="37" t="s">
        <v>5637</v>
      </c>
      <c r="C390" s="90">
        <v>45415.74827546296</v>
      </c>
      <c r="D390" s="114">
        <v>45415.49827546296</v>
      </c>
      <c r="E390" s="38">
        <v>45415</v>
      </c>
      <c r="F390" s="91">
        <v>2024</v>
      </c>
      <c r="G390" s="93">
        <v>5</v>
      </c>
      <c r="H390" s="37" t="s">
        <v>5389</v>
      </c>
      <c r="I390" s="37"/>
      <c r="J390" s="103">
        <v>-91.843460899999997</v>
      </c>
      <c r="K390" s="40">
        <v>42.742261900000003</v>
      </c>
      <c r="L390" s="74"/>
      <c r="M390" s="272" t="s">
        <v>5638</v>
      </c>
      <c r="N390" s="74">
        <v>1</v>
      </c>
      <c r="O390" s="94"/>
      <c r="P390" s="118">
        <v>1</v>
      </c>
      <c r="Q390" s="510">
        <v>40</v>
      </c>
      <c r="R390" s="513">
        <v>120</v>
      </c>
      <c r="S390" s="41"/>
      <c r="T390" s="40"/>
      <c r="U390" s="40">
        <v>7</v>
      </c>
      <c r="V390" s="119">
        <v>1</v>
      </c>
      <c r="W390" s="40">
        <v>100</v>
      </c>
      <c r="X390" s="119">
        <v>0</v>
      </c>
      <c r="Y390" s="40"/>
      <c r="Z390" s="119">
        <v>1</v>
      </c>
      <c r="AA390" s="368">
        <v>0</v>
      </c>
      <c r="AB390" s="535">
        <v>20</v>
      </c>
      <c r="AC390" s="39" t="s">
        <v>160</v>
      </c>
      <c r="AD390" s="75" t="s">
        <v>365</v>
      </c>
      <c r="AE390" s="95">
        <v>0</v>
      </c>
      <c r="AF390" s="75">
        <v>1</v>
      </c>
      <c r="AG390" s="75">
        <v>1</v>
      </c>
      <c r="AH390" s="75">
        <v>0</v>
      </c>
      <c r="AI390" s="75">
        <v>0</v>
      </c>
      <c r="AJ390" s="75">
        <v>0</v>
      </c>
      <c r="AK390" s="75">
        <v>0</v>
      </c>
      <c r="AL390" s="95">
        <v>0</v>
      </c>
      <c r="AM390" s="92">
        <v>0</v>
      </c>
      <c r="AN390" s="79" t="s">
        <v>81</v>
      </c>
      <c r="AO390" s="75">
        <v>1</v>
      </c>
      <c r="AP390" s="75" t="s">
        <v>85</v>
      </c>
      <c r="AQ390" s="122">
        <v>1</v>
      </c>
      <c r="AR390" s="515" t="s">
        <v>13</v>
      </c>
      <c r="AS390" s="95">
        <v>1</v>
      </c>
      <c r="AT390" s="75">
        <v>0</v>
      </c>
      <c r="AU390" s="75">
        <v>0</v>
      </c>
      <c r="AV390" s="75">
        <v>0</v>
      </c>
      <c r="AW390" s="123">
        <v>0</v>
      </c>
      <c r="AX390" s="516" t="s">
        <v>5639</v>
      </c>
      <c r="AY390" s="75">
        <v>1</v>
      </c>
      <c r="AZ390" s="77" t="s">
        <v>131</v>
      </c>
      <c r="BA390" s="78" t="s">
        <v>132</v>
      </c>
      <c r="BB390" s="78" t="s">
        <v>132</v>
      </c>
      <c r="BC390" s="78" t="s">
        <v>131</v>
      </c>
      <c r="BD390" s="78" t="s">
        <v>131</v>
      </c>
      <c r="BE390" s="78" t="s">
        <v>131</v>
      </c>
      <c r="BF390" s="78" t="s">
        <v>131</v>
      </c>
      <c r="BG390" s="78" t="s">
        <v>131</v>
      </c>
      <c r="BH390" s="75" t="s">
        <v>5970</v>
      </c>
      <c r="BI390" s="295" t="s">
        <v>4033</v>
      </c>
      <c r="BJ390" s="546">
        <v>1</v>
      </c>
      <c r="BK390" s="294" t="s">
        <v>16</v>
      </c>
      <c r="BL390" s="157" t="s">
        <v>16</v>
      </c>
      <c r="BM390" s="548" t="s">
        <v>1348</v>
      </c>
      <c r="BN390" s="548" t="s">
        <v>1344</v>
      </c>
      <c r="BO390" s="157" t="s">
        <v>4579</v>
      </c>
      <c r="BP390" s="548" t="s">
        <v>4033</v>
      </c>
      <c r="BQ390" s="157" t="s">
        <v>4571</v>
      </c>
      <c r="BR390" s="157"/>
    </row>
    <row r="391" spans="1:70" x14ac:dyDescent="0.25">
      <c r="A391" s="19" t="s">
        <v>3686</v>
      </c>
      <c r="B391" s="37" t="s">
        <v>5640</v>
      </c>
      <c r="C391" s="90">
        <v>45415.733854166669</v>
      </c>
      <c r="D391" s="114">
        <v>45415.483854166669</v>
      </c>
      <c r="E391" s="38">
        <v>45415</v>
      </c>
      <c r="F391" s="91">
        <v>2024</v>
      </c>
      <c r="G391" s="93">
        <v>5</v>
      </c>
      <c r="H391" s="37" t="s">
        <v>5389</v>
      </c>
      <c r="I391" s="37"/>
      <c r="J391" s="103">
        <v>-91.862740400000007</v>
      </c>
      <c r="K391" s="40">
        <v>42.771737700000003</v>
      </c>
      <c r="L391" s="74"/>
      <c r="M391" s="272" t="s">
        <v>5641</v>
      </c>
      <c r="N391" s="74">
        <v>1</v>
      </c>
      <c r="O391" s="94"/>
      <c r="P391" s="118">
        <v>1</v>
      </c>
      <c r="Q391" s="510">
        <v>40</v>
      </c>
      <c r="R391" s="513">
        <v>180</v>
      </c>
      <c r="S391" s="41"/>
      <c r="T391" s="40"/>
      <c r="U391" s="40">
        <v>7</v>
      </c>
      <c r="V391" s="119">
        <v>1</v>
      </c>
      <c r="W391" s="40">
        <v>100</v>
      </c>
      <c r="X391" s="119">
        <v>1</v>
      </c>
      <c r="Y391" s="40">
        <v>0</v>
      </c>
      <c r="Z391" s="119">
        <v>1</v>
      </c>
      <c r="AA391" s="368">
        <v>0</v>
      </c>
      <c r="AB391" s="535">
        <v>20</v>
      </c>
      <c r="AC391" s="39" t="s">
        <v>160</v>
      </c>
      <c r="AD391" s="75" t="s">
        <v>365</v>
      </c>
      <c r="AE391" s="95">
        <v>0</v>
      </c>
      <c r="AF391" s="75">
        <v>1</v>
      </c>
      <c r="AG391" s="75">
        <v>1</v>
      </c>
      <c r="AH391" s="75">
        <v>0</v>
      </c>
      <c r="AI391" s="75">
        <v>0</v>
      </c>
      <c r="AJ391" s="75">
        <v>0</v>
      </c>
      <c r="AK391" s="75">
        <v>0</v>
      </c>
      <c r="AL391" s="95">
        <v>0</v>
      </c>
      <c r="AM391" s="92">
        <v>0</v>
      </c>
      <c r="AN391" s="79" t="s">
        <v>81</v>
      </c>
      <c r="AO391" s="75">
        <v>1</v>
      </c>
      <c r="AP391" s="75" t="s">
        <v>84</v>
      </c>
      <c r="AQ391" s="122">
        <v>1</v>
      </c>
      <c r="AR391" s="515" t="s">
        <v>13</v>
      </c>
      <c r="AS391" s="95">
        <v>1</v>
      </c>
      <c r="AT391" s="75">
        <v>0</v>
      </c>
      <c r="AU391" s="75">
        <v>0</v>
      </c>
      <c r="AV391" s="75">
        <v>0</v>
      </c>
      <c r="AW391" s="123">
        <v>0</v>
      </c>
      <c r="AX391" s="516" t="s">
        <v>5642</v>
      </c>
      <c r="AY391" s="75">
        <v>1</v>
      </c>
      <c r="AZ391" s="77" t="s">
        <v>131</v>
      </c>
      <c r="BA391" s="78" t="s">
        <v>132</v>
      </c>
      <c r="BB391" s="78" t="s">
        <v>132</v>
      </c>
      <c r="BC391" s="78" t="s">
        <v>131</v>
      </c>
      <c r="BD391" s="78" t="s">
        <v>131</v>
      </c>
      <c r="BE391" s="78" t="s">
        <v>131</v>
      </c>
      <c r="BF391" s="78" t="s">
        <v>131</v>
      </c>
      <c r="BG391" s="78" t="s">
        <v>131</v>
      </c>
      <c r="BH391" s="75" t="s">
        <v>5970</v>
      </c>
      <c r="BI391" s="295">
        <v>0</v>
      </c>
      <c r="BJ391" s="546" t="s">
        <v>16</v>
      </c>
      <c r="BK391" s="294" t="s">
        <v>16</v>
      </c>
      <c r="BL391" s="157" t="s">
        <v>16</v>
      </c>
      <c r="BM391" s="548" t="s">
        <v>1348</v>
      </c>
      <c r="BN391" s="548" t="s">
        <v>1344</v>
      </c>
      <c r="BO391" s="157" t="s">
        <v>4579</v>
      </c>
      <c r="BP391" s="548" t="s">
        <v>4033</v>
      </c>
      <c r="BQ391" s="157" t="s">
        <v>4571</v>
      </c>
      <c r="BR391" s="157"/>
    </row>
    <row r="392" spans="1:70" x14ac:dyDescent="0.25">
      <c r="A392" s="19" t="s">
        <v>3686</v>
      </c>
      <c r="B392" s="37" t="s">
        <v>5643</v>
      </c>
      <c r="C392" s="90">
        <v>45415.707256944443</v>
      </c>
      <c r="D392" s="114">
        <v>45415.457256944443</v>
      </c>
      <c r="E392" s="38">
        <v>45415</v>
      </c>
      <c r="F392" s="91">
        <v>2024</v>
      </c>
      <c r="G392" s="93">
        <v>5</v>
      </c>
      <c r="H392" s="37" t="s">
        <v>5389</v>
      </c>
      <c r="I392" s="37"/>
      <c r="J392" s="103">
        <v>-91.831551200000007</v>
      </c>
      <c r="K392" s="40">
        <v>42.818140300000003</v>
      </c>
      <c r="L392" s="74"/>
      <c r="M392" s="272" t="s">
        <v>5644</v>
      </c>
      <c r="N392" s="74">
        <v>1</v>
      </c>
      <c r="O392" s="94"/>
      <c r="P392" s="118">
        <v>1</v>
      </c>
      <c r="Q392" s="510">
        <v>40</v>
      </c>
      <c r="R392" s="513">
        <v>180</v>
      </c>
      <c r="S392" s="41"/>
      <c r="T392" s="40"/>
      <c r="U392" s="40">
        <v>6</v>
      </c>
      <c r="V392" s="119">
        <v>0</v>
      </c>
      <c r="W392" s="40"/>
      <c r="X392" s="119">
        <v>0</v>
      </c>
      <c r="Y392" s="40"/>
      <c r="Z392" s="119">
        <v>1</v>
      </c>
      <c r="AA392" s="368">
        <v>0</v>
      </c>
      <c r="AB392" s="535">
        <v>20</v>
      </c>
      <c r="AC392" s="39"/>
      <c r="AD392" s="75" t="s">
        <v>8</v>
      </c>
      <c r="AE392" s="95">
        <v>0</v>
      </c>
      <c r="AF392" s="75">
        <v>1</v>
      </c>
      <c r="AG392" s="75">
        <v>0</v>
      </c>
      <c r="AH392" s="75">
        <v>0</v>
      </c>
      <c r="AI392" s="75">
        <v>0</v>
      </c>
      <c r="AJ392" s="75">
        <v>0</v>
      </c>
      <c r="AK392" s="75">
        <v>0</v>
      </c>
      <c r="AL392" s="95">
        <v>0</v>
      </c>
      <c r="AM392" s="92">
        <v>0</v>
      </c>
      <c r="AN392" s="79" t="s">
        <v>81</v>
      </c>
      <c r="AO392" s="75">
        <v>1</v>
      </c>
      <c r="AP392" s="75" t="s">
        <v>83</v>
      </c>
      <c r="AQ392" s="122">
        <v>1</v>
      </c>
      <c r="AR392" s="515" t="s">
        <v>13</v>
      </c>
      <c r="AS392" s="95">
        <v>1</v>
      </c>
      <c r="AT392" s="75">
        <v>0</v>
      </c>
      <c r="AU392" s="75">
        <v>0</v>
      </c>
      <c r="AV392" s="75">
        <v>0</v>
      </c>
      <c r="AW392" s="123">
        <v>0</v>
      </c>
      <c r="AX392" s="516" t="s">
        <v>5645</v>
      </c>
      <c r="AY392" s="75">
        <v>1</v>
      </c>
      <c r="AZ392" s="77" t="s">
        <v>131</v>
      </c>
      <c r="BA392" s="78" t="s">
        <v>132</v>
      </c>
      <c r="BB392" s="78" t="s">
        <v>131</v>
      </c>
      <c r="BC392" s="78" t="s">
        <v>131</v>
      </c>
      <c r="BD392" s="78" t="s">
        <v>131</v>
      </c>
      <c r="BE392" s="78" t="s">
        <v>131</v>
      </c>
      <c r="BF392" s="78" t="s">
        <v>131</v>
      </c>
      <c r="BG392" s="78" t="s">
        <v>131</v>
      </c>
      <c r="BH392" s="75" t="s">
        <v>5970</v>
      </c>
      <c r="BI392" s="295" t="s">
        <v>16</v>
      </c>
      <c r="BJ392" s="546" t="s">
        <v>16</v>
      </c>
      <c r="BK392" s="294" t="s">
        <v>16</v>
      </c>
      <c r="BL392" s="157" t="s">
        <v>16</v>
      </c>
      <c r="BM392" s="548" t="s">
        <v>1344</v>
      </c>
      <c r="BN392" s="548" t="s">
        <v>1344</v>
      </c>
      <c r="BO392" s="157" t="s">
        <v>4576</v>
      </c>
      <c r="BP392" s="548" t="s">
        <v>4577</v>
      </c>
      <c r="BQ392" s="157" t="s">
        <v>4571</v>
      </c>
      <c r="BR392" s="157"/>
    </row>
    <row r="393" spans="1:70" x14ac:dyDescent="0.25">
      <c r="A393" s="19" t="s">
        <v>3686</v>
      </c>
      <c r="B393" s="37" t="s">
        <v>5646</v>
      </c>
      <c r="C393" s="90">
        <v>45415.692916666667</v>
      </c>
      <c r="D393" s="114">
        <v>45415.442916666667</v>
      </c>
      <c r="E393" s="38">
        <v>45415</v>
      </c>
      <c r="F393" s="91">
        <v>2024</v>
      </c>
      <c r="G393" s="93">
        <v>5</v>
      </c>
      <c r="H393" s="37" t="s">
        <v>5389</v>
      </c>
      <c r="I393" s="37"/>
      <c r="J393" s="103">
        <v>-91.809842099999997</v>
      </c>
      <c r="K393" s="40">
        <v>42.818580599999997</v>
      </c>
      <c r="L393" s="74"/>
      <c r="M393" s="272" t="s">
        <v>5647</v>
      </c>
      <c r="N393" s="74">
        <v>1</v>
      </c>
      <c r="O393" s="94"/>
      <c r="P393" s="118">
        <v>1</v>
      </c>
      <c r="Q393" s="510">
        <v>40</v>
      </c>
      <c r="R393" s="513">
        <v>0</v>
      </c>
      <c r="S393" s="41"/>
      <c r="T393" s="40"/>
      <c r="U393" s="40">
        <v>7</v>
      </c>
      <c r="V393" s="119">
        <v>0</v>
      </c>
      <c r="W393" s="40"/>
      <c r="X393" s="119">
        <v>0</v>
      </c>
      <c r="Y393" s="40"/>
      <c r="Z393" s="119">
        <v>1</v>
      </c>
      <c r="AA393" s="368">
        <v>0</v>
      </c>
      <c r="AB393" s="535">
        <v>10</v>
      </c>
      <c r="AC393" s="39"/>
      <c r="AD393" s="75" t="s">
        <v>10</v>
      </c>
      <c r="AE393" s="95">
        <v>0</v>
      </c>
      <c r="AF393" s="75">
        <v>0</v>
      </c>
      <c r="AG393" s="75">
        <v>0</v>
      </c>
      <c r="AH393" s="75">
        <v>0</v>
      </c>
      <c r="AI393" s="75">
        <v>0</v>
      </c>
      <c r="AJ393" s="75">
        <v>0</v>
      </c>
      <c r="AK393" s="75">
        <v>0</v>
      </c>
      <c r="AL393" s="95">
        <v>1</v>
      </c>
      <c r="AM393" s="92">
        <v>0</v>
      </c>
      <c r="AN393" s="79" t="s">
        <v>81</v>
      </c>
      <c r="AO393" s="75">
        <v>1</v>
      </c>
      <c r="AP393" s="75" t="s">
        <v>84</v>
      </c>
      <c r="AQ393" s="122">
        <v>1</v>
      </c>
      <c r="AR393" s="515" t="s">
        <v>13</v>
      </c>
      <c r="AS393" s="95">
        <v>1</v>
      </c>
      <c r="AT393" s="75">
        <v>0</v>
      </c>
      <c r="AU393" s="75">
        <v>0</v>
      </c>
      <c r="AV393" s="75">
        <v>0</v>
      </c>
      <c r="AW393" s="123">
        <v>0</v>
      </c>
      <c r="AX393" s="516" t="s">
        <v>5648</v>
      </c>
      <c r="AY393" s="75">
        <v>1</v>
      </c>
      <c r="AZ393" s="77" t="s">
        <v>131</v>
      </c>
      <c r="BA393" s="78" t="s">
        <v>131</v>
      </c>
      <c r="BB393" s="78" t="s">
        <v>131</v>
      </c>
      <c r="BC393" s="78" t="s">
        <v>131</v>
      </c>
      <c r="BD393" s="78" t="s">
        <v>131</v>
      </c>
      <c r="BE393" s="78" t="s">
        <v>131</v>
      </c>
      <c r="BF393" s="78" t="s">
        <v>131</v>
      </c>
      <c r="BG393" s="78" t="s">
        <v>132</v>
      </c>
      <c r="BH393" s="75" t="s">
        <v>5970</v>
      </c>
      <c r="BI393" s="295" t="s">
        <v>4032</v>
      </c>
      <c r="BJ393" s="546" t="s">
        <v>16</v>
      </c>
      <c r="BK393" s="294" t="s">
        <v>16</v>
      </c>
      <c r="BL393" s="157" t="s">
        <v>16</v>
      </c>
      <c r="BM393" s="548" t="s">
        <v>1344</v>
      </c>
      <c r="BN393" s="548" t="s">
        <v>1344</v>
      </c>
      <c r="BO393" s="157" t="s">
        <v>4572</v>
      </c>
      <c r="BP393" s="548" t="s">
        <v>4574</v>
      </c>
      <c r="BQ393" s="157" t="s">
        <v>4571</v>
      </c>
      <c r="BR393" s="157"/>
    </row>
    <row r="394" spans="1:70" x14ac:dyDescent="0.25">
      <c r="A394" s="19" t="s">
        <v>3686</v>
      </c>
      <c r="B394" s="37" t="s">
        <v>5649</v>
      </c>
      <c r="C394" s="90">
        <v>45415.67796296296</v>
      </c>
      <c r="D394" s="114">
        <v>45415.42796296296</v>
      </c>
      <c r="E394" s="38">
        <v>45415</v>
      </c>
      <c r="F394" s="91">
        <v>2024</v>
      </c>
      <c r="G394" s="93">
        <v>5</v>
      </c>
      <c r="H394" s="37" t="s">
        <v>5389</v>
      </c>
      <c r="I394" s="37"/>
      <c r="J394" s="103">
        <v>-91.805633200000003</v>
      </c>
      <c r="K394" s="40">
        <v>42.811751600000001</v>
      </c>
      <c r="L394" s="74"/>
      <c r="M394" s="272" t="s">
        <v>5650</v>
      </c>
      <c r="N394" s="74">
        <v>1</v>
      </c>
      <c r="O394" s="94"/>
      <c r="P394" s="118">
        <v>1</v>
      </c>
      <c r="Q394" s="510">
        <v>80</v>
      </c>
      <c r="R394" s="513">
        <v>120</v>
      </c>
      <c r="S394" s="41"/>
      <c r="T394" s="40"/>
      <c r="U394" s="40">
        <v>7</v>
      </c>
      <c r="V394" s="119">
        <v>1</v>
      </c>
      <c r="W394" s="40">
        <v>0</v>
      </c>
      <c r="X394" s="119">
        <v>0</v>
      </c>
      <c r="Y394" s="40"/>
      <c r="Z394" s="119">
        <v>1</v>
      </c>
      <c r="AA394" s="368">
        <v>0</v>
      </c>
      <c r="AB394" s="535">
        <v>10</v>
      </c>
      <c r="AC394" s="39" t="s">
        <v>160</v>
      </c>
      <c r="AD394" s="75" t="s">
        <v>5599</v>
      </c>
      <c r="AE394" s="95">
        <v>1</v>
      </c>
      <c r="AF394" s="75">
        <v>1</v>
      </c>
      <c r="AG394" s="75">
        <v>1</v>
      </c>
      <c r="AH394" s="75">
        <v>0</v>
      </c>
      <c r="AI394" s="75">
        <v>0</v>
      </c>
      <c r="AJ394" s="75">
        <v>0</v>
      </c>
      <c r="AK394" s="75">
        <v>0</v>
      </c>
      <c r="AL394" s="95">
        <v>0</v>
      </c>
      <c r="AM394" s="92">
        <v>0</v>
      </c>
      <c r="AN394" s="79" t="s">
        <v>81</v>
      </c>
      <c r="AO394" s="75">
        <v>1</v>
      </c>
      <c r="AP394" s="75" t="s">
        <v>83</v>
      </c>
      <c r="AQ394" s="122">
        <v>1</v>
      </c>
      <c r="AR394" s="515" t="s">
        <v>13</v>
      </c>
      <c r="AS394" s="95">
        <v>1</v>
      </c>
      <c r="AT394" s="75">
        <v>0</v>
      </c>
      <c r="AU394" s="75">
        <v>0</v>
      </c>
      <c r="AV394" s="75">
        <v>0</v>
      </c>
      <c r="AW394" s="123">
        <v>0</v>
      </c>
      <c r="AX394" s="516" t="s">
        <v>5651</v>
      </c>
      <c r="AY394" s="75">
        <v>1</v>
      </c>
      <c r="AZ394" s="77" t="s">
        <v>132</v>
      </c>
      <c r="BA394" s="78" t="s">
        <v>132</v>
      </c>
      <c r="BB394" s="78" t="s">
        <v>132</v>
      </c>
      <c r="BC394" s="78" t="s">
        <v>131</v>
      </c>
      <c r="BD394" s="78" t="s">
        <v>131</v>
      </c>
      <c r="BE394" s="78" t="s">
        <v>131</v>
      </c>
      <c r="BF394" s="78" t="s">
        <v>131</v>
      </c>
      <c r="BG394" s="78" t="s">
        <v>131</v>
      </c>
      <c r="BH394" s="75" t="s">
        <v>5970</v>
      </c>
      <c r="BI394" s="295" t="s">
        <v>4032</v>
      </c>
      <c r="BJ394" s="546" t="s">
        <v>16</v>
      </c>
      <c r="BK394" s="294" t="s">
        <v>16</v>
      </c>
      <c r="BL394" s="157" t="s">
        <v>16</v>
      </c>
      <c r="BM394" s="548" t="s">
        <v>1344</v>
      </c>
      <c r="BN394" s="548" t="s">
        <v>1344</v>
      </c>
      <c r="BO394" s="157" t="s">
        <v>4572</v>
      </c>
      <c r="BP394" s="548" t="s">
        <v>4574</v>
      </c>
      <c r="BQ394" s="157" t="s">
        <v>4571</v>
      </c>
      <c r="BR394" s="157"/>
    </row>
    <row r="395" spans="1:70" x14ac:dyDescent="0.25">
      <c r="A395" s="19" t="s">
        <v>3686</v>
      </c>
      <c r="B395" s="37" t="s">
        <v>5652</v>
      </c>
      <c r="C395" s="90">
        <v>45415.666006944448</v>
      </c>
      <c r="D395" s="114">
        <v>45415.416006944448</v>
      </c>
      <c r="E395" s="38">
        <v>45415</v>
      </c>
      <c r="F395" s="91">
        <v>2024</v>
      </c>
      <c r="G395" s="93">
        <v>5</v>
      </c>
      <c r="H395" s="37" t="s">
        <v>5389</v>
      </c>
      <c r="I395" s="37"/>
      <c r="J395" s="103">
        <v>-91.805053599999994</v>
      </c>
      <c r="K395" s="40">
        <v>42.790146200000002</v>
      </c>
      <c r="L395" s="74"/>
      <c r="M395" s="272" t="s">
        <v>5653</v>
      </c>
      <c r="N395" s="74">
        <v>1</v>
      </c>
      <c r="O395" s="94"/>
      <c r="P395" s="118">
        <v>1</v>
      </c>
      <c r="Q395" s="510">
        <v>80</v>
      </c>
      <c r="R395" s="513">
        <v>180</v>
      </c>
      <c r="S395" s="41"/>
      <c r="T395" s="40"/>
      <c r="U395" s="40">
        <v>6.5</v>
      </c>
      <c r="V395" s="119">
        <v>0</v>
      </c>
      <c r="W395" s="40"/>
      <c r="X395" s="119">
        <v>0</v>
      </c>
      <c r="Y395" s="40"/>
      <c r="Z395" s="119">
        <v>1</v>
      </c>
      <c r="AA395" s="368">
        <v>0</v>
      </c>
      <c r="AB395" s="535">
        <v>5</v>
      </c>
      <c r="AC395" s="39"/>
      <c r="AD395" s="75" t="s">
        <v>9</v>
      </c>
      <c r="AE395" s="95">
        <v>0</v>
      </c>
      <c r="AF395" s="75">
        <v>0</v>
      </c>
      <c r="AG395" s="75">
        <v>1</v>
      </c>
      <c r="AH395" s="75">
        <v>0</v>
      </c>
      <c r="AI395" s="75">
        <v>0</v>
      </c>
      <c r="AJ395" s="75">
        <v>0</v>
      </c>
      <c r="AK395" s="75">
        <v>0</v>
      </c>
      <c r="AL395" s="95">
        <v>0</v>
      </c>
      <c r="AM395" s="92">
        <v>0</v>
      </c>
      <c r="AN395" s="79" t="s">
        <v>81</v>
      </c>
      <c r="AO395" s="75">
        <v>1</v>
      </c>
      <c r="AP395" s="75" t="s">
        <v>83</v>
      </c>
      <c r="AQ395" s="122">
        <v>1</v>
      </c>
      <c r="AR395" s="515" t="s">
        <v>35</v>
      </c>
      <c r="AS395" s="95">
        <v>0</v>
      </c>
      <c r="AT395" s="75">
        <v>1</v>
      </c>
      <c r="AU395" s="75">
        <v>0</v>
      </c>
      <c r="AV395" s="75">
        <v>0</v>
      </c>
      <c r="AW395" s="123">
        <v>0</v>
      </c>
      <c r="AX395" s="516" t="s">
        <v>5654</v>
      </c>
      <c r="AY395" s="75">
        <v>1</v>
      </c>
      <c r="AZ395" s="77" t="s">
        <v>131</v>
      </c>
      <c r="BA395" s="78" t="s">
        <v>131</v>
      </c>
      <c r="BB395" s="78" t="s">
        <v>132</v>
      </c>
      <c r="BC395" s="78" t="s">
        <v>131</v>
      </c>
      <c r="BD395" s="78" t="s">
        <v>131</v>
      </c>
      <c r="BE395" s="78" t="s">
        <v>131</v>
      </c>
      <c r="BF395" s="78" t="s">
        <v>131</v>
      </c>
      <c r="BG395" s="78" t="s">
        <v>131</v>
      </c>
      <c r="BH395" s="75" t="s">
        <v>5970</v>
      </c>
      <c r="BI395" s="295">
        <v>0</v>
      </c>
      <c r="BJ395" s="546" t="s">
        <v>16</v>
      </c>
      <c r="BK395" s="294" t="s">
        <v>16</v>
      </c>
      <c r="BL395" s="157" t="s">
        <v>16</v>
      </c>
      <c r="BM395" s="548" t="s">
        <v>1344</v>
      </c>
      <c r="BN395" s="548" t="s">
        <v>1344</v>
      </c>
      <c r="BO395" s="157" t="s">
        <v>4572</v>
      </c>
      <c r="BP395" s="548" t="s">
        <v>4574</v>
      </c>
      <c r="BQ395" s="157" t="s">
        <v>4571</v>
      </c>
      <c r="BR395" s="157"/>
    </row>
    <row r="396" spans="1:70" x14ac:dyDescent="0.25">
      <c r="A396" s="19" t="s">
        <v>3686</v>
      </c>
      <c r="B396" s="37" t="s">
        <v>5655</v>
      </c>
      <c r="C396" s="90">
        <v>45415.662465277775</v>
      </c>
      <c r="D396" s="114">
        <v>45415.412465277775</v>
      </c>
      <c r="E396" s="38">
        <v>45415</v>
      </c>
      <c r="F396" s="91">
        <v>2024</v>
      </c>
      <c r="G396" s="93">
        <v>5</v>
      </c>
      <c r="H396" s="37" t="s">
        <v>5389</v>
      </c>
      <c r="I396" s="37"/>
      <c r="J396" s="103">
        <v>-91.805141699999993</v>
      </c>
      <c r="K396" s="40">
        <v>42.790182899999998</v>
      </c>
      <c r="L396" s="74"/>
      <c r="M396" s="272" t="s">
        <v>5656</v>
      </c>
      <c r="N396" s="74">
        <v>1</v>
      </c>
      <c r="O396" s="94"/>
      <c r="P396" s="118">
        <v>1</v>
      </c>
      <c r="Q396" s="510">
        <v>80</v>
      </c>
      <c r="R396" s="513">
        <v>180</v>
      </c>
      <c r="S396" s="41"/>
      <c r="T396" s="40"/>
      <c r="U396" s="40">
        <v>7.5</v>
      </c>
      <c r="V396" s="119">
        <v>1</v>
      </c>
      <c r="W396" s="40">
        <v>100</v>
      </c>
      <c r="X396" s="119">
        <v>0</v>
      </c>
      <c r="Y396" s="40"/>
      <c r="Z396" s="119">
        <v>1</v>
      </c>
      <c r="AA396" s="368">
        <v>0</v>
      </c>
      <c r="AB396" s="535">
        <v>20</v>
      </c>
      <c r="AC396" s="39" t="s">
        <v>160</v>
      </c>
      <c r="AD396" s="75" t="s">
        <v>355</v>
      </c>
      <c r="AE396" s="95">
        <v>0</v>
      </c>
      <c r="AF396" s="75">
        <v>0</v>
      </c>
      <c r="AG396" s="75">
        <v>0</v>
      </c>
      <c r="AH396" s="75">
        <v>1</v>
      </c>
      <c r="AI396" s="75">
        <v>0</v>
      </c>
      <c r="AJ396" s="75">
        <v>0</v>
      </c>
      <c r="AK396" s="75">
        <v>0</v>
      </c>
      <c r="AL396" s="95">
        <v>0</v>
      </c>
      <c r="AM396" s="92">
        <v>0</v>
      </c>
      <c r="AN396" s="79" t="s">
        <v>81</v>
      </c>
      <c r="AO396" s="75">
        <v>1</v>
      </c>
      <c r="AP396" s="75" t="s">
        <v>84</v>
      </c>
      <c r="AQ396" s="122">
        <v>1</v>
      </c>
      <c r="AR396" s="515" t="s">
        <v>13</v>
      </c>
      <c r="AS396" s="95">
        <v>1</v>
      </c>
      <c r="AT396" s="75">
        <v>0</v>
      </c>
      <c r="AU396" s="75">
        <v>0</v>
      </c>
      <c r="AV396" s="75">
        <v>0</v>
      </c>
      <c r="AW396" s="123">
        <v>0</v>
      </c>
      <c r="AX396" s="516" t="s">
        <v>5657</v>
      </c>
      <c r="AY396" s="75">
        <v>1</v>
      </c>
      <c r="AZ396" s="77" t="s">
        <v>131</v>
      </c>
      <c r="BA396" s="78" t="s">
        <v>131</v>
      </c>
      <c r="BB396" s="78" t="s">
        <v>131</v>
      </c>
      <c r="BC396" s="78" t="s">
        <v>132</v>
      </c>
      <c r="BD396" s="78" t="s">
        <v>131</v>
      </c>
      <c r="BE396" s="78" t="s">
        <v>131</v>
      </c>
      <c r="BF396" s="78" t="s">
        <v>131</v>
      </c>
      <c r="BG396" s="78" t="s">
        <v>131</v>
      </c>
      <c r="BH396" s="75" t="s">
        <v>5970</v>
      </c>
      <c r="BI396" s="295">
        <v>0</v>
      </c>
      <c r="BJ396" s="546" t="s">
        <v>16</v>
      </c>
      <c r="BK396" s="294" t="s">
        <v>16</v>
      </c>
      <c r="BL396" s="157" t="s">
        <v>16</v>
      </c>
      <c r="BM396" s="548" t="s">
        <v>1344</v>
      </c>
      <c r="BN396" s="548" t="s">
        <v>1344</v>
      </c>
      <c r="BO396" s="157" t="s">
        <v>4572</v>
      </c>
      <c r="BP396" s="548" t="s">
        <v>4574</v>
      </c>
      <c r="BQ396" s="157" t="s">
        <v>4571</v>
      </c>
      <c r="BR396" s="157"/>
    </row>
    <row r="397" spans="1:70" x14ac:dyDescent="0.25">
      <c r="A397" s="19" t="s">
        <v>3686</v>
      </c>
      <c r="B397" s="37" t="s">
        <v>5658</v>
      </c>
      <c r="C397" s="90">
        <v>45414.025949074072</v>
      </c>
      <c r="D397" s="114">
        <v>45413.775949074072</v>
      </c>
      <c r="E397" s="38">
        <v>45413</v>
      </c>
      <c r="F397" s="91">
        <v>2024</v>
      </c>
      <c r="G397" s="93">
        <v>5</v>
      </c>
      <c r="H397" s="37" t="s">
        <v>5625</v>
      </c>
      <c r="I397" s="37" t="s">
        <v>16</v>
      </c>
      <c r="J397" s="103">
        <v>-90.647688060853255</v>
      </c>
      <c r="K397" s="40">
        <v>43.632214020414537</v>
      </c>
      <c r="L397" s="74"/>
      <c r="M397" s="272" t="s">
        <v>16</v>
      </c>
      <c r="N397" s="74">
        <v>0</v>
      </c>
      <c r="O397" s="94"/>
      <c r="P397" s="118">
        <v>1</v>
      </c>
      <c r="Q397" s="510">
        <v>120</v>
      </c>
      <c r="R397" s="513">
        <v>180</v>
      </c>
      <c r="S397" s="41"/>
      <c r="T397" s="40"/>
      <c r="U397" s="40">
        <v>8</v>
      </c>
      <c r="V397" s="119">
        <v>0</v>
      </c>
      <c r="W397" s="40"/>
      <c r="X397" s="119">
        <v>0</v>
      </c>
      <c r="Y397" s="40"/>
      <c r="Z397" s="119">
        <v>0</v>
      </c>
      <c r="AA397" s="368" t="s">
        <v>16</v>
      </c>
      <c r="AB397" s="535" t="s">
        <v>16</v>
      </c>
      <c r="AC397" s="39" t="s">
        <v>160</v>
      </c>
      <c r="AD397" s="75" t="s">
        <v>16</v>
      </c>
      <c r="AE397" s="95">
        <v>-1</v>
      </c>
      <c r="AF397" s="75">
        <v>-1</v>
      </c>
      <c r="AG397" s="75">
        <v>-1</v>
      </c>
      <c r="AH397" s="75">
        <v>-1</v>
      </c>
      <c r="AI397" s="75">
        <v>-1</v>
      </c>
      <c r="AJ397" s="75">
        <v>-1</v>
      </c>
      <c r="AK397" s="75">
        <v>-1</v>
      </c>
      <c r="AL397" s="95">
        <v>-1</v>
      </c>
      <c r="AM397" s="92">
        <v>1</v>
      </c>
      <c r="AN397" s="79" t="s">
        <v>195</v>
      </c>
      <c r="AO397" s="75">
        <v>1</v>
      </c>
      <c r="AP397" s="75" t="s">
        <v>83</v>
      </c>
      <c r="AQ397" s="122">
        <v>1</v>
      </c>
      <c r="AR397" s="515" t="s">
        <v>13</v>
      </c>
      <c r="AS397" s="95">
        <v>1</v>
      </c>
      <c r="AT397" s="75">
        <v>0</v>
      </c>
      <c r="AU397" s="75">
        <v>0</v>
      </c>
      <c r="AV397" s="75">
        <v>0</v>
      </c>
      <c r="AW397" s="123">
        <v>0</v>
      </c>
      <c r="AX397" s="516" t="s">
        <v>5659</v>
      </c>
      <c r="AY397" s="75">
        <v>1</v>
      </c>
      <c r="AZ397" s="77" t="s">
        <v>5971</v>
      </c>
      <c r="BA397" s="78" t="s">
        <v>5971</v>
      </c>
      <c r="BB397" s="78" t="s">
        <v>5971</v>
      </c>
      <c r="BC397" s="78" t="s">
        <v>5971</v>
      </c>
      <c r="BD397" s="78" t="s">
        <v>5971</v>
      </c>
      <c r="BE397" s="78" t="s">
        <v>5971</v>
      </c>
      <c r="BF397" s="78" t="s">
        <v>5971</v>
      </c>
      <c r="BG397" s="78" t="s">
        <v>5971</v>
      </c>
      <c r="BH397" s="75" t="s">
        <v>5971</v>
      </c>
      <c r="BI397" s="295" t="s">
        <v>4057</v>
      </c>
      <c r="BJ397" s="546">
        <v>1</v>
      </c>
      <c r="BK397" s="294" t="s">
        <v>16</v>
      </c>
      <c r="BL397" s="157" t="s">
        <v>16</v>
      </c>
      <c r="BM397" s="548" t="s">
        <v>1342</v>
      </c>
      <c r="BN397" s="548" t="s">
        <v>1342</v>
      </c>
      <c r="BO397" s="157" t="s">
        <v>4415</v>
      </c>
      <c r="BP397" s="548" t="s">
        <v>4416</v>
      </c>
      <c r="BQ397" s="157" t="s">
        <v>4274</v>
      </c>
      <c r="BR397" s="157"/>
    </row>
    <row r="398" spans="1:70" x14ac:dyDescent="0.25">
      <c r="A398" s="19" t="s">
        <v>3686</v>
      </c>
      <c r="B398" s="37" t="s">
        <v>5660</v>
      </c>
      <c r="C398" s="90">
        <v>45413.872604166667</v>
      </c>
      <c r="D398" s="114">
        <v>45413.622604166667</v>
      </c>
      <c r="E398" s="38">
        <v>45413</v>
      </c>
      <c r="F398" s="91">
        <v>2024</v>
      </c>
      <c r="G398" s="93">
        <v>5</v>
      </c>
      <c r="H398" s="37" t="s">
        <v>1361</v>
      </c>
      <c r="I398" s="37"/>
      <c r="J398" s="103">
        <v>-91.43200406813196</v>
      </c>
      <c r="K398" s="40">
        <v>42.747935545670565</v>
      </c>
      <c r="L398" s="74"/>
      <c r="M398" s="272" t="s">
        <v>5661</v>
      </c>
      <c r="N398" s="74">
        <v>1</v>
      </c>
      <c r="O398" s="94"/>
      <c r="P398" s="118">
        <v>1</v>
      </c>
      <c r="Q398" s="510">
        <v>180</v>
      </c>
      <c r="R398" s="513">
        <v>120</v>
      </c>
      <c r="S398" s="41"/>
      <c r="T398" s="40"/>
      <c r="U398" s="40">
        <v>9</v>
      </c>
      <c r="V398" s="119">
        <v>1</v>
      </c>
      <c r="W398" s="40">
        <v>0</v>
      </c>
      <c r="X398" s="119">
        <v>0</v>
      </c>
      <c r="Y398" s="40"/>
      <c r="Z398" s="119">
        <v>1</v>
      </c>
      <c r="AA398" s="368">
        <v>0</v>
      </c>
      <c r="AB398" s="535">
        <v>0</v>
      </c>
      <c r="AC398" s="39" t="s">
        <v>160</v>
      </c>
      <c r="AD398" s="75" t="s">
        <v>8</v>
      </c>
      <c r="AE398" s="95">
        <v>0</v>
      </c>
      <c r="AF398" s="75">
        <v>1</v>
      </c>
      <c r="AG398" s="75">
        <v>0</v>
      </c>
      <c r="AH398" s="75">
        <v>0</v>
      </c>
      <c r="AI398" s="75">
        <v>0</v>
      </c>
      <c r="AJ398" s="75">
        <v>0</v>
      </c>
      <c r="AK398" s="75">
        <v>0</v>
      </c>
      <c r="AL398" s="95">
        <v>0</v>
      </c>
      <c r="AM398" s="92">
        <v>0</v>
      </c>
      <c r="AN398" s="79" t="s">
        <v>80</v>
      </c>
      <c r="AO398" s="75">
        <v>1</v>
      </c>
      <c r="AP398" s="75" t="s">
        <v>83</v>
      </c>
      <c r="AQ398" s="122">
        <v>1</v>
      </c>
      <c r="AR398" s="515" t="s">
        <v>13</v>
      </c>
      <c r="AS398" s="95">
        <v>1</v>
      </c>
      <c r="AT398" s="75">
        <v>0</v>
      </c>
      <c r="AU398" s="75">
        <v>0</v>
      </c>
      <c r="AV398" s="75">
        <v>0</v>
      </c>
      <c r="AW398" s="123">
        <v>0</v>
      </c>
      <c r="AX398" s="516" t="s">
        <v>5662</v>
      </c>
      <c r="AY398" s="75">
        <v>1</v>
      </c>
      <c r="AZ398" s="77" t="s">
        <v>131</v>
      </c>
      <c r="BA398" s="78" t="s">
        <v>132</v>
      </c>
      <c r="BB398" s="78" t="s">
        <v>131</v>
      </c>
      <c r="BC398" s="78" t="s">
        <v>131</v>
      </c>
      <c r="BD398" s="78" t="s">
        <v>131</v>
      </c>
      <c r="BE398" s="78" t="s">
        <v>131</v>
      </c>
      <c r="BF398" s="78" t="s">
        <v>131</v>
      </c>
      <c r="BG398" s="78" t="s">
        <v>131</v>
      </c>
      <c r="BH398" s="75" t="s">
        <v>5970</v>
      </c>
      <c r="BI398" s="295">
        <v>0</v>
      </c>
      <c r="BJ398" s="546" t="s">
        <v>16</v>
      </c>
      <c r="BK398" s="294" t="s">
        <v>16</v>
      </c>
      <c r="BL398" s="157" t="s">
        <v>16</v>
      </c>
      <c r="BM398" s="548" t="s">
        <v>1347</v>
      </c>
      <c r="BN398" s="548" t="s">
        <v>4160</v>
      </c>
      <c r="BO398" s="157" t="s">
        <v>4566</v>
      </c>
      <c r="BP398" s="548" t="s">
        <v>4596</v>
      </c>
      <c r="BQ398" s="157" t="s">
        <v>4563</v>
      </c>
      <c r="BR398" s="157"/>
    </row>
    <row r="399" spans="1:70" x14ac:dyDescent="0.25">
      <c r="A399" s="19" t="s">
        <v>3686</v>
      </c>
      <c r="B399" s="37" t="s">
        <v>5663</v>
      </c>
      <c r="C399" s="90">
        <v>45413.86173611111</v>
      </c>
      <c r="D399" s="114">
        <v>45413.61173611111</v>
      </c>
      <c r="E399" s="38">
        <v>45413</v>
      </c>
      <c r="F399" s="91">
        <v>2024</v>
      </c>
      <c r="G399" s="93">
        <v>5</v>
      </c>
      <c r="H399" s="37" t="s">
        <v>1361</v>
      </c>
      <c r="I399" s="37"/>
      <c r="J399" s="103">
        <v>-91.427501058291114</v>
      </c>
      <c r="K399" s="40">
        <v>42.729590828570281</v>
      </c>
      <c r="L399" s="74"/>
      <c r="M399" s="272" t="s">
        <v>5664</v>
      </c>
      <c r="N399" s="74">
        <v>1</v>
      </c>
      <c r="O399" s="94"/>
      <c r="P399" s="118">
        <v>1</v>
      </c>
      <c r="Q399" s="510">
        <v>180</v>
      </c>
      <c r="R399" s="513">
        <v>180</v>
      </c>
      <c r="S399" s="41"/>
      <c r="T399" s="40"/>
      <c r="U399" s="40">
        <v>8</v>
      </c>
      <c r="V399" s="119">
        <v>1</v>
      </c>
      <c r="W399" s="40">
        <v>0</v>
      </c>
      <c r="X399" s="119">
        <v>0</v>
      </c>
      <c r="Y399" s="40"/>
      <c r="Z399" s="119">
        <v>1</v>
      </c>
      <c r="AA399" s="368">
        <v>0</v>
      </c>
      <c r="AB399" s="535">
        <v>5</v>
      </c>
      <c r="AC399" s="39" t="s">
        <v>160</v>
      </c>
      <c r="AD399" s="75" t="s">
        <v>10</v>
      </c>
      <c r="AE399" s="95">
        <v>0</v>
      </c>
      <c r="AF399" s="75">
        <v>0</v>
      </c>
      <c r="AG399" s="75">
        <v>0</v>
      </c>
      <c r="AH399" s="75">
        <v>0</v>
      </c>
      <c r="AI399" s="75">
        <v>0</v>
      </c>
      <c r="AJ399" s="75">
        <v>0</v>
      </c>
      <c r="AK399" s="75">
        <v>0</v>
      </c>
      <c r="AL399" s="95">
        <v>1</v>
      </c>
      <c r="AM399" s="92">
        <v>0</v>
      </c>
      <c r="AN399" s="79" t="s">
        <v>80</v>
      </c>
      <c r="AO399" s="75">
        <v>1</v>
      </c>
      <c r="AP399" s="75" t="s">
        <v>83</v>
      </c>
      <c r="AQ399" s="122">
        <v>1</v>
      </c>
      <c r="AR399" s="515" t="s">
        <v>13</v>
      </c>
      <c r="AS399" s="95">
        <v>1</v>
      </c>
      <c r="AT399" s="75">
        <v>0</v>
      </c>
      <c r="AU399" s="75">
        <v>0</v>
      </c>
      <c r="AV399" s="75">
        <v>0</v>
      </c>
      <c r="AW399" s="123">
        <v>0</v>
      </c>
      <c r="AX399" s="516" t="s">
        <v>5665</v>
      </c>
      <c r="AY399" s="75">
        <v>1</v>
      </c>
      <c r="AZ399" s="77" t="s">
        <v>131</v>
      </c>
      <c r="BA399" s="78" t="s">
        <v>131</v>
      </c>
      <c r="BB399" s="78" t="s">
        <v>131</v>
      </c>
      <c r="BC399" s="78" t="s">
        <v>131</v>
      </c>
      <c r="BD399" s="78" t="s">
        <v>131</v>
      </c>
      <c r="BE399" s="78" t="s">
        <v>131</v>
      </c>
      <c r="BF399" s="78" t="s">
        <v>131</v>
      </c>
      <c r="BG399" s="78" t="s">
        <v>132</v>
      </c>
      <c r="BH399" s="75" t="s">
        <v>5970</v>
      </c>
      <c r="BI399" s="295" t="s">
        <v>16</v>
      </c>
      <c r="BJ399" s="546">
        <v>1</v>
      </c>
      <c r="BK399" s="294" t="s">
        <v>16</v>
      </c>
      <c r="BL399" s="157" t="s">
        <v>16</v>
      </c>
      <c r="BM399" s="548" t="s">
        <v>1347</v>
      </c>
      <c r="BN399" s="548" t="s">
        <v>4160</v>
      </c>
      <c r="BO399" s="157" t="s">
        <v>4566</v>
      </c>
      <c r="BP399" s="548" t="s">
        <v>4596</v>
      </c>
      <c r="BQ399" s="157" t="s">
        <v>4563</v>
      </c>
      <c r="BR399" s="157"/>
    </row>
    <row r="400" spans="1:70" x14ac:dyDescent="0.25">
      <c r="A400" s="19" t="s">
        <v>3686</v>
      </c>
      <c r="B400" s="37" t="s">
        <v>5666</v>
      </c>
      <c r="C400" s="90">
        <v>45413.856249999997</v>
      </c>
      <c r="D400" s="114">
        <v>45413.606249999997</v>
      </c>
      <c r="E400" s="38">
        <v>45413</v>
      </c>
      <c r="F400" s="91">
        <v>2024</v>
      </c>
      <c r="G400" s="93">
        <v>5</v>
      </c>
      <c r="H400" s="37" t="s">
        <v>1361</v>
      </c>
      <c r="I400" s="37"/>
      <c r="J400" s="103">
        <v>-91.428040433760202</v>
      </c>
      <c r="K400" s="40">
        <v>42.729514595160936</v>
      </c>
      <c r="L400" s="74"/>
      <c r="M400" s="272" t="s">
        <v>5667</v>
      </c>
      <c r="N400" s="74">
        <v>1</v>
      </c>
      <c r="O400" s="94"/>
      <c r="P400" s="118">
        <v>1</v>
      </c>
      <c r="Q400" s="510">
        <v>120</v>
      </c>
      <c r="R400" s="513">
        <v>120</v>
      </c>
      <c r="S400" s="41"/>
      <c r="T400" s="40"/>
      <c r="U400" s="40">
        <v>8</v>
      </c>
      <c r="V400" s="119">
        <v>1</v>
      </c>
      <c r="W400" s="40">
        <v>0</v>
      </c>
      <c r="X400" s="119">
        <v>0</v>
      </c>
      <c r="Y400" s="40"/>
      <c r="Z400" s="119">
        <v>1</v>
      </c>
      <c r="AA400" s="368">
        <v>0</v>
      </c>
      <c r="AB400" s="535">
        <v>2</v>
      </c>
      <c r="AC400" s="39" t="s">
        <v>160</v>
      </c>
      <c r="AD400" s="75" t="s">
        <v>365</v>
      </c>
      <c r="AE400" s="95">
        <v>0</v>
      </c>
      <c r="AF400" s="75">
        <v>1</v>
      </c>
      <c r="AG400" s="75">
        <v>1</v>
      </c>
      <c r="AH400" s="75">
        <v>0</v>
      </c>
      <c r="AI400" s="75">
        <v>0</v>
      </c>
      <c r="AJ400" s="75">
        <v>0</v>
      </c>
      <c r="AK400" s="75">
        <v>0</v>
      </c>
      <c r="AL400" s="95">
        <v>0</v>
      </c>
      <c r="AM400" s="92">
        <v>0</v>
      </c>
      <c r="AN400" s="79" t="s">
        <v>80</v>
      </c>
      <c r="AO400" s="75">
        <v>1</v>
      </c>
      <c r="AP400" s="75" t="s">
        <v>84</v>
      </c>
      <c r="AQ400" s="122">
        <v>1</v>
      </c>
      <c r="AR400" s="515" t="s">
        <v>13</v>
      </c>
      <c r="AS400" s="95">
        <v>1</v>
      </c>
      <c r="AT400" s="75">
        <v>0</v>
      </c>
      <c r="AU400" s="75">
        <v>0</v>
      </c>
      <c r="AV400" s="75">
        <v>0</v>
      </c>
      <c r="AW400" s="123">
        <v>0</v>
      </c>
      <c r="AX400" s="516" t="s">
        <v>5668</v>
      </c>
      <c r="AY400" s="75">
        <v>1</v>
      </c>
      <c r="AZ400" s="77" t="s">
        <v>131</v>
      </c>
      <c r="BA400" s="78" t="s">
        <v>132</v>
      </c>
      <c r="BB400" s="78" t="s">
        <v>132</v>
      </c>
      <c r="BC400" s="78" t="s">
        <v>131</v>
      </c>
      <c r="BD400" s="78" t="s">
        <v>131</v>
      </c>
      <c r="BE400" s="78" t="s">
        <v>131</v>
      </c>
      <c r="BF400" s="78" t="s">
        <v>131</v>
      </c>
      <c r="BG400" s="78" t="s">
        <v>131</v>
      </c>
      <c r="BH400" s="75" t="s">
        <v>5970</v>
      </c>
      <c r="BI400" s="295" t="s">
        <v>4037</v>
      </c>
      <c r="BJ400" s="546">
        <v>1</v>
      </c>
      <c r="BK400" s="294" t="s">
        <v>16</v>
      </c>
      <c r="BL400" s="157" t="s">
        <v>16</v>
      </c>
      <c r="BM400" s="548" t="s">
        <v>1347</v>
      </c>
      <c r="BN400" s="548" t="s">
        <v>4160</v>
      </c>
      <c r="BO400" s="157" t="s">
        <v>4566</v>
      </c>
      <c r="BP400" s="548" t="s">
        <v>4596</v>
      </c>
      <c r="BQ400" s="157" t="s">
        <v>4563</v>
      </c>
      <c r="BR400" s="157"/>
    </row>
    <row r="401" spans="1:70" x14ac:dyDescent="0.25">
      <c r="A401" s="19" t="s">
        <v>3686</v>
      </c>
      <c r="B401" s="37" t="s">
        <v>5669</v>
      </c>
      <c r="C401" s="90">
        <v>45413.842349537037</v>
      </c>
      <c r="D401" s="114">
        <v>45413.592349537037</v>
      </c>
      <c r="E401" s="38">
        <v>45413</v>
      </c>
      <c r="F401" s="91">
        <v>2024</v>
      </c>
      <c r="G401" s="93">
        <v>5</v>
      </c>
      <c r="H401" s="37" t="s">
        <v>1361</v>
      </c>
      <c r="I401" s="37"/>
      <c r="J401" s="103">
        <v>-91.369065530683258</v>
      </c>
      <c r="K401" s="40">
        <v>42.751239733810301</v>
      </c>
      <c r="L401" s="74"/>
      <c r="M401" s="272" t="s">
        <v>5670</v>
      </c>
      <c r="N401" s="74">
        <v>1</v>
      </c>
      <c r="O401" s="94"/>
      <c r="P401" s="118">
        <v>1</v>
      </c>
      <c r="Q401" s="510">
        <v>180</v>
      </c>
      <c r="R401" s="513">
        <v>120</v>
      </c>
      <c r="S401" s="41"/>
      <c r="T401" s="40"/>
      <c r="U401" s="40">
        <v>9</v>
      </c>
      <c r="V401" s="119">
        <v>1</v>
      </c>
      <c r="W401" s="40">
        <v>0</v>
      </c>
      <c r="X401" s="119">
        <v>0</v>
      </c>
      <c r="Y401" s="40"/>
      <c r="Z401" s="119">
        <v>1</v>
      </c>
      <c r="AA401" s="368">
        <v>0</v>
      </c>
      <c r="AB401" s="535">
        <v>2</v>
      </c>
      <c r="AC401" s="39" t="s">
        <v>160</v>
      </c>
      <c r="AD401" s="75" t="s">
        <v>10</v>
      </c>
      <c r="AE401" s="95">
        <v>0</v>
      </c>
      <c r="AF401" s="75">
        <v>0</v>
      </c>
      <c r="AG401" s="75">
        <v>0</v>
      </c>
      <c r="AH401" s="75">
        <v>0</v>
      </c>
      <c r="AI401" s="75">
        <v>0</v>
      </c>
      <c r="AJ401" s="75">
        <v>0</v>
      </c>
      <c r="AK401" s="75">
        <v>0</v>
      </c>
      <c r="AL401" s="95">
        <v>1</v>
      </c>
      <c r="AM401" s="92">
        <v>0</v>
      </c>
      <c r="AN401" s="79" t="s">
        <v>80</v>
      </c>
      <c r="AO401" s="75">
        <v>1</v>
      </c>
      <c r="AP401" s="75" t="s">
        <v>83</v>
      </c>
      <c r="AQ401" s="122">
        <v>1</v>
      </c>
      <c r="AR401" s="515" t="s">
        <v>13</v>
      </c>
      <c r="AS401" s="95">
        <v>1</v>
      </c>
      <c r="AT401" s="75">
        <v>0</v>
      </c>
      <c r="AU401" s="75">
        <v>0</v>
      </c>
      <c r="AV401" s="75">
        <v>0</v>
      </c>
      <c r="AW401" s="123">
        <v>0</v>
      </c>
      <c r="AX401" s="516" t="s">
        <v>5671</v>
      </c>
      <c r="AY401" s="75">
        <v>1</v>
      </c>
      <c r="AZ401" s="77" t="s">
        <v>131</v>
      </c>
      <c r="BA401" s="78" t="s">
        <v>131</v>
      </c>
      <c r="BB401" s="78" t="s">
        <v>131</v>
      </c>
      <c r="BC401" s="78" t="s">
        <v>131</v>
      </c>
      <c r="BD401" s="78" t="s">
        <v>131</v>
      </c>
      <c r="BE401" s="78" t="s">
        <v>131</v>
      </c>
      <c r="BF401" s="78" t="s">
        <v>131</v>
      </c>
      <c r="BG401" s="78" t="s">
        <v>132</v>
      </c>
      <c r="BH401" s="75" t="s">
        <v>5970</v>
      </c>
      <c r="BI401" s="295" t="s">
        <v>16</v>
      </c>
      <c r="BJ401" s="546">
        <v>1</v>
      </c>
      <c r="BK401" s="294" t="s">
        <v>16</v>
      </c>
      <c r="BL401" s="157" t="s">
        <v>16</v>
      </c>
      <c r="BM401" s="548" t="s">
        <v>1347</v>
      </c>
      <c r="BN401" s="548" t="s">
        <v>4160</v>
      </c>
      <c r="BO401" s="157" t="s">
        <v>4566</v>
      </c>
      <c r="BP401" s="548" t="s">
        <v>4596</v>
      </c>
      <c r="BQ401" s="157" t="s">
        <v>4563</v>
      </c>
      <c r="BR401" s="157"/>
    </row>
    <row r="402" spans="1:70" x14ac:dyDescent="0.25">
      <c r="A402" s="19" t="s">
        <v>3686</v>
      </c>
      <c r="B402" s="37" t="s">
        <v>5672</v>
      </c>
      <c r="C402" s="90">
        <v>45413.829328703701</v>
      </c>
      <c r="D402" s="114">
        <v>45413.579328703701</v>
      </c>
      <c r="E402" s="38">
        <v>45413</v>
      </c>
      <c r="F402" s="91">
        <v>2024</v>
      </c>
      <c r="G402" s="93">
        <v>5</v>
      </c>
      <c r="H402" s="37" t="s">
        <v>1361</v>
      </c>
      <c r="I402" s="37"/>
      <c r="J402" s="103">
        <v>-91.366251558150523</v>
      </c>
      <c r="K402" s="40">
        <v>42.737950352060366</v>
      </c>
      <c r="L402" s="74"/>
      <c r="M402" s="272" t="s">
        <v>5673</v>
      </c>
      <c r="N402" s="74">
        <v>1</v>
      </c>
      <c r="O402" s="94"/>
      <c r="P402" s="118">
        <v>1</v>
      </c>
      <c r="Q402" s="510">
        <v>80</v>
      </c>
      <c r="R402" s="513">
        <v>180</v>
      </c>
      <c r="S402" s="41"/>
      <c r="T402" s="40"/>
      <c r="U402" s="40">
        <v>7</v>
      </c>
      <c r="V402" s="119">
        <v>1</v>
      </c>
      <c r="W402" s="40">
        <v>0</v>
      </c>
      <c r="X402" s="119">
        <v>0</v>
      </c>
      <c r="Y402" s="40"/>
      <c r="Z402" s="119">
        <v>1</v>
      </c>
      <c r="AA402" s="368">
        <v>0</v>
      </c>
      <c r="AB402" s="535">
        <v>2</v>
      </c>
      <c r="AC402" s="39" t="s">
        <v>160</v>
      </c>
      <c r="AD402" s="75" t="s">
        <v>8</v>
      </c>
      <c r="AE402" s="95">
        <v>0</v>
      </c>
      <c r="AF402" s="75">
        <v>1</v>
      </c>
      <c r="AG402" s="75">
        <v>0</v>
      </c>
      <c r="AH402" s="75">
        <v>0</v>
      </c>
      <c r="AI402" s="75">
        <v>0</v>
      </c>
      <c r="AJ402" s="75">
        <v>0</v>
      </c>
      <c r="AK402" s="75">
        <v>0</v>
      </c>
      <c r="AL402" s="95">
        <v>0</v>
      </c>
      <c r="AM402" s="92">
        <v>0</v>
      </c>
      <c r="AN402" s="79" t="s">
        <v>80</v>
      </c>
      <c r="AO402" s="75">
        <v>1</v>
      </c>
      <c r="AP402" s="75" t="s">
        <v>83</v>
      </c>
      <c r="AQ402" s="122">
        <v>1</v>
      </c>
      <c r="AR402" s="515" t="s">
        <v>13</v>
      </c>
      <c r="AS402" s="95">
        <v>1</v>
      </c>
      <c r="AT402" s="75">
        <v>0</v>
      </c>
      <c r="AU402" s="75">
        <v>0</v>
      </c>
      <c r="AV402" s="75">
        <v>0</v>
      </c>
      <c r="AW402" s="123">
        <v>0</v>
      </c>
      <c r="AX402" s="516" t="s">
        <v>5674</v>
      </c>
      <c r="AY402" s="75">
        <v>1</v>
      </c>
      <c r="AZ402" s="77" t="s">
        <v>131</v>
      </c>
      <c r="BA402" s="78" t="s">
        <v>132</v>
      </c>
      <c r="BB402" s="78" t="s">
        <v>131</v>
      </c>
      <c r="BC402" s="78" t="s">
        <v>131</v>
      </c>
      <c r="BD402" s="78" t="s">
        <v>131</v>
      </c>
      <c r="BE402" s="78" t="s">
        <v>131</v>
      </c>
      <c r="BF402" s="78" t="s">
        <v>131</v>
      </c>
      <c r="BG402" s="78" t="s">
        <v>131</v>
      </c>
      <c r="BH402" s="75" t="s">
        <v>5970</v>
      </c>
      <c r="BI402" s="295" t="s">
        <v>4039</v>
      </c>
      <c r="BJ402" s="546">
        <v>1</v>
      </c>
      <c r="BK402" s="294" t="s">
        <v>16</v>
      </c>
      <c r="BL402" s="157" t="s">
        <v>16</v>
      </c>
      <c r="BM402" s="548" t="s">
        <v>1347</v>
      </c>
      <c r="BN402" s="548" t="s">
        <v>4160</v>
      </c>
      <c r="BO402" s="157" t="s">
        <v>4595</v>
      </c>
      <c r="BP402" s="548" t="s">
        <v>4597</v>
      </c>
      <c r="BQ402" s="157" t="s">
        <v>4563</v>
      </c>
      <c r="BR402" s="157"/>
    </row>
    <row r="403" spans="1:70" x14ac:dyDescent="0.25">
      <c r="A403" s="19" t="s">
        <v>3686</v>
      </c>
      <c r="B403" s="37" t="s">
        <v>5675</v>
      </c>
      <c r="C403" s="90">
        <v>45413.816851851851</v>
      </c>
      <c r="D403" s="114">
        <v>45413.566851851851</v>
      </c>
      <c r="E403" s="38">
        <v>45413</v>
      </c>
      <c r="F403" s="91">
        <v>2024</v>
      </c>
      <c r="G403" s="93">
        <v>5</v>
      </c>
      <c r="H403" s="37" t="s">
        <v>1361</v>
      </c>
      <c r="I403" s="37"/>
      <c r="J403" s="103">
        <v>-91.374402623708704</v>
      </c>
      <c r="K403" s="40">
        <v>42.717869952360829</v>
      </c>
      <c r="L403" s="74"/>
      <c r="M403" s="272" t="s">
        <v>5676</v>
      </c>
      <c r="N403" s="74">
        <v>1</v>
      </c>
      <c r="O403" s="94"/>
      <c r="P403" s="118">
        <v>1</v>
      </c>
      <c r="Q403" s="510">
        <v>180</v>
      </c>
      <c r="R403" s="513">
        <v>180</v>
      </c>
      <c r="S403" s="41"/>
      <c r="T403" s="40"/>
      <c r="U403" s="40">
        <v>8</v>
      </c>
      <c r="V403" s="119">
        <v>0</v>
      </c>
      <c r="W403" s="40"/>
      <c r="X403" s="119">
        <v>0</v>
      </c>
      <c r="Y403" s="40"/>
      <c r="Z403" s="119">
        <v>1</v>
      </c>
      <c r="AA403" s="368">
        <v>0</v>
      </c>
      <c r="AB403" s="535">
        <v>2</v>
      </c>
      <c r="AC403" s="39" t="s">
        <v>160</v>
      </c>
      <c r="AD403" s="75" t="s">
        <v>1622</v>
      </c>
      <c r="AE403" s="95">
        <v>1</v>
      </c>
      <c r="AF403" s="75">
        <v>1</v>
      </c>
      <c r="AG403" s="75">
        <v>0</v>
      </c>
      <c r="AH403" s="75">
        <v>0</v>
      </c>
      <c r="AI403" s="75">
        <v>0</v>
      </c>
      <c r="AJ403" s="75">
        <v>0</v>
      </c>
      <c r="AK403" s="75">
        <v>0</v>
      </c>
      <c r="AL403" s="95">
        <v>0</v>
      </c>
      <c r="AM403" s="92">
        <v>0</v>
      </c>
      <c r="AN403" s="79" t="s">
        <v>80</v>
      </c>
      <c r="AO403" s="75">
        <v>1</v>
      </c>
      <c r="AP403" s="75" t="s">
        <v>83</v>
      </c>
      <c r="AQ403" s="122">
        <v>1</v>
      </c>
      <c r="AR403" s="515" t="s">
        <v>13</v>
      </c>
      <c r="AS403" s="95">
        <v>1</v>
      </c>
      <c r="AT403" s="75">
        <v>0</v>
      </c>
      <c r="AU403" s="75">
        <v>0</v>
      </c>
      <c r="AV403" s="75">
        <v>0</v>
      </c>
      <c r="AW403" s="123">
        <v>0</v>
      </c>
      <c r="AX403" s="516" t="s">
        <v>5677</v>
      </c>
      <c r="AY403" s="75">
        <v>1</v>
      </c>
      <c r="AZ403" s="77" t="s">
        <v>132</v>
      </c>
      <c r="BA403" s="78" t="s">
        <v>132</v>
      </c>
      <c r="BB403" s="78" t="s">
        <v>131</v>
      </c>
      <c r="BC403" s="78" t="s">
        <v>131</v>
      </c>
      <c r="BD403" s="78" t="s">
        <v>131</v>
      </c>
      <c r="BE403" s="78" t="s">
        <v>131</v>
      </c>
      <c r="BF403" s="78" t="s">
        <v>131</v>
      </c>
      <c r="BG403" s="78" t="s">
        <v>131</v>
      </c>
      <c r="BH403" s="75" t="s">
        <v>5970</v>
      </c>
      <c r="BI403" s="295" t="s">
        <v>4039</v>
      </c>
      <c r="BJ403" s="546">
        <v>1</v>
      </c>
      <c r="BK403" s="294" t="s">
        <v>16</v>
      </c>
      <c r="BL403" s="157" t="s">
        <v>16</v>
      </c>
      <c r="BM403" s="548" t="s">
        <v>1347</v>
      </c>
      <c r="BN403" s="548" t="s">
        <v>4160</v>
      </c>
      <c r="BO403" s="157" t="s">
        <v>4595</v>
      </c>
      <c r="BP403" s="548" t="s">
        <v>4597</v>
      </c>
      <c r="BQ403" s="157" t="s">
        <v>4563</v>
      </c>
      <c r="BR403" s="157"/>
    </row>
    <row r="404" spans="1:70" x14ac:dyDescent="0.25">
      <c r="A404" s="19" t="s">
        <v>3686</v>
      </c>
      <c r="B404" s="37" t="s">
        <v>5678</v>
      </c>
      <c r="C404" s="90">
        <v>45413.80940972222</v>
      </c>
      <c r="D404" s="114">
        <v>45413.55940972222</v>
      </c>
      <c r="E404" s="38">
        <v>45413</v>
      </c>
      <c r="F404" s="91">
        <v>2024</v>
      </c>
      <c r="G404" s="93">
        <v>5</v>
      </c>
      <c r="H404" s="37" t="s">
        <v>1361</v>
      </c>
      <c r="I404" s="37"/>
      <c r="J404" s="103">
        <v>-91.373186828653687</v>
      </c>
      <c r="K404" s="40">
        <v>42.71761849526569</v>
      </c>
      <c r="L404" s="74"/>
      <c r="M404" s="272" t="s">
        <v>5679</v>
      </c>
      <c r="N404" s="74">
        <v>1</v>
      </c>
      <c r="O404" s="94"/>
      <c r="P404" s="118">
        <v>1</v>
      </c>
      <c r="Q404" s="510">
        <v>180</v>
      </c>
      <c r="R404" s="513">
        <v>120</v>
      </c>
      <c r="S404" s="41"/>
      <c r="T404" s="40"/>
      <c r="U404" s="40">
        <v>9</v>
      </c>
      <c r="V404" s="119">
        <v>1</v>
      </c>
      <c r="W404" s="40">
        <v>100</v>
      </c>
      <c r="X404" s="119">
        <v>1</v>
      </c>
      <c r="Y404" s="40">
        <v>0</v>
      </c>
      <c r="Z404" s="119">
        <v>1</v>
      </c>
      <c r="AA404" s="368">
        <v>0</v>
      </c>
      <c r="AB404" s="535">
        <v>0</v>
      </c>
      <c r="AC404" s="39" t="s">
        <v>160</v>
      </c>
      <c r="AD404" s="75" t="s">
        <v>8</v>
      </c>
      <c r="AE404" s="95">
        <v>0</v>
      </c>
      <c r="AF404" s="75">
        <v>1</v>
      </c>
      <c r="AG404" s="75">
        <v>0</v>
      </c>
      <c r="AH404" s="75">
        <v>0</v>
      </c>
      <c r="AI404" s="75">
        <v>0</v>
      </c>
      <c r="AJ404" s="75">
        <v>0</v>
      </c>
      <c r="AK404" s="75">
        <v>0</v>
      </c>
      <c r="AL404" s="95">
        <v>0</v>
      </c>
      <c r="AM404" s="92">
        <v>0</v>
      </c>
      <c r="AN404" s="79" t="s">
        <v>80</v>
      </c>
      <c r="AO404" s="75">
        <v>1</v>
      </c>
      <c r="AP404" s="75" t="s">
        <v>83</v>
      </c>
      <c r="AQ404" s="122">
        <v>1</v>
      </c>
      <c r="AR404" s="515" t="s">
        <v>13</v>
      </c>
      <c r="AS404" s="95">
        <v>1</v>
      </c>
      <c r="AT404" s="75">
        <v>0</v>
      </c>
      <c r="AU404" s="75">
        <v>0</v>
      </c>
      <c r="AV404" s="75">
        <v>0</v>
      </c>
      <c r="AW404" s="123">
        <v>0</v>
      </c>
      <c r="AX404" s="516" t="s">
        <v>5680</v>
      </c>
      <c r="AY404" s="75">
        <v>1</v>
      </c>
      <c r="AZ404" s="77" t="s">
        <v>131</v>
      </c>
      <c r="BA404" s="78" t="s">
        <v>132</v>
      </c>
      <c r="BB404" s="78" t="s">
        <v>131</v>
      </c>
      <c r="BC404" s="78" t="s">
        <v>131</v>
      </c>
      <c r="BD404" s="78" t="s">
        <v>131</v>
      </c>
      <c r="BE404" s="78" t="s">
        <v>131</v>
      </c>
      <c r="BF404" s="78" t="s">
        <v>131</v>
      </c>
      <c r="BG404" s="78" t="s">
        <v>131</v>
      </c>
      <c r="BH404" s="75" t="s">
        <v>5970</v>
      </c>
      <c r="BI404" s="295" t="s">
        <v>4039</v>
      </c>
      <c r="BJ404" s="546">
        <v>1</v>
      </c>
      <c r="BK404" s="294" t="s">
        <v>16</v>
      </c>
      <c r="BL404" s="157" t="s">
        <v>16</v>
      </c>
      <c r="BM404" s="548" t="s">
        <v>1347</v>
      </c>
      <c r="BN404" s="548" t="s">
        <v>4160</v>
      </c>
      <c r="BO404" s="157" t="s">
        <v>4595</v>
      </c>
      <c r="BP404" s="548" t="s">
        <v>4597</v>
      </c>
      <c r="BQ404" s="157" t="s">
        <v>4563</v>
      </c>
      <c r="BR404" s="157"/>
    </row>
    <row r="405" spans="1:70" x14ac:dyDescent="0.25">
      <c r="A405" s="19" t="s">
        <v>3686</v>
      </c>
      <c r="B405" s="37" t="s">
        <v>5681</v>
      </c>
      <c r="C405" s="90">
        <v>45413.785543981481</v>
      </c>
      <c r="D405" s="114">
        <v>45413.535543981481</v>
      </c>
      <c r="E405" s="38">
        <v>45413</v>
      </c>
      <c r="F405" s="91">
        <v>2024</v>
      </c>
      <c r="G405" s="93">
        <v>5</v>
      </c>
      <c r="H405" s="37" t="s">
        <v>1361</v>
      </c>
      <c r="I405" s="37"/>
      <c r="J405" s="103">
        <v>-91.378096109341243</v>
      </c>
      <c r="K405" s="40">
        <v>42.698833602520352</v>
      </c>
      <c r="L405" s="74"/>
      <c r="M405" s="272" t="s">
        <v>5682</v>
      </c>
      <c r="N405" s="74">
        <v>1</v>
      </c>
      <c r="O405" s="94"/>
      <c r="P405" s="118">
        <v>1</v>
      </c>
      <c r="Q405" s="510">
        <v>180</v>
      </c>
      <c r="R405" s="513">
        <v>180</v>
      </c>
      <c r="S405" s="41"/>
      <c r="T405" s="40"/>
      <c r="U405" s="40">
        <v>9</v>
      </c>
      <c r="V405" s="119">
        <v>1</v>
      </c>
      <c r="W405" s="40">
        <v>0</v>
      </c>
      <c r="X405" s="119">
        <v>1</v>
      </c>
      <c r="Y405" s="40">
        <v>0</v>
      </c>
      <c r="Z405" s="119">
        <v>1</v>
      </c>
      <c r="AA405" s="368">
        <v>0</v>
      </c>
      <c r="AB405" s="535">
        <v>5</v>
      </c>
      <c r="AC405" s="39" t="s">
        <v>160</v>
      </c>
      <c r="AD405" s="75" t="s">
        <v>10</v>
      </c>
      <c r="AE405" s="95">
        <v>0</v>
      </c>
      <c r="AF405" s="75">
        <v>0</v>
      </c>
      <c r="AG405" s="75">
        <v>0</v>
      </c>
      <c r="AH405" s="75">
        <v>0</v>
      </c>
      <c r="AI405" s="75">
        <v>0</v>
      </c>
      <c r="AJ405" s="75">
        <v>0</v>
      </c>
      <c r="AK405" s="75">
        <v>0</v>
      </c>
      <c r="AL405" s="95">
        <v>1</v>
      </c>
      <c r="AM405" s="92">
        <v>0</v>
      </c>
      <c r="AN405" s="79" t="s">
        <v>80</v>
      </c>
      <c r="AO405" s="75">
        <v>1</v>
      </c>
      <c r="AP405" s="75" t="s">
        <v>83</v>
      </c>
      <c r="AQ405" s="122">
        <v>1</v>
      </c>
      <c r="AR405" s="515" t="s">
        <v>13</v>
      </c>
      <c r="AS405" s="95">
        <v>1</v>
      </c>
      <c r="AT405" s="75">
        <v>0</v>
      </c>
      <c r="AU405" s="75">
        <v>0</v>
      </c>
      <c r="AV405" s="75">
        <v>0</v>
      </c>
      <c r="AW405" s="123">
        <v>0</v>
      </c>
      <c r="AX405" s="516" t="s">
        <v>5683</v>
      </c>
      <c r="AY405" s="75">
        <v>1</v>
      </c>
      <c r="AZ405" s="77" t="s">
        <v>131</v>
      </c>
      <c r="BA405" s="78" t="s">
        <v>131</v>
      </c>
      <c r="BB405" s="78" t="s">
        <v>131</v>
      </c>
      <c r="BC405" s="78" t="s">
        <v>131</v>
      </c>
      <c r="BD405" s="78" t="s">
        <v>131</v>
      </c>
      <c r="BE405" s="78" t="s">
        <v>131</v>
      </c>
      <c r="BF405" s="78" t="s">
        <v>131</v>
      </c>
      <c r="BG405" s="78" t="s">
        <v>132</v>
      </c>
      <c r="BH405" s="75" t="s">
        <v>5970</v>
      </c>
      <c r="BI405" s="295" t="s">
        <v>4039</v>
      </c>
      <c r="BJ405" s="546" t="s">
        <v>16</v>
      </c>
      <c r="BK405" s="294" t="s">
        <v>16</v>
      </c>
      <c r="BL405" s="157" t="s">
        <v>16</v>
      </c>
      <c r="BM405" s="548" t="s">
        <v>1347</v>
      </c>
      <c r="BN405" s="548" t="s">
        <v>4160</v>
      </c>
      <c r="BO405" s="157" t="s">
        <v>4595</v>
      </c>
      <c r="BP405" s="548" t="s">
        <v>4597</v>
      </c>
      <c r="BQ405" s="157" t="s">
        <v>4563</v>
      </c>
      <c r="BR405" s="157"/>
    </row>
    <row r="406" spans="1:70" x14ac:dyDescent="0.25">
      <c r="A406" s="19" t="s">
        <v>3686</v>
      </c>
      <c r="B406" s="37" t="s">
        <v>5684</v>
      </c>
      <c r="C406" s="90">
        <v>45413.781076388892</v>
      </c>
      <c r="D406" s="114">
        <v>45413.531076388892</v>
      </c>
      <c r="E406" s="38">
        <v>45413</v>
      </c>
      <c r="F406" s="91">
        <v>2024</v>
      </c>
      <c r="G406" s="93">
        <v>5</v>
      </c>
      <c r="H406" s="37" t="s">
        <v>1361</v>
      </c>
      <c r="I406" s="37"/>
      <c r="J406" s="103">
        <v>-91.37821127669082</v>
      </c>
      <c r="K406" s="40">
        <v>42.698786328586465</v>
      </c>
      <c r="L406" s="74"/>
      <c r="M406" s="272" t="s">
        <v>5685</v>
      </c>
      <c r="N406" s="74">
        <v>1</v>
      </c>
      <c r="O406" s="94"/>
      <c r="P406" s="118">
        <v>1</v>
      </c>
      <c r="Q406" s="510">
        <v>180</v>
      </c>
      <c r="R406" s="513">
        <v>120</v>
      </c>
      <c r="S406" s="41"/>
      <c r="T406" s="40"/>
      <c r="U406" s="40">
        <v>9</v>
      </c>
      <c r="V406" s="119">
        <v>1</v>
      </c>
      <c r="W406" s="40">
        <v>0</v>
      </c>
      <c r="X406" s="119">
        <v>1</v>
      </c>
      <c r="Y406" s="40">
        <v>0</v>
      </c>
      <c r="Z406" s="119">
        <v>1</v>
      </c>
      <c r="AA406" s="368">
        <v>0</v>
      </c>
      <c r="AB406" s="535">
        <v>0</v>
      </c>
      <c r="AC406" s="39" t="s">
        <v>160</v>
      </c>
      <c r="AD406" s="75" t="s">
        <v>10</v>
      </c>
      <c r="AE406" s="95">
        <v>0</v>
      </c>
      <c r="AF406" s="75">
        <v>0</v>
      </c>
      <c r="AG406" s="75">
        <v>0</v>
      </c>
      <c r="AH406" s="75">
        <v>0</v>
      </c>
      <c r="AI406" s="75">
        <v>0</v>
      </c>
      <c r="AJ406" s="75">
        <v>0</v>
      </c>
      <c r="AK406" s="75">
        <v>0</v>
      </c>
      <c r="AL406" s="95">
        <v>1</v>
      </c>
      <c r="AM406" s="92">
        <v>0</v>
      </c>
      <c r="AN406" s="79" t="s">
        <v>80</v>
      </c>
      <c r="AO406" s="75">
        <v>1</v>
      </c>
      <c r="AP406" s="75" t="s">
        <v>83</v>
      </c>
      <c r="AQ406" s="122">
        <v>1</v>
      </c>
      <c r="AR406" s="515" t="s">
        <v>13</v>
      </c>
      <c r="AS406" s="95">
        <v>1</v>
      </c>
      <c r="AT406" s="75">
        <v>0</v>
      </c>
      <c r="AU406" s="75">
        <v>0</v>
      </c>
      <c r="AV406" s="75">
        <v>0</v>
      </c>
      <c r="AW406" s="123">
        <v>0</v>
      </c>
      <c r="AX406" s="516" t="s">
        <v>5686</v>
      </c>
      <c r="AY406" s="75">
        <v>1</v>
      </c>
      <c r="AZ406" s="77" t="s">
        <v>131</v>
      </c>
      <c r="BA406" s="78" t="s">
        <v>131</v>
      </c>
      <c r="BB406" s="78" t="s">
        <v>131</v>
      </c>
      <c r="BC406" s="78" t="s">
        <v>131</v>
      </c>
      <c r="BD406" s="78" t="s">
        <v>131</v>
      </c>
      <c r="BE406" s="78" t="s">
        <v>131</v>
      </c>
      <c r="BF406" s="78" t="s">
        <v>131</v>
      </c>
      <c r="BG406" s="78" t="s">
        <v>132</v>
      </c>
      <c r="BH406" s="75" t="s">
        <v>5970</v>
      </c>
      <c r="BI406" s="295" t="s">
        <v>4039</v>
      </c>
      <c r="BJ406" s="546" t="s">
        <v>16</v>
      </c>
      <c r="BK406" s="294" t="s">
        <v>16</v>
      </c>
      <c r="BL406" s="157" t="s">
        <v>16</v>
      </c>
      <c r="BM406" s="548" t="s">
        <v>1347</v>
      </c>
      <c r="BN406" s="548" t="s">
        <v>4160</v>
      </c>
      <c r="BO406" s="157" t="s">
        <v>4595</v>
      </c>
      <c r="BP406" s="548" t="s">
        <v>4597</v>
      </c>
      <c r="BQ406" s="157" t="s">
        <v>4563</v>
      </c>
      <c r="BR406" s="157"/>
    </row>
    <row r="407" spans="1:70" x14ac:dyDescent="0.25">
      <c r="A407" s="19" t="s">
        <v>3686</v>
      </c>
      <c r="B407" s="37" t="s">
        <v>5687</v>
      </c>
      <c r="C407" s="90">
        <v>45413.756469907406</v>
      </c>
      <c r="D407" s="114">
        <v>45413.506469907406</v>
      </c>
      <c r="E407" s="38">
        <v>45413</v>
      </c>
      <c r="F407" s="91">
        <v>2024</v>
      </c>
      <c r="G407" s="93">
        <v>5</v>
      </c>
      <c r="H407" s="37" t="s">
        <v>1361</v>
      </c>
      <c r="I407" s="37"/>
      <c r="J407" s="103">
        <v>-91.400710567917116</v>
      </c>
      <c r="K407" s="40">
        <v>42.67501168888311</v>
      </c>
      <c r="L407" s="74"/>
      <c r="M407" s="272" t="s">
        <v>5688</v>
      </c>
      <c r="N407" s="74">
        <v>1</v>
      </c>
      <c r="O407" s="94"/>
      <c r="P407" s="118">
        <v>1</v>
      </c>
      <c r="Q407" s="510">
        <v>180</v>
      </c>
      <c r="R407" s="513">
        <v>180</v>
      </c>
      <c r="S407" s="41"/>
      <c r="T407" s="40"/>
      <c r="U407" s="40">
        <v>8</v>
      </c>
      <c r="V407" s="119">
        <v>0</v>
      </c>
      <c r="W407" s="40"/>
      <c r="X407" s="119">
        <v>0</v>
      </c>
      <c r="Y407" s="40"/>
      <c r="Z407" s="119">
        <v>1</v>
      </c>
      <c r="AA407" s="368">
        <v>0</v>
      </c>
      <c r="AB407" s="535">
        <v>2</v>
      </c>
      <c r="AC407" s="39" t="s">
        <v>160</v>
      </c>
      <c r="AD407" s="75" t="s">
        <v>7</v>
      </c>
      <c r="AE407" s="95">
        <v>1</v>
      </c>
      <c r="AF407" s="75">
        <v>0</v>
      </c>
      <c r="AG407" s="75">
        <v>0</v>
      </c>
      <c r="AH407" s="75">
        <v>0</v>
      </c>
      <c r="AI407" s="75">
        <v>0</v>
      </c>
      <c r="AJ407" s="75">
        <v>0</v>
      </c>
      <c r="AK407" s="75">
        <v>0</v>
      </c>
      <c r="AL407" s="95">
        <v>0</v>
      </c>
      <c r="AM407" s="92">
        <v>0</v>
      </c>
      <c r="AN407" s="79" t="s">
        <v>80</v>
      </c>
      <c r="AO407" s="75">
        <v>1</v>
      </c>
      <c r="AP407" s="75" t="s">
        <v>83</v>
      </c>
      <c r="AQ407" s="122">
        <v>1</v>
      </c>
      <c r="AR407" s="515" t="s">
        <v>13</v>
      </c>
      <c r="AS407" s="95">
        <v>1</v>
      </c>
      <c r="AT407" s="75">
        <v>0</v>
      </c>
      <c r="AU407" s="75">
        <v>0</v>
      </c>
      <c r="AV407" s="75">
        <v>0</v>
      </c>
      <c r="AW407" s="123">
        <v>0</v>
      </c>
      <c r="AX407" s="516"/>
      <c r="AY407" s="75">
        <v>0</v>
      </c>
      <c r="AZ407" s="77" t="s">
        <v>132</v>
      </c>
      <c r="BA407" s="78" t="s">
        <v>131</v>
      </c>
      <c r="BB407" s="78" t="s">
        <v>131</v>
      </c>
      <c r="BC407" s="78" t="s">
        <v>131</v>
      </c>
      <c r="BD407" s="78" t="s">
        <v>131</v>
      </c>
      <c r="BE407" s="78" t="s">
        <v>131</v>
      </c>
      <c r="BF407" s="78" t="s">
        <v>131</v>
      </c>
      <c r="BG407" s="78" t="s">
        <v>131</v>
      </c>
      <c r="BH407" s="75" t="s">
        <v>5970</v>
      </c>
      <c r="BI407" s="295" t="s">
        <v>2260</v>
      </c>
      <c r="BJ407" s="546">
        <v>1</v>
      </c>
      <c r="BK407" s="294" t="s">
        <v>16</v>
      </c>
      <c r="BL407" s="157" t="s">
        <v>16</v>
      </c>
      <c r="BM407" s="548" t="s">
        <v>1347</v>
      </c>
      <c r="BN407" s="548" t="s">
        <v>4160</v>
      </c>
      <c r="BO407" s="157" t="s">
        <v>4594</v>
      </c>
      <c r="BP407" s="548" t="s">
        <v>2260</v>
      </c>
      <c r="BQ407" s="157" t="s">
        <v>4563</v>
      </c>
      <c r="BR407" s="157"/>
    </row>
    <row r="408" spans="1:70" x14ac:dyDescent="0.25">
      <c r="A408" s="19" t="s">
        <v>3686</v>
      </c>
      <c r="B408" s="37" t="s">
        <v>5689</v>
      </c>
      <c r="C408" s="90">
        <v>45413.730879629627</v>
      </c>
      <c r="D408" s="114">
        <v>45413.480879629627</v>
      </c>
      <c r="E408" s="38">
        <v>45413</v>
      </c>
      <c r="F408" s="91">
        <v>2024</v>
      </c>
      <c r="G408" s="93">
        <v>5</v>
      </c>
      <c r="H408" s="37" t="s">
        <v>1361</v>
      </c>
      <c r="I408" s="37"/>
      <c r="J408" s="103">
        <v>-91.378941591914156</v>
      </c>
      <c r="K408" s="40">
        <v>42.647581156382941</v>
      </c>
      <c r="L408" s="74"/>
      <c r="M408" s="272" t="s">
        <v>5690</v>
      </c>
      <c r="N408" s="74">
        <v>1</v>
      </c>
      <c r="O408" s="94"/>
      <c r="P408" s="118">
        <v>1</v>
      </c>
      <c r="Q408" s="510">
        <v>180</v>
      </c>
      <c r="R408" s="513">
        <v>180</v>
      </c>
      <c r="S408" s="41"/>
      <c r="T408" s="40"/>
      <c r="U408" s="40">
        <v>7.5</v>
      </c>
      <c r="V408" s="119">
        <v>1</v>
      </c>
      <c r="W408" s="40">
        <v>100</v>
      </c>
      <c r="X408" s="119">
        <v>0</v>
      </c>
      <c r="Y408" s="40"/>
      <c r="Z408" s="119">
        <v>1</v>
      </c>
      <c r="AA408" s="368">
        <v>0</v>
      </c>
      <c r="AB408" s="535">
        <v>10</v>
      </c>
      <c r="AC408" s="39" t="s">
        <v>160</v>
      </c>
      <c r="AD408" s="75" t="s">
        <v>8</v>
      </c>
      <c r="AE408" s="95">
        <v>0</v>
      </c>
      <c r="AF408" s="75">
        <v>1</v>
      </c>
      <c r="AG408" s="75">
        <v>0</v>
      </c>
      <c r="AH408" s="75">
        <v>0</v>
      </c>
      <c r="AI408" s="75">
        <v>0</v>
      </c>
      <c r="AJ408" s="75">
        <v>0</v>
      </c>
      <c r="AK408" s="75">
        <v>0</v>
      </c>
      <c r="AL408" s="95">
        <v>0</v>
      </c>
      <c r="AM408" s="92">
        <v>0</v>
      </c>
      <c r="AN408" s="79" t="s">
        <v>81</v>
      </c>
      <c r="AO408" s="75">
        <v>1</v>
      </c>
      <c r="AP408" s="75" t="s">
        <v>83</v>
      </c>
      <c r="AQ408" s="122">
        <v>1</v>
      </c>
      <c r="AR408" s="515" t="s">
        <v>13</v>
      </c>
      <c r="AS408" s="95">
        <v>1</v>
      </c>
      <c r="AT408" s="75">
        <v>0</v>
      </c>
      <c r="AU408" s="75">
        <v>0</v>
      </c>
      <c r="AV408" s="75">
        <v>0</v>
      </c>
      <c r="AW408" s="123">
        <v>0</v>
      </c>
      <c r="AX408" s="516"/>
      <c r="AY408" s="75">
        <v>0</v>
      </c>
      <c r="AZ408" s="77" t="s">
        <v>131</v>
      </c>
      <c r="BA408" s="78" t="s">
        <v>132</v>
      </c>
      <c r="BB408" s="78" t="s">
        <v>131</v>
      </c>
      <c r="BC408" s="78" t="s">
        <v>131</v>
      </c>
      <c r="BD408" s="78" t="s">
        <v>131</v>
      </c>
      <c r="BE408" s="78" t="s">
        <v>131</v>
      </c>
      <c r="BF408" s="78" t="s">
        <v>131</v>
      </c>
      <c r="BG408" s="78" t="s">
        <v>131</v>
      </c>
      <c r="BH408" s="75" t="s">
        <v>5970</v>
      </c>
      <c r="BI408" s="295" t="s">
        <v>4040</v>
      </c>
      <c r="BJ408" s="546" t="s">
        <v>16</v>
      </c>
      <c r="BK408" s="294" t="s">
        <v>16</v>
      </c>
      <c r="BL408" s="157" t="s">
        <v>16</v>
      </c>
      <c r="BM408" s="548" t="s">
        <v>1347</v>
      </c>
      <c r="BN408" s="548" t="s">
        <v>4160</v>
      </c>
      <c r="BO408" s="157" t="s">
        <v>4594</v>
      </c>
      <c r="BP408" s="548" t="s">
        <v>2260</v>
      </c>
      <c r="BQ408" s="157" t="s">
        <v>4563</v>
      </c>
      <c r="BR408" s="157"/>
    </row>
    <row r="409" spans="1:70" x14ac:dyDescent="0.25">
      <c r="A409" s="19" t="s">
        <v>3686</v>
      </c>
      <c r="B409" s="37" t="s">
        <v>5691</v>
      </c>
      <c r="C409" s="90">
        <v>45412.866701388892</v>
      </c>
      <c r="D409" s="114">
        <v>45412.616701388892</v>
      </c>
      <c r="E409" s="38">
        <v>45412</v>
      </c>
      <c r="F409" s="91">
        <v>2024</v>
      </c>
      <c r="G409" s="93">
        <v>4</v>
      </c>
      <c r="H409" s="37" t="s">
        <v>461</v>
      </c>
      <c r="I409" s="37" t="s">
        <v>154</v>
      </c>
      <c r="J409" s="103">
        <v>-92.146812310306004</v>
      </c>
      <c r="K409" s="40">
        <v>44.793204322958189</v>
      </c>
      <c r="L409" s="74"/>
      <c r="M409" s="272" t="s">
        <v>5692</v>
      </c>
      <c r="N409" s="74">
        <v>1</v>
      </c>
      <c r="O409" s="94"/>
      <c r="P409" s="118">
        <v>1</v>
      </c>
      <c r="Q409" s="510">
        <v>180</v>
      </c>
      <c r="R409" s="513">
        <v>120</v>
      </c>
      <c r="S409" s="41"/>
      <c r="T409" s="40"/>
      <c r="U409" s="40">
        <v>8</v>
      </c>
      <c r="V409" s="119">
        <v>1</v>
      </c>
      <c r="W409" s="40">
        <v>0</v>
      </c>
      <c r="X409" s="119">
        <v>0</v>
      </c>
      <c r="Y409" s="40"/>
      <c r="Z409" s="119">
        <v>1</v>
      </c>
      <c r="AA409" s="368">
        <v>0</v>
      </c>
      <c r="AB409" s="535">
        <v>0</v>
      </c>
      <c r="AC409" s="39" t="s">
        <v>160</v>
      </c>
      <c r="AD409" s="75" t="s">
        <v>10</v>
      </c>
      <c r="AE409" s="95">
        <v>0</v>
      </c>
      <c r="AF409" s="75">
        <v>0</v>
      </c>
      <c r="AG409" s="75">
        <v>0</v>
      </c>
      <c r="AH409" s="75">
        <v>0</v>
      </c>
      <c r="AI409" s="75">
        <v>0</v>
      </c>
      <c r="AJ409" s="75">
        <v>0</v>
      </c>
      <c r="AK409" s="75">
        <v>0</v>
      </c>
      <c r="AL409" s="95">
        <v>1</v>
      </c>
      <c r="AM409" s="92">
        <v>0</v>
      </c>
      <c r="AN409" s="79" t="s">
        <v>80</v>
      </c>
      <c r="AO409" s="75">
        <v>1</v>
      </c>
      <c r="AP409" s="75" t="s">
        <v>83</v>
      </c>
      <c r="AQ409" s="122">
        <v>1</v>
      </c>
      <c r="AR409" s="515" t="s">
        <v>10</v>
      </c>
      <c r="AS409" s="95">
        <v>0</v>
      </c>
      <c r="AT409" s="75">
        <v>0</v>
      </c>
      <c r="AU409" s="75">
        <v>0</v>
      </c>
      <c r="AV409" s="75">
        <v>0</v>
      </c>
      <c r="AW409" s="123">
        <v>0</v>
      </c>
      <c r="AX409" s="516"/>
      <c r="AY409" s="75">
        <v>0</v>
      </c>
      <c r="AZ409" s="77" t="s">
        <v>131</v>
      </c>
      <c r="BA409" s="78" t="s">
        <v>131</v>
      </c>
      <c r="BB409" s="78" t="s">
        <v>131</v>
      </c>
      <c r="BC409" s="78" t="s">
        <v>131</v>
      </c>
      <c r="BD409" s="78" t="s">
        <v>131</v>
      </c>
      <c r="BE409" s="78" t="s">
        <v>131</v>
      </c>
      <c r="BF409" s="78" t="s">
        <v>131</v>
      </c>
      <c r="BG409" s="78" t="s">
        <v>132</v>
      </c>
      <c r="BH409" s="75" t="s">
        <v>5970</v>
      </c>
      <c r="BI409" s="295" t="s">
        <v>2270</v>
      </c>
      <c r="BJ409" s="546">
        <v>1</v>
      </c>
      <c r="BK409" s="294">
        <v>1</v>
      </c>
      <c r="BL409" s="157">
        <v>1</v>
      </c>
      <c r="BM409" s="548" t="s">
        <v>578</v>
      </c>
      <c r="BN409" s="548" t="s">
        <v>578</v>
      </c>
      <c r="BO409" s="157" t="s">
        <v>4317</v>
      </c>
      <c r="BP409" s="548" t="s">
        <v>2270</v>
      </c>
      <c r="BQ409" s="157" t="s">
        <v>4316</v>
      </c>
      <c r="BR409" s="157"/>
    </row>
    <row r="410" spans="1:70" x14ac:dyDescent="0.25">
      <c r="A410" s="19" t="s">
        <v>3686</v>
      </c>
      <c r="B410" s="37" t="s">
        <v>5693</v>
      </c>
      <c r="C410" s="90">
        <v>45411.840474537035</v>
      </c>
      <c r="D410" s="114">
        <v>45411.590474537035</v>
      </c>
      <c r="E410" s="38">
        <v>45411</v>
      </c>
      <c r="F410" s="91">
        <v>2024</v>
      </c>
      <c r="G410" s="93">
        <v>4</v>
      </c>
      <c r="H410" s="37" t="s">
        <v>475</v>
      </c>
      <c r="I410" s="37"/>
      <c r="J410" s="103">
        <v>-92.649914026120086</v>
      </c>
      <c r="K410" s="40">
        <v>44.07519326540109</v>
      </c>
      <c r="L410" s="74"/>
      <c r="M410" s="272" t="s">
        <v>16</v>
      </c>
      <c r="N410" s="74">
        <v>0</v>
      </c>
      <c r="O410" s="94"/>
      <c r="P410" s="118">
        <v>0</v>
      </c>
      <c r="Q410" s="510"/>
      <c r="R410" s="513"/>
      <c r="S410" s="41"/>
      <c r="T410" s="40"/>
      <c r="U410" s="40"/>
      <c r="V410" s="119">
        <v>0</v>
      </c>
      <c r="W410" s="40"/>
      <c r="X410" s="119">
        <v>0</v>
      </c>
      <c r="Y410" s="40"/>
      <c r="Z410" s="119">
        <v>1</v>
      </c>
      <c r="AA410" s="368">
        <v>0</v>
      </c>
      <c r="AB410" s="535">
        <v>10</v>
      </c>
      <c r="AC410" s="39" t="s">
        <v>160</v>
      </c>
      <c r="AD410" s="75" t="s">
        <v>16</v>
      </c>
      <c r="AE410" s="95">
        <v>-1</v>
      </c>
      <c r="AF410" s="75">
        <v>-1</v>
      </c>
      <c r="AG410" s="75">
        <v>-1</v>
      </c>
      <c r="AH410" s="75">
        <v>-1</v>
      </c>
      <c r="AI410" s="75">
        <v>-1</v>
      </c>
      <c r="AJ410" s="75">
        <v>-1</v>
      </c>
      <c r="AK410" s="75">
        <v>-1</v>
      </c>
      <c r="AL410" s="95">
        <v>-1</v>
      </c>
      <c r="AM410" s="92">
        <v>1</v>
      </c>
      <c r="AN410" s="79" t="s">
        <v>80</v>
      </c>
      <c r="AO410" s="75">
        <v>1</v>
      </c>
      <c r="AP410" s="75" t="s">
        <v>84</v>
      </c>
      <c r="AQ410" s="122">
        <v>1</v>
      </c>
      <c r="AR410" s="515" t="s">
        <v>13</v>
      </c>
      <c r="AS410" s="95">
        <v>1</v>
      </c>
      <c r="AT410" s="75">
        <v>0</v>
      </c>
      <c r="AU410" s="75">
        <v>0</v>
      </c>
      <c r="AV410" s="75">
        <v>0</v>
      </c>
      <c r="AW410" s="123">
        <v>0</v>
      </c>
      <c r="AX410" s="516" t="s">
        <v>5694</v>
      </c>
      <c r="AY410" s="75">
        <v>1</v>
      </c>
      <c r="AZ410" s="77" t="s">
        <v>5971</v>
      </c>
      <c r="BA410" s="78" t="s">
        <v>5971</v>
      </c>
      <c r="BB410" s="78" t="s">
        <v>5971</v>
      </c>
      <c r="BC410" s="78" t="s">
        <v>5971</v>
      </c>
      <c r="BD410" s="78" t="s">
        <v>5971</v>
      </c>
      <c r="BE410" s="78" t="s">
        <v>5971</v>
      </c>
      <c r="BF410" s="78" t="s">
        <v>5971</v>
      </c>
      <c r="BG410" s="78" t="s">
        <v>5971</v>
      </c>
      <c r="BH410" s="75" t="s">
        <v>5971</v>
      </c>
      <c r="BI410" s="295" t="s">
        <v>5823</v>
      </c>
      <c r="BJ410" s="546" t="s">
        <v>16</v>
      </c>
      <c r="BK410" s="294" t="s">
        <v>16</v>
      </c>
      <c r="BL410" s="157" t="s">
        <v>16</v>
      </c>
      <c r="BM410" s="548" t="s">
        <v>1339</v>
      </c>
      <c r="BN410" s="548" t="s">
        <v>1339</v>
      </c>
      <c r="BO410" s="157" t="s">
        <v>5822</v>
      </c>
      <c r="BP410" s="548" t="s">
        <v>5823</v>
      </c>
      <c r="BQ410" s="157" t="s">
        <v>5821</v>
      </c>
      <c r="BR410" s="157"/>
    </row>
    <row r="411" spans="1:70" x14ac:dyDescent="0.25">
      <c r="A411" s="19" t="s">
        <v>3686</v>
      </c>
      <c r="B411" s="37" t="s">
        <v>5695</v>
      </c>
      <c r="C411" s="90">
        <v>45410.92423611111</v>
      </c>
      <c r="D411" s="114">
        <v>45410.67423611111</v>
      </c>
      <c r="E411" s="38">
        <v>45410</v>
      </c>
      <c r="F411" s="91">
        <v>2024</v>
      </c>
      <c r="G411" s="93">
        <v>4</v>
      </c>
      <c r="H411" s="37" t="s">
        <v>302</v>
      </c>
      <c r="I411" s="37"/>
      <c r="J411" s="103">
        <v>-91.704877116767904</v>
      </c>
      <c r="K411" s="40">
        <v>44.066844303958653</v>
      </c>
      <c r="L411" s="74"/>
      <c r="M411" s="272" t="s">
        <v>16</v>
      </c>
      <c r="N411" s="74">
        <v>0</v>
      </c>
      <c r="O411" s="94"/>
      <c r="P411" s="118">
        <v>1</v>
      </c>
      <c r="Q411" s="510">
        <v>40</v>
      </c>
      <c r="R411" s="513">
        <v>0</v>
      </c>
      <c r="S411" s="41"/>
      <c r="T411" s="40"/>
      <c r="U411" s="40">
        <v>7</v>
      </c>
      <c r="V411" s="119">
        <v>1</v>
      </c>
      <c r="W411" s="40">
        <v>0</v>
      </c>
      <c r="X411" s="119">
        <v>0</v>
      </c>
      <c r="Y411" s="40"/>
      <c r="Z411" s="119">
        <v>1</v>
      </c>
      <c r="AA411" s="368">
        <v>0</v>
      </c>
      <c r="AB411" s="535">
        <v>0</v>
      </c>
      <c r="AC411" s="39"/>
      <c r="AD411" s="75" t="s">
        <v>16</v>
      </c>
      <c r="AE411" s="95">
        <v>-1</v>
      </c>
      <c r="AF411" s="75">
        <v>-1</v>
      </c>
      <c r="AG411" s="75">
        <v>-1</v>
      </c>
      <c r="AH411" s="75">
        <v>-1</v>
      </c>
      <c r="AI411" s="75">
        <v>-1</v>
      </c>
      <c r="AJ411" s="75">
        <v>-1</v>
      </c>
      <c r="AK411" s="75">
        <v>-1</v>
      </c>
      <c r="AL411" s="95">
        <v>-1</v>
      </c>
      <c r="AM411" s="92">
        <v>1</v>
      </c>
      <c r="AN411" s="79"/>
      <c r="AO411" s="75">
        <v>0</v>
      </c>
      <c r="AP411" s="75" t="s">
        <v>83</v>
      </c>
      <c r="AQ411" s="122">
        <v>1</v>
      </c>
      <c r="AR411" s="515" t="s">
        <v>13</v>
      </c>
      <c r="AS411" s="95">
        <v>1</v>
      </c>
      <c r="AT411" s="75">
        <v>0</v>
      </c>
      <c r="AU411" s="75">
        <v>0</v>
      </c>
      <c r="AV411" s="75">
        <v>0</v>
      </c>
      <c r="AW411" s="123">
        <v>0</v>
      </c>
      <c r="AX411" s="516" t="s">
        <v>5696</v>
      </c>
      <c r="AY411" s="75">
        <v>1</v>
      </c>
      <c r="AZ411" s="77" t="s">
        <v>5971</v>
      </c>
      <c r="BA411" s="78" t="s">
        <v>5971</v>
      </c>
      <c r="BB411" s="78" t="s">
        <v>5971</v>
      </c>
      <c r="BC411" s="78" t="s">
        <v>5971</v>
      </c>
      <c r="BD411" s="78" t="s">
        <v>5971</v>
      </c>
      <c r="BE411" s="78" t="s">
        <v>5971</v>
      </c>
      <c r="BF411" s="78" t="s">
        <v>5971</v>
      </c>
      <c r="BG411" s="78" t="s">
        <v>5971</v>
      </c>
      <c r="BH411" s="75" t="s">
        <v>5971</v>
      </c>
      <c r="BI411" s="295" t="s">
        <v>16</v>
      </c>
      <c r="BJ411" s="546" t="s">
        <v>16</v>
      </c>
      <c r="BK411" s="294" t="s">
        <v>16</v>
      </c>
      <c r="BL411" s="157" t="s">
        <v>16</v>
      </c>
      <c r="BM411" s="548" t="s">
        <v>1341</v>
      </c>
      <c r="BN411" s="548" t="s">
        <v>4160</v>
      </c>
      <c r="BO411" s="157" t="s">
        <v>4523</v>
      </c>
      <c r="BP411" s="548" t="s">
        <v>4508</v>
      </c>
      <c r="BQ411" s="157" t="s">
        <v>4269</v>
      </c>
      <c r="BR411" s="157"/>
    </row>
    <row r="412" spans="1:70" x14ac:dyDescent="0.25">
      <c r="A412" s="19" t="s">
        <v>3686</v>
      </c>
      <c r="B412" s="37" t="s">
        <v>5697</v>
      </c>
      <c r="C412" s="90">
        <v>45407.695601851854</v>
      </c>
      <c r="D412" s="114">
        <v>45407.445601851854</v>
      </c>
      <c r="E412" s="38">
        <v>45407</v>
      </c>
      <c r="F412" s="91">
        <v>2024</v>
      </c>
      <c r="G412" s="93">
        <v>4</v>
      </c>
      <c r="H412" s="37" t="s">
        <v>5456</v>
      </c>
      <c r="I412" s="37"/>
      <c r="J412" s="103">
        <v>-93.151403799999997</v>
      </c>
      <c r="K412" s="40">
        <v>44.641142100000003</v>
      </c>
      <c r="L412" s="74"/>
      <c r="M412" s="272" t="s">
        <v>16</v>
      </c>
      <c r="N412" s="74">
        <v>0</v>
      </c>
      <c r="O412" s="94"/>
      <c r="P412" s="118">
        <v>1</v>
      </c>
      <c r="Q412" s="510">
        <v>80</v>
      </c>
      <c r="R412" s="513">
        <v>120</v>
      </c>
      <c r="S412" s="41"/>
      <c r="T412" s="40"/>
      <c r="U412" s="40">
        <v>7.5</v>
      </c>
      <c r="V412" s="119">
        <v>0</v>
      </c>
      <c r="W412" s="40"/>
      <c r="X412" s="119">
        <v>1</v>
      </c>
      <c r="Y412" s="40">
        <v>51</v>
      </c>
      <c r="Z412" s="119">
        <v>1</v>
      </c>
      <c r="AA412" s="368">
        <v>0</v>
      </c>
      <c r="AB412" s="535">
        <v>2</v>
      </c>
      <c r="AC412" s="39"/>
      <c r="AD412" s="75" t="s">
        <v>803</v>
      </c>
      <c r="AE412" s="95">
        <v>0</v>
      </c>
      <c r="AF412" s="75">
        <v>1</v>
      </c>
      <c r="AG412" s="75">
        <v>1</v>
      </c>
      <c r="AH412" s="75">
        <v>1</v>
      </c>
      <c r="AI412" s="75">
        <v>0</v>
      </c>
      <c r="AJ412" s="75">
        <v>0</v>
      </c>
      <c r="AK412" s="75">
        <v>0</v>
      </c>
      <c r="AL412" s="95">
        <v>0</v>
      </c>
      <c r="AM412" s="92">
        <v>0</v>
      </c>
      <c r="AN412" s="79"/>
      <c r="AO412" s="75">
        <v>0</v>
      </c>
      <c r="AP412" s="75"/>
      <c r="AQ412" s="122">
        <v>0</v>
      </c>
      <c r="AR412" s="515" t="s">
        <v>16</v>
      </c>
      <c r="AS412" s="95">
        <v>-1</v>
      </c>
      <c r="AT412" s="75">
        <v>-1</v>
      </c>
      <c r="AU412" s="75">
        <v>-1</v>
      </c>
      <c r="AV412" s="75">
        <v>-1</v>
      </c>
      <c r="AW412" s="123">
        <v>1</v>
      </c>
      <c r="AX412" s="516"/>
      <c r="AY412" s="75">
        <v>0</v>
      </c>
      <c r="AZ412" s="77" t="s">
        <v>131</v>
      </c>
      <c r="BA412" s="78" t="s">
        <v>132</v>
      </c>
      <c r="BB412" s="78" t="s">
        <v>132</v>
      </c>
      <c r="BC412" s="78" t="s">
        <v>132</v>
      </c>
      <c r="BD412" s="78" t="s">
        <v>131</v>
      </c>
      <c r="BE412" s="78" t="s">
        <v>131</v>
      </c>
      <c r="BF412" s="78" t="s">
        <v>131</v>
      </c>
      <c r="BG412" s="78" t="s">
        <v>131</v>
      </c>
      <c r="BH412" s="75" t="s">
        <v>5970</v>
      </c>
      <c r="BI412" s="295" t="s">
        <v>2233</v>
      </c>
      <c r="BJ412" s="546">
        <v>1</v>
      </c>
      <c r="BK412" s="294" t="s">
        <v>16</v>
      </c>
      <c r="BL412" s="157" t="s">
        <v>16</v>
      </c>
      <c r="BM412" s="548" t="s">
        <v>2343</v>
      </c>
      <c r="BN412" s="548" t="s">
        <v>5969</v>
      </c>
      <c r="BO412" s="157" t="s">
        <v>4685</v>
      </c>
      <c r="BP412" s="548" t="s">
        <v>4686</v>
      </c>
      <c r="BQ412" s="157" t="s">
        <v>4292</v>
      </c>
      <c r="BR412" s="157"/>
    </row>
    <row r="413" spans="1:70" x14ac:dyDescent="0.25">
      <c r="A413" s="19" t="s">
        <v>3686</v>
      </c>
      <c r="B413" s="37" t="s">
        <v>5698</v>
      </c>
      <c r="C413" s="90">
        <v>45407.683796296296</v>
      </c>
      <c r="D413" s="114">
        <v>45407.433796296296</v>
      </c>
      <c r="E413" s="38">
        <v>45407</v>
      </c>
      <c r="F413" s="91">
        <v>2024</v>
      </c>
      <c r="G413" s="93">
        <v>4</v>
      </c>
      <c r="H413" s="37" t="s">
        <v>5456</v>
      </c>
      <c r="I413" s="37"/>
      <c r="J413" s="103">
        <v>-93.151382600000005</v>
      </c>
      <c r="K413" s="40">
        <v>44.641164099999997</v>
      </c>
      <c r="L413" s="74"/>
      <c r="M413" s="272" t="s">
        <v>16</v>
      </c>
      <c r="N413" s="74">
        <v>0</v>
      </c>
      <c r="O413" s="94"/>
      <c r="P413" s="118">
        <v>1</v>
      </c>
      <c r="Q413" s="510">
        <v>80</v>
      </c>
      <c r="R413" s="513">
        <v>120</v>
      </c>
      <c r="S413" s="41"/>
      <c r="T413" s="40"/>
      <c r="U413" s="40">
        <v>7.5</v>
      </c>
      <c r="V413" s="119">
        <v>0</v>
      </c>
      <c r="W413" s="40"/>
      <c r="X413" s="119">
        <v>1</v>
      </c>
      <c r="Y413" s="40">
        <v>50</v>
      </c>
      <c r="Z413" s="119">
        <v>1</v>
      </c>
      <c r="AA413" s="368">
        <v>0</v>
      </c>
      <c r="AB413" s="535">
        <v>2</v>
      </c>
      <c r="AC413" s="39"/>
      <c r="AD413" s="75" t="s">
        <v>5699</v>
      </c>
      <c r="AE413" s="95">
        <v>0</v>
      </c>
      <c r="AF413" s="75">
        <v>1</v>
      </c>
      <c r="AG413" s="75">
        <v>1</v>
      </c>
      <c r="AH413" s="75">
        <v>1</v>
      </c>
      <c r="AI413" s="75">
        <v>1</v>
      </c>
      <c r="AJ413" s="75">
        <v>0</v>
      </c>
      <c r="AK413" s="75">
        <v>0</v>
      </c>
      <c r="AL413" s="95">
        <v>0</v>
      </c>
      <c r="AM413" s="92">
        <v>0</v>
      </c>
      <c r="AN413" s="79"/>
      <c r="AO413" s="75">
        <v>0</v>
      </c>
      <c r="AP413" s="75"/>
      <c r="AQ413" s="122">
        <v>0</v>
      </c>
      <c r="AR413" s="515" t="s">
        <v>16</v>
      </c>
      <c r="AS413" s="95">
        <v>-1</v>
      </c>
      <c r="AT413" s="75">
        <v>-1</v>
      </c>
      <c r="AU413" s="75">
        <v>-1</v>
      </c>
      <c r="AV413" s="75">
        <v>-1</v>
      </c>
      <c r="AW413" s="123">
        <v>1</v>
      </c>
      <c r="AX413" s="516"/>
      <c r="AY413" s="75">
        <v>0</v>
      </c>
      <c r="AZ413" s="77" t="s">
        <v>131</v>
      </c>
      <c r="BA413" s="78" t="s">
        <v>132</v>
      </c>
      <c r="BB413" s="78" t="s">
        <v>132</v>
      </c>
      <c r="BC413" s="78" t="s">
        <v>132</v>
      </c>
      <c r="BD413" s="78" t="s">
        <v>132</v>
      </c>
      <c r="BE413" s="78" t="s">
        <v>131</v>
      </c>
      <c r="BF413" s="78" t="s">
        <v>131</v>
      </c>
      <c r="BG413" s="78" t="s">
        <v>131</v>
      </c>
      <c r="BH413" s="75" t="s">
        <v>5970</v>
      </c>
      <c r="BI413" s="295" t="s">
        <v>2233</v>
      </c>
      <c r="BJ413" s="546">
        <v>1</v>
      </c>
      <c r="BK413" s="294" t="s">
        <v>16</v>
      </c>
      <c r="BL413" s="157" t="s">
        <v>16</v>
      </c>
      <c r="BM413" s="548" t="s">
        <v>2343</v>
      </c>
      <c r="BN413" s="548" t="s">
        <v>5969</v>
      </c>
      <c r="BO413" s="157" t="s">
        <v>4685</v>
      </c>
      <c r="BP413" s="548" t="s">
        <v>4686</v>
      </c>
      <c r="BQ413" s="157" t="s">
        <v>4292</v>
      </c>
      <c r="BR413" s="157"/>
    </row>
    <row r="414" spans="1:70" x14ac:dyDescent="0.25">
      <c r="A414" s="19" t="s">
        <v>3686</v>
      </c>
      <c r="B414" s="37" t="s">
        <v>5700</v>
      </c>
      <c r="C414" s="90">
        <v>45406.967476851853</v>
      </c>
      <c r="D414" s="114">
        <v>45406.717476851853</v>
      </c>
      <c r="E414" s="38">
        <v>45406</v>
      </c>
      <c r="F414" s="91">
        <v>2024</v>
      </c>
      <c r="G414" s="93">
        <v>4</v>
      </c>
      <c r="H414" s="37" t="s">
        <v>599</v>
      </c>
      <c r="I414" s="37" t="s">
        <v>2361</v>
      </c>
      <c r="J414" s="103">
        <v>-92.442882108637178</v>
      </c>
      <c r="K414" s="40">
        <v>44.62128114481483</v>
      </c>
      <c r="L414" s="74"/>
      <c r="M414" s="272" t="s">
        <v>16</v>
      </c>
      <c r="N414" s="74">
        <v>0</v>
      </c>
      <c r="O414" s="94"/>
      <c r="P414" s="118">
        <v>0</v>
      </c>
      <c r="Q414" s="510"/>
      <c r="R414" s="513"/>
      <c r="S414" s="41"/>
      <c r="T414" s="40"/>
      <c r="U414" s="40"/>
      <c r="V414" s="119">
        <v>0</v>
      </c>
      <c r="W414" s="40"/>
      <c r="X414" s="119">
        <v>0</v>
      </c>
      <c r="Y414" s="40"/>
      <c r="Z414" s="119">
        <v>0</v>
      </c>
      <c r="AA414" s="368" t="s">
        <v>16</v>
      </c>
      <c r="AB414" s="535" t="s">
        <v>16</v>
      </c>
      <c r="AC414" s="39" t="s">
        <v>160</v>
      </c>
      <c r="AD414" s="75" t="s">
        <v>10</v>
      </c>
      <c r="AE414" s="95">
        <v>0</v>
      </c>
      <c r="AF414" s="75">
        <v>0</v>
      </c>
      <c r="AG414" s="75">
        <v>0</v>
      </c>
      <c r="AH414" s="75">
        <v>0</v>
      </c>
      <c r="AI414" s="75">
        <v>0</v>
      </c>
      <c r="AJ414" s="75">
        <v>0</v>
      </c>
      <c r="AK414" s="75">
        <v>0</v>
      </c>
      <c r="AL414" s="95">
        <v>1</v>
      </c>
      <c r="AM414" s="92">
        <v>0</v>
      </c>
      <c r="AN414" s="79" t="s">
        <v>80</v>
      </c>
      <c r="AO414" s="75">
        <v>1</v>
      </c>
      <c r="AP414" s="75" t="s">
        <v>83</v>
      </c>
      <c r="AQ414" s="122">
        <v>1</v>
      </c>
      <c r="AR414" s="515" t="s">
        <v>10</v>
      </c>
      <c r="AS414" s="95">
        <v>0</v>
      </c>
      <c r="AT414" s="75">
        <v>0</v>
      </c>
      <c r="AU414" s="75">
        <v>0</v>
      </c>
      <c r="AV414" s="75">
        <v>0</v>
      </c>
      <c r="AW414" s="123">
        <v>0</v>
      </c>
      <c r="AX414" s="516"/>
      <c r="AY414" s="75">
        <v>0</v>
      </c>
      <c r="AZ414" s="77" t="s">
        <v>131</v>
      </c>
      <c r="BA414" s="78" t="s">
        <v>131</v>
      </c>
      <c r="BB414" s="78" t="s">
        <v>131</v>
      </c>
      <c r="BC414" s="78" t="s">
        <v>131</v>
      </c>
      <c r="BD414" s="78" t="s">
        <v>131</v>
      </c>
      <c r="BE414" s="78" t="s">
        <v>131</v>
      </c>
      <c r="BF414" s="78" t="s">
        <v>131</v>
      </c>
      <c r="BG414" s="78" t="s">
        <v>132</v>
      </c>
      <c r="BH414" s="75" t="s">
        <v>5970</v>
      </c>
      <c r="BI414" s="295" t="s">
        <v>2289</v>
      </c>
      <c r="BJ414" s="546">
        <v>1</v>
      </c>
      <c r="BK414" s="294" t="s">
        <v>16</v>
      </c>
      <c r="BL414" s="157" t="s">
        <v>16</v>
      </c>
      <c r="BM414" s="548" t="s">
        <v>578</v>
      </c>
      <c r="BN414" s="548" t="s">
        <v>544</v>
      </c>
      <c r="BO414" s="157" t="s">
        <v>4283</v>
      </c>
      <c r="BP414" s="548" t="s">
        <v>2289</v>
      </c>
      <c r="BQ414" s="157" t="s">
        <v>4214</v>
      </c>
      <c r="BR414" s="157"/>
    </row>
    <row r="415" spans="1:70" x14ac:dyDescent="0.25">
      <c r="A415" s="19" t="s">
        <v>3686</v>
      </c>
      <c r="B415" s="37" t="s">
        <v>5701</v>
      </c>
      <c r="C415" s="90">
        <v>45406.962002314816</v>
      </c>
      <c r="D415" s="114">
        <v>45406.712002314816</v>
      </c>
      <c r="E415" s="38">
        <v>45406</v>
      </c>
      <c r="F415" s="91">
        <v>2024</v>
      </c>
      <c r="G415" s="93">
        <v>4</v>
      </c>
      <c r="H415" s="37" t="s">
        <v>5625</v>
      </c>
      <c r="I415" s="37"/>
      <c r="J415" s="103">
        <v>-90.563365314240158</v>
      </c>
      <c r="K415" s="40">
        <v>43.645211281295758</v>
      </c>
      <c r="L415" s="74"/>
      <c r="M415" s="272" t="s">
        <v>5702</v>
      </c>
      <c r="N415" s="74">
        <v>1</v>
      </c>
      <c r="O415" s="94"/>
      <c r="P415" s="118">
        <v>1</v>
      </c>
      <c r="Q415" s="510">
        <v>180</v>
      </c>
      <c r="R415" s="513">
        <v>120</v>
      </c>
      <c r="S415" s="41"/>
      <c r="T415" s="40"/>
      <c r="U415" s="40">
        <v>8</v>
      </c>
      <c r="V415" s="119">
        <v>0</v>
      </c>
      <c r="W415" s="40"/>
      <c r="X415" s="119">
        <v>0</v>
      </c>
      <c r="Y415" s="40"/>
      <c r="Z415" s="119">
        <v>0</v>
      </c>
      <c r="AA415" s="368" t="s">
        <v>16</v>
      </c>
      <c r="AB415" s="535" t="s">
        <v>16</v>
      </c>
      <c r="AC415" s="39"/>
      <c r="AD415" s="75" t="s">
        <v>16</v>
      </c>
      <c r="AE415" s="95">
        <v>-1</v>
      </c>
      <c r="AF415" s="75">
        <v>-1</v>
      </c>
      <c r="AG415" s="75">
        <v>-1</v>
      </c>
      <c r="AH415" s="75">
        <v>-1</v>
      </c>
      <c r="AI415" s="75">
        <v>-1</v>
      </c>
      <c r="AJ415" s="75">
        <v>-1</v>
      </c>
      <c r="AK415" s="75">
        <v>-1</v>
      </c>
      <c r="AL415" s="95">
        <v>-1</v>
      </c>
      <c r="AM415" s="92">
        <v>1</v>
      </c>
      <c r="AN415" s="79" t="s">
        <v>16</v>
      </c>
      <c r="AO415" s="75">
        <v>0</v>
      </c>
      <c r="AP415" s="75" t="s">
        <v>83</v>
      </c>
      <c r="AQ415" s="122">
        <v>1</v>
      </c>
      <c r="AR415" s="515" t="s">
        <v>58</v>
      </c>
      <c r="AS415" s="95">
        <v>0</v>
      </c>
      <c r="AT415" s="75">
        <v>0</v>
      </c>
      <c r="AU415" s="75">
        <v>1</v>
      </c>
      <c r="AV415" s="75">
        <v>0</v>
      </c>
      <c r="AW415" s="123">
        <v>0</v>
      </c>
      <c r="AX415" s="516" t="s">
        <v>5703</v>
      </c>
      <c r="AY415" s="75">
        <v>1</v>
      </c>
      <c r="AZ415" s="77" t="s">
        <v>5971</v>
      </c>
      <c r="BA415" s="78" t="s">
        <v>5971</v>
      </c>
      <c r="BB415" s="78" t="s">
        <v>5971</v>
      </c>
      <c r="BC415" s="78" t="s">
        <v>5971</v>
      </c>
      <c r="BD415" s="78" t="s">
        <v>5971</v>
      </c>
      <c r="BE415" s="78" t="s">
        <v>5971</v>
      </c>
      <c r="BF415" s="78" t="s">
        <v>5971</v>
      </c>
      <c r="BG415" s="78" t="s">
        <v>5971</v>
      </c>
      <c r="BH415" s="75" t="s">
        <v>5971</v>
      </c>
      <c r="BI415" s="295" t="s">
        <v>5917</v>
      </c>
      <c r="BJ415" s="546">
        <v>1</v>
      </c>
      <c r="BK415" s="294" t="s">
        <v>16</v>
      </c>
      <c r="BL415" s="157" t="s">
        <v>16</v>
      </c>
      <c r="BM415" s="548" t="s">
        <v>1342</v>
      </c>
      <c r="BN415" s="548" t="s">
        <v>1342</v>
      </c>
      <c r="BO415" s="157" t="s">
        <v>5916</v>
      </c>
      <c r="BP415" s="548" t="s">
        <v>5917</v>
      </c>
      <c r="BQ415" s="157" t="s">
        <v>4274</v>
      </c>
      <c r="BR415" s="157"/>
    </row>
    <row r="416" spans="1:70" x14ac:dyDescent="0.25">
      <c r="A416" s="19" t="s">
        <v>3686</v>
      </c>
      <c r="B416" s="37" t="s">
        <v>5704</v>
      </c>
      <c r="C416" s="90">
        <v>45406.949421296296</v>
      </c>
      <c r="D416" s="114">
        <v>45406.699421296296</v>
      </c>
      <c r="E416" s="38">
        <v>45406</v>
      </c>
      <c r="F416" s="91">
        <v>2024</v>
      </c>
      <c r="G416" s="93">
        <v>4</v>
      </c>
      <c r="H416" s="37" t="s">
        <v>606</v>
      </c>
      <c r="I416" s="37"/>
      <c r="J416" s="103">
        <v>-92.236279046892037</v>
      </c>
      <c r="K416" s="40">
        <v>44.230582816608354</v>
      </c>
      <c r="L416" s="74"/>
      <c r="M416" s="272" t="s">
        <v>5705</v>
      </c>
      <c r="N416" s="74">
        <v>1</v>
      </c>
      <c r="O416" s="94"/>
      <c r="P416" s="118">
        <v>1</v>
      </c>
      <c r="Q416" s="510">
        <v>180</v>
      </c>
      <c r="R416" s="513">
        <v>180</v>
      </c>
      <c r="S416" s="41"/>
      <c r="T416" s="40"/>
      <c r="U416" s="40">
        <v>7</v>
      </c>
      <c r="V416" s="119">
        <v>1</v>
      </c>
      <c r="W416" s="40">
        <v>100</v>
      </c>
      <c r="X416" s="119">
        <v>1</v>
      </c>
      <c r="Y416" s="40">
        <v>62</v>
      </c>
      <c r="Z416" s="119">
        <v>1</v>
      </c>
      <c r="AA416" s="368">
        <v>0</v>
      </c>
      <c r="AB416" s="535">
        <v>5</v>
      </c>
      <c r="AC416" s="39" t="s">
        <v>160</v>
      </c>
      <c r="AD416" s="75" t="s">
        <v>10</v>
      </c>
      <c r="AE416" s="95">
        <v>0</v>
      </c>
      <c r="AF416" s="75">
        <v>0</v>
      </c>
      <c r="AG416" s="75">
        <v>0</v>
      </c>
      <c r="AH416" s="75">
        <v>0</v>
      </c>
      <c r="AI416" s="75">
        <v>0</v>
      </c>
      <c r="AJ416" s="75">
        <v>0</v>
      </c>
      <c r="AK416" s="75">
        <v>0</v>
      </c>
      <c r="AL416" s="95">
        <v>1</v>
      </c>
      <c r="AM416" s="92">
        <v>0</v>
      </c>
      <c r="AN416" s="79" t="s">
        <v>80</v>
      </c>
      <c r="AO416" s="75">
        <v>1</v>
      </c>
      <c r="AP416" s="75" t="s">
        <v>83</v>
      </c>
      <c r="AQ416" s="122">
        <v>1</v>
      </c>
      <c r="AR416" s="515" t="s">
        <v>10</v>
      </c>
      <c r="AS416" s="95">
        <v>0</v>
      </c>
      <c r="AT416" s="75">
        <v>0</v>
      </c>
      <c r="AU416" s="75">
        <v>0</v>
      </c>
      <c r="AV416" s="75">
        <v>0</v>
      </c>
      <c r="AW416" s="123">
        <v>0</v>
      </c>
      <c r="AX416" s="516" t="s">
        <v>5706</v>
      </c>
      <c r="AY416" s="75">
        <v>1</v>
      </c>
      <c r="AZ416" s="77" t="s">
        <v>131</v>
      </c>
      <c r="BA416" s="78" t="s">
        <v>131</v>
      </c>
      <c r="BB416" s="78" t="s">
        <v>131</v>
      </c>
      <c r="BC416" s="78" t="s">
        <v>131</v>
      </c>
      <c r="BD416" s="78" t="s">
        <v>131</v>
      </c>
      <c r="BE416" s="78" t="s">
        <v>131</v>
      </c>
      <c r="BF416" s="78" t="s">
        <v>131</v>
      </c>
      <c r="BG416" s="78" t="s">
        <v>132</v>
      </c>
      <c r="BH416" s="75" t="s">
        <v>5970</v>
      </c>
      <c r="BI416" s="295" t="s">
        <v>3966</v>
      </c>
      <c r="BJ416" s="546">
        <v>1</v>
      </c>
      <c r="BK416" s="294">
        <v>1</v>
      </c>
      <c r="BL416" s="157">
        <v>1</v>
      </c>
      <c r="BM416" s="548" t="s">
        <v>1339</v>
      </c>
      <c r="BN416" s="548" t="s">
        <v>1339</v>
      </c>
      <c r="BO416" s="157" t="s">
        <v>4334</v>
      </c>
      <c r="BP416" s="548" t="s">
        <v>3966</v>
      </c>
      <c r="BQ416" s="157" t="s">
        <v>4330</v>
      </c>
      <c r="BR416" s="157"/>
    </row>
    <row r="417" spans="1:70" x14ac:dyDescent="0.25">
      <c r="A417" s="19" t="s">
        <v>3686</v>
      </c>
      <c r="B417" s="37" t="s">
        <v>5707</v>
      </c>
      <c r="C417" s="90">
        <v>45406.906134259261</v>
      </c>
      <c r="D417" s="114">
        <v>45406.656134259261</v>
      </c>
      <c r="E417" s="38">
        <v>45406</v>
      </c>
      <c r="F417" s="91">
        <v>2024</v>
      </c>
      <c r="G417" s="93">
        <v>4</v>
      </c>
      <c r="H417" s="37" t="s">
        <v>606</v>
      </c>
      <c r="I417" s="37"/>
      <c r="J417" s="103">
        <v>-92.147024920865434</v>
      </c>
      <c r="K417" s="40">
        <v>44.245116496170041</v>
      </c>
      <c r="L417" s="74"/>
      <c r="M417" s="272" t="s">
        <v>5708</v>
      </c>
      <c r="N417" s="74">
        <v>1</v>
      </c>
      <c r="O417" s="94"/>
      <c r="P417" s="118">
        <v>1</v>
      </c>
      <c r="Q417" s="510">
        <v>40</v>
      </c>
      <c r="R417" s="513">
        <v>180</v>
      </c>
      <c r="S417" s="41"/>
      <c r="T417" s="40"/>
      <c r="U417" s="40">
        <v>7</v>
      </c>
      <c r="V417" s="119">
        <v>1</v>
      </c>
      <c r="W417" s="40">
        <v>100</v>
      </c>
      <c r="X417" s="119">
        <v>1</v>
      </c>
      <c r="Y417" s="40">
        <v>59</v>
      </c>
      <c r="Z417" s="119">
        <v>1</v>
      </c>
      <c r="AA417" s="368">
        <v>0</v>
      </c>
      <c r="AB417" s="535">
        <v>2</v>
      </c>
      <c r="AC417" s="39" t="s">
        <v>160</v>
      </c>
      <c r="AD417" s="75" t="s">
        <v>10</v>
      </c>
      <c r="AE417" s="95">
        <v>0</v>
      </c>
      <c r="AF417" s="75">
        <v>0</v>
      </c>
      <c r="AG417" s="75">
        <v>0</v>
      </c>
      <c r="AH417" s="75">
        <v>0</v>
      </c>
      <c r="AI417" s="75">
        <v>0</v>
      </c>
      <c r="AJ417" s="75">
        <v>0</v>
      </c>
      <c r="AK417" s="75">
        <v>0</v>
      </c>
      <c r="AL417" s="95">
        <v>1</v>
      </c>
      <c r="AM417" s="92">
        <v>0</v>
      </c>
      <c r="AN417" s="79" t="s">
        <v>80</v>
      </c>
      <c r="AO417" s="75">
        <v>1</v>
      </c>
      <c r="AP417" s="75" t="s">
        <v>83</v>
      </c>
      <c r="AQ417" s="122">
        <v>1</v>
      </c>
      <c r="AR417" s="515" t="s">
        <v>10</v>
      </c>
      <c r="AS417" s="95">
        <v>0</v>
      </c>
      <c r="AT417" s="75">
        <v>0</v>
      </c>
      <c r="AU417" s="75">
        <v>0</v>
      </c>
      <c r="AV417" s="75">
        <v>0</v>
      </c>
      <c r="AW417" s="123">
        <v>0</v>
      </c>
      <c r="AX417" s="516" t="s">
        <v>5709</v>
      </c>
      <c r="AY417" s="75">
        <v>1</v>
      </c>
      <c r="AZ417" s="77" t="s">
        <v>131</v>
      </c>
      <c r="BA417" s="78" t="s">
        <v>131</v>
      </c>
      <c r="BB417" s="78" t="s">
        <v>131</v>
      </c>
      <c r="BC417" s="78" t="s">
        <v>131</v>
      </c>
      <c r="BD417" s="78" t="s">
        <v>131</v>
      </c>
      <c r="BE417" s="78" t="s">
        <v>131</v>
      </c>
      <c r="BF417" s="78" t="s">
        <v>131</v>
      </c>
      <c r="BG417" s="78" t="s">
        <v>132</v>
      </c>
      <c r="BH417" s="75" t="s">
        <v>5970</v>
      </c>
      <c r="BI417" s="295" t="s">
        <v>317</v>
      </c>
      <c r="BJ417" s="546">
        <v>1</v>
      </c>
      <c r="BK417" s="294">
        <v>1</v>
      </c>
      <c r="BL417" s="157">
        <v>1</v>
      </c>
      <c r="BM417" s="548" t="s">
        <v>1339</v>
      </c>
      <c r="BN417" s="548" t="s">
        <v>1339</v>
      </c>
      <c r="BO417" s="157" t="s">
        <v>4358</v>
      </c>
      <c r="BP417" s="548" t="s">
        <v>317</v>
      </c>
      <c r="BQ417" s="157" t="s">
        <v>4330</v>
      </c>
      <c r="BR417" s="157"/>
    </row>
    <row r="418" spans="1:70" x14ac:dyDescent="0.25">
      <c r="A418" s="19" t="s">
        <v>3686</v>
      </c>
      <c r="B418" s="37" t="s">
        <v>5710</v>
      </c>
      <c r="C418" s="90">
        <v>45405.853564814817</v>
      </c>
      <c r="D418" s="114">
        <v>45405.603564814817</v>
      </c>
      <c r="E418" s="38">
        <v>45405</v>
      </c>
      <c r="F418" s="91">
        <v>2024</v>
      </c>
      <c r="G418" s="93">
        <v>4</v>
      </c>
      <c r="H418" s="37" t="s">
        <v>201</v>
      </c>
      <c r="I418" s="37"/>
      <c r="J418" s="103">
        <v>-92.732127354768821</v>
      </c>
      <c r="K418" s="40">
        <v>44.831170077704002</v>
      </c>
      <c r="L418" s="74"/>
      <c r="M418" s="272" t="s">
        <v>16</v>
      </c>
      <c r="N418" s="74">
        <v>0</v>
      </c>
      <c r="O418" s="94"/>
      <c r="P418" s="118">
        <v>1</v>
      </c>
      <c r="Q418" s="510">
        <v>180</v>
      </c>
      <c r="R418" s="513">
        <v>180</v>
      </c>
      <c r="S418" s="41"/>
      <c r="T418" s="40"/>
      <c r="U418" s="40">
        <v>8</v>
      </c>
      <c r="V418" s="119">
        <v>1</v>
      </c>
      <c r="W418" s="40">
        <v>0</v>
      </c>
      <c r="X418" s="119">
        <v>1</v>
      </c>
      <c r="Y418" s="40">
        <v>56</v>
      </c>
      <c r="Z418" s="119">
        <v>1</v>
      </c>
      <c r="AA418" s="368">
        <v>0</v>
      </c>
      <c r="AB418" s="535">
        <v>5</v>
      </c>
      <c r="AC418" s="39" t="s">
        <v>160</v>
      </c>
      <c r="AD418" s="75" t="s">
        <v>8</v>
      </c>
      <c r="AE418" s="95">
        <v>0</v>
      </c>
      <c r="AF418" s="75">
        <v>1</v>
      </c>
      <c r="AG418" s="75">
        <v>0</v>
      </c>
      <c r="AH418" s="75">
        <v>0</v>
      </c>
      <c r="AI418" s="75">
        <v>0</v>
      </c>
      <c r="AJ418" s="75">
        <v>0</v>
      </c>
      <c r="AK418" s="75">
        <v>0</v>
      </c>
      <c r="AL418" s="95">
        <v>0</v>
      </c>
      <c r="AM418" s="92">
        <v>0</v>
      </c>
      <c r="AN418" s="79" t="s">
        <v>80</v>
      </c>
      <c r="AO418" s="75">
        <v>1</v>
      </c>
      <c r="AP418" s="75" t="s">
        <v>83</v>
      </c>
      <c r="AQ418" s="122">
        <v>1</v>
      </c>
      <c r="AR418" s="515" t="s">
        <v>10</v>
      </c>
      <c r="AS418" s="95">
        <v>0</v>
      </c>
      <c r="AT418" s="75">
        <v>0</v>
      </c>
      <c r="AU418" s="75">
        <v>0</v>
      </c>
      <c r="AV418" s="75">
        <v>0</v>
      </c>
      <c r="AW418" s="123">
        <v>0</v>
      </c>
      <c r="AX418" s="516" t="s">
        <v>1537</v>
      </c>
      <c r="AY418" s="75">
        <v>1</v>
      </c>
      <c r="AZ418" s="77" t="s">
        <v>131</v>
      </c>
      <c r="BA418" s="78" t="s">
        <v>132</v>
      </c>
      <c r="BB418" s="78" t="s">
        <v>131</v>
      </c>
      <c r="BC418" s="78" t="s">
        <v>131</v>
      </c>
      <c r="BD418" s="78" t="s">
        <v>131</v>
      </c>
      <c r="BE418" s="78" t="s">
        <v>131</v>
      </c>
      <c r="BF418" s="78" t="s">
        <v>131</v>
      </c>
      <c r="BG418" s="78" t="s">
        <v>131</v>
      </c>
      <c r="BH418" s="75" t="s">
        <v>5970</v>
      </c>
      <c r="BI418" s="295" t="s">
        <v>2227</v>
      </c>
      <c r="BJ418" s="546">
        <v>1</v>
      </c>
      <c r="BK418" s="294" t="s">
        <v>16</v>
      </c>
      <c r="BL418" s="157" t="s">
        <v>16</v>
      </c>
      <c r="BM418" s="548" t="s">
        <v>578</v>
      </c>
      <c r="BN418" s="548" t="s">
        <v>578</v>
      </c>
      <c r="BO418" s="157" t="s">
        <v>4341</v>
      </c>
      <c r="BP418" s="548" t="s">
        <v>4343</v>
      </c>
      <c r="BQ418" s="157" t="s">
        <v>4309</v>
      </c>
      <c r="BR418" s="157"/>
    </row>
    <row r="419" spans="1:70" x14ac:dyDescent="0.25">
      <c r="A419" s="19" t="s">
        <v>3686</v>
      </c>
      <c r="B419" s="37" t="s">
        <v>5711</v>
      </c>
      <c r="C419" s="90">
        <v>45403.755196759259</v>
      </c>
      <c r="D419" s="114">
        <v>45403.505196759259</v>
      </c>
      <c r="E419" s="38">
        <v>45403</v>
      </c>
      <c r="F419" s="91">
        <v>2024</v>
      </c>
      <c r="G419" s="93">
        <v>4</v>
      </c>
      <c r="H419" s="37" t="s">
        <v>3906</v>
      </c>
      <c r="I419" s="37"/>
      <c r="J419" s="103">
        <v>-91.406644999999997</v>
      </c>
      <c r="K419" s="40">
        <v>43.117851399999999</v>
      </c>
      <c r="L419" s="74"/>
      <c r="M419" s="272" t="s">
        <v>16</v>
      </c>
      <c r="N419" s="74">
        <v>0</v>
      </c>
      <c r="O419" s="94"/>
      <c r="P419" s="118">
        <v>1</v>
      </c>
      <c r="Q419" s="510">
        <v>120</v>
      </c>
      <c r="R419" s="513">
        <v>120</v>
      </c>
      <c r="S419" s="41"/>
      <c r="T419" s="40"/>
      <c r="U419" s="40">
        <v>7</v>
      </c>
      <c r="V419" s="119">
        <v>0</v>
      </c>
      <c r="W419" s="40"/>
      <c r="X419" s="119">
        <v>0</v>
      </c>
      <c r="Y419" s="40"/>
      <c r="Z419" s="119">
        <v>1</v>
      </c>
      <c r="AA419" s="368">
        <v>0</v>
      </c>
      <c r="AB419" s="535">
        <v>2</v>
      </c>
      <c r="AC419" s="39" t="s">
        <v>160</v>
      </c>
      <c r="AD419" s="75" t="s">
        <v>10</v>
      </c>
      <c r="AE419" s="95">
        <v>0</v>
      </c>
      <c r="AF419" s="75">
        <v>0</v>
      </c>
      <c r="AG419" s="75">
        <v>0</v>
      </c>
      <c r="AH419" s="75">
        <v>0</v>
      </c>
      <c r="AI419" s="75">
        <v>0</v>
      </c>
      <c r="AJ419" s="75">
        <v>0</v>
      </c>
      <c r="AK419" s="75">
        <v>0</v>
      </c>
      <c r="AL419" s="95">
        <v>1</v>
      </c>
      <c r="AM419" s="92">
        <v>0</v>
      </c>
      <c r="AN419" s="79"/>
      <c r="AO419" s="75">
        <v>0</v>
      </c>
      <c r="AP419" s="75"/>
      <c r="AQ419" s="122">
        <v>0</v>
      </c>
      <c r="AR419" s="515" t="s">
        <v>16</v>
      </c>
      <c r="AS419" s="95">
        <v>-1</v>
      </c>
      <c r="AT419" s="75">
        <v>-1</v>
      </c>
      <c r="AU419" s="75">
        <v>-1</v>
      </c>
      <c r="AV419" s="75">
        <v>-1</v>
      </c>
      <c r="AW419" s="123">
        <v>1</v>
      </c>
      <c r="AX419" s="516" t="s">
        <v>5712</v>
      </c>
      <c r="AY419" s="75">
        <v>1</v>
      </c>
      <c r="AZ419" s="77" t="s">
        <v>131</v>
      </c>
      <c r="BA419" s="78" t="s">
        <v>131</v>
      </c>
      <c r="BB419" s="78" t="s">
        <v>131</v>
      </c>
      <c r="BC419" s="78" t="s">
        <v>131</v>
      </c>
      <c r="BD419" s="78" t="s">
        <v>131</v>
      </c>
      <c r="BE419" s="78" t="s">
        <v>131</v>
      </c>
      <c r="BF419" s="78" t="s">
        <v>131</v>
      </c>
      <c r="BG419" s="78" t="s">
        <v>132</v>
      </c>
      <c r="BH419" s="75" t="s">
        <v>5970</v>
      </c>
      <c r="BI419" s="295" t="s">
        <v>16</v>
      </c>
      <c r="BJ419" s="546">
        <v>1</v>
      </c>
      <c r="BK419" s="294">
        <v>1</v>
      </c>
      <c r="BL419" s="157">
        <v>1</v>
      </c>
      <c r="BM419" s="548" t="s">
        <v>1347</v>
      </c>
      <c r="BN419" s="548" t="s">
        <v>2341</v>
      </c>
      <c r="BO419" s="157" t="s">
        <v>4372</v>
      </c>
      <c r="BP419" s="548" t="s">
        <v>4026</v>
      </c>
      <c r="BQ419" s="157" t="s">
        <v>4371</v>
      </c>
      <c r="BR419" s="157"/>
    </row>
    <row r="420" spans="1:70" x14ac:dyDescent="0.25">
      <c r="A420" s="19" t="s">
        <v>3686</v>
      </c>
      <c r="B420" s="37" t="s">
        <v>5713</v>
      </c>
      <c r="C420" s="90">
        <v>45403.723587962966</v>
      </c>
      <c r="D420" s="114">
        <v>45403.473587962966</v>
      </c>
      <c r="E420" s="38">
        <v>45403</v>
      </c>
      <c r="F420" s="91">
        <v>2024</v>
      </c>
      <c r="G420" s="93">
        <v>4</v>
      </c>
      <c r="H420" s="37" t="s">
        <v>3906</v>
      </c>
      <c r="I420" s="37" t="s">
        <v>146</v>
      </c>
      <c r="J420" s="103">
        <v>-91.453420800000004</v>
      </c>
      <c r="K420" s="40">
        <v>43.164166399999999</v>
      </c>
      <c r="L420" s="74"/>
      <c r="M420" s="272" t="s">
        <v>16</v>
      </c>
      <c r="N420" s="74">
        <v>0</v>
      </c>
      <c r="O420" s="94"/>
      <c r="P420" s="118">
        <v>1</v>
      </c>
      <c r="Q420" s="510">
        <v>120</v>
      </c>
      <c r="R420" s="513">
        <v>180</v>
      </c>
      <c r="S420" s="41"/>
      <c r="T420" s="40"/>
      <c r="U420" s="40">
        <v>6.5</v>
      </c>
      <c r="V420" s="119">
        <v>0</v>
      </c>
      <c r="W420" s="40"/>
      <c r="X420" s="119">
        <v>0</v>
      </c>
      <c r="Y420" s="40"/>
      <c r="Z420" s="119">
        <v>1</v>
      </c>
      <c r="AA420" s="368">
        <v>0</v>
      </c>
      <c r="AB420" s="535">
        <v>2</v>
      </c>
      <c r="AC420" s="39" t="s">
        <v>160</v>
      </c>
      <c r="AD420" s="75" t="s">
        <v>10</v>
      </c>
      <c r="AE420" s="95">
        <v>0</v>
      </c>
      <c r="AF420" s="75">
        <v>0</v>
      </c>
      <c r="AG420" s="75">
        <v>0</v>
      </c>
      <c r="AH420" s="75">
        <v>0</v>
      </c>
      <c r="AI420" s="75">
        <v>0</v>
      </c>
      <c r="AJ420" s="75">
        <v>0</v>
      </c>
      <c r="AK420" s="75">
        <v>0</v>
      </c>
      <c r="AL420" s="95">
        <v>1</v>
      </c>
      <c r="AM420" s="92">
        <v>0</v>
      </c>
      <c r="AN420" s="79" t="s">
        <v>80</v>
      </c>
      <c r="AO420" s="75">
        <v>1</v>
      </c>
      <c r="AP420" s="75" t="s">
        <v>83</v>
      </c>
      <c r="AQ420" s="122">
        <v>1</v>
      </c>
      <c r="AR420" s="515" t="s">
        <v>10</v>
      </c>
      <c r="AS420" s="95">
        <v>0</v>
      </c>
      <c r="AT420" s="75">
        <v>0</v>
      </c>
      <c r="AU420" s="75">
        <v>0</v>
      </c>
      <c r="AV420" s="75">
        <v>0</v>
      </c>
      <c r="AW420" s="123">
        <v>0</v>
      </c>
      <c r="AX420" s="516" t="s">
        <v>5714</v>
      </c>
      <c r="AY420" s="75">
        <v>1</v>
      </c>
      <c r="AZ420" s="77" t="s">
        <v>131</v>
      </c>
      <c r="BA420" s="78" t="s">
        <v>131</v>
      </c>
      <c r="BB420" s="78" t="s">
        <v>131</v>
      </c>
      <c r="BC420" s="78" t="s">
        <v>131</v>
      </c>
      <c r="BD420" s="78" t="s">
        <v>131</v>
      </c>
      <c r="BE420" s="78" t="s">
        <v>131</v>
      </c>
      <c r="BF420" s="78" t="s">
        <v>131</v>
      </c>
      <c r="BG420" s="78" t="s">
        <v>132</v>
      </c>
      <c r="BH420" s="75" t="s">
        <v>5970</v>
      </c>
      <c r="BI420" s="295" t="s">
        <v>2290</v>
      </c>
      <c r="BJ420" s="546">
        <v>1</v>
      </c>
      <c r="BK420" s="294" t="s">
        <v>16</v>
      </c>
      <c r="BL420" s="157" t="s">
        <v>16</v>
      </c>
      <c r="BM420" s="548" t="s">
        <v>1347</v>
      </c>
      <c r="BN420" s="548" t="s">
        <v>2341</v>
      </c>
      <c r="BO420" s="157" t="s">
        <v>4374</v>
      </c>
      <c r="BP420" s="548" t="s">
        <v>5918</v>
      </c>
      <c r="BQ420" s="157" t="s">
        <v>4371</v>
      </c>
      <c r="BR420" s="157"/>
    </row>
    <row r="421" spans="1:70" x14ac:dyDescent="0.25">
      <c r="A421" s="19" t="s">
        <v>3686</v>
      </c>
      <c r="B421" s="37" t="s">
        <v>5715</v>
      </c>
      <c r="C421" s="90">
        <v>45403.705567129633</v>
      </c>
      <c r="D421" s="114">
        <v>45403.455567129633</v>
      </c>
      <c r="E421" s="38">
        <v>45403</v>
      </c>
      <c r="F421" s="91">
        <v>2024</v>
      </c>
      <c r="G421" s="93">
        <v>4</v>
      </c>
      <c r="H421" s="37" t="s">
        <v>475</v>
      </c>
      <c r="I421" s="37"/>
      <c r="J421" s="103">
        <v>-92.645081491906964</v>
      </c>
      <c r="K421" s="40">
        <v>44.069391169647176</v>
      </c>
      <c r="L421" s="74"/>
      <c r="M421" s="272" t="s">
        <v>16</v>
      </c>
      <c r="N421" s="74">
        <v>0</v>
      </c>
      <c r="O421" s="94"/>
      <c r="P421" s="118">
        <v>1</v>
      </c>
      <c r="Q421" s="510">
        <v>80</v>
      </c>
      <c r="R421" s="513">
        <v>180</v>
      </c>
      <c r="S421" s="41"/>
      <c r="T421" s="40"/>
      <c r="U421" s="40">
        <v>7</v>
      </c>
      <c r="V421" s="119">
        <v>1</v>
      </c>
      <c r="W421" s="40">
        <v>0</v>
      </c>
      <c r="X421" s="119">
        <v>1</v>
      </c>
      <c r="Y421" s="40">
        <v>50</v>
      </c>
      <c r="Z421" s="119">
        <v>1</v>
      </c>
      <c r="AA421" s="368">
        <v>0</v>
      </c>
      <c r="AB421" s="535">
        <v>5</v>
      </c>
      <c r="AC421" s="39" t="s">
        <v>160</v>
      </c>
      <c r="AD421" s="75" t="s">
        <v>8</v>
      </c>
      <c r="AE421" s="95">
        <v>0</v>
      </c>
      <c r="AF421" s="75">
        <v>1</v>
      </c>
      <c r="AG421" s="75">
        <v>0</v>
      </c>
      <c r="AH421" s="75">
        <v>0</v>
      </c>
      <c r="AI421" s="75">
        <v>0</v>
      </c>
      <c r="AJ421" s="75">
        <v>0</v>
      </c>
      <c r="AK421" s="75">
        <v>0</v>
      </c>
      <c r="AL421" s="95">
        <v>0</v>
      </c>
      <c r="AM421" s="92">
        <v>0</v>
      </c>
      <c r="AN421" s="79" t="s">
        <v>80</v>
      </c>
      <c r="AO421" s="75">
        <v>1</v>
      </c>
      <c r="AP421" s="75" t="s">
        <v>83</v>
      </c>
      <c r="AQ421" s="122">
        <v>1</v>
      </c>
      <c r="AR421" s="515" t="s">
        <v>10</v>
      </c>
      <c r="AS421" s="95">
        <v>0</v>
      </c>
      <c r="AT421" s="75">
        <v>0</v>
      </c>
      <c r="AU421" s="75">
        <v>0</v>
      </c>
      <c r="AV421" s="75">
        <v>0</v>
      </c>
      <c r="AW421" s="123">
        <v>0</v>
      </c>
      <c r="AX421" s="516" t="s">
        <v>5716</v>
      </c>
      <c r="AY421" s="75">
        <v>1</v>
      </c>
      <c r="AZ421" s="77" t="s">
        <v>131</v>
      </c>
      <c r="BA421" s="78" t="s">
        <v>132</v>
      </c>
      <c r="BB421" s="78" t="s">
        <v>131</v>
      </c>
      <c r="BC421" s="78" t="s">
        <v>131</v>
      </c>
      <c r="BD421" s="78" t="s">
        <v>131</v>
      </c>
      <c r="BE421" s="78" t="s">
        <v>131</v>
      </c>
      <c r="BF421" s="78" t="s">
        <v>131</v>
      </c>
      <c r="BG421" s="78" t="s">
        <v>131</v>
      </c>
      <c r="BH421" s="75" t="s">
        <v>5970</v>
      </c>
      <c r="BI421" s="295">
        <v>0</v>
      </c>
      <c r="BJ421" s="546" t="s">
        <v>16</v>
      </c>
      <c r="BK421" s="294" t="s">
        <v>16</v>
      </c>
      <c r="BL421" s="157" t="s">
        <v>16</v>
      </c>
      <c r="BM421" s="548" t="s">
        <v>1339</v>
      </c>
      <c r="BN421" s="548" t="s">
        <v>1339</v>
      </c>
      <c r="BO421" s="157" t="s">
        <v>5822</v>
      </c>
      <c r="BP421" s="548" t="s">
        <v>5823</v>
      </c>
      <c r="BQ421" s="157" t="s">
        <v>5821</v>
      </c>
      <c r="BR421" s="157"/>
    </row>
    <row r="422" spans="1:70" x14ac:dyDescent="0.25">
      <c r="A422" s="19" t="s">
        <v>3686</v>
      </c>
      <c r="B422" s="37" t="s">
        <v>5717</v>
      </c>
      <c r="C422" s="90">
        <v>45403.69021990741</v>
      </c>
      <c r="D422" s="114">
        <v>45403.44021990741</v>
      </c>
      <c r="E422" s="38">
        <v>45403</v>
      </c>
      <c r="F422" s="91">
        <v>2024</v>
      </c>
      <c r="G422" s="93">
        <v>4</v>
      </c>
      <c r="H422" s="37" t="s">
        <v>475</v>
      </c>
      <c r="I422" s="37"/>
      <c r="J422" s="103">
        <v>-92.649796199694194</v>
      </c>
      <c r="K422" s="40">
        <v>44.07520584646872</v>
      </c>
      <c r="L422" s="74"/>
      <c r="M422" s="272" t="s">
        <v>16</v>
      </c>
      <c r="N422" s="74">
        <v>0</v>
      </c>
      <c r="O422" s="94"/>
      <c r="P422" s="118">
        <v>1</v>
      </c>
      <c r="Q422" s="510">
        <v>120</v>
      </c>
      <c r="R422" s="513">
        <v>180</v>
      </c>
      <c r="S422" s="41"/>
      <c r="T422" s="40"/>
      <c r="U422" s="40">
        <v>7.5</v>
      </c>
      <c r="V422" s="119">
        <v>1</v>
      </c>
      <c r="W422" s="40">
        <v>0</v>
      </c>
      <c r="X422" s="119">
        <v>1</v>
      </c>
      <c r="Y422" s="40">
        <v>48</v>
      </c>
      <c r="Z422" s="119">
        <v>1</v>
      </c>
      <c r="AA422" s="368">
        <v>0</v>
      </c>
      <c r="AB422" s="535">
        <v>5</v>
      </c>
      <c r="AC422" s="39" t="s">
        <v>160</v>
      </c>
      <c r="AD422" s="75" t="s">
        <v>8</v>
      </c>
      <c r="AE422" s="95">
        <v>0</v>
      </c>
      <c r="AF422" s="75">
        <v>1</v>
      </c>
      <c r="AG422" s="75">
        <v>0</v>
      </c>
      <c r="AH422" s="75">
        <v>0</v>
      </c>
      <c r="AI422" s="75">
        <v>0</v>
      </c>
      <c r="AJ422" s="75">
        <v>0</v>
      </c>
      <c r="AK422" s="75">
        <v>0</v>
      </c>
      <c r="AL422" s="95">
        <v>0</v>
      </c>
      <c r="AM422" s="92">
        <v>0</v>
      </c>
      <c r="AN422" s="79" t="s">
        <v>80</v>
      </c>
      <c r="AO422" s="75">
        <v>1</v>
      </c>
      <c r="AP422" s="75" t="s">
        <v>83</v>
      </c>
      <c r="AQ422" s="122">
        <v>1</v>
      </c>
      <c r="AR422" s="515" t="s">
        <v>10</v>
      </c>
      <c r="AS422" s="95">
        <v>0</v>
      </c>
      <c r="AT422" s="75">
        <v>0</v>
      </c>
      <c r="AU422" s="75">
        <v>0</v>
      </c>
      <c r="AV422" s="75">
        <v>0</v>
      </c>
      <c r="AW422" s="123">
        <v>0</v>
      </c>
      <c r="AX422" s="516" t="s">
        <v>5718</v>
      </c>
      <c r="AY422" s="75">
        <v>1</v>
      </c>
      <c r="AZ422" s="77" t="s">
        <v>131</v>
      </c>
      <c r="BA422" s="78" t="s">
        <v>132</v>
      </c>
      <c r="BB422" s="78" t="s">
        <v>131</v>
      </c>
      <c r="BC422" s="78" t="s">
        <v>131</v>
      </c>
      <c r="BD422" s="78" t="s">
        <v>131</v>
      </c>
      <c r="BE422" s="78" t="s">
        <v>131</v>
      </c>
      <c r="BF422" s="78" t="s">
        <v>131</v>
      </c>
      <c r="BG422" s="78" t="s">
        <v>131</v>
      </c>
      <c r="BH422" s="75" t="s">
        <v>5970</v>
      </c>
      <c r="BI422" s="295" t="s">
        <v>5823</v>
      </c>
      <c r="BJ422" s="546" t="s">
        <v>16</v>
      </c>
      <c r="BK422" s="294" t="s">
        <v>16</v>
      </c>
      <c r="BL422" s="157" t="s">
        <v>16</v>
      </c>
      <c r="BM422" s="548" t="s">
        <v>1339</v>
      </c>
      <c r="BN422" s="548" t="s">
        <v>1339</v>
      </c>
      <c r="BO422" s="157" t="s">
        <v>5822</v>
      </c>
      <c r="BP422" s="548" t="s">
        <v>5823</v>
      </c>
      <c r="BQ422" s="157" t="s">
        <v>5821</v>
      </c>
      <c r="BR422" s="157"/>
    </row>
    <row r="423" spans="1:70" x14ac:dyDescent="0.25">
      <c r="A423" s="19" t="s">
        <v>3686</v>
      </c>
      <c r="B423" s="37" t="s">
        <v>5719</v>
      </c>
      <c r="C423" s="90">
        <v>45402.873842592591</v>
      </c>
      <c r="D423" s="114">
        <v>45402.623842592591</v>
      </c>
      <c r="E423" s="38">
        <v>45402</v>
      </c>
      <c r="F423" s="91">
        <v>2024</v>
      </c>
      <c r="G423" s="93">
        <v>4</v>
      </c>
      <c r="H423" s="37" t="s">
        <v>190</v>
      </c>
      <c r="I423" s="37" t="s">
        <v>16</v>
      </c>
      <c r="J423" s="103">
        <v>-91.806686059827442</v>
      </c>
      <c r="K423" s="40">
        <v>43.381663648260499</v>
      </c>
      <c r="L423" s="74"/>
      <c r="M423" s="272" t="s">
        <v>16</v>
      </c>
      <c r="N423" s="74">
        <v>0</v>
      </c>
      <c r="O423" s="94"/>
      <c r="P423" s="118">
        <v>1</v>
      </c>
      <c r="Q423" s="510">
        <v>180</v>
      </c>
      <c r="R423" s="513">
        <v>180</v>
      </c>
      <c r="S423" s="41"/>
      <c r="T423" s="40"/>
      <c r="U423" s="40">
        <v>8</v>
      </c>
      <c r="V423" s="119">
        <v>0</v>
      </c>
      <c r="W423" s="40"/>
      <c r="X423" s="119">
        <v>0</v>
      </c>
      <c r="Y423" s="40"/>
      <c r="Z423" s="119">
        <v>0</v>
      </c>
      <c r="AA423" s="368" t="s">
        <v>16</v>
      </c>
      <c r="AB423" s="535" t="s">
        <v>16</v>
      </c>
      <c r="AC423" s="39" t="s">
        <v>160</v>
      </c>
      <c r="AD423" s="75" t="s">
        <v>10</v>
      </c>
      <c r="AE423" s="95">
        <v>0</v>
      </c>
      <c r="AF423" s="75">
        <v>0</v>
      </c>
      <c r="AG423" s="75">
        <v>0</v>
      </c>
      <c r="AH423" s="75">
        <v>0</v>
      </c>
      <c r="AI423" s="75">
        <v>0</v>
      </c>
      <c r="AJ423" s="75">
        <v>0</v>
      </c>
      <c r="AK423" s="75">
        <v>0</v>
      </c>
      <c r="AL423" s="95">
        <v>1</v>
      </c>
      <c r="AM423" s="92">
        <v>0</v>
      </c>
      <c r="AN423" s="79" t="s">
        <v>80</v>
      </c>
      <c r="AO423" s="75">
        <v>1</v>
      </c>
      <c r="AP423" s="75" t="s">
        <v>83</v>
      </c>
      <c r="AQ423" s="122">
        <v>1</v>
      </c>
      <c r="AR423" s="515" t="s">
        <v>10</v>
      </c>
      <c r="AS423" s="95">
        <v>0</v>
      </c>
      <c r="AT423" s="75">
        <v>0</v>
      </c>
      <c r="AU423" s="75">
        <v>0</v>
      </c>
      <c r="AV423" s="75">
        <v>0</v>
      </c>
      <c r="AW423" s="123">
        <v>0</v>
      </c>
      <c r="AX423" s="516"/>
      <c r="AY423" s="75">
        <v>0</v>
      </c>
      <c r="AZ423" s="77" t="s">
        <v>131</v>
      </c>
      <c r="BA423" s="78" t="s">
        <v>131</v>
      </c>
      <c r="BB423" s="78" t="s">
        <v>131</v>
      </c>
      <c r="BC423" s="78" t="s">
        <v>131</v>
      </c>
      <c r="BD423" s="78" t="s">
        <v>131</v>
      </c>
      <c r="BE423" s="78" t="s">
        <v>131</v>
      </c>
      <c r="BF423" s="78" t="s">
        <v>131</v>
      </c>
      <c r="BG423" s="78" t="s">
        <v>132</v>
      </c>
      <c r="BH423" s="75" t="s">
        <v>5970</v>
      </c>
      <c r="BI423" s="295">
        <v>0</v>
      </c>
      <c r="BJ423" s="546" t="s">
        <v>16</v>
      </c>
      <c r="BK423" s="294">
        <v>1</v>
      </c>
      <c r="BL423" s="157">
        <v>1</v>
      </c>
      <c r="BM423" s="548" t="s">
        <v>1344</v>
      </c>
      <c r="BN423" s="548" t="s">
        <v>2341</v>
      </c>
      <c r="BO423" s="157" t="s">
        <v>4716</v>
      </c>
      <c r="BP423" s="548" t="s">
        <v>2300</v>
      </c>
      <c r="BQ423" s="157" t="s">
        <v>4715</v>
      </c>
      <c r="BR423" s="157"/>
    </row>
    <row r="424" spans="1:70" x14ac:dyDescent="0.25">
      <c r="A424" s="19" t="s">
        <v>3686</v>
      </c>
      <c r="B424" s="37" t="s">
        <v>5720</v>
      </c>
      <c r="C424" s="90">
        <v>45402.714050925926</v>
      </c>
      <c r="D424" s="114">
        <v>45402.464050925926</v>
      </c>
      <c r="E424" s="38">
        <v>45402</v>
      </c>
      <c r="F424" s="91">
        <v>2024</v>
      </c>
      <c r="G424" s="93">
        <v>4</v>
      </c>
      <c r="H424" s="37" t="s">
        <v>1514</v>
      </c>
      <c r="I424" s="37" t="s">
        <v>1772</v>
      </c>
      <c r="J424" s="103">
        <v>-92.18960769795828</v>
      </c>
      <c r="K424" s="40">
        <v>44.632844105520995</v>
      </c>
      <c r="L424" s="74"/>
      <c r="M424" s="272" t="s">
        <v>16</v>
      </c>
      <c r="N424" s="74">
        <v>0</v>
      </c>
      <c r="O424" s="94"/>
      <c r="P424" s="118">
        <v>1</v>
      </c>
      <c r="Q424" s="510">
        <v>120</v>
      </c>
      <c r="R424" s="513">
        <v>120</v>
      </c>
      <c r="S424" s="41"/>
      <c r="T424" s="40"/>
      <c r="U424" s="40">
        <v>7</v>
      </c>
      <c r="V424" s="119">
        <v>1</v>
      </c>
      <c r="W424" s="40">
        <v>0</v>
      </c>
      <c r="X424" s="119">
        <v>1</v>
      </c>
      <c r="Y424" s="40">
        <v>45</v>
      </c>
      <c r="Z424" s="119">
        <v>1</v>
      </c>
      <c r="AA424" s="368">
        <v>0</v>
      </c>
      <c r="AB424" s="535">
        <v>2</v>
      </c>
      <c r="AC424" s="39" t="s">
        <v>160</v>
      </c>
      <c r="AD424" s="75" t="s">
        <v>10</v>
      </c>
      <c r="AE424" s="95">
        <v>0</v>
      </c>
      <c r="AF424" s="75">
        <v>0</v>
      </c>
      <c r="AG424" s="75">
        <v>0</v>
      </c>
      <c r="AH424" s="75">
        <v>0</v>
      </c>
      <c r="AI424" s="75">
        <v>0</v>
      </c>
      <c r="AJ424" s="75">
        <v>0</v>
      </c>
      <c r="AK424" s="75">
        <v>0</v>
      </c>
      <c r="AL424" s="95">
        <v>1</v>
      </c>
      <c r="AM424" s="92">
        <v>0</v>
      </c>
      <c r="AN424" s="79" t="s">
        <v>81</v>
      </c>
      <c r="AO424" s="75">
        <v>1</v>
      </c>
      <c r="AP424" s="75" t="s">
        <v>84</v>
      </c>
      <c r="AQ424" s="122">
        <v>1</v>
      </c>
      <c r="AR424" s="515" t="s">
        <v>13</v>
      </c>
      <c r="AS424" s="95">
        <v>1</v>
      </c>
      <c r="AT424" s="75">
        <v>0</v>
      </c>
      <c r="AU424" s="75">
        <v>0</v>
      </c>
      <c r="AV424" s="75">
        <v>0</v>
      </c>
      <c r="AW424" s="123">
        <v>0</v>
      </c>
      <c r="AX424" s="516"/>
      <c r="AY424" s="75">
        <v>0</v>
      </c>
      <c r="AZ424" s="77" t="s">
        <v>131</v>
      </c>
      <c r="BA424" s="78" t="s">
        <v>131</v>
      </c>
      <c r="BB424" s="78" t="s">
        <v>131</v>
      </c>
      <c r="BC424" s="78" t="s">
        <v>131</v>
      </c>
      <c r="BD424" s="78" t="s">
        <v>131</v>
      </c>
      <c r="BE424" s="78" t="s">
        <v>131</v>
      </c>
      <c r="BF424" s="78" t="s">
        <v>131</v>
      </c>
      <c r="BG424" s="78" t="s">
        <v>132</v>
      </c>
      <c r="BH424" s="75" t="s">
        <v>5970</v>
      </c>
      <c r="BI424" s="295" t="s">
        <v>2248</v>
      </c>
      <c r="BJ424" s="546">
        <v>1</v>
      </c>
      <c r="BK424" s="294">
        <v>1</v>
      </c>
      <c r="BL424" s="157">
        <v>1</v>
      </c>
      <c r="BM424" s="548" t="s">
        <v>578</v>
      </c>
      <c r="BN424" s="548" t="s">
        <v>578</v>
      </c>
      <c r="BO424" s="157" t="s">
        <v>4218</v>
      </c>
      <c r="BP424" s="548" t="s">
        <v>4221</v>
      </c>
      <c r="BQ424" s="157" t="s">
        <v>4217</v>
      </c>
      <c r="BR424" s="157"/>
    </row>
    <row r="425" spans="1:70" x14ac:dyDescent="0.25">
      <c r="A425" s="19" t="s">
        <v>3686</v>
      </c>
      <c r="B425" s="37" t="s">
        <v>5721</v>
      </c>
      <c r="C425" s="90">
        <v>45402.687939814816</v>
      </c>
      <c r="D425" s="114">
        <v>45402.437939814816</v>
      </c>
      <c r="E425" s="38">
        <v>45402</v>
      </c>
      <c r="F425" s="91">
        <v>2024</v>
      </c>
      <c r="G425" s="93">
        <v>4</v>
      </c>
      <c r="H425" s="37" t="s">
        <v>617</v>
      </c>
      <c r="I425" s="37" t="s">
        <v>2362</v>
      </c>
      <c r="J425" s="103">
        <v>-92.284030205595727</v>
      </c>
      <c r="K425" s="40">
        <v>44.542122850598439</v>
      </c>
      <c r="L425" s="74"/>
      <c r="M425" s="272" t="s">
        <v>16</v>
      </c>
      <c r="N425" s="74">
        <v>0</v>
      </c>
      <c r="O425" s="94"/>
      <c r="P425" s="118">
        <v>1</v>
      </c>
      <c r="Q425" s="510">
        <v>180</v>
      </c>
      <c r="R425" s="513">
        <v>180</v>
      </c>
      <c r="S425" s="41"/>
      <c r="T425" s="40"/>
      <c r="U425" s="40">
        <v>7.5</v>
      </c>
      <c r="V425" s="119">
        <v>1</v>
      </c>
      <c r="W425" s="40">
        <v>0</v>
      </c>
      <c r="X425" s="119">
        <v>1</v>
      </c>
      <c r="Y425" s="40">
        <v>48</v>
      </c>
      <c r="Z425" s="119">
        <v>1</v>
      </c>
      <c r="AA425" s="368">
        <v>0</v>
      </c>
      <c r="AB425" s="535">
        <v>2</v>
      </c>
      <c r="AC425" s="39" t="s">
        <v>160</v>
      </c>
      <c r="AD425" s="75" t="s">
        <v>10</v>
      </c>
      <c r="AE425" s="95">
        <v>0</v>
      </c>
      <c r="AF425" s="75">
        <v>0</v>
      </c>
      <c r="AG425" s="75">
        <v>0</v>
      </c>
      <c r="AH425" s="75">
        <v>0</v>
      </c>
      <c r="AI425" s="75">
        <v>0</v>
      </c>
      <c r="AJ425" s="75">
        <v>0</v>
      </c>
      <c r="AK425" s="75">
        <v>0</v>
      </c>
      <c r="AL425" s="95">
        <v>1</v>
      </c>
      <c r="AM425" s="92">
        <v>0</v>
      </c>
      <c r="AN425" s="79" t="s">
        <v>80</v>
      </c>
      <c r="AO425" s="75">
        <v>1</v>
      </c>
      <c r="AP425" s="75" t="s">
        <v>83</v>
      </c>
      <c r="AQ425" s="122">
        <v>1</v>
      </c>
      <c r="AR425" s="515" t="s">
        <v>10</v>
      </c>
      <c r="AS425" s="95">
        <v>0</v>
      </c>
      <c r="AT425" s="75">
        <v>0</v>
      </c>
      <c r="AU425" s="75">
        <v>0</v>
      </c>
      <c r="AV425" s="75">
        <v>0</v>
      </c>
      <c r="AW425" s="123">
        <v>0</v>
      </c>
      <c r="AX425" s="516"/>
      <c r="AY425" s="75">
        <v>0</v>
      </c>
      <c r="AZ425" s="77" t="s">
        <v>131</v>
      </c>
      <c r="BA425" s="78" t="s">
        <v>131</v>
      </c>
      <c r="BB425" s="78" t="s">
        <v>131</v>
      </c>
      <c r="BC425" s="78" t="s">
        <v>131</v>
      </c>
      <c r="BD425" s="78" t="s">
        <v>131</v>
      </c>
      <c r="BE425" s="78" t="s">
        <v>131</v>
      </c>
      <c r="BF425" s="78" t="s">
        <v>131</v>
      </c>
      <c r="BG425" s="78" t="s">
        <v>132</v>
      </c>
      <c r="BH425" s="75" t="s">
        <v>5970</v>
      </c>
      <c r="BI425" s="295" t="s">
        <v>16</v>
      </c>
      <c r="BJ425" s="546">
        <v>1</v>
      </c>
      <c r="BK425" s="294">
        <v>1</v>
      </c>
      <c r="BL425" s="157">
        <v>1</v>
      </c>
      <c r="BM425" s="548" t="s">
        <v>1340</v>
      </c>
      <c r="BN425" s="548" t="s">
        <v>578</v>
      </c>
      <c r="BO425" s="157" t="s">
        <v>4268</v>
      </c>
      <c r="BP425" s="548" t="s">
        <v>2261</v>
      </c>
      <c r="BQ425" s="157" t="s">
        <v>4214</v>
      </c>
      <c r="BR425" s="157"/>
    </row>
    <row r="426" spans="1:70" x14ac:dyDescent="0.25">
      <c r="A426" s="19" t="s">
        <v>3686</v>
      </c>
      <c r="B426" s="37" t="s">
        <v>5722</v>
      </c>
      <c r="C426" s="90">
        <v>45401.812928240739</v>
      </c>
      <c r="D426" s="114">
        <v>45401.562928240739</v>
      </c>
      <c r="E426" s="38">
        <v>45401</v>
      </c>
      <c r="F426" s="91">
        <v>2024</v>
      </c>
      <c r="G426" s="93">
        <v>4</v>
      </c>
      <c r="H426" s="37" t="s">
        <v>5723</v>
      </c>
      <c r="I426" s="37"/>
      <c r="J426" s="103">
        <v>-91.218134200700021</v>
      </c>
      <c r="K426" s="40">
        <v>43.039332880065842</v>
      </c>
      <c r="L426" s="74"/>
      <c r="M426" s="272" t="s">
        <v>16</v>
      </c>
      <c r="N426" s="74">
        <v>0</v>
      </c>
      <c r="O426" s="94"/>
      <c r="P426" s="118">
        <v>1</v>
      </c>
      <c r="Q426" s="510">
        <v>0</v>
      </c>
      <c r="R426" s="513">
        <v>30</v>
      </c>
      <c r="S426" s="41"/>
      <c r="T426" s="40"/>
      <c r="U426" s="40">
        <v>7</v>
      </c>
      <c r="V426" s="119">
        <v>1</v>
      </c>
      <c r="W426" s="40">
        <v>200</v>
      </c>
      <c r="X426" s="119">
        <v>1</v>
      </c>
      <c r="Y426" s="40">
        <v>56</v>
      </c>
      <c r="Z426" s="119">
        <v>0</v>
      </c>
      <c r="AA426" s="368" t="s">
        <v>16</v>
      </c>
      <c r="AB426" s="535" t="s">
        <v>16</v>
      </c>
      <c r="AC426" s="39" t="s">
        <v>160</v>
      </c>
      <c r="AD426" s="75" t="s">
        <v>16</v>
      </c>
      <c r="AE426" s="95">
        <v>-1</v>
      </c>
      <c r="AF426" s="75">
        <v>-1</v>
      </c>
      <c r="AG426" s="75">
        <v>-1</v>
      </c>
      <c r="AH426" s="75">
        <v>-1</v>
      </c>
      <c r="AI426" s="75">
        <v>-1</v>
      </c>
      <c r="AJ426" s="75">
        <v>-1</v>
      </c>
      <c r="AK426" s="75">
        <v>-1</v>
      </c>
      <c r="AL426" s="95">
        <v>-1</v>
      </c>
      <c r="AM426" s="92">
        <v>1</v>
      </c>
      <c r="AN426" s="79" t="s">
        <v>80</v>
      </c>
      <c r="AO426" s="75">
        <v>1</v>
      </c>
      <c r="AP426" s="75" t="s">
        <v>83</v>
      </c>
      <c r="AQ426" s="122">
        <v>1</v>
      </c>
      <c r="AR426" s="515" t="s">
        <v>10</v>
      </c>
      <c r="AS426" s="95">
        <v>0</v>
      </c>
      <c r="AT426" s="75">
        <v>0</v>
      </c>
      <c r="AU426" s="75">
        <v>0</v>
      </c>
      <c r="AV426" s="75">
        <v>0</v>
      </c>
      <c r="AW426" s="123">
        <v>0</v>
      </c>
      <c r="AX426" s="516"/>
      <c r="AY426" s="75">
        <v>0</v>
      </c>
      <c r="AZ426" s="77" t="s">
        <v>5971</v>
      </c>
      <c r="BA426" s="78" t="s">
        <v>5971</v>
      </c>
      <c r="BB426" s="78" t="s">
        <v>5971</v>
      </c>
      <c r="BC426" s="78" t="s">
        <v>5971</v>
      </c>
      <c r="BD426" s="78" t="s">
        <v>5971</v>
      </c>
      <c r="BE426" s="78" t="s">
        <v>5971</v>
      </c>
      <c r="BF426" s="78" t="s">
        <v>5971</v>
      </c>
      <c r="BG426" s="78" t="s">
        <v>5971</v>
      </c>
      <c r="BH426" s="75" t="s">
        <v>5971</v>
      </c>
      <c r="BI426" s="295" t="s">
        <v>4027</v>
      </c>
      <c r="BJ426" s="546">
        <v>1</v>
      </c>
      <c r="BK426" s="294" t="s">
        <v>16</v>
      </c>
      <c r="BL426" s="157" t="s">
        <v>16</v>
      </c>
      <c r="BM426" s="548" t="s">
        <v>1347</v>
      </c>
      <c r="BN426" s="548" t="s">
        <v>4158</v>
      </c>
      <c r="BO426" s="157" t="s">
        <v>4502</v>
      </c>
      <c r="BP426" s="548" t="s">
        <v>4027</v>
      </c>
      <c r="BQ426" s="157" t="s">
        <v>4373</v>
      </c>
      <c r="BR426" s="157"/>
    </row>
    <row r="427" spans="1:70" x14ac:dyDescent="0.25">
      <c r="A427" s="19" t="s">
        <v>3686</v>
      </c>
      <c r="B427" s="37" t="s">
        <v>5724</v>
      </c>
      <c r="C427" s="90">
        <v>45401.762754629628</v>
      </c>
      <c r="D427" s="114">
        <v>45401.512754629628</v>
      </c>
      <c r="E427" s="38">
        <v>45401</v>
      </c>
      <c r="F427" s="91">
        <v>2024</v>
      </c>
      <c r="G427" s="93">
        <v>4</v>
      </c>
      <c r="H427" s="37" t="s">
        <v>5723</v>
      </c>
      <c r="I427" s="37"/>
      <c r="J427" s="103">
        <v>-91.221305265379101</v>
      </c>
      <c r="K427" s="40">
        <v>42.638559557148781</v>
      </c>
      <c r="L427" s="74"/>
      <c r="M427" s="272" t="s">
        <v>16</v>
      </c>
      <c r="N427" s="74">
        <v>0</v>
      </c>
      <c r="O427" s="94"/>
      <c r="P427" s="118">
        <v>1</v>
      </c>
      <c r="Q427" s="510">
        <v>0</v>
      </c>
      <c r="R427" s="513">
        <v>30</v>
      </c>
      <c r="S427" s="41"/>
      <c r="T427" s="40"/>
      <c r="U427" s="40">
        <v>7.5</v>
      </c>
      <c r="V427" s="119">
        <v>0</v>
      </c>
      <c r="W427" s="40"/>
      <c r="X427" s="119">
        <v>0</v>
      </c>
      <c r="Y427" s="40"/>
      <c r="Z427" s="119">
        <v>0</v>
      </c>
      <c r="AA427" s="368" t="s">
        <v>16</v>
      </c>
      <c r="AB427" s="535" t="s">
        <v>16</v>
      </c>
      <c r="AC427" s="39" t="s">
        <v>160</v>
      </c>
      <c r="AD427" s="75" t="s">
        <v>16</v>
      </c>
      <c r="AE427" s="95">
        <v>-1</v>
      </c>
      <c r="AF427" s="75">
        <v>-1</v>
      </c>
      <c r="AG427" s="75">
        <v>-1</v>
      </c>
      <c r="AH427" s="75">
        <v>-1</v>
      </c>
      <c r="AI427" s="75">
        <v>-1</v>
      </c>
      <c r="AJ427" s="75">
        <v>-1</v>
      </c>
      <c r="AK427" s="75">
        <v>-1</v>
      </c>
      <c r="AL427" s="95">
        <v>-1</v>
      </c>
      <c r="AM427" s="92">
        <v>1</v>
      </c>
      <c r="AN427" s="79"/>
      <c r="AO427" s="75">
        <v>0</v>
      </c>
      <c r="AP427" s="75"/>
      <c r="AQ427" s="122">
        <v>0</v>
      </c>
      <c r="AR427" s="515" t="s">
        <v>16</v>
      </c>
      <c r="AS427" s="95">
        <v>-1</v>
      </c>
      <c r="AT427" s="75">
        <v>-1</v>
      </c>
      <c r="AU427" s="75">
        <v>-1</v>
      </c>
      <c r="AV427" s="75">
        <v>-1</v>
      </c>
      <c r="AW427" s="123">
        <v>1</v>
      </c>
      <c r="AX427" s="516"/>
      <c r="AY427" s="75">
        <v>0</v>
      </c>
      <c r="AZ427" s="77" t="s">
        <v>5971</v>
      </c>
      <c r="BA427" s="78" t="s">
        <v>5971</v>
      </c>
      <c r="BB427" s="78" t="s">
        <v>5971</v>
      </c>
      <c r="BC427" s="78" t="s">
        <v>5971</v>
      </c>
      <c r="BD427" s="78" t="s">
        <v>5971</v>
      </c>
      <c r="BE427" s="78" t="s">
        <v>5971</v>
      </c>
      <c r="BF427" s="78" t="s">
        <v>5971</v>
      </c>
      <c r="BG427" s="78" t="s">
        <v>5971</v>
      </c>
      <c r="BH427" s="75" t="s">
        <v>5971</v>
      </c>
      <c r="BI427" s="295" t="s">
        <v>2261</v>
      </c>
      <c r="BJ427" s="546" t="s">
        <v>16</v>
      </c>
      <c r="BK427" s="294" t="s">
        <v>16</v>
      </c>
      <c r="BL427" s="157" t="s">
        <v>16</v>
      </c>
      <c r="BM427" s="548" t="s">
        <v>1347</v>
      </c>
      <c r="BN427" s="548" t="s">
        <v>4158</v>
      </c>
      <c r="BO427" s="157" t="s">
        <v>5909</v>
      </c>
      <c r="BP427" s="548" t="s">
        <v>5911</v>
      </c>
      <c r="BQ427" s="157" t="s">
        <v>5908</v>
      </c>
      <c r="BR427" s="157"/>
    </row>
    <row r="428" spans="1:70" x14ac:dyDescent="0.25">
      <c r="A428" s="19" t="s">
        <v>3686</v>
      </c>
      <c r="B428" s="37" t="s">
        <v>5725</v>
      </c>
      <c r="C428" s="90">
        <v>45401.753460648149</v>
      </c>
      <c r="D428" s="114">
        <v>45401.503460648149</v>
      </c>
      <c r="E428" s="38">
        <v>45401</v>
      </c>
      <c r="F428" s="91">
        <v>2024</v>
      </c>
      <c r="G428" s="93">
        <v>4</v>
      </c>
      <c r="H428" s="37" t="s">
        <v>5723</v>
      </c>
      <c r="I428" s="37"/>
      <c r="J428" s="103">
        <v>-91.312673149376423</v>
      </c>
      <c r="K428" s="40">
        <v>42.61103595769503</v>
      </c>
      <c r="L428" s="74"/>
      <c r="M428" s="272" t="s">
        <v>16</v>
      </c>
      <c r="N428" s="74">
        <v>0</v>
      </c>
      <c r="O428" s="94"/>
      <c r="P428" s="118">
        <v>0</v>
      </c>
      <c r="Q428" s="510"/>
      <c r="R428" s="513"/>
      <c r="S428" s="41"/>
      <c r="T428" s="40"/>
      <c r="U428" s="40"/>
      <c r="V428" s="119">
        <v>1</v>
      </c>
      <c r="W428" s="40">
        <v>100</v>
      </c>
      <c r="X428" s="119">
        <v>0</v>
      </c>
      <c r="Y428" s="40"/>
      <c r="Z428" s="119">
        <v>0</v>
      </c>
      <c r="AA428" s="368" t="s">
        <v>16</v>
      </c>
      <c r="AB428" s="535" t="s">
        <v>16</v>
      </c>
      <c r="AC428" s="39" t="s">
        <v>160</v>
      </c>
      <c r="AD428" s="75" t="s">
        <v>16</v>
      </c>
      <c r="AE428" s="95">
        <v>-1</v>
      </c>
      <c r="AF428" s="75">
        <v>-1</v>
      </c>
      <c r="AG428" s="75">
        <v>-1</v>
      </c>
      <c r="AH428" s="75">
        <v>-1</v>
      </c>
      <c r="AI428" s="75">
        <v>-1</v>
      </c>
      <c r="AJ428" s="75">
        <v>-1</v>
      </c>
      <c r="AK428" s="75">
        <v>-1</v>
      </c>
      <c r="AL428" s="95">
        <v>-1</v>
      </c>
      <c r="AM428" s="92">
        <v>1</v>
      </c>
      <c r="AN428" s="79" t="s">
        <v>80</v>
      </c>
      <c r="AO428" s="75">
        <v>1</v>
      </c>
      <c r="AP428" s="75" t="s">
        <v>83</v>
      </c>
      <c r="AQ428" s="122">
        <v>1</v>
      </c>
      <c r="AR428" s="515" t="s">
        <v>10</v>
      </c>
      <c r="AS428" s="95">
        <v>0</v>
      </c>
      <c r="AT428" s="75">
        <v>0</v>
      </c>
      <c r="AU428" s="75">
        <v>0</v>
      </c>
      <c r="AV428" s="75">
        <v>0</v>
      </c>
      <c r="AW428" s="123">
        <v>0</v>
      </c>
      <c r="AX428" s="516"/>
      <c r="AY428" s="75">
        <v>0</v>
      </c>
      <c r="AZ428" s="77" t="s">
        <v>5971</v>
      </c>
      <c r="BA428" s="78" t="s">
        <v>5971</v>
      </c>
      <c r="BB428" s="78" t="s">
        <v>5971</v>
      </c>
      <c r="BC428" s="78" t="s">
        <v>5971</v>
      </c>
      <c r="BD428" s="78" t="s">
        <v>5971</v>
      </c>
      <c r="BE428" s="78" t="s">
        <v>5971</v>
      </c>
      <c r="BF428" s="78" t="s">
        <v>5971</v>
      </c>
      <c r="BG428" s="78" t="s">
        <v>5971</v>
      </c>
      <c r="BH428" s="75" t="s">
        <v>5971</v>
      </c>
      <c r="BI428" s="295" t="s">
        <v>5947</v>
      </c>
      <c r="BJ428" s="546">
        <v>1</v>
      </c>
      <c r="BK428" s="294" t="s">
        <v>16</v>
      </c>
      <c r="BL428" s="157" t="s">
        <v>16</v>
      </c>
      <c r="BM428" s="548" t="s">
        <v>1347</v>
      </c>
      <c r="BN428" s="548" t="s">
        <v>4158</v>
      </c>
      <c r="BO428" s="157" t="s">
        <v>5909</v>
      </c>
      <c r="BP428" s="548" t="s">
        <v>5911</v>
      </c>
      <c r="BQ428" s="157" t="s">
        <v>5908</v>
      </c>
      <c r="BR428" s="157"/>
    </row>
    <row r="429" spans="1:70" x14ac:dyDescent="0.25">
      <c r="A429" s="19" t="s">
        <v>3686</v>
      </c>
      <c r="B429" s="37" t="s">
        <v>5726</v>
      </c>
      <c r="C429" s="90">
        <v>45401.703784722224</v>
      </c>
      <c r="D429" s="114">
        <v>45401.453784722224</v>
      </c>
      <c r="E429" s="38">
        <v>45401</v>
      </c>
      <c r="F429" s="91">
        <v>2024</v>
      </c>
      <c r="G429" s="93">
        <v>4</v>
      </c>
      <c r="H429" s="37" t="s">
        <v>5727</v>
      </c>
      <c r="I429" s="37"/>
      <c r="J429" s="103">
        <v>-90.724076547490782</v>
      </c>
      <c r="K429" s="40">
        <v>43.303294109673892</v>
      </c>
      <c r="L429" s="74"/>
      <c r="M429" s="272" t="s">
        <v>5728</v>
      </c>
      <c r="N429" s="74">
        <v>1</v>
      </c>
      <c r="O429" s="94"/>
      <c r="P429" s="118">
        <v>1</v>
      </c>
      <c r="Q429" s="510">
        <v>180</v>
      </c>
      <c r="R429" s="513">
        <v>180</v>
      </c>
      <c r="S429" s="41"/>
      <c r="T429" s="40"/>
      <c r="U429" s="40">
        <v>8</v>
      </c>
      <c r="V429" s="119">
        <v>0</v>
      </c>
      <c r="W429" s="40"/>
      <c r="X429" s="119">
        <v>1</v>
      </c>
      <c r="Y429" s="40">
        <v>53</v>
      </c>
      <c r="Z429" s="119">
        <v>1</v>
      </c>
      <c r="AA429" s="368">
        <v>0</v>
      </c>
      <c r="AB429" s="535">
        <v>2</v>
      </c>
      <c r="AC429" s="39" t="s">
        <v>160</v>
      </c>
      <c r="AD429" s="75" t="s">
        <v>10</v>
      </c>
      <c r="AE429" s="95">
        <v>0</v>
      </c>
      <c r="AF429" s="75">
        <v>0</v>
      </c>
      <c r="AG429" s="75">
        <v>0</v>
      </c>
      <c r="AH429" s="75">
        <v>0</v>
      </c>
      <c r="AI429" s="75">
        <v>0</v>
      </c>
      <c r="AJ429" s="75">
        <v>0</v>
      </c>
      <c r="AK429" s="75">
        <v>0</v>
      </c>
      <c r="AL429" s="95">
        <v>1</v>
      </c>
      <c r="AM429" s="92">
        <v>0</v>
      </c>
      <c r="AN429" s="79" t="s">
        <v>81</v>
      </c>
      <c r="AO429" s="75">
        <v>1</v>
      </c>
      <c r="AP429" s="75"/>
      <c r="AQ429" s="122">
        <v>0</v>
      </c>
      <c r="AR429" s="515" t="s">
        <v>13</v>
      </c>
      <c r="AS429" s="95">
        <v>1</v>
      </c>
      <c r="AT429" s="75">
        <v>0</v>
      </c>
      <c r="AU429" s="75">
        <v>0</v>
      </c>
      <c r="AV429" s="75">
        <v>0</v>
      </c>
      <c r="AW429" s="123">
        <v>0</v>
      </c>
      <c r="AX429" s="516" t="s">
        <v>5729</v>
      </c>
      <c r="AY429" s="75">
        <v>1</v>
      </c>
      <c r="AZ429" s="77" t="s">
        <v>131</v>
      </c>
      <c r="BA429" s="78" t="s">
        <v>131</v>
      </c>
      <c r="BB429" s="78" t="s">
        <v>131</v>
      </c>
      <c r="BC429" s="78" t="s">
        <v>131</v>
      </c>
      <c r="BD429" s="78" t="s">
        <v>131</v>
      </c>
      <c r="BE429" s="78" t="s">
        <v>131</v>
      </c>
      <c r="BF429" s="78" t="s">
        <v>131</v>
      </c>
      <c r="BG429" s="78" t="s">
        <v>132</v>
      </c>
      <c r="BH429" s="75" t="s">
        <v>5970</v>
      </c>
      <c r="BI429" s="295" t="s">
        <v>16</v>
      </c>
      <c r="BJ429" s="546">
        <v>1</v>
      </c>
      <c r="BK429" s="294">
        <v>1</v>
      </c>
      <c r="BL429" s="157">
        <v>1</v>
      </c>
      <c r="BM429" s="548" t="s">
        <v>1342</v>
      </c>
      <c r="BN429" s="548" t="s">
        <v>4158</v>
      </c>
      <c r="BO429" s="157" t="s">
        <v>4580</v>
      </c>
      <c r="BP429" s="548" t="s">
        <v>4097</v>
      </c>
      <c r="BQ429" s="157" t="s">
        <v>4427</v>
      </c>
      <c r="BR429" s="157"/>
    </row>
    <row r="430" spans="1:70" x14ac:dyDescent="0.25">
      <c r="A430" s="19" t="s">
        <v>3686</v>
      </c>
      <c r="B430" s="37" t="s">
        <v>5730</v>
      </c>
      <c r="C430" s="90">
        <v>45398.935601851852</v>
      </c>
      <c r="D430" s="114">
        <v>45398.685601851852</v>
      </c>
      <c r="E430" s="38">
        <v>45398</v>
      </c>
      <c r="F430" s="91">
        <v>2024</v>
      </c>
      <c r="G430" s="93">
        <v>4</v>
      </c>
      <c r="H430" s="37" t="s">
        <v>1694</v>
      </c>
      <c r="I430" s="37"/>
      <c r="J430" s="103">
        <v>-93.457841200000004</v>
      </c>
      <c r="K430" s="40">
        <v>44.609301199999997</v>
      </c>
      <c r="L430" s="74"/>
      <c r="M430" s="272" t="s">
        <v>16</v>
      </c>
      <c r="N430" s="74">
        <v>0</v>
      </c>
      <c r="O430" s="94"/>
      <c r="P430" s="118">
        <v>1</v>
      </c>
      <c r="Q430" s="510">
        <v>40</v>
      </c>
      <c r="R430" s="513">
        <v>0</v>
      </c>
      <c r="S430" s="41"/>
      <c r="T430" s="40"/>
      <c r="U430" s="40">
        <v>7</v>
      </c>
      <c r="V430" s="119">
        <v>0</v>
      </c>
      <c r="W430" s="40"/>
      <c r="X430" s="119">
        <v>1</v>
      </c>
      <c r="Y430" s="40">
        <v>45</v>
      </c>
      <c r="Z430" s="119">
        <v>1</v>
      </c>
      <c r="AA430" s="368">
        <v>0</v>
      </c>
      <c r="AB430" s="535">
        <v>2</v>
      </c>
      <c r="AC430" s="39" t="s">
        <v>160</v>
      </c>
      <c r="AD430" s="75" t="s">
        <v>8</v>
      </c>
      <c r="AE430" s="95">
        <v>0</v>
      </c>
      <c r="AF430" s="75">
        <v>1</v>
      </c>
      <c r="AG430" s="75">
        <v>0</v>
      </c>
      <c r="AH430" s="75">
        <v>0</v>
      </c>
      <c r="AI430" s="75">
        <v>0</v>
      </c>
      <c r="AJ430" s="75">
        <v>0</v>
      </c>
      <c r="AK430" s="75">
        <v>0</v>
      </c>
      <c r="AL430" s="95">
        <v>0</v>
      </c>
      <c r="AM430" s="92">
        <v>0</v>
      </c>
      <c r="AN430" s="79" t="s">
        <v>81</v>
      </c>
      <c r="AO430" s="75">
        <v>1</v>
      </c>
      <c r="AP430" s="75" t="s">
        <v>84</v>
      </c>
      <c r="AQ430" s="122">
        <v>1</v>
      </c>
      <c r="AR430" s="515" t="s">
        <v>13</v>
      </c>
      <c r="AS430" s="95">
        <v>1</v>
      </c>
      <c r="AT430" s="75">
        <v>0</v>
      </c>
      <c r="AU430" s="75">
        <v>0</v>
      </c>
      <c r="AV430" s="75">
        <v>0</v>
      </c>
      <c r="AW430" s="123">
        <v>0</v>
      </c>
      <c r="AX430" s="516"/>
      <c r="AY430" s="75">
        <v>0</v>
      </c>
      <c r="AZ430" s="77" t="s">
        <v>131</v>
      </c>
      <c r="BA430" s="78" t="s">
        <v>132</v>
      </c>
      <c r="BB430" s="78" t="s">
        <v>131</v>
      </c>
      <c r="BC430" s="78" t="s">
        <v>131</v>
      </c>
      <c r="BD430" s="78" t="s">
        <v>131</v>
      </c>
      <c r="BE430" s="78" t="s">
        <v>131</v>
      </c>
      <c r="BF430" s="78" t="s">
        <v>131</v>
      </c>
      <c r="BG430" s="78" t="s">
        <v>131</v>
      </c>
      <c r="BH430" s="75" t="s">
        <v>5970</v>
      </c>
      <c r="BI430" s="295" t="s">
        <v>16</v>
      </c>
      <c r="BJ430" s="546" t="s">
        <v>16</v>
      </c>
      <c r="BK430" s="294" t="s">
        <v>16</v>
      </c>
      <c r="BL430" s="157" t="s">
        <v>16</v>
      </c>
      <c r="BM430" s="548" t="s">
        <v>2343</v>
      </c>
      <c r="BN430" s="548" t="s">
        <v>4161</v>
      </c>
      <c r="BO430" s="157" t="s">
        <v>5920</v>
      </c>
      <c r="BP430" s="548" t="s">
        <v>5921</v>
      </c>
      <c r="BQ430" s="157" t="s">
        <v>5919</v>
      </c>
      <c r="BR430" s="157"/>
    </row>
    <row r="431" spans="1:70" x14ac:dyDescent="0.25">
      <c r="A431" s="19" t="s">
        <v>3686</v>
      </c>
      <c r="B431" s="37" t="s">
        <v>5731</v>
      </c>
      <c r="C431" s="90">
        <v>45396.744398148148</v>
      </c>
      <c r="D431" s="114">
        <v>45396.494398148148</v>
      </c>
      <c r="E431" s="38">
        <v>45396</v>
      </c>
      <c r="F431" s="91">
        <v>2024</v>
      </c>
      <c r="G431" s="93">
        <v>4</v>
      </c>
      <c r="H431" s="37" t="s">
        <v>5727</v>
      </c>
      <c r="I431" s="37" t="s">
        <v>16</v>
      </c>
      <c r="J431" s="103">
        <v>-91.689704390659941</v>
      </c>
      <c r="K431" s="40">
        <v>44.326423029593244</v>
      </c>
      <c r="L431" s="74"/>
      <c r="M431" s="272" t="s">
        <v>5732</v>
      </c>
      <c r="N431" s="74">
        <v>1</v>
      </c>
      <c r="O431" s="94"/>
      <c r="P431" s="118">
        <v>1</v>
      </c>
      <c r="Q431" s="510">
        <v>180</v>
      </c>
      <c r="R431" s="513">
        <v>180</v>
      </c>
      <c r="S431" s="41"/>
      <c r="T431" s="40"/>
      <c r="U431" s="40">
        <v>8</v>
      </c>
      <c r="V431" s="119">
        <v>0</v>
      </c>
      <c r="W431" s="40"/>
      <c r="X431" s="119">
        <v>1</v>
      </c>
      <c r="Y431" s="40">
        <v>57</v>
      </c>
      <c r="Z431" s="119">
        <v>1</v>
      </c>
      <c r="AA431" s="368">
        <v>0</v>
      </c>
      <c r="AB431" s="535">
        <v>5</v>
      </c>
      <c r="AC431" s="39" t="s">
        <v>160</v>
      </c>
      <c r="AD431" s="75" t="s">
        <v>10</v>
      </c>
      <c r="AE431" s="95">
        <v>0</v>
      </c>
      <c r="AF431" s="75">
        <v>0</v>
      </c>
      <c r="AG431" s="75">
        <v>0</v>
      </c>
      <c r="AH431" s="75">
        <v>0</v>
      </c>
      <c r="AI431" s="75">
        <v>0</v>
      </c>
      <c r="AJ431" s="75">
        <v>0</v>
      </c>
      <c r="AK431" s="75">
        <v>0</v>
      </c>
      <c r="AL431" s="95">
        <v>1</v>
      </c>
      <c r="AM431" s="92">
        <v>0</v>
      </c>
      <c r="AN431" s="79" t="s">
        <v>80</v>
      </c>
      <c r="AO431" s="75">
        <v>1</v>
      </c>
      <c r="AP431" s="75" t="s">
        <v>83</v>
      </c>
      <c r="AQ431" s="122">
        <v>1</v>
      </c>
      <c r="AR431" s="515" t="s">
        <v>10</v>
      </c>
      <c r="AS431" s="95">
        <v>0</v>
      </c>
      <c r="AT431" s="75">
        <v>0</v>
      </c>
      <c r="AU431" s="75">
        <v>0</v>
      </c>
      <c r="AV431" s="75">
        <v>0</v>
      </c>
      <c r="AW431" s="123">
        <v>0</v>
      </c>
      <c r="AX431" s="516"/>
      <c r="AY431" s="75">
        <v>0</v>
      </c>
      <c r="AZ431" s="77" t="s">
        <v>131</v>
      </c>
      <c r="BA431" s="78" t="s">
        <v>131</v>
      </c>
      <c r="BB431" s="78" t="s">
        <v>131</v>
      </c>
      <c r="BC431" s="78" t="s">
        <v>131</v>
      </c>
      <c r="BD431" s="78" t="s">
        <v>131</v>
      </c>
      <c r="BE431" s="78" t="s">
        <v>131</v>
      </c>
      <c r="BF431" s="78" t="s">
        <v>131</v>
      </c>
      <c r="BG431" s="78" t="s">
        <v>132</v>
      </c>
      <c r="BH431" s="75" t="s">
        <v>5970</v>
      </c>
      <c r="BI431" s="295" t="s">
        <v>2309</v>
      </c>
      <c r="BJ431" s="546" t="s">
        <v>16</v>
      </c>
      <c r="BK431" s="294" t="s">
        <v>16</v>
      </c>
      <c r="BL431" s="157" t="s">
        <v>16</v>
      </c>
      <c r="BM431" s="548" t="s">
        <v>1340</v>
      </c>
      <c r="BN431" s="548" t="s">
        <v>4158</v>
      </c>
      <c r="BO431" s="157" t="s">
        <v>5848</v>
      </c>
      <c r="BP431" s="548" t="s">
        <v>5849</v>
      </c>
      <c r="BQ431" s="157" t="s">
        <v>4765</v>
      </c>
      <c r="BR431" s="157"/>
    </row>
    <row r="432" spans="1:70" x14ac:dyDescent="0.25">
      <c r="A432" s="19" t="s">
        <v>3686</v>
      </c>
      <c r="B432" s="37" t="s">
        <v>5733</v>
      </c>
      <c r="C432" s="90">
        <v>45396.620057870372</v>
      </c>
      <c r="D432" s="114">
        <v>45396.370057870372</v>
      </c>
      <c r="E432" s="38">
        <v>45396</v>
      </c>
      <c r="F432" s="91">
        <v>2024</v>
      </c>
      <c r="G432" s="93">
        <v>4</v>
      </c>
      <c r="H432" s="37" t="s">
        <v>5727</v>
      </c>
      <c r="I432" s="37"/>
      <c r="J432" s="103">
        <v>-91.684860529362936</v>
      </c>
      <c r="K432" s="40">
        <v>44.196048775824138</v>
      </c>
      <c r="L432" s="74"/>
      <c r="M432" s="272" t="s">
        <v>5734</v>
      </c>
      <c r="N432" s="74">
        <v>1</v>
      </c>
      <c r="O432" s="94"/>
      <c r="P432" s="118">
        <v>1</v>
      </c>
      <c r="Q432" s="510">
        <v>180</v>
      </c>
      <c r="R432" s="513">
        <v>60</v>
      </c>
      <c r="S432" s="41"/>
      <c r="T432" s="40"/>
      <c r="U432" s="40">
        <v>8</v>
      </c>
      <c r="V432" s="119">
        <v>0</v>
      </c>
      <c r="W432" s="40"/>
      <c r="X432" s="119">
        <v>1</v>
      </c>
      <c r="Y432" s="40">
        <v>52</v>
      </c>
      <c r="Z432" s="119">
        <v>0</v>
      </c>
      <c r="AA432" s="368" t="s">
        <v>16</v>
      </c>
      <c r="AB432" s="535" t="s">
        <v>16</v>
      </c>
      <c r="AC432" s="39" t="s">
        <v>160</v>
      </c>
      <c r="AD432" s="75" t="s">
        <v>10</v>
      </c>
      <c r="AE432" s="95">
        <v>0</v>
      </c>
      <c r="AF432" s="75">
        <v>0</v>
      </c>
      <c r="AG432" s="75">
        <v>0</v>
      </c>
      <c r="AH432" s="75">
        <v>0</v>
      </c>
      <c r="AI432" s="75">
        <v>0</v>
      </c>
      <c r="AJ432" s="75">
        <v>0</v>
      </c>
      <c r="AK432" s="75">
        <v>0</v>
      </c>
      <c r="AL432" s="95">
        <v>1</v>
      </c>
      <c r="AM432" s="92">
        <v>0</v>
      </c>
      <c r="AN432" s="79" t="s">
        <v>80</v>
      </c>
      <c r="AO432" s="75">
        <v>1</v>
      </c>
      <c r="AP432" s="75" t="s">
        <v>83</v>
      </c>
      <c r="AQ432" s="122">
        <v>1</v>
      </c>
      <c r="AR432" s="515" t="s">
        <v>10</v>
      </c>
      <c r="AS432" s="95">
        <v>0</v>
      </c>
      <c r="AT432" s="75">
        <v>0</v>
      </c>
      <c r="AU432" s="75">
        <v>0</v>
      </c>
      <c r="AV432" s="75">
        <v>0</v>
      </c>
      <c r="AW432" s="123">
        <v>0</v>
      </c>
      <c r="AX432" s="516" t="s">
        <v>5735</v>
      </c>
      <c r="AY432" s="75">
        <v>1</v>
      </c>
      <c r="AZ432" s="77" t="s">
        <v>131</v>
      </c>
      <c r="BA432" s="78" t="s">
        <v>131</v>
      </c>
      <c r="BB432" s="78" t="s">
        <v>131</v>
      </c>
      <c r="BC432" s="78" t="s">
        <v>131</v>
      </c>
      <c r="BD432" s="78" t="s">
        <v>131</v>
      </c>
      <c r="BE432" s="78" t="s">
        <v>131</v>
      </c>
      <c r="BF432" s="78" t="s">
        <v>131</v>
      </c>
      <c r="BG432" s="78" t="s">
        <v>132</v>
      </c>
      <c r="BH432" s="75" t="s">
        <v>5970</v>
      </c>
      <c r="BI432" s="295" t="s">
        <v>2277</v>
      </c>
      <c r="BJ432" s="546">
        <v>1</v>
      </c>
      <c r="BK432" s="294" t="s">
        <v>16</v>
      </c>
      <c r="BL432" s="157" t="s">
        <v>16</v>
      </c>
      <c r="BM432" s="548" t="s">
        <v>1340</v>
      </c>
      <c r="BN432" s="548" t="s">
        <v>4158</v>
      </c>
      <c r="BO432" s="157" t="s">
        <v>4766</v>
      </c>
      <c r="BP432" s="548" t="s">
        <v>2277</v>
      </c>
      <c r="BQ432" s="157" t="s">
        <v>4765</v>
      </c>
      <c r="BR432" s="157"/>
    </row>
    <row r="433" spans="1:70" x14ac:dyDescent="0.25">
      <c r="A433" s="19" t="s">
        <v>3686</v>
      </c>
      <c r="B433" s="37" t="s">
        <v>5736</v>
      </c>
      <c r="C433" s="90">
        <v>45395.668263888889</v>
      </c>
      <c r="D433" s="114">
        <v>45395.418263888889</v>
      </c>
      <c r="E433" s="38">
        <v>45395</v>
      </c>
      <c r="F433" s="91">
        <v>2024</v>
      </c>
      <c r="G433" s="93">
        <v>4</v>
      </c>
      <c r="H433" s="37" t="s">
        <v>190</v>
      </c>
      <c r="I433" s="37" t="s">
        <v>16</v>
      </c>
      <c r="J433" s="103">
        <v>-88.249611760893643</v>
      </c>
      <c r="K433" s="40">
        <v>42.612085093486847</v>
      </c>
      <c r="L433" s="74"/>
      <c r="M433" s="272" t="s">
        <v>16</v>
      </c>
      <c r="N433" s="74">
        <v>0</v>
      </c>
      <c r="O433" s="94"/>
      <c r="P433" s="118">
        <v>1</v>
      </c>
      <c r="Q433" s="510">
        <v>120</v>
      </c>
      <c r="R433" s="513">
        <v>120</v>
      </c>
      <c r="S433" s="41"/>
      <c r="T433" s="40"/>
      <c r="U433" s="40">
        <v>7.5</v>
      </c>
      <c r="V433" s="119">
        <v>0</v>
      </c>
      <c r="W433" s="40"/>
      <c r="X433" s="119">
        <v>1</v>
      </c>
      <c r="Y433" s="40">
        <v>57</v>
      </c>
      <c r="Z433" s="119">
        <v>1</v>
      </c>
      <c r="AA433" s="368">
        <v>0</v>
      </c>
      <c r="AB433" s="535">
        <v>5</v>
      </c>
      <c r="AC433" s="39" t="s">
        <v>160</v>
      </c>
      <c r="AD433" s="75" t="s">
        <v>10</v>
      </c>
      <c r="AE433" s="95">
        <v>0</v>
      </c>
      <c r="AF433" s="75">
        <v>0</v>
      </c>
      <c r="AG433" s="75">
        <v>0</v>
      </c>
      <c r="AH433" s="75">
        <v>0</v>
      </c>
      <c r="AI433" s="75">
        <v>0</v>
      </c>
      <c r="AJ433" s="75">
        <v>0</v>
      </c>
      <c r="AK433" s="75">
        <v>0</v>
      </c>
      <c r="AL433" s="95">
        <v>1</v>
      </c>
      <c r="AM433" s="92">
        <v>0</v>
      </c>
      <c r="AN433" s="79" t="s">
        <v>80</v>
      </c>
      <c r="AO433" s="75">
        <v>1</v>
      </c>
      <c r="AP433" s="75" t="s">
        <v>83</v>
      </c>
      <c r="AQ433" s="122">
        <v>1</v>
      </c>
      <c r="AR433" s="515" t="s">
        <v>10</v>
      </c>
      <c r="AS433" s="95">
        <v>0</v>
      </c>
      <c r="AT433" s="75">
        <v>0</v>
      </c>
      <c r="AU433" s="75">
        <v>0</v>
      </c>
      <c r="AV433" s="75">
        <v>0</v>
      </c>
      <c r="AW433" s="123">
        <v>0</v>
      </c>
      <c r="AX433" s="516" t="s">
        <v>5737</v>
      </c>
      <c r="AY433" s="75">
        <v>1</v>
      </c>
      <c r="AZ433" s="77" t="s">
        <v>131</v>
      </c>
      <c r="BA433" s="78" t="s">
        <v>131</v>
      </c>
      <c r="BB433" s="78" t="s">
        <v>131</v>
      </c>
      <c r="BC433" s="78" t="s">
        <v>131</v>
      </c>
      <c r="BD433" s="78" t="s">
        <v>131</v>
      </c>
      <c r="BE433" s="78" t="s">
        <v>131</v>
      </c>
      <c r="BF433" s="78" t="s">
        <v>131</v>
      </c>
      <c r="BG433" s="78" t="s">
        <v>132</v>
      </c>
      <c r="BH433" s="75" t="s">
        <v>5970</v>
      </c>
      <c r="BI433" s="295">
        <v>0</v>
      </c>
      <c r="BJ433" s="546" t="s">
        <v>16</v>
      </c>
      <c r="BK433" s="294" t="s">
        <v>16</v>
      </c>
      <c r="BL433" s="157" t="s">
        <v>16</v>
      </c>
      <c r="BM433" s="548">
        <v>0</v>
      </c>
      <c r="BN433" s="548" t="s">
        <v>2341</v>
      </c>
      <c r="BO433" s="157" t="s">
        <v>5923</v>
      </c>
      <c r="BP433" s="548" t="s">
        <v>5924</v>
      </c>
      <c r="BQ433" s="157" t="s">
        <v>5922</v>
      </c>
      <c r="BR433" s="157"/>
    </row>
    <row r="434" spans="1:70" x14ac:dyDescent="0.25">
      <c r="A434" s="19" t="s">
        <v>3686</v>
      </c>
      <c r="B434" s="37" t="s">
        <v>5738</v>
      </c>
      <c r="C434" s="90">
        <v>45391.709178240744</v>
      </c>
      <c r="D434" s="114">
        <v>45391.459178240744</v>
      </c>
      <c r="E434" s="38">
        <v>45391</v>
      </c>
      <c r="F434" s="91">
        <v>2024</v>
      </c>
      <c r="G434" s="93">
        <v>4</v>
      </c>
      <c r="H434" s="37" t="s">
        <v>5456</v>
      </c>
      <c r="I434" s="37"/>
      <c r="J434" s="103">
        <v>-93.342198800000006</v>
      </c>
      <c r="K434" s="40">
        <v>44.911819299999998</v>
      </c>
      <c r="L434" s="74"/>
      <c r="M434" s="272" t="s">
        <v>16</v>
      </c>
      <c r="N434" s="74">
        <v>0</v>
      </c>
      <c r="O434" s="94"/>
      <c r="P434" s="118">
        <v>1</v>
      </c>
      <c r="Q434" s="510">
        <v>80</v>
      </c>
      <c r="R434" s="513">
        <v>30</v>
      </c>
      <c r="S434" s="41"/>
      <c r="T434" s="40"/>
      <c r="U434" s="40">
        <v>7</v>
      </c>
      <c r="V434" s="119">
        <v>0</v>
      </c>
      <c r="W434" s="40"/>
      <c r="X434" s="119">
        <v>0</v>
      </c>
      <c r="Y434" s="40"/>
      <c r="Z434" s="119">
        <v>1</v>
      </c>
      <c r="AA434" s="368">
        <v>0</v>
      </c>
      <c r="AB434" s="535">
        <v>2</v>
      </c>
      <c r="AC434" s="39" t="s">
        <v>160</v>
      </c>
      <c r="AD434" s="75" t="s">
        <v>16</v>
      </c>
      <c r="AE434" s="95">
        <v>-1</v>
      </c>
      <c r="AF434" s="75">
        <v>-1</v>
      </c>
      <c r="AG434" s="75">
        <v>-1</v>
      </c>
      <c r="AH434" s="75">
        <v>-1</v>
      </c>
      <c r="AI434" s="75">
        <v>-1</v>
      </c>
      <c r="AJ434" s="75">
        <v>-1</v>
      </c>
      <c r="AK434" s="75">
        <v>-1</v>
      </c>
      <c r="AL434" s="95">
        <v>-1</v>
      </c>
      <c r="AM434" s="92">
        <v>1</v>
      </c>
      <c r="AN434" s="79"/>
      <c r="AO434" s="75">
        <v>0</v>
      </c>
      <c r="AP434" s="75"/>
      <c r="AQ434" s="122">
        <v>0</v>
      </c>
      <c r="AR434" s="515" t="s">
        <v>16</v>
      </c>
      <c r="AS434" s="95">
        <v>-1</v>
      </c>
      <c r="AT434" s="75">
        <v>-1</v>
      </c>
      <c r="AU434" s="75">
        <v>-1</v>
      </c>
      <c r="AV434" s="75">
        <v>-1</v>
      </c>
      <c r="AW434" s="123">
        <v>1</v>
      </c>
      <c r="AX434" s="516"/>
      <c r="AY434" s="75">
        <v>0</v>
      </c>
      <c r="AZ434" s="77" t="s">
        <v>5971</v>
      </c>
      <c r="BA434" s="78" t="s">
        <v>5971</v>
      </c>
      <c r="BB434" s="78" t="s">
        <v>5971</v>
      </c>
      <c r="BC434" s="78" t="s">
        <v>5971</v>
      </c>
      <c r="BD434" s="78" t="s">
        <v>5971</v>
      </c>
      <c r="BE434" s="78" t="s">
        <v>5971</v>
      </c>
      <c r="BF434" s="78" t="s">
        <v>5971</v>
      </c>
      <c r="BG434" s="78" t="s">
        <v>5971</v>
      </c>
      <c r="BH434" s="75" t="s">
        <v>5971</v>
      </c>
      <c r="BI434" s="295" t="s">
        <v>5927</v>
      </c>
      <c r="BJ434" s="546" t="s">
        <v>16</v>
      </c>
      <c r="BK434" s="294" t="s">
        <v>16</v>
      </c>
      <c r="BL434" s="157" t="s">
        <v>16</v>
      </c>
      <c r="BM434" s="548" t="s">
        <v>2343</v>
      </c>
      <c r="BN434" s="548" t="s">
        <v>5969</v>
      </c>
      <c r="BO434" s="157" t="s">
        <v>5926</v>
      </c>
      <c r="BP434" s="548" t="s">
        <v>5927</v>
      </c>
      <c r="BQ434" s="157" t="s">
        <v>5925</v>
      </c>
      <c r="BR434" s="157"/>
    </row>
    <row r="435" spans="1:70" x14ac:dyDescent="0.25">
      <c r="A435" s="19" t="s">
        <v>3686</v>
      </c>
      <c r="B435" s="37" t="s">
        <v>5739</v>
      </c>
      <c r="C435" s="90">
        <v>45391.702951388892</v>
      </c>
      <c r="D435" s="114">
        <v>45391.452951388892</v>
      </c>
      <c r="E435" s="38">
        <v>45391</v>
      </c>
      <c r="F435" s="91">
        <v>2024</v>
      </c>
      <c r="G435" s="93">
        <v>4</v>
      </c>
      <c r="H435" s="37" t="s">
        <v>475</v>
      </c>
      <c r="I435" s="37" t="s">
        <v>16</v>
      </c>
      <c r="J435" s="103">
        <v>-92.651400290863378</v>
      </c>
      <c r="K435" s="40">
        <v>44.074832912159245</v>
      </c>
      <c r="L435" s="74"/>
      <c r="M435" s="272" t="s">
        <v>5740</v>
      </c>
      <c r="N435" s="74">
        <v>1</v>
      </c>
      <c r="O435" s="94"/>
      <c r="P435" s="118">
        <v>0</v>
      </c>
      <c r="Q435" s="510"/>
      <c r="R435" s="513"/>
      <c r="S435" s="41"/>
      <c r="T435" s="40"/>
      <c r="U435" s="40"/>
      <c r="V435" s="119">
        <v>1</v>
      </c>
      <c r="W435" s="40">
        <v>0</v>
      </c>
      <c r="X435" s="119">
        <v>1</v>
      </c>
      <c r="Y435" s="40">
        <v>45</v>
      </c>
      <c r="Z435" s="119">
        <v>1</v>
      </c>
      <c r="AA435" s="368">
        <v>0</v>
      </c>
      <c r="AB435" s="535">
        <v>10</v>
      </c>
      <c r="AC435" s="39" t="s">
        <v>160</v>
      </c>
      <c r="AD435" s="75" t="s">
        <v>8</v>
      </c>
      <c r="AE435" s="95">
        <v>0</v>
      </c>
      <c r="AF435" s="75">
        <v>1</v>
      </c>
      <c r="AG435" s="75">
        <v>0</v>
      </c>
      <c r="AH435" s="75">
        <v>0</v>
      </c>
      <c r="AI435" s="75">
        <v>0</v>
      </c>
      <c r="AJ435" s="75">
        <v>0</v>
      </c>
      <c r="AK435" s="75">
        <v>0</v>
      </c>
      <c r="AL435" s="95">
        <v>0</v>
      </c>
      <c r="AM435" s="92">
        <v>0</v>
      </c>
      <c r="AN435" s="79" t="s">
        <v>81</v>
      </c>
      <c r="AO435" s="75">
        <v>1</v>
      </c>
      <c r="AP435" s="75" t="s">
        <v>84</v>
      </c>
      <c r="AQ435" s="122">
        <v>1</v>
      </c>
      <c r="AR435" s="515" t="s">
        <v>10</v>
      </c>
      <c r="AS435" s="95">
        <v>0</v>
      </c>
      <c r="AT435" s="75">
        <v>0</v>
      </c>
      <c r="AU435" s="75">
        <v>0</v>
      </c>
      <c r="AV435" s="75">
        <v>0</v>
      </c>
      <c r="AW435" s="123">
        <v>0</v>
      </c>
      <c r="AX435" s="516" t="s">
        <v>5741</v>
      </c>
      <c r="AY435" s="75">
        <v>1</v>
      </c>
      <c r="AZ435" s="77" t="s">
        <v>131</v>
      </c>
      <c r="BA435" s="78" t="s">
        <v>132</v>
      </c>
      <c r="BB435" s="78" t="s">
        <v>131</v>
      </c>
      <c r="BC435" s="78" t="s">
        <v>131</v>
      </c>
      <c r="BD435" s="78" t="s">
        <v>131</v>
      </c>
      <c r="BE435" s="78" t="s">
        <v>131</v>
      </c>
      <c r="BF435" s="78" t="s">
        <v>131</v>
      </c>
      <c r="BG435" s="78" t="s">
        <v>131</v>
      </c>
      <c r="BH435" s="75" t="s">
        <v>5970</v>
      </c>
      <c r="BI435" s="295" t="s">
        <v>5823</v>
      </c>
      <c r="BJ435" s="546" t="s">
        <v>16</v>
      </c>
      <c r="BK435" s="294" t="s">
        <v>16</v>
      </c>
      <c r="BL435" s="157" t="s">
        <v>16</v>
      </c>
      <c r="BM435" s="548" t="s">
        <v>1339</v>
      </c>
      <c r="BN435" s="548" t="s">
        <v>1339</v>
      </c>
      <c r="BO435" s="157" t="s">
        <v>5822</v>
      </c>
      <c r="BP435" s="548" t="s">
        <v>5823</v>
      </c>
      <c r="BQ435" s="157" t="s">
        <v>5821</v>
      </c>
      <c r="BR435" s="157"/>
    </row>
    <row r="436" spans="1:70" x14ac:dyDescent="0.25">
      <c r="A436" s="19" t="s">
        <v>3686</v>
      </c>
      <c r="B436" s="37" t="s">
        <v>5742</v>
      </c>
      <c r="C436" s="90">
        <v>45382.834849537037</v>
      </c>
      <c r="D436" s="114">
        <v>45382.584849537037</v>
      </c>
      <c r="E436" s="38">
        <v>45382</v>
      </c>
      <c r="F436" s="91">
        <v>2024</v>
      </c>
      <c r="G436" s="93">
        <v>3</v>
      </c>
      <c r="H436" s="37" t="s">
        <v>201</v>
      </c>
      <c r="I436" s="37"/>
      <c r="J436" s="103">
        <v>-92.7321583341094</v>
      </c>
      <c r="K436" s="40">
        <v>44.831202936519809</v>
      </c>
      <c r="L436" s="74"/>
      <c r="M436" s="272" t="s">
        <v>16</v>
      </c>
      <c r="N436" s="74">
        <v>0</v>
      </c>
      <c r="O436" s="94"/>
      <c r="P436" s="118">
        <v>1</v>
      </c>
      <c r="Q436" s="510">
        <v>180</v>
      </c>
      <c r="R436" s="513">
        <v>180</v>
      </c>
      <c r="S436" s="41"/>
      <c r="T436" s="40"/>
      <c r="U436" s="40">
        <v>7</v>
      </c>
      <c r="V436" s="119">
        <v>1</v>
      </c>
      <c r="W436" s="40">
        <v>0</v>
      </c>
      <c r="X436" s="119">
        <v>1</v>
      </c>
      <c r="Y436" s="40">
        <v>47</v>
      </c>
      <c r="Z436" s="119">
        <v>1</v>
      </c>
      <c r="AA436" s="368">
        <v>0</v>
      </c>
      <c r="AB436" s="535">
        <v>5</v>
      </c>
      <c r="AC436" s="39" t="s">
        <v>160</v>
      </c>
      <c r="AD436" s="75" t="s">
        <v>8</v>
      </c>
      <c r="AE436" s="95">
        <v>0</v>
      </c>
      <c r="AF436" s="75">
        <v>1</v>
      </c>
      <c r="AG436" s="75">
        <v>0</v>
      </c>
      <c r="AH436" s="75">
        <v>0</v>
      </c>
      <c r="AI436" s="75">
        <v>0</v>
      </c>
      <c r="AJ436" s="75">
        <v>0</v>
      </c>
      <c r="AK436" s="75">
        <v>0</v>
      </c>
      <c r="AL436" s="95">
        <v>0</v>
      </c>
      <c r="AM436" s="92">
        <v>0</v>
      </c>
      <c r="AN436" s="79" t="s">
        <v>81</v>
      </c>
      <c r="AO436" s="75">
        <v>1</v>
      </c>
      <c r="AP436" s="75" t="s">
        <v>84</v>
      </c>
      <c r="AQ436" s="122">
        <v>1</v>
      </c>
      <c r="AR436" s="515" t="s">
        <v>58</v>
      </c>
      <c r="AS436" s="95">
        <v>0</v>
      </c>
      <c r="AT436" s="75">
        <v>0</v>
      </c>
      <c r="AU436" s="75">
        <v>1</v>
      </c>
      <c r="AV436" s="75">
        <v>0</v>
      </c>
      <c r="AW436" s="123">
        <v>0</v>
      </c>
      <c r="AX436" s="516" t="s">
        <v>5743</v>
      </c>
      <c r="AY436" s="75">
        <v>1</v>
      </c>
      <c r="AZ436" s="77" t="s">
        <v>131</v>
      </c>
      <c r="BA436" s="78" t="s">
        <v>132</v>
      </c>
      <c r="BB436" s="78" t="s">
        <v>131</v>
      </c>
      <c r="BC436" s="78" t="s">
        <v>131</v>
      </c>
      <c r="BD436" s="78" t="s">
        <v>131</v>
      </c>
      <c r="BE436" s="78" t="s">
        <v>131</v>
      </c>
      <c r="BF436" s="78" t="s">
        <v>131</v>
      </c>
      <c r="BG436" s="78" t="s">
        <v>131</v>
      </c>
      <c r="BH436" s="75" t="s">
        <v>5970</v>
      </c>
      <c r="BI436" s="295" t="s">
        <v>2227</v>
      </c>
      <c r="BJ436" s="546">
        <v>1</v>
      </c>
      <c r="BK436" s="294" t="s">
        <v>16</v>
      </c>
      <c r="BL436" s="157" t="s">
        <v>16</v>
      </c>
      <c r="BM436" s="548" t="s">
        <v>578</v>
      </c>
      <c r="BN436" s="548" t="s">
        <v>578</v>
      </c>
      <c r="BO436" s="157" t="s">
        <v>4341</v>
      </c>
      <c r="BP436" s="548" t="s">
        <v>4343</v>
      </c>
      <c r="BQ436" s="157" t="s">
        <v>4309</v>
      </c>
      <c r="BR436" s="157"/>
    </row>
    <row r="437" spans="1:70" x14ac:dyDescent="0.25">
      <c r="A437" s="19" t="s">
        <v>3686</v>
      </c>
      <c r="B437" s="37" t="s">
        <v>5744</v>
      </c>
      <c r="C437" s="90">
        <v>45364.723333333335</v>
      </c>
      <c r="D437" s="114">
        <v>45364.473333333335</v>
      </c>
      <c r="E437" s="38">
        <v>45364</v>
      </c>
      <c r="F437" s="91">
        <v>2024</v>
      </c>
      <c r="G437" s="93">
        <v>3</v>
      </c>
      <c r="H437" s="37" t="s">
        <v>2475</v>
      </c>
      <c r="I437" s="37"/>
      <c r="J437" s="103">
        <v>-89.125256084748841</v>
      </c>
      <c r="K437" s="40">
        <v>42.550312766932912</v>
      </c>
      <c r="L437" s="74"/>
      <c r="M437" s="272" t="s">
        <v>5745</v>
      </c>
      <c r="N437" s="74">
        <v>1</v>
      </c>
      <c r="O437" s="94"/>
      <c r="P437" s="118">
        <v>1</v>
      </c>
      <c r="Q437" s="510">
        <v>180</v>
      </c>
      <c r="R437" s="513">
        <v>180</v>
      </c>
      <c r="S437" s="41"/>
      <c r="T437" s="40"/>
      <c r="U437" s="40">
        <v>8</v>
      </c>
      <c r="V437" s="119">
        <v>0</v>
      </c>
      <c r="W437" s="40"/>
      <c r="X437" s="119">
        <v>1</v>
      </c>
      <c r="Y437" s="40">
        <v>49</v>
      </c>
      <c r="Z437" s="119">
        <v>1</v>
      </c>
      <c r="AA437" s="368">
        <v>0</v>
      </c>
      <c r="AB437" s="535">
        <v>0</v>
      </c>
      <c r="AC437" s="39" t="s">
        <v>162</v>
      </c>
      <c r="AD437" s="75" t="s">
        <v>10</v>
      </c>
      <c r="AE437" s="95">
        <v>0</v>
      </c>
      <c r="AF437" s="75">
        <v>0</v>
      </c>
      <c r="AG437" s="75">
        <v>0</v>
      </c>
      <c r="AH437" s="75">
        <v>0</v>
      </c>
      <c r="AI437" s="75">
        <v>0</v>
      </c>
      <c r="AJ437" s="75">
        <v>0</v>
      </c>
      <c r="AK437" s="75">
        <v>0</v>
      </c>
      <c r="AL437" s="95">
        <v>1</v>
      </c>
      <c r="AM437" s="92">
        <v>0</v>
      </c>
      <c r="AN437" s="79" t="s">
        <v>80</v>
      </c>
      <c r="AO437" s="75">
        <v>1</v>
      </c>
      <c r="AP437" s="75" t="s">
        <v>83</v>
      </c>
      <c r="AQ437" s="122">
        <v>1</v>
      </c>
      <c r="AR437" s="515" t="s">
        <v>10</v>
      </c>
      <c r="AS437" s="95">
        <v>0</v>
      </c>
      <c r="AT437" s="75">
        <v>0</v>
      </c>
      <c r="AU437" s="75">
        <v>0</v>
      </c>
      <c r="AV437" s="75">
        <v>0</v>
      </c>
      <c r="AW437" s="123">
        <v>0</v>
      </c>
      <c r="AX437" s="516" t="s">
        <v>5746</v>
      </c>
      <c r="AY437" s="75">
        <v>1</v>
      </c>
      <c r="AZ437" s="77" t="s">
        <v>131</v>
      </c>
      <c r="BA437" s="78" t="s">
        <v>131</v>
      </c>
      <c r="BB437" s="78" t="s">
        <v>131</v>
      </c>
      <c r="BC437" s="78" t="s">
        <v>131</v>
      </c>
      <c r="BD437" s="78" t="s">
        <v>131</v>
      </c>
      <c r="BE437" s="78" t="s">
        <v>131</v>
      </c>
      <c r="BF437" s="78" t="s">
        <v>131</v>
      </c>
      <c r="BG437" s="78" t="s">
        <v>132</v>
      </c>
      <c r="BH437" s="75" t="s">
        <v>5970</v>
      </c>
      <c r="BI437" s="295" t="s">
        <v>4048</v>
      </c>
      <c r="BJ437" s="546" t="s">
        <v>16</v>
      </c>
      <c r="BK437" s="294">
        <v>1</v>
      </c>
      <c r="BL437" s="157">
        <v>1</v>
      </c>
      <c r="BM437" s="548" t="s">
        <v>1349</v>
      </c>
      <c r="BN437" s="548" t="s">
        <v>4162</v>
      </c>
      <c r="BO437" s="157" t="s">
        <v>4251</v>
      </c>
      <c r="BP437" s="548" t="s">
        <v>4048</v>
      </c>
      <c r="BQ437" s="157" t="s">
        <v>4250</v>
      </c>
      <c r="BR437" s="157"/>
    </row>
    <row r="438" spans="1:70" x14ac:dyDescent="0.25">
      <c r="A438" s="19" t="s">
        <v>3686</v>
      </c>
      <c r="B438" s="37" t="s">
        <v>5747</v>
      </c>
      <c r="C438" s="90">
        <v>45364.708090277774</v>
      </c>
      <c r="D438" s="114">
        <v>45364.458090277774</v>
      </c>
      <c r="E438" s="38">
        <v>45364</v>
      </c>
      <c r="F438" s="91">
        <v>2024</v>
      </c>
      <c r="G438" s="93">
        <v>3</v>
      </c>
      <c r="H438" s="37" t="s">
        <v>2475</v>
      </c>
      <c r="I438" s="37"/>
      <c r="J438" s="103">
        <v>-89.125570859843052</v>
      </c>
      <c r="K438" s="40">
        <v>42.550470270256092</v>
      </c>
      <c r="L438" s="74"/>
      <c r="M438" s="272" t="s">
        <v>5748</v>
      </c>
      <c r="N438" s="74">
        <v>1</v>
      </c>
      <c r="O438" s="94"/>
      <c r="P438" s="118">
        <v>1</v>
      </c>
      <c r="Q438" s="510">
        <v>180</v>
      </c>
      <c r="R438" s="513">
        <v>180</v>
      </c>
      <c r="S438" s="41"/>
      <c r="T438" s="40"/>
      <c r="U438" s="40">
        <v>7.5</v>
      </c>
      <c r="V438" s="119">
        <v>1</v>
      </c>
      <c r="W438" s="40">
        <v>0</v>
      </c>
      <c r="X438" s="119">
        <v>1</v>
      </c>
      <c r="Y438" s="40">
        <v>50</v>
      </c>
      <c r="Z438" s="119">
        <v>1</v>
      </c>
      <c r="AA438" s="368">
        <v>0</v>
      </c>
      <c r="AB438" s="535">
        <v>10</v>
      </c>
      <c r="AC438" s="39" t="s">
        <v>162</v>
      </c>
      <c r="AD438" s="75" t="s">
        <v>10</v>
      </c>
      <c r="AE438" s="95">
        <v>0</v>
      </c>
      <c r="AF438" s="75">
        <v>0</v>
      </c>
      <c r="AG438" s="75">
        <v>0</v>
      </c>
      <c r="AH438" s="75">
        <v>0</v>
      </c>
      <c r="AI438" s="75">
        <v>0</v>
      </c>
      <c r="AJ438" s="75">
        <v>0</v>
      </c>
      <c r="AK438" s="75">
        <v>0</v>
      </c>
      <c r="AL438" s="95">
        <v>1</v>
      </c>
      <c r="AM438" s="92">
        <v>0</v>
      </c>
      <c r="AN438" s="79" t="s">
        <v>80</v>
      </c>
      <c r="AO438" s="75">
        <v>1</v>
      </c>
      <c r="AP438" s="75" t="s">
        <v>83</v>
      </c>
      <c r="AQ438" s="122">
        <v>1</v>
      </c>
      <c r="AR438" s="515" t="s">
        <v>10</v>
      </c>
      <c r="AS438" s="95">
        <v>0</v>
      </c>
      <c r="AT438" s="75">
        <v>0</v>
      </c>
      <c r="AU438" s="75">
        <v>0</v>
      </c>
      <c r="AV438" s="75">
        <v>0</v>
      </c>
      <c r="AW438" s="123">
        <v>0</v>
      </c>
      <c r="AX438" s="516" t="s">
        <v>5749</v>
      </c>
      <c r="AY438" s="75">
        <v>1</v>
      </c>
      <c r="AZ438" s="77" t="s">
        <v>131</v>
      </c>
      <c r="BA438" s="78" t="s">
        <v>131</v>
      </c>
      <c r="BB438" s="78" t="s">
        <v>131</v>
      </c>
      <c r="BC438" s="78" t="s">
        <v>131</v>
      </c>
      <c r="BD438" s="78" t="s">
        <v>131</v>
      </c>
      <c r="BE438" s="78" t="s">
        <v>131</v>
      </c>
      <c r="BF438" s="78" t="s">
        <v>131</v>
      </c>
      <c r="BG438" s="78" t="s">
        <v>132</v>
      </c>
      <c r="BH438" s="75" t="s">
        <v>5970</v>
      </c>
      <c r="BI438" s="295" t="s">
        <v>4048</v>
      </c>
      <c r="BJ438" s="546" t="s">
        <v>16</v>
      </c>
      <c r="BK438" s="294">
        <v>1</v>
      </c>
      <c r="BL438" s="157">
        <v>1</v>
      </c>
      <c r="BM438" s="548" t="s">
        <v>1349</v>
      </c>
      <c r="BN438" s="548" t="s">
        <v>4162</v>
      </c>
      <c r="BO438" s="157" t="s">
        <v>4251</v>
      </c>
      <c r="BP438" s="548" t="s">
        <v>4048</v>
      </c>
      <c r="BQ438" s="157" t="s">
        <v>4250</v>
      </c>
      <c r="BR438" s="157"/>
    </row>
    <row r="439" spans="1:70" x14ac:dyDescent="0.25">
      <c r="A439" s="19" t="s">
        <v>3686</v>
      </c>
      <c r="B439" s="37" t="s">
        <v>5750</v>
      </c>
      <c r="C439" s="90">
        <v>45363.940532407411</v>
      </c>
      <c r="D439" s="114">
        <v>45363.690532407411</v>
      </c>
      <c r="E439" s="38">
        <v>45363</v>
      </c>
      <c r="F439" s="91">
        <v>2024</v>
      </c>
      <c r="G439" s="93">
        <v>3</v>
      </c>
      <c r="H439" s="37" t="s">
        <v>2475</v>
      </c>
      <c r="I439" s="37"/>
      <c r="J439" s="103">
        <v>-89.673261847430538</v>
      </c>
      <c r="K439" s="40">
        <v>42.963318480218717</v>
      </c>
      <c r="L439" s="74"/>
      <c r="M439" s="272" t="s">
        <v>5751</v>
      </c>
      <c r="N439" s="74">
        <v>1</v>
      </c>
      <c r="O439" s="94"/>
      <c r="P439" s="118">
        <v>1</v>
      </c>
      <c r="Q439" s="510">
        <v>180</v>
      </c>
      <c r="R439" s="513">
        <v>120</v>
      </c>
      <c r="S439" s="41"/>
      <c r="T439" s="40"/>
      <c r="U439" s="40">
        <v>7</v>
      </c>
      <c r="V439" s="119">
        <v>1</v>
      </c>
      <c r="W439" s="40">
        <v>0</v>
      </c>
      <c r="X439" s="119">
        <v>1</v>
      </c>
      <c r="Y439" s="40">
        <v>48</v>
      </c>
      <c r="Z439" s="119">
        <v>1</v>
      </c>
      <c r="AA439" s="368">
        <v>0</v>
      </c>
      <c r="AB439" s="535">
        <v>5</v>
      </c>
      <c r="AC439" s="39" t="s">
        <v>162</v>
      </c>
      <c r="AD439" s="75" t="s">
        <v>10</v>
      </c>
      <c r="AE439" s="95">
        <v>0</v>
      </c>
      <c r="AF439" s="75">
        <v>0</v>
      </c>
      <c r="AG439" s="75">
        <v>0</v>
      </c>
      <c r="AH439" s="75">
        <v>0</v>
      </c>
      <c r="AI439" s="75">
        <v>0</v>
      </c>
      <c r="AJ439" s="75">
        <v>0</v>
      </c>
      <c r="AK439" s="75">
        <v>0</v>
      </c>
      <c r="AL439" s="95">
        <v>1</v>
      </c>
      <c r="AM439" s="92">
        <v>0</v>
      </c>
      <c r="AN439" s="79" t="s">
        <v>80</v>
      </c>
      <c r="AO439" s="75">
        <v>1</v>
      </c>
      <c r="AP439" s="75" t="s">
        <v>83</v>
      </c>
      <c r="AQ439" s="122">
        <v>1</v>
      </c>
      <c r="AR439" s="515" t="s">
        <v>10</v>
      </c>
      <c r="AS439" s="95">
        <v>0</v>
      </c>
      <c r="AT439" s="75">
        <v>0</v>
      </c>
      <c r="AU439" s="75">
        <v>0</v>
      </c>
      <c r="AV439" s="75">
        <v>0</v>
      </c>
      <c r="AW439" s="123">
        <v>0</v>
      </c>
      <c r="AX439" s="516"/>
      <c r="AY439" s="75">
        <v>0</v>
      </c>
      <c r="AZ439" s="77" t="s">
        <v>131</v>
      </c>
      <c r="BA439" s="78" t="s">
        <v>131</v>
      </c>
      <c r="BB439" s="78" t="s">
        <v>131</v>
      </c>
      <c r="BC439" s="78" t="s">
        <v>131</v>
      </c>
      <c r="BD439" s="78" t="s">
        <v>131</v>
      </c>
      <c r="BE439" s="78" t="s">
        <v>131</v>
      </c>
      <c r="BF439" s="78" t="s">
        <v>131</v>
      </c>
      <c r="BG439" s="78" t="s">
        <v>132</v>
      </c>
      <c r="BH439" s="75" t="s">
        <v>5970</v>
      </c>
      <c r="BI439" s="295" t="s">
        <v>2314</v>
      </c>
      <c r="BJ439" s="546">
        <v>1</v>
      </c>
      <c r="BK439" s="294">
        <v>1</v>
      </c>
      <c r="BL439" s="157">
        <v>1</v>
      </c>
      <c r="BM439" s="548" t="s">
        <v>1343</v>
      </c>
      <c r="BN439" s="548" t="s">
        <v>4162</v>
      </c>
      <c r="BO439" s="157" t="s">
        <v>4727</v>
      </c>
      <c r="BP439" s="548" t="s">
        <v>4728</v>
      </c>
      <c r="BQ439" s="157" t="s">
        <v>4722</v>
      </c>
      <c r="BR439" s="157"/>
    </row>
    <row r="440" spans="1:70" x14ac:dyDescent="0.25">
      <c r="A440" s="19" t="s">
        <v>3686</v>
      </c>
      <c r="B440" s="37" t="s">
        <v>5752</v>
      </c>
      <c r="C440" s="90">
        <v>45363.90221064815</v>
      </c>
      <c r="D440" s="114">
        <v>45363.65221064815</v>
      </c>
      <c r="E440" s="38">
        <v>45363</v>
      </c>
      <c r="F440" s="91">
        <v>2024</v>
      </c>
      <c r="G440" s="93">
        <v>3</v>
      </c>
      <c r="H440" s="37" t="s">
        <v>2475</v>
      </c>
      <c r="I440" s="37"/>
      <c r="J440" s="103">
        <v>-89.647147189909262</v>
      </c>
      <c r="K440" s="40">
        <v>42.940349970052893</v>
      </c>
      <c r="L440" s="74"/>
      <c r="M440" s="272" t="s">
        <v>5753</v>
      </c>
      <c r="N440" s="74">
        <v>1</v>
      </c>
      <c r="O440" s="94"/>
      <c r="P440" s="118">
        <v>1</v>
      </c>
      <c r="Q440" s="510">
        <v>180</v>
      </c>
      <c r="R440" s="513">
        <v>120</v>
      </c>
      <c r="S440" s="41"/>
      <c r="T440" s="40"/>
      <c r="U440" s="40">
        <v>8</v>
      </c>
      <c r="V440" s="119">
        <v>1</v>
      </c>
      <c r="W440" s="40">
        <v>0</v>
      </c>
      <c r="X440" s="119">
        <v>1</v>
      </c>
      <c r="Y440" s="40">
        <v>55</v>
      </c>
      <c r="Z440" s="119">
        <v>1</v>
      </c>
      <c r="AA440" s="368">
        <v>0</v>
      </c>
      <c r="AB440" s="535">
        <v>2</v>
      </c>
      <c r="AC440" s="39" t="s">
        <v>160</v>
      </c>
      <c r="AD440" s="75" t="s">
        <v>9</v>
      </c>
      <c r="AE440" s="95">
        <v>0</v>
      </c>
      <c r="AF440" s="75">
        <v>0</v>
      </c>
      <c r="AG440" s="75">
        <v>1</v>
      </c>
      <c r="AH440" s="75">
        <v>0</v>
      </c>
      <c r="AI440" s="75">
        <v>0</v>
      </c>
      <c r="AJ440" s="75">
        <v>0</v>
      </c>
      <c r="AK440" s="75">
        <v>0</v>
      </c>
      <c r="AL440" s="95">
        <v>0</v>
      </c>
      <c r="AM440" s="92">
        <v>0</v>
      </c>
      <c r="AN440" s="79" t="s">
        <v>80</v>
      </c>
      <c r="AO440" s="75">
        <v>1</v>
      </c>
      <c r="AP440" s="75" t="s">
        <v>83</v>
      </c>
      <c r="AQ440" s="122">
        <v>1</v>
      </c>
      <c r="AR440" s="515" t="s">
        <v>10</v>
      </c>
      <c r="AS440" s="95">
        <v>0</v>
      </c>
      <c r="AT440" s="75">
        <v>0</v>
      </c>
      <c r="AU440" s="75">
        <v>0</v>
      </c>
      <c r="AV440" s="75">
        <v>0</v>
      </c>
      <c r="AW440" s="123">
        <v>0</v>
      </c>
      <c r="AX440" s="516"/>
      <c r="AY440" s="75">
        <v>0</v>
      </c>
      <c r="AZ440" s="77" t="s">
        <v>131</v>
      </c>
      <c r="BA440" s="78" t="s">
        <v>131</v>
      </c>
      <c r="BB440" s="78" t="s">
        <v>132</v>
      </c>
      <c r="BC440" s="78" t="s">
        <v>131</v>
      </c>
      <c r="BD440" s="78" t="s">
        <v>131</v>
      </c>
      <c r="BE440" s="78" t="s">
        <v>131</v>
      </c>
      <c r="BF440" s="78" t="s">
        <v>131</v>
      </c>
      <c r="BG440" s="78" t="s">
        <v>131</v>
      </c>
      <c r="BH440" s="75" t="s">
        <v>5970</v>
      </c>
      <c r="BI440" s="295" t="s">
        <v>5951</v>
      </c>
      <c r="BJ440" s="546">
        <v>1</v>
      </c>
      <c r="BK440" s="294" t="s">
        <v>16</v>
      </c>
      <c r="BL440" s="157" t="s">
        <v>16</v>
      </c>
      <c r="BM440" s="548" t="s">
        <v>1343</v>
      </c>
      <c r="BN440" s="548" t="s">
        <v>4162</v>
      </c>
      <c r="BO440" s="157" t="s">
        <v>4727</v>
      </c>
      <c r="BP440" s="548" t="s">
        <v>4728</v>
      </c>
      <c r="BQ440" s="157" t="s">
        <v>4722</v>
      </c>
      <c r="BR440" s="157"/>
    </row>
    <row r="441" spans="1:70" x14ac:dyDescent="0.25">
      <c r="A441" s="19" t="s">
        <v>3686</v>
      </c>
      <c r="B441" s="37" t="s">
        <v>5754</v>
      </c>
      <c r="C441" s="90">
        <v>45363.772835648146</v>
      </c>
      <c r="D441" s="114">
        <v>45363.522835648146</v>
      </c>
      <c r="E441" s="38">
        <v>45363</v>
      </c>
      <c r="F441" s="91">
        <v>2024</v>
      </c>
      <c r="G441" s="93">
        <v>3</v>
      </c>
      <c r="H441" s="37" t="s">
        <v>2475</v>
      </c>
      <c r="I441" s="37"/>
      <c r="J441" s="103">
        <v>-89.589286241763816</v>
      </c>
      <c r="K441" s="40">
        <v>42.908291830721225</v>
      </c>
      <c r="L441" s="74"/>
      <c r="M441" s="272" t="s">
        <v>5755</v>
      </c>
      <c r="N441" s="74">
        <v>1</v>
      </c>
      <c r="O441" s="94"/>
      <c r="P441" s="118">
        <v>1</v>
      </c>
      <c r="Q441" s="510">
        <v>180</v>
      </c>
      <c r="R441" s="513">
        <v>120</v>
      </c>
      <c r="S441" s="41"/>
      <c r="T441" s="40"/>
      <c r="U441" s="40">
        <v>8</v>
      </c>
      <c r="V441" s="119">
        <v>1</v>
      </c>
      <c r="W441" s="40">
        <v>200</v>
      </c>
      <c r="X441" s="119">
        <v>1</v>
      </c>
      <c r="Y441" s="40">
        <v>53</v>
      </c>
      <c r="Z441" s="119">
        <v>1</v>
      </c>
      <c r="AA441" s="368">
        <v>0</v>
      </c>
      <c r="AB441" s="535">
        <v>2</v>
      </c>
      <c r="AC441" s="39" t="s">
        <v>160</v>
      </c>
      <c r="AD441" s="75" t="s">
        <v>10</v>
      </c>
      <c r="AE441" s="95">
        <v>0</v>
      </c>
      <c r="AF441" s="75">
        <v>0</v>
      </c>
      <c r="AG441" s="75">
        <v>0</v>
      </c>
      <c r="AH441" s="75">
        <v>0</v>
      </c>
      <c r="AI441" s="75">
        <v>0</v>
      </c>
      <c r="AJ441" s="75">
        <v>0</v>
      </c>
      <c r="AK441" s="75">
        <v>0</v>
      </c>
      <c r="AL441" s="95">
        <v>1</v>
      </c>
      <c r="AM441" s="92">
        <v>0</v>
      </c>
      <c r="AN441" s="79" t="s">
        <v>80</v>
      </c>
      <c r="AO441" s="75">
        <v>1</v>
      </c>
      <c r="AP441" s="75" t="s">
        <v>83</v>
      </c>
      <c r="AQ441" s="122">
        <v>1</v>
      </c>
      <c r="AR441" s="515" t="s">
        <v>10</v>
      </c>
      <c r="AS441" s="95">
        <v>0</v>
      </c>
      <c r="AT441" s="75">
        <v>0</v>
      </c>
      <c r="AU441" s="75">
        <v>0</v>
      </c>
      <c r="AV441" s="75">
        <v>0</v>
      </c>
      <c r="AW441" s="123">
        <v>0</v>
      </c>
      <c r="AX441" s="516"/>
      <c r="AY441" s="75">
        <v>0</v>
      </c>
      <c r="AZ441" s="77" t="s">
        <v>131</v>
      </c>
      <c r="BA441" s="78" t="s">
        <v>131</v>
      </c>
      <c r="BB441" s="78" t="s">
        <v>131</v>
      </c>
      <c r="BC441" s="78" t="s">
        <v>131</v>
      </c>
      <c r="BD441" s="78" t="s">
        <v>131</v>
      </c>
      <c r="BE441" s="78" t="s">
        <v>131</v>
      </c>
      <c r="BF441" s="78" t="s">
        <v>131</v>
      </c>
      <c r="BG441" s="78" t="s">
        <v>132</v>
      </c>
      <c r="BH441" s="75" t="s">
        <v>5970</v>
      </c>
      <c r="BI441" s="295" t="s">
        <v>5952</v>
      </c>
      <c r="BJ441" s="546">
        <v>1</v>
      </c>
      <c r="BK441" s="294">
        <v>1</v>
      </c>
      <c r="BL441" s="157">
        <v>1</v>
      </c>
      <c r="BM441" s="548" t="s">
        <v>1343</v>
      </c>
      <c r="BN441" s="548" t="s">
        <v>4162</v>
      </c>
      <c r="BO441" s="157" t="s">
        <v>4724</v>
      </c>
      <c r="BP441" s="548" t="s">
        <v>2291</v>
      </c>
      <c r="BQ441" s="157" t="s">
        <v>4722</v>
      </c>
      <c r="BR441" s="157"/>
    </row>
    <row r="442" spans="1:70" x14ac:dyDescent="0.25">
      <c r="A442" s="19" t="s">
        <v>3686</v>
      </c>
      <c r="B442" s="37" t="s">
        <v>5756</v>
      </c>
      <c r="C442" s="90">
        <v>45358.865729166668</v>
      </c>
      <c r="D442" s="114">
        <v>45358.615729166668</v>
      </c>
      <c r="E442" s="38">
        <v>45358</v>
      </c>
      <c r="F442" s="91">
        <v>2024</v>
      </c>
      <c r="G442" s="93">
        <v>3</v>
      </c>
      <c r="H442" s="37" t="s">
        <v>2475</v>
      </c>
      <c r="I442" s="37"/>
      <c r="J442" s="103">
        <v>-90.233476350240679</v>
      </c>
      <c r="K442" s="40">
        <v>42.917626772495545</v>
      </c>
      <c r="L442" s="74"/>
      <c r="M442" s="272" t="s">
        <v>5757</v>
      </c>
      <c r="N442" s="74">
        <v>1</v>
      </c>
      <c r="O442" s="94"/>
      <c r="P442" s="118">
        <v>1</v>
      </c>
      <c r="Q442" s="510">
        <v>180</v>
      </c>
      <c r="R442" s="513">
        <v>180</v>
      </c>
      <c r="S442" s="41"/>
      <c r="T442" s="40"/>
      <c r="U442" s="40">
        <v>8</v>
      </c>
      <c r="V442" s="119">
        <v>0</v>
      </c>
      <c r="W442" s="40"/>
      <c r="X442" s="119">
        <v>1</v>
      </c>
      <c r="Y442" s="40">
        <v>52</v>
      </c>
      <c r="Z442" s="119">
        <v>1</v>
      </c>
      <c r="AA442" s="368">
        <v>0</v>
      </c>
      <c r="AB442" s="535">
        <v>5</v>
      </c>
      <c r="AC442" s="39" t="s">
        <v>160</v>
      </c>
      <c r="AD442" s="75" t="s">
        <v>1663</v>
      </c>
      <c r="AE442" s="95">
        <v>0</v>
      </c>
      <c r="AF442" s="75">
        <v>1</v>
      </c>
      <c r="AG442" s="75">
        <v>0</v>
      </c>
      <c r="AH442" s="75">
        <v>0</v>
      </c>
      <c r="AI442" s="75">
        <v>0</v>
      </c>
      <c r="AJ442" s="75">
        <v>0</v>
      </c>
      <c r="AK442" s="75">
        <v>0</v>
      </c>
      <c r="AL442" s="95">
        <v>1</v>
      </c>
      <c r="AM442" s="92">
        <v>0</v>
      </c>
      <c r="AN442" s="79" t="s">
        <v>80</v>
      </c>
      <c r="AO442" s="75">
        <v>1</v>
      </c>
      <c r="AP442" s="75" t="s">
        <v>83</v>
      </c>
      <c r="AQ442" s="122">
        <v>1</v>
      </c>
      <c r="AR442" s="515" t="s">
        <v>10</v>
      </c>
      <c r="AS442" s="95">
        <v>0</v>
      </c>
      <c r="AT442" s="75">
        <v>0</v>
      </c>
      <c r="AU442" s="75">
        <v>0</v>
      </c>
      <c r="AV442" s="75">
        <v>0</v>
      </c>
      <c r="AW442" s="123">
        <v>0</v>
      </c>
      <c r="AX442" s="516"/>
      <c r="AY442" s="75">
        <v>0</v>
      </c>
      <c r="AZ442" s="77" t="s">
        <v>131</v>
      </c>
      <c r="BA442" s="78" t="s">
        <v>132</v>
      </c>
      <c r="BB442" s="78" t="s">
        <v>131</v>
      </c>
      <c r="BC442" s="78" t="s">
        <v>131</v>
      </c>
      <c r="BD442" s="78" t="s">
        <v>131</v>
      </c>
      <c r="BE442" s="78" t="s">
        <v>131</v>
      </c>
      <c r="BF442" s="78" t="s">
        <v>131</v>
      </c>
      <c r="BG442" s="78" t="s">
        <v>132</v>
      </c>
      <c r="BH442" s="75" t="s">
        <v>5970</v>
      </c>
      <c r="BI442" s="295" t="s">
        <v>4049</v>
      </c>
      <c r="BJ442" s="546" t="s">
        <v>16</v>
      </c>
      <c r="BK442" s="294" t="s">
        <v>16</v>
      </c>
      <c r="BL442" s="157" t="s">
        <v>16</v>
      </c>
      <c r="BM442" s="548" t="s">
        <v>1345</v>
      </c>
      <c r="BN442" s="548" t="s">
        <v>4162</v>
      </c>
      <c r="BO442" s="157" t="s">
        <v>4356</v>
      </c>
      <c r="BP442" s="548" t="s">
        <v>4357</v>
      </c>
      <c r="BQ442" s="157" t="s">
        <v>4350</v>
      </c>
      <c r="BR442" s="157"/>
    </row>
    <row r="443" spans="1:70" x14ac:dyDescent="0.25">
      <c r="A443" s="19" t="s">
        <v>3686</v>
      </c>
      <c r="B443" s="37" t="s">
        <v>5758</v>
      </c>
      <c r="C443" s="90">
        <v>45358.856724537036</v>
      </c>
      <c r="D443" s="114">
        <v>45358.606724537036</v>
      </c>
      <c r="E443" s="38">
        <v>45358</v>
      </c>
      <c r="F443" s="91">
        <v>2024</v>
      </c>
      <c r="G443" s="93">
        <v>3</v>
      </c>
      <c r="H443" s="37" t="s">
        <v>2475</v>
      </c>
      <c r="I443" s="37"/>
      <c r="J443" s="103">
        <v>-90.232896554976861</v>
      </c>
      <c r="K443" s="40">
        <v>42.916094335245774</v>
      </c>
      <c r="L443" s="74"/>
      <c r="M443" s="272" t="s">
        <v>5759</v>
      </c>
      <c r="N443" s="74">
        <v>1</v>
      </c>
      <c r="O443" s="94"/>
      <c r="P443" s="118">
        <v>1</v>
      </c>
      <c r="Q443" s="510">
        <v>40</v>
      </c>
      <c r="R443" s="513">
        <v>0</v>
      </c>
      <c r="S443" s="41"/>
      <c r="T443" s="40"/>
      <c r="U443" s="40">
        <v>7</v>
      </c>
      <c r="V443" s="119">
        <v>0</v>
      </c>
      <c r="W443" s="40"/>
      <c r="X443" s="119">
        <v>1</v>
      </c>
      <c r="Y443" s="40">
        <v>52</v>
      </c>
      <c r="Z443" s="119">
        <v>1</v>
      </c>
      <c r="AA443" s="368">
        <v>0</v>
      </c>
      <c r="AB443" s="535">
        <v>5</v>
      </c>
      <c r="AC443" s="39" t="s">
        <v>160</v>
      </c>
      <c r="AD443" s="75" t="s">
        <v>365</v>
      </c>
      <c r="AE443" s="95">
        <v>0</v>
      </c>
      <c r="AF443" s="75">
        <v>1</v>
      </c>
      <c r="AG443" s="75">
        <v>1</v>
      </c>
      <c r="AH443" s="75">
        <v>0</v>
      </c>
      <c r="AI443" s="75">
        <v>0</v>
      </c>
      <c r="AJ443" s="75">
        <v>0</v>
      </c>
      <c r="AK443" s="75">
        <v>0</v>
      </c>
      <c r="AL443" s="95">
        <v>0</v>
      </c>
      <c r="AM443" s="92">
        <v>0</v>
      </c>
      <c r="AN443" s="79" t="s">
        <v>80</v>
      </c>
      <c r="AO443" s="75">
        <v>1</v>
      </c>
      <c r="AP443" s="75" t="s">
        <v>83</v>
      </c>
      <c r="AQ443" s="122">
        <v>1</v>
      </c>
      <c r="AR443" s="515" t="s">
        <v>10</v>
      </c>
      <c r="AS443" s="95">
        <v>0</v>
      </c>
      <c r="AT443" s="75">
        <v>0</v>
      </c>
      <c r="AU443" s="75">
        <v>0</v>
      </c>
      <c r="AV443" s="75">
        <v>0</v>
      </c>
      <c r="AW443" s="123">
        <v>0</v>
      </c>
      <c r="AX443" s="516" t="s">
        <v>5760</v>
      </c>
      <c r="AY443" s="75">
        <v>1</v>
      </c>
      <c r="AZ443" s="77" t="s">
        <v>131</v>
      </c>
      <c r="BA443" s="78" t="s">
        <v>132</v>
      </c>
      <c r="BB443" s="78" t="s">
        <v>132</v>
      </c>
      <c r="BC443" s="78" t="s">
        <v>131</v>
      </c>
      <c r="BD443" s="78" t="s">
        <v>131</v>
      </c>
      <c r="BE443" s="78" t="s">
        <v>131</v>
      </c>
      <c r="BF443" s="78" t="s">
        <v>131</v>
      </c>
      <c r="BG443" s="78" t="s">
        <v>131</v>
      </c>
      <c r="BH443" s="75" t="s">
        <v>5970</v>
      </c>
      <c r="BI443" s="295" t="s">
        <v>16</v>
      </c>
      <c r="BJ443" s="546" t="s">
        <v>16</v>
      </c>
      <c r="BK443" s="294" t="s">
        <v>16</v>
      </c>
      <c r="BL443" s="157" t="s">
        <v>16</v>
      </c>
      <c r="BM443" s="548" t="s">
        <v>1345</v>
      </c>
      <c r="BN443" s="548" t="s">
        <v>4162</v>
      </c>
      <c r="BO443" s="157" t="s">
        <v>4356</v>
      </c>
      <c r="BP443" s="548" t="s">
        <v>4357</v>
      </c>
      <c r="BQ443" s="157" t="s">
        <v>4350</v>
      </c>
      <c r="BR443" s="157"/>
    </row>
    <row r="444" spans="1:70" x14ac:dyDescent="0.25">
      <c r="A444" s="19" t="s">
        <v>3686</v>
      </c>
      <c r="B444" s="37" t="s">
        <v>5761</v>
      </c>
      <c r="C444" s="90">
        <v>45358.851111111115</v>
      </c>
      <c r="D444" s="114">
        <v>45358.601111111115</v>
      </c>
      <c r="E444" s="38">
        <v>45358</v>
      </c>
      <c r="F444" s="91">
        <v>2024</v>
      </c>
      <c r="G444" s="93">
        <v>3</v>
      </c>
      <c r="H444" s="37" t="s">
        <v>2475</v>
      </c>
      <c r="I444" s="37"/>
      <c r="J444" s="103">
        <v>-90.230914411480725</v>
      </c>
      <c r="K444" s="40">
        <v>42.916035732126517</v>
      </c>
      <c r="L444" s="74"/>
      <c r="M444" s="272" t="s">
        <v>5762</v>
      </c>
      <c r="N444" s="74">
        <v>1</v>
      </c>
      <c r="O444" s="94"/>
      <c r="P444" s="118">
        <v>1</v>
      </c>
      <c r="Q444" s="510">
        <v>180</v>
      </c>
      <c r="R444" s="513">
        <v>180</v>
      </c>
      <c r="S444" s="41"/>
      <c r="T444" s="40"/>
      <c r="U444" s="40">
        <v>8</v>
      </c>
      <c r="V444" s="119">
        <v>0</v>
      </c>
      <c r="W444" s="40"/>
      <c r="X444" s="119">
        <v>1</v>
      </c>
      <c r="Y444" s="40">
        <v>53</v>
      </c>
      <c r="Z444" s="119">
        <v>1</v>
      </c>
      <c r="AA444" s="368">
        <v>0</v>
      </c>
      <c r="AB444" s="535">
        <v>5</v>
      </c>
      <c r="AC444" s="39" t="s">
        <v>160</v>
      </c>
      <c r="AD444" s="75" t="s">
        <v>10</v>
      </c>
      <c r="AE444" s="95">
        <v>0</v>
      </c>
      <c r="AF444" s="75">
        <v>0</v>
      </c>
      <c r="AG444" s="75">
        <v>0</v>
      </c>
      <c r="AH444" s="75">
        <v>0</v>
      </c>
      <c r="AI444" s="75">
        <v>0</v>
      </c>
      <c r="AJ444" s="75">
        <v>0</v>
      </c>
      <c r="AK444" s="75">
        <v>0</v>
      </c>
      <c r="AL444" s="95">
        <v>1</v>
      </c>
      <c r="AM444" s="92">
        <v>0</v>
      </c>
      <c r="AN444" s="79" t="s">
        <v>80</v>
      </c>
      <c r="AO444" s="75">
        <v>1</v>
      </c>
      <c r="AP444" s="75" t="s">
        <v>83</v>
      </c>
      <c r="AQ444" s="122">
        <v>1</v>
      </c>
      <c r="AR444" s="515" t="s">
        <v>10</v>
      </c>
      <c r="AS444" s="95">
        <v>0</v>
      </c>
      <c r="AT444" s="75">
        <v>0</v>
      </c>
      <c r="AU444" s="75">
        <v>0</v>
      </c>
      <c r="AV444" s="75">
        <v>0</v>
      </c>
      <c r="AW444" s="123">
        <v>0</v>
      </c>
      <c r="AX444" s="516"/>
      <c r="AY444" s="75">
        <v>0</v>
      </c>
      <c r="AZ444" s="77" t="s">
        <v>131</v>
      </c>
      <c r="BA444" s="78" t="s">
        <v>131</v>
      </c>
      <c r="BB444" s="78" t="s">
        <v>131</v>
      </c>
      <c r="BC444" s="78" t="s">
        <v>131</v>
      </c>
      <c r="BD444" s="78" t="s">
        <v>131</v>
      </c>
      <c r="BE444" s="78" t="s">
        <v>131</v>
      </c>
      <c r="BF444" s="78" t="s">
        <v>131</v>
      </c>
      <c r="BG444" s="78" t="s">
        <v>132</v>
      </c>
      <c r="BH444" s="75" t="s">
        <v>5970</v>
      </c>
      <c r="BI444" s="295" t="s">
        <v>4049</v>
      </c>
      <c r="BJ444" s="546" t="s">
        <v>16</v>
      </c>
      <c r="BK444" s="294" t="s">
        <v>16</v>
      </c>
      <c r="BL444" s="157" t="s">
        <v>16</v>
      </c>
      <c r="BM444" s="548" t="s">
        <v>1345</v>
      </c>
      <c r="BN444" s="548" t="s">
        <v>4162</v>
      </c>
      <c r="BO444" s="157" t="s">
        <v>4356</v>
      </c>
      <c r="BP444" s="548" t="s">
        <v>4357</v>
      </c>
      <c r="BQ444" s="157" t="s">
        <v>4350</v>
      </c>
      <c r="BR444" s="157"/>
    </row>
    <row r="445" spans="1:70" x14ac:dyDescent="0.25">
      <c r="A445" s="19" t="s">
        <v>3686</v>
      </c>
      <c r="B445" s="37" t="s">
        <v>5763</v>
      </c>
      <c r="C445" s="90">
        <v>45358.838136574072</v>
      </c>
      <c r="D445" s="114">
        <v>45358.588136574072</v>
      </c>
      <c r="E445" s="38">
        <v>45358</v>
      </c>
      <c r="F445" s="91">
        <v>2024</v>
      </c>
      <c r="G445" s="93">
        <v>3</v>
      </c>
      <c r="H445" s="37" t="s">
        <v>2475</v>
      </c>
      <c r="I445" s="37"/>
      <c r="J445" s="103">
        <v>-90.226678699381367</v>
      </c>
      <c r="K445" s="40">
        <v>42.918966795707831</v>
      </c>
      <c r="L445" s="74"/>
      <c r="M445" s="272" t="s">
        <v>5764</v>
      </c>
      <c r="N445" s="74">
        <v>1</v>
      </c>
      <c r="O445" s="94"/>
      <c r="P445" s="118">
        <v>1</v>
      </c>
      <c r="Q445" s="510">
        <v>180</v>
      </c>
      <c r="R445" s="513">
        <v>180</v>
      </c>
      <c r="S445" s="41"/>
      <c r="T445" s="40"/>
      <c r="U445" s="40">
        <v>8</v>
      </c>
      <c r="V445" s="119">
        <v>0</v>
      </c>
      <c r="W445" s="40"/>
      <c r="X445" s="119">
        <v>1</v>
      </c>
      <c r="Y445" s="40">
        <v>57</v>
      </c>
      <c r="Z445" s="119">
        <v>1</v>
      </c>
      <c r="AA445" s="368">
        <v>0</v>
      </c>
      <c r="AB445" s="535">
        <v>2</v>
      </c>
      <c r="AC445" s="39" t="s">
        <v>160</v>
      </c>
      <c r="AD445" s="75" t="s">
        <v>8</v>
      </c>
      <c r="AE445" s="95">
        <v>0</v>
      </c>
      <c r="AF445" s="75">
        <v>1</v>
      </c>
      <c r="AG445" s="75">
        <v>0</v>
      </c>
      <c r="AH445" s="75">
        <v>0</v>
      </c>
      <c r="AI445" s="75">
        <v>0</v>
      </c>
      <c r="AJ445" s="75">
        <v>0</v>
      </c>
      <c r="AK445" s="75">
        <v>0</v>
      </c>
      <c r="AL445" s="95">
        <v>0</v>
      </c>
      <c r="AM445" s="92">
        <v>0</v>
      </c>
      <c r="AN445" s="79" t="s">
        <v>80</v>
      </c>
      <c r="AO445" s="75">
        <v>1</v>
      </c>
      <c r="AP445" s="75" t="s">
        <v>83</v>
      </c>
      <c r="AQ445" s="122">
        <v>1</v>
      </c>
      <c r="AR445" s="515" t="s">
        <v>10</v>
      </c>
      <c r="AS445" s="95">
        <v>0</v>
      </c>
      <c r="AT445" s="75">
        <v>0</v>
      </c>
      <c r="AU445" s="75">
        <v>0</v>
      </c>
      <c r="AV445" s="75">
        <v>0</v>
      </c>
      <c r="AW445" s="123">
        <v>0</v>
      </c>
      <c r="AX445" s="516"/>
      <c r="AY445" s="75">
        <v>0</v>
      </c>
      <c r="AZ445" s="77" t="s">
        <v>131</v>
      </c>
      <c r="BA445" s="78" t="s">
        <v>132</v>
      </c>
      <c r="BB445" s="78" t="s">
        <v>131</v>
      </c>
      <c r="BC445" s="78" t="s">
        <v>131</v>
      </c>
      <c r="BD445" s="78" t="s">
        <v>131</v>
      </c>
      <c r="BE445" s="78" t="s">
        <v>131</v>
      </c>
      <c r="BF445" s="78" t="s">
        <v>131</v>
      </c>
      <c r="BG445" s="78" t="s">
        <v>131</v>
      </c>
      <c r="BH445" s="75" t="s">
        <v>5970</v>
      </c>
      <c r="BI445" s="295">
        <v>0</v>
      </c>
      <c r="BJ445" s="546" t="s">
        <v>16</v>
      </c>
      <c r="BK445" s="294" t="s">
        <v>16</v>
      </c>
      <c r="BL445" s="157" t="s">
        <v>16</v>
      </c>
      <c r="BM445" s="548" t="s">
        <v>1345</v>
      </c>
      <c r="BN445" s="548" t="s">
        <v>4162</v>
      </c>
      <c r="BO445" s="157" t="s">
        <v>4356</v>
      </c>
      <c r="BP445" s="548" t="s">
        <v>4357</v>
      </c>
      <c r="BQ445" s="157" t="s">
        <v>4350</v>
      </c>
      <c r="BR445" s="157"/>
    </row>
    <row r="446" spans="1:70" x14ac:dyDescent="0.25">
      <c r="A446" s="19" t="s">
        <v>3686</v>
      </c>
      <c r="B446" s="37" t="s">
        <v>5765</v>
      </c>
      <c r="C446" s="90">
        <v>45358.774027777778</v>
      </c>
      <c r="D446" s="114">
        <v>45358.524027777778</v>
      </c>
      <c r="E446" s="38">
        <v>45358</v>
      </c>
      <c r="F446" s="91">
        <v>2024</v>
      </c>
      <c r="G446" s="93">
        <v>3</v>
      </c>
      <c r="H446" s="37" t="s">
        <v>2475</v>
      </c>
      <c r="I446" s="37"/>
      <c r="J446" s="103">
        <v>-90.234643526877463</v>
      </c>
      <c r="K446" s="40">
        <v>42.938042135748432</v>
      </c>
      <c r="L446" s="74"/>
      <c r="M446" s="272" t="s">
        <v>5766</v>
      </c>
      <c r="N446" s="74">
        <v>1</v>
      </c>
      <c r="O446" s="94"/>
      <c r="P446" s="118">
        <v>1</v>
      </c>
      <c r="Q446" s="510">
        <v>180</v>
      </c>
      <c r="R446" s="513">
        <v>120</v>
      </c>
      <c r="S446" s="41"/>
      <c r="T446" s="40"/>
      <c r="U446" s="40">
        <v>8</v>
      </c>
      <c r="V446" s="119">
        <v>0</v>
      </c>
      <c r="W446" s="40"/>
      <c r="X446" s="119">
        <v>1</v>
      </c>
      <c r="Y446" s="40">
        <v>51</v>
      </c>
      <c r="Z446" s="119">
        <v>1</v>
      </c>
      <c r="AA446" s="368">
        <v>0</v>
      </c>
      <c r="AB446" s="535">
        <v>2</v>
      </c>
      <c r="AC446" s="39" t="s">
        <v>160</v>
      </c>
      <c r="AD446" s="75" t="s">
        <v>365</v>
      </c>
      <c r="AE446" s="95">
        <v>0</v>
      </c>
      <c r="AF446" s="75">
        <v>1</v>
      </c>
      <c r="AG446" s="75">
        <v>1</v>
      </c>
      <c r="AH446" s="75">
        <v>0</v>
      </c>
      <c r="AI446" s="75">
        <v>0</v>
      </c>
      <c r="AJ446" s="75">
        <v>0</v>
      </c>
      <c r="AK446" s="75">
        <v>0</v>
      </c>
      <c r="AL446" s="95">
        <v>0</v>
      </c>
      <c r="AM446" s="92">
        <v>0</v>
      </c>
      <c r="AN446" s="79" t="s">
        <v>80</v>
      </c>
      <c r="AO446" s="75">
        <v>1</v>
      </c>
      <c r="AP446" s="75" t="s">
        <v>83</v>
      </c>
      <c r="AQ446" s="122">
        <v>1</v>
      </c>
      <c r="AR446" s="515" t="s">
        <v>10</v>
      </c>
      <c r="AS446" s="95">
        <v>0</v>
      </c>
      <c r="AT446" s="75">
        <v>0</v>
      </c>
      <c r="AU446" s="75">
        <v>0</v>
      </c>
      <c r="AV446" s="75">
        <v>0</v>
      </c>
      <c r="AW446" s="123">
        <v>0</v>
      </c>
      <c r="AX446" s="516" t="s">
        <v>5767</v>
      </c>
      <c r="AY446" s="75">
        <v>1</v>
      </c>
      <c r="AZ446" s="77" t="s">
        <v>131</v>
      </c>
      <c r="BA446" s="78" t="s">
        <v>132</v>
      </c>
      <c r="BB446" s="78" t="s">
        <v>132</v>
      </c>
      <c r="BC446" s="78" t="s">
        <v>131</v>
      </c>
      <c r="BD446" s="78" t="s">
        <v>131</v>
      </c>
      <c r="BE446" s="78" t="s">
        <v>131</v>
      </c>
      <c r="BF446" s="78" t="s">
        <v>131</v>
      </c>
      <c r="BG446" s="78" t="s">
        <v>131</v>
      </c>
      <c r="BH446" s="75" t="s">
        <v>5970</v>
      </c>
      <c r="BI446" s="295" t="s">
        <v>4049</v>
      </c>
      <c r="BJ446" s="546" t="s">
        <v>16</v>
      </c>
      <c r="BK446" s="294" t="s">
        <v>16</v>
      </c>
      <c r="BL446" s="157" t="s">
        <v>16</v>
      </c>
      <c r="BM446" s="548" t="s">
        <v>1345</v>
      </c>
      <c r="BN446" s="548" t="s">
        <v>4162</v>
      </c>
      <c r="BO446" s="157" t="s">
        <v>4356</v>
      </c>
      <c r="BP446" s="548" t="s">
        <v>4357</v>
      </c>
      <c r="BQ446" s="157" t="s">
        <v>4350</v>
      </c>
      <c r="BR446" s="157"/>
    </row>
    <row r="447" spans="1:70" x14ac:dyDescent="0.25">
      <c r="A447" s="19" t="s">
        <v>3686</v>
      </c>
      <c r="B447" s="37" t="s">
        <v>5768</v>
      </c>
      <c r="C447" s="90">
        <v>45358.753333333334</v>
      </c>
      <c r="D447" s="114">
        <v>45358.503333333334</v>
      </c>
      <c r="E447" s="38">
        <v>45358</v>
      </c>
      <c r="F447" s="91">
        <v>2024</v>
      </c>
      <c r="G447" s="93">
        <v>3</v>
      </c>
      <c r="H447" s="37" t="s">
        <v>2475</v>
      </c>
      <c r="I447" s="37"/>
      <c r="J447" s="103">
        <v>-90.219043478891024</v>
      </c>
      <c r="K447" s="40">
        <v>42.962294906577817</v>
      </c>
      <c r="L447" s="74"/>
      <c r="M447" s="272" t="s">
        <v>5769</v>
      </c>
      <c r="N447" s="74">
        <v>1</v>
      </c>
      <c r="O447" s="94"/>
      <c r="P447" s="118">
        <v>1</v>
      </c>
      <c r="Q447" s="510">
        <v>180</v>
      </c>
      <c r="R447" s="513">
        <v>120</v>
      </c>
      <c r="S447" s="41"/>
      <c r="T447" s="40"/>
      <c r="U447" s="40">
        <v>7</v>
      </c>
      <c r="V447" s="119">
        <v>0</v>
      </c>
      <c r="W447" s="40"/>
      <c r="X447" s="119">
        <v>1</v>
      </c>
      <c r="Y447" s="40">
        <v>51</v>
      </c>
      <c r="Z447" s="119">
        <v>1</v>
      </c>
      <c r="AA447" s="368">
        <v>0</v>
      </c>
      <c r="AB447" s="535">
        <v>5</v>
      </c>
      <c r="AC447" s="39" t="s">
        <v>160</v>
      </c>
      <c r="AD447" s="75" t="s">
        <v>10</v>
      </c>
      <c r="AE447" s="95">
        <v>0</v>
      </c>
      <c r="AF447" s="75">
        <v>0</v>
      </c>
      <c r="AG447" s="75">
        <v>0</v>
      </c>
      <c r="AH447" s="75">
        <v>0</v>
      </c>
      <c r="AI447" s="75">
        <v>0</v>
      </c>
      <c r="AJ447" s="75">
        <v>0</v>
      </c>
      <c r="AK447" s="75">
        <v>0</v>
      </c>
      <c r="AL447" s="95">
        <v>1</v>
      </c>
      <c r="AM447" s="92">
        <v>0</v>
      </c>
      <c r="AN447" s="79" t="s">
        <v>80</v>
      </c>
      <c r="AO447" s="75">
        <v>1</v>
      </c>
      <c r="AP447" s="75" t="s">
        <v>83</v>
      </c>
      <c r="AQ447" s="122">
        <v>1</v>
      </c>
      <c r="AR447" s="515" t="s">
        <v>10</v>
      </c>
      <c r="AS447" s="95">
        <v>0</v>
      </c>
      <c r="AT447" s="75">
        <v>0</v>
      </c>
      <c r="AU447" s="75">
        <v>0</v>
      </c>
      <c r="AV447" s="75">
        <v>0</v>
      </c>
      <c r="AW447" s="123">
        <v>0</v>
      </c>
      <c r="AX447" s="516" t="s">
        <v>5770</v>
      </c>
      <c r="AY447" s="75">
        <v>1</v>
      </c>
      <c r="AZ447" s="77" t="s">
        <v>131</v>
      </c>
      <c r="BA447" s="78" t="s">
        <v>131</v>
      </c>
      <c r="BB447" s="78" t="s">
        <v>131</v>
      </c>
      <c r="BC447" s="78" t="s">
        <v>131</v>
      </c>
      <c r="BD447" s="78" t="s">
        <v>131</v>
      </c>
      <c r="BE447" s="78" t="s">
        <v>131</v>
      </c>
      <c r="BF447" s="78" t="s">
        <v>131</v>
      </c>
      <c r="BG447" s="78" t="s">
        <v>132</v>
      </c>
      <c r="BH447" s="75" t="s">
        <v>5970</v>
      </c>
      <c r="BI447" s="295" t="s">
        <v>4049</v>
      </c>
      <c r="BJ447" s="546" t="s">
        <v>16</v>
      </c>
      <c r="BK447" s="294" t="s">
        <v>16</v>
      </c>
      <c r="BL447" s="157" t="s">
        <v>16</v>
      </c>
      <c r="BM447" s="548" t="s">
        <v>1345</v>
      </c>
      <c r="BN447" s="548" t="s">
        <v>4162</v>
      </c>
      <c r="BO447" s="157" t="s">
        <v>4356</v>
      </c>
      <c r="BP447" s="548" t="s">
        <v>4357</v>
      </c>
      <c r="BQ447" s="157" t="s">
        <v>4350</v>
      </c>
      <c r="BR447" s="157"/>
    </row>
    <row r="448" spans="1:70" x14ac:dyDescent="0.25">
      <c r="A448" s="19" t="s">
        <v>3686</v>
      </c>
      <c r="B448" s="37" t="s">
        <v>5771</v>
      </c>
      <c r="C448" s="90">
        <v>45354.7578125</v>
      </c>
      <c r="D448" s="114">
        <v>45354.5078125</v>
      </c>
      <c r="E448" s="38">
        <v>45354</v>
      </c>
      <c r="F448" s="91">
        <v>2024</v>
      </c>
      <c r="G448" s="93">
        <v>3</v>
      </c>
      <c r="H448" s="37" t="s">
        <v>2475</v>
      </c>
      <c r="I448" s="37"/>
      <c r="J448" s="103">
        <v>-90.355719504962082</v>
      </c>
      <c r="K448" s="40">
        <v>43.49865391388861</v>
      </c>
      <c r="L448" s="74"/>
      <c r="M448" s="272" t="s">
        <v>16</v>
      </c>
      <c r="N448" s="74">
        <v>0</v>
      </c>
      <c r="O448" s="94"/>
      <c r="P448" s="118">
        <v>1</v>
      </c>
      <c r="Q448" s="510">
        <v>120</v>
      </c>
      <c r="R448" s="513">
        <v>120</v>
      </c>
      <c r="S448" s="41"/>
      <c r="T448" s="40"/>
      <c r="U448" s="40">
        <v>8</v>
      </c>
      <c r="V448" s="119">
        <v>1</v>
      </c>
      <c r="W448" s="40">
        <v>100</v>
      </c>
      <c r="X448" s="119">
        <v>1</v>
      </c>
      <c r="Y448" s="40">
        <v>48</v>
      </c>
      <c r="Z448" s="119">
        <v>1</v>
      </c>
      <c r="AA448" s="368">
        <v>0</v>
      </c>
      <c r="AB448" s="535">
        <v>1</v>
      </c>
      <c r="AC448" s="39" t="s">
        <v>160</v>
      </c>
      <c r="AD448" s="75" t="s">
        <v>10</v>
      </c>
      <c r="AE448" s="95">
        <v>0</v>
      </c>
      <c r="AF448" s="75">
        <v>0</v>
      </c>
      <c r="AG448" s="75">
        <v>0</v>
      </c>
      <c r="AH448" s="75">
        <v>0</v>
      </c>
      <c r="AI448" s="75">
        <v>0</v>
      </c>
      <c r="AJ448" s="75">
        <v>0</v>
      </c>
      <c r="AK448" s="75">
        <v>0</v>
      </c>
      <c r="AL448" s="95">
        <v>1</v>
      </c>
      <c r="AM448" s="92">
        <v>0</v>
      </c>
      <c r="AN448" s="79" t="s">
        <v>80</v>
      </c>
      <c r="AO448" s="75">
        <v>1</v>
      </c>
      <c r="AP448" s="75" t="s">
        <v>83</v>
      </c>
      <c r="AQ448" s="122">
        <v>1</v>
      </c>
      <c r="AR448" s="515" t="s">
        <v>10</v>
      </c>
      <c r="AS448" s="95">
        <v>0</v>
      </c>
      <c r="AT448" s="75">
        <v>0</v>
      </c>
      <c r="AU448" s="75">
        <v>0</v>
      </c>
      <c r="AV448" s="75">
        <v>0</v>
      </c>
      <c r="AW448" s="123">
        <v>0</v>
      </c>
      <c r="AX448" s="516" t="s">
        <v>5772</v>
      </c>
      <c r="AY448" s="75">
        <v>1</v>
      </c>
      <c r="AZ448" s="77" t="s">
        <v>131</v>
      </c>
      <c r="BA448" s="78" t="s">
        <v>131</v>
      </c>
      <c r="BB448" s="78" t="s">
        <v>131</v>
      </c>
      <c r="BC448" s="78" t="s">
        <v>131</v>
      </c>
      <c r="BD448" s="78" t="s">
        <v>131</v>
      </c>
      <c r="BE448" s="78" t="s">
        <v>131</v>
      </c>
      <c r="BF448" s="78" t="s">
        <v>131</v>
      </c>
      <c r="BG448" s="78" t="s">
        <v>132</v>
      </c>
      <c r="BH448" s="75" t="s">
        <v>5970</v>
      </c>
      <c r="BI448" s="295" t="s">
        <v>4074</v>
      </c>
      <c r="BJ448" s="546">
        <v>1</v>
      </c>
      <c r="BK448" s="294">
        <v>1</v>
      </c>
      <c r="BL448" s="157">
        <v>1</v>
      </c>
      <c r="BM448" s="548" t="s">
        <v>1342</v>
      </c>
      <c r="BN448" s="548" t="s">
        <v>4162</v>
      </c>
      <c r="BO448" s="157" t="s">
        <v>4399</v>
      </c>
      <c r="BP448" s="548" t="s">
        <v>4400</v>
      </c>
      <c r="BQ448" s="157" t="s">
        <v>4392</v>
      </c>
      <c r="BR448" s="157"/>
    </row>
    <row r="449" spans="1:70" x14ac:dyDescent="0.25">
      <c r="A449" s="19" t="s">
        <v>3686</v>
      </c>
      <c r="B449" s="37" t="s">
        <v>5773</v>
      </c>
      <c r="C449" s="90">
        <v>45342.792268518519</v>
      </c>
      <c r="D449" s="114">
        <v>45342.542268518519</v>
      </c>
      <c r="E449" s="38">
        <v>45342</v>
      </c>
      <c r="F449" s="91">
        <v>2024</v>
      </c>
      <c r="G449" s="93">
        <v>2</v>
      </c>
      <c r="H449" s="37" t="s">
        <v>2475</v>
      </c>
      <c r="I449" s="37"/>
      <c r="J449" s="103">
        <v>-91.068734015364925</v>
      </c>
      <c r="K449" s="40">
        <v>42.843158186127766</v>
      </c>
      <c r="L449" s="74"/>
      <c r="M449" s="272" t="s">
        <v>5774</v>
      </c>
      <c r="N449" s="74">
        <v>1</v>
      </c>
      <c r="O449" s="94"/>
      <c r="P449" s="118">
        <v>1</v>
      </c>
      <c r="Q449" s="510">
        <v>180</v>
      </c>
      <c r="R449" s="513">
        <v>180</v>
      </c>
      <c r="S449" s="41"/>
      <c r="T449" s="40"/>
      <c r="U449" s="40">
        <v>7.5</v>
      </c>
      <c r="V449" s="119">
        <v>1</v>
      </c>
      <c r="W449" s="40">
        <v>100</v>
      </c>
      <c r="X449" s="119">
        <v>1</v>
      </c>
      <c r="Y449" s="40">
        <v>43</v>
      </c>
      <c r="Z449" s="119">
        <v>1</v>
      </c>
      <c r="AA449" s="368">
        <v>0</v>
      </c>
      <c r="AB449" s="535">
        <v>2</v>
      </c>
      <c r="AC449" s="39" t="s">
        <v>160</v>
      </c>
      <c r="AD449" s="75" t="s">
        <v>8</v>
      </c>
      <c r="AE449" s="95">
        <v>0</v>
      </c>
      <c r="AF449" s="75">
        <v>1</v>
      </c>
      <c r="AG449" s="75">
        <v>0</v>
      </c>
      <c r="AH449" s="75">
        <v>0</v>
      </c>
      <c r="AI449" s="75">
        <v>0</v>
      </c>
      <c r="AJ449" s="75">
        <v>0</v>
      </c>
      <c r="AK449" s="75">
        <v>0</v>
      </c>
      <c r="AL449" s="95">
        <v>0</v>
      </c>
      <c r="AM449" s="92">
        <v>0</v>
      </c>
      <c r="AN449" s="79" t="s">
        <v>80</v>
      </c>
      <c r="AO449" s="75">
        <v>1</v>
      </c>
      <c r="AP449" s="75" t="s">
        <v>83</v>
      </c>
      <c r="AQ449" s="122">
        <v>1</v>
      </c>
      <c r="AR449" s="515" t="s">
        <v>10</v>
      </c>
      <c r="AS449" s="95">
        <v>0</v>
      </c>
      <c r="AT449" s="75">
        <v>0</v>
      </c>
      <c r="AU449" s="75">
        <v>0</v>
      </c>
      <c r="AV449" s="75">
        <v>0</v>
      </c>
      <c r="AW449" s="123">
        <v>0</v>
      </c>
      <c r="AX449" s="516"/>
      <c r="AY449" s="75">
        <v>0</v>
      </c>
      <c r="AZ449" s="77" t="s">
        <v>131</v>
      </c>
      <c r="BA449" s="78" t="s">
        <v>132</v>
      </c>
      <c r="BB449" s="78" t="s">
        <v>131</v>
      </c>
      <c r="BC449" s="78" t="s">
        <v>131</v>
      </c>
      <c r="BD449" s="78" t="s">
        <v>131</v>
      </c>
      <c r="BE449" s="78" t="s">
        <v>131</v>
      </c>
      <c r="BF449" s="78" t="s">
        <v>131</v>
      </c>
      <c r="BG449" s="78" t="s">
        <v>131</v>
      </c>
      <c r="BH449" s="75" t="s">
        <v>5970</v>
      </c>
      <c r="BI449" s="295" t="s">
        <v>5949</v>
      </c>
      <c r="BJ449" s="546">
        <v>1</v>
      </c>
      <c r="BK449" s="294" t="s">
        <v>16</v>
      </c>
      <c r="BL449" s="157" t="s">
        <v>16</v>
      </c>
      <c r="BM449" s="548" t="s">
        <v>1345</v>
      </c>
      <c r="BN449" s="548" t="s">
        <v>4162</v>
      </c>
      <c r="BO449" s="157" t="s">
        <v>4551</v>
      </c>
      <c r="BP449" s="548" t="s">
        <v>5928</v>
      </c>
      <c r="BQ449" s="157" t="s">
        <v>4503</v>
      </c>
      <c r="BR449" s="157"/>
    </row>
    <row r="450" spans="1:70" x14ac:dyDescent="0.25">
      <c r="A450" s="19" t="s">
        <v>3686</v>
      </c>
      <c r="B450" s="37" t="s">
        <v>5775</v>
      </c>
      <c r="C450" s="90">
        <v>45267.869733796295</v>
      </c>
      <c r="D450" s="114">
        <v>45267.619733796295</v>
      </c>
      <c r="E450" s="38">
        <v>45267</v>
      </c>
      <c r="F450" s="91">
        <v>2023</v>
      </c>
      <c r="G450" s="93">
        <v>12</v>
      </c>
      <c r="H450" s="37" t="s">
        <v>2639</v>
      </c>
      <c r="I450" s="37" t="s">
        <v>16</v>
      </c>
      <c r="J450" s="103">
        <v>-91.759515975319943</v>
      </c>
      <c r="K450" s="40">
        <v>43.289632734593695</v>
      </c>
      <c r="L450" s="74"/>
      <c r="M450" s="272" t="s">
        <v>16</v>
      </c>
      <c r="N450" s="74">
        <v>0</v>
      </c>
      <c r="O450" s="94"/>
      <c r="P450" s="118">
        <v>1</v>
      </c>
      <c r="Q450" s="510">
        <v>180</v>
      </c>
      <c r="R450" s="513">
        <v>120</v>
      </c>
      <c r="S450" s="41"/>
      <c r="T450" s="40"/>
      <c r="U450" s="40">
        <v>7.5</v>
      </c>
      <c r="V450" s="119">
        <v>1</v>
      </c>
      <c r="W450" s="40">
        <v>200</v>
      </c>
      <c r="X450" s="119">
        <v>1</v>
      </c>
      <c r="Y450" s="40">
        <v>48</v>
      </c>
      <c r="Z450" s="119">
        <v>0</v>
      </c>
      <c r="AA450" s="368" t="s">
        <v>16</v>
      </c>
      <c r="AB450" s="535" t="s">
        <v>16</v>
      </c>
      <c r="AC450" s="39" t="s">
        <v>160</v>
      </c>
      <c r="AD450" s="75" t="s">
        <v>10</v>
      </c>
      <c r="AE450" s="95">
        <v>0</v>
      </c>
      <c r="AF450" s="75">
        <v>0</v>
      </c>
      <c r="AG450" s="75">
        <v>0</v>
      </c>
      <c r="AH450" s="75">
        <v>0</v>
      </c>
      <c r="AI450" s="75">
        <v>0</v>
      </c>
      <c r="AJ450" s="75">
        <v>0</v>
      </c>
      <c r="AK450" s="75">
        <v>0</v>
      </c>
      <c r="AL450" s="95">
        <v>1</v>
      </c>
      <c r="AM450" s="92">
        <v>0</v>
      </c>
      <c r="AN450" s="79" t="s">
        <v>80</v>
      </c>
      <c r="AO450" s="75">
        <v>1</v>
      </c>
      <c r="AP450" s="75" t="s">
        <v>83</v>
      </c>
      <c r="AQ450" s="122">
        <v>1</v>
      </c>
      <c r="AR450" s="515" t="s">
        <v>10</v>
      </c>
      <c r="AS450" s="95">
        <v>0</v>
      </c>
      <c r="AT450" s="75">
        <v>0</v>
      </c>
      <c r="AU450" s="75">
        <v>0</v>
      </c>
      <c r="AV450" s="75">
        <v>0</v>
      </c>
      <c r="AW450" s="123">
        <v>0</v>
      </c>
      <c r="AX450" s="516"/>
      <c r="AY450" s="75">
        <v>0</v>
      </c>
      <c r="AZ450" s="77" t="s">
        <v>131</v>
      </c>
      <c r="BA450" s="78" t="s">
        <v>131</v>
      </c>
      <c r="BB450" s="78" t="s">
        <v>131</v>
      </c>
      <c r="BC450" s="78" t="s">
        <v>131</v>
      </c>
      <c r="BD450" s="78" t="s">
        <v>131</v>
      </c>
      <c r="BE450" s="78" t="s">
        <v>131</v>
      </c>
      <c r="BF450" s="78" t="s">
        <v>131</v>
      </c>
      <c r="BG450" s="78" t="s">
        <v>132</v>
      </c>
      <c r="BH450" s="75" t="s">
        <v>5970</v>
      </c>
      <c r="BI450" s="295" t="s">
        <v>2235</v>
      </c>
      <c r="BJ450" s="546">
        <v>1</v>
      </c>
      <c r="BK450" s="294" t="s">
        <v>16</v>
      </c>
      <c r="BL450" s="157" t="s">
        <v>16</v>
      </c>
      <c r="BM450" s="548" t="s">
        <v>1344</v>
      </c>
      <c r="BN450" s="548" t="s">
        <v>1344</v>
      </c>
      <c r="BO450" s="157" t="s">
        <v>4491</v>
      </c>
      <c r="BP450" s="548" t="s">
        <v>2254</v>
      </c>
      <c r="BQ450" s="157" t="s">
        <v>4377</v>
      </c>
      <c r="BR450" s="157"/>
    </row>
    <row r="451" spans="1:70" x14ac:dyDescent="0.25">
      <c r="A451" s="19" t="s">
        <v>3686</v>
      </c>
      <c r="B451" s="37" t="s">
        <v>5776</v>
      </c>
      <c r="C451" s="90">
        <v>45254.724965277775</v>
      </c>
      <c r="D451" s="114">
        <v>45254.474965277775</v>
      </c>
      <c r="E451" s="38">
        <v>45254</v>
      </c>
      <c r="F451" s="91">
        <v>2023</v>
      </c>
      <c r="G451" s="93">
        <v>11</v>
      </c>
      <c r="H451" s="37" t="s">
        <v>2639</v>
      </c>
      <c r="I451" s="37" t="s">
        <v>16</v>
      </c>
      <c r="J451" s="103">
        <v>-91.663934442868822</v>
      </c>
      <c r="K451" s="40">
        <v>43.277411930658218</v>
      </c>
      <c r="L451" s="74"/>
      <c r="M451" s="272" t="s">
        <v>16</v>
      </c>
      <c r="N451" s="74">
        <v>0</v>
      </c>
      <c r="O451" s="94"/>
      <c r="P451" s="118">
        <v>0</v>
      </c>
      <c r="Q451" s="510"/>
      <c r="R451" s="513"/>
      <c r="S451" s="41"/>
      <c r="T451" s="40"/>
      <c r="U451" s="40"/>
      <c r="V451" s="119">
        <v>1</v>
      </c>
      <c r="W451" s="40">
        <v>200</v>
      </c>
      <c r="X451" s="119">
        <v>0</v>
      </c>
      <c r="Y451" s="40"/>
      <c r="Z451" s="119">
        <v>1</v>
      </c>
      <c r="AA451" s="368">
        <v>0</v>
      </c>
      <c r="AB451" s="535">
        <v>2</v>
      </c>
      <c r="AC451" s="39" t="s">
        <v>160</v>
      </c>
      <c r="AD451" s="75" t="s">
        <v>10</v>
      </c>
      <c r="AE451" s="95">
        <v>0</v>
      </c>
      <c r="AF451" s="75">
        <v>0</v>
      </c>
      <c r="AG451" s="75">
        <v>0</v>
      </c>
      <c r="AH451" s="75">
        <v>0</v>
      </c>
      <c r="AI451" s="75">
        <v>0</v>
      </c>
      <c r="AJ451" s="75">
        <v>0</v>
      </c>
      <c r="AK451" s="75">
        <v>0</v>
      </c>
      <c r="AL451" s="95">
        <v>1</v>
      </c>
      <c r="AM451" s="92">
        <v>0</v>
      </c>
      <c r="AN451" s="79" t="s">
        <v>80</v>
      </c>
      <c r="AO451" s="75">
        <v>1</v>
      </c>
      <c r="AP451" s="75" t="s">
        <v>83</v>
      </c>
      <c r="AQ451" s="122">
        <v>1</v>
      </c>
      <c r="AR451" s="515" t="s">
        <v>10</v>
      </c>
      <c r="AS451" s="95">
        <v>0</v>
      </c>
      <c r="AT451" s="75">
        <v>0</v>
      </c>
      <c r="AU451" s="75">
        <v>0</v>
      </c>
      <c r="AV451" s="75">
        <v>0</v>
      </c>
      <c r="AW451" s="123">
        <v>0</v>
      </c>
      <c r="AX451" s="516"/>
      <c r="AY451" s="75">
        <v>0</v>
      </c>
      <c r="AZ451" s="77" t="s">
        <v>131</v>
      </c>
      <c r="BA451" s="78" t="s">
        <v>131</v>
      </c>
      <c r="BB451" s="78" t="s">
        <v>131</v>
      </c>
      <c r="BC451" s="78" t="s">
        <v>131</v>
      </c>
      <c r="BD451" s="78" t="s">
        <v>131</v>
      </c>
      <c r="BE451" s="78" t="s">
        <v>131</v>
      </c>
      <c r="BF451" s="78" t="s">
        <v>131</v>
      </c>
      <c r="BG451" s="78" t="s">
        <v>132</v>
      </c>
      <c r="BH451" s="75" t="s">
        <v>5970</v>
      </c>
      <c r="BI451" s="295" t="s">
        <v>16</v>
      </c>
      <c r="BJ451" s="546">
        <v>1</v>
      </c>
      <c r="BK451" s="294" t="s">
        <v>16</v>
      </c>
      <c r="BL451" s="157" t="s">
        <v>16</v>
      </c>
      <c r="BM451" s="548" t="s">
        <v>1344</v>
      </c>
      <c r="BN451" s="548" t="s">
        <v>1344</v>
      </c>
      <c r="BO451" s="157" t="s">
        <v>4470</v>
      </c>
      <c r="BP451" s="548" t="s">
        <v>4044</v>
      </c>
      <c r="BQ451" s="157" t="s">
        <v>4377</v>
      </c>
      <c r="BR451" s="157"/>
    </row>
    <row r="452" spans="1:70" x14ac:dyDescent="0.25">
      <c r="A452" s="19" t="s">
        <v>3686</v>
      </c>
      <c r="B452" s="37" t="s">
        <v>5777</v>
      </c>
      <c r="C452" s="90">
        <v>45246.77134259259</v>
      </c>
      <c r="D452" s="114">
        <v>45246.52134259259</v>
      </c>
      <c r="E452" s="38">
        <v>45246</v>
      </c>
      <c r="F452" s="91">
        <v>2023</v>
      </c>
      <c r="G452" s="93">
        <v>11</v>
      </c>
      <c r="H452" s="37" t="s">
        <v>5778</v>
      </c>
      <c r="I452" s="37"/>
      <c r="J452" s="103">
        <v>-91.244941279377073</v>
      </c>
      <c r="K452" s="40">
        <v>43.802222181152594</v>
      </c>
      <c r="L452" s="74"/>
      <c r="M452" s="272" t="s">
        <v>16</v>
      </c>
      <c r="N452" s="74">
        <v>0</v>
      </c>
      <c r="O452" s="94"/>
      <c r="P452" s="118">
        <v>0</v>
      </c>
      <c r="Q452" s="510"/>
      <c r="R452" s="513"/>
      <c r="S452" s="41"/>
      <c r="T452" s="40"/>
      <c r="U452" s="40"/>
      <c r="V452" s="119">
        <v>0</v>
      </c>
      <c r="W452" s="40"/>
      <c r="X452" s="119">
        <v>0</v>
      </c>
      <c r="Y452" s="40"/>
      <c r="Z452" s="119">
        <v>1</v>
      </c>
      <c r="AA452" s="368">
        <v>0</v>
      </c>
      <c r="AB452" s="535">
        <v>5</v>
      </c>
      <c r="AC452" s="39" t="s">
        <v>161</v>
      </c>
      <c r="AD452" s="75" t="s">
        <v>16</v>
      </c>
      <c r="AE452" s="95">
        <v>-1</v>
      </c>
      <c r="AF452" s="75">
        <v>-1</v>
      </c>
      <c r="AG452" s="75">
        <v>-1</v>
      </c>
      <c r="AH452" s="75">
        <v>-1</v>
      </c>
      <c r="AI452" s="75">
        <v>-1</v>
      </c>
      <c r="AJ452" s="75">
        <v>-1</v>
      </c>
      <c r="AK452" s="75">
        <v>-1</v>
      </c>
      <c r="AL452" s="95">
        <v>-1</v>
      </c>
      <c r="AM452" s="92">
        <v>1</v>
      </c>
      <c r="AN452" s="79"/>
      <c r="AO452" s="75">
        <v>0</v>
      </c>
      <c r="AP452" s="75"/>
      <c r="AQ452" s="122">
        <v>0</v>
      </c>
      <c r="AR452" s="515" t="s">
        <v>16</v>
      </c>
      <c r="AS452" s="95">
        <v>-1</v>
      </c>
      <c r="AT452" s="75">
        <v>-1</v>
      </c>
      <c r="AU452" s="75">
        <v>-1</v>
      </c>
      <c r="AV452" s="75">
        <v>-1</v>
      </c>
      <c r="AW452" s="123">
        <v>1</v>
      </c>
      <c r="AX452" s="516"/>
      <c r="AY452" s="75">
        <v>0</v>
      </c>
      <c r="AZ452" s="77" t="s">
        <v>5971</v>
      </c>
      <c r="BA452" s="78" t="s">
        <v>5971</v>
      </c>
      <c r="BB452" s="78" t="s">
        <v>5971</v>
      </c>
      <c r="BC452" s="78" t="s">
        <v>5971</v>
      </c>
      <c r="BD452" s="78" t="s">
        <v>5971</v>
      </c>
      <c r="BE452" s="78" t="s">
        <v>5971</v>
      </c>
      <c r="BF452" s="78" t="s">
        <v>5971</v>
      </c>
      <c r="BG452" s="78" t="s">
        <v>5971</v>
      </c>
      <c r="BH452" s="75" t="s">
        <v>5971</v>
      </c>
      <c r="BI452" s="295" t="s">
        <v>16</v>
      </c>
      <c r="BJ452" s="546" t="s">
        <v>16</v>
      </c>
      <c r="BK452" s="294" t="s">
        <v>16</v>
      </c>
      <c r="BL452" s="157" t="s">
        <v>16</v>
      </c>
      <c r="BM452" s="548" t="s">
        <v>1342</v>
      </c>
      <c r="BN452" s="548" t="s">
        <v>4160</v>
      </c>
      <c r="BO452" s="157" t="s">
        <v>4616</v>
      </c>
      <c r="BP452" s="548" t="s">
        <v>4624</v>
      </c>
      <c r="BQ452" s="157" t="s">
        <v>4592</v>
      </c>
      <c r="BR452" s="157"/>
    </row>
    <row r="453" spans="1:70" x14ac:dyDescent="0.25">
      <c r="A453" s="19" t="s">
        <v>3686</v>
      </c>
      <c r="B453" s="37" t="s">
        <v>5779</v>
      </c>
      <c r="C453" s="90">
        <v>45246.770243055558</v>
      </c>
      <c r="D453" s="114">
        <v>45246.520243055558</v>
      </c>
      <c r="E453" s="38">
        <v>45246</v>
      </c>
      <c r="F453" s="91">
        <v>2023</v>
      </c>
      <c r="G453" s="93">
        <v>11</v>
      </c>
      <c r="H453" s="37" t="s">
        <v>5778</v>
      </c>
      <c r="I453" s="37"/>
      <c r="J453" s="103">
        <v>-91.244997323293205</v>
      </c>
      <c r="K453" s="40">
        <v>43.802218007500343</v>
      </c>
      <c r="L453" s="74"/>
      <c r="M453" s="272" t="s">
        <v>16</v>
      </c>
      <c r="N453" s="74">
        <v>0</v>
      </c>
      <c r="O453" s="94"/>
      <c r="P453" s="118">
        <v>1</v>
      </c>
      <c r="Q453" s="510">
        <v>180</v>
      </c>
      <c r="R453" s="513">
        <v>180</v>
      </c>
      <c r="S453" s="41"/>
      <c r="T453" s="40"/>
      <c r="U453" s="40">
        <v>8</v>
      </c>
      <c r="V453" s="119">
        <v>0</v>
      </c>
      <c r="W453" s="40"/>
      <c r="X453" s="119">
        <v>0</v>
      </c>
      <c r="Y453" s="40"/>
      <c r="Z453" s="119">
        <v>0</v>
      </c>
      <c r="AA453" s="368" t="s">
        <v>16</v>
      </c>
      <c r="AB453" s="535" t="s">
        <v>16</v>
      </c>
      <c r="AC453" s="39" t="s">
        <v>161</v>
      </c>
      <c r="AD453" s="75" t="s">
        <v>16</v>
      </c>
      <c r="AE453" s="95">
        <v>-1</v>
      </c>
      <c r="AF453" s="75">
        <v>-1</v>
      </c>
      <c r="AG453" s="75">
        <v>-1</v>
      </c>
      <c r="AH453" s="75">
        <v>-1</v>
      </c>
      <c r="AI453" s="75">
        <v>-1</v>
      </c>
      <c r="AJ453" s="75">
        <v>-1</v>
      </c>
      <c r="AK453" s="75">
        <v>-1</v>
      </c>
      <c r="AL453" s="95">
        <v>-1</v>
      </c>
      <c r="AM453" s="92">
        <v>1</v>
      </c>
      <c r="AN453" s="79"/>
      <c r="AO453" s="75">
        <v>0</v>
      </c>
      <c r="AP453" s="75"/>
      <c r="AQ453" s="122">
        <v>0</v>
      </c>
      <c r="AR453" s="515" t="s">
        <v>16</v>
      </c>
      <c r="AS453" s="95">
        <v>-1</v>
      </c>
      <c r="AT453" s="75">
        <v>-1</v>
      </c>
      <c r="AU453" s="75">
        <v>-1</v>
      </c>
      <c r="AV453" s="75">
        <v>-1</v>
      </c>
      <c r="AW453" s="123">
        <v>1</v>
      </c>
      <c r="AX453" s="516"/>
      <c r="AY453" s="75">
        <v>0</v>
      </c>
      <c r="AZ453" s="77" t="s">
        <v>5971</v>
      </c>
      <c r="BA453" s="78" t="s">
        <v>5971</v>
      </c>
      <c r="BB453" s="78" t="s">
        <v>5971</v>
      </c>
      <c r="BC453" s="78" t="s">
        <v>5971</v>
      </c>
      <c r="BD453" s="78" t="s">
        <v>5971</v>
      </c>
      <c r="BE453" s="78" t="s">
        <v>5971</v>
      </c>
      <c r="BF453" s="78" t="s">
        <v>5971</v>
      </c>
      <c r="BG453" s="78" t="s">
        <v>5971</v>
      </c>
      <c r="BH453" s="75" t="s">
        <v>5971</v>
      </c>
      <c r="BI453" s="295" t="s">
        <v>16</v>
      </c>
      <c r="BJ453" s="546" t="s">
        <v>16</v>
      </c>
      <c r="BK453" s="294" t="s">
        <v>16</v>
      </c>
      <c r="BL453" s="157" t="s">
        <v>16</v>
      </c>
      <c r="BM453" s="548" t="s">
        <v>1342</v>
      </c>
      <c r="BN453" s="548" t="s">
        <v>4160</v>
      </c>
      <c r="BO453" s="157" t="s">
        <v>4616</v>
      </c>
      <c r="BP453" s="548" t="s">
        <v>4624</v>
      </c>
      <c r="BQ453" s="157" t="s">
        <v>4592</v>
      </c>
      <c r="BR453" s="157"/>
    </row>
    <row r="454" spans="1:70" x14ac:dyDescent="0.25">
      <c r="A454" s="19" t="s">
        <v>3686</v>
      </c>
      <c r="B454" s="37" t="s">
        <v>5780</v>
      </c>
      <c r="C454" s="90">
        <v>45245.736620370371</v>
      </c>
      <c r="D454" s="114">
        <v>45245.486620370371</v>
      </c>
      <c r="E454" s="38">
        <v>45245</v>
      </c>
      <c r="F454" s="91">
        <v>2023</v>
      </c>
      <c r="G454" s="93">
        <v>11</v>
      </c>
      <c r="H454" s="37" t="s">
        <v>302</v>
      </c>
      <c r="I454" s="37"/>
      <c r="J454" s="103">
        <v>-91.974666331164997</v>
      </c>
      <c r="K454" s="40">
        <v>44.062424859459774</v>
      </c>
      <c r="L454" s="74"/>
      <c r="M454" s="272" t="s">
        <v>5781</v>
      </c>
      <c r="N454" s="74">
        <v>1</v>
      </c>
      <c r="O454" s="94"/>
      <c r="P454" s="118">
        <v>1</v>
      </c>
      <c r="Q454" s="510">
        <v>40</v>
      </c>
      <c r="R454" s="513">
        <v>180</v>
      </c>
      <c r="S454" s="41"/>
      <c r="T454" s="40"/>
      <c r="U454" s="40">
        <v>7</v>
      </c>
      <c r="V454" s="119">
        <v>1</v>
      </c>
      <c r="W454" s="40">
        <v>100</v>
      </c>
      <c r="X454" s="119">
        <v>0</v>
      </c>
      <c r="Y454" s="40"/>
      <c r="Z454" s="119">
        <v>1</v>
      </c>
      <c r="AA454" s="368">
        <v>0</v>
      </c>
      <c r="AB454" s="535">
        <v>10</v>
      </c>
      <c r="AC454" s="39" t="s">
        <v>160</v>
      </c>
      <c r="AD454" s="75" t="s">
        <v>8</v>
      </c>
      <c r="AE454" s="95">
        <v>0</v>
      </c>
      <c r="AF454" s="75">
        <v>1</v>
      </c>
      <c r="AG454" s="75">
        <v>0</v>
      </c>
      <c r="AH454" s="75">
        <v>0</v>
      </c>
      <c r="AI454" s="75">
        <v>0</v>
      </c>
      <c r="AJ454" s="75">
        <v>0</v>
      </c>
      <c r="AK454" s="75">
        <v>0</v>
      </c>
      <c r="AL454" s="95">
        <v>0</v>
      </c>
      <c r="AM454" s="92">
        <v>0</v>
      </c>
      <c r="AN454" s="79" t="s">
        <v>80</v>
      </c>
      <c r="AO454" s="75">
        <v>1</v>
      </c>
      <c r="AP454" s="75" t="s">
        <v>83</v>
      </c>
      <c r="AQ454" s="122">
        <v>1</v>
      </c>
      <c r="AR454" s="515" t="s">
        <v>10</v>
      </c>
      <c r="AS454" s="95">
        <v>0</v>
      </c>
      <c r="AT454" s="75">
        <v>0</v>
      </c>
      <c r="AU454" s="75">
        <v>0</v>
      </c>
      <c r="AV454" s="75">
        <v>0</v>
      </c>
      <c r="AW454" s="123">
        <v>0</v>
      </c>
      <c r="AX454" s="516" t="s">
        <v>5782</v>
      </c>
      <c r="AY454" s="75">
        <v>1</v>
      </c>
      <c r="AZ454" s="77" t="s">
        <v>131</v>
      </c>
      <c r="BA454" s="78" t="s">
        <v>132</v>
      </c>
      <c r="BB454" s="78" t="s">
        <v>131</v>
      </c>
      <c r="BC454" s="78" t="s">
        <v>131</v>
      </c>
      <c r="BD454" s="78" t="s">
        <v>131</v>
      </c>
      <c r="BE454" s="78" t="s">
        <v>131</v>
      </c>
      <c r="BF454" s="78" t="s">
        <v>131</v>
      </c>
      <c r="BG454" s="78" t="s">
        <v>131</v>
      </c>
      <c r="BH454" s="75" t="s">
        <v>5970</v>
      </c>
      <c r="BI454" s="295" t="s">
        <v>2255</v>
      </c>
      <c r="BJ454" s="546">
        <v>1</v>
      </c>
      <c r="BK454" s="294" t="s">
        <v>16</v>
      </c>
      <c r="BL454" s="157" t="s">
        <v>16</v>
      </c>
      <c r="BM454" s="548" t="s">
        <v>1341</v>
      </c>
      <c r="BN454" s="548" t="s">
        <v>4160</v>
      </c>
      <c r="BO454" s="157" t="s">
        <v>4362</v>
      </c>
      <c r="BP454" s="548" t="s">
        <v>4363</v>
      </c>
      <c r="BQ454" s="157" t="s">
        <v>4361</v>
      </c>
      <c r="BR454" s="157"/>
    </row>
    <row r="455" spans="1:70" x14ac:dyDescent="0.25">
      <c r="A455" s="19" t="s">
        <v>3686</v>
      </c>
      <c r="B455" s="37" t="s">
        <v>5783</v>
      </c>
      <c r="C455" s="90">
        <v>45245.706747685188</v>
      </c>
      <c r="D455" s="114">
        <v>45245.456747685188</v>
      </c>
      <c r="E455" s="38">
        <v>45245</v>
      </c>
      <c r="F455" s="91">
        <v>2023</v>
      </c>
      <c r="G455" s="93">
        <v>11</v>
      </c>
      <c r="H455" s="37" t="s">
        <v>302</v>
      </c>
      <c r="I455" s="37"/>
      <c r="J455" s="103">
        <v>-91.930949848439155</v>
      </c>
      <c r="K455" s="40">
        <v>44.15710948929884</v>
      </c>
      <c r="L455" s="74"/>
      <c r="M455" s="272" t="s">
        <v>5784</v>
      </c>
      <c r="N455" s="74">
        <v>1</v>
      </c>
      <c r="O455" s="94"/>
      <c r="P455" s="118">
        <v>1</v>
      </c>
      <c r="Q455" s="510">
        <v>180</v>
      </c>
      <c r="R455" s="513">
        <v>120</v>
      </c>
      <c r="S455" s="41"/>
      <c r="T455" s="40"/>
      <c r="U455" s="40">
        <v>7</v>
      </c>
      <c r="V455" s="119">
        <v>1</v>
      </c>
      <c r="W455" s="40">
        <v>100</v>
      </c>
      <c r="X455" s="119">
        <v>0</v>
      </c>
      <c r="Y455" s="40"/>
      <c r="Z455" s="119">
        <v>1</v>
      </c>
      <c r="AA455" s="368">
        <v>0</v>
      </c>
      <c r="AB455" s="535">
        <v>2</v>
      </c>
      <c r="AC455" s="39" t="s">
        <v>160</v>
      </c>
      <c r="AD455" s="75" t="s">
        <v>8</v>
      </c>
      <c r="AE455" s="95">
        <v>0</v>
      </c>
      <c r="AF455" s="75">
        <v>1</v>
      </c>
      <c r="AG455" s="75">
        <v>0</v>
      </c>
      <c r="AH455" s="75">
        <v>0</v>
      </c>
      <c r="AI455" s="75">
        <v>0</v>
      </c>
      <c r="AJ455" s="75">
        <v>0</v>
      </c>
      <c r="AK455" s="75">
        <v>0</v>
      </c>
      <c r="AL455" s="95">
        <v>0</v>
      </c>
      <c r="AM455" s="92">
        <v>0</v>
      </c>
      <c r="AN455" s="79" t="s">
        <v>80</v>
      </c>
      <c r="AO455" s="75">
        <v>1</v>
      </c>
      <c r="AP455" s="75" t="s">
        <v>83</v>
      </c>
      <c r="AQ455" s="122">
        <v>1</v>
      </c>
      <c r="AR455" s="515" t="s">
        <v>10</v>
      </c>
      <c r="AS455" s="95">
        <v>0</v>
      </c>
      <c r="AT455" s="75">
        <v>0</v>
      </c>
      <c r="AU455" s="75">
        <v>0</v>
      </c>
      <c r="AV455" s="75">
        <v>0</v>
      </c>
      <c r="AW455" s="123">
        <v>0</v>
      </c>
      <c r="AX455" s="516"/>
      <c r="AY455" s="75">
        <v>0</v>
      </c>
      <c r="AZ455" s="77" t="s">
        <v>131</v>
      </c>
      <c r="BA455" s="78" t="s">
        <v>132</v>
      </c>
      <c r="BB455" s="78" t="s">
        <v>131</v>
      </c>
      <c r="BC455" s="78" t="s">
        <v>131</v>
      </c>
      <c r="BD455" s="78" t="s">
        <v>131</v>
      </c>
      <c r="BE455" s="78" t="s">
        <v>131</v>
      </c>
      <c r="BF455" s="78" t="s">
        <v>131</v>
      </c>
      <c r="BG455" s="78" t="s">
        <v>131</v>
      </c>
      <c r="BH455" s="75" t="s">
        <v>5970</v>
      </c>
      <c r="BI455" s="295" t="s">
        <v>2254</v>
      </c>
      <c r="BJ455" s="546">
        <v>1</v>
      </c>
      <c r="BK455" s="294">
        <v>1</v>
      </c>
      <c r="BL455" s="157">
        <v>1</v>
      </c>
      <c r="BM455" s="548" t="s">
        <v>1341</v>
      </c>
      <c r="BN455" s="548" t="s">
        <v>4160</v>
      </c>
      <c r="BO455" s="157" t="s">
        <v>4655</v>
      </c>
      <c r="BP455" s="548" t="s">
        <v>2254</v>
      </c>
      <c r="BQ455" s="157" t="s">
        <v>4361</v>
      </c>
      <c r="BR455" s="157"/>
    </row>
    <row r="456" spans="1:70" x14ac:dyDescent="0.25">
      <c r="A456" s="19" t="s">
        <v>3686</v>
      </c>
      <c r="B456" s="37" t="s">
        <v>5785</v>
      </c>
      <c r="C456" s="90">
        <v>45245.6877662037</v>
      </c>
      <c r="D456" s="114">
        <v>45245.4377662037</v>
      </c>
      <c r="E456" s="38">
        <v>45245</v>
      </c>
      <c r="F456" s="91">
        <v>2023</v>
      </c>
      <c r="G456" s="93">
        <v>11</v>
      </c>
      <c r="H456" s="37" t="s">
        <v>302</v>
      </c>
      <c r="I456" s="37"/>
      <c r="J456" s="103">
        <v>-92.053106144294716</v>
      </c>
      <c r="K456" s="40">
        <v>44.145424070202786</v>
      </c>
      <c r="L456" s="74"/>
      <c r="M456" s="272" t="s">
        <v>5786</v>
      </c>
      <c r="N456" s="74">
        <v>1</v>
      </c>
      <c r="O456" s="94"/>
      <c r="P456" s="118">
        <v>1</v>
      </c>
      <c r="Q456" s="510">
        <v>40</v>
      </c>
      <c r="R456" s="513">
        <v>180</v>
      </c>
      <c r="S456" s="41"/>
      <c r="T456" s="40"/>
      <c r="U456" s="40">
        <v>7</v>
      </c>
      <c r="V456" s="119">
        <v>1</v>
      </c>
      <c r="W456" s="40">
        <v>100</v>
      </c>
      <c r="X456" s="119">
        <v>0</v>
      </c>
      <c r="Y456" s="40"/>
      <c r="Z456" s="119">
        <v>1</v>
      </c>
      <c r="AA456" s="368">
        <v>0</v>
      </c>
      <c r="AB456" s="535">
        <v>5</v>
      </c>
      <c r="AC456" s="39" t="s">
        <v>160</v>
      </c>
      <c r="AD456" s="75" t="s">
        <v>8</v>
      </c>
      <c r="AE456" s="95">
        <v>0</v>
      </c>
      <c r="AF456" s="75">
        <v>1</v>
      </c>
      <c r="AG456" s="75">
        <v>0</v>
      </c>
      <c r="AH456" s="75">
        <v>0</v>
      </c>
      <c r="AI456" s="75">
        <v>0</v>
      </c>
      <c r="AJ456" s="75">
        <v>0</v>
      </c>
      <c r="AK456" s="75">
        <v>0</v>
      </c>
      <c r="AL456" s="95">
        <v>0</v>
      </c>
      <c r="AM456" s="92">
        <v>0</v>
      </c>
      <c r="AN456" s="79" t="s">
        <v>80</v>
      </c>
      <c r="AO456" s="75">
        <v>1</v>
      </c>
      <c r="AP456" s="75" t="s">
        <v>83</v>
      </c>
      <c r="AQ456" s="122">
        <v>1</v>
      </c>
      <c r="AR456" s="515" t="s">
        <v>10</v>
      </c>
      <c r="AS456" s="95">
        <v>0</v>
      </c>
      <c r="AT456" s="75">
        <v>0</v>
      </c>
      <c r="AU456" s="75">
        <v>0</v>
      </c>
      <c r="AV456" s="75">
        <v>0</v>
      </c>
      <c r="AW456" s="123">
        <v>0</v>
      </c>
      <c r="AX456" s="516"/>
      <c r="AY456" s="75">
        <v>0</v>
      </c>
      <c r="AZ456" s="77" t="s">
        <v>131</v>
      </c>
      <c r="BA456" s="78" t="s">
        <v>132</v>
      </c>
      <c r="BB456" s="78" t="s">
        <v>131</v>
      </c>
      <c r="BC456" s="78" t="s">
        <v>131</v>
      </c>
      <c r="BD456" s="78" t="s">
        <v>131</v>
      </c>
      <c r="BE456" s="78" t="s">
        <v>131</v>
      </c>
      <c r="BF456" s="78" t="s">
        <v>131</v>
      </c>
      <c r="BG456" s="78" t="s">
        <v>131</v>
      </c>
      <c r="BH456" s="75" t="s">
        <v>5970</v>
      </c>
      <c r="BI456" s="295" t="s">
        <v>307</v>
      </c>
      <c r="BJ456" s="546">
        <v>1</v>
      </c>
      <c r="BK456" s="294" t="s">
        <v>16</v>
      </c>
      <c r="BL456" s="157" t="s">
        <v>16</v>
      </c>
      <c r="BM456" s="548" t="s">
        <v>1339</v>
      </c>
      <c r="BN456" s="548" t="s">
        <v>4160</v>
      </c>
      <c r="BO456" s="157" t="s">
        <v>4693</v>
      </c>
      <c r="BP456" s="548" t="s">
        <v>307</v>
      </c>
      <c r="BQ456" s="157" t="s">
        <v>4361</v>
      </c>
      <c r="BR456" s="157"/>
    </row>
    <row r="457" spans="1:70" x14ac:dyDescent="0.25">
      <c r="A457" s="19" t="s">
        <v>3686</v>
      </c>
      <c r="B457" s="37" t="s">
        <v>5787</v>
      </c>
      <c r="C457" s="90">
        <v>45245.655219907407</v>
      </c>
      <c r="D457" s="114">
        <v>45245.405219907407</v>
      </c>
      <c r="E457" s="38">
        <v>45245</v>
      </c>
      <c r="F457" s="91">
        <v>2023</v>
      </c>
      <c r="G457" s="93">
        <v>11</v>
      </c>
      <c r="H457" s="37" t="s">
        <v>302</v>
      </c>
      <c r="I457" s="37"/>
      <c r="J457" s="103">
        <v>-92.026047599608702</v>
      </c>
      <c r="K457" s="40">
        <v>44.215715693993829</v>
      </c>
      <c r="L457" s="74"/>
      <c r="M457" s="272" t="s">
        <v>16</v>
      </c>
      <c r="N457" s="74">
        <v>0</v>
      </c>
      <c r="O457" s="94"/>
      <c r="P457" s="118">
        <v>1</v>
      </c>
      <c r="Q457" s="510">
        <v>180</v>
      </c>
      <c r="R457" s="513">
        <v>180</v>
      </c>
      <c r="S457" s="41"/>
      <c r="T457" s="40"/>
      <c r="U457" s="40">
        <v>7</v>
      </c>
      <c r="V457" s="119">
        <v>1</v>
      </c>
      <c r="W457" s="40">
        <v>0</v>
      </c>
      <c r="X457" s="119">
        <v>0</v>
      </c>
      <c r="Y457" s="40"/>
      <c r="Z457" s="119">
        <v>1</v>
      </c>
      <c r="AA457" s="368">
        <v>0</v>
      </c>
      <c r="AB457" s="535">
        <v>5</v>
      </c>
      <c r="AC457" s="39" t="s">
        <v>160</v>
      </c>
      <c r="AD457" s="75" t="s">
        <v>10</v>
      </c>
      <c r="AE457" s="95">
        <v>0</v>
      </c>
      <c r="AF457" s="75">
        <v>0</v>
      </c>
      <c r="AG457" s="75">
        <v>0</v>
      </c>
      <c r="AH457" s="75">
        <v>0</v>
      </c>
      <c r="AI457" s="75">
        <v>0</v>
      </c>
      <c r="AJ457" s="75">
        <v>0</v>
      </c>
      <c r="AK457" s="75">
        <v>0</v>
      </c>
      <c r="AL457" s="95">
        <v>1</v>
      </c>
      <c r="AM457" s="92">
        <v>0</v>
      </c>
      <c r="AN457" s="79" t="s">
        <v>80</v>
      </c>
      <c r="AO457" s="75">
        <v>1</v>
      </c>
      <c r="AP457" s="75" t="s">
        <v>83</v>
      </c>
      <c r="AQ457" s="122">
        <v>1</v>
      </c>
      <c r="AR457" s="515" t="s">
        <v>10</v>
      </c>
      <c r="AS457" s="95">
        <v>0</v>
      </c>
      <c r="AT457" s="75">
        <v>0</v>
      </c>
      <c r="AU457" s="75">
        <v>0</v>
      </c>
      <c r="AV457" s="75">
        <v>0</v>
      </c>
      <c r="AW457" s="123">
        <v>0</v>
      </c>
      <c r="AX457" s="516"/>
      <c r="AY457" s="75">
        <v>0</v>
      </c>
      <c r="AZ457" s="77" t="s">
        <v>131</v>
      </c>
      <c r="BA457" s="78" t="s">
        <v>131</v>
      </c>
      <c r="BB457" s="78" t="s">
        <v>131</v>
      </c>
      <c r="BC457" s="78" t="s">
        <v>131</v>
      </c>
      <c r="BD457" s="78" t="s">
        <v>131</v>
      </c>
      <c r="BE457" s="78" t="s">
        <v>131</v>
      </c>
      <c r="BF457" s="78" t="s">
        <v>131</v>
      </c>
      <c r="BG457" s="78" t="s">
        <v>132</v>
      </c>
      <c r="BH457" s="75" t="s">
        <v>5970</v>
      </c>
      <c r="BI457" s="295" t="s">
        <v>2256</v>
      </c>
      <c r="BJ457" s="546">
        <v>1</v>
      </c>
      <c r="BK457" s="294">
        <v>1</v>
      </c>
      <c r="BL457" s="157">
        <v>1</v>
      </c>
      <c r="BM457" s="548" t="s">
        <v>1341</v>
      </c>
      <c r="BN457" s="548" t="s">
        <v>4160</v>
      </c>
      <c r="BO457" s="157" t="s">
        <v>4507</v>
      </c>
      <c r="BP457" s="548" t="s">
        <v>2256</v>
      </c>
      <c r="BQ457" s="157" t="s">
        <v>4269</v>
      </c>
      <c r="BR457" s="157"/>
    </row>
    <row r="458" spans="1:70" x14ac:dyDescent="0.25">
      <c r="A458" s="19" t="s">
        <v>3686</v>
      </c>
      <c r="B458" s="37" t="s">
        <v>5788</v>
      </c>
      <c r="C458" s="90">
        <v>45232.828634259262</v>
      </c>
      <c r="D458" s="114">
        <v>45232.578634259262</v>
      </c>
      <c r="E458" s="38">
        <v>45232</v>
      </c>
      <c r="F458" s="91">
        <v>2023</v>
      </c>
      <c r="G458" s="93">
        <v>11</v>
      </c>
      <c r="H458" s="37" t="s">
        <v>5778</v>
      </c>
      <c r="I458" s="37"/>
      <c r="J458" s="103">
        <v>-91.245121359254995</v>
      </c>
      <c r="K458" s="40">
        <v>43.802200714967412</v>
      </c>
      <c r="L458" s="74"/>
      <c r="M458" s="272" t="s">
        <v>16</v>
      </c>
      <c r="N458" s="74">
        <v>0</v>
      </c>
      <c r="O458" s="94"/>
      <c r="P458" s="118">
        <v>0</v>
      </c>
      <c r="Q458" s="510"/>
      <c r="R458" s="513"/>
      <c r="S458" s="41"/>
      <c r="T458" s="40"/>
      <c r="U458" s="40"/>
      <c r="V458" s="119">
        <v>0</v>
      </c>
      <c r="W458" s="40"/>
      <c r="X458" s="119">
        <v>0</v>
      </c>
      <c r="Y458" s="40"/>
      <c r="Z458" s="119">
        <v>1</v>
      </c>
      <c r="AA458" s="368">
        <v>0</v>
      </c>
      <c r="AB458" s="535">
        <v>5</v>
      </c>
      <c r="AC458" s="39" t="s">
        <v>161</v>
      </c>
      <c r="AD458" s="75" t="s">
        <v>16</v>
      </c>
      <c r="AE458" s="95">
        <v>-1</v>
      </c>
      <c r="AF458" s="75">
        <v>-1</v>
      </c>
      <c r="AG458" s="75">
        <v>-1</v>
      </c>
      <c r="AH458" s="75">
        <v>-1</v>
      </c>
      <c r="AI458" s="75">
        <v>-1</v>
      </c>
      <c r="AJ458" s="75">
        <v>-1</v>
      </c>
      <c r="AK458" s="75">
        <v>-1</v>
      </c>
      <c r="AL458" s="95">
        <v>-1</v>
      </c>
      <c r="AM458" s="92">
        <v>1</v>
      </c>
      <c r="AN458" s="79"/>
      <c r="AO458" s="75">
        <v>0</v>
      </c>
      <c r="AP458" s="75"/>
      <c r="AQ458" s="122">
        <v>0</v>
      </c>
      <c r="AR458" s="515" t="s">
        <v>16</v>
      </c>
      <c r="AS458" s="95">
        <v>-1</v>
      </c>
      <c r="AT458" s="75">
        <v>-1</v>
      </c>
      <c r="AU458" s="75">
        <v>-1</v>
      </c>
      <c r="AV458" s="75">
        <v>-1</v>
      </c>
      <c r="AW458" s="123">
        <v>1</v>
      </c>
      <c r="AX458" s="516"/>
      <c r="AY458" s="75">
        <v>0</v>
      </c>
      <c r="AZ458" s="77" t="s">
        <v>5971</v>
      </c>
      <c r="BA458" s="78" t="s">
        <v>5971</v>
      </c>
      <c r="BB458" s="78" t="s">
        <v>5971</v>
      </c>
      <c r="BC458" s="78" t="s">
        <v>5971</v>
      </c>
      <c r="BD458" s="78" t="s">
        <v>5971</v>
      </c>
      <c r="BE458" s="78" t="s">
        <v>5971</v>
      </c>
      <c r="BF458" s="78" t="s">
        <v>5971</v>
      </c>
      <c r="BG458" s="78" t="s">
        <v>5971</v>
      </c>
      <c r="BH458" s="75" t="s">
        <v>5971</v>
      </c>
      <c r="BI458" s="295" t="s">
        <v>16</v>
      </c>
      <c r="BJ458" s="546" t="s">
        <v>16</v>
      </c>
      <c r="BK458" s="294" t="s">
        <v>16</v>
      </c>
      <c r="BL458" s="157" t="s">
        <v>16</v>
      </c>
      <c r="BM458" s="548" t="s">
        <v>1342</v>
      </c>
      <c r="BN458" s="548" t="s">
        <v>4160</v>
      </c>
      <c r="BO458" s="157" t="s">
        <v>4616</v>
      </c>
      <c r="BP458" s="548" t="s">
        <v>4624</v>
      </c>
      <c r="BQ458" s="157" t="s">
        <v>4592</v>
      </c>
      <c r="BR458" s="157"/>
    </row>
    <row r="459" spans="1:70" x14ac:dyDescent="0.25">
      <c r="A459" s="19" t="s">
        <v>3686</v>
      </c>
      <c r="B459" s="37" t="s">
        <v>5789</v>
      </c>
      <c r="C459" s="90">
        <v>45232.826631944445</v>
      </c>
      <c r="D459" s="114">
        <v>45232.576631944445</v>
      </c>
      <c r="E459" s="38">
        <v>45232</v>
      </c>
      <c r="F459" s="91">
        <v>2023</v>
      </c>
      <c r="G459" s="93">
        <v>11</v>
      </c>
      <c r="H459" s="37" t="s">
        <v>5778</v>
      </c>
      <c r="I459" s="37"/>
      <c r="J459" s="103">
        <v>-91.244987044616039</v>
      </c>
      <c r="K459" s="40">
        <v>43.802185555258568</v>
      </c>
      <c r="L459" s="74"/>
      <c r="M459" s="272" t="s">
        <v>16</v>
      </c>
      <c r="N459" s="74">
        <v>0</v>
      </c>
      <c r="O459" s="94"/>
      <c r="P459" s="118">
        <v>1</v>
      </c>
      <c r="Q459" s="510">
        <v>180</v>
      </c>
      <c r="R459" s="513">
        <v>180</v>
      </c>
      <c r="S459" s="41"/>
      <c r="T459" s="40"/>
      <c r="U459" s="40">
        <v>8</v>
      </c>
      <c r="V459" s="119">
        <v>0</v>
      </c>
      <c r="W459" s="40"/>
      <c r="X459" s="119">
        <v>0</v>
      </c>
      <c r="Y459" s="40"/>
      <c r="Z459" s="119">
        <v>0</v>
      </c>
      <c r="AA459" s="368" t="s">
        <v>16</v>
      </c>
      <c r="AB459" s="535" t="s">
        <v>16</v>
      </c>
      <c r="AC459" s="39" t="s">
        <v>161</v>
      </c>
      <c r="AD459" s="75" t="s">
        <v>16</v>
      </c>
      <c r="AE459" s="95">
        <v>-1</v>
      </c>
      <c r="AF459" s="75">
        <v>-1</v>
      </c>
      <c r="AG459" s="75">
        <v>-1</v>
      </c>
      <c r="AH459" s="75">
        <v>-1</v>
      </c>
      <c r="AI459" s="75">
        <v>-1</v>
      </c>
      <c r="AJ459" s="75">
        <v>-1</v>
      </c>
      <c r="AK459" s="75">
        <v>-1</v>
      </c>
      <c r="AL459" s="95">
        <v>-1</v>
      </c>
      <c r="AM459" s="92">
        <v>1</v>
      </c>
      <c r="AN459" s="79"/>
      <c r="AO459" s="75">
        <v>0</v>
      </c>
      <c r="AP459" s="75"/>
      <c r="AQ459" s="122">
        <v>0</v>
      </c>
      <c r="AR459" s="515" t="s">
        <v>16</v>
      </c>
      <c r="AS459" s="95">
        <v>-1</v>
      </c>
      <c r="AT459" s="75">
        <v>-1</v>
      </c>
      <c r="AU459" s="75">
        <v>-1</v>
      </c>
      <c r="AV459" s="75">
        <v>-1</v>
      </c>
      <c r="AW459" s="123">
        <v>1</v>
      </c>
      <c r="AX459" s="516"/>
      <c r="AY459" s="75">
        <v>0</v>
      </c>
      <c r="AZ459" s="77" t="s">
        <v>5971</v>
      </c>
      <c r="BA459" s="78" t="s">
        <v>5971</v>
      </c>
      <c r="BB459" s="78" t="s">
        <v>5971</v>
      </c>
      <c r="BC459" s="78" t="s">
        <v>5971</v>
      </c>
      <c r="BD459" s="78" t="s">
        <v>5971</v>
      </c>
      <c r="BE459" s="78" t="s">
        <v>5971</v>
      </c>
      <c r="BF459" s="78" t="s">
        <v>5971</v>
      </c>
      <c r="BG459" s="78" t="s">
        <v>5971</v>
      </c>
      <c r="BH459" s="75" t="s">
        <v>5971</v>
      </c>
      <c r="BI459" s="295" t="s">
        <v>16</v>
      </c>
      <c r="BJ459" s="546" t="s">
        <v>16</v>
      </c>
      <c r="BK459" s="294" t="s">
        <v>16</v>
      </c>
      <c r="BL459" s="157" t="s">
        <v>16</v>
      </c>
      <c r="BM459" s="548" t="s">
        <v>1342</v>
      </c>
      <c r="BN459" s="548" t="s">
        <v>4160</v>
      </c>
      <c r="BO459" s="157" t="s">
        <v>4616</v>
      </c>
      <c r="BP459" s="548" t="s">
        <v>4624</v>
      </c>
      <c r="BQ459" s="157" t="s">
        <v>4592</v>
      </c>
      <c r="BR459" s="157"/>
    </row>
    <row r="460" spans="1:70" x14ac:dyDescent="0.25">
      <c r="A460" s="19" t="s">
        <v>3686</v>
      </c>
      <c r="B460" s="37" t="s">
        <v>5790</v>
      </c>
      <c r="C460" s="90">
        <v>45232.826423611114</v>
      </c>
      <c r="D460" s="114">
        <v>45232.576423611114</v>
      </c>
      <c r="E460" s="38">
        <v>45232</v>
      </c>
      <c r="F460" s="91">
        <v>2023</v>
      </c>
      <c r="G460" s="93">
        <v>11</v>
      </c>
      <c r="H460" s="37" t="s">
        <v>5778</v>
      </c>
      <c r="I460" s="37"/>
      <c r="J460" s="103">
        <v>-91.244980936142483</v>
      </c>
      <c r="K460" s="40">
        <v>43.802159051262009</v>
      </c>
      <c r="L460" s="74"/>
      <c r="M460" s="272" t="s">
        <v>16</v>
      </c>
      <c r="N460" s="74">
        <v>0</v>
      </c>
      <c r="O460" s="94"/>
      <c r="P460" s="118">
        <v>1</v>
      </c>
      <c r="Q460" s="510">
        <v>180</v>
      </c>
      <c r="R460" s="513">
        <v>180</v>
      </c>
      <c r="S460" s="41"/>
      <c r="T460" s="40"/>
      <c r="U460" s="40">
        <v>8</v>
      </c>
      <c r="V460" s="119">
        <v>0</v>
      </c>
      <c r="W460" s="40"/>
      <c r="X460" s="119">
        <v>0</v>
      </c>
      <c r="Y460" s="40"/>
      <c r="Z460" s="119">
        <v>0</v>
      </c>
      <c r="AA460" s="368" t="s">
        <v>16</v>
      </c>
      <c r="AB460" s="535" t="s">
        <v>16</v>
      </c>
      <c r="AC460" s="39" t="s">
        <v>161</v>
      </c>
      <c r="AD460" s="75" t="s">
        <v>16</v>
      </c>
      <c r="AE460" s="95">
        <v>-1</v>
      </c>
      <c r="AF460" s="75">
        <v>-1</v>
      </c>
      <c r="AG460" s="75">
        <v>-1</v>
      </c>
      <c r="AH460" s="75">
        <v>-1</v>
      </c>
      <c r="AI460" s="75">
        <v>-1</v>
      </c>
      <c r="AJ460" s="75">
        <v>-1</v>
      </c>
      <c r="AK460" s="75">
        <v>-1</v>
      </c>
      <c r="AL460" s="95">
        <v>-1</v>
      </c>
      <c r="AM460" s="92">
        <v>1</v>
      </c>
      <c r="AN460" s="79"/>
      <c r="AO460" s="75">
        <v>0</v>
      </c>
      <c r="AP460" s="75"/>
      <c r="AQ460" s="122">
        <v>0</v>
      </c>
      <c r="AR460" s="515" t="s">
        <v>16</v>
      </c>
      <c r="AS460" s="95">
        <v>-1</v>
      </c>
      <c r="AT460" s="75">
        <v>-1</v>
      </c>
      <c r="AU460" s="75">
        <v>-1</v>
      </c>
      <c r="AV460" s="75">
        <v>-1</v>
      </c>
      <c r="AW460" s="123">
        <v>1</v>
      </c>
      <c r="AX460" s="516"/>
      <c r="AY460" s="75">
        <v>0</v>
      </c>
      <c r="AZ460" s="77" t="s">
        <v>5971</v>
      </c>
      <c r="BA460" s="78" t="s">
        <v>5971</v>
      </c>
      <c r="BB460" s="78" t="s">
        <v>5971</v>
      </c>
      <c r="BC460" s="78" t="s">
        <v>5971</v>
      </c>
      <c r="BD460" s="78" t="s">
        <v>5971</v>
      </c>
      <c r="BE460" s="78" t="s">
        <v>5971</v>
      </c>
      <c r="BF460" s="78" t="s">
        <v>5971</v>
      </c>
      <c r="BG460" s="78" t="s">
        <v>5971</v>
      </c>
      <c r="BH460" s="75" t="s">
        <v>5971</v>
      </c>
      <c r="BI460" s="295" t="s">
        <v>16</v>
      </c>
      <c r="BJ460" s="546" t="s">
        <v>16</v>
      </c>
      <c r="BK460" s="294" t="s">
        <v>16</v>
      </c>
      <c r="BL460" s="157" t="s">
        <v>16</v>
      </c>
      <c r="BM460" s="548" t="s">
        <v>1342</v>
      </c>
      <c r="BN460" s="548" t="s">
        <v>4160</v>
      </c>
      <c r="BO460" s="157" t="s">
        <v>4616</v>
      </c>
      <c r="BP460" s="548" t="s">
        <v>4624</v>
      </c>
      <c r="BQ460" s="157" t="s">
        <v>4592</v>
      </c>
      <c r="BR460" s="157"/>
    </row>
    <row r="461" spans="1:70" x14ac:dyDescent="0.25">
      <c r="A461" s="19" t="s">
        <v>3686</v>
      </c>
      <c r="B461" s="37" t="s">
        <v>5791</v>
      </c>
      <c r="C461" s="90">
        <v>45232.826064814813</v>
      </c>
      <c r="D461" s="114">
        <v>45232.576064814813</v>
      </c>
      <c r="E461" s="38">
        <v>45232</v>
      </c>
      <c r="F461" s="91">
        <v>2023</v>
      </c>
      <c r="G461" s="93">
        <v>11</v>
      </c>
      <c r="H461" s="37" t="s">
        <v>5778</v>
      </c>
      <c r="I461" s="37"/>
      <c r="J461" s="103">
        <v>-91.244994950707763</v>
      </c>
      <c r="K461" s="40">
        <v>43.802158703627605</v>
      </c>
      <c r="L461" s="74"/>
      <c r="M461" s="272" t="s">
        <v>16</v>
      </c>
      <c r="N461" s="74">
        <v>0</v>
      </c>
      <c r="O461" s="94"/>
      <c r="P461" s="118">
        <v>0</v>
      </c>
      <c r="Q461" s="510"/>
      <c r="R461" s="513"/>
      <c r="S461" s="41"/>
      <c r="T461" s="40"/>
      <c r="U461" s="40"/>
      <c r="V461" s="119">
        <v>0</v>
      </c>
      <c r="W461" s="40"/>
      <c r="X461" s="119">
        <v>0</v>
      </c>
      <c r="Y461" s="40"/>
      <c r="Z461" s="119">
        <v>1</v>
      </c>
      <c r="AA461" s="368">
        <v>0</v>
      </c>
      <c r="AB461" s="535">
        <v>5</v>
      </c>
      <c r="AC461" s="39" t="s">
        <v>161</v>
      </c>
      <c r="AD461" s="75" t="s">
        <v>16</v>
      </c>
      <c r="AE461" s="95">
        <v>-1</v>
      </c>
      <c r="AF461" s="75">
        <v>-1</v>
      </c>
      <c r="AG461" s="75">
        <v>-1</v>
      </c>
      <c r="AH461" s="75">
        <v>-1</v>
      </c>
      <c r="AI461" s="75">
        <v>-1</v>
      </c>
      <c r="AJ461" s="75">
        <v>-1</v>
      </c>
      <c r="AK461" s="75">
        <v>-1</v>
      </c>
      <c r="AL461" s="95">
        <v>-1</v>
      </c>
      <c r="AM461" s="92">
        <v>1</v>
      </c>
      <c r="AN461" s="79"/>
      <c r="AO461" s="75">
        <v>0</v>
      </c>
      <c r="AP461" s="75"/>
      <c r="AQ461" s="122">
        <v>0</v>
      </c>
      <c r="AR461" s="515" t="s">
        <v>16</v>
      </c>
      <c r="AS461" s="95">
        <v>-1</v>
      </c>
      <c r="AT461" s="75">
        <v>-1</v>
      </c>
      <c r="AU461" s="75">
        <v>-1</v>
      </c>
      <c r="AV461" s="75">
        <v>-1</v>
      </c>
      <c r="AW461" s="123">
        <v>1</v>
      </c>
      <c r="AX461" s="516"/>
      <c r="AY461" s="75">
        <v>0</v>
      </c>
      <c r="AZ461" s="77" t="s">
        <v>5971</v>
      </c>
      <c r="BA461" s="78" t="s">
        <v>5971</v>
      </c>
      <c r="BB461" s="78" t="s">
        <v>5971</v>
      </c>
      <c r="BC461" s="78" t="s">
        <v>5971</v>
      </c>
      <c r="BD461" s="78" t="s">
        <v>5971</v>
      </c>
      <c r="BE461" s="78" t="s">
        <v>5971</v>
      </c>
      <c r="BF461" s="78" t="s">
        <v>5971</v>
      </c>
      <c r="BG461" s="78" t="s">
        <v>5971</v>
      </c>
      <c r="BH461" s="75" t="s">
        <v>5971</v>
      </c>
      <c r="BI461" s="295" t="s">
        <v>16</v>
      </c>
      <c r="BJ461" s="546" t="s">
        <v>16</v>
      </c>
      <c r="BK461" s="294" t="s">
        <v>16</v>
      </c>
      <c r="BL461" s="157" t="s">
        <v>16</v>
      </c>
      <c r="BM461" s="548" t="s">
        <v>1342</v>
      </c>
      <c r="BN461" s="548" t="s">
        <v>4160</v>
      </c>
      <c r="BO461" s="157" t="s">
        <v>4616</v>
      </c>
      <c r="BP461" s="548" t="s">
        <v>4624</v>
      </c>
      <c r="BQ461" s="157" t="s">
        <v>4592</v>
      </c>
      <c r="BR461" s="157"/>
    </row>
    <row r="462" spans="1:70" x14ac:dyDescent="0.25">
      <c r="A462" s="19" t="s">
        <v>3686</v>
      </c>
      <c r="B462" s="37" t="s">
        <v>5792</v>
      </c>
      <c r="C462" s="90">
        <v>45232.821423611109</v>
      </c>
      <c r="D462" s="114">
        <v>45232.571423611109</v>
      </c>
      <c r="E462" s="38">
        <v>45232</v>
      </c>
      <c r="F462" s="91">
        <v>2023</v>
      </c>
      <c r="G462" s="93">
        <v>11</v>
      </c>
      <c r="H462" s="37" t="s">
        <v>5778</v>
      </c>
      <c r="I462" s="37"/>
      <c r="J462" s="103">
        <v>-91.245021016739244</v>
      </c>
      <c r="K462" s="40">
        <v>43.802199703811667</v>
      </c>
      <c r="L462" s="74"/>
      <c r="M462" s="272" t="s">
        <v>16</v>
      </c>
      <c r="N462" s="74">
        <v>0</v>
      </c>
      <c r="O462" s="94"/>
      <c r="P462" s="118">
        <v>1</v>
      </c>
      <c r="Q462" s="510">
        <v>180</v>
      </c>
      <c r="R462" s="513">
        <v>180</v>
      </c>
      <c r="S462" s="41"/>
      <c r="T462" s="40"/>
      <c r="U462" s="40">
        <v>8</v>
      </c>
      <c r="V462" s="119">
        <v>0</v>
      </c>
      <c r="W462" s="40"/>
      <c r="X462" s="119">
        <v>0</v>
      </c>
      <c r="Y462" s="40"/>
      <c r="Z462" s="119">
        <v>0</v>
      </c>
      <c r="AA462" s="368" t="s">
        <v>16</v>
      </c>
      <c r="AB462" s="535" t="s">
        <v>16</v>
      </c>
      <c r="AC462" s="39" t="s">
        <v>161</v>
      </c>
      <c r="AD462" s="75" t="s">
        <v>16</v>
      </c>
      <c r="AE462" s="95">
        <v>-1</v>
      </c>
      <c r="AF462" s="75">
        <v>-1</v>
      </c>
      <c r="AG462" s="75">
        <v>-1</v>
      </c>
      <c r="AH462" s="75">
        <v>-1</v>
      </c>
      <c r="AI462" s="75">
        <v>-1</v>
      </c>
      <c r="AJ462" s="75">
        <v>-1</v>
      </c>
      <c r="AK462" s="75">
        <v>-1</v>
      </c>
      <c r="AL462" s="95">
        <v>-1</v>
      </c>
      <c r="AM462" s="92">
        <v>1</v>
      </c>
      <c r="AN462" s="79"/>
      <c r="AO462" s="75">
        <v>0</v>
      </c>
      <c r="AP462" s="75"/>
      <c r="AQ462" s="122">
        <v>0</v>
      </c>
      <c r="AR462" s="515" t="s">
        <v>16</v>
      </c>
      <c r="AS462" s="95">
        <v>-1</v>
      </c>
      <c r="AT462" s="75">
        <v>-1</v>
      </c>
      <c r="AU462" s="75">
        <v>-1</v>
      </c>
      <c r="AV462" s="75">
        <v>-1</v>
      </c>
      <c r="AW462" s="123">
        <v>1</v>
      </c>
      <c r="AX462" s="516"/>
      <c r="AY462" s="75">
        <v>0</v>
      </c>
      <c r="AZ462" s="77" t="s">
        <v>5971</v>
      </c>
      <c r="BA462" s="78" t="s">
        <v>5971</v>
      </c>
      <c r="BB462" s="78" t="s">
        <v>5971</v>
      </c>
      <c r="BC462" s="78" t="s">
        <v>5971</v>
      </c>
      <c r="BD462" s="78" t="s">
        <v>5971</v>
      </c>
      <c r="BE462" s="78" t="s">
        <v>5971</v>
      </c>
      <c r="BF462" s="78" t="s">
        <v>5971</v>
      </c>
      <c r="BG462" s="78" t="s">
        <v>5971</v>
      </c>
      <c r="BH462" s="75" t="s">
        <v>5971</v>
      </c>
      <c r="BI462" s="295" t="s">
        <v>16</v>
      </c>
      <c r="BJ462" s="546" t="s">
        <v>16</v>
      </c>
      <c r="BK462" s="294" t="s">
        <v>16</v>
      </c>
      <c r="BL462" s="157" t="s">
        <v>16</v>
      </c>
      <c r="BM462" s="548" t="s">
        <v>1342</v>
      </c>
      <c r="BN462" s="548" t="s">
        <v>4160</v>
      </c>
      <c r="BO462" s="157" t="s">
        <v>4616</v>
      </c>
      <c r="BP462" s="548" t="s">
        <v>4624</v>
      </c>
      <c r="BQ462" s="157" t="s">
        <v>4592</v>
      </c>
      <c r="BR462" s="157"/>
    </row>
    <row r="463" spans="1:70" x14ac:dyDescent="0.25">
      <c r="A463" s="19" t="s">
        <v>3686</v>
      </c>
      <c r="B463" s="37" t="s">
        <v>3696</v>
      </c>
      <c r="C463" s="90">
        <v>45227.843229166669</v>
      </c>
      <c r="D463" s="114">
        <v>45227.593229166669</v>
      </c>
      <c r="E463" s="38">
        <v>45227</v>
      </c>
      <c r="F463" s="91">
        <v>2023</v>
      </c>
      <c r="G463" s="93">
        <v>10</v>
      </c>
      <c r="H463" s="37" t="s">
        <v>379</v>
      </c>
      <c r="I463" s="37"/>
      <c r="J463" s="103">
        <v>-92.322493353944566</v>
      </c>
      <c r="K463" s="40">
        <v>44.705229294528223</v>
      </c>
      <c r="L463" s="74"/>
      <c r="M463" s="272" t="s">
        <v>16</v>
      </c>
      <c r="N463" s="74">
        <v>0</v>
      </c>
      <c r="O463" s="94"/>
      <c r="P463" s="118">
        <v>1</v>
      </c>
      <c r="Q463" s="510">
        <v>120</v>
      </c>
      <c r="R463" s="513">
        <v>120</v>
      </c>
      <c r="S463" s="41"/>
      <c r="T463" s="40"/>
      <c r="U463" s="40">
        <v>7.5</v>
      </c>
      <c r="V463" s="119">
        <v>1</v>
      </c>
      <c r="W463" s="40">
        <v>100</v>
      </c>
      <c r="X463" s="119">
        <v>1</v>
      </c>
      <c r="Y463" s="40">
        <v>48</v>
      </c>
      <c r="Z463" s="119">
        <v>1</v>
      </c>
      <c r="AA463" s="368">
        <v>0</v>
      </c>
      <c r="AB463" s="535">
        <v>2</v>
      </c>
      <c r="AC463" s="39" t="s">
        <v>160</v>
      </c>
      <c r="AD463" s="75" t="s">
        <v>16</v>
      </c>
      <c r="AE463" s="95">
        <v>-1</v>
      </c>
      <c r="AF463" s="75">
        <v>-1</v>
      </c>
      <c r="AG463" s="75">
        <v>-1</v>
      </c>
      <c r="AH463" s="75">
        <v>-1</v>
      </c>
      <c r="AI463" s="75">
        <v>-1</v>
      </c>
      <c r="AJ463" s="75">
        <v>-1</v>
      </c>
      <c r="AK463" s="75">
        <v>-1</v>
      </c>
      <c r="AL463" s="95">
        <v>-1</v>
      </c>
      <c r="AM463" s="92">
        <v>1</v>
      </c>
      <c r="AN463" s="79" t="s">
        <v>81</v>
      </c>
      <c r="AO463" s="75">
        <v>1</v>
      </c>
      <c r="AP463" s="75" t="s">
        <v>83</v>
      </c>
      <c r="AQ463" s="122">
        <v>1</v>
      </c>
      <c r="AR463" s="515" t="s">
        <v>13</v>
      </c>
      <c r="AS463" s="95">
        <v>1</v>
      </c>
      <c r="AT463" s="75">
        <v>0</v>
      </c>
      <c r="AU463" s="75">
        <v>0</v>
      </c>
      <c r="AV463" s="75">
        <v>0</v>
      </c>
      <c r="AW463" s="123">
        <v>0</v>
      </c>
      <c r="AX463" s="516"/>
      <c r="AY463" s="75">
        <v>0</v>
      </c>
      <c r="AZ463" s="77" t="s">
        <v>5971</v>
      </c>
      <c r="BA463" s="78" t="s">
        <v>5971</v>
      </c>
      <c r="BB463" s="78" t="s">
        <v>5971</v>
      </c>
      <c r="BC463" s="78" t="s">
        <v>5971</v>
      </c>
      <c r="BD463" s="78" t="s">
        <v>5971</v>
      </c>
      <c r="BE463" s="78" t="s">
        <v>5971</v>
      </c>
      <c r="BF463" s="78" t="s">
        <v>5971</v>
      </c>
      <c r="BG463" s="78" t="s">
        <v>5971</v>
      </c>
      <c r="BH463" s="75" t="s">
        <v>5971</v>
      </c>
      <c r="BI463" s="295" t="s">
        <v>2299</v>
      </c>
      <c r="BJ463" s="546">
        <v>1</v>
      </c>
      <c r="BK463" s="294">
        <v>1</v>
      </c>
      <c r="BL463" s="157">
        <v>1</v>
      </c>
      <c r="BM463" s="548" t="s">
        <v>578</v>
      </c>
      <c r="BN463" s="548" t="s">
        <v>578</v>
      </c>
      <c r="BO463" s="157" t="s">
        <v>4213</v>
      </c>
      <c r="BP463" s="548" t="s">
        <v>4216</v>
      </c>
      <c r="BQ463" s="157" t="s">
        <v>4212</v>
      </c>
      <c r="BR463" s="157"/>
    </row>
    <row r="464" spans="1:70" x14ac:dyDescent="0.25">
      <c r="A464" s="19" t="s">
        <v>3686</v>
      </c>
      <c r="B464" s="37" t="s">
        <v>3697</v>
      </c>
      <c r="C464" s="90">
        <v>45227.825150462966</v>
      </c>
      <c r="D464" s="114">
        <v>45227.575150462966</v>
      </c>
      <c r="E464" s="38">
        <v>45227</v>
      </c>
      <c r="F464" s="91">
        <v>2023</v>
      </c>
      <c r="G464" s="93">
        <v>10</v>
      </c>
      <c r="H464" s="37" t="s">
        <v>379</v>
      </c>
      <c r="I464" s="37"/>
      <c r="J464" s="103">
        <v>-92.239011666282494</v>
      </c>
      <c r="K464" s="40">
        <v>44.728655910746838</v>
      </c>
      <c r="L464" s="74"/>
      <c r="M464" s="272" t="s">
        <v>16</v>
      </c>
      <c r="N464" s="74">
        <v>0</v>
      </c>
      <c r="O464" s="94"/>
      <c r="P464" s="118">
        <v>0</v>
      </c>
      <c r="Q464" s="510"/>
      <c r="R464" s="513"/>
      <c r="S464" s="41"/>
      <c r="T464" s="40"/>
      <c r="U464" s="40"/>
      <c r="V464" s="119">
        <v>0</v>
      </c>
      <c r="W464" s="40"/>
      <c r="X464" s="119">
        <v>0</v>
      </c>
      <c r="Y464" s="40"/>
      <c r="Z464" s="119">
        <v>1</v>
      </c>
      <c r="AA464" s="368">
        <v>0</v>
      </c>
      <c r="AB464" s="535">
        <v>2</v>
      </c>
      <c r="AC464" s="39" t="s">
        <v>160</v>
      </c>
      <c r="AD464" s="75" t="s">
        <v>16</v>
      </c>
      <c r="AE464" s="95">
        <v>-1</v>
      </c>
      <c r="AF464" s="75">
        <v>-1</v>
      </c>
      <c r="AG464" s="75">
        <v>-1</v>
      </c>
      <c r="AH464" s="75">
        <v>-1</v>
      </c>
      <c r="AI464" s="75">
        <v>-1</v>
      </c>
      <c r="AJ464" s="75">
        <v>-1</v>
      </c>
      <c r="AK464" s="75">
        <v>-1</v>
      </c>
      <c r="AL464" s="95">
        <v>-1</v>
      </c>
      <c r="AM464" s="92">
        <v>1</v>
      </c>
      <c r="AN464" s="79" t="s">
        <v>80</v>
      </c>
      <c r="AO464" s="75">
        <v>1</v>
      </c>
      <c r="AP464" s="75" t="s">
        <v>84</v>
      </c>
      <c r="AQ464" s="122">
        <v>1</v>
      </c>
      <c r="AR464" s="515" t="s">
        <v>13</v>
      </c>
      <c r="AS464" s="95">
        <v>1</v>
      </c>
      <c r="AT464" s="75">
        <v>0</v>
      </c>
      <c r="AU464" s="75">
        <v>0</v>
      </c>
      <c r="AV464" s="75">
        <v>0</v>
      </c>
      <c r="AW464" s="123">
        <v>0</v>
      </c>
      <c r="AX464" s="516"/>
      <c r="AY464" s="75">
        <v>0</v>
      </c>
      <c r="AZ464" s="77" t="s">
        <v>5971</v>
      </c>
      <c r="BA464" s="78" t="s">
        <v>5971</v>
      </c>
      <c r="BB464" s="78" t="s">
        <v>5971</v>
      </c>
      <c r="BC464" s="78" t="s">
        <v>5971</v>
      </c>
      <c r="BD464" s="78" t="s">
        <v>5971</v>
      </c>
      <c r="BE464" s="78" t="s">
        <v>5971</v>
      </c>
      <c r="BF464" s="78" t="s">
        <v>5971</v>
      </c>
      <c r="BG464" s="78" t="s">
        <v>5971</v>
      </c>
      <c r="BH464" s="75" t="s">
        <v>5971</v>
      </c>
      <c r="BI464" s="295" t="s">
        <v>2248</v>
      </c>
      <c r="BJ464" s="546" t="s">
        <v>16</v>
      </c>
      <c r="BK464" s="294" t="s">
        <v>16</v>
      </c>
      <c r="BL464" s="157" t="s">
        <v>16</v>
      </c>
      <c r="BM464" s="548" t="s">
        <v>578</v>
      </c>
      <c r="BN464" s="548" t="s">
        <v>578</v>
      </c>
      <c r="BO464" s="157" t="s">
        <v>4218</v>
      </c>
      <c r="BP464" s="548" t="s">
        <v>4221</v>
      </c>
      <c r="BQ464" s="157" t="s">
        <v>4217</v>
      </c>
      <c r="BR464" s="157"/>
    </row>
    <row r="465" spans="1:70" x14ac:dyDescent="0.25">
      <c r="A465" s="19" t="s">
        <v>3686</v>
      </c>
      <c r="B465" s="37" t="s">
        <v>3698</v>
      </c>
      <c r="C465" s="90">
        <v>45227.823425925926</v>
      </c>
      <c r="D465" s="114">
        <v>45227.573425925926</v>
      </c>
      <c r="E465" s="38">
        <v>45227</v>
      </c>
      <c r="F465" s="91">
        <v>2023</v>
      </c>
      <c r="G465" s="93">
        <v>10</v>
      </c>
      <c r="H465" s="37" t="s">
        <v>379</v>
      </c>
      <c r="I465" s="37"/>
      <c r="J465" s="103">
        <v>-92.238995181482522</v>
      </c>
      <c r="K465" s="40">
        <v>44.728665221524423</v>
      </c>
      <c r="L465" s="74"/>
      <c r="M465" s="272" t="s">
        <v>16</v>
      </c>
      <c r="N465" s="74">
        <v>0</v>
      </c>
      <c r="O465" s="94"/>
      <c r="P465" s="118">
        <v>1</v>
      </c>
      <c r="Q465" s="510">
        <v>40</v>
      </c>
      <c r="R465" s="513">
        <v>30</v>
      </c>
      <c r="S465" s="41"/>
      <c r="T465" s="40"/>
      <c r="U465" s="40">
        <v>7</v>
      </c>
      <c r="V465" s="119">
        <v>1</v>
      </c>
      <c r="W465" s="40">
        <v>0</v>
      </c>
      <c r="X465" s="119">
        <v>0</v>
      </c>
      <c r="Y465" s="40"/>
      <c r="Z465" s="119">
        <v>0</v>
      </c>
      <c r="AA465" s="368" t="s">
        <v>16</v>
      </c>
      <c r="AB465" s="535" t="s">
        <v>16</v>
      </c>
      <c r="AC465" s="39" t="s">
        <v>160</v>
      </c>
      <c r="AD465" s="75" t="s">
        <v>16</v>
      </c>
      <c r="AE465" s="95">
        <v>-1</v>
      </c>
      <c r="AF465" s="75">
        <v>-1</v>
      </c>
      <c r="AG465" s="75">
        <v>-1</v>
      </c>
      <c r="AH465" s="75">
        <v>-1</v>
      </c>
      <c r="AI465" s="75">
        <v>-1</v>
      </c>
      <c r="AJ465" s="75">
        <v>-1</v>
      </c>
      <c r="AK465" s="75">
        <v>-1</v>
      </c>
      <c r="AL465" s="95">
        <v>-1</v>
      </c>
      <c r="AM465" s="92">
        <v>1</v>
      </c>
      <c r="AN465" s="79"/>
      <c r="AO465" s="75">
        <v>0</v>
      </c>
      <c r="AP465" s="75"/>
      <c r="AQ465" s="122">
        <v>0</v>
      </c>
      <c r="AR465" s="515" t="s">
        <v>16</v>
      </c>
      <c r="AS465" s="95">
        <v>-1</v>
      </c>
      <c r="AT465" s="75">
        <v>-1</v>
      </c>
      <c r="AU465" s="75">
        <v>-1</v>
      </c>
      <c r="AV465" s="75">
        <v>-1</v>
      </c>
      <c r="AW465" s="123">
        <v>1</v>
      </c>
      <c r="AX465" s="516"/>
      <c r="AY465" s="75">
        <v>0</v>
      </c>
      <c r="AZ465" s="77" t="s">
        <v>5971</v>
      </c>
      <c r="BA465" s="78" t="s">
        <v>5971</v>
      </c>
      <c r="BB465" s="78" t="s">
        <v>5971</v>
      </c>
      <c r="BC465" s="78" t="s">
        <v>5971</v>
      </c>
      <c r="BD465" s="78" t="s">
        <v>5971</v>
      </c>
      <c r="BE465" s="78" t="s">
        <v>5971</v>
      </c>
      <c r="BF465" s="78" t="s">
        <v>5971</v>
      </c>
      <c r="BG465" s="78" t="s">
        <v>5971</v>
      </c>
      <c r="BH465" s="75" t="s">
        <v>5971</v>
      </c>
      <c r="BI465" s="295" t="s">
        <v>16</v>
      </c>
      <c r="BJ465" s="546" t="s">
        <v>16</v>
      </c>
      <c r="BK465" s="294" t="s">
        <v>16</v>
      </c>
      <c r="BL465" s="157" t="s">
        <v>16</v>
      </c>
      <c r="BM465" s="548" t="s">
        <v>578</v>
      </c>
      <c r="BN465" s="548" t="s">
        <v>578</v>
      </c>
      <c r="BO465" s="157" t="s">
        <v>4218</v>
      </c>
      <c r="BP465" s="548" t="s">
        <v>4221</v>
      </c>
      <c r="BQ465" s="157" t="s">
        <v>4217</v>
      </c>
      <c r="BR465" s="157"/>
    </row>
    <row r="466" spans="1:70" x14ac:dyDescent="0.25">
      <c r="A466" s="19" t="s">
        <v>3686</v>
      </c>
      <c r="B466" s="37" t="s">
        <v>3699</v>
      </c>
      <c r="C466" s="90">
        <v>45226.878877314812</v>
      </c>
      <c r="D466" s="114">
        <v>45226.628877314812</v>
      </c>
      <c r="E466" s="38">
        <v>45226</v>
      </c>
      <c r="F466" s="91">
        <v>2023</v>
      </c>
      <c r="G466" s="93">
        <v>10</v>
      </c>
      <c r="H466" s="37" t="s">
        <v>3700</v>
      </c>
      <c r="I466" s="37" t="s">
        <v>16</v>
      </c>
      <c r="J466" s="103">
        <v>-93.121456499999994</v>
      </c>
      <c r="K466" s="40">
        <v>45.081448999999999</v>
      </c>
      <c r="L466" s="74"/>
      <c r="M466" s="272" t="s">
        <v>16</v>
      </c>
      <c r="N466" s="74">
        <v>0</v>
      </c>
      <c r="O466" s="94"/>
      <c r="P466" s="118">
        <v>1</v>
      </c>
      <c r="Q466" s="510">
        <v>180</v>
      </c>
      <c r="R466" s="513">
        <v>30</v>
      </c>
      <c r="S466" s="41"/>
      <c r="T466" s="40"/>
      <c r="U466" s="40">
        <v>8</v>
      </c>
      <c r="V466" s="119">
        <v>1</v>
      </c>
      <c r="W466" s="40">
        <v>0</v>
      </c>
      <c r="X466" s="119">
        <v>1</v>
      </c>
      <c r="Y466" s="40">
        <v>65</v>
      </c>
      <c r="Z466" s="119">
        <v>1</v>
      </c>
      <c r="AA466" s="368">
        <v>0</v>
      </c>
      <c r="AB466" s="535">
        <v>0</v>
      </c>
      <c r="AC466" s="39" t="s">
        <v>161</v>
      </c>
      <c r="AD466" s="75" t="s">
        <v>16</v>
      </c>
      <c r="AE466" s="95">
        <v>-1</v>
      </c>
      <c r="AF466" s="75">
        <v>-1</v>
      </c>
      <c r="AG466" s="75">
        <v>-1</v>
      </c>
      <c r="AH466" s="75">
        <v>-1</v>
      </c>
      <c r="AI466" s="75">
        <v>-1</v>
      </c>
      <c r="AJ466" s="75">
        <v>-1</v>
      </c>
      <c r="AK466" s="75">
        <v>-1</v>
      </c>
      <c r="AL466" s="95">
        <v>-1</v>
      </c>
      <c r="AM466" s="92">
        <v>1</v>
      </c>
      <c r="AN466" s="79"/>
      <c r="AO466" s="75">
        <v>0</v>
      </c>
      <c r="AP466" s="75"/>
      <c r="AQ466" s="122">
        <v>0</v>
      </c>
      <c r="AR466" s="515" t="s">
        <v>16</v>
      </c>
      <c r="AS466" s="95">
        <v>-1</v>
      </c>
      <c r="AT466" s="75">
        <v>-1</v>
      </c>
      <c r="AU466" s="75">
        <v>-1</v>
      </c>
      <c r="AV466" s="75">
        <v>-1</v>
      </c>
      <c r="AW466" s="123">
        <v>1</v>
      </c>
      <c r="AX466" s="516"/>
      <c r="AY466" s="75">
        <v>0</v>
      </c>
      <c r="AZ466" s="77" t="s">
        <v>5971</v>
      </c>
      <c r="BA466" s="78" t="s">
        <v>5971</v>
      </c>
      <c r="BB466" s="78" t="s">
        <v>5971</v>
      </c>
      <c r="BC466" s="78" t="s">
        <v>5971</v>
      </c>
      <c r="BD466" s="78" t="s">
        <v>5971</v>
      </c>
      <c r="BE466" s="78" t="s">
        <v>5971</v>
      </c>
      <c r="BF466" s="78" t="s">
        <v>5971</v>
      </c>
      <c r="BG466" s="78" t="s">
        <v>5971</v>
      </c>
      <c r="BH466" s="75" t="s">
        <v>5971</v>
      </c>
      <c r="BI466" s="295" t="s">
        <v>16</v>
      </c>
      <c r="BJ466" s="546" t="s">
        <v>16</v>
      </c>
      <c r="BK466" s="294" t="s">
        <v>16</v>
      </c>
      <c r="BL466" s="157" t="s">
        <v>16</v>
      </c>
      <c r="BM466" s="548" t="s">
        <v>2343</v>
      </c>
      <c r="BN466" s="548" t="s">
        <v>4161</v>
      </c>
      <c r="BO466" s="157" t="s">
        <v>4223</v>
      </c>
      <c r="BP466" s="548" t="s">
        <v>4225</v>
      </c>
      <c r="BQ466" s="157" t="s">
        <v>4222</v>
      </c>
      <c r="BR466" s="157"/>
    </row>
    <row r="467" spans="1:70" x14ac:dyDescent="0.25">
      <c r="A467" s="19" t="s">
        <v>3686</v>
      </c>
      <c r="B467" s="37" t="s">
        <v>3701</v>
      </c>
      <c r="C467" s="90">
        <v>45226.795590277776</v>
      </c>
      <c r="D467" s="114">
        <v>45226.545590277776</v>
      </c>
      <c r="E467" s="38">
        <v>45226</v>
      </c>
      <c r="F467" s="91">
        <v>2023</v>
      </c>
      <c r="G467" s="93">
        <v>10</v>
      </c>
      <c r="H467" s="37" t="s">
        <v>1386</v>
      </c>
      <c r="I467" s="37"/>
      <c r="J467" s="103">
        <v>-92.294065700000004</v>
      </c>
      <c r="K467" s="40">
        <v>43.7281014</v>
      </c>
      <c r="L467" s="74"/>
      <c r="M467" s="272" t="s">
        <v>16</v>
      </c>
      <c r="N467" s="74">
        <v>0</v>
      </c>
      <c r="O467" s="94"/>
      <c r="P467" s="118">
        <v>0</v>
      </c>
      <c r="Q467" s="510"/>
      <c r="R467" s="513"/>
      <c r="S467" s="41"/>
      <c r="T467" s="40"/>
      <c r="U467" s="40"/>
      <c r="V467" s="119">
        <v>1</v>
      </c>
      <c r="W467" s="40">
        <v>0</v>
      </c>
      <c r="X467" s="119">
        <v>1</v>
      </c>
      <c r="Y467" s="40">
        <v>51</v>
      </c>
      <c r="Z467" s="119">
        <v>1</v>
      </c>
      <c r="AA467" s="368">
        <v>0</v>
      </c>
      <c r="AB467" s="535">
        <v>2</v>
      </c>
      <c r="AC467" s="39" t="s">
        <v>160</v>
      </c>
      <c r="AD467" s="75" t="s">
        <v>10</v>
      </c>
      <c r="AE467" s="95">
        <v>0</v>
      </c>
      <c r="AF467" s="75">
        <v>0</v>
      </c>
      <c r="AG467" s="75">
        <v>0</v>
      </c>
      <c r="AH467" s="75">
        <v>0</v>
      </c>
      <c r="AI467" s="75">
        <v>0</v>
      </c>
      <c r="AJ467" s="75">
        <v>0</v>
      </c>
      <c r="AK467" s="75">
        <v>0</v>
      </c>
      <c r="AL467" s="95">
        <v>1</v>
      </c>
      <c r="AM467" s="92">
        <v>0</v>
      </c>
      <c r="AN467" s="79" t="s">
        <v>80</v>
      </c>
      <c r="AO467" s="75">
        <v>1</v>
      </c>
      <c r="AP467" s="75" t="s">
        <v>83</v>
      </c>
      <c r="AQ467" s="122">
        <v>1</v>
      </c>
      <c r="AR467" s="515" t="s">
        <v>13</v>
      </c>
      <c r="AS467" s="95">
        <v>1</v>
      </c>
      <c r="AT467" s="75">
        <v>0</v>
      </c>
      <c r="AU467" s="75">
        <v>0</v>
      </c>
      <c r="AV467" s="75">
        <v>0</v>
      </c>
      <c r="AW467" s="123">
        <v>0</v>
      </c>
      <c r="AX467" s="516"/>
      <c r="AY467" s="75">
        <v>0</v>
      </c>
      <c r="AZ467" s="77" t="s">
        <v>131</v>
      </c>
      <c r="BA467" s="78" t="s">
        <v>131</v>
      </c>
      <c r="BB467" s="78" t="s">
        <v>131</v>
      </c>
      <c r="BC467" s="78" t="s">
        <v>131</v>
      </c>
      <c r="BD467" s="78" t="s">
        <v>131</v>
      </c>
      <c r="BE467" s="78" t="s">
        <v>131</v>
      </c>
      <c r="BF467" s="78" t="s">
        <v>131</v>
      </c>
      <c r="BG467" s="78" t="s">
        <v>132</v>
      </c>
      <c r="BH467" s="75" t="s">
        <v>5970</v>
      </c>
      <c r="BI467" s="295" t="s">
        <v>2230</v>
      </c>
      <c r="BJ467" s="546">
        <v>1</v>
      </c>
      <c r="BK467" s="294" t="s">
        <v>16</v>
      </c>
      <c r="BL467" s="157" t="s">
        <v>16</v>
      </c>
      <c r="BM467" s="548" t="s">
        <v>1339</v>
      </c>
      <c r="BN467" s="548" t="s">
        <v>1339</v>
      </c>
      <c r="BO467" s="157" t="s">
        <v>4227</v>
      </c>
      <c r="BP467" s="548" t="s">
        <v>2230</v>
      </c>
      <c r="BQ467" s="157" t="s">
        <v>4226</v>
      </c>
      <c r="BR467" s="157"/>
    </row>
    <row r="468" spans="1:70" x14ac:dyDescent="0.25">
      <c r="A468" s="19" t="s">
        <v>3686</v>
      </c>
      <c r="B468" s="37" t="s">
        <v>3702</v>
      </c>
      <c r="C468" s="90">
        <v>45226.769907407404</v>
      </c>
      <c r="D468" s="114">
        <v>45226.519907407404</v>
      </c>
      <c r="E468" s="38">
        <v>45226</v>
      </c>
      <c r="F468" s="91">
        <v>2023</v>
      </c>
      <c r="G468" s="93">
        <v>10</v>
      </c>
      <c r="H468" s="37" t="s">
        <v>1386</v>
      </c>
      <c r="I468" s="37"/>
      <c r="J468" s="103">
        <v>-92.342181800000006</v>
      </c>
      <c r="K468" s="40">
        <v>43.603066800000001</v>
      </c>
      <c r="L468" s="74"/>
      <c r="M468" s="272" t="s">
        <v>16</v>
      </c>
      <c r="N468" s="74">
        <v>0</v>
      </c>
      <c r="O468" s="94"/>
      <c r="P468" s="118">
        <v>0</v>
      </c>
      <c r="Q468" s="510"/>
      <c r="R468" s="513"/>
      <c r="S468" s="41"/>
      <c r="T468" s="40"/>
      <c r="U468" s="40"/>
      <c r="V468" s="119">
        <v>1</v>
      </c>
      <c r="W468" s="40">
        <v>0</v>
      </c>
      <c r="X468" s="119">
        <v>1</v>
      </c>
      <c r="Y468" s="40">
        <v>51</v>
      </c>
      <c r="Z468" s="119">
        <v>1</v>
      </c>
      <c r="AA468" s="368">
        <v>0</v>
      </c>
      <c r="AB468" s="535">
        <v>5</v>
      </c>
      <c r="AC468" s="39" t="s">
        <v>160</v>
      </c>
      <c r="AD468" s="75" t="s">
        <v>10</v>
      </c>
      <c r="AE468" s="95">
        <v>0</v>
      </c>
      <c r="AF468" s="75">
        <v>0</v>
      </c>
      <c r="AG468" s="75">
        <v>0</v>
      </c>
      <c r="AH468" s="75">
        <v>0</v>
      </c>
      <c r="AI468" s="75">
        <v>0</v>
      </c>
      <c r="AJ468" s="75">
        <v>0</v>
      </c>
      <c r="AK468" s="75">
        <v>0</v>
      </c>
      <c r="AL468" s="95">
        <v>1</v>
      </c>
      <c r="AM468" s="92">
        <v>0</v>
      </c>
      <c r="AN468" s="79" t="s">
        <v>80</v>
      </c>
      <c r="AO468" s="75">
        <v>1</v>
      </c>
      <c r="AP468" s="75" t="s">
        <v>84</v>
      </c>
      <c r="AQ468" s="122">
        <v>1</v>
      </c>
      <c r="AR468" s="515" t="s">
        <v>13</v>
      </c>
      <c r="AS468" s="95">
        <v>1</v>
      </c>
      <c r="AT468" s="75">
        <v>0</v>
      </c>
      <c r="AU468" s="75">
        <v>0</v>
      </c>
      <c r="AV468" s="75">
        <v>0</v>
      </c>
      <c r="AW468" s="123">
        <v>0</v>
      </c>
      <c r="AX468" s="516"/>
      <c r="AY468" s="75">
        <v>0</v>
      </c>
      <c r="AZ468" s="77" t="s">
        <v>131</v>
      </c>
      <c r="BA468" s="78" t="s">
        <v>131</v>
      </c>
      <c r="BB468" s="78" t="s">
        <v>131</v>
      </c>
      <c r="BC468" s="78" t="s">
        <v>131</v>
      </c>
      <c r="BD468" s="78" t="s">
        <v>131</v>
      </c>
      <c r="BE468" s="78" t="s">
        <v>131</v>
      </c>
      <c r="BF468" s="78" t="s">
        <v>131</v>
      </c>
      <c r="BG468" s="78" t="s">
        <v>132</v>
      </c>
      <c r="BH468" s="75" t="s">
        <v>5970</v>
      </c>
      <c r="BI468" s="295" t="s">
        <v>2294</v>
      </c>
      <c r="BJ468" s="546">
        <v>1</v>
      </c>
      <c r="BK468" s="294" t="s">
        <v>16</v>
      </c>
      <c r="BL468" s="157" t="s">
        <v>16</v>
      </c>
      <c r="BM468" s="548" t="s">
        <v>1339</v>
      </c>
      <c r="BN468" s="548" t="s">
        <v>1339</v>
      </c>
      <c r="BO468" s="157" t="s">
        <v>4230</v>
      </c>
      <c r="BP468" s="548" t="s">
        <v>4231</v>
      </c>
      <c r="BQ468" s="157" t="s">
        <v>4229</v>
      </c>
      <c r="BR468" s="157"/>
    </row>
    <row r="469" spans="1:70" x14ac:dyDescent="0.25">
      <c r="A469" s="19" t="s">
        <v>3686</v>
      </c>
      <c r="B469" s="37" t="s">
        <v>3703</v>
      </c>
      <c r="C469" s="90">
        <v>45225.847326388888</v>
      </c>
      <c r="D469" s="114">
        <v>45225.597326388888</v>
      </c>
      <c r="E469" s="38">
        <v>45225</v>
      </c>
      <c r="F469" s="91">
        <v>2023</v>
      </c>
      <c r="G469" s="93">
        <v>10</v>
      </c>
      <c r="H469" s="37" t="s">
        <v>1386</v>
      </c>
      <c r="I469" s="37"/>
      <c r="J469" s="103">
        <v>-91.581087699999998</v>
      </c>
      <c r="K469" s="40">
        <v>43.6414112</v>
      </c>
      <c r="L469" s="74"/>
      <c r="M469" s="272" t="s">
        <v>16</v>
      </c>
      <c r="N469" s="74">
        <v>0</v>
      </c>
      <c r="O469" s="94"/>
      <c r="P469" s="118">
        <v>0</v>
      </c>
      <c r="Q469" s="510"/>
      <c r="R469" s="513"/>
      <c r="S469" s="41"/>
      <c r="T469" s="40"/>
      <c r="U469" s="40"/>
      <c r="V469" s="119">
        <v>1</v>
      </c>
      <c r="W469" s="40">
        <v>0</v>
      </c>
      <c r="X469" s="119">
        <v>1</v>
      </c>
      <c r="Y469" s="40">
        <v>50</v>
      </c>
      <c r="Z469" s="119">
        <v>1</v>
      </c>
      <c r="AA469" s="368">
        <v>0</v>
      </c>
      <c r="AB469" s="535">
        <v>5</v>
      </c>
      <c r="AC469" s="39" t="s">
        <v>160</v>
      </c>
      <c r="AD469" s="75" t="s">
        <v>10</v>
      </c>
      <c r="AE469" s="95">
        <v>0</v>
      </c>
      <c r="AF469" s="75">
        <v>0</v>
      </c>
      <c r="AG469" s="75">
        <v>0</v>
      </c>
      <c r="AH469" s="75">
        <v>0</v>
      </c>
      <c r="AI469" s="75">
        <v>0</v>
      </c>
      <c r="AJ469" s="75">
        <v>0</v>
      </c>
      <c r="AK469" s="75">
        <v>0</v>
      </c>
      <c r="AL469" s="95">
        <v>1</v>
      </c>
      <c r="AM469" s="92">
        <v>0</v>
      </c>
      <c r="AN469" s="79" t="s">
        <v>80</v>
      </c>
      <c r="AO469" s="75">
        <v>1</v>
      </c>
      <c r="AP469" s="75" t="s">
        <v>83</v>
      </c>
      <c r="AQ469" s="122">
        <v>1</v>
      </c>
      <c r="AR469" s="515" t="s">
        <v>13</v>
      </c>
      <c r="AS469" s="95">
        <v>1</v>
      </c>
      <c r="AT469" s="75">
        <v>0</v>
      </c>
      <c r="AU469" s="75">
        <v>0</v>
      </c>
      <c r="AV469" s="75">
        <v>0</v>
      </c>
      <c r="AW469" s="123">
        <v>0</v>
      </c>
      <c r="AX469" s="516"/>
      <c r="AY469" s="75">
        <v>0</v>
      </c>
      <c r="AZ469" s="77" t="s">
        <v>131</v>
      </c>
      <c r="BA469" s="78" t="s">
        <v>131</v>
      </c>
      <c r="BB469" s="78" t="s">
        <v>131</v>
      </c>
      <c r="BC469" s="78" t="s">
        <v>131</v>
      </c>
      <c r="BD469" s="78" t="s">
        <v>131</v>
      </c>
      <c r="BE469" s="78" t="s">
        <v>131</v>
      </c>
      <c r="BF469" s="78" t="s">
        <v>131</v>
      </c>
      <c r="BG469" s="78" t="s">
        <v>132</v>
      </c>
      <c r="BH469" s="75" t="s">
        <v>5970</v>
      </c>
      <c r="BI469" s="295" t="s">
        <v>2259</v>
      </c>
      <c r="BJ469" s="546">
        <v>1</v>
      </c>
      <c r="BK469" s="294" t="s">
        <v>16</v>
      </c>
      <c r="BL469" s="157" t="s">
        <v>16</v>
      </c>
      <c r="BM469" s="548" t="s">
        <v>1341</v>
      </c>
      <c r="BN469" s="548" t="s">
        <v>1339</v>
      </c>
      <c r="BO469" s="157" t="s">
        <v>4233</v>
      </c>
      <c r="BP469" s="548" t="s">
        <v>307</v>
      </c>
      <c r="BQ469" s="157" t="s">
        <v>4232</v>
      </c>
      <c r="BR469" s="157"/>
    </row>
    <row r="470" spans="1:70" x14ac:dyDescent="0.25">
      <c r="A470" s="19" t="s">
        <v>3686</v>
      </c>
      <c r="B470" s="37" t="s">
        <v>3704</v>
      </c>
      <c r="C470" s="90">
        <v>45225.824942129628</v>
      </c>
      <c r="D470" s="114">
        <v>45225.574942129628</v>
      </c>
      <c r="E470" s="38">
        <v>45225</v>
      </c>
      <c r="F470" s="91">
        <v>2023</v>
      </c>
      <c r="G470" s="93">
        <v>10</v>
      </c>
      <c r="H470" s="37" t="s">
        <v>1386</v>
      </c>
      <c r="I470" s="37"/>
      <c r="J470" s="103">
        <v>-91.373221299999997</v>
      </c>
      <c r="K470" s="40">
        <v>43.603810000000003</v>
      </c>
      <c r="L470" s="74"/>
      <c r="M470" s="272" t="s">
        <v>16</v>
      </c>
      <c r="N470" s="74">
        <v>0</v>
      </c>
      <c r="O470" s="94"/>
      <c r="P470" s="118">
        <v>0</v>
      </c>
      <c r="Q470" s="510"/>
      <c r="R470" s="513"/>
      <c r="S470" s="41"/>
      <c r="T470" s="40"/>
      <c r="U470" s="40"/>
      <c r="V470" s="119">
        <v>1</v>
      </c>
      <c r="W470" s="40">
        <v>0</v>
      </c>
      <c r="X470" s="119">
        <v>1</v>
      </c>
      <c r="Y470" s="40">
        <v>57</v>
      </c>
      <c r="Z470" s="119">
        <v>1</v>
      </c>
      <c r="AA470" s="368">
        <v>0</v>
      </c>
      <c r="AB470" s="535">
        <v>2</v>
      </c>
      <c r="AC470" s="39" t="s">
        <v>160</v>
      </c>
      <c r="AD470" s="75" t="s">
        <v>10</v>
      </c>
      <c r="AE470" s="95">
        <v>0</v>
      </c>
      <c r="AF470" s="75">
        <v>0</v>
      </c>
      <c r="AG470" s="75">
        <v>0</v>
      </c>
      <c r="AH470" s="75">
        <v>0</v>
      </c>
      <c r="AI470" s="75">
        <v>0</v>
      </c>
      <c r="AJ470" s="75">
        <v>0</v>
      </c>
      <c r="AK470" s="75">
        <v>0</v>
      </c>
      <c r="AL470" s="95">
        <v>1</v>
      </c>
      <c r="AM470" s="92">
        <v>0</v>
      </c>
      <c r="AN470" s="79" t="s">
        <v>80</v>
      </c>
      <c r="AO470" s="75">
        <v>1</v>
      </c>
      <c r="AP470" s="75" t="s">
        <v>83</v>
      </c>
      <c r="AQ470" s="122">
        <v>1</v>
      </c>
      <c r="AR470" s="515" t="s">
        <v>13</v>
      </c>
      <c r="AS470" s="95">
        <v>1</v>
      </c>
      <c r="AT470" s="75">
        <v>0</v>
      </c>
      <c r="AU470" s="75">
        <v>0</v>
      </c>
      <c r="AV470" s="75">
        <v>0</v>
      </c>
      <c r="AW470" s="123">
        <v>0</v>
      </c>
      <c r="AX470" s="516"/>
      <c r="AY470" s="75">
        <v>0</v>
      </c>
      <c r="AZ470" s="77" t="s">
        <v>131</v>
      </c>
      <c r="BA470" s="78" t="s">
        <v>131</v>
      </c>
      <c r="BB470" s="78" t="s">
        <v>131</v>
      </c>
      <c r="BC470" s="78" t="s">
        <v>131</v>
      </c>
      <c r="BD470" s="78" t="s">
        <v>131</v>
      </c>
      <c r="BE470" s="78" t="s">
        <v>131</v>
      </c>
      <c r="BF470" s="78" t="s">
        <v>131</v>
      </c>
      <c r="BG470" s="78" t="s">
        <v>132</v>
      </c>
      <c r="BH470" s="75" t="s">
        <v>5970</v>
      </c>
      <c r="BI470" s="295" t="s">
        <v>4019</v>
      </c>
      <c r="BJ470" s="546">
        <v>1</v>
      </c>
      <c r="BK470" s="294" t="s">
        <v>16</v>
      </c>
      <c r="BL470" s="157" t="s">
        <v>16</v>
      </c>
      <c r="BM470" s="548" t="s">
        <v>1341</v>
      </c>
      <c r="BN470" s="548" t="s">
        <v>1339</v>
      </c>
      <c r="BO470" s="157" t="s">
        <v>4235</v>
      </c>
      <c r="BP470" s="548" t="s">
        <v>4237</v>
      </c>
      <c r="BQ470" s="157" t="s">
        <v>4234</v>
      </c>
      <c r="BR470" s="157"/>
    </row>
    <row r="471" spans="1:70" x14ac:dyDescent="0.25">
      <c r="A471" s="19" t="s">
        <v>3686</v>
      </c>
      <c r="B471" s="37" t="s">
        <v>3705</v>
      </c>
      <c r="C471" s="90">
        <v>45225.807488425926</v>
      </c>
      <c r="D471" s="114">
        <v>45225.557488425926</v>
      </c>
      <c r="E471" s="38">
        <v>45225</v>
      </c>
      <c r="F471" s="91">
        <v>2023</v>
      </c>
      <c r="G471" s="93">
        <v>10</v>
      </c>
      <c r="H471" s="37" t="s">
        <v>1386</v>
      </c>
      <c r="I471" s="37"/>
      <c r="J471" s="103">
        <v>-91.413101499999996</v>
      </c>
      <c r="K471" s="40">
        <v>43.540564000000003</v>
      </c>
      <c r="L471" s="74"/>
      <c r="M471" s="272" t="s">
        <v>16</v>
      </c>
      <c r="N471" s="74">
        <v>0</v>
      </c>
      <c r="O471" s="94"/>
      <c r="P471" s="118">
        <v>0</v>
      </c>
      <c r="Q471" s="510"/>
      <c r="R471" s="513"/>
      <c r="S471" s="41"/>
      <c r="T471" s="40"/>
      <c r="U471" s="40"/>
      <c r="V471" s="119">
        <v>1</v>
      </c>
      <c r="W471" s="40">
        <v>0</v>
      </c>
      <c r="X471" s="119">
        <v>1</v>
      </c>
      <c r="Y471" s="40">
        <v>55</v>
      </c>
      <c r="Z471" s="119">
        <v>1</v>
      </c>
      <c r="AA471" s="368">
        <v>0</v>
      </c>
      <c r="AB471" s="535">
        <v>5</v>
      </c>
      <c r="AC471" s="39" t="s">
        <v>160</v>
      </c>
      <c r="AD471" s="75" t="s">
        <v>10</v>
      </c>
      <c r="AE471" s="95">
        <v>0</v>
      </c>
      <c r="AF471" s="75">
        <v>0</v>
      </c>
      <c r="AG471" s="75">
        <v>0</v>
      </c>
      <c r="AH471" s="75">
        <v>0</v>
      </c>
      <c r="AI471" s="75">
        <v>0</v>
      </c>
      <c r="AJ471" s="75">
        <v>0</v>
      </c>
      <c r="AK471" s="75">
        <v>0</v>
      </c>
      <c r="AL471" s="95">
        <v>1</v>
      </c>
      <c r="AM471" s="92">
        <v>0</v>
      </c>
      <c r="AN471" s="79" t="s">
        <v>80</v>
      </c>
      <c r="AO471" s="75">
        <v>1</v>
      </c>
      <c r="AP471" s="75" t="s">
        <v>83</v>
      </c>
      <c r="AQ471" s="122">
        <v>1</v>
      </c>
      <c r="AR471" s="515" t="s">
        <v>13</v>
      </c>
      <c r="AS471" s="95">
        <v>1</v>
      </c>
      <c r="AT471" s="75">
        <v>0</v>
      </c>
      <c r="AU471" s="75">
        <v>0</v>
      </c>
      <c r="AV471" s="75">
        <v>0</v>
      </c>
      <c r="AW471" s="123">
        <v>0</v>
      </c>
      <c r="AX471" s="516"/>
      <c r="AY471" s="75">
        <v>0</v>
      </c>
      <c r="AZ471" s="77" t="s">
        <v>131</v>
      </c>
      <c r="BA471" s="78" t="s">
        <v>131</v>
      </c>
      <c r="BB471" s="78" t="s">
        <v>131</v>
      </c>
      <c r="BC471" s="78" t="s">
        <v>131</v>
      </c>
      <c r="BD471" s="78" t="s">
        <v>131</v>
      </c>
      <c r="BE471" s="78" t="s">
        <v>131</v>
      </c>
      <c r="BF471" s="78" t="s">
        <v>131</v>
      </c>
      <c r="BG471" s="78" t="s">
        <v>132</v>
      </c>
      <c r="BH471" s="75" t="s">
        <v>5970</v>
      </c>
      <c r="BI471" s="295" t="s">
        <v>4020</v>
      </c>
      <c r="BJ471" s="546">
        <v>1</v>
      </c>
      <c r="BK471" s="294">
        <v>1</v>
      </c>
      <c r="BL471" s="157">
        <v>1</v>
      </c>
      <c r="BM471" s="548" t="s">
        <v>1341</v>
      </c>
      <c r="BN471" s="548" t="s">
        <v>1339</v>
      </c>
      <c r="BO471" s="157" t="s">
        <v>4239</v>
      </c>
      <c r="BP471" s="548" t="s">
        <v>4240</v>
      </c>
      <c r="BQ471" s="157" t="s">
        <v>4238</v>
      </c>
      <c r="BR471" s="157"/>
    </row>
    <row r="472" spans="1:70" x14ac:dyDescent="0.25">
      <c r="A472" s="19" t="s">
        <v>3686</v>
      </c>
      <c r="B472" s="37" t="s">
        <v>3706</v>
      </c>
      <c r="C472" s="90">
        <v>45225.782962962963</v>
      </c>
      <c r="D472" s="114">
        <v>45225.532962962963</v>
      </c>
      <c r="E472" s="38">
        <v>45225</v>
      </c>
      <c r="F472" s="91">
        <v>2023</v>
      </c>
      <c r="G472" s="93">
        <v>10</v>
      </c>
      <c r="H472" s="37" t="s">
        <v>1386</v>
      </c>
      <c r="I472" s="37"/>
      <c r="J472" s="103">
        <v>-91.569837699999994</v>
      </c>
      <c r="K472" s="40">
        <v>43.5022716</v>
      </c>
      <c r="L472" s="74"/>
      <c r="M472" s="272" t="s">
        <v>16</v>
      </c>
      <c r="N472" s="74">
        <v>0</v>
      </c>
      <c r="O472" s="94"/>
      <c r="P472" s="118">
        <v>0</v>
      </c>
      <c r="Q472" s="510"/>
      <c r="R472" s="513"/>
      <c r="S472" s="41"/>
      <c r="T472" s="40"/>
      <c r="U472" s="40"/>
      <c r="V472" s="119">
        <v>1</v>
      </c>
      <c r="W472" s="40">
        <v>0</v>
      </c>
      <c r="X472" s="119">
        <v>1</v>
      </c>
      <c r="Y472" s="40">
        <v>53</v>
      </c>
      <c r="Z472" s="119">
        <v>1</v>
      </c>
      <c r="AA472" s="368">
        <v>0</v>
      </c>
      <c r="AB472" s="535">
        <v>5</v>
      </c>
      <c r="AC472" s="39" t="s">
        <v>160</v>
      </c>
      <c r="AD472" s="75" t="s">
        <v>10</v>
      </c>
      <c r="AE472" s="95">
        <v>0</v>
      </c>
      <c r="AF472" s="75">
        <v>0</v>
      </c>
      <c r="AG472" s="75">
        <v>0</v>
      </c>
      <c r="AH472" s="75">
        <v>0</v>
      </c>
      <c r="AI472" s="75">
        <v>0</v>
      </c>
      <c r="AJ472" s="75">
        <v>0</v>
      </c>
      <c r="AK472" s="75">
        <v>0</v>
      </c>
      <c r="AL472" s="95">
        <v>1</v>
      </c>
      <c r="AM472" s="92">
        <v>0</v>
      </c>
      <c r="AN472" s="79" t="s">
        <v>80</v>
      </c>
      <c r="AO472" s="75">
        <v>1</v>
      </c>
      <c r="AP472" s="75" t="s">
        <v>83</v>
      </c>
      <c r="AQ472" s="122">
        <v>1</v>
      </c>
      <c r="AR472" s="515" t="s">
        <v>13</v>
      </c>
      <c r="AS472" s="95">
        <v>1</v>
      </c>
      <c r="AT472" s="75">
        <v>0</v>
      </c>
      <c r="AU472" s="75">
        <v>0</v>
      </c>
      <c r="AV472" s="75">
        <v>0</v>
      </c>
      <c r="AW472" s="123">
        <v>0</v>
      </c>
      <c r="AX472" s="516"/>
      <c r="AY472" s="75">
        <v>0</v>
      </c>
      <c r="AZ472" s="77" t="s">
        <v>131</v>
      </c>
      <c r="BA472" s="78" t="s">
        <v>131</v>
      </c>
      <c r="BB472" s="78" t="s">
        <v>131</v>
      </c>
      <c r="BC472" s="78" t="s">
        <v>131</v>
      </c>
      <c r="BD472" s="78" t="s">
        <v>131</v>
      </c>
      <c r="BE472" s="78" t="s">
        <v>131</v>
      </c>
      <c r="BF472" s="78" t="s">
        <v>131</v>
      </c>
      <c r="BG472" s="78" t="s">
        <v>132</v>
      </c>
      <c r="BH472" s="75" t="s">
        <v>5970</v>
      </c>
      <c r="BI472" s="295" t="s">
        <v>2265</v>
      </c>
      <c r="BJ472" s="546">
        <v>1</v>
      </c>
      <c r="BK472" s="294">
        <v>1</v>
      </c>
      <c r="BL472" s="157">
        <v>1</v>
      </c>
      <c r="BM472" s="548" t="s">
        <v>1341</v>
      </c>
      <c r="BN472" s="548" t="s">
        <v>1339</v>
      </c>
      <c r="BO472" s="157" t="s">
        <v>4242</v>
      </c>
      <c r="BP472" s="548" t="s">
        <v>4041</v>
      </c>
      <c r="BQ472" s="157" t="s">
        <v>4241</v>
      </c>
      <c r="BR472" s="157"/>
    </row>
    <row r="473" spans="1:70" x14ac:dyDescent="0.25">
      <c r="A473" s="19" t="s">
        <v>3686</v>
      </c>
      <c r="B473" s="37" t="s">
        <v>3707</v>
      </c>
      <c r="C473" s="90">
        <v>45225.75508101852</v>
      </c>
      <c r="D473" s="114">
        <v>45225.50508101852</v>
      </c>
      <c r="E473" s="38">
        <v>45225</v>
      </c>
      <c r="F473" s="91">
        <v>2023</v>
      </c>
      <c r="G473" s="93">
        <v>10</v>
      </c>
      <c r="H473" s="37" t="s">
        <v>1386</v>
      </c>
      <c r="I473" s="37"/>
      <c r="J473" s="103">
        <v>-91.813373100000007</v>
      </c>
      <c r="K473" s="40">
        <v>43.597634399999997</v>
      </c>
      <c r="L473" s="74"/>
      <c r="M473" s="272" t="s">
        <v>16</v>
      </c>
      <c r="N473" s="74">
        <v>0</v>
      </c>
      <c r="O473" s="94"/>
      <c r="P473" s="118">
        <v>0</v>
      </c>
      <c r="Q473" s="510"/>
      <c r="R473" s="513"/>
      <c r="S473" s="41"/>
      <c r="T473" s="40"/>
      <c r="U473" s="40"/>
      <c r="V473" s="119">
        <v>1</v>
      </c>
      <c r="W473" s="40">
        <v>0</v>
      </c>
      <c r="X473" s="119">
        <v>1</v>
      </c>
      <c r="Y473" s="40">
        <v>55</v>
      </c>
      <c r="Z473" s="119">
        <v>1</v>
      </c>
      <c r="AA473" s="368">
        <v>0</v>
      </c>
      <c r="AB473" s="535">
        <v>5</v>
      </c>
      <c r="AC473" s="39" t="s">
        <v>160</v>
      </c>
      <c r="AD473" s="75" t="s">
        <v>10</v>
      </c>
      <c r="AE473" s="95">
        <v>0</v>
      </c>
      <c r="AF473" s="75">
        <v>0</v>
      </c>
      <c r="AG473" s="75">
        <v>0</v>
      </c>
      <c r="AH473" s="75">
        <v>0</v>
      </c>
      <c r="AI473" s="75">
        <v>0</v>
      </c>
      <c r="AJ473" s="75">
        <v>0</v>
      </c>
      <c r="AK473" s="75">
        <v>0</v>
      </c>
      <c r="AL473" s="95">
        <v>1</v>
      </c>
      <c r="AM473" s="92">
        <v>0</v>
      </c>
      <c r="AN473" s="79" t="s">
        <v>80</v>
      </c>
      <c r="AO473" s="75">
        <v>1</v>
      </c>
      <c r="AP473" s="75" t="s">
        <v>83</v>
      </c>
      <c r="AQ473" s="122">
        <v>1</v>
      </c>
      <c r="AR473" s="515" t="s">
        <v>10</v>
      </c>
      <c r="AS473" s="95">
        <v>0</v>
      </c>
      <c r="AT473" s="75">
        <v>0</v>
      </c>
      <c r="AU473" s="75">
        <v>0</v>
      </c>
      <c r="AV473" s="75">
        <v>0</v>
      </c>
      <c r="AW473" s="123">
        <v>0</v>
      </c>
      <c r="AX473" s="516"/>
      <c r="AY473" s="75">
        <v>0</v>
      </c>
      <c r="AZ473" s="77" t="s">
        <v>131</v>
      </c>
      <c r="BA473" s="78" t="s">
        <v>131</v>
      </c>
      <c r="BB473" s="78" t="s">
        <v>131</v>
      </c>
      <c r="BC473" s="78" t="s">
        <v>131</v>
      </c>
      <c r="BD473" s="78" t="s">
        <v>131</v>
      </c>
      <c r="BE473" s="78" t="s">
        <v>131</v>
      </c>
      <c r="BF473" s="78" t="s">
        <v>131</v>
      </c>
      <c r="BG473" s="78" t="s">
        <v>132</v>
      </c>
      <c r="BH473" s="75" t="s">
        <v>5970</v>
      </c>
      <c r="BI473" s="295" t="s">
        <v>2271</v>
      </c>
      <c r="BJ473" s="546">
        <v>1</v>
      </c>
      <c r="BK473" s="294">
        <v>1</v>
      </c>
      <c r="BL473" s="157">
        <v>1</v>
      </c>
      <c r="BM473" s="548" t="s">
        <v>1341</v>
      </c>
      <c r="BN473" s="548" t="s">
        <v>1339</v>
      </c>
      <c r="BO473" s="157" t="s">
        <v>4245</v>
      </c>
      <c r="BP473" s="548" t="s">
        <v>2271</v>
      </c>
      <c r="BQ473" s="157" t="s">
        <v>4232</v>
      </c>
      <c r="BR473" s="157"/>
    </row>
    <row r="474" spans="1:70" x14ac:dyDescent="0.25">
      <c r="A474" s="19" t="s">
        <v>3686</v>
      </c>
      <c r="B474" s="37" t="s">
        <v>3708</v>
      </c>
      <c r="C474" s="90">
        <v>45219.828645833331</v>
      </c>
      <c r="D474" s="114">
        <v>45219.578645833331</v>
      </c>
      <c r="E474" s="38">
        <v>45219</v>
      </c>
      <c r="F474" s="91">
        <v>2023</v>
      </c>
      <c r="G474" s="93">
        <v>10</v>
      </c>
      <c r="H474" s="37" t="s">
        <v>2475</v>
      </c>
      <c r="I474" s="37"/>
      <c r="J474" s="103">
        <v>-89.29856311538191</v>
      </c>
      <c r="K474" s="40">
        <v>42.751314793753203</v>
      </c>
      <c r="L474" s="74"/>
      <c r="M474" s="272" t="s">
        <v>3709</v>
      </c>
      <c r="N474" s="74">
        <v>1</v>
      </c>
      <c r="O474" s="94"/>
      <c r="P474" s="118">
        <v>1</v>
      </c>
      <c r="Q474" s="510">
        <v>180</v>
      </c>
      <c r="R474" s="513">
        <v>120</v>
      </c>
      <c r="S474" s="41"/>
      <c r="T474" s="40"/>
      <c r="U474" s="40">
        <v>7.5</v>
      </c>
      <c r="V474" s="119">
        <v>1</v>
      </c>
      <c r="W474" s="40">
        <v>200</v>
      </c>
      <c r="X474" s="119">
        <v>1</v>
      </c>
      <c r="Y474" s="40">
        <v>56</v>
      </c>
      <c r="Z474" s="119">
        <v>1</v>
      </c>
      <c r="AA474" s="368">
        <v>0</v>
      </c>
      <c r="AB474" s="535">
        <v>2</v>
      </c>
      <c r="AC474" s="39" t="s">
        <v>160</v>
      </c>
      <c r="AD474" s="75" t="s">
        <v>16</v>
      </c>
      <c r="AE474" s="95">
        <v>-1</v>
      </c>
      <c r="AF474" s="75">
        <v>-1</v>
      </c>
      <c r="AG474" s="75">
        <v>-1</v>
      </c>
      <c r="AH474" s="75">
        <v>-1</v>
      </c>
      <c r="AI474" s="75">
        <v>-1</v>
      </c>
      <c r="AJ474" s="75">
        <v>-1</v>
      </c>
      <c r="AK474" s="75">
        <v>-1</v>
      </c>
      <c r="AL474" s="95">
        <v>-1</v>
      </c>
      <c r="AM474" s="92">
        <v>1</v>
      </c>
      <c r="AN474" s="79" t="s">
        <v>80</v>
      </c>
      <c r="AO474" s="75">
        <v>1</v>
      </c>
      <c r="AP474" s="75" t="s">
        <v>83</v>
      </c>
      <c r="AQ474" s="122">
        <v>1</v>
      </c>
      <c r="AR474" s="515" t="s">
        <v>10</v>
      </c>
      <c r="AS474" s="95">
        <v>0</v>
      </c>
      <c r="AT474" s="75">
        <v>0</v>
      </c>
      <c r="AU474" s="75">
        <v>0</v>
      </c>
      <c r="AV474" s="75">
        <v>0</v>
      </c>
      <c r="AW474" s="123">
        <v>0</v>
      </c>
      <c r="AX474" s="516"/>
      <c r="AY474" s="75">
        <v>0</v>
      </c>
      <c r="AZ474" s="77" t="s">
        <v>5971</v>
      </c>
      <c r="BA474" s="78" t="s">
        <v>5971</v>
      </c>
      <c r="BB474" s="78" t="s">
        <v>5971</v>
      </c>
      <c r="BC474" s="78" t="s">
        <v>5971</v>
      </c>
      <c r="BD474" s="78" t="s">
        <v>5971</v>
      </c>
      <c r="BE474" s="78" t="s">
        <v>5971</v>
      </c>
      <c r="BF474" s="78" t="s">
        <v>5971</v>
      </c>
      <c r="BG474" s="78" t="s">
        <v>5971</v>
      </c>
      <c r="BH474" s="75" t="s">
        <v>5971</v>
      </c>
      <c r="BI474" s="295" t="s">
        <v>3994</v>
      </c>
      <c r="BJ474" s="546">
        <v>1</v>
      </c>
      <c r="BK474" s="294" t="s">
        <v>16</v>
      </c>
      <c r="BL474" s="157" t="s">
        <v>16</v>
      </c>
      <c r="BM474" s="548" t="s">
        <v>1349</v>
      </c>
      <c r="BN474" s="548" t="s">
        <v>4162</v>
      </c>
      <c r="BO474" s="157" t="s">
        <v>4247</v>
      </c>
      <c r="BP474" s="548" t="s">
        <v>4249</v>
      </c>
      <c r="BQ474" s="157" t="s">
        <v>4246</v>
      </c>
      <c r="BR474" s="157"/>
    </row>
    <row r="475" spans="1:70" x14ac:dyDescent="0.25">
      <c r="A475" s="19" t="s">
        <v>3686</v>
      </c>
      <c r="B475" s="37" t="s">
        <v>3710</v>
      </c>
      <c r="C475" s="90">
        <v>45219.777557870373</v>
      </c>
      <c r="D475" s="114">
        <v>45219.527557870373</v>
      </c>
      <c r="E475" s="38">
        <v>45219</v>
      </c>
      <c r="F475" s="91">
        <v>2023</v>
      </c>
      <c r="G475" s="93">
        <v>10</v>
      </c>
      <c r="H475" s="37" t="s">
        <v>2475</v>
      </c>
      <c r="I475" s="37"/>
      <c r="J475" s="103">
        <v>-89.13086067893461</v>
      </c>
      <c r="K475" s="40">
        <v>42.55506124817073</v>
      </c>
      <c r="L475" s="74"/>
      <c r="M475" s="272" t="s">
        <v>3711</v>
      </c>
      <c r="N475" s="74">
        <v>1</v>
      </c>
      <c r="O475" s="94"/>
      <c r="P475" s="118">
        <v>1</v>
      </c>
      <c r="Q475" s="510">
        <v>180</v>
      </c>
      <c r="R475" s="513">
        <v>180</v>
      </c>
      <c r="S475" s="41"/>
      <c r="T475" s="40"/>
      <c r="U475" s="40">
        <v>7.5</v>
      </c>
      <c r="V475" s="119">
        <v>1</v>
      </c>
      <c r="W475" s="40">
        <v>0</v>
      </c>
      <c r="X475" s="119">
        <v>1</v>
      </c>
      <c r="Y475" s="40">
        <v>53</v>
      </c>
      <c r="Z475" s="119">
        <v>1</v>
      </c>
      <c r="AA475" s="368">
        <v>0</v>
      </c>
      <c r="AB475" s="535">
        <v>2</v>
      </c>
      <c r="AC475" s="39" t="s">
        <v>160</v>
      </c>
      <c r="AD475" s="75" t="s">
        <v>16</v>
      </c>
      <c r="AE475" s="95">
        <v>-1</v>
      </c>
      <c r="AF475" s="75">
        <v>-1</v>
      </c>
      <c r="AG475" s="75">
        <v>-1</v>
      </c>
      <c r="AH475" s="75">
        <v>-1</v>
      </c>
      <c r="AI475" s="75">
        <v>-1</v>
      </c>
      <c r="AJ475" s="75">
        <v>-1</v>
      </c>
      <c r="AK475" s="75">
        <v>-1</v>
      </c>
      <c r="AL475" s="95">
        <v>-1</v>
      </c>
      <c r="AM475" s="92">
        <v>1</v>
      </c>
      <c r="AN475" s="79" t="s">
        <v>80</v>
      </c>
      <c r="AO475" s="75">
        <v>1</v>
      </c>
      <c r="AP475" s="75" t="s">
        <v>83</v>
      </c>
      <c r="AQ475" s="122">
        <v>1</v>
      </c>
      <c r="AR475" s="515" t="s">
        <v>10</v>
      </c>
      <c r="AS475" s="95">
        <v>0</v>
      </c>
      <c r="AT475" s="75">
        <v>0</v>
      </c>
      <c r="AU475" s="75">
        <v>0</v>
      </c>
      <c r="AV475" s="75">
        <v>0</v>
      </c>
      <c r="AW475" s="123">
        <v>0</v>
      </c>
      <c r="AX475" s="516" t="s">
        <v>3712</v>
      </c>
      <c r="AY475" s="75">
        <v>1</v>
      </c>
      <c r="AZ475" s="77" t="s">
        <v>5971</v>
      </c>
      <c r="BA475" s="78" t="s">
        <v>5971</v>
      </c>
      <c r="BB475" s="78" t="s">
        <v>5971</v>
      </c>
      <c r="BC475" s="78" t="s">
        <v>5971</v>
      </c>
      <c r="BD475" s="78" t="s">
        <v>5971</v>
      </c>
      <c r="BE475" s="78" t="s">
        <v>5971</v>
      </c>
      <c r="BF475" s="78" t="s">
        <v>5971</v>
      </c>
      <c r="BG475" s="78" t="s">
        <v>5971</v>
      </c>
      <c r="BH475" s="75" t="s">
        <v>5971</v>
      </c>
      <c r="BI475" s="295" t="s">
        <v>4048</v>
      </c>
      <c r="BJ475" s="546" t="s">
        <v>16</v>
      </c>
      <c r="BK475" s="294">
        <v>1</v>
      </c>
      <c r="BL475" s="157">
        <v>1</v>
      </c>
      <c r="BM475" s="548" t="s">
        <v>1349</v>
      </c>
      <c r="BN475" s="548" t="s">
        <v>4162</v>
      </c>
      <c r="BO475" s="157" t="s">
        <v>4251</v>
      </c>
      <c r="BP475" s="548" t="s">
        <v>4048</v>
      </c>
      <c r="BQ475" s="157" t="s">
        <v>4250</v>
      </c>
      <c r="BR475" s="157"/>
    </row>
    <row r="476" spans="1:70" x14ac:dyDescent="0.25">
      <c r="A476" s="19" t="s">
        <v>3686</v>
      </c>
      <c r="B476" s="37" t="s">
        <v>3713</v>
      </c>
      <c r="C476" s="90">
        <v>45218.704768518517</v>
      </c>
      <c r="D476" s="114">
        <v>45218.454768518517</v>
      </c>
      <c r="E476" s="38">
        <v>45218</v>
      </c>
      <c r="F476" s="91">
        <v>2023</v>
      </c>
      <c r="G476" s="93">
        <v>10</v>
      </c>
      <c r="H476" s="37" t="s">
        <v>3137</v>
      </c>
      <c r="I476" s="37"/>
      <c r="J476" s="103">
        <v>-91.916986381970247</v>
      </c>
      <c r="K476" s="40">
        <v>42.462562337534834</v>
      </c>
      <c r="L476" s="74"/>
      <c r="M476" s="272" t="s">
        <v>16</v>
      </c>
      <c r="N476" s="74">
        <v>0</v>
      </c>
      <c r="O476" s="94"/>
      <c r="P476" s="118">
        <v>1</v>
      </c>
      <c r="Q476" s="510">
        <v>180</v>
      </c>
      <c r="R476" s="513">
        <v>180</v>
      </c>
      <c r="S476" s="41"/>
      <c r="T476" s="40"/>
      <c r="U476" s="40">
        <v>9</v>
      </c>
      <c r="V476" s="119">
        <v>1</v>
      </c>
      <c r="W476" s="40">
        <v>0</v>
      </c>
      <c r="X476" s="119">
        <v>1</v>
      </c>
      <c r="Y476" s="40">
        <v>0</v>
      </c>
      <c r="Z476" s="119">
        <v>1</v>
      </c>
      <c r="AA476" s="368">
        <v>0</v>
      </c>
      <c r="AB476" s="535">
        <v>0</v>
      </c>
      <c r="AC476" s="39" t="s">
        <v>160</v>
      </c>
      <c r="AD476" s="75" t="s">
        <v>16</v>
      </c>
      <c r="AE476" s="95">
        <v>-1</v>
      </c>
      <c r="AF476" s="75">
        <v>-1</v>
      </c>
      <c r="AG476" s="75">
        <v>-1</v>
      </c>
      <c r="AH476" s="75">
        <v>-1</v>
      </c>
      <c r="AI476" s="75">
        <v>-1</v>
      </c>
      <c r="AJ476" s="75">
        <v>-1</v>
      </c>
      <c r="AK476" s="75">
        <v>-1</v>
      </c>
      <c r="AL476" s="95">
        <v>-1</v>
      </c>
      <c r="AM476" s="92">
        <v>1</v>
      </c>
      <c r="AN476" s="79"/>
      <c r="AO476" s="75">
        <v>0</v>
      </c>
      <c r="AP476" s="75"/>
      <c r="AQ476" s="122">
        <v>0</v>
      </c>
      <c r="AR476" s="515" t="s">
        <v>16</v>
      </c>
      <c r="AS476" s="95">
        <v>-1</v>
      </c>
      <c r="AT476" s="75">
        <v>-1</v>
      </c>
      <c r="AU476" s="75">
        <v>-1</v>
      </c>
      <c r="AV476" s="75">
        <v>-1</v>
      </c>
      <c r="AW476" s="123">
        <v>1</v>
      </c>
      <c r="AX476" s="516"/>
      <c r="AY476" s="75">
        <v>0</v>
      </c>
      <c r="AZ476" s="77" t="s">
        <v>5971</v>
      </c>
      <c r="BA476" s="78" t="s">
        <v>5971</v>
      </c>
      <c r="BB476" s="78" t="s">
        <v>5971</v>
      </c>
      <c r="BC476" s="78" t="s">
        <v>5971</v>
      </c>
      <c r="BD476" s="78" t="s">
        <v>5971</v>
      </c>
      <c r="BE476" s="78" t="s">
        <v>5971</v>
      </c>
      <c r="BF476" s="78" t="s">
        <v>5971</v>
      </c>
      <c r="BG476" s="78" t="s">
        <v>5971</v>
      </c>
      <c r="BH476" s="75" t="s">
        <v>5971</v>
      </c>
      <c r="BI476" s="295" t="s">
        <v>16</v>
      </c>
      <c r="BJ476" s="546" t="s">
        <v>16</v>
      </c>
      <c r="BK476" s="294" t="s">
        <v>16</v>
      </c>
      <c r="BL476" s="157" t="s">
        <v>16</v>
      </c>
      <c r="BM476" s="548" t="s">
        <v>1348</v>
      </c>
      <c r="BN476" s="548" t="s">
        <v>544</v>
      </c>
      <c r="BO476" s="157" t="s">
        <v>4253</v>
      </c>
      <c r="BP476" s="548" t="s">
        <v>4254</v>
      </c>
      <c r="BQ476" s="157" t="s">
        <v>4252</v>
      </c>
      <c r="BR476" s="157"/>
    </row>
    <row r="477" spans="1:70" x14ac:dyDescent="0.25">
      <c r="A477" s="19" t="s">
        <v>3686</v>
      </c>
      <c r="B477" s="37" t="s">
        <v>5793</v>
      </c>
      <c r="C477" s="90">
        <v>45216.925173611111</v>
      </c>
      <c r="D477" s="114">
        <v>45216.675173611111</v>
      </c>
      <c r="E477" s="38">
        <v>45216</v>
      </c>
      <c r="F477" s="91">
        <v>2023</v>
      </c>
      <c r="G477" s="93">
        <v>10</v>
      </c>
      <c r="H477" s="37" t="s">
        <v>2761</v>
      </c>
      <c r="I477" s="37" t="s">
        <v>1411</v>
      </c>
      <c r="J477" s="103">
        <v>-93.231304307873756</v>
      </c>
      <c r="K477" s="40">
        <v>44.846702549538776</v>
      </c>
      <c r="L477" s="74"/>
      <c r="M477" s="272" t="s">
        <v>5794</v>
      </c>
      <c r="N477" s="74">
        <v>1</v>
      </c>
      <c r="O477" s="94"/>
      <c r="P477" s="118">
        <v>1</v>
      </c>
      <c r="Q477" s="510">
        <v>180</v>
      </c>
      <c r="R477" s="513">
        <v>180</v>
      </c>
      <c r="S477" s="41"/>
      <c r="T477" s="40"/>
      <c r="U477" s="40">
        <v>8</v>
      </c>
      <c r="V477" s="119">
        <v>1</v>
      </c>
      <c r="W477" s="40">
        <v>0</v>
      </c>
      <c r="X477" s="119">
        <v>1</v>
      </c>
      <c r="Y477" s="40">
        <v>54</v>
      </c>
      <c r="Z477" s="119">
        <v>1</v>
      </c>
      <c r="AA477" s="368">
        <v>0</v>
      </c>
      <c r="AB477" s="535">
        <v>2</v>
      </c>
      <c r="AC477" s="39" t="s">
        <v>160</v>
      </c>
      <c r="AD477" s="75" t="s">
        <v>10</v>
      </c>
      <c r="AE477" s="95">
        <v>0</v>
      </c>
      <c r="AF477" s="75">
        <v>0</v>
      </c>
      <c r="AG477" s="75">
        <v>0</v>
      </c>
      <c r="AH477" s="75">
        <v>0</v>
      </c>
      <c r="AI477" s="75">
        <v>0</v>
      </c>
      <c r="AJ477" s="75">
        <v>0</v>
      </c>
      <c r="AK477" s="75">
        <v>0</v>
      </c>
      <c r="AL477" s="95">
        <v>1</v>
      </c>
      <c r="AM477" s="92">
        <v>0</v>
      </c>
      <c r="AN477" s="79" t="s">
        <v>195</v>
      </c>
      <c r="AO477" s="75">
        <v>1</v>
      </c>
      <c r="AP477" s="75"/>
      <c r="AQ477" s="122">
        <v>0</v>
      </c>
      <c r="AR477" s="515" t="s">
        <v>13</v>
      </c>
      <c r="AS477" s="95">
        <v>1</v>
      </c>
      <c r="AT477" s="75">
        <v>0</v>
      </c>
      <c r="AU477" s="75">
        <v>0</v>
      </c>
      <c r="AV477" s="75">
        <v>0</v>
      </c>
      <c r="AW477" s="123">
        <v>0</v>
      </c>
      <c r="AX477" s="516"/>
      <c r="AY477" s="75">
        <v>0</v>
      </c>
      <c r="AZ477" s="77" t="s">
        <v>131</v>
      </c>
      <c r="BA477" s="78" t="s">
        <v>131</v>
      </c>
      <c r="BB477" s="78" t="s">
        <v>131</v>
      </c>
      <c r="BC477" s="78" t="s">
        <v>131</v>
      </c>
      <c r="BD477" s="78" t="s">
        <v>131</v>
      </c>
      <c r="BE477" s="78" t="s">
        <v>131</v>
      </c>
      <c r="BF477" s="78" t="s">
        <v>131</v>
      </c>
      <c r="BG477" s="78" t="s">
        <v>132</v>
      </c>
      <c r="BH477" s="75" t="s">
        <v>5970</v>
      </c>
      <c r="BI477" s="295" t="s">
        <v>16</v>
      </c>
      <c r="BJ477" s="546" t="s">
        <v>16</v>
      </c>
      <c r="BK477" s="294" t="s">
        <v>16</v>
      </c>
      <c r="BL477" s="157" t="s">
        <v>16</v>
      </c>
      <c r="BM477" s="548" t="s">
        <v>2343</v>
      </c>
      <c r="BN477" s="548" t="s">
        <v>4161</v>
      </c>
      <c r="BO477" s="157" t="s">
        <v>4327</v>
      </c>
      <c r="BP477" s="548" t="s">
        <v>4314</v>
      </c>
      <c r="BQ477" s="157" t="s">
        <v>4312</v>
      </c>
      <c r="BR477" s="157"/>
    </row>
    <row r="478" spans="1:70" x14ac:dyDescent="0.25">
      <c r="A478" s="19" t="s">
        <v>3686</v>
      </c>
      <c r="B478" s="37" t="s">
        <v>3714</v>
      </c>
      <c r="C478" s="90">
        <v>45216.740335648145</v>
      </c>
      <c r="D478" s="114">
        <v>45216.490335648145</v>
      </c>
      <c r="E478" s="38">
        <v>45216</v>
      </c>
      <c r="F478" s="91">
        <v>2023</v>
      </c>
      <c r="G478" s="93">
        <v>10</v>
      </c>
      <c r="H478" s="37" t="s">
        <v>1353</v>
      </c>
      <c r="I478" s="37"/>
      <c r="J478" s="103">
        <v>-92.5046593</v>
      </c>
      <c r="K478" s="40">
        <v>44.266440899999999</v>
      </c>
      <c r="L478" s="74"/>
      <c r="M478" s="272" t="s">
        <v>3715</v>
      </c>
      <c r="N478" s="74">
        <v>1</v>
      </c>
      <c r="O478" s="94"/>
      <c r="P478" s="118">
        <v>1</v>
      </c>
      <c r="Q478" s="510">
        <v>120</v>
      </c>
      <c r="R478" s="513">
        <v>180</v>
      </c>
      <c r="S478" s="41"/>
      <c r="T478" s="40"/>
      <c r="U478" s="40">
        <v>8</v>
      </c>
      <c r="V478" s="119">
        <v>0</v>
      </c>
      <c r="W478" s="40"/>
      <c r="X478" s="119">
        <v>0</v>
      </c>
      <c r="Y478" s="40"/>
      <c r="Z478" s="119">
        <v>1</v>
      </c>
      <c r="AA478" s="368">
        <v>0</v>
      </c>
      <c r="AB478" s="535">
        <v>5</v>
      </c>
      <c r="AC478" s="39" t="s">
        <v>160</v>
      </c>
      <c r="AD478" s="75" t="s">
        <v>10</v>
      </c>
      <c r="AE478" s="95">
        <v>0</v>
      </c>
      <c r="AF478" s="75">
        <v>0</v>
      </c>
      <c r="AG478" s="75">
        <v>0</v>
      </c>
      <c r="AH478" s="75">
        <v>0</v>
      </c>
      <c r="AI478" s="75">
        <v>0</v>
      </c>
      <c r="AJ478" s="75">
        <v>0</v>
      </c>
      <c r="AK478" s="75">
        <v>0</v>
      </c>
      <c r="AL478" s="95">
        <v>1</v>
      </c>
      <c r="AM478" s="92">
        <v>0</v>
      </c>
      <c r="AN478" s="79" t="s">
        <v>80</v>
      </c>
      <c r="AO478" s="75">
        <v>1</v>
      </c>
      <c r="AP478" s="75" t="s">
        <v>83</v>
      </c>
      <c r="AQ478" s="122">
        <v>1</v>
      </c>
      <c r="AR478" s="515" t="s">
        <v>10</v>
      </c>
      <c r="AS478" s="95">
        <v>0</v>
      </c>
      <c r="AT478" s="75">
        <v>0</v>
      </c>
      <c r="AU478" s="75">
        <v>0</v>
      </c>
      <c r="AV478" s="75">
        <v>0</v>
      </c>
      <c r="AW478" s="123">
        <v>0</v>
      </c>
      <c r="AX478" s="516" t="s">
        <v>3716</v>
      </c>
      <c r="AY478" s="75">
        <v>1</v>
      </c>
      <c r="AZ478" s="77" t="s">
        <v>131</v>
      </c>
      <c r="BA478" s="78" t="s">
        <v>131</v>
      </c>
      <c r="BB478" s="78" t="s">
        <v>131</v>
      </c>
      <c r="BC478" s="78" t="s">
        <v>131</v>
      </c>
      <c r="BD478" s="78" t="s">
        <v>131</v>
      </c>
      <c r="BE478" s="78" t="s">
        <v>131</v>
      </c>
      <c r="BF478" s="78" t="s">
        <v>131</v>
      </c>
      <c r="BG478" s="78" t="s">
        <v>132</v>
      </c>
      <c r="BH478" s="75" t="s">
        <v>5970</v>
      </c>
      <c r="BI478" s="295" t="s">
        <v>753</v>
      </c>
      <c r="BJ478" s="546">
        <v>1</v>
      </c>
      <c r="BK478" s="294" t="s">
        <v>16</v>
      </c>
      <c r="BL478" s="157" t="s">
        <v>16</v>
      </c>
      <c r="BM478" s="548" t="s">
        <v>1339</v>
      </c>
      <c r="BN478" s="548" t="s">
        <v>4158</v>
      </c>
      <c r="BO478" s="157" t="s">
        <v>4256</v>
      </c>
      <c r="BP478" s="548" t="s">
        <v>4257</v>
      </c>
      <c r="BQ478" s="157" t="s">
        <v>4255</v>
      </c>
      <c r="BR478" s="157"/>
    </row>
    <row r="479" spans="1:70" x14ac:dyDescent="0.25">
      <c r="A479" s="19" t="s">
        <v>3686</v>
      </c>
      <c r="B479" s="37" t="s">
        <v>3717</v>
      </c>
      <c r="C479" s="90">
        <v>45215.86310185185</v>
      </c>
      <c r="D479" s="114">
        <v>45215.61310185185</v>
      </c>
      <c r="E479" s="38">
        <v>45215</v>
      </c>
      <c r="F479" s="91">
        <v>2023</v>
      </c>
      <c r="G479" s="93">
        <v>10</v>
      </c>
      <c r="H479" s="37" t="s">
        <v>2475</v>
      </c>
      <c r="I479" s="37"/>
      <c r="J479" s="103">
        <v>-89.36523470104612</v>
      </c>
      <c r="K479" s="40">
        <v>43.950285231735748</v>
      </c>
      <c r="L479" s="74"/>
      <c r="M479" s="272" t="s">
        <v>3718</v>
      </c>
      <c r="N479" s="74">
        <v>1</v>
      </c>
      <c r="O479" s="94"/>
      <c r="P479" s="118">
        <v>1</v>
      </c>
      <c r="Q479" s="510">
        <v>80</v>
      </c>
      <c r="R479" s="513">
        <v>120</v>
      </c>
      <c r="S479" s="41"/>
      <c r="T479" s="40"/>
      <c r="U479" s="40">
        <v>7</v>
      </c>
      <c r="V479" s="119">
        <v>1</v>
      </c>
      <c r="W479" s="40">
        <v>100</v>
      </c>
      <c r="X479" s="119">
        <v>1</v>
      </c>
      <c r="Y479" s="40">
        <v>49</v>
      </c>
      <c r="Z479" s="119">
        <v>0</v>
      </c>
      <c r="AA479" s="368" t="s">
        <v>16</v>
      </c>
      <c r="AB479" s="535" t="s">
        <v>16</v>
      </c>
      <c r="AC479" s="39" t="s">
        <v>160</v>
      </c>
      <c r="AD479" s="75" t="s">
        <v>10</v>
      </c>
      <c r="AE479" s="95">
        <v>0</v>
      </c>
      <c r="AF479" s="75">
        <v>0</v>
      </c>
      <c r="AG479" s="75">
        <v>0</v>
      </c>
      <c r="AH479" s="75">
        <v>0</v>
      </c>
      <c r="AI479" s="75">
        <v>0</v>
      </c>
      <c r="AJ479" s="75">
        <v>0</v>
      </c>
      <c r="AK479" s="75">
        <v>0</v>
      </c>
      <c r="AL479" s="95">
        <v>1</v>
      </c>
      <c r="AM479" s="92">
        <v>0</v>
      </c>
      <c r="AN479" s="79" t="s">
        <v>80</v>
      </c>
      <c r="AO479" s="75">
        <v>1</v>
      </c>
      <c r="AP479" s="75" t="s">
        <v>83</v>
      </c>
      <c r="AQ479" s="122">
        <v>1</v>
      </c>
      <c r="AR479" s="515" t="s">
        <v>10</v>
      </c>
      <c r="AS479" s="95">
        <v>0</v>
      </c>
      <c r="AT479" s="75">
        <v>0</v>
      </c>
      <c r="AU479" s="75">
        <v>0</v>
      </c>
      <c r="AV479" s="75">
        <v>0</v>
      </c>
      <c r="AW479" s="123">
        <v>0</v>
      </c>
      <c r="AX479" s="516"/>
      <c r="AY479" s="75">
        <v>0</v>
      </c>
      <c r="AZ479" s="77" t="s">
        <v>131</v>
      </c>
      <c r="BA479" s="78" t="s">
        <v>131</v>
      </c>
      <c r="BB479" s="78" t="s">
        <v>131</v>
      </c>
      <c r="BC479" s="78" t="s">
        <v>131</v>
      </c>
      <c r="BD479" s="78" t="s">
        <v>131</v>
      </c>
      <c r="BE479" s="78" t="s">
        <v>131</v>
      </c>
      <c r="BF479" s="78" t="s">
        <v>131</v>
      </c>
      <c r="BG479" s="78" t="s">
        <v>132</v>
      </c>
      <c r="BH479" s="75" t="s">
        <v>5970</v>
      </c>
      <c r="BI479" s="295" t="s">
        <v>16</v>
      </c>
      <c r="BJ479" s="546">
        <v>1</v>
      </c>
      <c r="BK479" s="294" t="s">
        <v>16</v>
      </c>
      <c r="BL479" s="157" t="s">
        <v>16</v>
      </c>
      <c r="BM479" s="548">
        <v>0</v>
      </c>
      <c r="BN479" s="548" t="s">
        <v>4162</v>
      </c>
      <c r="BO479" s="157" t="s">
        <v>4259</v>
      </c>
      <c r="BP479" s="548" t="s">
        <v>4261</v>
      </c>
      <c r="BQ479" s="157" t="s">
        <v>4258</v>
      </c>
      <c r="BR479" s="157"/>
    </row>
    <row r="480" spans="1:70" x14ac:dyDescent="0.25">
      <c r="A480" s="19" t="s">
        <v>3686</v>
      </c>
      <c r="B480" s="37" t="s">
        <v>3719</v>
      </c>
      <c r="C480" s="90">
        <v>45215.857523148145</v>
      </c>
      <c r="D480" s="114">
        <v>45215.607523148145</v>
      </c>
      <c r="E480" s="38">
        <v>45215</v>
      </c>
      <c r="F480" s="91">
        <v>2023</v>
      </c>
      <c r="G480" s="93">
        <v>10</v>
      </c>
      <c r="H480" s="37" t="s">
        <v>2475</v>
      </c>
      <c r="I480" s="37"/>
      <c r="J480" s="103">
        <v>-89.365278283442038</v>
      </c>
      <c r="K480" s="40">
        <v>43.95334103291178</v>
      </c>
      <c r="L480" s="74"/>
      <c r="M480" s="272" t="s">
        <v>3720</v>
      </c>
      <c r="N480" s="74">
        <v>1</v>
      </c>
      <c r="O480" s="94"/>
      <c r="P480" s="118">
        <v>1</v>
      </c>
      <c r="Q480" s="510">
        <v>80</v>
      </c>
      <c r="R480" s="513">
        <v>120</v>
      </c>
      <c r="S480" s="41"/>
      <c r="T480" s="40"/>
      <c r="U480" s="40">
        <v>7.5</v>
      </c>
      <c r="V480" s="119">
        <v>1</v>
      </c>
      <c r="W480" s="40">
        <v>0</v>
      </c>
      <c r="X480" s="119">
        <v>1</v>
      </c>
      <c r="Y480" s="40">
        <v>50</v>
      </c>
      <c r="Z480" s="119">
        <v>1</v>
      </c>
      <c r="AA480" s="368">
        <v>0</v>
      </c>
      <c r="AB480" s="535">
        <v>2</v>
      </c>
      <c r="AC480" s="39" t="s">
        <v>160</v>
      </c>
      <c r="AD480" s="75" t="s">
        <v>10</v>
      </c>
      <c r="AE480" s="95">
        <v>0</v>
      </c>
      <c r="AF480" s="75">
        <v>0</v>
      </c>
      <c r="AG480" s="75">
        <v>0</v>
      </c>
      <c r="AH480" s="75">
        <v>0</v>
      </c>
      <c r="AI480" s="75">
        <v>0</v>
      </c>
      <c r="AJ480" s="75">
        <v>0</v>
      </c>
      <c r="AK480" s="75">
        <v>0</v>
      </c>
      <c r="AL480" s="95">
        <v>1</v>
      </c>
      <c r="AM480" s="92">
        <v>0</v>
      </c>
      <c r="AN480" s="79" t="s">
        <v>80</v>
      </c>
      <c r="AO480" s="75">
        <v>1</v>
      </c>
      <c r="AP480" s="75" t="s">
        <v>83</v>
      </c>
      <c r="AQ480" s="122">
        <v>1</v>
      </c>
      <c r="AR480" s="515" t="s">
        <v>10</v>
      </c>
      <c r="AS480" s="95">
        <v>0</v>
      </c>
      <c r="AT480" s="75">
        <v>0</v>
      </c>
      <c r="AU480" s="75">
        <v>0</v>
      </c>
      <c r="AV480" s="75">
        <v>0</v>
      </c>
      <c r="AW480" s="123">
        <v>0</v>
      </c>
      <c r="AX480" s="516"/>
      <c r="AY480" s="75">
        <v>0</v>
      </c>
      <c r="AZ480" s="77" t="s">
        <v>131</v>
      </c>
      <c r="BA480" s="78" t="s">
        <v>131</v>
      </c>
      <c r="BB480" s="78" t="s">
        <v>131</v>
      </c>
      <c r="BC480" s="78" t="s">
        <v>131</v>
      </c>
      <c r="BD480" s="78" t="s">
        <v>131</v>
      </c>
      <c r="BE480" s="78" t="s">
        <v>131</v>
      </c>
      <c r="BF480" s="78" t="s">
        <v>131</v>
      </c>
      <c r="BG480" s="78" t="s">
        <v>132</v>
      </c>
      <c r="BH480" s="75" t="s">
        <v>5970</v>
      </c>
      <c r="BI480" s="295" t="s">
        <v>16</v>
      </c>
      <c r="BJ480" s="546">
        <v>1</v>
      </c>
      <c r="BK480" s="294" t="s">
        <v>16</v>
      </c>
      <c r="BL480" s="157" t="s">
        <v>16</v>
      </c>
      <c r="BM480" s="548">
        <v>0</v>
      </c>
      <c r="BN480" s="548" t="s">
        <v>4162</v>
      </c>
      <c r="BO480" s="157" t="s">
        <v>4262</v>
      </c>
      <c r="BP480" s="548" t="s">
        <v>4263</v>
      </c>
      <c r="BQ480" s="157" t="s">
        <v>4258</v>
      </c>
      <c r="BR480" s="157"/>
    </row>
    <row r="481" spans="1:70" x14ac:dyDescent="0.25">
      <c r="A481" s="19" t="s">
        <v>3686</v>
      </c>
      <c r="B481" s="37" t="s">
        <v>3721</v>
      </c>
      <c r="C481" s="90">
        <v>45215.848414351851</v>
      </c>
      <c r="D481" s="114">
        <v>45215.598414351851</v>
      </c>
      <c r="E481" s="38">
        <v>45215</v>
      </c>
      <c r="F481" s="91">
        <v>2023</v>
      </c>
      <c r="G481" s="93">
        <v>10</v>
      </c>
      <c r="H481" s="37" t="s">
        <v>2475</v>
      </c>
      <c r="I481" s="37"/>
      <c r="J481" s="103">
        <v>-89.358382257164394</v>
      </c>
      <c r="K481" s="40">
        <v>43.988736423376317</v>
      </c>
      <c r="L481" s="74"/>
      <c r="M481" s="272" t="s">
        <v>3722</v>
      </c>
      <c r="N481" s="74">
        <v>1</v>
      </c>
      <c r="O481" s="94"/>
      <c r="P481" s="118">
        <v>1</v>
      </c>
      <c r="Q481" s="510">
        <v>80</v>
      </c>
      <c r="R481" s="513">
        <v>120</v>
      </c>
      <c r="S481" s="41"/>
      <c r="T481" s="40"/>
      <c r="U481" s="40">
        <v>7</v>
      </c>
      <c r="V481" s="119">
        <v>1</v>
      </c>
      <c r="W481" s="40">
        <v>0</v>
      </c>
      <c r="X481" s="119">
        <v>1</v>
      </c>
      <c r="Y481" s="40">
        <v>51</v>
      </c>
      <c r="Z481" s="119">
        <v>1</v>
      </c>
      <c r="AA481" s="368">
        <v>0</v>
      </c>
      <c r="AB481" s="535">
        <v>5</v>
      </c>
      <c r="AC481" s="39" t="s">
        <v>160</v>
      </c>
      <c r="AD481" s="75" t="s">
        <v>10</v>
      </c>
      <c r="AE481" s="95">
        <v>0</v>
      </c>
      <c r="AF481" s="75">
        <v>0</v>
      </c>
      <c r="AG481" s="75">
        <v>0</v>
      </c>
      <c r="AH481" s="75">
        <v>0</v>
      </c>
      <c r="AI481" s="75">
        <v>0</v>
      </c>
      <c r="AJ481" s="75">
        <v>0</v>
      </c>
      <c r="AK481" s="75">
        <v>0</v>
      </c>
      <c r="AL481" s="95">
        <v>1</v>
      </c>
      <c r="AM481" s="92">
        <v>0</v>
      </c>
      <c r="AN481" s="79" t="s">
        <v>80</v>
      </c>
      <c r="AO481" s="75">
        <v>1</v>
      </c>
      <c r="AP481" s="75" t="s">
        <v>83</v>
      </c>
      <c r="AQ481" s="122">
        <v>1</v>
      </c>
      <c r="AR481" s="515" t="s">
        <v>10</v>
      </c>
      <c r="AS481" s="95">
        <v>0</v>
      </c>
      <c r="AT481" s="75">
        <v>0</v>
      </c>
      <c r="AU481" s="75">
        <v>0</v>
      </c>
      <c r="AV481" s="75">
        <v>0</v>
      </c>
      <c r="AW481" s="123">
        <v>0</v>
      </c>
      <c r="AX481" s="516"/>
      <c r="AY481" s="75">
        <v>0</v>
      </c>
      <c r="AZ481" s="77" t="s">
        <v>131</v>
      </c>
      <c r="BA481" s="78" t="s">
        <v>131</v>
      </c>
      <c r="BB481" s="78" t="s">
        <v>131</v>
      </c>
      <c r="BC481" s="78" t="s">
        <v>131</v>
      </c>
      <c r="BD481" s="78" t="s">
        <v>131</v>
      </c>
      <c r="BE481" s="78" t="s">
        <v>131</v>
      </c>
      <c r="BF481" s="78" t="s">
        <v>131</v>
      </c>
      <c r="BG481" s="78" t="s">
        <v>132</v>
      </c>
      <c r="BH481" s="75" t="s">
        <v>5970</v>
      </c>
      <c r="BI481" s="295" t="s">
        <v>16</v>
      </c>
      <c r="BJ481" s="546">
        <v>1</v>
      </c>
      <c r="BK481" s="294" t="s">
        <v>16</v>
      </c>
      <c r="BL481" s="157" t="s">
        <v>16</v>
      </c>
      <c r="BM481" s="548">
        <v>0</v>
      </c>
      <c r="BN481" s="548" t="s">
        <v>4162</v>
      </c>
      <c r="BO481" s="157" t="s">
        <v>4260</v>
      </c>
      <c r="BP481" s="548" t="s">
        <v>4264</v>
      </c>
      <c r="BQ481" s="157" t="s">
        <v>4258</v>
      </c>
      <c r="BR481" s="157"/>
    </row>
    <row r="482" spans="1:70" x14ac:dyDescent="0.25">
      <c r="A482" s="19" t="s">
        <v>3686</v>
      </c>
      <c r="B482" s="37" t="s">
        <v>3723</v>
      </c>
      <c r="C482" s="90">
        <v>45215.83834490741</v>
      </c>
      <c r="D482" s="114">
        <v>45215.58834490741</v>
      </c>
      <c r="E482" s="38">
        <v>45215</v>
      </c>
      <c r="F482" s="91">
        <v>2023</v>
      </c>
      <c r="G482" s="93">
        <v>10</v>
      </c>
      <c r="H482" s="37" t="s">
        <v>2475</v>
      </c>
      <c r="I482" s="37"/>
      <c r="J482" s="103">
        <v>-89.3406193832665</v>
      </c>
      <c r="K482" s="40">
        <v>43.993456482435278</v>
      </c>
      <c r="L482" s="74"/>
      <c r="M482" s="272" t="s">
        <v>3724</v>
      </c>
      <c r="N482" s="74">
        <v>1</v>
      </c>
      <c r="O482" s="94"/>
      <c r="P482" s="118">
        <v>1</v>
      </c>
      <c r="Q482" s="510">
        <v>80</v>
      </c>
      <c r="R482" s="513">
        <v>120</v>
      </c>
      <c r="S482" s="41"/>
      <c r="T482" s="40"/>
      <c r="U482" s="40">
        <v>6.5</v>
      </c>
      <c r="V482" s="119">
        <v>1</v>
      </c>
      <c r="W482" s="40">
        <v>0</v>
      </c>
      <c r="X482" s="119">
        <v>1</v>
      </c>
      <c r="Y482" s="40">
        <v>49</v>
      </c>
      <c r="Z482" s="119">
        <v>1</v>
      </c>
      <c r="AA482" s="368">
        <v>0</v>
      </c>
      <c r="AB482" s="535">
        <v>5</v>
      </c>
      <c r="AC482" s="39" t="s">
        <v>160</v>
      </c>
      <c r="AD482" s="75" t="s">
        <v>10</v>
      </c>
      <c r="AE482" s="95">
        <v>0</v>
      </c>
      <c r="AF482" s="75">
        <v>0</v>
      </c>
      <c r="AG482" s="75">
        <v>0</v>
      </c>
      <c r="AH482" s="75">
        <v>0</v>
      </c>
      <c r="AI482" s="75">
        <v>0</v>
      </c>
      <c r="AJ482" s="75">
        <v>0</v>
      </c>
      <c r="AK482" s="75">
        <v>0</v>
      </c>
      <c r="AL482" s="95">
        <v>1</v>
      </c>
      <c r="AM482" s="92">
        <v>0</v>
      </c>
      <c r="AN482" s="79" t="s">
        <v>80</v>
      </c>
      <c r="AO482" s="75">
        <v>1</v>
      </c>
      <c r="AP482" s="75" t="s">
        <v>83</v>
      </c>
      <c r="AQ482" s="122">
        <v>1</v>
      </c>
      <c r="AR482" s="515" t="s">
        <v>10</v>
      </c>
      <c r="AS482" s="95">
        <v>0</v>
      </c>
      <c r="AT482" s="75">
        <v>0</v>
      </c>
      <c r="AU482" s="75">
        <v>0</v>
      </c>
      <c r="AV482" s="75">
        <v>0</v>
      </c>
      <c r="AW482" s="123">
        <v>0</v>
      </c>
      <c r="AX482" s="516"/>
      <c r="AY482" s="75">
        <v>0</v>
      </c>
      <c r="AZ482" s="77" t="s">
        <v>131</v>
      </c>
      <c r="BA482" s="78" t="s">
        <v>131</v>
      </c>
      <c r="BB482" s="78" t="s">
        <v>131</v>
      </c>
      <c r="BC482" s="78" t="s">
        <v>131</v>
      </c>
      <c r="BD482" s="78" t="s">
        <v>131</v>
      </c>
      <c r="BE482" s="78" t="s">
        <v>131</v>
      </c>
      <c r="BF482" s="78" t="s">
        <v>131</v>
      </c>
      <c r="BG482" s="78" t="s">
        <v>132</v>
      </c>
      <c r="BH482" s="75" t="s">
        <v>5970</v>
      </c>
      <c r="BI482" s="295" t="s">
        <v>16</v>
      </c>
      <c r="BJ482" s="546">
        <v>1</v>
      </c>
      <c r="BK482" s="294" t="s">
        <v>16</v>
      </c>
      <c r="BL482" s="157" t="s">
        <v>16</v>
      </c>
      <c r="BM482" s="548">
        <v>0</v>
      </c>
      <c r="BN482" s="548" t="s">
        <v>4162</v>
      </c>
      <c r="BO482" s="157" t="s">
        <v>4260</v>
      </c>
      <c r="BP482" s="548" t="s">
        <v>4264</v>
      </c>
      <c r="BQ482" s="157" t="s">
        <v>4258</v>
      </c>
      <c r="BR482" s="157"/>
    </row>
    <row r="483" spans="1:70" x14ac:dyDescent="0.25">
      <c r="A483" s="19" t="s">
        <v>3686</v>
      </c>
      <c r="B483" s="37" t="s">
        <v>3725</v>
      </c>
      <c r="C483" s="90">
        <v>45215.711851851855</v>
      </c>
      <c r="D483" s="114">
        <v>45215.461851851855</v>
      </c>
      <c r="E483" s="38">
        <v>45215</v>
      </c>
      <c r="F483" s="91">
        <v>2023</v>
      </c>
      <c r="G483" s="93">
        <v>10</v>
      </c>
      <c r="H483" s="37" t="s">
        <v>603</v>
      </c>
      <c r="I483" s="37" t="s">
        <v>753</v>
      </c>
      <c r="J483" s="103">
        <v>-92.983080299999997</v>
      </c>
      <c r="K483" s="40">
        <v>44.845224100000003</v>
      </c>
      <c r="L483" s="74"/>
      <c r="M483" s="272" t="s">
        <v>16</v>
      </c>
      <c r="N483" s="74">
        <v>0</v>
      </c>
      <c r="O483" s="94"/>
      <c r="P483" s="118">
        <v>0</v>
      </c>
      <c r="Q483" s="510"/>
      <c r="R483" s="513"/>
      <c r="S483" s="41"/>
      <c r="T483" s="40"/>
      <c r="U483" s="40"/>
      <c r="V483" s="119">
        <v>1</v>
      </c>
      <c r="W483" s="40">
        <v>100</v>
      </c>
      <c r="X483" s="119">
        <v>1</v>
      </c>
      <c r="Y483" s="40">
        <v>52</v>
      </c>
      <c r="Z483" s="119">
        <v>0</v>
      </c>
      <c r="AA483" s="368" t="s">
        <v>16</v>
      </c>
      <c r="AB483" s="535" t="s">
        <v>16</v>
      </c>
      <c r="AC483" s="39" t="s">
        <v>160</v>
      </c>
      <c r="AD483" s="75" t="s">
        <v>10</v>
      </c>
      <c r="AE483" s="95">
        <v>0</v>
      </c>
      <c r="AF483" s="75">
        <v>0</v>
      </c>
      <c r="AG483" s="75">
        <v>0</v>
      </c>
      <c r="AH483" s="75">
        <v>0</v>
      </c>
      <c r="AI483" s="75">
        <v>0</v>
      </c>
      <c r="AJ483" s="75">
        <v>0</v>
      </c>
      <c r="AK483" s="75">
        <v>0</v>
      </c>
      <c r="AL483" s="95">
        <v>1</v>
      </c>
      <c r="AM483" s="92">
        <v>0</v>
      </c>
      <c r="AN483" s="79" t="s">
        <v>80</v>
      </c>
      <c r="AO483" s="75">
        <v>1</v>
      </c>
      <c r="AP483" s="75" t="s">
        <v>83</v>
      </c>
      <c r="AQ483" s="122">
        <v>1</v>
      </c>
      <c r="AR483" s="515" t="s">
        <v>10</v>
      </c>
      <c r="AS483" s="95">
        <v>0</v>
      </c>
      <c r="AT483" s="75">
        <v>0</v>
      </c>
      <c r="AU483" s="75">
        <v>0</v>
      </c>
      <c r="AV483" s="75">
        <v>0</v>
      </c>
      <c r="AW483" s="123">
        <v>0</v>
      </c>
      <c r="AX483" s="516" t="s">
        <v>3726</v>
      </c>
      <c r="AY483" s="75">
        <v>1</v>
      </c>
      <c r="AZ483" s="77" t="s">
        <v>131</v>
      </c>
      <c r="BA483" s="78" t="s">
        <v>131</v>
      </c>
      <c r="BB483" s="78" t="s">
        <v>131</v>
      </c>
      <c r="BC483" s="78" t="s">
        <v>131</v>
      </c>
      <c r="BD483" s="78" t="s">
        <v>131</v>
      </c>
      <c r="BE483" s="78" t="s">
        <v>131</v>
      </c>
      <c r="BF483" s="78" t="s">
        <v>131</v>
      </c>
      <c r="BG483" s="78" t="s">
        <v>132</v>
      </c>
      <c r="BH483" s="75" t="s">
        <v>5970</v>
      </c>
      <c r="BI483" s="295" t="s">
        <v>16</v>
      </c>
      <c r="BJ483" s="546" t="s">
        <v>16</v>
      </c>
      <c r="BK483" s="294" t="s">
        <v>16</v>
      </c>
      <c r="BL483" s="157" t="s">
        <v>16</v>
      </c>
      <c r="BM483" s="548" t="s">
        <v>2343</v>
      </c>
      <c r="BN483" s="548" t="s">
        <v>4161</v>
      </c>
      <c r="BO483" s="157" t="s">
        <v>4265</v>
      </c>
      <c r="BP483" s="548" t="s">
        <v>4267</v>
      </c>
      <c r="BQ483" s="157" t="s">
        <v>4224</v>
      </c>
      <c r="BR483" s="157"/>
    </row>
    <row r="484" spans="1:70" x14ac:dyDescent="0.25">
      <c r="A484" s="19" t="s">
        <v>3686</v>
      </c>
      <c r="B484" s="37" t="s">
        <v>3727</v>
      </c>
      <c r="C484" s="90">
        <v>45214.812037037038</v>
      </c>
      <c r="D484" s="114">
        <v>45214.562037037038</v>
      </c>
      <c r="E484" s="38">
        <v>45214</v>
      </c>
      <c r="F484" s="91">
        <v>2023</v>
      </c>
      <c r="G484" s="93">
        <v>10</v>
      </c>
      <c r="H484" s="37" t="s">
        <v>617</v>
      </c>
      <c r="I484" s="37" t="s">
        <v>1772</v>
      </c>
      <c r="J484" s="103">
        <v>-92.1896035644004</v>
      </c>
      <c r="K484" s="40">
        <v>44.632876975207594</v>
      </c>
      <c r="L484" s="74"/>
      <c r="M484" s="272" t="s">
        <v>16</v>
      </c>
      <c r="N484" s="74">
        <v>0</v>
      </c>
      <c r="O484" s="94"/>
      <c r="P484" s="118">
        <v>1</v>
      </c>
      <c r="Q484" s="510">
        <v>180</v>
      </c>
      <c r="R484" s="513">
        <v>120</v>
      </c>
      <c r="S484" s="41"/>
      <c r="T484" s="40"/>
      <c r="U484" s="40">
        <v>8</v>
      </c>
      <c r="V484" s="119">
        <v>1</v>
      </c>
      <c r="W484" s="40">
        <v>0</v>
      </c>
      <c r="X484" s="119">
        <v>1</v>
      </c>
      <c r="Y484" s="40">
        <v>54</v>
      </c>
      <c r="Z484" s="119">
        <v>0</v>
      </c>
      <c r="AA484" s="368" t="s">
        <v>16</v>
      </c>
      <c r="AB484" s="535" t="s">
        <v>16</v>
      </c>
      <c r="AC484" s="39" t="s">
        <v>160</v>
      </c>
      <c r="AD484" s="75" t="s">
        <v>16</v>
      </c>
      <c r="AE484" s="95">
        <v>-1</v>
      </c>
      <c r="AF484" s="75">
        <v>-1</v>
      </c>
      <c r="AG484" s="75">
        <v>-1</v>
      </c>
      <c r="AH484" s="75">
        <v>-1</v>
      </c>
      <c r="AI484" s="75">
        <v>-1</v>
      </c>
      <c r="AJ484" s="75">
        <v>-1</v>
      </c>
      <c r="AK484" s="75">
        <v>-1</v>
      </c>
      <c r="AL484" s="95">
        <v>-1</v>
      </c>
      <c r="AM484" s="92">
        <v>1</v>
      </c>
      <c r="AN484" s="79" t="s">
        <v>80</v>
      </c>
      <c r="AO484" s="75">
        <v>1</v>
      </c>
      <c r="AP484" s="75" t="s">
        <v>83</v>
      </c>
      <c r="AQ484" s="122">
        <v>1</v>
      </c>
      <c r="AR484" s="515" t="s">
        <v>10</v>
      </c>
      <c r="AS484" s="95">
        <v>0</v>
      </c>
      <c r="AT484" s="75">
        <v>0</v>
      </c>
      <c r="AU484" s="75">
        <v>0</v>
      </c>
      <c r="AV484" s="75">
        <v>0</v>
      </c>
      <c r="AW484" s="123">
        <v>0</v>
      </c>
      <c r="AX484" s="516"/>
      <c r="AY484" s="75">
        <v>0</v>
      </c>
      <c r="AZ484" s="77" t="s">
        <v>5971</v>
      </c>
      <c r="BA484" s="78" t="s">
        <v>5971</v>
      </c>
      <c r="BB484" s="78" t="s">
        <v>5971</v>
      </c>
      <c r="BC484" s="78" t="s">
        <v>5971</v>
      </c>
      <c r="BD484" s="78" t="s">
        <v>5971</v>
      </c>
      <c r="BE484" s="78" t="s">
        <v>5971</v>
      </c>
      <c r="BF484" s="78" t="s">
        <v>5971</v>
      </c>
      <c r="BG484" s="78" t="s">
        <v>5971</v>
      </c>
      <c r="BH484" s="75" t="s">
        <v>5971</v>
      </c>
      <c r="BI484" s="295" t="s">
        <v>16</v>
      </c>
      <c r="BJ484" s="546">
        <v>1</v>
      </c>
      <c r="BK484" s="294">
        <v>1</v>
      </c>
      <c r="BL484" s="157">
        <v>1</v>
      </c>
      <c r="BM484" s="548" t="s">
        <v>578</v>
      </c>
      <c r="BN484" s="548" t="s">
        <v>578</v>
      </c>
      <c r="BO484" s="157" t="s">
        <v>4218</v>
      </c>
      <c r="BP484" s="548" t="s">
        <v>4221</v>
      </c>
      <c r="BQ484" s="157" t="s">
        <v>4217</v>
      </c>
      <c r="BR484" s="157"/>
    </row>
    <row r="485" spans="1:70" x14ac:dyDescent="0.25">
      <c r="A485" s="19" t="s">
        <v>3686</v>
      </c>
      <c r="B485" s="37" t="s">
        <v>5795</v>
      </c>
      <c r="C485" s="90">
        <v>45214.757384259261</v>
      </c>
      <c r="D485" s="114">
        <v>45214.507384259261</v>
      </c>
      <c r="E485" s="38">
        <v>45214</v>
      </c>
      <c r="F485" s="91">
        <v>2023</v>
      </c>
      <c r="G485" s="93">
        <v>10</v>
      </c>
      <c r="H485" s="37" t="s">
        <v>475</v>
      </c>
      <c r="I485" s="37"/>
      <c r="J485" s="103">
        <v>-92.130990544933795</v>
      </c>
      <c r="K485" s="40">
        <v>44.234455795175691</v>
      </c>
      <c r="L485" s="74"/>
      <c r="M485" s="272" t="s">
        <v>5796</v>
      </c>
      <c r="N485" s="74">
        <v>1</v>
      </c>
      <c r="O485" s="94"/>
      <c r="P485" s="118">
        <v>1</v>
      </c>
      <c r="Q485" s="510">
        <v>180</v>
      </c>
      <c r="R485" s="513">
        <v>120</v>
      </c>
      <c r="S485" s="41"/>
      <c r="T485" s="40"/>
      <c r="U485" s="40">
        <v>7.5</v>
      </c>
      <c r="V485" s="119">
        <v>1</v>
      </c>
      <c r="W485" s="40">
        <v>0</v>
      </c>
      <c r="X485" s="119">
        <v>1</v>
      </c>
      <c r="Y485" s="40">
        <v>51</v>
      </c>
      <c r="Z485" s="119">
        <v>1</v>
      </c>
      <c r="AA485" s="368">
        <v>0</v>
      </c>
      <c r="AB485" s="535">
        <v>5</v>
      </c>
      <c r="AC485" s="39" t="s">
        <v>160</v>
      </c>
      <c r="AD485" s="75" t="s">
        <v>10</v>
      </c>
      <c r="AE485" s="95">
        <v>0</v>
      </c>
      <c r="AF485" s="75">
        <v>0</v>
      </c>
      <c r="AG485" s="75">
        <v>0</v>
      </c>
      <c r="AH485" s="75">
        <v>0</v>
      </c>
      <c r="AI485" s="75">
        <v>0</v>
      </c>
      <c r="AJ485" s="75">
        <v>0</v>
      </c>
      <c r="AK485" s="75">
        <v>0</v>
      </c>
      <c r="AL485" s="95">
        <v>1</v>
      </c>
      <c r="AM485" s="92">
        <v>0</v>
      </c>
      <c r="AN485" s="79" t="s">
        <v>80</v>
      </c>
      <c r="AO485" s="75">
        <v>1</v>
      </c>
      <c r="AP485" s="75" t="s">
        <v>16</v>
      </c>
      <c r="AQ485" s="122">
        <v>0</v>
      </c>
      <c r="AR485" s="515" t="s">
        <v>10</v>
      </c>
      <c r="AS485" s="95">
        <v>0</v>
      </c>
      <c r="AT485" s="75">
        <v>0</v>
      </c>
      <c r="AU485" s="75">
        <v>0</v>
      </c>
      <c r="AV485" s="75">
        <v>0</v>
      </c>
      <c r="AW485" s="123">
        <v>0</v>
      </c>
      <c r="AX485" s="516" t="s">
        <v>5797</v>
      </c>
      <c r="AY485" s="75">
        <v>1</v>
      </c>
      <c r="AZ485" s="77" t="s">
        <v>131</v>
      </c>
      <c r="BA485" s="78" t="s">
        <v>131</v>
      </c>
      <c r="BB485" s="78" t="s">
        <v>131</v>
      </c>
      <c r="BC485" s="78" t="s">
        <v>131</v>
      </c>
      <c r="BD485" s="78" t="s">
        <v>131</v>
      </c>
      <c r="BE485" s="78" t="s">
        <v>131</v>
      </c>
      <c r="BF485" s="78" t="s">
        <v>131</v>
      </c>
      <c r="BG485" s="78" t="s">
        <v>132</v>
      </c>
      <c r="BH485" s="75" t="s">
        <v>5970</v>
      </c>
      <c r="BI485" s="295">
        <v>0</v>
      </c>
      <c r="BJ485" s="546">
        <v>1</v>
      </c>
      <c r="BK485" s="294" t="s">
        <v>16</v>
      </c>
      <c r="BL485" s="157" t="s">
        <v>16</v>
      </c>
      <c r="BM485" s="548" t="s">
        <v>1339</v>
      </c>
      <c r="BN485" s="548" t="s">
        <v>1339</v>
      </c>
      <c r="BO485" s="157" t="s">
        <v>4358</v>
      </c>
      <c r="BP485" s="548" t="s">
        <v>317</v>
      </c>
      <c r="BQ485" s="157" t="s">
        <v>4330</v>
      </c>
      <c r="BR485" s="157"/>
    </row>
    <row r="486" spans="1:70" x14ac:dyDescent="0.25">
      <c r="A486" s="19" t="s">
        <v>3686</v>
      </c>
      <c r="B486" s="37" t="s">
        <v>3728</v>
      </c>
      <c r="C486" s="90">
        <v>45214.631886574076</v>
      </c>
      <c r="D486" s="114">
        <v>45214.381886574076</v>
      </c>
      <c r="E486" s="38">
        <v>45214</v>
      </c>
      <c r="F486" s="91">
        <v>2023</v>
      </c>
      <c r="G486" s="93">
        <v>10</v>
      </c>
      <c r="H486" s="37" t="s">
        <v>617</v>
      </c>
      <c r="I486" s="37" t="s">
        <v>2362</v>
      </c>
      <c r="J486" s="103">
        <v>-92.283961424108639</v>
      </c>
      <c r="K486" s="40">
        <v>44.542250519839776</v>
      </c>
      <c r="L486" s="74"/>
      <c r="M486" s="272" t="s">
        <v>16</v>
      </c>
      <c r="N486" s="74">
        <v>0</v>
      </c>
      <c r="O486" s="94"/>
      <c r="P486" s="118">
        <v>1</v>
      </c>
      <c r="Q486" s="510">
        <v>180</v>
      </c>
      <c r="R486" s="513">
        <v>180</v>
      </c>
      <c r="S486" s="41"/>
      <c r="T486" s="40"/>
      <c r="U486" s="40">
        <v>7.5</v>
      </c>
      <c r="V486" s="119">
        <v>1</v>
      </c>
      <c r="W486" s="40">
        <v>0</v>
      </c>
      <c r="X486" s="119">
        <v>1</v>
      </c>
      <c r="Y486" s="40">
        <v>50</v>
      </c>
      <c r="Z486" s="119">
        <v>0</v>
      </c>
      <c r="AA486" s="368" t="s">
        <v>16</v>
      </c>
      <c r="AB486" s="535" t="s">
        <v>16</v>
      </c>
      <c r="AC486" s="39" t="s">
        <v>160</v>
      </c>
      <c r="AD486" s="75" t="s">
        <v>16</v>
      </c>
      <c r="AE486" s="95">
        <v>-1</v>
      </c>
      <c r="AF486" s="75">
        <v>-1</v>
      </c>
      <c r="AG486" s="75">
        <v>-1</v>
      </c>
      <c r="AH486" s="75">
        <v>-1</v>
      </c>
      <c r="AI486" s="75">
        <v>-1</v>
      </c>
      <c r="AJ486" s="75">
        <v>-1</v>
      </c>
      <c r="AK486" s="75">
        <v>-1</v>
      </c>
      <c r="AL486" s="95">
        <v>-1</v>
      </c>
      <c r="AM486" s="92">
        <v>1</v>
      </c>
      <c r="AN486" s="79" t="s">
        <v>80</v>
      </c>
      <c r="AO486" s="75">
        <v>1</v>
      </c>
      <c r="AP486" s="75" t="s">
        <v>83</v>
      </c>
      <c r="AQ486" s="122">
        <v>1</v>
      </c>
      <c r="AR486" s="515" t="s">
        <v>10</v>
      </c>
      <c r="AS486" s="95">
        <v>0</v>
      </c>
      <c r="AT486" s="75">
        <v>0</v>
      </c>
      <c r="AU486" s="75">
        <v>0</v>
      </c>
      <c r="AV486" s="75">
        <v>0</v>
      </c>
      <c r="AW486" s="123">
        <v>0</v>
      </c>
      <c r="AX486" s="516"/>
      <c r="AY486" s="75">
        <v>0</v>
      </c>
      <c r="AZ486" s="77" t="s">
        <v>5971</v>
      </c>
      <c r="BA486" s="78" t="s">
        <v>5971</v>
      </c>
      <c r="BB486" s="78" t="s">
        <v>5971</v>
      </c>
      <c r="BC486" s="78" t="s">
        <v>5971</v>
      </c>
      <c r="BD486" s="78" t="s">
        <v>5971</v>
      </c>
      <c r="BE486" s="78" t="s">
        <v>5971</v>
      </c>
      <c r="BF486" s="78" t="s">
        <v>5971</v>
      </c>
      <c r="BG486" s="78" t="s">
        <v>5971</v>
      </c>
      <c r="BH486" s="75" t="s">
        <v>5971</v>
      </c>
      <c r="BI486" s="295" t="s">
        <v>2261</v>
      </c>
      <c r="BJ486" s="546">
        <v>1</v>
      </c>
      <c r="BK486" s="294">
        <v>1</v>
      </c>
      <c r="BL486" s="157">
        <v>1</v>
      </c>
      <c r="BM486" s="548" t="s">
        <v>1340</v>
      </c>
      <c r="BN486" s="548" t="s">
        <v>578</v>
      </c>
      <c r="BO486" s="157" t="s">
        <v>4268</v>
      </c>
      <c r="BP486" s="548" t="s">
        <v>2261</v>
      </c>
      <c r="BQ486" s="157" t="s">
        <v>4214</v>
      </c>
      <c r="BR486" s="157"/>
    </row>
    <row r="487" spans="1:70" x14ac:dyDescent="0.25">
      <c r="A487" s="19" t="s">
        <v>3686</v>
      </c>
      <c r="B487" s="37" t="s">
        <v>3729</v>
      </c>
      <c r="C487" s="90">
        <v>45210.832754629628</v>
      </c>
      <c r="D487" s="114">
        <v>45210.582754629628</v>
      </c>
      <c r="E487" s="38">
        <v>45210</v>
      </c>
      <c r="F487" s="91">
        <v>2023</v>
      </c>
      <c r="G487" s="93">
        <v>10</v>
      </c>
      <c r="H487" s="37" t="s">
        <v>1353</v>
      </c>
      <c r="I487" s="37"/>
      <c r="J487" s="103">
        <v>-90.834229699999995</v>
      </c>
      <c r="K487" s="40">
        <v>43.605538500000002</v>
      </c>
      <c r="L487" s="74"/>
      <c r="M487" s="272" t="s">
        <v>3730</v>
      </c>
      <c r="N487" s="74">
        <v>1</v>
      </c>
      <c r="O487" s="94"/>
      <c r="P487" s="118">
        <v>1</v>
      </c>
      <c r="Q487" s="510">
        <v>120</v>
      </c>
      <c r="R487" s="513">
        <v>180</v>
      </c>
      <c r="S487" s="41"/>
      <c r="T487" s="40"/>
      <c r="U487" s="40">
        <v>7.5</v>
      </c>
      <c r="V487" s="119">
        <v>0</v>
      </c>
      <c r="W487" s="40"/>
      <c r="X487" s="119">
        <v>0</v>
      </c>
      <c r="Y487" s="40"/>
      <c r="Z487" s="119">
        <v>1</v>
      </c>
      <c r="AA487" s="368">
        <v>0</v>
      </c>
      <c r="AB487" s="535">
        <v>5</v>
      </c>
      <c r="AC487" s="39" t="s">
        <v>160</v>
      </c>
      <c r="AD487" s="75" t="s">
        <v>10</v>
      </c>
      <c r="AE487" s="95">
        <v>0</v>
      </c>
      <c r="AF487" s="75">
        <v>0</v>
      </c>
      <c r="AG487" s="75">
        <v>0</v>
      </c>
      <c r="AH487" s="75">
        <v>0</v>
      </c>
      <c r="AI487" s="75">
        <v>0</v>
      </c>
      <c r="AJ487" s="75">
        <v>0</v>
      </c>
      <c r="AK487" s="75">
        <v>0</v>
      </c>
      <c r="AL487" s="95">
        <v>1</v>
      </c>
      <c r="AM487" s="92">
        <v>0</v>
      </c>
      <c r="AN487" s="79" t="s">
        <v>80</v>
      </c>
      <c r="AO487" s="75">
        <v>1</v>
      </c>
      <c r="AP487" s="75" t="s">
        <v>83</v>
      </c>
      <c r="AQ487" s="122">
        <v>1</v>
      </c>
      <c r="AR487" s="515" t="s">
        <v>10</v>
      </c>
      <c r="AS487" s="95">
        <v>0</v>
      </c>
      <c r="AT487" s="75">
        <v>0</v>
      </c>
      <c r="AU487" s="75">
        <v>0</v>
      </c>
      <c r="AV487" s="75">
        <v>0</v>
      </c>
      <c r="AW487" s="123">
        <v>0</v>
      </c>
      <c r="AX487" s="516"/>
      <c r="AY487" s="75">
        <v>0</v>
      </c>
      <c r="AZ487" s="77" t="s">
        <v>131</v>
      </c>
      <c r="BA487" s="78" t="s">
        <v>131</v>
      </c>
      <c r="BB487" s="78" t="s">
        <v>131</v>
      </c>
      <c r="BC487" s="78" t="s">
        <v>131</v>
      </c>
      <c r="BD487" s="78" t="s">
        <v>131</v>
      </c>
      <c r="BE487" s="78" t="s">
        <v>131</v>
      </c>
      <c r="BF487" s="78" t="s">
        <v>131</v>
      </c>
      <c r="BG487" s="78" t="s">
        <v>132</v>
      </c>
      <c r="BH487" s="75" t="s">
        <v>5970</v>
      </c>
      <c r="BI487" s="295" t="s">
        <v>2308</v>
      </c>
      <c r="BJ487" s="546">
        <v>1</v>
      </c>
      <c r="BK487" s="294">
        <v>1</v>
      </c>
      <c r="BL487" s="157">
        <v>1</v>
      </c>
      <c r="BM487" s="548" t="s">
        <v>1342</v>
      </c>
      <c r="BN487" s="548" t="s">
        <v>4158</v>
      </c>
      <c r="BO487" s="157" t="s">
        <v>4273</v>
      </c>
      <c r="BP487" s="548" t="s">
        <v>2308</v>
      </c>
      <c r="BQ487" s="157" t="s">
        <v>4272</v>
      </c>
      <c r="BR487" s="157"/>
    </row>
    <row r="488" spans="1:70" x14ac:dyDescent="0.25">
      <c r="A488" s="19" t="s">
        <v>3686</v>
      </c>
      <c r="B488" s="37" t="s">
        <v>3731</v>
      </c>
      <c r="C488" s="90">
        <v>45210.800856481481</v>
      </c>
      <c r="D488" s="114">
        <v>45210.550856481481</v>
      </c>
      <c r="E488" s="38">
        <v>45210</v>
      </c>
      <c r="F488" s="91">
        <v>2023</v>
      </c>
      <c r="G488" s="93">
        <v>10</v>
      </c>
      <c r="H488" s="37" t="s">
        <v>1353</v>
      </c>
      <c r="I488" s="37"/>
      <c r="J488" s="103">
        <v>-90.844930700000006</v>
      </c>
      <c r="K488" s="40">
        <v>43.543126200000003</v>
      </c>
      <c r="L488" s="74"/>
      <c r="M488" s="272" t="s">
        <v>3732</v>
      </c>
      <c r="N488" s="74">
        <v>1</v>
      </c>
      <c r="O488" s="94"/>
      <c r="P488" s="118">
        <v>1</v>
      </c>
      <c r="Q488" s="510">
        <v>120</v>
      </c>
      <c r="R488" s="513">
        <v>120</v>
      </c>
      <c r="S488" s="41"/>
      <c r="T488" s="40"/>
      <c r="U488" s="40">
        <v>8</v>
      </c>
      <c r="V488" s="119">
        <v>0</v>
      </c>
      <c r="W488" s="40"/>
      <c r="X488" s="119">
        <v>0</v>
      </c>
      <c r="Y488" s="40"/>
      <c r="Z488" s="119">
        <v>1</v>
      </c>
      <c r="AA488" s="368">
        <v>0</v>
      </c>
      <c r="AB488" s="535">
        <v>2</v>
      </c>
      <c r="AC488" s="39" t="s">
        <v>160</v>
      </c>
      <c r="AD488" s="75" t="s">
        <v>10</v>
      </c>
      <c r="AE488" s="95">
        <v>0</v>
      </c>
      <c r="AF488" s="75">
        <v>0</v>
      </c>
      <c r="AG488" s="75">
        <v>0</v>
      </c>
      <c r="AH488" s="75">
        <v>0</v>
      </c>
      <c r="AI488" s="75">
        <v>0</v>
      </c>
      <c r="AJ488" s="75">
        <v>0</v>
      </c>
      <c r="AK488" s="75">
        <v>0</v>
      </c>
      <c r="AL488" s="95">
        <v>1</v>
      </c>
      <c r="AM488" s="92">
        <v>0</v>
      </c>
      <c r="AN488" s="79" t="s">
        <v>80</v>
      </c>
      <c r="AO488" s="75">
        <v>1</v>
      </c>
      <c r="AP488" s="75" t="s">
        <v>83</v>
      </c>
      <c r="AQ488" s="122">
        <v>1</v>
      </c>
      <c r="AR488" s="515" t="s">
        <v>10</v>
      </c>
      <c r="AS488" s="95">
        <v>0</v>
      </c>
      <c r="AT488" s="75">
        <v>0</v>
      </c>
      <c r="AU488" s="75">
        <v>0</v>
      </c>
      <c r="AV488" s="75">
        <v>0</v>
      </c>
      <c r="AW488" s="123">
        <v>0</v>
      </c>
      <c r="AX488" s="516" t="s">
        <v>3733</v>
      </c>
      <c r="AY488" s="75">
        <v>1</v>
      </c>
      <c r="AZ488" s="77" t="s">
        <v>131</v>
      </c>
      <c r="BA488" s="78" t="s">
        <v>131</v>
      </c>
      <c r="BB488" s="78" t="s">
        <v>131</v>
      </c>
      <c r="BC488" s="78" t="s">
        <v>131</v>
      </c>
      <c r="BD488" s="78" t="s">
        <v>131</v>
      </c>
      <c r="BE488" s="78" t="s">
        <v>131</v>
      </c>
      <c r="BF488" s="78" t="s">
        <v>131</v>
      </c>
      <c r="BG488" s="78" t="s">
        <v>132</v>
      </c>
      <c r="BH488" s="75" t="s">
        <v>5970</v>
      </c>
      <c r="BI488" s="295" t="s">
        <v>4059</v>
      </c>
      <c r="BJ488" s="546">
        <v>1</v>
      </c>
      <c r="BK488" s="294">
        <v>1</v>
      </c>
      <c r="BL488" s="157">
        <v>1</v>
      </c>
      <c r="BM488" s="548" t="s">
        <v>1342</v>
      </c>
      <c r="BN488" s="548" t="s">
        <v>4158</v>
      </c>
      <c r="BO488" s="157" t="s">
        <v>4276</v>
      </c>
      <c r="BP488" s="548" t="s">
        <v>4278</v>
      </c>
      <c r="BQ488" s="157" t="s">
        <v>4272</v>
      </c>
      <c r="BR488" s="157"/>
    </row>
    <row r="489" spans="1:70" x14ac:dyDescent="0.25">
      <c r="A489" s="19" t="s">
        <v>3686</v>
      </c>
      <c r="B489" s="37" t="s">
        <v>3734</v>
      </c>
      <c r="C489" s="90">
        <v>45210.787245370368</v>
      </c>
      <c r="D489" s="114">
        <v>45210.537245370368</v>
      </c>
      <c r="E489" s="38">
        <v>45210</v>
      </c>
      <c r="F489" s="91">
        <v>2023</v>
      </c>
      <c r="G489" s="93">
        <v>10</v>
      </c>
      <c r="H489" s="37" t="s">
        <v>1353</v>
      </c>
      <c r="I489" s="37"/>
      <c r="J489" s="103">
        <v>-90.827397599999998</v>
      </c>
      <c r="K489" s="40">
        <v>43.559458100000001</v>
      </c>
      <c r="L489" s="74"/>
      <c r="M489" s="272" t="s">
        <v>3735</v>
      </c>
      <c r="N489" s="74">
        <v>1</v>
      </c>
      <c r="O489" s="94"/>
      <c r="P489" s="118">
        <v>1</v>
      </c>
      <c r="Q489" s="510">
        <v>80</v>
      </c>
      <c r="R489" s="513">
        <v>120</v>
      </c>
      <c r="S489" s="41"/>
      <c r="T489" s="40"/>
      <c r="U489" s="40">
        <v>7.5</v>
      </c>
      <c r="V489" s="119">
        <v>0</v>
      </c>
      <c r="W489" s="40"/>
      <c r="X489" s="119">
        <v>1</v>
      </c>
      <c r="Y489" s="40">
        <v>55</v>
      </c>
      <c r="Z489" s="119">
        <v>1</v>
      </c>
      <c r="AA489" s="368">
        <v>0</v>
      </c>
      <c r="AB489" s="535">
        <v>5</v>
      </c>
      <c r="AC489" s="39" t="s">
        <v>160</v>
      </c>
      <c r="AD489" s="75" t="s">
        <v>10</v>
      </c>
      <c r="AE489" s="95">
        <v>0</v>
      </c>
      <c r="AF489" s="75">
        <v>0</v>
      </c>
      <c r="AG489" s="75">
        <v>0</v>
      </c>
      <c r="AH489" s="75">
        <v>0</v>
      </c>
      <c r="AI489" s="75">
        <v>0</v>
      </c>
      <c r="AJ489" s="75">
        <v>0</v>
      </c>
      <c r="AK489" s="75">
        <v>0</v>
      </c>
      <c r="AL489" s="95">
        <v>1</v>
      </c>
      <c r="AM489" s="92">
        <v>0</v>
      </c>
      <c r="AN489" s="79" t="s">
        <v>80</v>
      </c>
      <c r="AO489" s="75">
        <v>1</v>
      </c>
      <c r="AP489" s="75" t="s">
        <v>83</v>
      </c>
      <c r="AQ489" s="122">
        <v>1</v>
      </c>
      <c r="AR489" s="515" t="s">
        <v>10</v>
      </c>
      <c r="AS489" s="95">
        <v>0</v>
      </c>
      <c r="AT489" s="75">
        <v>0</v>
      </c>
      <c r="AU489" s="75">
        <v>0</v>
      </c>
      <c r="AV489" s="75">
        <v>0</v>
      </c>
      <c r="AW489" s="123">
        <v>0</v>
      </c>
      <c r="AX489" s="516"/>
      <c r="AY489" s="75">
        <v>0</v>
      </c>
      <c r="AZ489" s="77" t="s">
        <v>131</v>
      </c>
      <c r="BA489" s="78" t="s">
        <v>131</v>
      </c>
      <c r="BB489" s="78" t="s">
        <v>131</v>
      </c>
      <c r="BC489" s="78" t="s">
        <v>131</v>
      </c>
      <c r="BD489" s="78" t="s">
        <v>131</v>
      </c>
      <c r="BE489" s="78" t="s">
        <v>131</v>
      </c>
      <c r="BF489" s="78" t="s">
        <v>131</v>
      </c>
      <c r="BG489" s="78" t="s">
        <v>132</v>
      </c>
      <c r="BH489" s="75" t="s">
        <v>5970</v>
      </c>
      <c r="BI489" s="295" t="s">
        <v>4058</v>
      </c>
      <c r="BJ489" s="546" t="s">
        <v>16</v>
      </c>
      <c r="BK489" s="294">
        <v>1</v>
      </c>
      <c r="BL489" s="157">
        <v>1</v>
      </c>
      <c r="BM489" s="548" t="s">
        <v>1342</v>
      </c>
      <c r="BN489" s="548" t="s">
        <v>4158</v>
      </c>
      <c r="BO489" s="157" t="s">
        <v>4276</v>
      </c>
      <c r="BP489" s="548" t="s">
        <v>4278</v>
      </c>
      <c r="BQ489" s="157" t="s">
        <v>4272</v>
      </c>
      <c r="BR489" s="157"/>
    </row>
    <row r="490" spans="1:70" x14ac:dyDescent="0.25">
      <c r="A490" s="19" t="s">
        <v>3686</v>
      </c>
      <c r="B490" s="37" t="s">
        <v>3736</v>
      </c>
      <c r="C490" s="90">
        <v>45210.766886574071</v>
      </c>
      <c r="D490" s="114">
        <v>45210.516886574071</v>
      </c>
      <c r="E490" s="38">
        <v>45210</v>
      </c>
      <c r="F490" s="91">
        <v>2023</v>
      </c>
      <c r="G490" s="93">
        <v>10</v>
      </c>
      <c r="H490" s="37" t="s">
        <v>2475</v>
      </c>
      <c r="I490" s="37"/>
      <c r="J490" s="103">
        <v>-89.985882695848105</v>
      </c>
      <c r="K490" s="40">
        <v>42.893031528259527</v>
      </c>
      <c r="L490" s="74"/>
      <c r="M490" s="272" t="s">
        <v>3737</v>
      </c>
      <c r="N490" s="74">
        <v>1</v>
      </c>
      <c r="O490" s="94"/>
      <c r="P490" s="118">
        <v>1</v>
      </c>
      <c r="Q490" s="510">
        <v>180</v>
      </c>
      <c r="R490" s="513">
        <v>120</v>
      </c>
      <c r="S490" s="41"/>
      <c r="T490" s="40"/>
      <c r="U490" s="40">
        <v>9</v>
      </c>
      <c r="V490" s="119">
        <v>1</v>
      </c>
      <c r="W490" s="40">
        <v>0</v>
      </c>
      <c r="X490" s="119">
        <v>1</v>
      </c>
      <c r="Y490" s="40">
        <v>50</v>
      </c>
      <c r="Z490" s="119">
        <v>1</v>
      </c>
      <c r="AA490" s="368">
        <v>0</v>
      </c>
      <c r="AB490" s="535">
        <v>5</v>
      </c>
      <c r="AC490" s="39" t="s">
        <v>160</v>
      </c>
      <c r="AD490" s="75" t="s">
        <v>8</v>
      </c>
      <c r="AE490" s="95">
        <v>0</v>
      </c>
      <c r="AF490" s="75">
        <v>1</v>
      </c>
      <c r="AG490" s="75">
        <v>0</v>
      </c>
      <c r="AH490" s="75">
        <v>0</v>
      </c>
      <c r="AI490" s="75">
        <v>0</v>
      </c>
      <c r="AJ490" s="75">
        <v>0</v>
      </c>
      <c r="AK490" s="75">
        <v>0</v>
      </c>
      <c r="AL490" s="95">
        <v>0</v>
      </c>
      <c r="AM490" s="92">
        <v>0</v>
      </c>
      <c r="AN490" s="79" t="s">
        <v>80</v>
      </c>
      <c r="AO490" s="75">
        <v>1</v>
      </c>
      <c r="AP490" s="75" t="s">
        <v>83</v>
      </c>
      <c r="AQ490" s="122">
        <v>1</v>
      </c>
      <c r="AR490" s="515" t="s">
        <v>10</v>
      </c>
      <c r="AS490" s="95">
        <v>0</v>
      </c>
      <c r="AT490" s="75">
        <v>0</v>
      </c>
      <c r="AU490" s="75">
        <v>0</v>
      </c>
      <c r="AV490" s="75">
        <v>0</v>
      </c>
      <c r="AW490" s="123">
        <v>0</v>
      </c>
      <c r="AX490" s="516"/>
      <c r="AY490" s="75">
        <v>0</v>
      </c>
      <c r="AZ490" s="77" t="s">
        <v>131</v>
      </c>
      <c r="BA490" s="78" t="s">
        <v>132</v>
      </c>
      <c r="BB490" s="78" t="s">
        <v>131</v>
      </c>
      <c r="BC490" s="78" t="s">
        <v>131</v>
      </c>
      <c r="BD490" s="78" t="s">
        <v>131</v>
      </c>
      <c r="BE490" s="78" t="s">
        <v>131</v>
      </c>
      <c r="BF490" s="78" t="s">
        <v>131</v>
      </c>
      <c r="BG490" s="78" t="s">
        <v>131</v>
      </c>
      <c r="BH490" s="75" t="s">
        <v>5970</v>
      </c>
      <c r="BI490" s="295" t="s">
        <v>4046</v>
      </c>
      <c r="BJ490" s="546">
        <v>1</v>
      </c>
      <c r="BK490" s="294" t="s">
        <v>16</v>
      </c>
      <c r="BL490" s="157" t="s">
        <v>16</v>
      </c>
      <c r="BM490" s="548" t="s">
        <v>1345</v>
      </c>
      <c r="BN490" s="548" t="s">
        <v>4162</v>
      </c>
      <c r="BO490" s="157" t="s">
        <v>4280</v>
      </c>
      <c r="BP490" s="548" t="s">
        <v>4282</v>
      </c>
      <c r="BQ490" s="157" t="s">
        <v>4279</v>
      </c>
      <c r="BR490" s="157"/>
    </row>
    <row r="491" spans="1:70" x14ac:dyDescent="0.25">
      <c r="A491" s="19" t="s">
        <v>3686</v>
      </c>
      <c r="B491" s="37" t="s">
        <v>3738</v>
      </c>
      <c r="C491" s="90">
        <v>45210.757835648146</v>
      </c>
      <c r="D491" s="114">
        <v>45210.507835648146</v>
      </c>
      <c r="E491" s="38">
        <v>45210</v>
      </c>
      <c r="F491" s="91">
        <v>2023</v>
      </c>
      <c r="G491" s="93">
        <v>10</v>
      </c>
      <c r="H491" s="37" t="s">
        <v>2475</v>
      </c>
      <c r="I491" s="37"/>
      <c r="J491" s="103">
        <v>-89.985663938354634</v>
      </c>
      <c r="K491" s="40">
        <v>42.893155693871911</v>
      </c>
      <c r="L491" s="74"/>
      <c r="M491" s="272" t="s">
        <v>3739</v>
      </c>
      <c r="N491" s="74">
        <v>1</v>
      </c>
      <c r="O491" s="94"/>
      <c r="P491" s="118">
        <v>1</v>
      </c>
      <c r="Q491" s="510">
        <v>180</v>
      </c>
      <c r="R491" s="513">
        <v>120</v>
      </c>
      <c r="S491" s="41"/>
      <c r="T491" s="40"/>
      <c r="U491" s="40">
        <v>8</v>
      </c>
      <c r="V491" s="119">
        <v>0</v>
      </c>
      <c r="W491" s="40"/>
      <c r="X491" s="119">
        <v>1</v>
      </c>
      <c r="Y491" s="40">
        <v>47</v>
      </c>
      <c r="Z491" s="119">
        <v>1</v>
      </c>
      <c r="AA491" s="368">
        <v>0</v>
      </c>
      <c r="AB491" s="535">
        <v>1</v>
      </c>
      <c r="AC491" s="39" t="s">
        <v>160</v>
      </c>
      <c r="AD491" s="75" t="s">
        <v>10</v>
      </c>
      <c r="AE491" s="95">
        <v>0</v>
      </c>
      <c r="AF491" s="75">
        <v>0</v>
      </c>
      <c r="AG491" s="75">
        <v>0</v>
      </c>
      <c r="AH491" s="75">
        <v>0</v>
      </c>
      <c r="AI491" s="75">
        <v>0</v>
      </c>
      <c r="AJ491" s="75">
        <v>0</v>
      </c>
      <c r="AK491" s="75">
        <v>0</v>
      </c>
      <c r="AL491" s="95">
        <v>1</v>
      </c>
      <c r="AM491" s="92">
        <v>0</v>
      </c>
      <c r="AN491" s="79" t="s">
        <v>80</v>
      </c>
      <c r="AO491" s="75">
        <v>1</v>
      </c>
      <c r="AP491" s="75" t="s">
        <v>83</v>
      </c>
      <c r="AQ491" s="122">
        <v>1</v>
      </c>
      <c r="AR491" s="515" t="s">
        <v>10</v>
      </c>
      <c r="AS491" s="95">
        <v>0</v>
      </c>
      <c r="AT491" s="75">
        <v>0</v>
      </c>
      <c r="AU491" s="75">
        <v>0</v>
      </c>
      <c r="AV491" s="75">
        <v>0</v>
      </c>
      <c r="AW491" s="123">
        <v>0</v>
      </c>
      <c r="AX491" s="516"/>
      <c r="AY491" s="75">
        <v>0</v>
      </c>
      <c r="AZ491" s="77" t="s">
        <v>131</v>
      </c>
      <c r="BA491" s="78" t="s">
        <v>131</v>
      </c>
      <c r="BB491" s="78" t="s">
        <v>131</v>
      </c>
      <c r="BC491" s="78" t="s">
        <v>131</v>
      </c>
      <c r="BD491" s="78" t="s">
        <v>131</v>
      </c>
      <c r="BE491" s="78" t="s">
        <v>131</v>
      </c>
      <c r="BF491" s="78" t="s">
        <v>131</v>
      </c>
      <c r="BG491" s="78" t="s">
        <v>132</v>
      </c>
      <c r="BH491" s="75" t="s">
        <v>5970</v>
      </c>
      <c r="BI491" s="295" t="s">
        <v>16</v>
      </c>
      <c r="BJ491" s="546">
        <v>1</v>
      </c>
      <c r="BK491" s="294" t="s">
        <v>16</v>
      </c>
      <c r="BL491" s="157" t="s">
        <v>16</v>
      </c>
      <c r="BM491" s="548" t="s">
        <v>1345</v>
      </c>
      <c r="BN491" s="548" t="s">
        <v>4162</v>
      </c>
      <c r="BO491" s="157" t="s">
        <v>4280</v>
      </c>
      <c r="BP491" s="548" t="s">
        <v>4282</v>
      </c>
      <c r="BQ491" s="157" t="s">
        <v>4279</v>
      </c>
      <c r="BR491" s="157"/>
    </row>
    <row r="492" spans="1:70" x14ac:dyDescent="0.25">
      <c r="A492" s="19" t="s">
        <v>3686</v>
      </c>
      <c r="B492" s="37" t="s">
        <v>3740</v>
      </c>
      <c r="C492" s="90">
        <v>45210.700937499998</v>
      </c>
      <c r="D492" s="114">
        <v>45210.450937499998</v>
      </c>
      <c r="E492" s="38">
        <v>45210</v>
      </c>
      <c r="F492" s="91">
        <v>2023</v>
      </c>
      <c r="G492" s="93">
        <v>10</v>
      </c>
      <c r="H492" s="37" t="s">
        <v>599</v>
      </c>
      <c r="I492" s="37" t="s">
        <v>2361</v>
      </c>
      <c r="J492" s="103">
        <v>-92.442889528687033</v>
      </c>
      <c r="K492" s="40">
        <v>44.621397077900831</v>
      </c>
      <c r="L492" s="74"/>
      <c r="M492" s="272" t="s">
        <v>16</v>
      </c>
      <c r="N492" s="74">
        <v>0</v>
      </c>
      <c r="O492" s="94"/>
      <c r="P492" s="118">
        <v>1</v>
      </c>
      <c r="Q492" s="510">
        <v>180</v>
      </c>
      <c r="R492" s="513">
        <v>120</v>
      </c>
      <c r="S492" s="41"/>
      <c r="T492" s="40"/>
      <c r="U492" s="40">
        <v>7.5</v>
      </c>
      <c r="V492" s="119">
        <v>1</v>
      </c>
      <c r="W492" s="40">
        <v>0</v>
      </c>
      <c r="X492" s="119">
        <v>1</v>
      </c>
      <c r="Y492" s="40">
        <v>45</v>
      </c>
      <c r="Z492" s="119">
        <v>1</v>
      </c>
      <c r="AA492" s="368">
        <v>0</v>
      </c>
      <c r="AB492" s="535">
        <v>2</v>
      </c>
      <c r="AC492" s="39" t="s">
        <v>160</v>
      </c>
      <c r="AD492" s="75" t="s">
        <v>10</v>
      </c>
      <c r="AE492" s="95">
        <v>0</v>
      </c>
      <c r="AF492" s="75">
        <v>0</v>
      </c>
      <c r="AG492" s="75">
        <v>0</v>
      </c>
      <c r="AH492" s="75">
        <v>0</v>
      </c>
      <c r="AI492" s="75">
        <v>0</v>
      </c>
      <c r="AJ492" s="75">
        <v>0</v>
      </c>
      <c r="AK492" s="75">
        <v>0</v>
      </c>
      <c r="AL492" s="95">
        <v>1</v>
      </c>
      <c r="AM492" s="92">
        <v>0</v>
      </c>
      <c r="AN492" s="79" t="s">
        <v>80</v>
      </c>
      <c r="AO492" s="75">
        <v>1</v>
      </c>
      <c r="AP492" s="75" t="s">
        <v>83</v>
      </c>
      <c r="AQ492" s="122">
        <v>1</v>
      </c>
      <c r="AR492" s="515" t="s">
        <v>10</v>
      </c>
      <c r="AS492" s="95">
        <v>0</v>
      </c>
      <c r="AT492" s="75">
        <v>0</v>
      </c>
      <c r="AU492" s="75">
        <v>0</v>
      </c>
      <c r="AV492" s="75">
        <v>0</v>
      </c>
      <c r="AW492" s="123">
        <v>0</v>
      </c>
      <c r="AX492" s="516"/>
      <c r="AY492" s="75">
        <v>0</v>
      </c>
      <c r="AZ492" s="77" t="s">
        <v>131</v>
      </c>
      <c r="BA492" s="78" t="s">
        <v>131</v>
      </c>
      <c r="BB492" s="78" t="s">
        <v>131</v>
      </c>
      <c r="BC492" s="78" t="s">
        <v>131</v>
      </c>
      <c r="BD492" s="78" t="s">
        <v>131</v>
      </c>
      <c r="BE492" s="78" t="s">
        <v>131</v>
      </c>
      <c r="BF492" s="78" t="s">
        <v>131</v>
      </c>
      <c r="BG492" s="78" t="s">
        <v>132</v>
      </c>
      <c r="BH492" s="75" t="s">
        <v>5970</v>
      </c>
      <c r="BI492" s="295" t="s">
        <v>2289</v>
      </c>
      <c r="BJ492" s="546">
        <v>1</v>
      </c>
      <c r="BK492" s="294" t="s">
        <v>16</v>
      </c>
      <c r="BL492" s="157" t="s">
        <v>16</v>
      </c>
      <c r="BM492" s="548" t="s">
        <v>578</v>
      </c>
      <c r="BN492" s="548" t="s">
        <v>544</v>
      </c>
      <c r="BO492" s="157" t="s">
        <v>4283</v>
      </c>
      <c r="BP492" s="548" t="s">
        <v>2289</v>
      </c>
      <c r="BQ492" s="157" t="s">
        <v>4214</v>
      </c>
      <c r="BR492" s="157"/>
    </row>
    <row r="493" spans="1:70" x14ac:dyDescent="0.25">
      <c r="A493" s="19" t="s">
        <v>3686</v>
      </c>
      <c r="B493" s="37" t="s">
        <v>3741</v>
      </c>
      <c r="C493" s="90">
        <v>45210.595613425925</v>
      </c>
      <c r="D493" s="114">
        <v>45210.345613425925</v>
      </c>
      <c r="E493" s="38">
        <v>45210</v>
      </c>
      <c r="F493" s="91">
        <v>2023</v>
      </c>
      <c r="G493" s="93">
        <v>10</v>
      </c>
      <c r="H493" s="37" t="s">
        <v>597</v>
      </c>
      <c r="I493" s="37"/>
      <c r="J493" s="103">
        <v>-92.382458999999997</v>
      </c>
      <c r="K493" s="40">
        <v>43.687404100000002</v>
      </c>
      <c r="L493" s="74"/>
      <c r="M493" s="272" t="s">
        <v>16</v>
      </c>
      <c r="N493" s="74">
        <v>0</v>
      </c>
      <c r="O493" s="94"/>
      <c r="P493" s="118">
        <v>1</v>
      </c>
      <c r="Q493" s="510">
        <v>80</v>
      </c>
      <c r="R493" s="513">
        <v>60</v>
      </c>
      <c r="S493" s="41"/>
      <c r="T493" s="40"/>
      <c r="U493" s="40">
        <v>7</v>
      </c>
      <c r="V493" s="119">
        <v>0</v>
      </c>
      <c r="W493" s="40"/>
      <c r="X493" s="119">
        <v>1</v>
      </c>
      <c r="Y493" s="40">
        <v>45</v>
      </c>
      <c r="Z493" s="119">
        <v>1</v>
      </c>
      <c r="AA493" s="368">
        <v>0</v>
      </c>
      <c r="AB493" s="535">
        <v>2</v>
      </c>
      <c r="AC493" s="39" t="s">
        <v>160</v>
      </c>
      <c r="AD493" s="75" t="s">
        <v>3742</v>
      </c>
      <c r="AE493" s="95">
        <v>1</v>
      </c>
      <c r="AF493" s="75">
        <v>1</v>
      </c>
      <c r="AG493" s="75">
        <v>0</v>
      </c>
      <c r="AH493" s="75">
        <v>1</v>
      </c>
      <c r="AI493" s="75">
        <v>0</v>
      </c>
      <c r="AJ493" s="75">
        <v>0</v>
      </c>
      <c r="AK493" s="75">
        <v>0</v>
      </c>
      <c r="AL493" s="95">
        <v>0</v>
      </c>
      <c r="AM493" s="92">
        <v>0</v>
      </c>
      <c r="AN493" s="79"/>
      <c r="AO493" s="75">
        <v>0</v>
      </c>
      <c r="AP493" s="75"/>
      <c r="AQ493" s="122">
        <v>0</v>
      </c>
      <c r="AR493" s="515" t="s">
        <v>16</v>
      </c>
      <c r="AS493" s="95">
        <v>-1</v>
      </c>
      <c r="AT493" s="75">
        <v>-1</v>
      </c>
      <c r="AU493" s="75">
        <v>-1</v>
      </c>
      <c r="AV493" s="75">
        <v>-1</v>
      </c>
      <c r="AW493" s="123">
        <v>1</v>
      </c>
      <c r="AX493" s="516"/>
      <c r="AY493" s="75">
        <v>0</v>
      </c>
      <c r="AZ493" s="77" t="s">
        <v>132</v>
      </c>
      <c r="BA493" s="78" t="s">
        <v>132</v>
      </c>
      <c r="BB493" s="78" t="s">
        <v>131</v>
      </c>
      <c r="BC493" s="78" t="s">
        <v>132</v>
      </c>
      <c r="BD493" s="78" t="s">
        <v>131</v>
      </c>
      <c r="BE493" s="78" t="s">
        <v>131</v>
      </c>
      <c r="BF493" s="78" t="s">
        <v>131</v>
      </c>
      <c r="BG493" s="78" t="s">
        <v>131</v>
      </c>
      <c r="BH493" s="75" t="s">
        <v>5970</v>
      </c>
      <c r="BI493" s="295" t="s">
        <v>2230</v>
      </c>
      <c r="BJ493" s="546">
        <v>1</v>
      </c>
      <c r="BK493" s="294" t="s">
        <v>16</v>
      </c>
      <c r="BL493" s="157" t="s">
        <v>16</v>
      </c>
      <c r="BM493" s="548" t="s">
        <v>1339</v>
      </c>
      <c r="BN493" s="548" t="s">
        <v>4161</v>
      </c>
      <c r="BO493" s="157" t="s">
        <v>4227</v>
      </c>
      <c r="BP493" s="548" t="s">
        <v>2230</v>
      </c>
      <c r="BQ493" s="157" t="s">
        <v>4226</v>
      </c>
      <c r="BR493" s="157"/>
    </row>
    <row r="494" spans="1:70" x14ac:dyDescent="0.25">
      <c r="A494" s="19" t="s">
        <v>3686</v>
      </c>
      <c r="B494" s="37" t="s">
        <v>3743</v>
      </c>
      <c r="C494" s="90">
        <v>45209.722916666666</v>
      </c>
      <c r="D494" s="114">
        <v>45209.472916666666</v>
      </c>
      <c r="E494" s="38">
        <v>45209</v>
      </c>
      <c r="F494" s="91">
        <v>2023</v>
      </c>
      <c r="G494" s="93">
        <v>10</v>
      </c>
      <c r="H494" s="37" t="s">
        <v>1353</v>
      </c>
      <c r="I494" s="37"/>
      <c r="J494" s="103">
        <v>-90.764975300000003</v>
      </c>
      <c r="K494" s="40">
        <v>43.575732700000003</v>
      </c>
      <c r="L494" s="74"/>
      <c r="M494" s="272" t="s">
        <v>3744</v>
      </c>
      <c r="N494" s="74">
        <v>1</v>
      </c>
      <c r="O494" s="94"/>
      <c r="P494" s="118">
        <v>1</v>
      </c>
      <c r="Q494" s="510">
        <v>120</v>
      </c>
      <c r="R494" s="513">
        <v>120</v>
      </c>
      <c r="S494" s="41"/>
      <c r="T494" s="40"/>
      <c r="U494" s="40">
        <v>7.5</v>
      </c>
      <c r="V494" s="119">
        <v>0</v>
      </c>
      <c r="W494" s="40"/>
      <c r="X494" s="119">
        <v>0</v>
      </c>
      <c r="Y494" s="40"/>
      <c r="Z494" s="119">
        <v>1</v>
      </c>
      <c r="AA494" s="368">
        <v>0</v>
      </c>
      <c r="AB494" s="535">
        <v>2</v>
      </c>
      <c r="AC494" s="39" t="s">
        <v>160</v>
      </c>
      <c r="AD494" s="75" t="s">
        <v>10</v>
      </c>
      <c r="AE494" s="95">
        <v>0</v>
      </c>
      <c r="AF494" s="75">
        <v>0</v>
      </c>
      <c r="AG494" s="75">
        <v>0</v>
      </c>
      <c r="AH494" s="75">
        <v>0</v>
      </c>
      <c r="AI494" s="75">
        <v>0</v>
      </c>
      <c r="AJ494" s="75">
        <v>0</v>
      </c>
      <c r="AK494" s="75">
        <v>0</v>
      </c>
      <c r="AL494" s="95">
        <v>1</v>
      </c>
      <c r="AM494" s="92">
        <v>0</v>
      </c>
      <c r="AN494" s="79" t="s">
        <v>80</v>
      </c>
      <c r="AO494" s="75">
        <v>1</v>
      </c>
      <c r="AP494" s="75" t="s">
        <v>83</v>
      </c>
      <c r="AQ494" s="122">
        <v>1</v>
      </c>
      <c r="AR494" s="515" t="s">
        <v>10</v>
      </c>
      <c r="AS494" s="95">
        <v>0</v>
      </c>
      <c r="AT494" s="75">
        <v>0</v>
      </c>
      <c r="AU494" s="75">
        <v>0</v>
      </c>
      <c r="AV494" s="75">
        <v>0</v>
      </c>
      <c r="AW494" s="123">
        <v>0</v>
      </c>
      <c r="AX494" s="516"/>
      <c r="AY494" s="75">
        <v>0</v>
      </c>
      <c r="AZ494" s="77" t="s">
        <v>131</v>
      </c>
      <c r="BA494" s="78" t="s">
        <v>131</v>
      </c>
      <c r="BB494" s="78" t="s">
        <v>131</v>
      </c>
      <c r="BC494" s="78" t="s">
        <v>131</v>
      </c>
      <c r="BD494" s="78" t="s">
        <v>131</v>
      </c>
      <c r="BE494" s="78" t="s">
        <v>131</v>
      </c>
      <c r="BF494" s="78" t="s">
        <v>131</v>
      </c>
      <c r="BG494" s="78" t="s">
        <v>132</v>
      </c>
      <c r="BH494" s="75" t="s">
        <v>5970</v>
      </c>
      <c r="BI494" s="295" t="s">
        <v>2287</v>
      </c>
      <c r="BJ494" s="546">
        <v>1</v>
      </c>
      <c r="BK494" s="294">
        <v>1</v>
      </c>
      <c r="BL494" s="157">
        <v>1</v>
      </c>
      <c r="BM494" s="548" t="s">
        <v>1342</v>
      </c>
      <c r="BN494" s="548" t="s">
        <v>4158</v>
      </c>
      <c r="BO494" s="157" t="s">
        <v>4277</v>
      </c>
      <c r="BP494" s="548" t="s">
        <v>2287</v>
      </c>
      <c r="BQ494" s="157" t="s">
        <v>4272</v>
      </c>
      <c r="BR494" s="157"/>
    </row>
    <row r="495" spans="1:70" x14ac:dyDescent="0.25">
      <c r="A495" s="19" t="s">
        <v>3686</v>
      </c>
      <c r="B495" s="37" t="s">
        <v>3745</v>
      </c>
      <c r="C495" s="90">
        <v>45209.715138888889</v>
      </c>
      <c r="D495" s="114">
        <v>45209.465138888889</v>
      </c>
      <c r="E495" s="38">
        <v>45209</v>
      </c>
      <c r="F495" s="91">
        <v>2023</v>
      </c>
      <c r="G495" s="93">
        <v>10</v>
      </c>
      <c r="H495" s="37" t="s">
        <v>1353</v>
      </c>
      <c r="I495" s="37"/>
      <c r="J495" s="103">
        <v>-90.764981399999996</v>
      </c>
      <c r="K495" s="40">
        <v>43.5757482</v>
      </c>
      <c r="L495" s="74"/>
      <c r="M495" s="272" t="s">
        <v>3746</v>
      </c>
      <c r="N495" s="74">
        <v>1</v>
      </c>
      <c r="O495" s="94"/>
      <c r="P495" s="118">
        <v>1</v>
      </c>
      <c r="Q495" s="510">
        <v>120</v>
      </c>
      <c r="R495" s="513">
        <v>120</v>
      </c>
      <c r="S495" s="41"/>
      <c r="T495" s="40"/>
      <c r="U495" s="40">
        <v>7.5</v>
      </c>
      <c r="V495" s="119">
        <v>0</v>
      </c>
      <c r="W495" s="40"/>
      <c r="X495" s="119">
        <v>1</v>
      </c>
      <c r="Y495" s="40">
        <v>55</v>
      </c>
      <c r="Z495" s="119">
        <v>1</v>
      </c>
      <c r="AA495" s="368">
        <v>0</v>
      </c>
      <c r="AB495" s="535">
        <v>5</v>
      </c>
      <c r="AC495" s="39" t="s">
        <v>160</v>
      </c>
      <c r="AD495" s="75" t="s">
        <v>16</v>
      </c>
      <c r="AE495" s="95">
        <v>-1</v>
      </c>
      <c r="AF495" s="75">
        <v>-1</v>
      </c>
      <c r="AG495" s="75">
        <v>-1</v>
      </c>
      <c r="AH495" s="75">
        <v>-1</v>
      </c>
      <c r="AI495" s="75">
        <v>-1</v>
      </c>
      <c r="AJ495" s="75">
        <v>-1</v>
      </c>
      <c r="AK495" s="75">
        <v>-1</v>
      </c>
      <c r="AL495" s="95">
        <v>-1</v>
      </c>
      <c r="AM495" s="92">
        <v>1</v>
      </c>
      <c r="AN495" s="79" t="s">
        <v>80</v>
      </c>
      <c r="AO495" s="75">
        <v>1</v>
      </c>
      <c r="AP495" s="75" t="s">
        <v>83</v>
      </c>
      <c r="AQ495" s="122">
        <v>1</v>
      </c>
      <c r="AR495" s="515" t="s">
        <v>10</v>
      </c>
      <c r="AS495" s="95">
        <v>0</v>
      </c>
      <c r="AT495" s="75">
        <v>0</v>
      </c>
      <c r="AU495" s="75">
        <v>0</v>
      </c>
      <c r="AV495" s="75">
        <v>0</v>
      </c>
      <c r="AW495" s="123">
        <v>0</v>
      </c>
      <c r="AX495" s="516"/>
      <c r="AY495" s="75">
        <v>0</v>
      </c>
      <c r="AZ495" s="77" t="s">
        <v>5971</v>
      </c>
      <c r="BA495" s="78" t="s">
        <v>5971</v>
      </c>
      <c r="BB495" s="78" t="s">
        <v>5971</v>
      </c>
      <c r="BC495" s="78" t="s">
        <v>5971</v>
      </c>
      <c r="BD495" s="78" t="s">
        <v>5971</v>
      </c>
      <c r="BE495" s="78" t="s">
        <v>5971</v>
      </c>
      <c r="BF495" s="78" t="s">
        <v>5971</v>
      </c>
      <c r="BG495" s="78" t="s">
        <v>5971</v>
      </c>
      <c r="BH495" s="75" t="s">
        <v>5971</v>
      </c>
      <c r="BI495" s="295" t="s">
        <v>2287</v>
      </c>
      <c r="BJ495" s="546">
        <v>1</v>
      </c>
      <c r="BK495" s="294">
        <v>1</v>
      </c>
      <c r="BL495" s="157">
        <v>1</v>
      </c>
      <c r="BM495" s="548" t="s">
        <v>1342</v>
      </c>
      <c r="BN495" s="548" t="s">
        <v>4158</v>
      </c>
      <c r="BO495" s="157" t="s">
        <v>4277</v>
      </c>
      <c r="BP495" s="548" t="s">
        <v>2287</v>
      </c>
      <c r="BQ495" s="157" t="s">
        <v>4272</v>
      </c>
      <c r="BR495" s="157"/>
    </row>
    <row r="496" spans="1:70" x14ac:dyDescent="0.25">
      <c r="A496" s="19" t="s">
        <v>3686</v>
      </c>
      <c r="B496" s="37" t="s">
        <v>3747</v>
      </c>
      <c r="C496" s="90">
        <v>45209.705810185187</v>
      </c>
      <c r="D496" s="114">
        <v>45209.455810185187</v>
      </c>
      <c r="E496" s="38">
        <v>45209</v>
      </c>
      <c r="F496" s="91">
        <v>2023</v>
      </c>
      <c r="G496" s="93">
        <v>10</v>
      </c>
      <c r="H496" s="37" t="s">
        <v>597</v>
      </c>
      <c r="I496" s="37"/>
      <c r="J496" s="103">
        <v>-92.809653100000006</v>
      </c>
      <c r="K496" s="40">
        <v>45.075982199999999</v>
      </c>
      <c r="L496" s="74"/>
      <c r="M496" s="272" t="s">
        <v>16</v>
      </c>
      <c r="N496" s="74">
        <v>0</v>
      </c>
      <c r="O496" s="94"/>
      <c r="P496" s="118">
        <v>1</v>
      </c>
      <c r="Q496" s="510">
        <v>80</v>
      </c>
      <c r="R496" s="513">
        <v>60</v>
      </c>
      <c r="S496" s="41"/>
      <c r="T496" s="40"/>
      <c r="U496" s="40">
        <v>7.5</v>
      </c>
      <c r="V496" s="119">
        <v>0</v>
      </c>
      <c r="W496" s="40"/>
      <c r="X496" s="119">
        <v>0</v>
      </c>
      <c r="Y496" s="40"/>
      <c r="Z496" s="119">
        <v>1</v>
      </c>
      <c r="AA496" s="368">
        <v>0</v>
      </c>
      <c r="AB496" s="535">
        <v>2</v>
      </c>
      <c r="AC496" s="39" t="s">
        <v>160</v>
      </c>
      <c r="AD496" s="75" t="s">
        <v>16</v>
      </c>
      <c r="AE496" s="95">
        <v>-1</v>
      </c>
      <c r="AF496" s="75">
        <v>-1</v>
      </c>
      <c r="AG496" s="75">
        <v>-1</v>
      </c>
      <c r="AH496" s="75">
        <v>-1</v>
      </c>
      <c r="AI496" s="75">
        <v>-1</v>
      </c>
      <c r="AJ496" s="75">
        <v>-1</v>
      </c>
      <c r="AK496" s="75">
        <v>-1</v>
      </c>
      <c r="AL496" s="95">
        <v>-1</v>
      </c>
      <c r="AM496" s="92">
        <v>1</v>
      </c>
      <c r="AN496" s="79"/>
      <c r="AO496" s="75">
        <v>0</v>
      </c>
      <c r="AP496" s="75"/>
      <c r="AQ496" s="122">
        <v>0</v>
      </c>
      <c r="AR496" s="515" t="s">
        <v>16</v>
      </c>
      <c r="AS496" s="95">
        <v>-1</v>
      </c>
      <c r="AT496" s="75">
        <v>-1</v>
      </c>
      <c r="AU496" s="75">
        <v>-1</v>
      </c>
      <c r="AV496" s="75">
        <v>-1</v>
      </c>
      <c r="AW496" s="123">
        <v>1</v>
      </c>
      <c r="AX496" s="516"/>
      <c r="AY496" s="75">
        <v>0</v>
      </c>
      <c r="AZ496" s="77" t="s">
        <v>5971</v>
      </c>
      <c r="BA496" s="78" t="s">
        <v>5971</v>
      </c>
      <c r="BB496" s="78" t="s">
        <v>5971</v>
      </c>
      <c r="BC496" s="78" t="s">
        <v>5971</v>
      </c>
      <c r="BD496" s="78" t="s">
        <v>5971</v>
      </c>
      <c r="BE496" s="78" t="s">
        <v>5971</v>
      </c>
      <c r="BF496" s="78" t="s">
        <v>5971</v>
      </c>
      <c r="BG496" s="78" t="s">
        <v>5971</v>
      </c>
      <c r="BH496" s="75" t="s">
        <v>5971</v>
      </c>
      <c r="BI496" s="295" t="s">
        <v>2273</v>
      </c>
      <c r="BJ496" s="546">
        <v>1</v>
      </c>
      <c r="BK496" s="294" t="s">
        <v>16</v>
      </c>
      <c r="BL496" s="157" t="s">
        <v>16</v>
      </c>
      <c r="BM496" s="548" t="s">
        <v>2343</v>
      </c>
      <c r="BN496" s="548" t="s">
        <v>4161</v>
      </c>
      <c r="BO496" s="157" t="s">
        <v>4286</v>
      </c>
      <c r="BP496" s="548" t="s">
        <v>2273</v>
      </c>
      <c r="BQ496" s="157" t="s">
        <v>4285</v>
      </c>
      <c r="BR496" s="157"/>
    </row>
    <row r="497" spans="1:70" x14ac:dyDescent="0.25">
      <c r="A497" s="19" t="s">
        <v>3686</v>
      </c>
      <c r="B497" s="37" t="s">
        <v>3748</v>
      </c>
      <c r="C497" s="90">
        <v>45209.672280092593</v>
      </c>
      <c r="D497" s="114">
        <v>45209.422280092593</v>
      </c>
      <c r="E497" s="38">
        <v>45209</v>
      </c>
      <c r="F497" s="91">
        <v>2023</v>
      </c>
      <c r="G497" s="93">
        <v>10</v>
      </c>
      <c r="H497" s="37" t="s">
        <v>597</v>
      </c>
      <c r="I497" s="37"/>
      <c r="J497" s="103">
        <v>-92.845676400000002</v>
      </c>
      <c r="K497" s="40">
        <v>45.0697312</v>
      </c>
      <c r="L497" s="74"/>
      <c r="M497" s="272" t="s">
        <v>16</v>
      </c>
      <c r="N497" s="74">
        <v>0</v>
      </c>
      <c r="O497" s="94"/>
      <c r="P497" s="118">
        <v>1</v>
      </c>
      <c r="Q497" s="510">
        <v>180</v>
      </c>
      <c r="R497" s="513">
        <v>120</v>
      </c>
      <c r="S497" s="41"/>
      <c r="T497" s="40"/>
      <c r="U497" s="40">
        <v>7</v>
      </c>
      <c r="V497" s="119">
        <v>0</v>
      </c>
      <c r="W497" s="40"/>
      <c r="X497" s="119">
        <v>1</v>
      </c>
      <c r="Y497" s="40">
        <v>48</v>
      </c>
      <c r="Z497" s="119">
        <v>1</v>
      </c>
      <c r="AA497" s="368">
        <v>0</v>
      </c>
      <c r="AB497" s="535">
        <v>2</v>
      </c>
      <c r="AC497" s="39" t="s">
        <v>546</v>
      </c>
      <c r="AD497" s="75" t="s">
        <v>16</v>
      </c>
      <c r="AE497" s="95">
        <v>-1</v>
      </c>
      <c r="AF497" s="75">
        <v>-1</v>
      </c>
      <c r="AG497" s="75">
        <v>-1</v>
      </c>
      <c r="AH497" s="75">
        <v>-1</v>
      </c>
      <c r="AI497" s="75">
        <v>-1</v>
      </c>
      <c r="AJ497" s="75">
        <v>-1</v>
      </c>
      <c r="AK497" s="75">
        <v>-1</v>
      </c>
      <c r="AL497" s="95">
        <v>-1</v>
      </c>
      <c r="AM497" s="92">
        <v>1</v>
      </c>
      <c r="AN497" s="79"/>
      <c r="AO497" s="75">
        <v>0</v>
      </c>
      <c r="AP497" s="75"/>
      <c r="AQ497" s="122">
        <v>0</v>
      </c>
      <c r="AR497" s="515" t="s">
        <v>16</v>
      </c>
      <c r="AS497" s="95">
        <v>-1</v>
      </c>
      <c r="AT497" s="75">
        <v>-1</v>
      </c>
      <c r="AU497" s="75">
        <v>-1</v>
      </c>
      <c r="AV497" s="75">
        <v>-1</v>
      </c>
      <c r="AW497" s="123">
        <v>1</v>
      </c>
      <c r="AX497" s="516"/>
      <c r="AY497" s="75">
        <v>0</v>
      </c>
      <c r="AZ497" s="77" t="s">
        <v>5971</v>
      </c>
      <c r="BA497" s="78" t="s">
        <v>5971</v>
      </c>
      <c r="BB497" s="78" t="s">
        <v>5971</v>
      </c>
      <c r="BC497" s="78" t="s">
        <v>5971</v>
      </c>
      <c r="BD497" s="78" t="s">
        <v>5971</v>
      </c>
      <c r="BE497" s="78" t="s">
        <v>5971</v>
      </c>
      <c r="BF497" s="78" t="s">
        <v>5971</v>
      </c>
      <c r="BG497" s="78" t="s">
        <v>5971</v>
      </c>
      <c r="BH497" s="75" t="s">
        <v>5971</v>
      </c>
      <c r="BI497" s="295" t="s">
        <v>2273</v>
      </c>
      <c r="BJ497" s="546">
        <v>1</v>
      </c>
      <c r="BK497" s="294" t="s">
        <v>16</v>
      </c>
      <c r="BL497" s="157" t="s">
        <v>16</v>
      </c>
      <c r="BM497" s="548" t="s">
        <v>2343</v>
      </c>
      <c r="BN497" s="548" t="s">
        <v>4161</v>
      </c>
      <c r="BO497" s="157" t="s">
        <v>4286</v>
      </c>
      <c r="BP497" s="548" t="s">
        <v>2273</v>
      </c>
      <c r="BQ497" s="157" t="s">
        <v>4285</v>
      </c>
      <c r="BR497" s="157"/>
    </row>
    <row r="498" spans="1:70" x14ac:dyDescent="0.25">
      <c r="A498" s="19" t="s">
        <v>3686</v>
      </c>
      <c r="B498" s="37" t="s">
        <v>3749</v>
      </c>
      <c r="C498" s="90">
        <v>45209.65761574074</v>
      </c>
      <c r="D498" s="114">
        <v>45209.40761574074</v>
      </c>
      <c r="E498" s="38">
        <v>45209</v>
      </c>
      <c r="F498" s="91">
        <v>2023</v>
      </c>
      <c r="G498" s="93">
        <v>10</v>
      </c>
      <c r="H498" s="37" t="s">
        <v>597</v>
      </c>
      <c r="I498" s="37"/>
      <c r="J498" s="103">
        <v>-92.844331699999998</v>
      </c>
      <c r="K498" s="40">
        <v>45.070724200000001</v>
      </c>
      <c r="L498" s="74"/>
      <c r="M498" s="272" t="s">
        <v>16</v>
      </c>
      <c r="N498" s="74">
        <v>0</v>
      </c>
      <c r="O498" s="94"/>
      <c r="P498" s="118">
        <v>1</v>
      </c>
      <c r="Q498" s="510">
        <v>80</v>
      </c>
      <c r="R498" s="513">
        <v>0</v>
      </c>
      <c r="S498" s="41"/>
      <c r="T498" s="40"/>
      <c r="U498" s="40">
        <v>7</v>
      </c>
      <c r="V498" s="119">
        <v>0</v>
      </c>
      <c r="W498" s="40"/>
      <c r="X498" s="119">
        <v>1</v>
      </c>
      <c r="Y498" s="40">
        <v>46</v>
      </c>
      <c r="Z498" s="119">
        <v>1</v>
      </c>
      <c r="AA498" s="368">
        <v>0</v>
      </c>
      <c r="AB498" s="535">
        <v>2</v>
      </c>
      <c r="AC498" s="39" t="s">
        <v>160</v>
      </c>
      <c r="AD498" s="75" t="s">
        <v>1622</v>
      </c>
      <c r="AE498" s="95">
        <v>1</v>
      </c>
      <c r="AF498" s="75">
        <v>1</v>
      </c>
      <c r="AG498" s="75">
        <v>0</v>
      </c>
      <c r="AH498" s="75">
        <v>0</v>
      </c>
      <c r="AI498" s="75">
        <v>0</v>
      </c>
      <c r="AJ498" s="75">
        <v>0</v>
      </c>
      <c r="AK498" s="75">
        <v>0</v>
      </c>
      <c r="AL498" s="95">
        <v>0</v>
      </c>
      <c r="AM498" s="92">
        <v>0</v>
      </c>
      <c r="AN498" s="79" t="s">
        <v>81</v>
      </c>
      <c r="AO498" s="75">
        <v>1</v>
      </c>
      <c r="AP498" s="75" t="s">
        <v>84</v>
      </c>
      <c r="AQ498" s="122">
        <v>1</v>
      </c>
      <c r="AR498" s="515" t="s">
        <v>10</v>
      </c>
      <c r="AS498" s="95">
        <v>0</v>
      </c>
      <c r="AT498" s="75">
        <v>0</v>
      </c>
      <c r="AU498" s="75">
        <v>0</v>
      </c>
      <c r="AV498" s="75">
        <v>0</v>
      </c>
      <c r="AW498" s="123">
        <v>0</v>
      </c>
      <c r="AX498" s="516"/>
      <c r="AY498" s="75">
        <v>0</v>
      </c>
      <c r="AZ498" s="77" t="s">
        <v>132</v>
      </c>
      <c r="BA498" s="78" t="s">
        <v>132</v>
      </c>
      <c r="BB498" s="78" t="s">
        <v>131</v>
      </c>
      <c r="BC498" s="78" t="s">
        <v>131</v>
      </c>
      <c r="BD498" s="78" t="s">
        <v>131</v>
      </c>
      <c r="BE498" s="78" t="s">
        <v>131</v>
      </c>
      <c r="BF498" s="78" t="s">
        <v>131</v>
      </c>
      <c r="BG498" s="78" t="s">
        <v>131</v>
      </c>
      <c r="BH498" s="75" t="s">
        <v>5970</v>
      </c>
      <c r="BI498" s="295" t="s">
        <v>16</v>
      </c>
      <c r="BJ498" s="546">
        <v>1</v>
      </c>
      <c r="BK498" s="294" t="s">
        <v>16</v>
      </c>
      <c r="BL498" s="157" t="s">
        <v>16</v>
      </c>
      <c r="BM498" s="548" t="s">
        <v>2343</v>
      </c>
      <c r="BN498" s="548" t="s">
        <v>4161</v>
      </c>
      <c r="BO498" s="157" t="s">
        <v>4286</v>
      </c>
      <c r="BP498" s="548" t="s">
        <v>2273</v>
      </c>
      <c r="BQ498" s="157" t="s">
        <v>4285</v>
      </c>
      <c r="BR498" s="157"/>
    </row>
    <row r="499" spans="1:70" x14ac:dyDescent="0.25">
      <c r="A499" s="19" t="s">
        <v>3686</v>
      </c>
      <c r="B499" s="37" t="s">
        <v>3750</v>
      </c>
      <c r="C499" s="90">
        <v>45209.616724537038</v>
      </c>
      <c r="D499" s="114">
        <v>45209.366724537038</v>
      </c>
      <c r="E499" s="38">
        <v>45209</v>
      </c>
      <c r="F499" s="91">
        <v>2023</v>
      </c>
      <c r="G499" s="93">
        <v>10</v>
      </c>
      <c r="H499" s="37" t="s">
        <v>597</v>
      </c>
      <c r="I499" s="37"/>
      <c r="J499" s="103">
        <v>-92.844364299999995</v>
      </c>
      <c r="K499" s="40">
        <v>45.070721599999999</v>
      </c>
      <c r="L499" s="74"/>
      <c r="M499" s="272" t="s">
        <v>16</v>
      </c>
      <c r="N499" s="74">
        <v>0</v>
      </c>
      <c r="O499" s="94"/>
      <c r="P499" s="118">
        <v>1</v>
      </c>
      <c r="Q499" s="510">
        <v>80</v>
      </c>
      <c r="R499" s="513">
        <v>120</v>
      </c>
      <c r="S499" s="41"/>
      <c r="T499" s="40"/>
      <c r="U499" s="40">
        <v>6.5</v>
      </c>
      <c r="V499" s="119">
        <v>0</v>
      </c>
      <c r="W499" s="40"/>
      <c r="X499" s="119">
        <v>1</v>
      </c>
      <c r="Y499" s="40">
        <v>45</v>
      </c>
      <c r="Z499" s="119">
        <v>1</v>
      </c>
      <c r="AA499" s="368">
        <v>0</v>
      </c>
      <c r="AB499" s="535">
        <v>2</v>
      </c>
      <c r="AC499" s="39" t="s">
        <v>160</v>
      </c>
      <c r="AD499" s="75" t="s">
        <v>365</v>
      </c>
      <c r="AE499" s="95">
        <v>0</v>
      </c>
      <c r="AF499" s="75">
        <v>1</v>
      </c>
      <c r="AG499" s="75">
        <v>1</v>
      </c>
      <c r="AH499" s="75">
        <v>0</v>
      </c>
      <c r="AI499" s="75">
        <v>0</v>
      </c>
      <c r="AJ499" s="75">
        <v>0</v>
      </c>
      <c r="AK499" s="75">
        <v>0</v>
      </c>
      <c r="AL499" s="95">
        <v>0</v>
      </c>
      <c r="AM499" s="92">
        <v>0</v>
      </c>
      <c r="AN499" s="79" t="s">
        <v>81</v>
      </c>
      <c r="AO499" s="75">
        <v>1</v>
      </c>
      <c r="AP499" s="75" t="s">
        <v>84</v>
      </c>
      <c r="AQ499" s="122">
        <v>1</v>
      </c>
      <c r="AR499" s="515" t="s">
        <v>10</v>
      </c>
      <c r="AS499" s="95">
        <v>0</v>
      </c>
      <c r="AT499" s="75">
        <v>0</v>
      </c>
      <c r="AU499" s="75">
        <v>0</v>
      </c>
      <c r="AV499" s="75">
        <v>0</v>
      </c>
      <c r="AW499" s="123">
        <v>0</v>
      </c>
      <c r="AX499" s="516"/>
      <c r="AY499" s="75">
        <v>0</v>
      </c>
      <c r="AZ499" s="77" t="s">
        <v>131</v>
      </c>
      <c r="BA499" s="78" t="s">
        <v>132</v>
      </c>
      <c r="BB499" s="78" t="s">
        <v>132</v>
      </c>
      <c r="BC499" s="78" t="s">
        <v>131</v>
      </c>
      <c r="BD499" s="78" t="s">
        <v>131</v>
      </c>
      <c r="BE499" s="78" t="s">
        <v>131</v>
      </c>
      <c r="BF499" s="78" t="s">
        <v>131</v>
      </c>
      <c r="BG499" s="78" t="s">
        <v>131</v>
      </c>
      <c r="BH499" s="75" t="s">
        <v>5970</v>
      </c>
      <c r="BI499" s="295" t="s">
        <v>2273</v>
      </c>
      <c r="BJ499" s="546">
        <v>1</v>
      </c>
      <c r="BK499" s="294" t="s">
        <v>16</v>
      </c>
      <c r="BL499" s="157" t="s">
        <v>16</v>
      </c>
      <c r="BM499" s="548" t="s">
        <v>2343</v>
      </c>
      <c r="BN499" s="548" t="s">
        <v>4161</v>
      </c>
      <c r="BO499" s="157" t="s">
        <v>4286</v>
      </c>
      <c r="BP499" s="548" t="s">
        <v>2273</v>
      </c>
      <c r="BQ499" s="157" t="s">
        <v>4285</v>
      </c>
      <c r="BR499" s="157"/>
    </row>
    <row r="500" spans="1:70" x14ac:dyDescent="0.25">
      <c r="A500" s="19" t="s">
        <v>3686</v>
      </c>
      <c r="B500" s="37" t="s">
        <v>3751</v>
      </c>
      <c r="C500" s="90">
        <v>45207.816782407404</v>
      </c>
      <c r="D500" s="114">
        <v>45207.566782407404</v>
      </c>
      <c r="E500" s="38">
        <v>45207</v>
      </c>
      <c r="F500" s="91">
        <v>2023</v>
      </c>
      <c r="G500" s="93">
        <v>10</v>
      </c>
      <c r="H500" s="37" t="s">
        <v>1401</v>
      </c>
      <c r="I500" s="37" t="s">
        <v>1402</v>
      </c>
      <c r="J500" s="103">
        <v>-92.725414799999996</v>
      </c>
      <c r="K500" s="40">
        <v>44.547061300000003</v>
      </c>
      <c r="L500" s="74"/>
      <c r="M500" s="272" t="s">
        <v>16</v>
      </c>
      <c r="N500" s="74">
        <v>0</v>
      </c>
      <c r="O500" s="94"/>
      <c r="P500" s="118">
        <v>1</v>
      </c>
      <c r="Q500" s="510">
        <v>0</v>
      </c>
      <c r="R500" s="513">
        <v>60</v>
      </c>
      <c r="S500" s="41"/>
      <c r="T500" s="40"/>
      <c r="U500" s="40">
        <v>7</v>
      </c>
      <c r="V500" s="119">
        <v>1</v>
      </c>
      <c r="W500" s="40">
        <v>100</v>
      </c>
      <c r="X500" s="119">
        <v>1</v>
      </c>
      <c r="Y500" s="40">
        <v>54</v>
      </c>
      <c r="Z500" s="119">
        <v>1</v>
      </c>
      <c r="AA500" s="368">
        <v>0</v>
      </c>
      <c r="AB500" s="535">
        <v>5</v>
      </c>
      <c r="AC500" s="39" t="s">
        <v>160</v>
      </c>
      <c r="AD500" s="75" t="s">
        <v>10</v>
      </c>
      <c r="AE500" s="95">
        <v>0</v>
      </c>
      <c r="AF500" s="75">
        <v>0</v>
      </c>
      <c r="AG500" s="75">
        <v>0</v>
      </c>
      <c r="AH500" s="75">
        <v>0</v>
      </c>
      <c r="AI500" s="75">
        <v>0</v>
      </c>
      <c r="AJ500" s="75">
        <v>0</v>
      </c>
      <c r="AK500" s="75">
        <v>0</v>
      </c>
      <c r="AL500" s="95">
        <v>1</v>
      </c>
      <c r="AM500" s="92">
        <v>0</v>
      </c>
      <c r="AN500" s="79" t="s">
        <v>80</v>
      </c>
      <c r="AO500" s="75">
        <v>1</v>
      </c>
      <c r="AP500" s="75" t="s">
        <v>83</v>
      </c>
      <c r="AQ500" s="122">
        <v>1</v>
      </c>
      <c r="AR500" s="515" t="s">
        <v>10</v>
      </c>
      <c r="AS500" s="95">
        <v>0</v>
      </c>
      <c r="AT500" s="75">
        <v>0</v>
      </c>
      <c r="AU500" s="75">
        <v>0</v>
      </c>
      <c r="AV500" s="75">
        <v>0</v>
      </c>
      <c r="AW500" s="123">
        <v>0</v>
      </c>
      <c r="AX500" s="516"/>
      <c r="AY500" s="75">
        <v>0</v>
      </c>
      <c r="AZ500" s="77" t="s">
        <v>131</v>
      </c>
      <c r="BA500" s="78" t="s">
        <v>131</v>
      </c>
      <c r="BB500" s="78" t="s">
        <v>131</v>
      </c>
      <c r="BC500" s="78" t="s">
        <v>131</v>
      </c>
      <c r="BD500" s="78" t="s">
        <v>131</v>
      </c>
      <c r="BE500" s="78" t="s">
        <v>131</v>
      </c>
      <c r="BF500" s="78" t="s">
        <v>131</v>
      </c>
      <c r="BG500" s="78" t="s">
        <v>132</v>
      </c>
      <c r="BH500" s="75" t="s">
        <v>5970</v>
      </c>
      <c r="BI500" s="295" t="s">
        <v>1402</v>
      </c>
      <c r="BJ500" s="546" t="s">
        <v>16</v>
      </c>
      <c r="BK500" s="294" t="s">
        <v>16</v>
      </c>
      <c r="BL500" s="157" t="s">
        <v>16</v>
      </c>
      <c r="BM500" s="548" t="s">
        <v>2343</v>
      </c>
      <c r="BN500" s="548" t="s">
        <v>4161</v>
      </c>
      <c r="BO500" s="157" t="s">
        <v>4290</v>
      </c>
      <c r="BP500" s="548" t="s">
        <v>4291</v>
      </c>
      <c r="BQ500" s="157" t="s">
        <v>4289</v>
      </c>
      <c r="BR500" s="157"/>
    </row>
    <row r="501" spans="1:70" x14ac:dyDescent="0.25">
      <c r="A501" s="19" t="s">
        <v>3686</v>
      </c>
      <c r="B501" s="37" t="s">
        <v>3752</v>
      </c>
      <c r="C501" s="90">
        <v>45205.546585648146</v>
      </c>
      <c r="D501" s="114">
        <v>45205.296585648146</v>
      </c>
      <c r="E501" s="38">
        <v>45205</v>
      </c>
      <c r="F501" s="91">
        <v>2023</v>
      </c>
      <c r="G501" s="93">
        <v>10</v>
      </c>
      <c r="H501" s="37" t="s">
        <v>1416</v>
      </c>
      <c r="I501" s="37" t="s">
        <v>960</v>
      </c>
      <c r="J501" s="103">
        <v>-93.009021515113304</v>
      </c>
      <c r="K501" s="40">
        <v>44.657266787295143</v>
      </c>
      <c r="L501" s="74"/>
      <c r="M501" s="272" t="s">
        <v>3753</v>
      </c>
      <c r="N501" s="74">
        <v>1</v>
      </c>
      <c r="O501" s="94"/>
      <c r="P501" s="118">
        <v>1</v>
      </c>
      <c r="Q501" s="510">
        <v>120</v>
      </c>
      <c r="R501" s="513">
        <v>120</v>
      </c>
      <c r="S501" s="41"/>
      <c r="T501" s="40"/>
      <c r="U501" s="40">
        <v>7</v>
      </c>
      <c r="V501" s="119">
        <v>1</v>
      </c>
      <c r="W501" s="40">
        <v>0</v>
      </c>
      <c r="X501" s="119">
        <v>1</v>
      </c>
      <c r="Y501" s="40">
        <v>51</v>
      </c>
      <c r="Z501" s="119">
        <v>1</v>
      </c>
      <c r="AA501" s="368">
        <v>0</v>
      </c>
      <c r="AB501" s="535">
        <v>5</v>
      </c>
      <c r="AC501" s="39" t="s">
        <v>160</v>
      </c>
      <c r="AD501" s="75" t="s">
        <v>10</v>
      </c>
      <c r="AE501" s="95">
        <v>0</v>
      </c>
      <c r="AF501" s="75">
        <v>0</v>
      </c>
      <c r="AG501" s="75">
        <v>0</v>
      </c>
      <c r="AH501" s="75">
        <v>0</v>
      </c>
      <c r="AI501" s="75">
        <v>0</v>
      </c>
      <c r="AJ501" s="75">
        <v>0</v>
      </c>
      <c r="AK501" s="75">
        <v>0</v>
      </c>
      <c r="AL501" s="95">
        <v>1</v>
      </c>
      <c r="AM501" s="92">
        <v>0</v>
      </c>
      <c r="AN501" s="79" t="s">
        <v>80</v>
      </c>
      <c r="AO501" s="75">
        <v>1</v>
      </c>
      <c r="AP501" s="75" t="s">
        <v>83</v>
      </c>
      <c r="AQ501" s="122">
        <v>1</v>
      </c>
      <c r="AR501" s="515" t="s">
        <v>10</v>
      </c>
      <c r="AS501" s="95">
        <v>0</v>
      </c>
      <c r="AT501" s="75">
        <v>0</v>
      </c>
      <c r="AU501" s="75">
        <v>0</v>
      </c>
      <c r="AV501" s="75">
        <v>0</v>
      </c>
      <c r="AW501" s="123">
        <v>0</v>
      </c>
      <c r="AX501" s="516" t="s">
        <v>3754</v>
      </c>
      <c r="AY501" s="75">
        <v>1</v>
      </c>
      <c r="AZ501" s="77" t="s">
        <v>131</v>
      </c>
      <c r="BA501" s="78" t="s">
        <v>131</v>
      </c>
      <c r="BB501" s="78" t="s">
        <v>131</v>
      </c>
      <c r="BC501" s="78" t="s">
        <v>131</v>
      </c>
      <c r="BD501" s="78" t="s">
        <v>131</v>
      </c>
      <c r="BE501" s="78" t="s">
        <v>131</v>
      </c>
      <c r="BF501" s="78" t="s">
        <v>131</v>
      </c>
      <c r="BG501" s="78" t="s">
        <v>132</v>
      </c>
      <c r="BH501" s="75" t="s">
        <v>5970</v>
      </c>
      <c r="BI501" s="295" t="s">
        <v>2225</v>
      </c>
      <c r="BJ501" s="546">
        <v>1</v>
      </c>
      <c r="BK501" s="294" t="s">
        <v>16</v>
      </c>
      <c r="BL501" s="157" t="s">
        <v>16</v>
      </c>
      <c r="BM501" s="548" t="s">
        <v>2343</v>
      </c>
      <c r="BN501" s="548" t="s">
        <v>4161</v>
      </c>
      <c r="BO501" s="157" t="s">
        <v>4293</v>
      </c>
      <c r="BP501" s="548" t="s">
        <v>2225</v>
      </c>
      <c r="BQ501" s="157" t="s">
        <v>4292</v>
      </c>
      <c r="BR501" s="157"/>
    </row>
    <row r="502" spans="1:70" x14ac:dyDescent="0.25">
      <c r="A502" s="19" t="s">
        <v>3686</v>
      </c>
      <c r="B502" s="37" t="s">
        <v>3755</v>
      </c>
      <c r="C502" s="90">
        <v>45204.830266203702</v>
      </c>
      <c r="D502" s="114">
        <v>45204.580266203702</v>
      </c>
      <c r="E502" s="38">
        <v>45204</v>
      </c>
      <c r="F502" s="91">
        <v>2023</v>
      </c>
      <c r="G502" s="93">
        <v>10</v>
      </c>
      <c r="H502" s="37" t="s">
        <v>2706</v>
      </c>
      <c r="I502" s="37" t="s">
        <v>16</v>
      </c>
      <c r="J502" s="103">
        <v>-92.929894000000004</v>
      </c>
      <c r="K502" s="40">
        <v>44.370343599999998</v>
      </c>
      <c r="L502" s="74"/>
      <c r="M502" s="272" t="s">
        <v>3756</v>
      </c>
      <c r="N502" s="74">
        <v>1</v>
      </c>
      <c r="O502" s="94"/>
      <c r="P502" s="118">
        <v>1</v>
      </c>
      <c r="Q502" s="510">
        <v>0</v>
      </c>
      <c r="R502" s="513">
        <v>60</v>
      </c>
      <c r="S502" s="41"/>
      <c r="T502" s="40"/>
      <c r="U502" s="40">
        <v>7</v>
      </c>
      <c r="V502" s="119">
        <v>1</v>
      </c>
      <c r="W502" s="40">
        <v>0</v>
      </c>
      <c r="X502" s="119">
        <v>1</v>
      </c>
      <c r="Y502" s="40">
        <v>57</v>
      </c>
      <c r="Z502" s="119">
        <v>1</v>
      </c>
      <c r="AA502" s="368">
        <v>0</v>
      </c>
      <c r="AB502" s="535">
        <v>0</v>
      </c>
      <c r="AC502" s="39" t="s">
        <v>160</v>
      </c>
      <c r="AD502" s="75" t="s">
        <v>365</v>
      </c>
      <c r="AE502" s="95">
        <v>0</v>
      </c>
      <c r="AF502" s="75">
        <v>1</v>
      </c>
      <c r="AG502" s="75">
        <v>1</v>
      </c>
      <c r="AH502" s="75">
        <v>0</v>
      </c>
      <c r="AI502" s="75">
        <v>0</v>
      </c>
      <c r="AJ502" s="75">
        <v>0</v>
      </c>
      <c r="AK502" s="75">
        <v>0</v>
      </c>
      <c r="AL502" s="95">
        <v>0</v>
      </c>
      <c r="AM502" s="92">
        <v>0</v>
      </c>
      <c r="AN502" s="79" t="s">
        <v>195</v>
      </c>
      <c r="AO502" s="75">
        <v>1</v>
      </c>
      <c r="AP502" s="75" t="s">
        <v>84</v>
      </c>
      <c r="AQ502" s="122">
        <v>1</v>
      </c>
      <c r="AR502" s="515" t="s">
        <v>13</v>
      </c>
      <c r="AS502" s="95">
        <v>1</v>
      </c>
      <c r="AT502" s="75">
        <v>0</v>
      </c>
      <c r="AU502" s="75">
        <v>0</v>
      </c>
      <c r="AV502" s="75">
        <v>0</v>
      </c>
      <c r="AW502" s="123">
        <v>0</v>
      </c>
      <c r="AX502" s="516" t="s">
        <v>3757</v>
      </c>
      <c r="AY502" s="75">
        <v>1</v>
      </c>
      <c r="AZ502" s="77" t="s">
        <v>131</v>
      </c>
      <c r="BA502" s="78" t="s">
        <v>132</v>
      </c>
      <c r="BB502" s="78" t="s">
        <v>132</v>
      </c>
      <c r="BC502" s="78" t="s">
        <v>131</v>
      </c>
      <c r="BD502" s="78" t="s">
        <v>131</v>
      </c>
      <c r="BE502" s="78" t="s">
        <v>131</v>
      </c>
      <c r="BF502" s="78" t="s">
        <v>131</v>
      </c>
      <c r="BG502" s="78" t="s">
        <v>131</v>
      </c>
      <c r="BH502" s="75" t="s">
        <v>5970</v>
      </c>
      <c r="BI502" s="295" t="s">
        <v>2253</v>
      </c>
      <c r="BJ502" s="546">
        <v>1</v>
      </c>
      <c r="BK502" s="294" t="s">
        <v>16</v>
      </c>
      <c r="BL502" s="157" t="s">
        <v>16</v>
      </c>
      <c r="BM502" s="548" t="s">
        <v>1339</v>
      </c>
      <c r="BN502" s="548" t="s">
        <v>4161</v>
      </c>
      <c r="BO502" s="157" t="s">
        <v>4295</v>
      </c>
      <c r="BP502" s="548" t="s">
        <v>4296</v>
      </c>
      <c r="BQ502" s="157" t="s">
        <v>4294</v>
      </c>
      <c r="BR502" s="157"/>
    </row>
    <row r="503" spans="1:70" x14ac:dyDescent="0.25">
      <c r="A503" s="19" t="s">
        <v>3686</v>
      </c>
      <c r="B503" s="37" t="s">
        <v>3758</v>
      </c>
      <c r="C503" s="90">
        <v>45204.732905092591</v>
      </c>
      <c r="D503" s="114">
        <v>45204.482905092591</v>
      </c>
      <c r="E503" s="38">
        <v>45204</v>
      </c>
      <c r="F503" s="91">
        <v>2023</v>
      </c>
      <c r="G503" s="93">
        <v>10</v>
      </c>
      <c r="H503" s="37" t="s">
        <v>1378</v>
      </c>
      <c r="I503" s="37"/>
      <c r="J503" s="103">
        <v>-90.534531696051801</v>
      </c>
      <c r="K503" s="40">
        <v>43.352663459094487</v>
      </c>
      <c r="L503" s="74"/>
      <c r="M503" s="272" t="s">
        <v>3759</v>
      </c>
      <c r="N503" s="74">
        <v>1</v>
      </c>
      <c r="O503" s="94"/>
      <c r="P503" s="118">
        <v>1</v>
      </c>
      <c r="Q503" s="510">
        <v>180</v>
      </c>
      <c r="R503" s="513">
        <v>120</v>
      </c>
      <c r="S503" s="41"/>
      <c r="T503" s="40"/>
      <c r="U503" s="40">
        <v>8</v>
      </c>
      <c r="V503" s="119">
        <v>1</v>
      </c>
      <c r="W503" s="40">
        <v>0</v>
      </c>
      <c r="X503" s="119">
        <v>1</v>
      </c>
      <c r="Y503" s="40">
        <v>60</v>
      </c>
      <c r="Z503" s="119">
        <v>1</v>
      </c>
      <c r="AA503" s="368">
        <v>0</v>
      </c>
      <c r="AB503" s="535">
        <v>2</v>
      </c>
      <c r="AC503" s="39" t="s">
        <v>160</v>
      </c>
      <c r="AD503" s="75" t="s">
        <v>8</v>
      </c>
      <c r="AE503" s="95">
        <v>0</v>
      </c>
      <c r="AF503" s="75">
        <v>1</v>
      </c>
      <c r="AG503" s="75">
        <v>0</v>
      </c>
      <c r="AH503" s="75">
        <v>0</v>
      </c>
      <c r="AI503" s="75">
        <v>0</v>
      </c>
      <c r="AJ503" s="75">
        <v>0</v>
      </c>
      <c r="AK503" s="75">
        <v>0</v>
      </c>
      <c r="AL503" s="95">
        <v>0</v>
      </c>
      <c r="AM503" s="92">
        <v>0</v>
      </c>
      <c r="AN503" s="79" t="s">
        <v>80</v>
      </c>
      <c r="AO503" s="75">
        <v>1</v>
      </c>
      <c r="AP503" s="75" t="s">
        <v>83</v>
      </c>
      <c r="AQ503" s="122">
        <v>1</v>
      </c>
      <c r="AR503" s="515" t="s">
        <v>10</v>
      </c>
      <c r="AS503" s="95">
        <v>0</v>
      </c>
      <c r="AT503" s="75">
        <v>0</v>
      </c>
      <c r="AU503" s="75">
        <v>0</v>
      </c>
      <c r="AV503" s="75">
        <v>0</v>
      </c>
      <c r="AW503" s="123">
        <v>0</v>
      </c>
      <c r="AX503" s="516" t="s">
        <v>3760</v>
      </c>
      <c r="AY503" s="75">
        <v>1</v>
      </c>
      <c r="AZ503" s="77" t="s">
        <v>131</v>
      </c>
      <c r="BA503" s="78" t="s">
        <v>132</v>
      </c>
      <c r="BB503" s="78" t="s">
        <v>131</v>
      </c>
      <c r="BC503" s="78" t="s">
        <v>131</v>
      </c>
      <c r="BD503" s="78" t="s">
        <v>131</v>
      </c>
      <c r="BE503" s="78" t="s">
        <v>131</v>
      </c>
      <c r="BF503" s="78" t="s">
        <v>131</v>
      </c>
      <c r="BG503" s="78" t="s">
        <v>131</v>
      </c>
      <c r="BH503" s="75" t="s">
        <v>5970</v>
      </c>
      <c r="BI503" s="295" t="s">
        <v>16</v>
      </c>
      <c r="BJ503" s="546">
        <v>1</v>
      </c>
      <c r="BK503" s="294" t="s">
        <v>16</v>
      </c>
      <c r="BL503" s="157" t="s">
        <v>16</v>
      </c>
      <c r="BM503" s="548" t="s">
        <v>1342</v>
      </c>
      <c r="BN503" s="548" t="s">
        <v>4158</v>
      </c>
      <c r="BO503" s="157" t="s">
        <v>4298</v>
      </c>
      <c r="BP503" s="548" t="s">
        <v>4302</v>
      </c>
      <c r="BQ503" s="157" t="s">
        <v>4297</v>
      </c>
      <c r="BR503" s="157"/>
    </row>
    <row r="504" spans="1:70" x14ac:dyDescent="0.25">
      <c r="A504" s="19" t="s">
        <v>3686</v>
      </c>
      <c r="B504" s="37" t="s">
        <v>3761</v>
      </c>
      <c r="C504" s="90">
        <v>45204.600138888891</v>
      </c>
      <c r="D504" s="114">
        <v>45204.350138888891</v>
      </c>
      <c r="E504" s="38">
        <v>45204</v>
      </c>
      <c r="F504" s="91">
        <v>2023</v>
      </c>
      <c r="G504" s="93">
        <v>10</v>
      </c>
      <c r="H504" s="37" t="s">
        <v>1378</v>
      </c>
      <c r="I504" s="37" t="s">
        <v>16</v>
      </c>
      <c r="J504" s="103">
        <v>-90.8293658213463</v>
      </c>
      <c r="K504" s="40">
        <v>43.477057980767782</v>
      </c>
      <c r="L504" s="74"/>
      <c r="M504" s="272" t="s">
        <v>3762</v>
      </c>
      <c r="N504" s="74">
        <v>1</v>
      </c>
      <c r="O504" s="94"/>
      <c r="P504" s="118">
        <v>1</v>
      </c>
      <c r="Q504" s="510">
        <v>180</v>
      </c>
      <c r="R504" s="513">
        <v>120</v>
      </c>
      <c r="S504" s="41"/>
      <c r="T504" s="40"/>
      <c r="U504" s="40">
        <v>8</v>
      </c>
      <c r="V504" s="119">
        <v>1</v>
      </c>
      <c r="W504" s="40">
        <v>0</v>
      </c>
      <c r="X504" s="119">
        <v>1</v>
      </c>
      <c r="Y504" s="40">
        <v>53</v>
      </c>
      <c r="Z504" s="119">
        <v>1</v>
      </c>
      <c r="AA504" s="368">
        <v>0</v>
      </c>
      <c r="AB504" s="535">
        <v>2</v>
      </c>
      <c r="AC504" s="39" t="s">
        <v>160</v>
      </c>
      <c r="AD504" s="75" t="s">
        <v>10</v>
      </c>
      <c r="AE504" s="95">
        <v>0</v>
      </c>
      <c r="AF504" s="75">
        <v>0</v>
      </c>
      <c r="AG504" s="75">
        <v>0</v>
      </c>
      <c r="AH504" s="75">
        <v>0</v>
      </c>
      <c r="AI504" s="75">
        <v>0</v>
      </c>
      <c r="AJ504" s="75">
        <v>0</v>
      </c>
      <c r="AK504" s="75">
        <v>0</v>
      </c>
      <c r="AL504" s="95">
        <v>1</v>
      </c>
      <c r="AM504" s="92">
        <v>0</v>
      </c>
      <c r="AN504" s="79" t="s">
        <v>80</v>
      </c>
      <c r="AO504" s="75">
        <v>1</v>
      </c>
      <c r="AP504" s="75" t="s">
        <v>83</v>
      </c>
      <c r="AQ504" s="122">
        <v>1</v>
      </c>
      <c r="AR504" s="515" t="s">
        <v>10</v>
      </c>
      <c r="AS504" s="95">
        <v>0</v>
      </c>
      <c r="AT504" s="75">
        <v>0</v>
      </c>
      <c r="AU504" s="75">
        <v>0</v>
      </c>
      <c r="AV504" s="75">
        <v>0</v>
      </c>
      <c r="AW504" s="123">
        <v>0</v>
      </c>
      <c r="AX504" s="516" t="s">
        <v>3760</v>
      </c>
      <c r="AY504" s="75">
        <v>1</v>
      </c>
      <c r="AZ504" s="77" t="s">
        <v>131</v>
      </c>
      <c r="BA504" s="78" t="s">
        <v>131</v>
      </c>
      <c r="BB504" s="78" t="s">
        <v>131</v>
      </c>
      <c r="BC504" s="78" t="s">
        <v>131</v>
      </c>
      <c r="BD504" s="78" t="s">
        <v>131</v>
      </c>
      <c r="BE504" s="78" t="s">
        <v>131</v>
      </c>
      <c r="BF504" s="78" t="s">
        <v>131</v>
      </c>
      <c r="BG504" s="78" t="s">
        <v>132</v>
      </c>
      <c r="BH504" s="75" t="s">
        <v>5970</v>
      </c>
      <c r="BI504" s="295" t="s">
        <v>4061</v>
      </c>
      <c r="BJ504" s="546">
        <v>1</v>
      </c>
      <c r="BK504" s="294" t="s">
        <v>16</v>
      </c>
      <c r="BL504" s="157" t="s">
        <v>16</v>
      </c>
      <c r="BM504" s="548" t="s">
        <v>1342</v>
      </c>
      <c r="BN504" s="548" t="s">
        <v>4158</v>
      </c>
      <c r="BO504" s="157" t="s">
        <v>4304</v>
      </c>
      <c r="BP504" s="548" t="s">
        <v>4061</v>
      </c>
      <c r="BQ504" s="157" t="s">
        <v>4303</v>
      </c>
      <c r="BR504" s="157"/>
    </row>
    <row r="505" spans="1:70" x14ac:dyDescent="0.25">
      <c r="A505" s="19" t="s">
        <v>3686</v>
      </c>
      <c r="B505" s="37" t="s">
        <v>3763</v>
      </c>
      <c r="C505" s="90">
        <v>45203.862013888887</v>
      </c>
      <c r="D505" s="114">
        <v>45203.612013888887</v>
      </c>
      <c r="E505" s="38">
        <v>45203</v>
      </c>
      <c r="F505" s="91">
        <v>2023</v>
      </c>
      <c r="G505" s="93">
        <v>10</v>
      </c>
      <c r="H505" s="37" t="s">
        <v>966</v>
      </c>
      <c r="I505" s="37"/>
      <c r="J505" s="103">
        <v>-92.586911597530687</v>
      </c>
      <c r="K505" s="40">
        <v>44.478772714746469</v>
      </c>
      <c r="L505" s="74"/>
      <c r="M505" s="272" t="s">
        <v>16</v>
      </c>
      <c r="N505" s="74">
        <v>0</v>
      </c>
      <c r="O505" s="94"/>
      <c r="P505" s="118">
        <v>1</v>
      </c>
      <c r="Q505" s="510">
        <v>0</v>
      </c>
      <c r="R505" s="513">
        <v>30</v>
      </c>
      <c r="S505" s="41"/>
      <c r="T505" s="40"/>
      <c r="U505" s="40">
        <v>9</v>
      </c>
      <c r="V505" s="119">
        <v>1</v>
      </c>
      <c r="W505" s="40">
        <v>0</v>
      </c>
      <c r="X505" s="119">
        <v>1</v>
      </c>
      <c r="Y505" s="40">
        <v>52</v>
      </c>
      <c r="Z505" s="119">
        <v>1</v>
      </c>
      <c r="AA505" s="368">
        <v>0</v>
      </c>
      <c r="AB505" s="535">
        <v>2</v>
      </c>
      <c r="AC505" s="39" t="s">
        <v>160</v>
      </c>
      <c r="AD505" s="75" t="s">
        <v>10</v>
      </c>
      <c r="AE505" s="95">
        <v>0</v>
      </c>
      <c r="AF505" s="75">
        <v>0</v>
      </c>
      <c r="AG505" s="75">
        <v>0</v>
      </c>
      <c r="AH505" s="75">
        <v>0</v>
      </c>
      <c r="AI505" s="75">
        <v>0</v>
      </c>
      <c r="AJ505" s="75">
        <v>0</v>
      </c>
      <c r="AK505" s="75">
        <v>0</v>
      </c>
      <c r="AL505" s="95">
        <v>1</v>
      </c>
      <c r="AM505" s="92">
        <v>0</v>
      </c>
      <c r="AN505" s="79" t="s">
        <v>195</v>
      </c>
      <c r="AO505" s="75">
        <v>1</v>
      </c>
      <c r="AP505" s="75"/>
      <c r="AQ505" s="122">
        <v>0</v>
      </c>
      <c r="AR505" s="515" t="s">
        <v>13</v>
      </c>
      <c r="AS505" s="95">
        <v>1</v>
      </c>
      <c r="AT505" s="75">
        <v>0</v>
      </c>
      <c r="AU505" s="75">
        <v>0</v>
      </c>
      <c r="AV505" s="75">
        <v>0</v>
      </c>
      <c r="AW505" s="123">
        <v>0</v>
      </c>
      <c r="AX505" s="516" t="s">
        <v>3764</v>
      </c>
      <c r="AY505" s="75">
        <v>1</v>
      </c>
      <c r="AZ505" s="77" t="s">
        <v>131</v>
      </c>
      <c r="BA505" s="78" t="s">
        <v>131</v>
      </c>
      <c r="BB505" s="78" t="s">
        <v>131</v>
      </c>
      <c r="BC505" s="78" t="s">
        <v>131</v>
      </c>
      <c r="BD505" s="78" t="s">
        <v>131</v>
      </c>
      <c r="BE505" s="78" t="s">
        <v>131</v>
      </c>
      <c r="BF505" s="78" t="s">
        <v>131</v>
      </c>
      <c r="BG505" s="78" t="s">
        <v>132</v>
      </c>
      <c r="BH505" s="75" t="s">
        <v>5970</v>
      </c>
      <c r="BI505" s="295" t="s">
        <v>16</v>
      </c>
      <c r="BJ505" s="546">
        <v>1</v>
      </c>
      <c r="BK505" s="294" t="s">
        <v>16</v>
      </c>
      <c r="BL505" s="157" t="s">
        <v>16</v>
      </c>
      <c r="BM505" s="548" t="s">
        <v>2343</v>
      </c>
      <c r="BN505" s="548" t="s">
        <v>4161</v>
      </c>
      <c r="BO505" s="157" t="s">
        <v>4308</v>
      </c>
      <c r="BP505" s="548" t="s">
        <v>2238</v>
      </c>
      <c r="BQ505" s="157" t="s">
        <v>4307</v>
      </c>
      <c r="BR505" s="157"/>
    </row>
    <row r="506" spans="1:70" x14ac:dyDescent="0.25">
      <c r="A506" s="19" t="s">
        <v>3686</v>
      </c>
      <c r="B506" s="37" t="s">
        <v>3765</v>
      </c>
      <c r="C506" s="90">
        <v>45200.847233796296</v>
      </c>
      <c r="D506" s="114">
        <v>45200.597233796296</v>
      </c>
      <c r="E506" s="38">
        <v>45200</v>
      </c>
      <c r="F506" s="91">
        <v>2023</v>
      </c>
      <c r="G506" s="93">
        <v>10</v>
      </c>
      <c r="H506" s="37" t="s">
        <v>379</v>
      </c>
      <c r="I506" s="37" t="s">
        <v>642</v>
      </c>
      <c r="J506" s="103">
        <v>-92.583489214736801</v>
      </c>
      <c r="K506" s="40">
        <v>44.848848178023381</v>
      </c>
      <c r="L506" s="74"/>
      <c r="M506" s="272" t="s">
        <v>16</v>
      </c>
      <c r="N506" s="74">
        <v>0</v>
      </c>
      <c r="O506" s="94"/>
      <c r="P506" s="118">
        <v>1</v>
      </c>
      <c r="Q506" s="510">
        <v>180</v>
      </c>
      <c r="R506" s="513">
        <v>180</v>
      </c>
      <c r="S506" s="41"/>
      <c r="T506" s="40"/>
      <c r="U506" s="40">
        <v>8</v>
      </c>
      <c r="V506" s="119">
        <v>0</v>
      </c>
      <c r="W506" s="40"/>
      <c r="X506" s="119">
        <v>1</v>
      </c>
      <c r="Y506" s="40">
        <v>59</v>
      </c>
      <c r="Z506" s="119">
        <v>1</v>
      </c>
      <c r="AA506" s="368">
        <v>0</v>
      </c>
      <c r="AB506" s="535">
        <v>2</v>
      </c>
      <c r="AC506" s="39" t="s">
        <v>160</v>
      </c>
      <c r="AD506" s="75" t="s">
        <v>16</v>
      </c>
      <c r="AE506" s="95">
        <v>-1</v>
      </c>
      <c r="AF506" s="75">
        <v>-1</v>
      </c>
      <c r="AG506" s="75">
        <v>-1</v>
      </c>
      <c r="AH506" s="75">
        <v>-1</v>
      </c>
      <c r="AI506" s="75">
        <v>-1</v>
      </c>
      <c r="AJ506" s="75">
        <v>-1</v>
      </c>
      <c r="AK506" s="75">
        <v>-1</v>
      </c>
      <c r="AL506" s="95">
        <v>-1</v>
      </c>
      <c r="AM506" s="92">
        <v>1</v>
      </c>
      <c r="AN506" s="79" t="s">
        <v>80</v>
      </c>
      <c r="AO506" s="75">
        <v>1</v>
      </c>
      <c r="AP506" s="75" t="s">
        <v>83</v>
      </c>
      <c r="AQ506" s="122">
        <v>1</v>
      </c>
      <c r="AR506" s="515" t="s">
        <v>10</v>
      </c>
      <c r="AS506" s="95">
        <v>0</v>
      </c>
      <c r="AT506" s="75">
        <v>0</v>
      </c>
      <c r="AU506" s="75">
        <v>0</v>
      </c>
      <c r="AV506" s="75">
        <v>0</v>
      </c>
      <c r="AW506" s="123">
        <v>0</v>
      </c>
      <c r="AX506" s="516"/>
      <c r="AY506" s="75">
        <v>0</v>
      </c>
      <c r="AZ506" s="77" t="s">
        <v>5971</v>
      </c>
      <c r="BA506" s="78" t="s">
        <v>5971</v>
      </c>
      <c r="BB506" s="78" t="s">
        <v>5971</v>
      </c>
      <c r="BC506" s="78" t="s">
        <v>5971</v>
      </c>
      <c r="BD506" s="78" t="s">
        <v>5971</v>
      </c>
      <c r="BE506" s="78" t="s">
        <v>5971</v>
      </c>
      <c r="BF506" s="78" t="s">
        <v>5971</v>
      </c>
      <c r="BG506" s="78" t="s">
        <v>5971</v>
      </c>
      <c r="BH506" s="75" t="s">
        <v>5971</v>
      </c>
      <c r="BI506" s="295" t="s">
        <v>16</v>
      </c>
      <c r="BJ506" s="546">
        <v>1</v>
      </c>
      <c r="BK506" s="294">
        <v>1</v>
      </c>
      <c r="BL506" s="157">
        <v>1</v>
      </c>
      <c r="BM506" s="548" t="s">
        <v>578</v>
      </c>
      <c r="BN506" s="548" t="s">
        <v>578</v>
      </c>
      <c r="BO506" s="157" t="s">
        <v>4310</v>
      </c>
      <c r="BP506" s="548" t="s">
        <v>2226</v>
      </c>
      <c r="BQ506" s="157" t="s">
        <v>4309</v>
      </c>
      <c r="BR506" s="157"/>
    </row>
    <row r="507" spans="1:70" x14ac:dyDescent="0.25">
      <c r="A507" s="19" t="s">
        <v>3686</v>
      </c>
      <c r="B507" s="37" t="s">
        <v>3766</v>
      </c>
      <c r="C507" s="90">
        <v>45199.772349537037</v>
      </c>
      <c r="D507" s="114">
        <v>45199.522349537037</v>
      </c>
      <c r="E507" s="38">
        <v>45199</v>
      </c>
      <c r="F507" s="91">
        <v>2023</v>
      </c>
      <c r="G507" s="93">
        <v>9</v>
      </c>
      <c r="H507" s="37" t="s">
        <v>3283</v>
      </c>
      <c r="I507" s="37" t="s">
        <v>2277</v>
      </c>
      <c r="J507" s="103">
        <v>-93.384216004658981</v>
      </c>
      <c r="K507" s="40">
        <v>44.779484880628893</v>
      </c>
      <c r="L507" s="74"/>
      <c r="M507" s="272" t="s">
        <v>16</v>
      </c>
      <c r="N507" s="74">
        <v>0</v>
      </c>
      <c r="O507" s="94"/>
      <c r="P507" s="118">
        <v>1</v>
      </c>
      <c r="Q507" s="510">
        <v>180</v>
      </c>
      <c r="R507" s="513">
        <v>180</v>
      </c>
      <c r="S507" s="41"/>
      <c r="T507" s="40"/>
      <c r="U507" s="40">
        <v>7.5</v>
      </c>
      <c r="V507" s="119">
        <v>0</v>
      </c>
      <c r="W507" s="40"/>
      <c r="X507" s="119">
        <v>1</v>
      </c>
      <c r="Y507" s="40">
        <v>59</v>
      </c>
      <c r="Z507" s="119">
        <v>0</v>
      </c>
      <c r="AA507" s="368" t="s">
        <v>16</v>
      </c>
      <c r="AB507" s="535" t="s">
        <v>16</v>
      </c>
      <c r="AC507" s="39" t="s">
        <v>160</v>
      </c>
      <c r="AD507" s="75" t="s">
        <v>16</v>
      </c>
      <c r="AE507" s="95">
        <v>-1</v>
      </c>
      <c r="AF507" s="75">
        <v>-1</v>
      </c>
      <c r="AG507" s="75">
        <v>-1</v>
      </c>
      <c r="AH507" s="75">
        <v>-1</v>
      </c>
      <c r="AI507" s="75">
        <v>-1</v>
      </c>
      <c r="AJ507" s="75">
        <v>-1</v>
      </c>
      <c r="AK507" s="75">
        <v>-1</v>
      </c>
      <c r="AL507" s="95">
        <v>-1</v>
      </c>
      <c r="AM507" s="92">
        <v>1</v>
      </c>
      <c r="AN507" s="79" t="s">
        <v>81</v>
      </c>
      <c r="AO507" s="75">
        <v>1</v>
      </c>
      <c r="AP507" s="75" t="s">
        <v>83</v>
      </c>
      <c r="AQ507" s="122">
        <v>1</v>
      </c>
      <c r="AR507" s="515" t="s">
        <v>904</v>
      </c>
      <c r="AS507" s="95">
        <v>1</v>
      </c>
      <c r="AT507" s="75">
        <v>1</v>
      </c>
      <c r="AU507" s="75">
        <v>0</v>
      </c>
      <c r="AV507" s="75">
        <v>0</v>
      </c>
      <c r="AW507" s="123">
        <v>0</v>
      </c>
      <c r="AX507" s="516"/>
      <c r="AY507" s="75">
        <v>0</v>
      </c>
      <c r="AZ507" s="77" t="s">
        <v>5971</v>
      </c>
      <c r="BA507" s="78" t="s">
        <v>5971</v>
      </c>
      <c r="BB507" s="78" t="s">
        <v>5971</v>
      </c>
      <c r="BC507" s="78" t="s">
        <v>5971</v>
      </c>
      <c r="BD507" s="78" t="s">
        <v>5971</v>
      </c>
      <c r="BE507" s="78" t="s">
        <v>5971</v>
      </c>
      <c r="BF507" s="78" t="s">
        <v>5971</v>
      </c>
      <c r="BG507" s="78" t="s">
        <v>5971</v>
      </c>
      <c r="BH507" s="75" t="s">
        <v>5971</v>
      </c>
      <c r="BI507" s="295" t="s">
        <v>2277</v>
      </c>
      <c r="BJ507" s="546">
        <v>1</v>
      </c>
      <c r="BK507" s="294" t="s">
        <v>16</v>
      </c>
      <c r="BL507" s="157" t="s">
        <v>16</v>
      </c>
      <c r="BM507" s="548" t="s">
        <v>2343</v>
      </c>
      <c r="BN507" s="548" t="s">
        <v>4161</v>
      </c>
      <c r="BO507" s="157" t="s">
        <v>4313</v>
      </c>
      <c r="BP507" s="548" t="s">
        <v>4315</v>
      </c>
      <c r="BQ507" s="157" t="s">
        <v>4312</v>
      </c>
      <c r="BR507" s="157"/>
    </row>
    <row r="508" spans="1:70" x14ac:dyDescent="0.25">
      <c r="A508" s="19" t="s">
        <v>3686</v>
      </c>
      <c r="B508" s="37" t="s">
        <v>3767</v>
      </c>
      <c r="C508" s="90">
        <v>45199.752453703702</v>
      </c>
      <c r="D508" s="114">
        <v>45199.502453703702</v>
      </c>
      <c r="E508" s="38">
        <v>45199</v>
      </c>
      <c r="F508" s="91">
        <v>2023</v>
      </c>
      <c r="G508" s="93">
        <v>9</v>
      </c>
      <c r="H508" s="37" t="s">
        <v>461</v>
      </c>
      <c r="I508" s="37" t="s">
        <v>154</v>
      </c>
      <c r="J508" s="103">
        <v>-92.146930550854833</v>
      </c>
      <c r="K508" s="40">
        <v>44.79323386008614</v>
      </c>
      <c r="L508" s="74"/>
      <c r="M508" s="272" t="s">
        <v>3768</v>
      </c>
      <c r="N508" s="74">
        <v>1</v>
      </c>
      <c r="O508" s="94"/>
      <c r="P508" s="118">
        <v>1</v>
      </c>
      <c r="Q508" s="510">
        <v>0</v>
      </c>
      <c r="R508" s="513">
        <v>30</v>
      </c>
      <c r="S508" s="41"/>
      <c r="T508" s="40"/>
      <c r="U508" s="40">
        <v>7</v>
      </c>
      <c r="V508" s="119">
        <v>1</v>
      </c>
      <c r="W508" s="40">
        <v>200</v>
      </c>
      <c r="X508" s="119">
        <v>1</v>
      </c>
      <c r="Y508" s="40">
        <v>59</v>
      </c>
      <c r="Z508" s="119">
        <v>1</v>
      </c>
      <c r="AA508" s="368">
        <v>0</v>
      </c>
      <c r="AB508" s="535">
        <v>5</v>
      </c>
      <c r="AC508" s="39" t="s">
        <v>160</v>
      </c>
      <c r="AD508" s="75" t="s">
        <v>10</v>
      </c>
      <c r="AE508" s="95">
        <v>0</v>
      </c>
      <c r="AF508" s="75">
        <v>0</v>
      </c>
      <c r="AG508" s="75">
        <v>0</v>
      </c>
      <c r="AH508" s="75">
        <v>0</v>
      </c>
      <c r="AI508" s="75">
        <v>0</v>
      </c>
      <c r="AJ508" s="75">
        <v>0</v>
      </c>
      <c r="AK508" s="75">
        <v>0</v>
      </c>
      <c r="AL508" s="95">
        <v>1</v>
      </c>
      <c r="AM508" s="92">
        <v>0</v>
      </c>
      <c r="AN508" s="79" t="s">
        <v>80</v>
      </c>
      <c r="AO508" s="75">
        <v>1</v>
      </c>
      <c r="AP508" s="75" t="s">
        <v>83</v>
      </c>
      <c r="AQ508" s="122">
        <v>1</v>
      </c>
      <c r="AR508" s="515" t="s">
        <v>10</v>
      </c>
      <c r="AS508" s="95">
        <v>0</v>
      </c>
      <c r="AT508" s="75">
        <v>0</v>
      </c>
      <c r="AU508" s="75">
        <v>0</v>
      </c>
      <c r="AV508" s="75">
        <v>0</v>
      </c>
      <c r="AW508" s="123">
        <v>0</v>
      </c>
      <c r="AX508" s="516"/>
      <c r="AY508" s="75">
        <v>0</v>
      </c>
      <c r="AZ508" s="77" t="s">
        <v>131</v>
      </c>
      <c r="BA508" s="78" t="s">
        <v>131</v>
      </c>
      <c r="BB508" s="78" t="s">
        <v>131</v>
      </c>
      <c r="BC508" s="78" t="s">
        <v>131</v>
      </c>
      <c r="BD508" s="78" t="s">
        <v>131</v>
      </c>
      <c r="BE508" s="78" t="s">
        <v>131</v>
      </c>
      <c r="BF508" s="78" t="s">
        <v>131</v>
      </c>
      <c r="BG508" s="78" t="s">
        <v>132</v>
      </c>
      <c r="BH508" s="75" t="s">
        <v>5970</v>
      </c>
      <c r="BI508" s="295" t="s">
        <v>2270</v>
      </c>
      <c r="BJ508" s="546">
        <v>1</v>
      </c>
      <c r="BK508" s="294">
        <v>1</v>
      </c>
      <c r="BL508" s="157">
        <v>1</v>
      </c>
      <c r="BM508" s="548" t="s">
        <v>578</v>
      </c>
      <c r="BN508" s="548" t="s">
        <v>578</v>
      </c>
      <c r="BO508" s="157" t="s">
        <v>4317</v>
      </c>
      <c r="BP508" s="548" t="s">
        <v>2270</v>
      </c>
      <c r="BQ508" s="157" t="s">
        <v>4316</v>
      </c>
      <c r="BR508" s="157"/>
    </row>
    <row r="509" spans="1:70" x14ac:dyDescent="0.25">
      <c r="A509" s="19" t="s">
        <v>3686</v>
      </c>
      <c r="B509" s="37" t="s">
        <v>3769</v>
      </c>
      <c r="C509" s="90">
        <v>45199.618541666663</v>
      </c>
      <c r="D509" s="114">
        <v>45199.368541666663</v>
      </c>
      <c r="E509" s="38">
        <v>45199</v>
      </c>
      <c r="F509" s="91">
        <v>2023</v>
      </c>
      <c r="G509" s="93">
        <v>9</v>
      </c>
      <c r="H509" s="37" t="s">
        <v>475</v>
      </c>
      <c r="I509" s="37"/>
      <c r="J509" s="103">
        <v>-92.116679739724717</v>
      </c>
      <c r="K509" s="40">
        <v>43.797646485746114</v>
      </c>
      <c r="L509" s="74"/>
      <c r="M509" s="272" t="s">
        <v>3770</v>
      </c>
      <c r="N509" s="74">
        <v>1</v>
      </c>
      <c r="O509" s="94"/>
      <c r="P509" s="118">
        <v>1</v>
      </c>
      <c r="Q509" s="510">
        <v>180</v>
      </c>
      <c r="R509" s="513">
        <v>180</v>
      </c>
      <c r="S509" s="41"/>
      <c r="T509" s="40"/>
      <c r="U509" s="40">
        <v>7.5</v>
      </c>
      <c r="V509" s="119">
        <v>1</v>
      </c>
      <c r="W509" s="40">
        <v>0</v>
      </c>
      <c r="X509" s="119">
        <v>1</v>
      </c>
      <c r="Y509" s="40">
        <v>56</v>
      </c>
      <c r="Z509" s="119">
        <v>1</v>
      </c>
      <c r="AA509" s="368">
        <v>0</v>
      </c>
      <c r="AB509" s="535">
        <v>5</v>
      </c>
      <c r="AC509" s="39" t="s">
        <v>160</v>
      </c>
      <c r="AD509" s="75" t="s">
        <v>10</v>
      </c>
      <c r="AE509" s="95">
        <v>0</v>
      </c>
      <c r="AF509" s="75">
        <v>0</v>
      </c>
      <c r="AG509" s="75">
        <v>0</v>
      </c>
      <c r="AH509" s="75">
        <v>0</v>
      </c>
      <c r="AI509" s="75">
        <v>0</v>
      </c>
      <c r="AJ509" s="75">
        <v>0</v>
      </c>
      <c r="AK509" s="75">
        <v>0</v>
      </c>
      <c r="AL509" s="95">
        <v>1</v>
      </c>
      <c r="AM509" s="92">
        <v>0</v>
      </c>
      <c r="AN509" s="79" t="s">
        <v>80</v>
      </c>
      <c r="AO509" s="75">
        <v>1</v>
      </c>
      <c r="AP509" s="75" t="s">
        <v>83</v>
      </c>
      <c r="AQ509" s="122">
        <v>1</v>
      </c>
      <c r="AR509" s="515" t="s">
        <v>10</v>
      </c>
      <c r="AS509" s="95">
        <v>0</v>
      </c>
      <c r="AT509" s="75">
        <v>0</v>
      </c>
      <c r="AU509" s="75">
        <v>0</v>
      </c>
      <c r="AV509" s="75">
        <v>0</v>
      </c>
      <c r="AW509" s="123">
        <v>0</v>
      </c>
      <c r="AX509" s="516" t="s">
        <v>3771</v>
      </c>
      <c r="AY509" s="75">
        <v>1</v>
      </c>
      <c r="AZ509" s="77" t="s">
        <v>131</v>
      </c>
      <c r="BA509" s="78" t="s">
        <v>131</v>
      </c>
      <c r="BB509" s="78" t="s">
        <v>131</v>
      </c>
      <c r="BC509" s="78" t="s">
        <v>131</v>
      </c>
      <c r="BD509" s="78" t="s">
        <v>131</v>
      </c>
      <c r="BE509" s="78" t="s">
        <v>131</v>
      </c>
      <c r="BF509" s="78" t="s">
        <v>131</v>
      </c>
      <c r="BG509" s="78" t="s">
        <v>132</v>
      </c>
      <c r="BH509" s="75" t="s">
        <v>5970</v>
      </c>
      <c r="BI509" s="295" t="s">
        <v>2281</v>
      </c>
      <c r="BJ509" s="546">
        <v>1</v>
      </c>
      <c r="BK509" s="294" t="s">
        <v>16</v>
      </c>
      <c r="BL509" s="157" t="s">
        <v>16</v>
      </c>
      <c r="BM509" s="548" t="s">
        <v>1339</v>
      </c>
      <c r="BN509" s="548" t="s">
        <v>1339</v>
      </c>
      <c r="BO509" s="157" t="s">
        <v>4320</v>
      </c>
      <c r="BP509" s="548" t="s">
        <v>2281</v>
      </c>
      <c r="BQ509" s="157" t="s">
        <v>4319</v>
      </c>
      <c r="BR509" s="157"/>
    </row>
    <row r="510" spans="1:70" x14ac:dyDescent="0.25">
      <c r="A510" s="19" t="s">
        <v>3686</v>
      </c>
      <c r="B510" s="37" t="s">
        <v>3772</v>
      </c>
      <c r="C510" s="90">
        <v>45199.602812500001</v>
      </c>
      <c r="D510" s="114">
        <v>45199.352812500001</v>
      </c>
      <c r="E510" s="38">
        <v>45199</v>
      </c>
      <c r="F510" s="91">
        <v>2023</v>
      </c>
      <c r="G510" s="93">
        <v>9</v>
      </c>
      <c r="H510" s="37" t="s">
        <v>475</v>
      </c>
      <c r="I510" s="37"/>
      <c r="J510" s="103">
        <v>-92.101676724074238</v>
      </c>
      <c r="K510" s="40">
        <v>43.697772657204894</v>
      </c>
      <c r="L510" s="74"/>
      <c r="M510" s="272" t="s">
        <v>3773</v>
      </c>
      <c r="N510" s="74">
        <v>1</v>
      </c>
      <c r="O510" s="94"/>
      <c r="P510" s="118">
        <v>1</v>
      </c>
      <c r="Q510" s="510">
        <v>180</v>
      </c>
      <c r="R510" s="513">
        <v>180</v>
      </c>
      <c r="S510" s="41"/>
      <c r="T510" s="40"/>
      <c r="U510" s="40">
        <v>7.5</v>
      </c>
      <c r="V510" s="119">
        <v>1</v>
      </c>
      <c r="W510" s="40">
        <v>0</v>
      </c>
      <c r="X510" s="119">
        <v>1</v>
      </c>
      <c r="Y510" s="40">
        <v>66</v>
      </c>
      <c r="Z510" s="119">
        <v>1</v>
      </c>
      <c r="AA510" s="368">
        <v>0</v>
      </c>
      <c r="AB510" s="535">
        <v>5</v>
      </c>
      <c r="AC510" s="39" t="s">
        <v>160</v>
      </c>
      <c r="AD510" s="75" t="s">
        <v>10</v>
      </c>
      <c r="AE510" s="95">
        <v>0</v>
      </c>
      <c r="AF510" s="75">
        <v>0</v>
      </c>
      <c r="AG510" s="75">
        <v>0</v>
      </c>
      <c r="AH510" s="75">
        <v>0</v>
      </c>
      <c r="AI510" s="75">
        <v>0</v>
      </c>
      <c r="AJ510" s="75">
        <v>0</v>
      </c>
      <c r="AK510" s="75">
        <v>0</v>
      </c>
      <c r="AL510" s="95">
        <v>1</v>
      </c>
      <c r="AM510" s="92">
        <v>0</v>
      </c>
      <c r="AN510" s="79" t="s">
        <v>80</v>
      </c>
      <c r="AO510" s="75">
        <v>1</v>
      </c>
      <c r="AP510" s="75" t="s">
        <v>83</v>
      </c>
      <c r="AQ510" s="122">
        <v>1</v>
      </c>
      <c r="AR510" s="515" t="s">
        <v>10</v>
      </c>
      <c r="AS510" s="95">
        <v>0</v>
      </c>
      <c r="AT510" s="75">
        <v>0</v>
      </c>
      <c r="AU510" s="75">
        <v>0</v>
      </c>
      <c r="AV510" s="75">
        <v>0</v>
      </c>
      <c r="AW510" s="123">
        <v>0</v>
      </c>
      <c r="AX510" s="516" t="s">
        <v>3774</v>
      </c>
      <c r="AY510" s="75">
        <v>1</v>
      </c>
      <c r="AZ510" s="77" t="s">
        <v>131</v>
      </c>
      <c r="BA510" s="78" t="s">
        <v>131</v>
      </c>
      <c r="BB510" s="78" t="s">
        <v>131</v>
      </c>
      <c r="BC510" s="78" t="s">
        <v>131</v>
      </c>
      <c r="BD510" s="78" t="s">
        <v>131</v>
      </c>
      <c r="BE510" s="78" t="s">
        <v>131</v>
      </c>
      <c r="BF510" s="78" t="s">
        <v>131</v>
      </c>
      <c r="BG510" s="78" t="s">
        <v>132</v>
      </c>
      <c r="BH510" s="75" t="s">
        <v>5970</v>
      </c>
      <c r="BI510" s="295" t="s">
        <v>3975</v>
      </c>
      <c r="BJ510" s="546">
        <v>1</v>
      </c>
      <c r="BK510" s="294" t="s">
        <v>16</v>
      </c>
      <c r="BL510" s="157" t="s">
        <v>16</v>
      </c>
      <c r="BM510" s="548" t="s">
        <v>1339</v>
      </c>
      <c r="BN510" s="548" t="s">
        <v>1339</v>
      </c>
      <c r="BO510" s="157" t="s">
        <v>4321</v>
      </c>
      <c r="BP510" s="548" t="s">
        <v>3975</v>
      </c>
      <c r="BQ510" s="157" t="s">
        <v>4229</v>
      </c>
      <c r="BR510" s="157"/>
    </row>
    <row r="511" spans="1:70" x14ac:dyDescent="0.25">
      <c r="A511" s="19" t="s">
        <v>3686</v>
      </c>
      <c r="B511" s="37" t="s">
        <v>3775</v>
      </c>
      <c r="C511" s="90">
        <v>45199.580567129633</v>
      </c>
      <c r="D511" s="114">
        <v>45199.330567129633</v>
      </c>
      <c r="E511" s="38">
        <v>45199</v>
      </c>
      <c r="F511" s="91">
        <v>2023</v>
      </c>
      <c r="G511" s="93">
        <v>9</v>
      </c>
      <c r="H511" s="37" t="s">
        <v>475</v>
      </c>
      <c r="I511" s="37"/>
      <c r="J511" s="103">
        <v>-92.154924969826482</v>
      </c>
      <c r="K511" s="40">
        <v>43.760185391778563</v>
      </c>
      <c r="L511" s="74"/>
      <c r="M511" s="272" t="s">
        <v>3776</v>
      </c>
      <c r="N511" s="74">
        <v>1</v>
      </c>
      <c r="O511" s="94"/>
      <c r="P511" s="118">
        <v>1</v>
      </c>
      <c r="Q511" s="510">
        <v>180</v>
      </c>
      <c r="R511" s="513">
        <v>180</v>
      </c>
      <c r="S511" s="41"/>
      <c r="T511" s="40"/>
      <c r="U511" s="40">
        <v>7.5</v>
      </c>
      <c r="V511" s="119">
        <v>1</v>
      </c>
      <c r="W511" s="40">
        <v>0</v>
      </c>
      <c r="X511" s="119">
        <v>1</v>
      </c>
      <c r="Y511" s="40">
        <v>60</v>
      </c>
      <c r="Z511" s="119">
        <v>1</v>
      </c>
      <c r="AA511" s="368">
        <v>0</v>
      </c>
      <c r="AB511" s="535">
        <v>5</v>
      </c>
      <c r="AC511" s="39"/>
      <c r="AD511" s="75" t="s">
        <v>10</v>
      </c>
      <c r="AE511" s="95">
        <v>0</v>
      </c>
      <c r="AF511" s="75">
        <v>0</v>
      </c>
      <c r="AG511" s="75">
        <v>0</v>
      </c>
      <c r="AH511" s="75">
        <v>0</v>
      </c>
      <c r="AI511" s="75">
        <v>0</v>
      </c>
      <c r="AJ511" s="75">
        <v>0</v>
      </c>
      <c r="AK511" s="75">
        <v>0</v>
      </c>
      <c r="AL511" s="95">
        <v>1</v>
      </c>
      <c r="AM511" s="92">
        <v>0</v>
      </c>
      <c r="AN511" s="79" t="s">
        <v>80</v>
      </c>
      <c r="AO511" s="75">
        <v>1</v>
      </c>
      <c r="AP511" s="75" t="s">
        <v>83</v>
      </c>
      <c r="AQ511" s="122">
        <v>1</v>
      </c>
      <c r="AR511" s="515" t="s">
        <v>10</v>
      </c>
      <c r="AS511" s="95">
        <v>0</v>
      </c>
      <c r="AT511" s="75">
        <v>0</v>
      </c>
      <c r="AU511" s="75">
        <v>0</v>
      </c>
      <c r="AV511" s="75">
        <v>0</v>
      </c>
      <c r="AW511" s="123">
        <v>0</v>
      </c>
      <c r="AX511" s="516" t="s">
        <v>3777</v>
      </c>
      <c r="AY511" s="75">
        <v>1</v>
      </c>
      <c r="AZ511" s="77" t="s">
        <v>131</v>
      </c>
      <c r="BA511" s="78" t="s">
        <v>131</v>
      </c>
      <c r="BB511" s="78" t="s">
        <v>131</v>
      </c>
      <c r="BC511" s="78" t="s">
        <v>131</v>
      </c>
      <c r="BD511" s="78" t="s">
        <v>131</v>
      </c>
      <c r="BE511" s="78" t="s">
        <v>131</v>
      </c>
      <c r="BF511" s="78" t="s">
        <v>131</v>
      </c>
      <c r="BG511" s="78" t="s">
        <v>132</v>
      </c>
      <c r="BH511" s="75" t="s">
        <v>5970</v>
      </c>
      <c r="BI511" s="295" t="s">
        <v>2239</v>
      </c>
      <c r="BJ511" s="546">
        <v>1</v>
      </c>
      <c r="BK511" s="294" t="s">
        <v>16</v>
      </c>
      <c r="BL511" s="157" t="s">
        <v>16</v>
      </c>
      <c r="BM511" s="548" t="s">
        <v>1339</v>
      </c>
      <c r="BN511" s="548" t="s">
        <v>1339</v>
      </c>
      <c r="BO511" s="157" t="s">
        <v>4320</v>
      </c>
      <c r="BP511" s="548" t="s">
        <v>2281</v>
      </c>
      <c r="BQ511" s="157" t="s">
        <v>4319</v>
      </c>
      <c r="BR511" s="157"/>
    </row>
    <row r="512" spans="1:70" x14ac:dyDescent="0.25">
      <c r="A512" s="19" t="s">
        <v>3686</v>
      </c>
      <c r="B512" s="37" t="s">
        <v>3778</v>
      </c>
      <c r="C512" s="90">
        <v>45198.766446759262</v>
      </c>
      <c r="D512" s="114">
        <v>45198.516446759262</v>
      </c>
      <c r="E512" s="38">
        <v>45198</v>
      </c>
      <c r="F512" s="91">
        <v>2023</v>
      </c>
      <c r="G512" s="93">
        <v>9</v>
      </c>
      <c r="H512" s="37" t="s">
        <v>624</v>
      </c>
      <c r="I512" s="37"/>
      <c r="J512" s="103">
        <v>-93.384538488549566</v>
      </c>
      <c r="K512" s="40">
        <v>44.779147203122307</v>
      </c>
      <c r="L512" s="74"/>
      <c r="M512" s="272" t="s">
        <v>16</v>
      </c>
      <c r="N512" s="74">
        <v>0</v>
      </c>
      <c r="O512" s="94"/>
      <c r="P512" s="118">
        <v>1</v>
      </c>
      <c r="Q512" s="510">
        <v>0</v>
      </c>
      <c r="R512" s="513">
        <v>30</v>
      </c>
      <c r="S512" s="41"/>
      <c r="T512" s="40"/>
      <c r="U512" s="40">
        <v>8</v>
      </c>
      <c r="V512" s="119">
        <v>1</v>
      </c>
      <c r="W512" s="40">
        <v>0</v>
      </c>
      <c r="X512" s="119">
        <v>1</v>
      </c>
      <c r="Y512" s="40">
        <v>59</v>
      </c>
      <c r="Z512" s="119">
        <v>1</v>
      </c>
      <c r="AA512" s="368">
        <v>0</v>
      </c>
      <c r="AB512" s="535">
        <v>0</v>
      </c>
      <c r="AC512" s="39"/>
      <c r="AD512" s="75" t="s">
        <v>10</v>
      </c>
      <c r="AE512" s="95">
        <v>0</v>
      </c>
      <c r="AF512" s="75">
        <v>0</v>
      </c>
      <c r="AG512" s="75">
        <v>0</v>
      </c>
      <c r="AH512" s="75">
        <v>0</v>
      </c>
      <c r="AI512" s="75">
        <v>0</v>
      </c>
      <c r="AJ512" s="75">
        <v>0</v>
      </c>
      <c r="AK512" s="75">
        <v>0</v>
      </c>
      <c r="AL512" s="95">
        <v>1</v>
      </c>
      <c r="AM512" s="92">
        <v>0</v>
      </c>
      <c r="AN512" s="79" t="s">
        <v>81</v>
      </c>
      <c r="AO512" s="75">
        <v>1</v>
      </c>
      <c r="AP512" s="75" t="s">
        <v>83</v>
      </c>
      <c r="AQ512" s="122">
        <v>1</v>
      </c>
      <c r="AR512" s="515" t="s">
        <v>35</v>
      </c>
      <c r="AS512" s="95">
        <v>0</v>
      </c>
      <c r="AT512" s="75">
        <v>1</v>
      </c>
      <c r="AU512" s="75">
        <v>0</v>
      </c>
      <c r="AV512" s="75">
        <v>0</v>
      </c>
      <c r="AW512" s="123">
        <v>0</v>
      </c>
      <c r="AX512" s="516"/>
      <c r="AY512" s="75">
        <v>0</v>
      </c>
      <c r="AZ512" s="77" t="s">
        <v>131</v>
      </c>
      <c r="BA512" s="78" t="s">
        <v>131</v>
      </c>
      <c r="BB512" s="78" t="s">
        <v>131</v>
      </c>
      <c r="BC512" s="78" t="s">
        <v>131</v>
      </c>
      <c r="BD512" s="78" t="s">
        <v>131</v>
      </c>
      <c r="BE512" s="78" t="s">
        <v>131</v>
      </c>
      <c r="BF512" s="78" t="s">
        <v>131</v>
      </c>
      <c r="BG512" s="78" t="s">
        <v>132</v>
      </c>
      <c r="BH512" s="75" t="s">
        <v>5970</v>
      </c>
      <c r="BI512" s="295" t="s">
        <v>2277</v>
      </c>
      <c r="BJ512" s="546">
        <v>1</v>
      </c>
      <c r="BK512" s="294" t="s">
        <v>16</v>
      </c>
      <c r="BL512" s="157" t="s">
        <v>16</v>
      </c>
      <c r="BM512" s="548" t="s">
        <v>2343</v>
      </c>
      <c r="BN512" s="548" t="s">
        <v>4161</v>
      </c>
      <c r="BO512" s="157" t="s">
        <v>4313</v>
      </c>
      <c r="BP512" s="548" t="s">
        <v>4315</v>
      </c>
      <c r="BQ512" s="157" t="s">
        <v>4312</v>
      </c>
      <c r="BR512" s="157"/>
    </row>
    <row r="513" spans="1:70" x14ac:dyDescent="0.25">
      <c r="A513" s="19" t="s">
        <v>3686</v>
      </c>
      <c r="B513" s="37" t="s">
        <v>3779</v>
      </c>
      <c r="C513" s="90">
        <v>45197.765914351854</v>
      </c>
      <c r="D513" s="114">
        <v>45197.515914351854</v>
      </c>
      <c r="E513" s="38">
        <v>45197</v>
      </c>
      <c r="F513" s="91">
        <v>2023</v>
      </c>
      <c r="G513" s="93">
        <v>9</v>
      </c>
      <c r="H513" s="37" t="s">
        <v>1386</v>
      </c>
      <c r="I513" s="37"/>
      <c r="J513" s="103">
        <v>-91.813337599999997</v>
      </c>
      <c r="K513" s="40">
        <v>43.597632300000001</v>
      </c>
      <c r="L513" s="74"/>
      <c r="M513" s="272" t="s">
        <v>16</v>
      </c>
      <c r="N513" s="74">
        <v>0</v>
      </c>
      <c r="O513" s="94"/>
      <c r="P513" s="118">
        <v>0</v>
      </c>
      <c r="Q513" s="510"/>
      <c r="R513" s="513"/>
      <c r="S513" s="41"/>
      <c r="T513" s="40"/>
      <c r="U513" s="40"/>
      <c r="V513" s="119">
        <v>1</v>
      </c>
      <c r="W513" s="40">
        <v>0</v>
      </c>
      <c r="X513" s="119">
        <v>1</v>
      </c>
      <c r="Y513" s="40">
        <v>57</v>
      </c>
      <c r="Z513" s="119">
        <v>1</v>
      </c>
      <c r="AA513" s="368">
        <v>0</v>
      </c>
      <c r="AB513" s="535">
        <v>5</v>
      </c>
      <c r="AC513" s="39" t="s">
        <v>160</v>
      </c>
      <c r="AD513" s="75" t="s">
        <v>10</v>
      </c>
      <c r="AE513" s="95">
        <v>0</v>
      </c>
      <c r="AF513" s="75">
        <v>0</v>
      </c>
      <c r="AG513" s="75">
        <v>0</v>
      </c>
      <c r="AH513" s="75">
        <v>0</v>
      </c>
      <c r="AI513" s="75">
        <v>0</v>
      </c>
      <c r="AJ513" s="75">
        <v>0</v>
      </c>
      <c r="AK513" s="75">
        <v>0</v>
      </c>
      <c r="AL513" s="95">
        <v>1</v>
      </c>
      <c r="AM513" s="92">
        <v>0</v>
      </c>
      <c r="AN513" s="79" t="s">
        <v>80</v>
      </c>
      <c r="AO513" s="75">
        <v>1</v>
      </c>
      <c r="AP513" s="75" t="s">
        <v>83</v>
      </c>
      <c r="AQ513" s="122">
        <v>1</v>
      </c>
      <c r="AR513" s="515" t="s">
        <v>10</v>
      </c>
      <c r="AS513" s="95">
        <v>0</v>
      </c>
      <c r="AT513" s="75">
        <v>0</v>
      </c>
      <c r="AU513" s="75">
        <v>0</v>
      </c>
      <c r="AV513" s="75">
        <v>0</v>
      </c>
      <c r="AW513" s="123">
        <v>0</v>
      </c>
      <c r="AX513" s="516"/>
      <c r="AY513" s="75">
        <v>0</v>
      </c>
      <c r="AZ513" s="77" t="s">
        <v>131</v>
      </c>
      <c r="BA513" s="78" t="s">
        <v>131</v>
      </c>
      <c r="BB513" s="78" t="s">
        <v>131</v>
      </c>
      <c r="BC513" s="78" t="s">
        <v>131</v>
      </c>
      <c r="BD513" s="78" t="s">
        <v>131</v>
      </c>
      <c r="BE513" s="78" t="s">
        <v>131</v>
      </c>
      <c r="BF513" s="78" t="s">
        <v>131</v>
      </c>
      <c r="BG513" s="78" t="s">
        <v>132</v>
      </c>
      <c r="BH513" s="75" t="s">
        <v>5970</v>
      </c>
      <c r="BI513" s="295" t="s">
        <v>2271</v>
      </c>
      <c r="BJ513" s="546">
        <v>1</v>
      </c>
      <c r="BK513" s="294">
        <v>1</v>
      </c>
      <c r="BL513" s="157">
        <v>1</v>
      </c>
      <c r="BM513" s="548" t="s">
        <v>1341</v>
      </c>
      <c r="BN513" s="548" t="s">
        <v>1339</v>
      </c>
      <c r="BO513" s="157" t="s">
        <v>4245</v>
      </c>
      <c r="BP513" s="548" t="s">
        <v>2271</v>
      </c>
      <c r="BQ513" s="157" t="s">
        <v>4232</v>
      </c>
      <c r="BR513" s="157"/>
    </row>
    <row r="514" spans="1:70" x14ac:dyDescent="0.25">
      <c r="A514" s="19" t="s">
        <v>3686</v>
      </c>
      <c r="B514" s="37" t="s">
        <v>3780</v>
      </c>
      <c r="C514" s="90">
        <v>45197.729479166665</v>
      </c>
      <c r="D514" s="114">
        <v>45197.479479166665</v>
      </c>
      <c r="E514" s="38">
        <v>45197</v>
      </c>
      <c r="F514" s="91">
        <v>2023</v>
      </c>
      <c r="G514" s="93">
        <v>9</v>
      </c>
      <c r="H514" s="37" t="s">
        <v>1386</v>
      </c>
      <c r="I514" s="37"/>
      <c r="J514" s="103">
        <v>-91.580972399999993</v>
      </c>
      <c r="K514" s="40">
        <v>43.641398799999997</v>
      </c>
      <c r="L514" s="74"/>
      <c r="M514" s="272" t="s">
        <v>16</v>
      </c>
      <c r="N514" s="74">
        <v>0</v>
      </c>
      <c r="O514" s="94"/>
      <c r="P514" s="118">
        <v>0</v>
      </c>
      <c r="Q514" s="510"/>
      <c r="R514" s="513"/>
      <c r="S514" s="41"/>
      <c r="T514" s="40"/>
      <c r="U514" s="40"/>
      <c r="V514" s="119">
        <v>1</v>
      </c>
      <c r="W514" s="40">
        <v>0</v>
      </c>
      <c r="X514" s="119">
        <v>1</v>
      </c>
      <c r="Y514" s="40">
        <v>50</v>
      </c>
      <c r="Z514" s="119">
        <v>1</v>
      </c>
      <c r="AA514" s="368">
        <v>0</v>
      </c>
      <c r="AB514" s="535">
        <v>5</v>
      </c>
      <c r="AC514" s="39" t="s">
        <v>160</v>
      </c>
      <c r="AD514" s="75" t="s">
        <v>10</v>
      </c>
      <c r="AE514" s="95">
        <v>0</v>
      </c>
      <c r="AF514" s="75">
        <v>0</v>
      </c>
      <c r="AG514" s="75">
        <v>0</v>
      </c>
      <c r="AH514" s="75">
        <v>0</v>
      </c>
      <c r="AI514" s="75">
        <v>0</v>
      </c>
      <c r="AJ514" s="75">
        <v>0</v>
      </c>
      <c r="AK514" s="75">
        <v>0</v>
      </c>
      <c r="AL514" s="95">
        <v>1</v>
      </c>
      <c r="AM514" s="92">
        <v>0</v>
      </c>
      <c r="AN514" s="79" t="s">
        <v>80</v>
      </c>
      <c r="AO514" s="75">
        <v>1</v>
      </c>
      <c r="AP514" s="75" t="s">
        <v>83</v>
      </c>
      <c r="AQ514" s="122">
        <v>1</v>
      </c>
      <c r="AR514" s="515" t="s">
        <v>10</v>
      </c>
      <c r="AS514" s="95">
        <v>0</v>
      </c>
      <c r="AT514" s="75">
        <v>0</v>
      </c>
      <c r="AU514" s="75">
        <v>0</v>
      </c>
      <c r="AV514" s="75">
        <v>0</v>
      </c>
      <c r="AW514" s="123">
        <v>0</v>
      </c>
      <c r="AX514" s="516"/>
      <c r="AY514" s="75">
        <v>0</v>
      </c>
      <c r="AZ514" s="77" t="s">
        <v>131</v>
      </c>
      <c r="BA514" s="78" t="s">
        <v>131</v>
      </c>
      <c r="BB514" s="78" t="s">
        <v>131</v>
      </c>
      <c r="BC514" s="78" t="s">
        <v>131</v>
      </c>
      <c r="BD514" s="78" t="s">
        <v>131</v>
      </c>
      <c r="BE514" s="78" t="s">
        <v>131</v>
      </c>
      <c r="BF514" s="78" t="s">
        <v>131</v>
      </c>
      <c r="BG514" s="78" t="s">
        <v>132</v>
      </c>
      <c r="BH514" s="75" t="s">
        <v>5970</v>
      </c>
      <c r="BI514" s="295" t="s">
        <v>16</v>
      </c>
      <c r="BJ514" s="546">
        <v>1</v>
      </c>
      <c r="BK514" s="294" t="s">
        <v>16</v>
      </c>
      <c r="BL514" s="157" t="s">
        <v>16</v>
      </c>
      <c r="BM514" s="548" t="s">
        <v>1341</v>
      </c>
      <c r="BN514" s="548" t="s">
        <v>1339</v>
      </c>
      <c r="BO514" s="157" t="s">
        <v>4233</v>
      </c>
      <c r="BP514" s="548" t="s">
        <v>307</v>
      </c>
      <c r="BQ514" s="157" t="s">
        <v>4232</v>
      </c>
      <c r="BR514" s="157"/>
    </row>
    <row r="515" spans="1:70" x14ac:dyDescent="0.25">
      <c r="A515" s="19" t="s">
        <v>3686</v>
      </c>
      <c r="B515" s="37" t="s">
        <v>3781</v>
      </c>
      <c r="C515" s="90">
        <v>45197.70989583333</v>
      </c>
      <c r="D515" s="114">
        <v>45197.45989583333</v>
      </c>
      <c r="E515" s="38">
        <v>45197</v>
      </c>
      <c r="F515" s="91">
        <v>2023</v>
      </c>
      <c r="G515" s="93">
        <v>9</v>
      </c>
      <c r="H515" s="37" t="s">
        <v>1386</v>
      </c>
      <c r="I515" s="37"/>
      <c r="J515" s="103">
        <v>-91.373342199999996</v>
      </c>
      <c r="K515" s="40">
        <v>43.603722500000003</v>
      </c>
      <c r="L515" s="74"/>
      <c r="M515" s="272" t="s">
        <v>16</v>
      </c>
      <c r="N515" s="74">
        <v>0</v>
      </c>
      <c r="O515" s="94"/>
      <c r="P515" s="118">
        <v>0</v>
      </c>
      <c r="Q515" s="510"/>
      <c r="R515" s="513"/>
      <c r="S515" s="41"/>
      <c r="T515" s="40"/>
      <c r="U515" s="40"/>
      <c r="V515" s="119">
        <v>1</v>
      </c>
      <c r="W515" s="40">
        <v>0</v>
      </c>
      <c r="X515" s="119">
        <v>1</v>
      </c>
      <c r="Y515" s="40">
        <v>60</v>
      </c>
      <c r="Z515" s="119">
        <v>1</v>
      </c>
      <c r="AA515" s="368">
        <v>0</v>
      </c>
      <c r="AB515" s="535">
        <v>5</v>
      </c>
      <c r="AC515" s="39" t="s">
        <v>160</v>
      </c>
      <c r="AD515" s="75" t="s">
        <v>10</v>
      </c>
      <c r="AE515" s="95">
        <v>0</v>
      </c>
      <c r="AF515" s="75">
        <v>0</v>
      </c>
      <c r="AG515" s="75">
        <v>0</v>
      </c>
      <c r="AH515" s="75">
        <v>0</v>
      </c>
      <c r="AI515" s="75">
        <v>0</v>
      </c>
      <c r="AJ515" s="75">
        <v>0</v>
      </c>
      <c r="AK515" s="75">
        <v>0</v>
      </c>
      <c r="AL515" s="95">
        <v>1</v>
      </c>
      <c r="AM515" s="92">
        <v>0</v>
      </c>
      <c r="AN515" s="79" t="s">
        <v>80</v>
      </c>
      <c r="AO515" s="75">
        <v>1</v>
      </c>
      <c r="AP515" s="75" t="s">
        <v>83</v>
      </c>
      <c r="AQ515" s="122">
        <v>1</v>
      </c>
      <c r="AR515" s="515" t="s">
        <v>10</v>
      </c>
      <c r="AS515" s="95">
        <v>0</v>
      </c>
      <c r="AT515" s="75">
        <v>0</v>
      </c>
      <c r="AU515" s="75">
        <v>0</v>
      </c>
      <c r="AV515" s="75">
        <v>0</v>
      </c>
      <c r="AW515" s="123">
        <v>0</v>
      </c>
      <c r="AX515" s="516"/>
      <c r="AY515" s="75">
        <v>0</v>
      </c>
      <c r="AZ515" s="77" t="s">
        <v>131</v>
      </c>
      <c r="BA515" s="78" t="s">
        <v>131</v>
      </c>
      <c r="BB515" s="78" t="s">
        <v>131</v>
      </c>
      <c r="BC515" s="78" t="s">
        <v>131</v>
      </c>
      <c r="BD515" s="78" t="s">
        <v>131</v>
      </c>
      <c r="BE515" s="78" t="s">
        <v>131</v>
      </c>
      <c r="BF515" s="78" t="s">
        <v>131</v>
      </c>
      <c r="BG515" s="78" t="s">
        <v>132</v>
      </c>
      <c r="BH515" s="75" t="s">
        <v>5970</v>
      </c>
      <c r="BI515" s="295" t="s">
        <v>16</v>
      </c>
      <c r="BJ515" s="546">
        <v>1</v>
      </c>
      <c r="BK515" s="294" t="s">
        <v>16</v>
      </c>
      <c r="BL515" s="157" t="s">
        <v>16</v>
      </c>
      <c r="BM515" s="548" t="s">
        <v>1341</v>
      </c>
      <c r="BN515" s="548" t="s">
        <v>1339</v>
      </c>
      <c r="BO515" s="157" t="s">
        <v>4235</v>
      </c>
      <c r="BP515" s="548" t="s">
        <v>4237</v>
      </c>
      <c r="BQ515" s="157" t="s">
        <v>4234</v>
      </c>
      <c r="BR515" s="157"/>
    </row>
    <row r="516" spans="1:70" x14ac:dyDescent="0.25">
      <c r="A516" s="19" t="s">
        <v>3686</v>
      </c>
      <c r="B516" s="37" t="s">
        <v>3782</v>
      </c>
      <c r="C516" s="90">
        <v>45197.692314814813</v>
      </c>
      <c r="D516" s="114">
        <v>45197.442314814813</v>
      </c>
      <c r="E516" s="38">
        <v>45197</v>
      </c>
      <c r="F516" s="91">
        <v>2023</v>
      </c>
      <c r="G516" s="93">
        <v>9</v>
      </c>
      <c r="H516" s="37" t="s">
        <v>1386</v>
      </c>
      <c r="I516" s="37"/>
      <c r="J516" s="103">
        <v>-91.413050400000003</v>
      </c>
      <c r="K516" s="40">
        <v>43.540521099999999</v>
      </c>
      <c r="L516" s="74"/>
      <c r="M516" s="272" t="s">
        <v>16</v>
      </c>
      <c r="N516" s="74">
        <v>0</v>
      </c>
      <c r="O516" s="94"/>
      <c r="P516" s="118">
        <v>0</v>
      </c>
      <c r="Q516" s="510"/>
      <c r="R516" s="513"/>
      <c r="S516" s="41"/>
      <c r="T516" s="40"/>
      <c r="U516" s="40"/>
      <c r="V516" s="119">
        <v>1</v>
      </c>
      <c r="W516" s="40">
        <v>0</v>
      </c>
      <c r="X516" s="119">
        <v>1</v>
      </c>
      <c r="Y516" s="40">
        <v>56</v>
      </c>
      <c r="Z516" s="119">
        <v>1</v>
      </c>
      <c r="AA516" s="368">
        <v>0</v>
      </c>
      <c r="AB516" s="535">
        <v>0</v>
      </c>
      <c r="AC516" s="39" t="s">
        <v>160</v>
      </c>
      <c r="AD516" s="75" t="s">
        <v>10</v>
      </c>
      <c r="AE516" s="95">
        <v>0</v>
      </c>
      <c r="AF516" s="75">
        <v>0</v>
      </c>
      <c r="AG516" s="75">
        <v>0</v>
      </c>
      <c r="AH516" s="75">
        <v>0</v>
      </c>
      <c r="AI516" s="75">
        <v>0</v>
      </c>
      <c r="AJ516" s="75">
        <v>0</v>
      </c>
      <c r="AK516" s="75">
        <v>0</v>
      </c>
      <c r="AL516" s="95">
        <v>1</v>
      </c>
      <c r="AM516" s="92">
        <v>0</v>
      </c>
      <c r="AN516" s="79" t="s">
        <v>80</v>
      </c>
      <c r="AO516" s="75">
        <v>1</v>
      </c>
      <c r="AP516" s="75" t="s">
        <v>83</v>
      </c>
      <c r="AQ516" s="122">
        <v>1</v>
      </c>
      <c r="AR516" s="515" t="s">
        <v>10</v>
      </c>
      <c r="AS516" s="95">
        <v>0</v>
      </c>
      <c r="AT516" s="75">
        <v>0</v>
      </c>
      <c r="AU516" s="75">
        <v>0</v>
      </c>
      <c r="AV516" s="75">
        <v>0</v>
      </c>
      <c r="AW516" s="123">
        <v>0</v>
      </c>
      <c r="AX516" s="516"/>
      <c r="AY516" s="75">
        <v>0</v>
      </c>
      <c r="AZ516" s="77" t="s">
        <v>131</v>
      </c>
      <c r="BA516" s="78" t="s">
        <v>131</v>
      </c>
      <c r="BB516" s="78" t="s">
        <v>131</v>
      </c>
      <c r="BC516" s="78" t="s">
        <v>131</v>
      </c>
      <c r="BD516" s="78" t="s">
        <v>131</v>
      </c>
      <c r="BE516" s="78" t="s">
        <v>131</v>
      </c>
      <c r="BF516" s="78" t="s">
        <v>131</v>
      </c>
      <c r="BG516" s="78" t="s">
        <v>132</v>
      </c>
      <c r="BH516" s="75" t="s">
        <v>5970</v>
      </c>
      <c r="BI516" s="295" t="s">
        <v>4020</v>
      </c>
      <c r="BJ516" s="546">
        <v>1</v>
      </c>
      <c r="BK516" s="294">
        <v>1</v>
      </c>
      <c r="BL516" s="157">
        <v>1</v>
      </c>
      <c r="BM516" s="548" t="s">
        <v>1341</v>
      </c>
      <c r="BN516" s="548" t="s">
        <v>1339</v>
      </c>
      <c r="BO516" s="157" t="s">
        <v>4239</v>
      </c>
      <c r="BP516" s="548" t="s">
        <v>4240</v>
      </c>
      <c r="BQ516" s="157" t="s">
        <v>4238</v>
      </c>
      <c r="BR516" s="157"/>
    </row>
    <row r="517" spans="1:70" x14ac:dyDescent="0.25">
      <c r="A517" s="19" t="s">
        <v>3686</v>
      </c>
      <c r="B517" s="37" t="s">
        <v>3783</v>
      </c>
      <c r="C517" s="90">
        <v>45197.659120370372</v>
      </c>
      <c r="D517" s="114">
        <v>45197.409120370372</v>
      </c>
      <c r="E517" s="38">
        <v>45197</v>
      </c>
      <c r="F517" s="91">
        <v>2023</v>
      </c>
      <c r="G517" s="93">
        <v>9</v>
      </c>
      <c r="H517" s="37" t="s">
        <v>1386</v>
      </c>
      <c r="I517" s="37"/>
      <c r="J517" s="103">
        <v>-91.569779699999998</v>
      </c>
      <c r="K517" s="40">
        <v>43.502225299999999</v>
      </c>
      <c r="L517" s="74"/>
      <c r="M517" s="272" t="s">
        <v>16</v>
      </c>
      <c r="N517" s="74">
        <v>0</v>
      </c>
      <c r="O517" s="94"/>
      <c r="P517" s="118">
        <v>0</v>
      </c>
      <c r="Q517" s="510"/>
      <c r="R517" s="513"/>
      <c r="S517" s="41"/>
      <c r="T517" s="40"/>
      <c r="U517" s="40"/>
      <c r="V517" s="119">
        <v>1</v>
      </c>
      <c r="W517" s="40">
        <v>0</v>
      </c>
      <c r="X517" s="119">
        <v>1</v>
      </c>
      <c r="Y517" s="40">
        <v>52</v>
      </c>
      <c r="Z517" s="119">
        <v>1</v>
      </c>
      <c r="AA517" s="368">
        <v>0</v>
      </c>
      <c r="AB517" s="535">
        <v>5</v>
      </c>
      <c r="AC517" s="39" t="s">
        <v>160</v>
      </c>
      <c r="AD517" s="75" t="s">
        <v>10</v>
      </c>
      <c r="AE517" s="95">
        <v>0</v>
      </c>
      <c r="AF517" s="75">
        <v>0</v>
      </c>
      <c r="AG517" s="75">
        <v>0</v>
      </c>
      <c r="AH517" s="75">
        <v>0</v>
      </c>
      <c r="AI517" s="75">
        <v>0</v>
      </c>
      <c r="AJ517" s="75">
        <v>0</v>
      </c>
      <c r="AK517" s="75">
        <v>0</v>
      </c>
      <c r="AL517" s="95">
        <v>1</v>
      </c>
      <c r="AM517" s="92">
        <v>0</v>
      </c>
      <c r="AN517" s="79" t="s">
        <v>80</v>
      </c>
      <c r="AO517" s="75">
        <v>1</v>
      </c>
      <c r="AP517" s="75" t="s">
        <v>83</v>
      </c>
      <c r="AQ517" s="122">
        <v>1</v>
      </c>
      <c r="AR517" s="515" t="s">
        <v>10</v>
      </c>
      <c r="AS517" s="95">
        <v>0</v>
      </c>
      <c r="AT517" s="75">
        <v>0</v>
      </c>
      <c r="AU517" s="75">
        <v>0</v>
      </c>
      <c r="AV517" s="75">
        <v>0</v>
      </c>
      <c r="AW517" s="123">
        <v>0</v>
      </c>
      <c r="AX517" s="516"/>
      <c r="AY517" s="75">
        <v>0</v>
      </c>
      <c r="AZ517" s="77" t="s">
        <v>131</v>
      </c>
      <c r="BA517" s="78" t="s">
        <v>131</v>
      </c>
      <c r="BB517" s="78" t="s">
        <v>131</v>
      </c>
      <c r="BC517" s="78" t="s">
        <v>131</v>
      </c>
      <c r="BD517" s="78" t="s">
        <v>131</v>
      </c>
      <c r="BE517" s="78" t="s">
        <v>131</v>
      </c>
      <c r="BF517" s="78" t="s">
        <v>131</v>
      </c>
      <c r="BG517" s="78" t="s">
        <v>132</v>
      </c>
      <c r="BH517" s="75" t="s">
        <v>5970</v>
      </c>
      <c r="BI517" s="295" t="s">
        <v>2265</v>
      </c>
      <c r="BJ517" s="546">
        <v>1</v>
      </c>
      <c r="BK517" s="294">
        <v>1</v>
      </c>
      <c r="BL517" s="157">
        <v>1</v>
      </c>
      <c r="BM517" s="548" t="s">
        <v>1341</v>
      </c>
      <c r="BN517" s="548" t="s">
        <v>1339</v>
      </c>
      <c r="BO517" s="157" t="s">
        <v>4242</v>
      </c>
      <c r="BP517" s="548" t="s">
        <v>4041</v>
      </c>
      <c r="BQ517" s="157" t="s">
        <v>4241</v>
      </c>
      <c r="BR517" s="157"/>
    </row>
    <row r="518" spans="1:70" x14ac:dyDescent="0.25">
      <c r="A518" s="19" t="s">
        <v>3686</v>
      </c>
      <c r="B518" s="37" t="s">
        <v>3784</v>
      </c>
      <c r="C518" s="90">
        <v>45197.612800925926</v>
      </c>
      <c r="D518" s="114">
        <v>45197.362800925926</v>
      </c>
      <c r="E518" s="38">
        <v>45197</v>
      </c>
      <c r="F518" s="91">
        <v>2023</v>
      </c>
      <c r="G518" s="93">
        <v>9</v>
      </c>
      <c r="H518" s="37" t="s">
        <v>1748</v>
      </c>
      <c r="I518" s="37" t="s">
        <v>958</v>
      </c>
      <c r="J518" s="103">
        <v>-92.575486900000001</v>
      </c>
      <c r="K518" s="40">
        <v>44.488343899999997</v>
      </c>
      <c r="L518" s="74"/>
      <c r="M518" s="272" t="s">
        <v>16</v>
      </c>
      <c r="N518" s="74">
        <v>0</v>
      </c>
      <c r="O518" s="94"/>
      <c r="P518" s="118">
        <v>1</v>
      </c>
      <c r="Q518" s="510">
        <v>0</v>
      </c>
      <c r="R518" s="513">
        <v>60</v>
      </c>
      <c r="S518" s="41"/>
      <c r="T518" s="40"/>
      <c r="U518" s="40">
        <v>7.5</v>
      </c>
      <c r="V518" s="119">
        <v>1</v>
      </c>
      <c r="W518" s="40">
        <v>100</v>
      </c>
      <c r="X518" s="119">
        <v>1</v>
      </c>
      <c r="Y518" s="40">
        <v>58</v>
      </c>
      <c r="Z518" s="119">
        <v>0</v>
      </c>
      <c r="AA518" s="368" t="s">
        <v>16</v>
      </c>
      <c r="AB518" s="535" t="s">
        <v>16</v>
      </c>
      <c r="AC518" s="39" t="s">
        <v>160</v>
      </c>
      <c r="AD518" s="75" t="s">
        <v>10</v>
      </c>
      <c r="AE518" s="95">
        <v>0</v>
      </c>
      <c r="AF518" s="75">
        <v>0</v>
      </c>
      <c r="AG518" s="75">
        <v>0</v>
      </c>
      <c r="AH518" s="75">
        <v>0</v>
      </c>
      <c r="AI518" s="75">
        <v>0</v>
      </c>
      <c r="AJ518" s="75">
        <v>0</v>
      </c>
      <c r="AK518" s="75">
        <v>0</v>
      </c>
      <c r="AL518" s="95">
        <v>1</v>
      </c>
      <c r="AM518" s="92">
        <v>0</v>
      </c>
      <c r="AN518" s="79" t="s">
        <v>195</v>
      </c>
      <c r="AO518" s="75">
        <v>1</v>
      </c>
      <c r="AP518" s="75" t="s">
        <v>84</v>
      </c>
      <c r="AQ518" s="122">
        <v>1</v>
      </c>
      <c r="AR518" s="515" t="s">
        <v>13</v>
      </c>
      <c r="AS518" s="95">
        <v>1</v>
      </c>
      <c r="AT518" s="75">
        <v>0</v>
      </c>
      <c r="AU518" s="75">
        <v>0</v>
      </c>
      <c r="AV518" s="75">
        <v>0</v>
      </c>
      <c r="AW518" s="123">
        <v>0</v>
      </c>
      <c r="AX518" s="516"/>
      <c r="AY518" s="75">
        <v>0</v>
      </c>
      <c r="AZ518" s="77" t="s">
        <v>131</v>
      </c>
      <c r="BA518" s="78" t="s">
        <v>131</v>
      </c>
      <c r="BB518" s="78" t="s">
        <v>131</v>
      </c>
      <c r="BC518" s="78" t="s">
        <v>131</v>
      </c>
      <c r="BD518" s="78" t="s">
        <v>131</v>
      </c>
      <c r="BE518" s="78" t="s">
        <v>131</v>
      </c>
      <c r="BF518" s="78" t="s">
        <v>131</v>
      </c>
      <c r="BG518" s="78" t="s">
        <v>132</v>
      </c>
      <c r="BH518" s="75" t="s">
        <v>5970</v>
      </c>
      <c r="BI518" s="295" t="s">
        <v>2238</v>
      </c>
      <c r="BJ518" s="546">
        <v>1</v>
      </c>
      <c r="BK518" s="294" t="s">
        <v>16</v>
      </c>
      <c r="BL518" s="157" t="s">
        <v>16</v>
      </c>
      <c r="BM518" s="548" t="s">
        <v>2343</v>
      </c>
      <c r="BN518" s="548" t="s">
        <v>4161</v>
      </c>
      <c r="BO518" s="157" t="s">
        <v>4308</v>
      </c>
      <c r="BP518" s="548" t="s">
        <v>2238</v>
      </c>
      <c r="BQ518" s="157" t="s">
        <v>4307</v>
      </c>
      <c r="BR518" s="157"/>
    </row>
    <row r="519" spans="1:70" x14ac:dyDescent="0.25">
      <c r="A519" s="19" t="s">
        <v>3686</v>
      </c>
      <c r="B519" s="37" t="s">
        <v>3785</v>
      </c>
      <c r="C519" s="90">
        <v>45195.781828703701</v>
      </c>
      <c r="D519" s="114">
        <v>45195.531828703701</v>
      </c>
      <c r="E519" s="38">
        <v>45195</v>
      </c>
      <c r="F519" s="91">
        <v>2023</v>
      </c>
      <c r="G519" s="93">
        <v>9</v>
      </c>
      <c r="H519" s="37" t="s">
        <v>2381</v>
      </c>
      <c r="I519" s="37"/>
      <c r="J519" s="103">
        <v>-90.044136399999999</v>
      </c>
      <c r="K519" s="40">
        <v>43.281557499999998</v>
      </c>
      <c r="L519" s="74"/>
      <c r="M519" s="272" t="s">
        <v>3786</v>
      </c>
      <c r="N519" s="74">
        <v>1</v>
      </c>
      <c r="O519" s="94"/>
      <c r="P519" s="118">
        <v>1</v>
      </c>
      <c r="Q519" s="510">
        <v>80</v>
      </c>
      <c r="R519" s="513">
        <v>180</v>
      </c>
      <c r="S519" s="41"/>
      <c r="T519" s="40"/>
      <c r="U519" s="40">
        <v>7.5</v>
      </c>
      <c r="V519" s="119">
        <v>1</v>
      </c>
      <c r="W519" s="40">
        <v>300</v>
      </c>
      <c r="X519" s="119">
        <v>1</v>
      </c>
      <c r="Y519" s="40">
        <v>60</v>
      </c>
      <c r="Z519" s="119">
        <v>1</v>
      </c>
      <c r="AA519" s="368">
        <v>0</v>
      </c>
      <c r="AB519" s="535">
        <v>2</v>
      </c>
      <c r="AC519" s="39" t="s">
        <v>160</v>
      </c>
      <c r="AD519" s="75" t="s">
        <v>16</v>
      </c>
      <c r="AE519" s="95">
        <v>-1</v>
      </c>
      <c r="AF519" s="75">
        <v>-1</v>
      </c>
      <c r="AG519" s="75">
        <v>-1</v>
      </c>
      <c r="AH519" s="75">
        <v>-1</v>
      </c>
      <c r="AI519" s="75">
        <v>-1</v>
      </c>
      <c r="AJ519" s="75">
        <v>-1</v>
      </c>
      <c r="AK519" s="75">
        <v>-1</v>
      </c>
      <c r="AL519" s="95">
        <v>-1</v>
      </c>
      <c r="AM519" s="92">
        <v>1</v>
      </c>
      <c r="AN519" s="79" t="s">
        <v>81</v>
      </c>
      <c r="AO519" s="75">
        <v>1</v>
      </c>
      <c r="AP519" s="75" t="s">
        <v>85</v>
      </c>
      <c r="AQ519" s="122">
        <v>1</v>
      </c>
      <c r="AR519" s="515" t="s">
        <v>13</v>
      </c>
      <c r="AS519" s="95">
        <v>1</v>
      </c>
      <c r="AT519" s="75">
        <v>0</v>
      </c>
      <c r="AU519" s="75">
        <v>0</v>
      </c>
      <c r="AV519" s="75">
        <v>0</v>
      </c>
      <c r="AW519" s="123">
        <v>0</v>
      </c>
      <c r="AX519" s="516" t="s">
        <v>3787</v>
      </c>
      <c r="AY519" s="75">
        <v>1</v>
      </c>
      <c r="AZ519" s="77" t="s">
        <v>5971</v>
      </c>
      <c r="BA519" s="78" t="s">
        <v>5971</v>
      </c>
      <c r="BB519" s="78" t="s">
        <v>5971</v>
      </c>
      <c r="BC519" s="78" t="s">
        <v>5971</v>
      </c>
      <c r="BD519" s="78" t="s">
        <v>5971</v>
      </c>
      <c r="BE519" s="78" t="s">
        <v>5971</v>
      </c>
      <c r="BF519" s="78" t="s">
        <v>5971</v>
      </c>
      <c r="BG519" s="78" t="s">
        <v>5971</v>
      </c>
      <c r="BH519" s="75" t="s">
        <v>5971</v>
      </c>
      <c r="BI519" s="295">
        <v>0</v>
      </c>
      <c r="BJ519" s="546" t="s">
        <v>16</v>
      </c>
      <c r="BK519" s="294" t="s">
        <v>16</v>
      </c>
      <c r="BL519" s="157" t="s">
        <v>16</v>
      </c>
      <c r="BM519" s="548" t="s">
        <v>1345</v>
      </c>
      <c r="BN519" s="548" t="s">
        <v>4160</v>
      </c>
      <c r="BO519" s="157" t="s">
        <v>4323</v>
      </c>
      <c r="BP519" s="548" t="s">
        <v>4324</v>
      </c>
      <c r="BQ519" s="157" t="s">
        <v>4322</v>
      </c>
      <c r="BR519" s="157"/>
    </row>
    <row r="520" spans="1:70" x14ac:dyDescent="0.25">
      <c r="A520" s="19" t="s">
        <v>3686</v>
      </c>
      <c r="B520" s="37" t="s">
        <v>3788</v>
      </c>
      <c r="C520" s="90">
        <v>45195.768553240741</v>
      </c>
      <c r="D520" s="114">
        <v>45195.518553240741</v>
      </c>
      <c r="E520" s="38">
        <v>45195</v>
      </c>
      <c r="F520" s="91">
        <v>2023</v>
      </c>
      <c r="G520" s="93">
        <v>9</v>
      </c>
      <c r="H520" s="37" t="s">
        <v>2381</v>
      </c>
      <c r="I520" s="37"/>
      <c r="J520" s="103">
        <v>-90.044273000000004</v>
      </c>
      <c r="K520" s="40">
        <v>43.292415900000002</v>
      </c>
      <c r="L520" s="74"/>
      <c r="M520" s="272" t="s">
        <v>3789</v>
      </c>
      <c r="N520" s="74">
        <v>1</v>
      </c>
      <c r="O520" s="94"/>
      <c r="P520" s="118">
        <v>1</v>
      </c>
      <c r="Q520" s="510">
        <v>80</v>
      </c>
      <c r="R520" s="513">
        <v>60</v>
      </c>
      <c r="S520" s="41"/>
      <c r="T520" s="40"/>
      <c r="U520" s="40">
        <v>7.5</v>
      </c>
      <c r="V520" s="119">
        <v>1</v>
      </c>
      <c r="W520" s="40">
        <v>0</v>
      </c>
      <c r="X520" s="119">
        <v>0</v>
      </c>
      <c r="Y520" s="40"/>
      <c r="Z520" s="119">
        <v>1</v>
      </c>
      <c r="AA520" s="368">
        <v>0</v>
      </c>
      <c r="AB520" s="535">
        <v>2</v>
      </c>
      <c r="AC520" s="39" t="s">
        <v>160</v>
      </c>
      <c r="AD520" s="75" t="s">
        <v>16</v>
      </c>
      <c r="AE520" s="95">
        <v>-1</v>
      </c>
      <c r="AF520" s="75">
        <v>-1</v>
      </c>
      <c r="AG520" s="75">
        <v>-1</v>
      </c>
      <c r="AH520" s="75">
        <v>-1</v>
      </c>
      <c r="AI520" s="75">
        <v>-1</v>
      </c>
      <c r="AJ520" s="75">
        <v>-1</v>
      </c>
      <c r="AK520" s="75">
        <v>-1</v>
      </c>
      <c r="AL520" s="95">
        <v>-1</v>
      </c>
      <c r="AM520" s="92">
        <v>1</v>
      </c>
      <c r="AN520" s="79" t="s">
        <v>81</v>
      </c>
      <c r="AO520" s="75">
        <v>1</v>
      </c>
      <c r="AP520" s="75" t="s">
        <v>85</v>
      </c>
      <c r="AQ520" s="122">
        <v>1</v>
      </c>
      <c r="AR520" s="515" t="s">
        <v>13</v>
      </c>
      <c r="AS520" s="95">
        <v>1</v>
      </c>
      <c r="AT520" s="75">
        <v>0</v>
      </c>
      <c r="AU520" s="75">
        <v>0</v>
      </c>
      <c r="AV520" s="75">
        <v>0</v>
      </c>
      <c r="AW520" s="123">
        <v>0</v>
      </c>
      <c r="AX520" s="516" t="s">
        <v>3790</v>
      </c>
      <c r="AY520" s="75">
        <v>1</v>
      </c>
      <c r="AZ520" s="77" t="s">
        <v>5971</v>
      </c>
      <c r="BA520" s="78" t="s">
        <v>5971</v>
      </c>
      <c r="BB520" s="78" t="s">
        <v>5971</v>
      </c>
      <c r="BC520" s="78" t="s">
        <v>5971</v>
      </c>
      <c r="BD520" s="78" t="s">
        <v>5971</v>
      </c>
      <c r="BE520" s="78" t="s">
        <v>5971</v>
      </c>
      <c r="BF520" s="78" t="s">
        <v>5971</v>
      </c>
      <c r="BG520" s="78" t="s">
        <v>5971</v>
      </c>
      <c r="BH520" s="75" t="s">
        <v>5971</v>
      </c>
      <c r="BI520" s="295" t="s">
        <v>4107</v>
      </c>
      <c r="BJ520" s="546" t="s">
        <v>16</v>
      </c>
      <c r="BK520" s="294" t="s">
        <v>16</v>
      </c>
      <c r="BL520" s="157" t="s">
        <v>16</v>
      </c>
      <c r="BM520" s="548" t="s">
        <v>1345</v>
      </c>
      <c r="BN520" s="548" t="s">
        <v>4160</v>
      </c>
      <c r="BO520" s="157" t="s">
        <v>4325</v>
      </c>
      <c r="BP520" s="548" t="s">
        <v>4326</v>
      </c>
      <c r="BQ520" s="157" t="s">
        <v>4322</v>
      </c>
      <c r="BR520" s="157"/>
    </row>
    <row r="521" spans="1:70" x14ac:dyDescent="0.25">
      <c r="A521" s="19" t="s">
        <v>3686</v>
      </c>
      <c r="B521" s="37" t="s">
        <v>3791</v>
      </c>
      <c r="C521" s="90">
        <v>45195.759953703702</v>
      </c>
      <c r="D521" s="114">
        <v>45195.509953703702</v>
      </c>
      <c r="E521" s="38">
        <v>45195</v>
      </c>
      <c r="F521" s="91">
        <v>2023</v>
      </c>
      <c r="G521" s="93">
        <v>9</v>
      </c>
      <c r="H521" s="37" t="s">
        <v>2381</v>
      </c>
      <c r="I521" s="37"/>
      <c r="J521" s="103">
        <v>-90.037115900000003</v>
      </c>
      <c r="K521" s="40">
        <v>43.293126700000002</v>
      </c>
      <c r="L521" s="74"/>
      <c r="M521" s="272" t="s">
        <v>3792</v>
      </c>
      <c r="N521" s="74">
        <v>1</v>
      </c>
      <c r="O521" s="94"/>
      <c r="P521" s="118">
        <v>1</v>
      </c>
      <c r="Q521" s="510">
        <v>80</v>
      </c>
      <c r="R521" s="513">
        <v>180</v>
      </c>
      <c r="S521" s="41"/>
      <c r="T521" s="40"/>
      <c r="U521" s="40">
        <v>8</v>
      </c>
      <c r="V521" s="119">
        <v>1</v>
      </c>
      <c r="W521" s="40">
        <v>200</v>
      </c>
      <c r="X521" s="119">
        <v>1</v>
      </c>
      <c r="Y521" s="40">
        <v>60</v>
      </c>
      <c r="Z521" s="119">
        <v>1</v>
      </c>
      <c r="AA521" s="368">
        <v>0</v>
      </c>
      <c r="AB521" s="535">
        <v>2</v>
      </c>
      <c r="AC521" s="39" t="s">
        <v>160</v>
      </c>
      <c r="AD521" s="75" t="s">
        <v>16</v>
      </c>
      <c r="AE521" s="95">
        <v>-1</v>
      </c>
      <c r="AF521" s="75">
        <v>-1</v>
      </c>
      <c r="AG521" s="75">
        <v>-1</v>
      </c>
      <c r="AH521" s="75">
        <v>-1</v>
      </c>
      <c r="AI521" s="75">
        <v>-1</v>
      </c>
      <c r="AJ521" s="75">
        <v>-1</v>
      </c>
      <c r="AK521" s="75">
        <v>-1</v>
      </c>
      <c r="AL521" s="95">
        <v>-1</v>
      </c>
      <c r="AM521" s="92">
        <v>1</v>
      </c>
      <c r="AN521" s="79" t="s">
        <v>16</v>
      </c>
      <c r="AO521" s="75">
        <v>0</v>
      </c>
      <c r="AP521" s="75" t="s">
        <v>85</v>
      </c>
      <c r="AQ521" s="122">
        <v>1</v>
      </c>
      <c r="AR521" s="515" t="s">
        <v>13</v>
      </c>
      <c r="AS521" s="95">
        <v>1</v>
      </c>
      <c r="AT521" s="75">
        <v>0</v>
      </c>
      <c r="AU521" s="75">
        <v>0</v>
      </c>
      <c r="AV521" s="75">
        <v>0</v>
      </c>
      <c r="AW521" s="123">
        <v>0</v>
      </c>
      <c r="AX521" s="516" t="s">
        <v>3793</v>
      </c>
      <c r="AY521" s="75">
        <v>1</v>
      </c>
      <c r="AZ521" s="77" t="s">
        <v>5971</v>
      </c>
      <c r="BA521" s="78" t="s">
        <v>5971</v>
      </c>
      <c r="BB521" s="78" t="s">
        <v>5971</v>
      </c>
      <c r="BC521" s="78" t="s">
        <v>5971</v>
      </c>
      <c r="BD521" s="78" t="s">
        <v>5971</v>
      </c>
      <c r="BE521" s="78" t="s">
        <v>5971</v>
      </c>
      <c r="BF521" s="78" t="s">
        <v>5971</v>
      </c>
      <c r="BG521" s="78" t="s">
        <v>5971</v>
      </c>
      <c r="BH521" s="75" t="s">
        <v>5971</v>
      </c>
      <c r="BI521" s="295" t="s">
        <v>16</v>
      </c>
      <c r="BJ521" s="546">
        <v>1</v>
      </c>
      <c r="BK521" s="294" t="s">
        <v>16</v>
      </c>
      <c r="BL521" s="157" t="s">
        <v>16</v>
      </c>
      <c r="BM521" s="548" t="s">
        <v>1345</v>
      </c>
      <c r="BN521" s="548" t="s">
        <v>4160</v>
      </c>
      <c r="BO521" s="157" t="s">
        <v>4325</v>
      </c>
      <c r="BP521" s="548" t="s">
        <v>4326</v>
      </c>
      <c r="BQ521" s="157" t="s">
        <v>4322</v>
      </c>
      <c r="BR521" s="157"/>
    </row>
    <row r="522" spans="1:70" x14ac:dyDescent="0.25">
      <c r="A522" s="19" t="s">
        <v>3686</v>
      </c>
      <c r="B522" s="37" t="s">
        <v>3794</v>
      </c>
      <c r="C522" s="90">
        <v>45195.747071759259</v>
      </c>
      <c r="D522" s="114">
        <v>45195.497071759259</v>
      </c>
      <c r="E522" s="38">
        <v>45195</v>
      </c>
      <c r="F522" s="91">
        <v>2023</v>
      </c>
      <c r="G522" s="93">
        <v>9</v>
      </c>
      <c r="H522" s="37" t="s">
        <v>2381</v>
      </c>
      <c r="I522" s="37"/>
      <c r="J522" s="103">
        <v>-90.070313100000007</v>
      </c>
      <c r="K522" s="40">
        <v>43.351031999999996</v>
      </c>
      <c r="L522" s="74"/>
      <c r="M522" s="272" t="s">
        <v>3795</v>
      </c>
      <c r="N522" s="74">
        <v>1</v>
      </c>
      <c r="O522" s="94"/>
      <c r="P522" s="118">
        <v>1</v>
      </c>
      <c r="Q522" s="510">
        <v>40</v>
      </c>
      <c r="R522" s="513">
        <v>0</v>
      </c>
      <c r="S522" s="41"/>
      <c r="T522" s="40"/>
      <c r="U522" s="40">
        <v>7.5</v>
      </c>
      <c r="V522" s="119">
        <v>1</v>
      </c>
      <c r="W522" s="40">
        <v>300</v>
      </c>
      <c r="X522" s="119">
        <v>1</v>
      </c>
      <c r="Y522" s="40">
        <v>58</v>
      </c>
      <c r="Z522" s="119">
        <v>1</v>
      </c>
      <c r="AA522" s="368">
        <v>0</v>
      </c>
      <c r="AB522" s="535">
        <v>0</v>
      </c>
      <c r="AC522" s="39" t="s">
        <v>160</v>
      </c>
      <c r="AD522" s="75" t="s">
        <v>16</v>
      </c>
      <c r="AE522" s="95">
        <v>-1</v>
      </c>
      <c r="AF522" s="75">
        <v>-1</v>
      </c>
      <c r="AG522" s="75">
        <v>-1</v>
      </c>
      <c r="AH522" s="75">
        <v>-1</v>
      </c>
      <c r="AI522" s="75">
        <v>-1</v>
      </c>
      <c r="AJ522" s="75">
        <v>-1</v>
      </c>
      <c r="AK522" s="75">
        <v>-1</v>
      </c>
      <c r="AL522" s="95">
        <v>-1</v>
      </c>
      <c r="AM522" s="92">
        <v>1</v>
      </c>
      <c r="AN522" s="79" t="s">
        <v>81</v>
      </c>
      <c r="AO522" s="75">
        <v>1</v>
      </c>
      <c r="AP522" s="75" t="s">
        <v>83</v>
      </c>
      <c r="AQ522" s="122">
        <v>1</v>
      </c>
      <c r="AR522" s="515" t="s">
        <v>13</v>
      </c>
      <c r="AS522" s="95">
        <v>1</v>
      </c>
      <c r="AT522" s="75">
        <v>0</v>
      </c>
      <c r="AU522" s="75">
        <v>0</v>
      </c>
      <c r="AV522" s="75">
        <v>0</v>
      </c>
      <c r="AW522" s="123">
        <v>0</v>
      </c>
      <c r="AX522" s="516" t="s">
        <v>3796</v>
      </c>
      <c r="AY522" s="75">
        <v>1</v>
      </c>
      <c r="AZ522" s="77" t="s">
        <v>5971</v>
      </c>
      <c r="BA522" s="78" t="s">
        <v>5971</v>
      </c>
      <c r="BB522" s="78" t="s">
        <v>5971</v>
      </c>
      <c r="BC522" s="78" t="s">
        <v>5971</v>
      </c>
      <c r="BD522" s="78" t="s">
        <v>5971</v>
      </c>
      <c r="BE522" s="78" t="s">
        <v>5971</v>
      </c>
      <c r="BF522" s="78" t="s">
        <v>5971</v>
      </c>
      <c r="BG522" s="78" t="s">
        <v>5971</v>
      </c>
      <c r="BH522" s="75" t="s">
        <v>5971</v>
      </c>
      <c r="BI522" s="295" t="s">
        <v>4037</v>
      </c>
      <c r="BJ522" s="546">
        <v>1</v>
      </c>
      <c r="BK522" s="294" t="s">
        <v>16</v>
      </c>
      <c r="BL522" s="157" t="s">
        <v>16</v>
      </c>
      <c r="BM522" s="548" t="s">
        <v>1346</v>
      </c>
      <c r="BN522" s="548" t="s">
        <v>4160</v>
      </c>
      <c r="BO522" s="157" t="s">
        <v>4325</v>
      </c>
      <c r="BP522" s="548" t="s">
        <v>4326</v>
      </c>
      <c r="BQ522" s="157" t="s">
        <v>4322</v>
      </c>
      <c r="BR522" s="157"/>
    </row>
    <row r="523" spans="1:70" x14ac:dyDescent="0.25">
      <c r="A523" s="19" t="s">
        <v>3686</v>
      </c>
      <c r="B523" s="37" t="s">
        <v>3797</v>
      </c>
      <c r="C523" s="90">
        <v>45195.738344907404</v>
      </c>
      <c r="D523" s="114">
        <v>45195.488344907404</v>
      </c>
      <c r="E523" s="38">
        <v>45195</v>
      </c>
      <c r="F523" s="91">
        <v>2023</v>
      </c>
      <c r="G523" s="93">
        <v>9</v>
      </c>
      <c r="H523" s="37" t="s">
        <v>2381</v>
      </c>
      <c r="I523" s="37"/>
      <c r="J523" s="103">
        <v>-90.077896800000005</v>
      </c>
      <c r="K523" s="40">
        <v>43.350897600000003</v>
      </c>
      <c r="L523" s="74"/>
      <c r="M523" s="272" t="s">
        <v>3798</v>
      </c>
      <c r="N523" s="74">
        <v>1</v>
      </c>
      <c r="O523" s="94"/>
      <c r="P523" s="118">
        <v>1</v>
      </c>
      <c r="Q523" s="510">
        <v>80</v>
      </c>
      <c r="R523" s="513">
        <v>120</v>
      </c>
      <c r="S523" s="41"/>
      <c r="T523" s="40"/>
      <c r="U523" s="40">
        <v>7.5</v>
      </c>
      <c r="V523" s="119">
        <v>1</v>
      </c>
      <c r="W523" s="40">
        <v>0</v>
      </c>
      <c r="X523" s="119">
        <v>1</v>
      </c>
      <c r="Y523" s="40">
        <v>66</v>
      </c>
      <c r="Z523" s="119">
        <v>1</v>
      </c>
      <c r="AA523" s="368">
        <v>0</v>
      </c>
      <c r="AB523" s="535">
        <v>0</v>
      </c>
      <c r="AC523" s="39" t="s">
        <v>160</v>
      </c>
      <c r="AD523" s="75" t="s">
        <v>16</v>
      </c>
      <c r="AE523" s="95">
        <v>-1</v>
      </c>
      <c r="AF523" s="75">
        <v>-1</v>
      </c>
      <c r="AG523" s="75">
        <v>-1</v>
      </c>
      <c r="AH523" s="75">
        <v>-1</v>
      </c>
      <c r="AI523" s="75">
        <v>-1</v>
      </c>
      <c r="AJ523" s="75">
        <v>-1</v>
      </c>
      <c r="AK523" s="75">
        <v>-1</v>
      </c>
      <c r="AL523" s="95">
        <v>-1</v>
      </c>
      <c r="AM523" s="92">
        <v>1</v>
      </c>
      <c r="AN523" s="79" t="s">
        <v>81</v>
      </c>
      <c r="AO523" s="75">
        <v>1</v>
      </c>
      <c r="AP523" s="75" t="s">
        <v>83</v>
      </c>
      <c r="AQ523" s="122">
        <v>1</v>
      </c>
      <c r="AR523" s="515" t="s">
        <v>16</v>
      </c>
      <c r="AS523" s="95">
        <v>-1</v>
      </c>
      <c r="AT523" s="75">
        <v>-1</v>
      </c>
      <c r="AU523" s="75">
        <v>-1</v>
      </c>
      <c r="AV523" s="75">
        <v>-1</v>
      </c>
      <c r="AW523" s="123">
        <v>1</v>
      </c>
      <c r="AX523" s="516" t="s">
        <v>3799</v>
      </c>
      <c r="AY523" s="75">
        <v>1</v>
      </c>
      <c r="AZ523" s="77" t="s">
        <v>5971</v>
      </c>
      <c r="BA523" s="78" t="s">
        <v>5971</v>
      </c>
      <c r="BB523" s="78" t="s">
        <v>5971</v>
      </c>
      <c r="BC523" s="78" t="s">
        <v>5971</v>
      </c>
      <c r="BD523" s="78" t="s">
        <v>5971</v>
      </c>
      <c r="BE523" s="78" t="s">
        <v>5971</v>
      </c>
      <c r="BF523" s="78" t="s">
        <v>5971</v>
      </c>
      <c r="BG523" s="78" t="s">
        <v>5971</v>
      </c>
      <c r="BH523" s="75" t="s">
        <v>5971</v>
      </c>
      <c r="BI523" s="295">
        <v>0</v>
      </c>
      <c r="BJ523" s="546" t="s">
        <v>16</v>
      </c>
      <c r="BK523" s="294" t="s">
        <v>16</v>
      </c>
      <c r="BL523" s="157" t="s">
        <v>16</v>
      </c>
      <c r="BM523" s="548" t="s">
        <v>1346</v>
      </c>
      <c r="BN523" s="548" t="s">
        <v>4160</v>
      </c>
      <c r="BO523" s="157" t="s">
        <v>4325</v>
      </c>
      <c r="BP523" s="548" t="s">
        <v>4326</v>
      </c>
      <c r="BQ523" s="157" t="s">
        <v>4322</v>
      </c>
      <c r="BR523" s="157"/>
    </row>
    <row r="524" spans="1:70" x14ac:dyDescent="0.25">
      <c r="A524" s="19" t="s">
        <v>3686</v>
      </c>
      <c r="B524" s="37" t="s">
        <v>3800</v>
      </c>
      <c r="C524" s="90">
        <v>45195.724629629629</v>
      </c>
      <c r="D524" s="114">
        <v>45195.474629629629</v>
      </c>
      <c r="E524" s="38">
        <v>45195</v>
      </c>
      <c r="F524" s="91">
        <v>2023</v>
      </c>
      <c r="G524" s="93">
        <v>9</v>
      </c>
      <c r="H524" s="37" t="s">
        <v>2381</v>
      </c>
      <c r="I524" s="37"/>
      <c r="J524" s="103">
        <v>-90.093867200000005</v>
      </c>
      <c r="K524" s="40">
        <v>43.372702500000003</v>
      </c>
      <c r="L524" s="74"/>
      <c r="M524" s="272" t="s">
        <v>16</v>
      </c>
      <c r="N524" s="74">
        <v>0</v>
      </c>
      <c r="O524" s="94"/>
      <c r="P524" s="118">
        <v>1</v>
      </c>
      <c r="Q524" s="510">
        <v>80</v>
      </c>
      <c r="R524" s="513">
        <v>120</v>
      </c>
      <c r="S524" s="41"/>
      <c r="T524" s="40"/>
      <c r="U524" s="40">
        <v>7</v>
      </c>
      <c r="V524" s="119">
        <v>0</v>
      </c>
      <c r="W524" s="40"/>
      <c r="X524" s="119">
        <v>1</v>
      </c>
      <c r="Y524" s="40">
        <v>59</v>
      </c>
      <c r="Z524" s="119">
        <v>1</v>
      </c>
      <c r="AA524" s="368">
        <v>0</v>
      </c>
      <c r="AB524" s="535">
        <v>0</v>
      </c>
      <c r="AC524" s="39" t="s">
        <v>160</v>
      </c>
      <c r="AD524" s="75" t="s">
        <v>16</v>
      </c>
      <c r="AE524" s="95">
        <v>-1</v>
      </c>
      <c r="AF524" s="75">
        <v>-1</v>
      </c>
      <c r="AG524" s="75">
        <v>-1</v>
      </c>
      <c r="AH524" s="75">
        <v>-1</v>
      </c>
      <c r="AI524" s="75">
        <v>-1</v>
      </c>
      <c r="AJ524" s="75">
        <v>-1</v>
      </c>
      <c r="AK524" s="75">
        <v>-1</v>
      </c>
      <c r="AL524" s="95">
        <v>-1</v>
      </c>
      <c r="AM524" s="92">
        <v>1</v>
      </c>
      <c r="AN524" s="79" t="s">
        <v>81</v>
      </c>
      <c r="AO524" s="75">
        <v>1</v>
      </c>
      <c r="AP524" s="75"/>
      <c r="AQ524" s="122">
        <v>0</v>
      </c>
      <c r="AR524" s="515" t="s">
        <v>13</v>
      </c>
      <c r="AS524" s="95">
        <v>1</v>
      </c>
      <c r="AT524" s="75">
        <v>0</v>
      </c>
      <c r="AU524" s="75">
        <v>0</v>
      </c>
      <c r="AV524" s="75">
        <v>0</v>
      </c>
      <c r="AW524" s="123">
        <v>0</v>
      </c>
      <c r="AX524" s="516" t="s">
        <v>3801</v>
      </c>
      <c r="AY524" s="75">
        <v>1</v>
      </c>
      <c r="AZ524" s="77" t="s">
        <v>5971</v>
      </c>
      <c r="BA524" s="78" t="s">
        <v>5971</v>
      </c>
      <c r="BB524" s="78" t="s">
        <v>5971</v>
      </c>
      <c r="BC524" s="78" t="s">
        <v>5971</v>
      </c>
      <c r="BD524" s="78" t="s">
        <v>5971</v>
      </c>
      <c r="BE524" s="78" t="s">
        <v>5971</v>
      </c>
      <c r="BF524" s="78" t="s">
        <v>5971</v>
      </c>
      <c r="BG524" s="78" t="s">
        <v>5971</v>
      </c>
      <c r="BH524" s="75" t="s">
        <v>5971</v>
      </c>
      <c r="BI524" s="295">
        <v>0</v>
      </c>
      <c r="BJ524" s="546" t="s">
        <v>16</v>
      </c>
      <c r="BK524" s="294" t="s">
        <v>16</v>
      </c>
      <c r="BL524" s="157" t="s">
        <v>16</v>
      </c>
      <c r="BM524" s="548" t="s">
        <v>1346</v>
      </c>
      <c r="BN524" s="548" t="s">
        <v>4160</v>
      </c>
      <c r="BO524" s="157" t="s">
        <v>4325</v>
      </c>
      <c r="BP524" s="548" t="s">
        <v>4326</v>
      </c>
      <c r="BQ524" s="157" t="s">
        <v>4322</v>
      </c>
      <c r="BR524" s="157"/>
    </row>
    <row r="525" spans="1:70" x14ac:dyDescent="0.25">
      <c r="A525" s="19" t="s">
        <v>3686</v>
      </c>
      <c r="B525" s="37" t="s">
        <v>3802</v>
      </c>
      <c r="C525" s="90">
        <v>45195.705983796295</v>
      </c>
      <c r="D525" s="114">
        <v>45195.455983796295</v>
      </c>
      <c r="E525" s="38">
        <v>45195</v>
      </c>
      <c r="F525" s="91">
        <v>2023</v>
      </c>
      <c r="G525" s="93">
        <v>9</v>
      </c>
      <c r="H525" s="37" t="s">
        <v>2381</v>
      </c>
      <c r="I525" s="37"/>
      <c r="J525" s="103">
        <v>-90.039989700000007</v>
      </c>
      <c r="K525" s="40">
        <v>43.278809600000002</v>
      </c>
      <c r="L525" s="74"/>
      <c r="M525" s="272" t="s">
        <v>3803</v>
      </c>
      <c r="N525" s="74">
        <v>1</v>
      </c>
      <c r="O525" s="94"/>
      <c r="P525" s="118">
        <v>1</v>
      </c>
      <c r="Q525" s="510">
        <v>80</v>
      </c>
      <c r="R525" s="513">
        <v>180</v>
      </c>
      <c r="S525" s="41"/>
      <c r="T525" s="40"/>
      <c r="U525" s="40">
        <v>6.5</v>
      </c>
      <c r="V525" s="119">
        <v>1</v>
      </c>
      <c r="W525" s="40">
        <v>300</v>
      </c>
      <c r="X525" s="119">
        <v>1</v>
      </c>
      <c r="Y525" s="40">
        <v>62</v>
      </c>
      <c r="Z525" s="119">
        <v>1</v>
      </c>
      <c r="AA525" s="368">
        <v>0</v>
      </c>
      <c r="AB525" s="535">
        <v>2</v>
      </c>
      <c r="AC525" s="39" t="s">
        <v>160</v>
      </c>
      <c r="AD525" s="75" t="s">
        <v>16</v>
      </c>
      <c r="AE525" s="95">
        <v>-1</v>
      </c>
      <c r="AF525" s="75">
        <v>-1</v>
      </c>
      <c r="AG525" s="75">
        <v>-1</v>
      </c>
      <c r="AH525" s="75">
        <v>-1</v>
      </c>
      <c r="AI525" s="75">
        <v>-1</v>
      </c>
      <c r="AJ525" s="75">
        <v>-1</v>
      </c>
      <c r="AK525" s="75">
        <v>-1</v>
      </c>
      <c r="AL525" s="95">
        <v>-1</v>
      </c>
      <c r="AM525" s="92">
        <v>1</v>
      </c>
      <c r="AN525" s="79" t="s">
        <v>195</v>
      </c>
      <c r="AO525" s="75">
        <v>1</v>
      </c>
      <c r="AP525" s="75" t="s">
        <v>84</v>
      </c>
      <c r="AQ525" s="122">
        <v>1</v>
      </c>
      <c r="AR525" s="515" t="s">
        <v>13</v>
      </c>
      <c r="AS525" s="95">
        <v>1</v>
      </c>
      <c r="AT525" s="75">
        <v>0</v>
      </c>
      <c r="AU525" s="75">
        <v>0</v>
      </c>
      <c r="AV525" s="75">
        <v>0</v>
      </c>
      <c r="AW525" s="123">
        <v>0</v>
      </c>
      <c r="AX525" s="516" t="s">
        <v>3804</v>
      </c>
      <c r="AY525" s="75">
        <v>1</v>
      </c>
      <c r="AZ525" s="77" t="s">
        <v>5971</v>
      </c>
      <c r="BA525" s="78" t="s">
        <v>5971</v>
      </c>
      <c r="BB525" s="78" t="s">
        <v>5971</v>
      </c>
      <c r="BC525" s="78" t="s">
        <v>5971</v>
      </c>
      <c r="BD525" s="78" t="s">
        <v>5971</v>
      </c>
      <c r="BE525" s="78" t="s">
        <v>5971</v>
      </c>
      <c r="BF525" s="78" t="s">
        <v>5971</v>
      </c>
      <c r="BG525" s="78" t="s">
        <v>5971</v>
      </c>
      <c r="BH525" s="75" t="s">
        <v>5971</v>
      </c>
      <c r="BI525" s="295">
        <v>0</v>
      </c>
      <c r="BJ525" s="546" t="s">
        <v>16</v>
      </c>
      <c r="BK525" s="294" t="s">
        <v>16</v>
      </c>
      <c r="BL525" s="157" t="s">
        <v>16</v>
      </c>
      <c r="BM525" s="548" t="s">
        <v>1345</v>
      </c>
      <c r="BN525" s="548" t="s">
        <v>4160</v>
      </c>
      <c r="BO525" s="157" t="s">
        <v>4323</v>
      </c>
      <c r="BP525" s="548" t="s">
        <v>4324</v>
      </c>
      <c r="BQ525" s="157" t="s">
        <v>4322</v>
      </c>
      <c r="BR525" s="157"/>
    </row>
    <row r="526" spans="1:70" x14ac:dyDescent="0.25">
      <c r="A526" s="19" t="s">
        <v>3686</v>
      </c>
      <c r="B526" s="37" t="s">
        <v>3805</v>
      </c>
      <c r="C526" s="90">
        <v>45195.699004629627</v>
      </c>
      <c r="D526" s="114">
        <v>45195.449004629627</v>
      </c>
      <c r="E526" s="38">
        <v>45195</v>
      </c>
      <c r="F526" s="91">
        <v>2023</v>
      </c>
      <c r="G526" s="93">
        <v>9</v>
      </c>
      <c r="H526" s="37" t="s">
        <v>597</v>
      </c>
      <c r="I526" s="37"/>
      <c r="J526" s="103">
        <v>-93.142363700000004</v>
      </c>
      <c r="K526" s="40">
        <v>44.793846100000003</v>
      </c>
      <c r="L526" s="74"/>
      <c r="M526" s="272" t="s">
        <v>3806</v>
      </c>
      <c r="N526" s="74">
        <v>1</v>
      </c>
      <c r="O526" s="94"/>
      <c r="P526" s="118">
        <v>1</v>
      </c>
      <c r="Q526" s="510">
        <v>40</v>
      </c>
      <c r="R526" s="513">
        <v>0</v>
      </c>
      <c r="S526" s="41"/>
      <c r="T526" s="40"/>
      <c r="U526" s="40">
        <v>7</v>
      </c>
      <c r="V526" s="119">
        <v>0</v>
      </c>
      <c r="W526" s="40"/>
      <c r="X526" s="119">
        <v>1</v>
      </c>
      <c r="Y526" s="40">
        <v>67</v>
      </c>
      <c r="Z526" s="119">
        <v>1</v>
      </c>
      <c r="AA526" s="368">
        <v>0</v>
      </c>
      <c r="AB526" s="535">
        <v>0</v>
      </c>
      <c r="AC526" s="39" t="s">
        <v>186</v>
      </c>
      <c r="AD526" s="75" t="s">
        <v>3807</v>
      </c>
      <c r="AE526" s="95">
        <v>0</v>
      </c>
      <c r="AF526" s="75">
        <v>1</v>
      </c>
      <c r="AG526" s="75">
        <v>1</v>
      </c>
      <c r="AH526" s="75">
        <v>0</v>
      </c>
      <c r="AI526" s="75">
        <v>0</v>
      </c>
      <c r="AJ526" s="75">
        <v>1</v>
      </c>
      <c r="AK526" s="75">
        <v>0</v>
      </c>
      <c r="AL526" s="95">
        <v>0</v>
      </c>
      <c r="AM526" s="92">
        <v>0</v>
      </c>
      <c r="AN526" s="79" t="s">
        <v>80</v>
      </c>
      <c r="AO526" s="75">
        <v>1</v>
      </c>
      <c r="AP526" s="75" t="s">
        <v>83</v>
      </c>
      <c r="AQ526" s="122">
        <v>1</v>
      </c>
      <c r="AR526" s="515" t="s">
        <v>13</v>
      </c>
      <c r="AS526" s="95">
        <v>1</v>
      </c>
      <c r="AT526" s="75">
        <v>0</v>
      </c>
      <c r="AU526" s="75">
        <v>0</v>
      </c>
      <c r="AV526" s="75">
        <v>0</v>
      </c>
      <c r="AW526" s="123">
        <v>0</v>
      </c>
      <c r="AX526" s="516"/>
      <c r="AY526" s="75">
        <v>0</v>
      </c>
      <c r="AZ526" s="77" t="s">
        <v>131</v>
      </c>
      <c r="BA526" s="78" t="s">
        <v>132</v>
      </c>
      <c r="BB526" s="78" t="s">
        <v>132</v>
      </c>
      <c r="BC526" s="78" t="s">
        <v>131</v>
      </c>
      <c r="BD526" s="78" t="s">
        <v>131</v>
      </c>
      <c r="BE526" s="78" t="s">
        <v>132</v>
      </c>
      <c r="BF526" s="78" t="s">
        <v>131</v>
      </c>
      <c r="BG526" s="78" t="s">
        <v>131</v>
      </c>
      <c r="BH526" s="75" t="s">
        <v>5970</v>
      </c>
      <c r="BI526" s="295" t="s">
        <v>16</v>
      </c>
      <c r="BJ526" s="546" t="s">
        <v>16</v>
      </c>
      <c r="BK526" s="294" t="s">
        <v>16</v>
      </c>
      <c r="BL526" s="157" t="s">
        <v>16</v>
      </c>
      <c r="BM526" s="548" t="s">
        <v>2343</v>
      </c>
      <c r="BN526" s="548" t="s">
        <v>4161</v>
      </c>
      <c r="BO526" s="157" t="s">
        <v>4327</v>
      </c>
      <c r="BP526" s="548" t="s">
        <v>4314</v>
      </c>
      <c r="BQ526" s="157" t="s">
        <v>4312</v>
      </c>
      <c r="BR526" s="157"/>
    </row>
    <row r="527" spans="1:70" x14ac:dyDescent="0.25">
      <c r="A527" s="19" t="s">
        <v>3686</v>
      </c>
      <c r="B527" s="37" t="s">
        <v>3808</v>
      </c>
      <c r="C527" s="90">
        <v>45195.686643518522</v>
      </c>
      <c r="D527" s="114">
        <v>45195.436643518522</v>
      </c>
      <c r="E527" s="38">
        <v>45195</v>
      </c>
      <c r="F527" s="91">
        <v>2023</v>
      </c>
      <c r="G527" s="93">
        <v>9</v>
      </c>
      <c r="H527" s="37" t="s">
        <v>2381</v>
      </c>
      <c r="I527" s="37" t="s">
        <v>16</v>
      </c>
      <c r="J527" s="103">
        <v>-89.887419499999993</v>
      </c>
      <c r="K527" s="40">
        <v>43.286933099999999</v>
      </c>
      <c r="L527" s="74"/>
      <c r="M527" s="272" t="s">
        <v>3809</v>
      </c>
      <c r="N527" s="74">
        <v>1</v>
      </c>
      <c r="O527" s="94"/>
      <c r="P527" s="118">
        <v>1</v>
      </c>
      <c r="Q527" s="510">
        <v>80</v>
      </c>
      <c r="R527" s="513">
        <v>180</v>
      </c>
      <c r="S527" s="41"/>
      <c r="T527" s="40"/>
      <c r="U527" s="40">
        <v>7.5</v>
      </c>
      <c r="V527" s="119">
        <v>1</v>
      </c>
      <c r="W527" s="40">
        <v>300</v>
      </c>
      <c r="X527" s="119">
        <v>1</v>
      </c>
      <c r="Y527" s="40">
        <v>62</v>
      </c>
      <c r="Z527" s="119">
        <v>1</v>
      </c>
      <c r="AA527" s="368">
        <v>0</v>
      </c>
      <c r="AB527" s="535">
        <v>2</v>
      </c>
      <c r="AC527" s="39" t="s">
        <v>160</v>
      </c>
      <c r="AD527" s="75" t="s">
        <v>16</v>
      </c>
      <c r="AE527" s="95">
        <v>-1</v>
      </c>
      <c r="AF527" s="75">
        <v>-1</v>
      </c>
      <c r="AG527" s="75">
        <v>-1</v>
      </c>
      <c r="AH527" s="75">
        <v>-1</v>
      </c>
      <c r="AI527" s="75">
        <v>-1</v>
      </c>
      <c r="AJ527" s="75">
        <v>-1</v>
      </c>
      <c r="AK527" s="75">
        <v>-1</v>
      </c>
      <c r="AL527" s="95">
        <v>-1</v>
      </c>
      <c r="AM527" s="92">
        <v>1</v>
      </c>
      <c r="AN527" s="79" t="s">
        <v>81</v>
      </c>
      <c r="AO527" s="75">
        <v>1</v>
      </c>
      <c r="AP527" s="75" t="s">
        <v>85</v>
      </c>
      <c r="AQ527" s="122">
        <v>1</v>
      </c>
      <c r="AR527" s="515" t="s">
        <v>13</v>
      </c>
      <c r="AS527" s="95">
        <v>1</v>
      </c>
      <c r="AT527" s="75">
        <v>0</v>
      </c>
      <c r="AU527" s="75">
        <v>0</v>
      </c>
      <c r="AV527" s="75">
        <v>0</v>
      </c>
      <c r="AW527" s="123">
        <v>0</v>
      </c>
      <c r="AX527" s="516" t="s">
        <v>3810</v>
      </c>
      <c r="AY527" s="75">
        <v>1</v>
      </c>
      <c r="AZ527" s="77" t="s">
        <v>5971</v>
      </c>
      <c r="BA527" s="78" t="s">
        <v>5971</v>
      </c>
      <c r="BB527" s="78" t="s">
        <v>5971</v>
      </c>
      <c r="BC527" s="78" t="s">
        <v>5971</v>
      </c>
      <c r="BD527" s="78" t="s">
        <v>5971</v>
      </c>
      <c r="BE527" s="78" t="s">
        <v>5971</v>
      </c>
      <c r="BF527" s="78" t="s">
        <v>5971</v>
      </c>
      <c r="BG527" s="78" t="s">
        <v>5971</v>
      </c>
      <c r="BH527" s="75" t="s">
        <v>5971</v>
      </c>
      <c r="BI527" s="295" t="s">
        <v>4037</v>
      </c>
      <c r="BJ527" s="546" t="s">
        <v>16</v>
      </c>
      <c r="BK527" s="294" t="s">
        <v>16</v>
      </c>
      <c r="BL527" s="157" t="s">
        <v>16</v>
      </c>
      <c r="BM527" s="548" t="s">
        <v>1346</v>
      </c>
      <c r="BN527" s="548" t="s">
        <v>4160</v>
      </c>
      <c r="BO527" s="157" t="s">
        <v>4323</v>
      </c>
      <c r="BP527" s="548" t="s">
        <v>4324</v>
      </c>
      <c r="BQ527" s="157" t="s">
        <v>4322</v>
      </c>
      <c r="BR527" s="157"/>
    </row>
    <row r="528" spans="1:70" x14ac:dyDescent="0.25">
      <c r="A528" s="19" t="s">
        <v>3686</v>
      </c>
      <c r="B528" s="37" t="s">
        <v>3811</v>
      </c>
      <c r="C528" s="90">
        <v>45195.659756944442</v>
      </c>
      <c r="D528" s="114">
        <v>45195.409756944442</v>
      </c>
      <c r="E528" s="38">
        <v>45195</v>
      </c>
      <c r="F528" s="91">
        <v>2023</v>
      </c>
      <c r="G528" s="93">
        <v>9</v>
      </c>
      <c r="H528" s="37" t="s">
        <v>597</v>
      </c>
      <c r="I528" s="37"/>
      <c r="J528" s="103">
        <v>-93.130449900000002</v>
      </c>
      <c r="K528" s="40">
        <v>44.792417800000003</v>
      </c>
      <c r="L528" s="74"/>
      <c r="M528" s="272" t="s">
        <v>16</v>
      </c>
      <c r="N528" s="74">
        <v>0</v>
      </c>
      <c r="O528" s="94"/>
      <c r="P528" s="118">
        <v>1</v>
      </c>
      <c r="Q528" s="510">
        <v>40</v>
      </c>
      <c r="R528" s="513">
        <v>60</v>
      </c>
      <c r="S528" s="41"/>
      <c r="T528" s="40"/>
      <c r="U528" s="40">
        <v>7</v>
      </c>
      <c r="V528" s="119">
        <v>0</v>
      </c>
      <c r="W528" s="40"/>
      <c r="X528" s="119">
        <v>0</v>
      </c>
      <c r="Y528" s="40"/>
      <c r="Z528" s="119">
        <v>0</v>
      </c>
      <c r="AA528" s="368" t="s">
        <v>16</v>
      </c>
      <c r="AB528" s="535" t="s">
        <v>16</v>
      </c>
      <c r="AC528" s="39" t="s">
        <v>186</v>
      </c>
      <c r="AD528" s="75" t="s">
        <v>16</v>
      </c>
      <c r="AE528" s="95">
        <v>-1</v>
      </c>
      <c r="AF528" s="75">
        <v>-1</v>
      </c>
      <c r="AG528" s="75">
        <v>-1</v>
      </c>
      <c r="AH528" s="75">
        <v>-1</v>
      </c>
      <c r="AI528" s="75">
        <v>-1</v>
      </c>
      <c r="AJ528" s="75">
        <v>-1</v>
      </c>
      <c r="AK528" s="75">
        <v>-1</v>
      </c>
      <c r="AL528" s="95">
        <v>-1</v>
      </c>
      <c r="AM528" s="92">
        <v>1</v>
      </c>
      <c r="AN528" s="79"/>
      <c r="AO528" s="75">
        <v>0</v>
      </c>
      <c r="AP528" s="75"/>
      <c r="AQ528" s="122">
        <v>0</v>
      </c>
      <c r="AR528" s="515" t="s">
        <v>16</v>
      </c>
      <c r="AS528" s="95">
        <v>-1</v>
      </c>
      <c r="AT528" s="75">
        <v>-1</v>
      </c>
      <c r="AU528" s="75">
        <v>-1</v>
      </c>
      <c r="AV528" s="75">
        <v>-1</v>
      </c>
      <c r="AW528" s="123">
        <v>1</v>
      </c>
      <c r="AX528" s="516"/>
      <c r="AY528" s="75">
        <v>0</v>
      </c>
      <c r="AZ528" s="77" t="s">
        <v>5971</v>
      </c>
      <c r="BA528" s="78" t="s">
        <v>5971</v>
      </c>
      <c r="BB528" s="78" t="s">
        <v>5971</v>
      </c>
      <c r="BC528" s="78" t="s">
        <v>5971</v>
      </c>
      <c r="BD528" s="78" t="s">
        <v>5971</v>
      </c>
      <c r="BE528" s="78" t="s">
        <v>5971</v>
      </c>
      <c r="BF528" s="78" t="s">
        <v>5971</v>
      </c>
      <c r="BG528" s="78" t="s">
        <v>5971</v>
      </c>
      <c r="BH528" s="75" t="s">
        <v>5971</v>
      </c>
      <c r="BI528" s="295" t="s">
        <v>16</v>
      </c>
      <c r="BJ528" s="546" t="s">
        <v>16</v>
      </c>
      <c r="BK528" s="294" t="s">
        <v>16</v>
      </c>
      <c r="BL528" s="157" t="s">
        <v>16</v>
      </c>
      <c r="BM528" s="548" t="s">
        <v>2343</v>
      </c>
      <c r="BN528" s="548" t="s">
        <v>4161</v>
      </c>
      <c r="BO528" s="157" t="s">
        <v>4327</v>
      </c>
      <c r="BP528" s="548" t="s">
        <v>4314</v>
      </c>
      <c r="BQ528" s="157" t="s">
        <v>4312</v>
      </c>
      <c r="BR528" s="157"/>
    </row>
    <row r="529" spans="1:70" x14ac:dyDescent="0.25">
      <c r="A529" s="19" t="s">
        <v>3686</v>
      </c>
      <c r="B529" s="37" t="s">
        <v>3812</v>
      </c>
      <c r="C529" s="90">
        <v>45194.841851851852</v>
      </c>
      <c r="D529" s="114">
        <v>45194.591851851852</v>
      </c>
      <c r="E529" s="38">
        <v>45194</v>
      </c>
      <c r="F529" s="91">
        <v>2023</v>
      </c>
      <c r="G529" s="93">
        <v>9</v>
      </c>
      <c r="H529" s="37" t="s">
        <v>475</v>
      </c>
      <c r="I529" s="37" t="s">
        <v>16</v>
      </c>
      <c r="J529" s="103">
        <v>-92.342937137787715</v>
      </c>
      <c r="K529" s="40">
        <v>43.773984790794039</v>
      </c>
      <c r="L529" s="74"/>
      <c r="M529" s="272" t="s">
        <v>3813</v>
      </c>
      <c r="N529" s="74">
        <v>1</v>
      </c>
      <c r="O529" s="94"/>
      <c r="P529" s="118">
        <v>1</v>
      </c>
      <c r="Q529" s="510">
        <v>180</v>
      </c>
      <c r="R529" s="513">
        <v>180</v>
      </c>
      <c r="S529" s="41"/>
      <c r="T529" s="40"/>
      <c r="U529" s="40">
        <v>7.5</v>
      </c>
      <c r="V529" s="119">
        <v>1</v>
      </c>
      <c r="W529" s="40">
        <v>0</v>
      </c>
      <c r="X529" s="119">
        <v>1</v>
      </c>
      <c r="Y529" s="40">
        <v>57</v>
      </c>
      <c r="Z529" s="119">
        <v>1</v>
      </c>
      <c r="AA529" s="368">
        <v>0</v>
      </c>
      <c r="AB529" s="535">
        <v>5</v>
      </c>
      <c r="AC529" s="39" t="s">
        <v>160</v>
      </c>
      <c r="AD529" s="75" t="s">
        <v>551</v>
      </c>
      <c r="AE529" s="95">
        <v>0</v>
      </c>
      <c r="AF529" s="75">
        <v>0</v>
      </c>
      <c r="AG529" s="75">
        <v>0</v>
      </c>
      <c r="AH529" s="75">
        <v>0</v>
      </c>
      <c r="AI529" s="75">
        <v>1</v>
      </c>
      <c r="AJ529" s="75">
        <v>0</v>
      </c>
      <c r="AK529" s="75">
        <v>0</v>
      </c>
      <c r="AL529" s="95">
        <v>0</v>
      </c>
      <c r="AM529" s="92">
        <v>0</v>
      </c>
      <c r="AN529" s="79" t="s">
        <v>81</v>
      </c>
      <c r="AO529" s="75">
        <v>1</v>
      </c>
      <c r="AP529" s="75" t="s">
        <v>83</v>
      </c>
      <c r="AQ529" s="122">
        <v>1</v>
      </c>
      <c r="AR529" s="515" t="s">
        <v>10</v>
      </c>
      <c r="AS529" s="95">
        <v>0</v>
      </c>
      <c r="AT529" s="75">
        <v>0</v>
      </c>
      <c r="AU529" s="75">
        <v>0</v>
      </c>
      <c r="AV529" s="75">
        <v>0</v>
      </c>
      <c r="AW529" s="123">
        <v>0</v>
      </c>
      <c r="AX529" s="516" t="s">
        <v>3814</v>
      </c>
      <c r="AY529" s="75">
        <v>1</v>
      </c>
      <c r="AZ529" s="77" t="s">
        <v>131</v>
      </c>
      <c r="BA529" s="78" t="s">
        <v>131</v>
      </c>
      <c r="BB529" s="78" t="s">
        <v>131</v>
      </c>
      <c r="BC529" s="78" t="s">
        <v>131</v>
      </c>
      <c r="BD529" s="78" t="s">
        <v>132</v>
      </c>
      <c r="BE529" s="78" t="s">
        <v>131</v>
      </c>
      <c r="BF529" s="78" t="s">
        <v>131</v>
      </c>
      <c r="BG529" s="78" t="s">
        <v>131</v>
      </c>
      <c r="BH529" s="75" t="s">
        <v>5970</v>
      </c>
      <c r="BI529" s="295" t="s">
        <v>2260</v>
      </c>
      <c r="BJ529" s="546">
        <v>1</v>
      </c>
      <c r="BK529" s="294" t="s">
        <v>16</v>
      </c>
      <c r="BL529" s="157" t="s">
        <v>16</v>
      </c>
      <c r="BM529" s="548" t="s">
        <v>1339</v>
      </c>
      <c r="BN529" s="548" t="s">
        <v>1339</v>
      </c>
      <c r="BO529" s="157" t="s">
        <v>4328</v>
      </c>
      <c r="BP529" s="548" t="s">
        <v>2222</v>
      </c>
      <c r="BQ529" s="157" t="s">
        <v>4226</v>
      </c>
      <c r="BR529" s="157"/>
    </row>
    <row r="530" spans="1:70" x14ac:dyDescent="0.25">
      <c r="A530" s="19" t="s">
        <v>3686</v>
      </c>
      <c r="B530" s="37" t="s">
        <v>3815</v>
      </c>
      <c r="C530" s="90">
        <v>45194.839386574073</v>
      </c>
      <c r="D530" s="114">
        <v>45194.589386574073</v>
      </c>
      <c r="E530" s="38">
        <v>45194</v>
      </c>
      <c r="F530" s="91">
        <v>2023</v>
      </c>
      <c r="G530" s="93">
        <v>9</v>
      </c>
      <c r="H530" s="37" t="s">
        <v>1514</v>
      </c>
      <c r="I530" s="37" t="s">
        <v>1772</v>
      </c>
      <c r="J530" s="103">
        <v>-92.189569869811962</v>
      </c>
      <c r="K530" s="40">
        <v>44.632871663356781</v>
      </c>
      <c r="L530" s="74"/>
      <c r="M530" s="272" t="s">
        <v>16</v>
      </c>
      <c r="N530" s="74">
        <v>0</v>
      </c>
      <c r="O530" s="94"/>
      <c r="P530" s="118">
        <v>1</v>
      </c>
      <c r="Q530" s="510">
        <v>80</v>
      </c>
      <c r="R530" s="513">
        <v>60</v>
      </c>
      <c r="S530" s="41"/>
      <c r="T530" s="40"/>
      <c r="U530" s="40">
        <v>7</v>
      </c>
      <c r="V530" s="119">
        <v>1</v>
      </c>
      <c r="W530" s="40">
        <v>0</v>
      </c>
      <c r="X530" s="119">
        <v>1</v>
      </c>
      <c r="Y530" s="40">
        <v>53</v>
      </c>
      <c r="Z530" s="119">
        <v>1</v>
      </c>
      <c r="AA530" s="368">
        <v>0</v>
      </c>
      <c r="AB530" s="535">
        <v>2</v>
      </c>
      <c r="AC530" s="39" t="s">
        <v>160</v>
      </c>
      <c r="AD530" s="75" t="s">
        <v>16</v>
      </c>
      <c r="AE530" s="95">
        <v>-1</v>
      </c>
      <c r="AF530" s="75">
        <v>-1</v>
      </c>
      <c r="AG530" s="75">
        <v>-1</v>
      </c>
      <c r="AH530" s="75">
        <v>-1</v>
      </c>
      <c r="AI530" s="75">
        <v>-1</v>
      </c>
      <c r="AJ530" s="75">
        <v>-1</v>
      </c>
      <c r="AK530" s="75">
        <v>-1</v>
      </c>
      <c r="AL530" s="95">
        <v>-1</v>
      </c>
      <c r="AM530" s="92">
        <v>1</v>
      </c>
      <c r="AN530" s="79" t="s">
        <v>195</v>
      </c>
      <c r="AO530" s="75">
        <v>1</v>
      </c>
      <c r="AP530" s="75" t="s">
        <v>84</v>
      </c>
      <c r="AQ530" s="122">
        <v>1</v>
      </c>
      <c r="AR530" s="515" t="s">
        <v>13</v>
      </c>
      <c r="AS530" s="95">
        <v>1</v>
      </c>
      <c r="AT530" s="75">
        <v>0</v>
      </c>
      <c r="AU530" s="75">
        <v>0</v>
      </c>
      <c r="AV530" s="75">
        <v>0</v>
      </c>
      <c r="AW530" s="123">
        <v>0</v>
      </c>
      <c r="AX530" s="516"/>
      <c r="AY530" s="75">
        <v>0</v>
      </c>
      <c r="AZ530" s="77" t="s">
        <v>5971</v>
      </c>
      <c r="BA530" s="78" t="s">
        <v>5971</v>
      </c>
      <c r="BB530" s="78" t="s">
        <v>5971</v>
      </c>
      <c r="BC530" s="78" t="s">
        <v>5971</v>
      </c>
      <c r="BD530" s="78" t="s">
        <v>5971</v>
      </c>
      <c r="BE530" s="78" t="s">
        <v>5971</v>
      </c>
      <c r="BF530" s="78" t="s">
        <v>5971</v>
      </c>
      <c r="BG530" s="78" t="s">
        <v>5971</v>
      </c>
      <c r="BH530" s="75" t="s">
        <v>5971</v>
      </c>
      <c r="BI530" s="295" t="s">
        <v>16</v>
      </c>
      <c r="BJ530" s="546">
        <v>1</v>
      </c>
      <c r="BK530" s="294">
        <v>1</v>
      </c>
      <c r="BL530" s="157">
        <v>1</v>
      </c>
      <c r="BM530" s="548" t="s">
        <v>578</v>
      </c>
      <c r="BN530" s="548" t="s">
        <v>578</v>
      </c>
      <c r="BO530" s="157" t="s">
        <v>4218</v>
      </c>
      <c r="BP530" s="548" t="s">
        <v>4221</v>
      </c>
      <c r="BQ530" s="157" t="s">
        <v>4217</v>
      </c>
      <c r="BR530" s="157"/>
    </row>
    <row r="531" spans="1:70" x14ac:dyDescent="0.25">
      <c r="A531" s="19" t="s">
        <v>3686</v>
      </c>
      <c r="B531" s="37" t="s">
        <v>3816</v>
      </c>
      <c r="C531" s="90">
        <v>45194.819224537037</v>
      </c>
      <c r="D531" s="114">
        <v>45194.569224537037</v>
      </c>
      <c r="E531" s="38">
        <v>45194</v>
      </c>
      <c r="F531" s="91">
        <v>2023</v>
      </c>
      <c r="G531" s="93">
        <v>9</v>
      </c>
      <c r="H531" s="37" t="s">
        <v>475</v>
      </c>
      <c r="I531" s="37"/>
      <c r="J531" s="103">
        <v>-92.278088100074882</v>
      </c>
      <c r="K531" s="40">
        <v>43.793164209217409</v>
      </c>
      <c r="L531" s="74"/>
      <c r="M531" s="272" t="s">
        <v>3817</v>
      </c>
      <c r="N531" s="74">
        <v>1</v>
      </c>
      <c r="O531" s="94"/>
      <c r="P531" s="118">
        <v>1</v>
      </c>
      <c r="Q531" s="510">
        <v>180</v>
      </c>
      <c r="R531" s="513">
        <v>180</v>
      </c>
      <c r="S531" s="41"/>
      <c r="T531" s="40"/>
      <c r="U531" s="40">
        <v>8</v>
      </c>
      <c r="V531" s="119">
        <v>1</v>
      </c>
      <c r="W531" s="40">
        <v>0</v>
      </c>
      <c r="X531" s="119">
        <v>1</v>
      </c>
      <c r="Y531" s="40">
        <v>57</v>
      </c>
      <c r="Z531" s="119">
        <v>1</v>
      </c>
      <c r="AA531" s="368">
        <v>0</v>
      </c>
      <c r="AB531" s="535">
        <v>2</v>
      </c>
      <c r="AC531" s="39" t="s">
        <v>160</v>
      </c>
      <c r="AD531" s="75" t="s">
        <v>10</v>
      </c>
      <c r="AE531" s="95">
        <v>0</v>
      </c>
      <c r="AF531" s="75">
        <v>0</v>
      </c>
      <c r="AG531" s="75">
        <v>0</v>
      </c>
      <c r="AH531" s="75">
        <v>0</v>
      </c>
      <c r="AI531" s="75">
        <v>0</v>
      </c>
      <c r="AJ531" s="75">
        <v>0</v>
      </c>
      <c r="AK531" s="75">
        <v>0</v>
      </c>
      <c r="AL531" s="95">
        <v>1</v>
      </c>
      <c r="AM531" s="92">
        <v>0</v>
      </c>
      <c r="AN531" s="79" t="s">
        <v>81</v>
      </c>
      <c r="AO531" s="75">
        <v>1</v>
      </c>
      <c r="AP531" s="75" t="s">
        <v>83</v>
      </c>
      <c r="AQ531" s="122">
        <v>1</v>
      </c>
      <c r="AR531" s="515" t="s">
        <v>10</v>
      </c>
      <c r="AS531" s="95">
        <v>0</v>
      </c>
      <c r="AT531" s="75">
        <v>0</v>
      </c>
      <c r="AU531" s="75">
        <v>0</v>
      </c>
      <c r="AV531" s="75">
        <v>0</v>
      </c>
      <c r="AW531" s="123">
        <v>0</v>
      </c>
      <c r="AX531" s="516" t="s">
        <v>3818</v>
      </c>
      <c r="AY531" s="75">
        <v>1</v>
      </c>
      <c r="AZ531" s="77" t="s">
        <v>131</v>
      </c>
      <c r="BA531" s="78" t="s">
        <v>131</v>
      </c>
      <c r="BB531" s="78" t="s">
        <v>131</v>
      </c>
      <c r="BC531" s="78" t="s">
        <v>131</v>
      </c>
      <c r="BD531" s="78" t="s">
        <v>131</v>
      </c>
      <c r="BE531" s="78" t="s">
        <v>131</v>
      </c>
      <c r="BF531" s="78" t="s">
        <v>131</v>
      </c>
      <c r="BG531" s="78" t="s">
        <v>132</v>
      </c>
      <c r="BH531" s="75" t="s">
        <v>5970</v>
      </c>
      <c r="BI531" s="295" t="s">
        <v>2251</v>
      </c>
      <c r="BJ531" s="546">
        <v>1</v>
      </c>
      <c r="BK531" s="294">
        <v>1</v>
      </c>
      <c r="BL531" s="157">
        <v>1</v>
      </c>
      <c r="BM531" s="548" t="s">
        <v>1339</v>
      </c>
      <c r="BN531" s="548" t="s">
        <v>1339</v>
      </c>
      <c r="BO531" s="157" t="s">
        <v>4329</v>
      </c>
      <c r="BP531" s="548" t="s">
        <v>4228</v>
      </c>
      <c r="BQ531" s="157" t="s">
        <v>4226</v>
      </c>
      <c r="BR531" s="157"/>
    </row>
    <row r="532" spans="1:70" x14ac:dyDescent="0.25">
      <c r="A532" s="19" t="s">
        <v>3686</v>
      </c>
      <c r="B532" s="37" t="s">
        <v>3819</v>
      </c>
      <c r="C532" s="90">
        <v>45194.769143518519</v>
      </c>
      <c r="D532" s="114">
        <v>45194.519143518519</v>
      </c>
      <c r="E532" s="38">
        <v>45194</v>
      </c>
      <c r="F532" s="91">
        <v>2023</v>
      </c>
      <c r="G532" s="93">
        <v>9</v>
      </c>
      <c r="H532" s="37" t="s">
        <v>3262</v>
      </c>
      <c r="I532" s="37" t="s">
        <v>16</v>
      </c>
      <c r="J532" s="103">
        <v>-92.434398700000003</v>
      </c>
      <c r="K532" s="40">
        <v>44.2894158</v>
      </c>
      <c r="L532" s="74"/>
      <c r="M532" s="272" t="s">
        <v>16</v>
      </c>
      <c r="N532" s="74">
        <v>0</v>
      </c>
      <c r="O532" s="94"/>
      <c r="P532" s="118">
        <v>1</v>
      </c>
      <c r="Q532" s="510">
        <v>40</v>
      </c>
      <c r="R532" s="513">
        <v>0</v>
      </c>
      <c r="S532" s="41"/>
      <c r="T532" s="40"/>
      <c r="U532" s="40">
        <v>7.5</v>
      </c>
      <c r="V532" s="119">
        <v>1</v>
      </c>
      <c r="W532" s="40">
        <v>100</v>
      </c>
      <c r="X532" s="119">
        <v>1</v>
      </c>
      <c r="Y532" s="40">
        <v>55</v>
      </c>
      <c r="Z532" s="119">
        <v>0</v>
      </c>
      <c r="AA532" s="368" t="s">
        <v>16</v>
      </c>
      <c r="AB532" s="535" t="s">
        <v>16</v>
      </c>
      <c r="AC532" s="39" t="s">
        <v>160</v>
      </c>
      <c r="AD532" s="75" t="s">
        <v>10</v>
      </c>
      <c r="AE532" s="95">
        <v>0</v>
      </c>
      <c r="AF532" s="75">
        <v>0</v>
      </c>
      <c r="AG532" s="75">
        <v>0</v>
      </c>
      <c r="AH532" s="75">
        <v>0</v>
      </c>
      <c r="AI532" s="75">
        <v>0</v>
      </c>
      <c r="AJ532" s="75">
        <v>0</v>
      </c>
      <c r="AK532" s="75">
        <v>0</v>
      </c>
      <c r="AL532" s="95">
        <v>1</v>
      </c>
      <c r="AM532" s="92">
        <v>0</v>
      </c>
      <c r="AN532" s="79"/>
      <c r="AO532" s="75">
        <v>0</v>
      </c>
      <c r="AP532" s="75" t="s">
        <v>83</v>
      </c>
      <c r="AQ532" s="122">
        <v>1</v>
      </c>
      <c r="AR532" s="515" t="s">
        <v>13</v>
      </c>
      <c r="AS532" s="95">
        <v>1</v>
      </c>
      <c r="AT532" s="75">
        <v>0</v>
      </c>
      <c r="AU532" s="75">
        <v>0</v>
      </c>
      <c r="AV532" s="75">
        <v>0</v>
      </c>
      <c r="AW532" s="123">
        <v>0</v>
      </c>
      <c r="AX532" s="516"/>
      <c r="AY532" s="75">
        <v>0</v>
      </c>
      <c r="AZ532" s="77" t="s">
        <v>131</v>
      </c>
      <c r="BA532" s="78" t="s">
        <v>131</v>
      </c>
      <c r="BB532" s="78" t="s">
        <v>131</v>
      </c>
      <c r="BC532" s="78" t="s">
        <v>131</v>
      </c>
      <c r="BD532" s="78" t="s">
        <v>131</v>
      </c>
      <c r="BE532" s="78" t="s">
        <v>131</v>
      </c>
      <c r="BF532" s="78" t="s">
        <v>131</v>
      </c>
      <c r="BG532" s="78" t="s">
        <v>132</v>
      </c>
      <c r="BH532" s="75" t="s">
        <v>5970</v>
      </c>
      <c r="BI532" s="295" t="s">
        <v>2234</v>
      </c>
      <c r="BJ532" s="546">
        <v>1</v>
      </c>
      <c r="BK532" s="294">
        <v>1</v>
      </c>
      <c r="BL532" s="157">
        <v>1</v>
      </c>
      <c r="BM532" s="548" t="s">
        <v>1339</v>
      </c>
      <c r="BN532" s="548" t="s">
        <v>1339</v>
      </c>
      <c r="BO532" s="157" t="s">
        <v>4331</v>
      </c>
      <c r="BP532" s="548" t="s">
        <v>2234</v>
      </c>
      <c r="BQ532" s="157" t="s">
        <v>4330</v>
      </c>
      <c r="BR532" s="157"/>
    </row>
    <row r="533" spans="1:70" x14ac:dyDescent="0.25">
      <c r="A533" s="19" t="s">
        <v>3686</v>
      </c>
      <c r="B533" s="37" t="s">
        <v>3820</v>
      </c>
      <c r="C533" s="90">
        <v>45194.765555555554</v>
      </c>
      <c r="D533" s="114">
        <v>45194.515555555554</v>
      </c>
      <c r="E533" s="38">
        <v>45194</v>
      </c>
      <c r="F533" s="91">
        <v>2023</v>
      </c>
      <c r="G533" s="93">
        <v>9</v>
      </c>
      <c r="H533" s="37" t="s">
        <v>3262</v>
      </c>
      <c r="I533" s="37" t="s">
        <v>16</v>
      </c>
      <c r="J533" s="103">
        <v>-92.434397799999999</v>
      </c>
      <c r="K533" s="40">
        <v>44.289415300000002</v>
      </c>
      <c r="L533" s="74"/>
      <c r="M533" s="272" t="s">
        <v>16</v>
      </c>
      <c r="N533" s="74">
        <v>0</v>
      </c>
      <c r="O533" s="94"/>
      <c r="P533" s="118">
        <v>1</v>
      </c>
      <c r="Q533" s="510">
        <v>40</v>
      </c>
      <c r="R533" s="513">
        <v>0</v>
      </c>
      <c r="S533" s="41"/>
      <c r="T533" s="40"/>
      <c r="U533" s="40">
        <v>7</v>
      </c>
      <c r="V533" s="119">
        <v>0</v>
      </c>
      <c r="W533" s="40"/>
      <c r="X533" s="119">
        <v>0</v>
      </c>
      <c r="Y533" s="40"/>
      <c r="Z533" s="119">
        <v>1</v>
      </c>
      <c r="AA533" s="368">
        <v>0</v>
      </c>
      <c r="AB533" s="535">
        <v>0</v>
      </c>
      <c r="AC533" s="39" t="s">
        <v>160</v>
      </c>
      <c r="AD533" s="75" t="s">
        <v>10</v>
      </c>
      <c r="AE533" s="95">
        <v>0</v>
      </c>
      <c r="AF533" s="75">
        <v>0</v>
      </c>
      <c r="AG533" s="75">
        <v>0</v>
      </c>
      <c r="AH533" s="75">
        <v>0</v>
      </c>
      <c r="AI533" s="75">
        <v>0</v>
      </c>
      <c r="AJ533" s="75">
        <v>0</v>
      </c>
      <c r="AK533" s="75">
        <v>0</v>
      </c>
      <c r="AL533" s="95">
        <v>1</v>
      </c>
      <c r="AM533" s="92">
        <v>0</v>
      </c>
      <c r="AN533" s="79" t="s">
        <v>80</v>
      </c>
      <c r="AO533" s="75">
        <v>1</v>
      </c>
      <c r="AP533" s="75" t="s">
        <v>83</v>
      </c>
      <c r="AQ533" s="122">
        <v>1</v>
      </c>
      <c r="AR533" s="515" t="s">
        <v>13</v>
      </c>
      <c r="AS533" s="95">
        <v>1</v>
      </c>
      <c r="AT533" s="75">
        <v>0</v>
      </c>
      <c r="AU533" s="75">
        <v>0</v>
      </c>
      <c r="AV533" s="75">
        <v>0</v>
      </c>
      <c r="AW533" s="123">
        <v>0</v>
      </c>
      <c r="AX533" s="516"/>
      <c r="AY533" s="75">
        <v>0</v>
      </c>
      <c r="AZ533" s="77" t="s">
        <v>131</v>
      </c>
      <c r="BA533" s="78" t="s">
        <v>131</v>
      </c>
      <c r="BB533" s="78" t="s">
        <v>131</v>
      </c>
      <c r="BC533" s="78" t="s">
        <v>131</v>
      </c>
      <c r="BD533" s="78" t="s">
        <v>131</v>
      </c>
      <c r="BE533" s="78" t="s">
        <v>131</v>
      </c>
      <c r="BF533" s="78" t="s">
        <v>131</v>
      </c>
      <c r="BG533" s="78" t="s">
        <v>132</v>
      </c>
      <c r="BH533" s="75" t="s">
        <v>5970</v>
      </c>
      <c r="BI533" s="295" t="s">
        <v>16</v>
      </c>
      <c r="BJ533" s="546">
        <v>1</v>
      </c>
      <c r="BK533" s="294">
        <v>1</v>
      </c>
      <c r="BL533" s="157">
        <v>1</v>
      </c>
      <c r="BM533" s="548" t="s">
        <v>1339</v>
      </c>
      <c r="BN533" s="548" t="s">
        <v>1339</v>
      </c>
      <c r="BO533" s="157" t="s">
        <v>4331</v>
      </c>
      <c r="BP533" s="548" t="s">
        <v>2234</v>
      </c>
      <c r="BQ533" s="157" t="s">
        <v>4330</v>
      </c>
      <c r="BR533" s="157"/>
    </row>
    <row r="534" spans="1:70" x14ac:dyDescent="0.25">
      <c r="A534" s="19" t="s">
        <v>3686</v>
      </c>
      <c r="B534" s="37" t="s">
        <v>3821</v>
      </c>
      <c r="C534" s="90">
        <v>45194.765162037038</v>
      </c>
      <c r="D534" s="114">
        <v>45194.515162037038</v>
      </c>
      <c r="E534" s="38">
        <v>45194</v>
      </c>
      <c r="F534" s="91">
        <v>2023</v>
      </c>
      <c r="G534" s="93">
        <v>9</v>
      </c>
      <c r="H534" s="37" t="s">
        <v>475</v>
      </c>
      <c r="I534" s="37"/>
      <c r="J534" s="103">
        <v>-92.224595619560674</v>
      </c>
      <c r="K534" s="40">
        <v>43.62269470479108</v>
      </c>
      <c r="L534" s="74"/>
      <c r="M534" s="272" t="s">
        <v>3822</v>
      </c>
      <c r="N534" s="74">
        <v>1</v>
      </c>
      <c r="O534" s="94"/>
      <c r="P534" s="118">
        <v>1</v>
      </c>
      <c r="Q534" s="510">
        <v>180</v>
      </c>
      <c r="R534" s="513">
        <v>180</v>
      </c>
      <c r="S534" s="41"/>
      <c r="T534" s="40"/>
      <c r="U534" s="40">
        <v>8</v>
      </c>
      <c r="V534" s="119">
        <v>1</v>
      </c>
      <c r="W534" s="40">
        <v>0</v>
      </c>
      <c r="X534" s="119">
        <v>1</v>
      </c>
      <c r="Y534" s="40">
        <v>64</v>
      </c>
      <c r="Z534" s="119">
        <v>1</v>
      </c>
      <c r="AA534" s="368">
        <v>0</v>
      </c>
      <c r="AB534" s="535">
        <v>2</v>
      </c>
      <c r="AC534" s="39" t="s">
        <v>160</v>
      </c>
      <c r="AD534" s="75" t="s">
        <v>16</v>
      </c>
      <c r="AE534" s="95">
        <v>-1</v>
      </c>
      <c r="AF534" s="75">
        <v>-1</v>
      </c>
      <c r="AG534" s="75">
        <v>-1</v>
      </c>
      <c r="AH534" s="75">
        <v>-1</v>
      </c>
      <c r="AI534" s="75">
        <v>-1</v>
      </c>
      <c r="AJ534" s="75">
        <v>-1</v>
      </c>
      <c r="AK534" s="75">
        <v>-1</v>
      </c>
      <c r="AL534" s="95">
        <v>-1</v>
      </c>
      <c r="AM534" s="92">
        <v>1</v>
      </c>
      <c r="AN534" s="79" t="s">
        <v>81</v>
      </c>
      <c r="AO534" s="75">
        <v>1</v>
      </c>
      <c r="AP534" s="75" t="s">
        <v>83</v>
      </c>
      <c r="AQ534" s="122">
        <v>1</v>
      </c>
      <c r="AR534" s="515" t="s">
        <v>10</v>
      </c>
      <c r="AS534" s="95">
        <v>0</v>
      </c>
      <c r="AT534" s="75">
        <v>0</v>
      </c>
      <c r="AU534" s="75">
        <v>0</v>
      </c>
      <c r="AV534" s="75">
        <v>0</v>
      </c>
      <c r="AW534" s="123">
        <v>0</v>
      </c>
      <c r="AX534" s="516" t="s">
        <v>3823</v>
      </c>
      <c r="AY534" s="75">
        <v>1</v>
      </c>
      <c r="AZ534" s="77" t="s">
        <v>5971</v>
      </c>
      <c r="BA534" s="78" t="s">
        <v>5971</v>
      </c>
      <c r="BB534" s="78" t="s">
        <v>5971</v>
      </c>
      <c r="BC534" s="78" t="s">
        <v>5971</v>
      </c>
      <c r="BD534" s="78" t="s">
        <v>5971</v>
      </c>
      <c r="BE534" s="78" t="s">
        <v>5971</v>
      </c>
      <c r="BF534" s="78" t="s">
        <v>5971</v>
      </c>
      <c r="BG534" s="78" t="s">
        <v>5971</v>
      </c>
      <c r="BH534" s="75" t="s">
        <v>5971</v>
      </c>
      <c r="BI534" s="295" t="s">
        <v>16</v>
      </c>
      <c r="BJ534" s="546">
        <v>1</v>
      </c>
      <c r="BK534" s="294" t="s">
        <v>16</v>
      </c>
      <c r="BL534" s="157" t="s">
        <v>16</v>
      </c>
      <c r="BM534" s="548" t="s">
        <v>1339</v>
      </c>
      <c r="BN534" s="548" t="s">
        <v>1339</v>
      </c>
      <c r="BO534" s="157" t="s">
        <v>4230</v>
      </c>
      <c r="BP534" s="548" t="s">
        <v>4231</v>
      </c>
      <c r="BQ534" s="157" t="s">
        <v>4229</v>
      </c>
      <c r="BR534" s="157"/>
    </row>
    <row r="535" spans="1:70" x14ac:dyDescent="0.25">
      <c r="A535" s="19" t="s">
        <v>3686</v>
      </c>
      <c r="B535" s="37" t="s">
        <v>3824</v>
      </c>
      <c r="C535" s="90">
        <v>45194.741712962961</v>
      </c>
      <c r="D535" s="114">
        <v>45194.491712962961</v>
      </c>
      <c r="E535" s="38">
        <v>45194</v>
      </c>
      <c r="F535" s="91">
        <v>2023</v>
      </c>
      <c r="G535" s="93">
        <v>9</v>
      </c>
      <c r="H535" s="37" t="s">
        <v>475</v>
      </c>
      <c r="I535" s="37"/>
      <c r="J535" s="103">
        <v>-92.224513350225081</v>
      </c>
      <c r="K535" s="40">
        <v>43.622284277670971</v>
      </c>
      <c r="L535" s="74"/>
      <c r="M535" s="272" t="s">
        <v>3825</v>
      </c>
      <c r="N535" s="74">
        <v>1</v>
      </c>
      <c r="O535" s="94"/>
      <c r="P535" s="118">
        <v>1</v>
      </c>
      <c r="Q535" s="510">
        <v>180</v>
      </c>
      <c r="R535" s="513">
        <v>60</v>
      </c>
      <c r="S535" s="41"/>
      <c r="T535" s="40"/>
      <c r="U535" s="40">
        <v>8</v>
      </c>
      <c r="V535" s="119">
        <v>1</v>
      </c>
      <c r="W535" s="40">
        <v>0</v>
      </c>
      <c r="X535" s="119">
        <v>1</v>
      </c>
      <c r="Y535" s="40">
        <v>54</v>
      </c>
      <c r="Z535" s="119">
        <v>1</v>
      </c>
      <c r="AA535" s="368">
        <v>0</v>
      </c>
      <c r="AB535" s="535">
        <v>10</v>
      </c>
      <c r="AC535" s="39"/>
      <c r="AD535" s="75" t="s">
        <v>10</v>
      </c>
      <c r="AE535" s="95">
        <v>0</v>
      </c>
      <c r="AF535" s="75">
        <v>0</v>
      </c>
      <c r="AG535" s="75">
        <v>0</v>
      </c>
      <c r="AH535" s="75">
        <v>0</v>
      </c>
      <c r="AI535" s="75">
        <v>0</v>
      </c>
      <c r="AJ535" s="75">
        <v>0</v>
      </c>
      <c r="AK535" s="75">
        <v>0</v>
      </c>
      <c r="AL535" s="95">
        <v>1</v>
      </c>
      <c r="AM535" s="92">
        <v>0</v>
      </c>
      <c r="AN535" s="79" t="s">
        <v>81</v>
      </c>
      <c r="AO535" s="75">
        <v>1</v>
      </c>
      <c r="AP535" s="75" t="s">
        <v>83</v>
      </c>
      <c r="AQ535" s="122">
        <v>1</v>
      </c>
      <c r="AR535" s="515" t="s">
        <v>10</v>
      </c>
      <c r="AS535" s="95">
        <v>0</v>
      </c>
      <c r="AT535" s="75">
        <v>0</v>
      </c>
      <c r="AU535" s="75">
        <v>0</v>
      </c>
      <c r="AV535" s="75">
        <v>0</v>
      </c>
      <c r="AW535" s="123">
        <v>0</v>
      </c>
      <c r="AX535" s="516" t="s">
        <v>3826</v>
      </c>
      <c r="AY535" s="75">
        <v>1</v>
      </c>
      <c r="AZ535" s="77" t="s">
        <v>131</v>
      </c>
      <c r="BA535" s="78" t="s">
        <v>131</v>
      </c>
      <c r="BB535" s="78" t="s">
        <v>131</v>
      </c>
      <c r="BC535" s="78" t="s">
        <v>131</v>
      </c>
      <c r="BD535" s="78" t="s">
        <v>131</v>
      </c>
      <c r="BE535" s="78" t="s">
        <v>131</v>
      </c>
      <c r="BF535" s="78" t="s">
        <v>131</v>
      </c>
      <c r="BG535" s="78" t="s">
        <v>132</v>
      </c>
      <c r="BH535" s="75" t="s">
        <v>5970</v>
      </c>
      <c r="BI535" s="295" t="s">
        <v>2232</v>
      </c>
      <c r="BJ535" s="546">
        <v>1</v>
      </c>
      <c r="BK535" s="294" t="s">
        <v>16</v>
      </c>
      <c r="BL535" s="157" t="s">
        <v>16</v>
      </c>
      <c r="BM535" s="548" t="s">
        <v>1339</v>
      </c>
      <c r="BN535" s="548" t="s">
        <v>1339</v>
      </c>
      <c r="BO535" s="157" t="s">
        <v>4332</v>
      </c>
      <c r="BP535" s="548" t="s">
        <v>4333</v>
      </c>
      <c r="BQ535" s="157" t="s">
        <v>4229</v>
      </c>
      <c r="BR535" s="157"/>
    </row>
    <row r="536" spans="1:70" x14ac:dyDescent="0.25">
      <c r="A536" s="19" t="s">
        <v>3686</v>
      </c>
      <c r="B536" s="37" t="s">
        <v>3827</v>
      </c>
      <c r="C536" s="90">
        <v>45194.712916666664</v>
      </c>
      <c r="D536" s="114">
        <v>45194.462916666664</v>
      </c>
      <c r="E536" s="38">
        <v>45194</v>
      </c>
      <c r="F536" s="91">
        <v>2023</v>
      </c>
      <c r="G536" s="93">
        <v>9</v>
      </c>
      <c r="H536" s="37" t="s">
        <v>1386</v>
      </c>
      <c r="I536" s="37"/>
      <c r="J536" s="103">
        <v>-92.294279700000004</v>
      </c>
      <c r="K536" s="40">
        <v>43.728083599999998</v>
      </c>
      <c r="L536" s="74"/>
      <c r="M536" s="272" t="s">
        <v>16</v>
      </c>
      <c r="N536" s="74">
        <v>0</v>
      </c>
      <c r="O536" s="94"/>
      <c r="P536" s="118">
        <v>0</v>
      </c>
      <c r="Q536" s="510"/>
      <c r="R536" s="513"/>
      <c r="S536" s="41"/>
      <c r="T536" s="40"/>
      <c r="U536" s="40"/>
      <c r="V536" s="119">
        <v>1</v>
      </c>
      <c r="W536" s="40">
        <v>0</v>
      </c>
      <c r="X536" s="119">
        <v>1</v>
      </c>
      <c r="Y536" s="40">
        <v>61</v>
      </c>
      <c r="Z536" s="119">
        <v>1</v>
      </c>
      <c r="AA536" s="368">
        <v>0</v>
      </c>
      <c r="AB536" s="535">
        <v>5</v>
      </c>
      <c r="AC536" s="39" t="s">
        <v>160</v>
      </c>
      <c r="AD536" s="75" t="s">
        <v>16</v>
      </c>
      <c r="AE536" s="95">
        <v>-1</v>
      </c>
      <c r="AF536" s="75">
        <v>-1</v>
      </c>
      <c r="AG536" s="75">
        <v>-1</v>
      </c>
      <c r="AH536" s="75">
        <v>-1</v>
      </c>
      <c r="AI536" s="75">
        <v>-1</v>
      </c>
      <c r="AJ536" s="75">
        <v>-1</v>
      </c>
      <c r="AK536" s="75">
        <v>-1</v>
      </c>
      <c r="AL536" s="95">
        <v>-1</v>
      </c>
      <c r="AM536" s="92">
        <v>1</v>
      </c>
      <c r="AN536" s="79"/>
      <c r="AO536" s="75">
        <v>0</v>
      </c>
      <c r="AP536" s="75"/>
      <c r="AQ536" s="122">
        <v>0</v>
      </c>
      <c r="AR536" s="515" t="s">
        <v>16</v>
      </c>
      <c r="AS536" s="95">
        <v>-1</v>
      </c>
      <c r="AT536" s="75">
        <v>-1</v>
      </c>
      <c r="AU536" s="75">
        <v>-1</v>
      </c>
      <c r="AV536" s="75">
        <v>-1</v>
      </c>
      <c r="AW536" s="123">
        <v>1</v>
      </c>
      <c r="AX536" s="516"/>
      <c r="AY536" s="75">
        <v>0</v>
      </c>
      <c r="AZ536" s="77" t="s">
        <v>5971</v>
      </c>
      <c r="BA536" s="78" t="s">
        <v>5971</v>
      </c>
      <c r="BB536" s="78" t="s">
        <v>5971</v>
      </c>
      <c r="BC536" s="78" t="s">
        <v>5971</v>
      </c>
      <c r="BD536" s="78" t="s">
        <v>5971</v>
      </c>
      <c r="BE536" s="78" t="s">
        <v>5971</v>
      </c>
      <c r="BF536" s="78" t="s">
        <v>5971</v>
      </c>
      <c r="BG536" s="78" t="s">
        <v>5971</v>
      </c>
      <c r="BH536" s="75" t="s">
        <v>5971</v>
      </c>
      <c r="BI536" s="295" t="s">
        <v>2230</v>
      </c>
      <c r="BJ536" s="546">
        <v>1</v>
      </c>
      <c r="BK536" s="294" t="s">
        <v>16</v>
      </c>
      <c r="BL536" s="157" t="s">
        <v>16</v>
      </c>
      <c r="BM536" s="548" t="s">
        <v>1339</v>
      </c>
      <c r="BN536" s="548" t="s">
        <v>1339</v>
      </c>
      <c r="BO536" s="157" t="s">
        <v>4227</v>
      </c>
      <c r="BP536" s="548" t="s">
        <v>2230</v>
      </c>
      <c r="BQ536" s="157" t="s">
        <v>4226</v>
      </c>
      <c r="BR536" s="157"/>
    </row>
    <row r="537" spans="1:70" x14ac:dyDescent="0.25">
      <c r="A537" s="19" t="s">
        <v>3686</v>
      </c>
      <c r="B537" s="37" t="s">
        <v>3828</v>
      </c>
      <c r="C537" s="90">
        <v>45194.680798611109</v>
      </c>
      <c r="D537" s="114">
        <v>45194.430798611109</v>
      </c>
      <c r="E537" s="38">
        <v>45194</v>
      </c>
      <c r="F537" s="91">
        <v>2023</v>
      </c>
      <c r="G537" s="93">
        <v>9</v>
      </c>
      <c r="H537" s="37" t="s">
        <v>1364</v>
      </c>
      <c r="I537" s="37" t="s">
        <v>958</v>
      </c>
      <c r="J537" s="103">
        <v>-92.575569799999997</v>
      </c>
      <c r="K537" s="40">
        <v>44.4883728</v>
      </c>
      <c r="L537" s="74"/>
      <c r="M537" s="272" t="s">
        <v>3829</v>
      </c>
      <c r="N537" s="74">
        <v>1</v>
      </c>
      <c r="O537" s="94"/>
      <c r="P537" s="118">
        <v>1</v>
      </c>
      <c r="Q537" s="510">
        <v>80</v>
      </c>
      <c r="R537" s="513">
        <v>120</v>
      </c>
      <c r="S537" s="41"/>
      <c r="T537" s="40"/>
      <c r="U537" s="40">
        <v>7</v>
      </c>
      <c r="V537" s="119">
        <v>1</v>
      </c>
      <c r="W537" s="40">
        <v>100</v>
      </c>
      <c r="X537" s="119">
        <v>1</v>
      </c>
      <c r="Y537" s="40">
        <v>56</v>
      </c>
      <c r="Z537" s="119">
        <v>1</v>
      </c>
      <c r="AA537" s="368">
        <v>0</v>
      </c>
      <c r="AB537" s="535">
        <v>2</v>
      </c>
      <c r="AC537" s="39" t="s">
        <v>160</v>
      </c>
      <c r="AD537" s="75" t="s">
        <v>10</v>
      </c>
      <c r="AE537" s="95">
        <v>0</v>
      </c>
      <c r="AF537" s="75">
        <v>0</v>
      </c>
      <c r="AG537" s="75">
        <v>0</v>
      </c>
      <c r="AH537" s="75">
        <v>0</v>
      </c>
      <c r="AI537" s="75">
        <v>0</v>
      </c>
      <c r="AJ537" s="75">
        <v>0</v>
      </c>
      <c r="AK537" s="75">
        <v>0</v>
      </c>
      <c r="AL537" s="95">
        <v>1</v>
      </c>
      <c r="AM537" s="92">
        <v>0</v>
      </c>
      <c r="AN537" s="79" t="s">
        <v>81</v>
      </c>
      <c r="AO537" s="75">
        <v>1</v>
      </c>
      <c r="AP537" s="75" t="s">
        <v>83</v>
      </c>
      <c r="AQ537" s="122">
        <v>1</v>
      </c>
      <c r="AR537" s="515" t="s">
        <v>13</v>
      </c>
      <c r="AS537" s="95">
        <v>1</v>
      </c>
      <c r="AT537" s="75">
        <v>0</v>
      </c>
      <c r="AU537" s="75">
        <v>0</v>
      </c>
      <c r="AV537" s="75">
        <v>0</v>
      </c>
      <c r="AW537" s="123">
        <v>0</v>
      </c>
      <c r="AX537" s="516" t="s">
        <v>3830</v>
      </c>
      <c r="AY537" s="75">
        <v>1</v>
      </c>
      <c r="AZ537" s="77" t="s">
        <v>131</v>
      </c>
      <c r="BA537" s="78" t="s">
        <v>131</v>
      </c>
      <c r="BB537" s="78" t="s">
        <v>131</v>
      </c>
      <c r="BC537" s="78" t="s">
        <v>131</v>
      </c>
      <c r="BD537" s="78" t="s">
        <v>131</v>
      </c>
      <c r="BE537" s="78" t="s">
        <v>131</v>
      </c>
      <c r="BF537" s="78" t="s">
        <v>131</v>
      </c>
      <c r="BG537" s="78" t="s">
        <v>132</v>
      </c>
      <c r="BH537" s="75" t="s">
        <v>5970</v>
      </c>
      <c r="BI537" s="295" t="s">
        <v>2238</v>
      </c>
      <c r="BJ537" s="546">
        <v>1</v>
      </c>
      <c r="BK537" s="294" t="s">
        <v>16</v>
      </c>
      <c r="BL537" s="157" t="s">
        <v>16</v>
      </c>
      <c r="BM537" s="548" t="s">
        <v>2343</v>
      </c>
      <c r="BN537" s="548" t="s">
        <v>4161</v>
      </c>
      <c r="BO537" s="157" t="s">
        <v>4308</v>
      </c>
      <c r="BP537" s="548" t="s">
        <v>2238</v>
      </c>
      <c r="BQ537" s="157" t="s">
        <v>4307</v>
      </c>
      <c r="BR537" s="157"/>
    </row>
    <row r="538" spans="1:70" x14ac:dyDescent="0.25">
      <c r="A538" s="19" t="s">
        <v>3686</v>
      </c>
      <c r="B538" s="37" t="s">
        <v>3831</v>
      </c>
      <c r="C538" s="90">
        <v>45194.660462962966</v>
      </c>
      <c r="D538" s="114">
        <v>45194.410462962966</v>
      </c>
      <c r="E538" s="38">
        <v>45194</v>
      </c>
      <c r="F538" s="91">
        <v>2023</v>
      </c>
      <c r="G538" s="93">
        <v>9</v>
      </c>
      <c r="H538" s="37" t="s">
        <v>1364</v>
      </c>
      <c r="I538" s="37" t="s">
        <v>959</v>
      </c>
      <c r="J538" s="103">
        <v>-92.597036500000002</v>
      </c>
      <c r="K538" s="40">
        <v>44.4726517</v>
      </c>
      <c r="L538" s="74"/>
      <c r="M538" s="272" t="s">
        <v>16</v>
      </c>
      <c r="N538" s="74">
        <v>0</v>
      </c>
      <c r="O538" s="94"/>
      <c r="P538" s="118">
        <v>1</v>
      </c>
      <c r="Q538" s="510">
        <v>120</v>
      </c>
      <c r="R538" s="513">
        <v>120</v>
      </c>
      <c r="S538" s="41"/>
      <c r="T538" s="40"/>
      <c r="U538" s="40">
        <v>7.5</v>
      </c>
      <c r="V538" s="119">
        <v>1</v>
      </c>
      <c r="W538" s="40">
        <v>200</v>
      </c>
      <c r="X538" s="119">
        <v>1</v>
      </c>
      <c r="Y538" s="40">
        <v>53</v>
      </c>
      <c r="Z538" s="119">
        <v>1</v>
      </c>
      <c r="AA538" s="368">
        <v>0</v>
      </c>
      <c r="AB538" s="535">
        <v>2</v>
      </c>
      <c r="AC538" s="39" t="s">
        <v>160</v>
      </c>
      <c r="AD538" s="75" t="s">
        <v>10</v>
      </c>
      <c r="AE538" s="95">
        <v>0</v>
      </c>
      <c r="AF538" s="75">
        <v>0</v>
      </c>
      <c r="AG538" s="75">
        <v>0</v>
      </c>
      <c r="AH538" s="75">
        <v>0</v>
      </c>
      <c r="AI538" s="75">
        <v>0</v>
      </c>
      <c r="AJ538" s="75">
        <v>0</v>
      </c>
      <c r="AK538" s="75">
        <v>0</v>
      </c>
      <c r="AL538" s="95">
        <v>1</v>
      </c>
      <c r="AM538" s="92">
        <v>0</v>
      </c>
      <c r="AN538" s="79" t="s">
        <v>81</v>
      </c>
      <c r="AO538" s="75">
        <v>1</v>
      </c>
      <c r="AP538" s="75" t="s">
        <v>83</v>
      </c>
      <c r="AQ538" s="122">
        <v>1</v>
      </c>
      <c r="AR538" s="515" t="s">
        <v>13</v>
      </c>
      <c r="AS538" s="95">
        <v>1</v>
      </c>
      <c r="AT538" s="75">
        <v>0</v>
      </c>
      <c r="AU538" s="75">
        <v>0</v>
      </c>
      <c r="AV538" s="75">
        <v>0</v>
      </c>
      <c r="AW538" s="123">
        <v>0</v>
      </c>
      <c r="AX538" s="516" t="s">
        <v>3832</v>
      </c>
      <c r="AY538" s="75">
        <v>1</v>
      </c>
      <c r="AZ538" s="77" t="s">
        <v>131</v>
      </c>
      <c r="BA538" s="78" t="s">
        <v>131</v>
      </c>
      <c r="BB538" s="78" t="s">
        <v>131</v>
      </c>
      <c r="BC538" s="78" t="s">
        <v>131</v>
      </c>
      <c r="BD538" s="78" t="s">
        <v>131</v>
      </c>
      <c r="BE538" s="78" t="s">
        <v>131</v>
      </c>
      <c r="BF538" s="78" t="s">
        <v>131</v>
      </c>
      <c r="BG538" s="78" t="s">
        <v>132</v>
      </c>
      <c r="BH538" s="75" t="s">
        <v>5970</v>
      </c>
      <c r="BI538" s="295" t="s">
        <v>2238</v>
      </c>
      <c r="BJ538" s="546">
        <v>1</v>
      </c>
      <c r="BK538" s="294" t="s">
        <v>16</v>
      </c>
      <c r="BL538" s="157" t="s">
        <v>16</v>
      </c>
      <c r="BM538" s="548" t="s">
        <v>2343</v>
      </c>
      <c r="BN538" s="548" t="s">
        <v>4161</v>
      </c>
      <c r="BO538" s="157" t="s">
        <v>4308</v>
      </c>
      <c r="BP538" s="548" t="s">
        <v>2238</v>
      </c>
      <c r="BQ538" s="157" t="s">
        <v>4307</v>
      </c>
      <c r="BR538" s="157"/>
    </row>
    <row r="539" spans="1:70" x14ac:dyDescent="0.25">
      <c r="A539" s="19" t="s">
        <v>3686</v>
      </c>
      <c r="B539" s="37" t="s">
        <v>3833</v>
      </c>
      <c r="C539" s="90">
        <v>45194.650555555556</v>
      </c>
      <c r="D539" s="114">
        <v>45194.400555555556</v>
      </c>
      <c r="E539" s="38">
        <v>45194</v>
      </c>
      <c r="F539" s="91">
        <v>2023</v>
      </c>
      <c r="G539" s="93">
        <v>9</v>
      </c>
      <c r="H539" s="37" t="s">
        <v>1514</v>
      </c>
      <c r="I539" s="37" t="s">
        <v>2362</v>
      </c>
      <c r="J539" s="103">
        <v>-92.284021027852916</v>
      </c>
      <c r="K539" s="40">
        <v>44.542240612542578</v>
      </c>
      <c r="L539" s="74"/>
      <c r="M539" s="272" t="s">
        <v>16</v>
      </c>
      <c r="N539" s="74">
        <v>0</v>
      </c>
      <c r="O539" s="94"/>
      <c r="P539" s="118">
        <v>1</v>
      </c>
      <c r="Q539" s="510">
        <v>80</v>
      </c>
      <c r="R539" s="513">
        <v>120</v>
      </c>
      <c r="S539" s="41"/>
      <c r="T539" s="40"/>
      <c r="U539" s="40">
        <v>7</v>
      </c>
      <c r="V539" s="119">
        <v>1</v>
      </c>
      <c r="W539" s="40">
        <v>0</v>
      </c>
      <c r="X539" s="119">
        <v>1</v>
      </c>
      <c r="Y539" s="40">
        <v>50</v>
      </c>
      <c r="Z539" s="119">
        <v>1</v>
      </c>
      <c r="AA539" s="368">
        <v>0</v>
      </c>
      <c r="AB539" s="535">
        <v>2</v>
      </c>
      <c r="AC539" s="39" t="s">
        <v>160</v>
      </c>
      <c r="AD539" s="75" t="s">
        <v>10</v>
      </c>
      <c r="AE539" s="95">
        <v>0</v>
      </c>
      <c r="AF539" s="75">
        <v>0</v>
      </c>
      <c r="AG539" s="75">
        <v>0</v>
      </c>
      <c r="AH539" s="75">
        <v>0</v>
      </c>
      <c r="AI539" s="75">
        <v>0</v>
      </c>
      <c r="AJ539" s="75">
        <v>0</v>
      </c>
      <c r="AK539" s="75">
        <v>0</v>
      </c>
      <c r="AL539" s="95">
        <v>1</v>
      </c>
      <c r="AM539" s="92">
        <v>0</v>
      </c>
      <c r="AN539" s="79" t="s">
        <v>195</v>
      </c>
      <c r="AO539" s="75">
        <v>1</v>
      </c>
      <c r="AP539" s="75" t="s">
        <v>83</v>
      </c>
      <c r="AQ539" s="122">
        <v>1</v>
      </c>
      <c r="AR539" s="515" t="s">
        <v>13</v>
      </c>
      <c r="AS539" s="95">
        <v>1</v>
      </c>
      <c r="AT539" s="75">
        <v>0</v>
      </c>
      <c r="AU539" s="75">
        <v>0</v>
      </c>
      <c r="AV539" s="75">
        <v>0</v>
      </c>
      <c r="AW539" s="123">
        <v>0</v>
      </c>
      <c r="AX539" s="516" t="s">
        <v>3834</v>
      </c>
      <c r="AY539" s="75">
        <v>1</v>
      </c>
      <c r="AZ539" s="77" t="s">
        <v>131</v>
      </c>
      <c r="BA539" s="78" t="s">
        <v>131</v>
      </c>
      <c r="BB539" s="78" t="s">
        <v>131</v>
      </c>
      <c r="BC539" s="78" t="s">
        <v>131</v>
      </c>
      <c r="BD539" s="78" t="s">
        <v>131</v>
      </c>
      <c r="BE539" s="78" t="s">
        <v>131</v>
      </c>
      <c r="BF539" s="78" t="s">
        <v>131</v>
      </c>
      <c r="BG539" s="78" t="s">
        <v>132</v>
      </c>
      <c r="BH539" s="75" t="s">
        <v>5970</v>
      </c>
      <c r="BI539" s="295" t="s">
        <v>2261</v>
      </c>
      <c r="BJ539" s="546">
        <v>1</v>
      </c>
      <c r="BK539" s="294">
        <v>1</v>
      </c>
      <c r="BL539" s="157">
        <v>1</v>
      </c>
      <c r="BM539" s="548" t="s">
        <v>1340</v>
      </c>
      <c r="BN539" s="548" t="s">
        <v>578</v>
      </c>
      <c r="BO539" s="157" t="s">
        <v>4268</v>
      </c>
      <c r="BP539" s="548" t="s">
        <v>2261</v>
      </c>
      <c r="BQ539" s="157" t="s">
        <v>4214</v>
      </c>
      <c r="BR539" s="157"/>
    </row>
    <row r="540" spans="1:70" x14ac:dyDescent="0.25">
      <c r="A540" s="19" t="s">
        <v>3686</v>
      </c>
      <c r="B540" s="37" t="s">
        <v>5798</v>
      </c>
      <c r="C540" s="90">
        <v>45194.647106481483</v>
      </c>
      <c r="D540" s="114">
        <v>45194.397106481483</v>
      </c>
      <c r="E540" s="38">
        <v>45194</v>
      </c>
      <c r="F540" s="91">
        <v>2023</v>
      </c>
      <c r="G540" s="93">
        <v>9</v>
      </c>
      <c r="H540" s="37" t="s">
        <v>602</v>
      </c>
      <c r="I540" s="37" t="s">
        <v>16</v>
      </c>
      <c r="J540" s="103">
        <v>-92.099948400000002</v>
      </c>
      <c r="K540" s="40">
        <v>44.036441199999999</v>
      </c>
      <c r="L540" s="74"/>
      <c r="M540" s="272" t="s">
        <v>5799</v>
      </c>
      <c r="N540" s="74">
        <v>1</v>
      </c>
      <c r="O540" s="94"/>
      <c r="P540" s="118">
        <v>1</v>
      </c>
      <c r="Q540" s="510">
        <v>40</v>
      </c>
      <c r="R540" s="513">
        <v>120</v>
      </c>
      <c r="S540" s="41"/>
      <c r="T540" s="40"/>
      <c r="U540" s="40">
        <v>7</v>
      </c>
      <c r="V540" s="119">
        <v>1</v>
      </c>
      <c r="W540" s="40">
        <v>200</v>
      </c>
      <c r="X540" s="119">
        <v>1</v>
      </c>
      <c r="Y540" s="40">
        <v>54</v>
      </c>
      <c r="Z540" s="119">
        <v>1</v>
      </c>
      <c r="AA540" s="368">
        <v>0</v>
      </c>
      <c r="AB540" s="535">
        <v>5</v>
      </c>
      <c r="AC540" s="39" t="s">
        <v>160</v>
      </c>
      <c r="AD540" s="75" t="s">
        <v>10</v>
      </c>
      <c r="AE540" s="95">
        <v>0</v>
      </c>
      <c r="AF540" s="75">
        <v>0</v>
      </c>
      <c r="AG540" s="75">
        <v>0</v>
      </c>
      <c r="AH540" s="75">
        <v>0</v>
      </c>
      <c r="AI540" s="75">
        <v>0</v>
      </c>
      <c r="AJ540" s="75">
        <v>0</v>
      </c>
      <c r="AK540" s="75">
        <v>0</v>
      </c>
      <c r="AL540" s="95">
        <v>1</v>
      </c>
      <c r="AM540" s="92">
        <v>0</v>
      </c>
      <c r="AN540" s="79" t="s">
        <v>81</v>
      </c>
      <c r="AO540" s="75">
        <v>1</v>
      </c>
      <c r="AP540" s="75" t="s">
        <v>83</v>
      </c>
      <c r="AQ540" s="122">
        <v>1</v>
      </c>
      <c r="AR540" s="515" t="s">
        <v>13</v>
      </c>
      <c r="AS540" s="95">
        <v>1</v>
      </c>
      <c r="AT540" s="75">
        <v>0</v>
      </c>
      <c r="AU540" s="75">
        <v>0</v>
      </c>
      <c r="AV540" s="75">
        <v>0</v>
      </c>
      <c r="AW540" s="123">
        <v>0</v>
      </c>
      <c r="AX540" s="516"/>
      <c r="AY540" s="75">
        <v>0</v>
      </c>
      <c r="AZ540" s="77" t="s">
        <v>131</v>
      </c>
      <c r="BA540" s="78" t="s">
        <v>131</v>
      </c>
      <c r="BB540" s="78" t="s">
        <v>131</v>
      </c>
      <c r="BC540" s="78" t="s">
        <v>131</v>
      </c>
      <c r="BD540" s="78" t="s">
        <v>131</v>
      </c>
      <c r="BE540" s="78" t="s">
        <v>131</v>
      </c>
      <c r="BF540" s="78" t="s">
        <v>131</v>
      </c>
      <c r="BG540" s="78" t="s">
        <v>132</v>
      </c>
      <c r="BH540" s="75" t="s">
        <v>5970</v>
      </c>
      <c r="BI540" s="295" t="s">
        <v>2292</v>
      </c>
      <c r="BJ540" s="546">
        <v>1</v>
      </c>
      <c r="BK540" s="294" t="s">
        <v>16</v>
      </c>
      <c r="BL540" s="157" t="s">
        <v>16</v>
      </c>
      <c r="BM540" s="548" t="s">
        <v>1339</v>
      </c>
      <c r="BN540" s="548" t="s">
        <v>1339</v>
      </c>
      <c r="BO540" s="157" t="s">
        <v>4364</v>
      </c>
      <c r="BP540" s="548" t="s">
        <v>2292</v>
      </c>
      <c r="BQ540" s="157" t="s">
        <v>4361</v>
      </c>
      <c r="BR540" s="157"/>
    </row>
    <row r="541" spans="1:70" x14ac:dyDescent="0.25">
      <c r="A541" s="19" t="s">
        <v>3686</v>
      </c>
      <c r="B541" s="37" t="s">
        <v>3835</v>
      </c>
      <c r="C541" s="90">
        <v>45193.903043981481</v>
      </c>
      <c r="D541" s="114">
        <v>45193.653043981481</v>
      </c>
      <c r="E541" s="38">
        <v>45193</v>
      </c>
      <c r="F541" s="91">
        <v>2023</v>
      </c>
      <c r="G541" s="93">
        <v>9</v>
      </c>
      <c r="H541" s="37" t="s">
        <v>606</v>
      </c>
      <c r="I541" s="37"/>
      <c r="J541" s="103">
        <v>-92.235894223201797</v>
      </c>
      <c r="K541" s="40">
        <v>44.23085623631674</v>
      </c>
      <c r="L541" s="74"/>
      <c r="M541" s="272" t="s">
        <v>3836</v>
      </c>
      <c r="N541" s="74">
        <v>1</v>
      </c>
      <c r="O541" s="94"/>
      <c r="P541" s="118">
        <v>1</v>
      </c>
      <c r="Q541" s="510">
        <v>120</v>
      </c>
      <c r="R541" s="513">
        <v>180</v>
      </c>
      <c r="S541" s="41"/>
      <c r="T541" s="40"/>
      <c r="U541" s="40">
        <v>7</v>
      </c>
      <c r="V541" s="119">
        <v>1</v>
      </c>
      <c r="W541" s="40">
        <v>300</v>
      </c>
      <c r="X541" s="119">
        <v>1</v>
      </c>
      <c r="Y541" s="40">
        <v>60</v>
      </c>
      <c r="Z541" s="119">
        <v>1</v>
      </c>
      <c r="AA541" s="368">
        <v>0</v>
      </c>
      <c r="AB541" s="535">
        <v>5</v>
      </c>
      <c r="AC541" s="39" t="s">
        <v>160</v>
      </c>
      <c r="AD541" s="75" t="s">
        <v>10</v>
      </c>
      <c r="AE541" s="95">
        <v>0</v>
      </c>
      <c r="AF541" s="75">
        <v>0</v>
      </c>
      <c r="AG541" s="75">
        <v>0</v>
      </c>
      <c r="AH541" s="75">
        <v>0</v>
      </c>
      <c r="AI541" s="75">
        <v>0</v>
      </c>
      <c r="AJ541" s="75">
        <v>0</v>
      </c>
      <c r="AK541" s="75">
        <v>0</v>
      </c>
      <c r="AL541" s="95">
        <v>1</v>
      </c>
      <c r="AM541" s="92">
        <v>0</v>
      </c>
      <c r="AN541" s="79" t="s">
        <v>80</v>
      </c>
      <c r="AO541" s="75">
        <v>1</v>
      </c>
      <c r="AP541" s="75" t="s">
        <v>83</v>
      </c>
      <c r="AQ541" s="122">
        <v>1</v>
      </c>
      <c r="AR541" s="515" t="s">
        <v>10</v>
      </c>
      <c r="AS541" s="95">
        <v>0</v>
      </c>
      <c r="AT541" s="75">
        <v>0</v>
      </c>
      <c r="AU541" s="75">
        <v>0</v>
      </c>
      <c r="AV541" s="75">
        <v>0</v>
      </c>
      <c r="AW541" s="123">
        <v>0</v>
      </c>
      <c r="AX541" s="516" t="s">
        <v>3837</v>
      </c>
      <c r="AY541" s="75">
        <v>1</v>
      </c>
      <c r="AZ541" s="77" t="s">
        <v>131</v>
      </c>
      <c r="BA541" s="78" t="s">
        <v>131</v>
      </c>
      <c r="BB541" s="78" t="s">
        <v>131</v>
      </c>
      <c r="BC541" s="78" t="s">
        <v>131</v>
      </c>
      <c r="BD541" s="78" t="s">
        <v>131</v>
      </c>
      <c r="BE541" s="78" t="s">
        <v>131</v>
      </c>
      <c r="BF541" s="78" t="s">
        <v>131</v>
      </c>
      <c r="BG541" s="78" t="s">
        <v>132</v>
      </c>
      <c r="BH541" s="75" t="s">
        <v>5970</v>
      </c>
      <c r="BI541" s="295" t="s">
        <v>3966</v>
      </c>
      <c r="BJ541" s="546">
        <v>1</v>
      </c>
      <c r="BK541" s="294">
        <v>1</v>
      </c>
      <c r="BL541" s="157">
        <v>1</v>
      </c>
      <c r="BM541" s="548" t="s">
        <v>1339</v>
      </c>
      <c r="BN541" s="548" t="s">
        <v>1339</v>
      </c>
      <c r="BO541" s="157" t="s">
        <v>4334</v>
      </c>
      <c r="BP541" s="548" t="s">
        <v>3966</v>
      </c>
      <c r="BQ541" s="157" t="s">
        <v>4330</v>
      </c>
      <c r="BR541" s="157"/>
    </row>
    <row r="542" spans="1:70" x14ac:dyDescent="0.25">
      <c r="A542" s="19" t="s">
        <v>3686</v>
      </c>
      <c r="B542" s="37" t="s">
        <v>3838</v>
      </c>
      <c r="C542" s="90">
        <v>45192.865983796299</v>
      </c>
      <c r="D542" s="114">
        <v>45192.615983796299</v>
      </c>
      <c r="E542" s="38">
        <v>45192</v>
      </c>
      <c r="F542" s="91">
        <v>2023</v>
      </c>
      <c r="G542" s="93">
        <v>9</v>
      </c>
      <c r="H542" s="37" t="s">
        <v>2441</v>
      </c>
      <c r="I542" s="37"/>
      <c r="J542" s="103">
        <v>-91.187728199999995</v>
      </c>
      <c r="K542" s="40">
        <v>43.7495592</v>
      </c>
      <c r="L542" s="74"/>
      <c r="M542" s="272" t="s">
        <v>16</v>
      </c>
      <c r="N542" s="74">
        <v>0</v>
      </c>
      <c r="O542" s="94"/>
      <c r="P542" s="118">
        <v>1</v>
      </c>
      <c r="Q542" s="510">
        <v>80</v>
      </c>
      <c r="R542" s="513">
        <v>120</v>
      </c>
      <c r="S542" s="41"/>
      <c r="T542" s="40"/>
      <c r="U542" s="40">
        <v>7.5</v>
      </c>
      <c r="V542" s="119">
        <v>0</v>
      </c>
      <c r="W542" s="40"/>
      <c r="X542" s="119">
        <v>1</v>
      </c>
      <c r="Y542" s="40">
        <v>62</v>
      </c>
      <c r="Z542" s="119">
        <v>1</v>
      </c>
      <c r="AA542" s="368">
        <v>0</v>
      </c>
      <c r="AB542" s="535">
        <v>2</v>
      </c>
      <c r="AC542" s="39" t="s">
        <v>160</v>
      </c>
      <c r="AD542" s="75" t="s">
        <v>8</v>
      </c>
      <c r="AE542" s="95">
        <v>0</v>
      </c>
      <c r="AF542" s="75">
        <v>1</v>
      </c>
      <c r="AG542" s="75">
        <v>0</v>
      </c>
      <c r="AH542" s="75">
        <v>0</v>
      </c>
      <c r="AI542" s="75">
        <v>0</v>
      </c>
      <c r="AJ542" s="75">
        <v>0</v>
      </c>
      <c r="AK542" s="75">
        <v>0</v>
      </c>
      <c r="AL542" s="95">
        <v>0</v>
      </c>
      <c r="AM542" s="92">
        <v>0</v>
      </c>
      <c r="AN542" s="79" t="s">
        <v>81</v>
      </c>
      <c r="AO542" s="75">
        <v>1</v>
      </c>
      <c r="AP542" s="75" t="s">
        <v>85</v>
      </c>
      <c r="AQ542" s="122">
        <v>1</v>
      </c>
      <c r="AR542" s="515" t="s">
        <v>13</v>
      </c>
      <c r="AS542" s="95">
        <v>1</v>
      </c>
      <c r="AT542" s="75">
        <v>0</v>
      </c>
      <c r="AU542" s="75">
        <v>0</v>
      </c>
      <c r="AV542" s="75">
        <v>0</v>
      </c>
      <c r="AW542" s="123">
        <v>0</v>
      </c>
      <c r="AX542" s="516"/>
      <c r="AY542" s="75">
        <v>0</v>
      </c>
      <c r="AZ542" s="77" t="s">
        <v>131</v>
      </c>
      <c r="BA542" s="78" t="s">
        <v>132</v>
      </c>
      <c r="BB542" s="78" t="s">
        <v>131</v>
      </c>
      <c r="BC542" s="78" t="s">
        <v>131</v>
      </c>
      <c r="BD542" s="78" t="s">
        <v>131</v>
      </c>
      <c r="BE542" s="78" t="s">
        <v>131</v>
      </c>
      <c r="BF542" s="78" t="s">
        <v>131</v>
      </c>
      <c r="BG542" s="78" t="s">
        <v>131</v>
      </c>
      <c r="BH542" s="75" t="s">
        <v>5970</v>
      </c>
      <c r="BI542" s="295" t="s">
        <v>2274</v>
      </c>
      <c r="BJ542" s="546">
        <v>1</v>
      </c>
      <c r="BK542" s="294" t="s">
        <v>16</v>
      </c>
      <c r="BL542" s="157" t="s">
        <v>16</v>
      </c>
      <c r="BM542" s="548" t="s">
        <v>1342</v>
      </c>
      <c r="BN542" s="548" t="s">
        <v>1342</v>
      </c>
      <c r="BO542" s="157" t="s">
        <v>4335</v>
      </c>
      <c r="BP542" s="548" t="s">
        <v>2274</v>
      </c>
      <c r="BQ542" s="157" t="s">
        <v>4236</v>
      </c>
      <c r="BR542" s="157"/>
    </row>
    <row r="543" spans="1:70" x14ac:dyDescent="0.25">
      <c r="A543" s="19" t="s">
        <v>3686</v>
      </c>
      <c r="B543" s="37" t="s">
        <v>3839</v>
      </c>
      <c r="C543" s="90">
        <v>45192.837824074071</v>
      </c>
      <c r="D543" s="114">
        <v>45192.587824074071</v>
      </c>
      <c r="E543" s="38">
        <v>45192</v>
      </c>
      <c r="F543" s="91">
        <v>2023</v>
      </c>
      <c r="G543" s="93">
        <v>9</v>
      </c>
      <c r="H543" s="37" t="s">
        <v>2441</v>
      </c>
      <c r="I543" s="37"/>
      <c r="J543" s="103">
        <v>-91.061658699999995</v>
      </c>
      <c r="K543" s="40">
        <v>43.756051900000003</v>
      </c>
      <c r="L543" s="74"/>
      <c r="M543" s="272" t="s">
        <v>16</v>
      </c>
      <c r="N543" s="74">
        <v>0</v>
      </c>
      <c r="O543" s="94"/>
      <c r="P543" s="118">
        <v>1</v>
      </c>
      <c r="Q543" s="510">
        <v>120</v>
      </c>
      <c r="R543" s="513">
        <v>180</v>
      </c>
      <c r="S543" s="41"/>
      <c r="T543" s="40"/>
      <c r="U543" s="40">
        <v>7.5</v>
      </c>
      <c r="V543" s="119">
        <v>0</v>
      </c>
      <c r="W543" s="40"/>
      <c r="X543" s="119">
        <v>1</v>
      </c>
      <c r="Y543" s="40">
        <v>60</v>
      </c>
      <c r="Z543" s="119">
        <v>1</v>
      </c>
      <c r="AA543" s="368">
        <v>0</v>
      </c>
      <c r="AB543" s="535">
        <v>2</v>
      </c>
      <c r="AC543" s="39" t="s">
        <v>160</v>
      </c>
      <c r="AD543" s="75" t="s">
        <v>10</v>
      </c>
      <c r="AE543" s="95">
        <v>0</v>
      </c>
      <c r="AF543" s="75">
        <v>0</v>
      </c>
      <c r="AG543" s="75">
        <v>0</v>
      </c>
      <c r="AH543" s="75">
        <v>0</v>
      </c>
      <c r="AI543" s="75">
        <v>0</v>
      </c>
      <c r="AJ543" s="75">
        <v>0</v>
      </c>
      <c r="AK543" s="75">
        <v>0</v>
      </c>
      <c r="AL543" s="95">
        <v>1</v>
      </c>
      <c r="AM543" s="92">
        <v>0</v>
      </c>
      <c r="AN543" s="79" t="s">
        <v>80</v>
      </c>
      <c r="AO543" s="75">
        <v>1</v>
      </c>
      <c r="AP543" s="75" t="s">
        <v>83</v>
      </c>
      <c r="AQ543" s="122">
        <v>1</v>
      </c>
      <c r="AR543" s="515" t="s">
        <v>13</v>
      </c>
      <c r="AS543" s="95">
        <v>1</v>
      </c>
      <c r="AT543" s="75">
        <v>0</v>
      </c>
      <c r="AU543" s="75">
        <v>0</v>
      </c>
      <c r="AV543" s="75">
        <v>0</v>
      </c>
      <c r="AW543" s="123">
        <v>0</v>
      </c>
      <c r="AX543" s="516" t="s">
        <v>3840</v>
      </c>
      <c r="AY543" s="75">
        <v>1</v>
      </c>
      <c r="AZ543" s="77" t="s">
        <v>131</v>
      </c>
      <c r="BA543" s="78" t="s">
        <v>131</v>
      </c>
      <c r="BB543" s="78" t="s">
        <v>131</v>
      </c>
      <c r="BC543" s="78" t="s">
        <v>131</v>
      </c>
      <c r="BD543" s="78" t="s">
        <v>131</v>
      </c>
      <c r="BE543" s="78" t="s">
        <v>131</v>
      </c>
      <c r="BF543" s="78" t="s">
        <v>131</v>
      </c>
      <c r="BG543" s="78" t="s">
        <v>132</v>
      </c>
      <c r="BH543" s="75" t="s">
        <v>5970</v>
      </c>
      <c r="BI543" s="295" t="s">
        <v>2274</v>
      </c>
      <c r="BJ543" s="546">
        <v>1</v>
      </c>
      <c r="BK543" s="294">
        <v>1</v>
      </c>
      <c r="BL543" s="157">
        <v>1</v>
      </c>
      <c r="BM543" s="548" t="s">
        <v>1342</v>
      </c>
      <c r="BN543" s="548" t="s">
        <v>1342</v>
      </c>
      <c r="BO543" s="157" t="s">
        <v>4335</v>
      </c>
      <c r="BP543" s="548" t="s">
        <v>2274</v>
      </c>
      <c r="BQ543" s="157" t="s">
        <v>4236</v>
      </c>
      <c r="BR543" s="157"/>
    </row>
    <row r="544" spans="1:70" x14ac:dyDescent="0.25">
      <c r="A544" s="19" t="s">
        <v>3686</v>
      </c>
      <c r="B544" s="37" t="s">
        <v>3841</v>
      </c>
      <c r="C544" s="90">
        <v>45192.782187500001</v>
      </c>
      <c r="D544" s="114">
        <v>45192.532187500001</v>
      </c>
      <c r="E544" s="38">
        <v>45192</v>
      </c>
      <c r="F544" s="91">
        <v>2023</v>
      </c>
      <c r="G544" s="93">
        <v>9</v>
      </c>
      <c r="H544" s="37" t="s">
        <v>2441</v>
      </c>
      <c r="I544" s="37"/>
      <c r="J544" s="103">
        <v>-90.774885699999999</v>
      </c>
      <c r="K544" s="40">
        <v>43.799038199999998</v>
      </c>
      <c r="L544" s="74"/>
      <c r="M544" s="272" t="s">
        <v>16</v>
      </c>
      <c r="N544" s="74">
        <v>0</v>
      </c>
      <c r="O544" s="94"/>
      <c r="P544" s="118">
        <v>1</v>
      </c>
      <c r="Q544" s="510">
        <v>0</v>
      </c>
      <c r="R544" s="513">
        <v>60</v>
      </c>
      <c r="S544" s="41"/>
      <c r="T544" s="40"/>
      <c r="U544" s="40">
        <v>7.5</v>
      </c>
      <c r="V544" s="119">
        <v>0</v>
      </c>
      <c r="W544" s="40"/>
      <c r="X544" s="119">
        <v>1</v>
      </c>
      <c r="Y544" s="40">
        <v>62</v>
      </c>
      <c r="Z544" s="119">
        <v>1</v>
      </c>
      <c r="AA544" s="368">
        <v>0</v>
      </c>
      <c r="AB544" s="535">
        <v>2</v>
      </c>
      <c r="AC544" s="39" t="s">
        <v>160</v>
      </c>
      <c r="AD544" s="75" t="s">
        <v>16</v>
      </c>
      <c r="AE544" s="95">
        <v>-1</v>
      </c>
      <c r="AF544" s="75">
        <v>-1</v>
      </c>
      <c r="AG544" s="75">
        <v>-1</v>
      </c>
      <c r="AH544" s="75">
        <v>-1</v>
      </c>
      <c r="AI544" s="75">
        <v>-1</v>
      </c>
      <c r="AJ544" s="75">
        <v>-1</v>
      </c>
      <c r="AK544" s="75">
        <v>-1</v>
      </c>
      <c r="AL544" s="95">
        <v>-1</v>
      </c>
      <c r="AM544" s="92">
        <v>1</v>
      </c>
      <c r="AN544" s="79" t="s">
        <v>80</v>
      </c>
      <c r="AO544" s="75">
        <v>1</v>
      </c>
      <c r="AP544" s="75" t="s">
        <v>85</v>
      </c>
      <c r="AQ544" s="122">
        <v>1</v>
      </c>
      <c r="AR544" s="515" t="s">
        <v>13</v>
      </c>
      <c r="AS544" s="95">
        <v>1</v>
      </c>
      <c r="AT544" s="75">
        <v>0</v>
      </c>
      <c r="AU544" s="75">
        <v>0</v>
      </c>
      <c r="AV544" s="75">
        <v>0</v>
      </c>
      <c r="AW544" s="123">
        <v>0</v>
      </c>
      <c r="AX544" s="516" t="s">
        <v>3842</v>
      </c>
      <c r="AY544" s="75">
        <v>1</v>
      </c>
      <c r="AZ544" s="77" t="s">
        <v>5971</v>
      </c>
      <c r="BA544" s="78" t="s">
        <v>5971</v>
      </c>
      <c r="BB544" s="78" t="s">
        <v>5971</v>
      </c>
      <c r="BC544" s="78" t="s">
        <v>5971</v>
      </c>
      <c r="BD544" s="78" t="s">
        <v>5971</v>
      </c>
      <c r="BE544" s="78" t="s">
        <v>5971</v>
      </c>
      <c r="BF544" s="78" t="s">
        <v>5971</v>
      </c>
      <c r="BG544" s="78" t="s">
        <v>5971</v>
      </c>
      <c r="BH544" s="75" t="s">
        <v>5971</v>
      </c>
      <c r="BI544" s="295" t="s">
        <v>3968</v>
      </c>
      <c r="BJ544" s="546">
        <v>1</v>
      </c>
      <c r="BK544" s="294" t="s">
        <v>16</v>
      </c>
      <c r="BL544" s="157" t="s">
        <v>16</v>
      </c>
      <c r="BM544" s="548" t="s">
        <v>1342</v>
      </c>
      <c r="BN544" s="548" t="s">
        <v>1342</v>
      </c>
      <c r="BO544" s="157" t="s">
        <v>4338</v>
      </c>
      <c r="BP544" s="548" t="s">
        <v>4340</v>
      </c>
      <c r="BQ544" s="157" t="s">
        <v>4337</v>
      </c>
      <c r="BR544" s="157"/>
    </row>
    <row r="545" spans="1:70" x14ac:dyDescent="0.25">
      <c r="A545" s="19" t="s">
        <v>3686</v>
      </c>
      <c r="B545" s="37" t="s">
        <v>3843</v>
      </c>
      <c r="C545" s="90">
        <v>45192.742361111108</v>
      </c>
      <c r="D545" s="114">
        <v>45192.492361111108</v>
      </c>
      <c r="E545" s="38">
        <v>45192</v>
      </c>
      <c r="F545" s="91">
        <v>2023</v>
      </c>
      <c r="G545" s="93">
        <v>9</v>
      </c>
      <c r="H545" s="37" t="s">
        <v>2441</v>
      </c>
      <c r="I545" s="37"/>
      <c r="J545" s="103">
        <v>-90.755493799999996</v>
      </c>
      <c r="K545" s="40">
        <v>43.815704199999999</v>
      </c>
      <c r="L545" s="74"/>
      <c r="M545" s="272" t="s">
        <v>16</v>
      </c>
      <c r="N545" s="74">
        <v>0</v>
      </c>
      <c r="O545" s="94"/>
      <c r="P545" s="118">
        <v>1</v>
      </c>
      <c r="Q545" s="510">
        <v>120</v>
      </c>
      <c r="R545" s="513">
        <v>120</v>
      </c>
      <c r="S545" s="41"/>
      <c r="T545" s="40"/>
      <c r="U545" s="40">
        <v>7.5</v>
      </c>
      <c r="V545" s="119">
        <v>0</v>
      </c>
      <c r="W545" s="40"/>
      <c r="X545" s="119">
        <v>1</v>
      </c>
      <c r="Y545" s="40">
        <v>59</v>
      </c>
      <c r="Z545" s="119">
        <v>1</v>
      </c>
      <c r="AA545" s="368">
        <v>0</v>
      </c>
      <c r="AB545" s="535">
        <v>1</v>
      </c>
      <c r="AC545" s="39" t="s">
        <v>160</v>
      </c>
      <c r="AD545" s="75" t="s">
        <v>10</v>
      </c>
      <c r="AE545" s="95">
        <v>0</v>
      </c>
      <c r="AF545" s="75">
        <v>0</v>
      </c>
      <c r="AG545" s="75">
        <v>0</v>
      </c>
      <c r="AH545" s="75">
        <v>0</v>
      </c>
      <c r="AI545" s="75">
        <v>0</v>
      </c>
      <c r="AJ545" s="75">
        <v>0</v>
      </c>
      <c r="AK545" s="75">
        <v>0</v>
      </c>
      <c r="AL545" s="95">
        <v>1</v>
      </c>
      <c r="AM545" s="92">
        <v>0</v>
      </c>
      <c r="AN545" s="79" t="s">
        <v>80</v>
      </c>
      <c r="AO545" s="75">
        <v>1</v>
      </c>
      <c r="AP545" s="75" t="s">
        <v>84</v>
      </c>
      <c r="AQ545" s="122">
        <v>1</v>
      </c>
      <c r="AR545" s="515" t="s">
        <v>13</v>
      </c>
      <c r="AS545" s="95">
        <v>1</v>
      </c>
      <c r="AT545" s="75">
        <v>0</v>
      </c>
      <c r="AU545" s="75">
        <v>0</v>
      </c>
      <c r="AV545" s="75">
        <v>0</v>
      </c>
      <c r="AW545" s="123">
        <v>0</v>
      </c>
      <c r="AX545" s="516" t="s">
        <v>3844</v>
      </c>
      <c r="AY545" s="75">
        <v>1</v>
      </c>
      <c r="AZ545" s="77" t="s">
        <v>131</v>
      </c>
      <c r="BA545" s="78" t="s">
        <v>131</v>
      </c>
      <c r="BB545" s="78" t="s">
        <v>131</v>
      </c>
      <c r="BC545" s="78" t="s">
        <v>131</v>
      </c>
      <c r="BD545" s="78" t="s">
        <v>131</v>
      </c>
      <c r="BE545" s="78" t="s">
        <v>131</v>
      </c>
      <c r="BF545" s="78" t="s">
        <v>131</v>
      </c>
      <c r="BG545" s="78" t="s">
        <v>132</v>
      </c>
      <c r="BH545" s="75" t="s">
        <v>5970</v>
      </c>
      <c r="BI545" s="295">
        <v>0</v>
      </c>
      <c r="BJ545" s="546">
        <v>1</v>
      </c>
      <c r="BK545" s="294" t="s">
        <v>16</v>
      </c>
      <c r="BL545" s="157" t="s">
        <v>16</v>
      </c>
      <c r="BM545" s="548" t="s">
        <v>1342</v>
      </c>
      <c r="BN545" s="548" t="s">
        <v>1342</v>
      </c>
      <c r="BO545" s="157" t="s">
        <v>4338</v>
      </c>
      <c r="BP545" s="548" t="s">
        <v>4340</v>
      </c>
      <c r="BQ545" s="157" t="s">
        <v>4337</v>
      </c>
      <c r="BR545" s="157"/>
    </row>
    <row r="546" spans="1:70" x14ac:dyDescent="0.25">
      <c r="A546" s="19" t="s">
        <v>3686</v>
      </c>
      <c r="B546" s="37" t="s">
        <v>3845</v>
      </c>
      <c r="C546" s="90">
        <v>45192.698865740742</v>
      </c>
      <c r="D546" s="114">
        <v>45192.448865740742</v>
      </c>
      <c r="E546" s="38">
        <v>45192</v>
      </c>
      <c r="F546" s="91">
        <v>2023</v>
      </c>
      <c r="G546" s="93">
        <v>9</v>
      </c>
      <c r="H546" s="37" t="s">
        <v>2441</v>
      </c>
      <c r="I546" s="37"/>
      <c r="J546" s="103">
        <v>-90.768414399999997</v>
      </c>
      <c r="K546" s="40">
        <v>43.835720500000001</v>
      </c>
      <c r="L546" s="74"/>
      <c r="M546" s="272" t="s">
        <v>16</v>
      </c>
      <c r="N546" s="74">
        <v>0</v>
      </c>
      <c r="O546" s="94"/>
      <c r="P546" s="118">
        <v>1</v>
      </c>
      <c r="Q546" s="510">
        <v>40</v>
      </c>
      <c r="R546" s="513">
        <v>180</v>
      </c>
      <c r="S546" s="41"/>
      <c r="T546" s="40"/>
      <c r="U546" s="40">
        <v>7.5</v>
      </c>
      <c r="V546" s="119">
        <v>0</v>
      </c>
      <c r="W546" s="40"/>
      <c r="X546" s="119">
        <v>1</v>
      </c>
      <c r="Y546" s="40">
        <v>60</v>
      </c>
      <c r="Z546" s="119">
        <v>1</v>
      </c>
      <c r="AA546" s="368">
        <v>0</v>
      </c>
      <c r="AB546" s="535">
        <v>2</v>
      </c>
      <c r="AC546" s="39" t="s">
        <v>160</v>
      </c>
      <c r="AD546" s="75" t="s">
        <v>551</v>
      </c>
      <c r="AE546" s="95">
        <v>0</v>
      </c>
      <c r="AF546" s="75">
        <v>0</v>
      </c>
      <c r="AG546" s="75">
        <v>0</v>
      </c>
      <c r="AH546" s="75">
        <v>0</v>
      </c>
      <c r="AI546" s="75">
        <v>1</v>
      </c>
      <c r="AJ546" s="75">
        <v>0</v>
      </c>
      <c r="AK546" s="75">
        <v>0</v>
      </c>
      <c r="AL546" s="95">
        <v>0</v>
      </c>
      <c r="AM546" s="92">
        <v>0</v>
      </c>
      <c r="AN546" s="79" t="s">
        <v>195</v>
      </c>
      <c r="AO546" s="75">
        <v>1</v>
      </c>
      <c r="AP546" s="75" t="s">
        <v>85</v>
      </c>
      <c r="AQ546" s="122">
        <v>1</v>
      </c>
      <c r="AR546" s="515" t="s">
        <v>904</v>
      </c>
      <c r="AS546" s="95">
        <v>1</v>
      </c>
      <c r="AT546" s="75">
        <v>1</v>
      </c>
      <c r="AU546" s="75">
        <v>0</v>
      </c>
      <c r="AV546" s="75">
        <v>0</v>
      </c>
      <c r="AW546" s="123">
        <v>0</v>
      </c>
      <c r="AX546" s="516" t="s">
        <v>3846</v>
      </c>
      <c r="AY546" s="75">
        <v>1</v>
      </c>
      <c r="AZ546" s="77" t="s">
        <v>131</v>
      </c>
      <c r="BA546" s="78" t="s">
        <v>131</v>
      </c>
      <c r="BB546" s="78" t="s">
        <v>131</v>
      </c>
      <c r="BC546" s="78" t="s">
        <v>131</v>
      </c>
      <c r="BD546" s="78" t="s">
        <v>132</v>
      </c>
      <c r="BE546" s="78" t="s">
        <v>131</v>
      </c>
      <c r="BF546" s="78" t="s">
        <v>131</v>
      </c>
      <c r="BG546" s="78" t="s">
        <v>131</v>
      </c>
      <c r="BH546" s="75" t="s">
        <v>5970</v>
      </c>
      <c r="BI546" s="295" t="s">
        <v>16</v>
      </c>
      <c r="BJ546" s="546">
        <v>1</v>
      </c>
      <c r="BK546" s="294" t="s">
        <v>16</v>
      </c>
      <c r="BL546" s="157" t="s">
        <v>16</v>
      </c>
      <c r="BM546" s="548" t="s">
        <v>1342</v>
      </c>
      <c r="BN546" s="548" t="s">
        <v>1342</v>
      </c>
      <c r="BO546" s="157" t="s">
        <v>4338</v>
      </c>
      <c r="BP546" s="548" t="s">
        <v>4340</v>
      </c>
      <c r="BQ546" s="157" t="s">
        <v>4337</v>
      </c>
      <c r="BR546" s="157"/>
    </row>
    <row r="547" spans="1:70" x14ac:dyDescent="0.25">
      <c r="A547" s="19" t="s">
        <v>3686</v>
      </c>
      <c r="B547" s="37" t="s">
        <v>3847</v>
      </c>
      <c r="C547" s="90">
        <v>45192.609976851854</v>
      </c>
      <c r="D547" s="114">
        <v>45192.359976851854</v>
      </c>
      <c r="E547" s="38">
        <v>45192</v>
      </c>
      <c r="F547" s="91">
        <v>2023</v>
      </c>
      <c r="G547" s="93">
        <v>9</v>
      </c>
      <c r="H547" s="37" t="s">
        <v>2441</v>
      </c>
      <c r="I547" s="37"/>
      <c r="J547" s="103">
        <v>-90.806591699999998</v>
      </c>
      <c r="K547" s="40">
        <v>43.843738500000001</v>
      </c>
      <c r="L547" s="74"/>
      <c r="M547" s="272" t="s">
        <v>16</v>
      </c>
      <c r="N547" s="74">
        <v>0</v>
      </c>
      <c r="O547" s="94"/>
      <c r="P547" s="118">
        <v>1</v>
      </c>
      <c r="Q547" s="510">
        <v>180</v>
      </c>
      <c r="R547" s="513">
        <v>180</v>
      </c>
      <c r="S547" s="41"/>
      <c r="T547" s="40"/>
      <c r="U547" s="40">
        <v>7.5</v>
      </c>
      <c r="V547" s="119">
        <v>1</v>
      </c>
      <c r="W547" s="40">
        <v>100</v>
      </c>
      <c r="X547" s="119">
        <v>1</v>
      </c>
      <c r="Y547" s="40">
        <v>61</v>
      </c>
      <c r="Z547" s="119">
        <v>1</v>
      </c>
      <c r="AA547" s="368">
        <v>0</v>
      </c>
      <c r="AB547" s="535">
        <v>0</v>
      </c>
      <c r="AC547" s="39" t="s">
        <v>160</v>
      </c>
      <c r="AD547" s="75" t="s">
        <v>8</v>
      </c>
      <c r="AE547" s="95">
        <v>0</v>
      </c>
      <c r="AF547" s="75">
        <v>1</v>
      </c>
      <c r="AG547" s="75">
        <v>0</v>
      </c>
      <c r="AH547" s="75">
        <v>0</v>
      </c>
      <c r="AI547" s="75">
        <v>0</v>
      </c>
      <c r="AJ547" s="75">
        <v>0</v>
      </c>
      <c r="AK547" s="75">
        <v>0</v>
      </c>
      <c r="AL547" s="95">
        <v>0</v>
      </c>
      <c r="AM547" s="92">
        <v>0</v>
      </c>
      <c r="AN547" s="79" t="s">
        <v>81</v>
      </c>
      <c r="AO547" s="75">
        <v>1</v>
      </c>
      <c r="AP547" s="75" t="s">
        <v>85</v>
      </c>
      <c r="AQ547" s="122">
        <v>1</v>
      </c>
      <c r="AR547" s="515" t="s">
        <v>13</v>
      </c>
      <c r="AS547" s="95">
        <v>1</v>
      </c>
      <c r="AT547" s="75">
        <v>0</v>
      </c>
      <c r="AU547" s="75">
        <v>0</v>
      </c>
      <c r="AV547" s="75">
        <v>0</v>
      </c>
      <c r="AW547" s="123">
        <v>0</v>
      </c>
      <c r="AX547" s="516" t="s">
        <v>3848</v>
      </c>
      <c r="AY547" s="75">
        <v>1</v>
      </c>
      <c r="AZ547" s="77" t="s">
        <v>131</v>
      </c>
      <c r="BA547" s="78" t="s">
        <v>132</v>
      </c>
      <c r="BB547" s="78" t="s">
        <v>131</v>
      </c>
      <c r="BC547" s="78" t="s">
        <v>131</v>
      </c>
      <c r="BD547" s="78" t="s">
        <v>131</v>
      </c>
      <c r="BE547" s="78" t="s">
        <v>131</v>
      </c>
      <c r="BF547" s="78" t="s">
        <v>131</v>
      </c>
      <c r="BG547" s="78" t="s">
        <v>131</v>
      </c>
      <c r="BH547" s="75" t="s">
        <v>5970</v>
      </c>
      <c r="BI547" s="295">
        <v>0</v>
      </c>
      <c r="BJ547" s="546">
        <v>1</v>
      </c>
      <c r="BK547" s="294" t="s">
        <v>16</v>
      </c>
      <c r="BL547" s="157" t="s">
        <v>16</v>
      </c>
      <c r="BM547" s="548" t="s">
        <v>1342</v>
      </c>
      <c r="BN547" s="548" t="s">
        <v>1342</v>
      </c>
      <c r="BO547" s="157" t="s">
        <v>4338</v>
      </c>
      <c r="BP547" s="548" t="s">
        <v>4340</v>
      </c>
      <c r="BQ547" s="157" t="s">
        <v>4337</v>
      </c>
      <c r="BR547" s="157"/>
    </row>
    <row r="548" spans="1:70" x14ac:dyDescent="0.25">
      <c r="A548" s="19" t="s">
        <v>3686</v>
      </c>
      <c r="B548" s="37" t="s">
        <v>3849</v>
      </c>
      <c r="C548" s="90">
        <v>45191.830324074072</v>
      </c>
      <c r="D548" s="114">
        <v>45191.580324074072</v>
      </c>
      <c r="E548" s="38">
        <v>45191</v>
      </c>
      <c r="F548" s="91">
        <v>2023</v>
      </c>
      <c r="G548" s="93">
        <v>9</v>
      </c>
      <c r="H548" s="37" t="s">
        <v>2457</v>
      </c>
      <c r="I548" s="37" t="s">
        <v>337</v>
      </c>
      <c r="J548" s="103">
        <v>-92.644958947059138</v>
      </c>
      <c r="K548" s="40">
        <v>44.843511257892793</v>
      </c>
      <c r="L548" s="74"/>
      <c r="M548" s="272" t="s">
        <v>3850</v>
      </c>
      <c r="N548" s="74">
        <v>1</v>
      </c>
      <c r="O548" s="94"/>
      <c r="P548" s="118">
        <v>1</v>
      </c>
      <c r="Q548" s="510">
        <v>120</v>
      </c>
      <c r="R548" s="513">
        <v>120</v>
      </c>
      <c r="S548" s="41"/>
      <c r="T548" s="40"/>
      <c r="U548" s="40">
        <v>8</v>
      </c>
      <c r="V548" s="119">
        <v>1</v>
      </c>
      <c r="W548" s="40">
        <v>0</v>
      </c>
      <c r="X548" s="119">
        <v>1</v>
      </c>
      <c r="Y548" s="40">
        <v>59</v>
      </c>
      <c r="Z548" s="119">
        <v>1</v>
      </c>
      <c r="AA548" s="368">
        <v>0</v>
      </c>
      <c r="AB548" s="535">
        <v>5</v>
      </c>
      <c r="AC548" s="39" t="s">
        <v>160</v>
      </c>
      <c r="AD548" s="75" t="s">
        <v>10</v>
      </c>
      <c r="AE548" s="95">
        <v>0</v>
      </c>
      <c r="AF548" s="75">
        <v>0</v>
      </c>
      <c r="AG548" s="75">
        <v>0</v>
      </c>
      <c r="AH548" s="75">
        <v>0</v>
      </c>
      <c r="AI548" s="75">
        <v>0</v>
      </c>
      <c r="AJ548" s="75">
        <v>0</v>
      </c>
      <c r="AK548" s="75">
        <v>0</v>
      </c>
      <c r="AL548" s="95">
        <v>1</v>
      </c>
      <c r="AM548" s="92">
        <v>0</v>
      </c>
      <c r="AN548" s="79" t="s">
        <v>80</v>
      </c>
      <c r="AO548" s="75">
        <v>1</v>
      </c>
      <c r="AP548" s="75" t="s">
        <v>83</v>
      </c>
      <c r="AQ548" s="122">
        <v>1</v>
      </c>
      <c r="AR548" s="515" t="s">
        <v>10</v>
      </c>
      <c r="AS548" s="95">
        <v>0</v>
      </c>
      <c r="AT548" s="75">
        <v>0</v>
      </c>
      <c r="AU548" s="75">
        <v>0</v>
      </c>
      <c r="AV548" s="75">
        <v>0</v>
      </c>
      <c r="AW548" s="123">
        <v>0</v>
      </c>
      <c r="AX548" s="516" t="s">
        <v>3851</v>
      </c>
      <c r="AY548" s="75">
        <v>1</v>
      </c>
      <c r="AZ548" s="77" t="s">
        <v>131</v>
      </c>
      <c r="BA548" s="78" t="s">
        <v>131</v>
      </c>
      <c r="BB548" s="78" t="s">
        <v>131</v>
      </c>
      <c r="BC548" s="78" t="s">
        <v>131</v>
      </c>
      <c r="BD548" s="78" t="s">
        <v>131</v>
      </c>
      <c r="BE548" s="78" t="s">
        <v>131</v>
      </c>
      <c r="BF548" s="78" t="s">
        <v>131</v>
      </c>
      <c r="BG548" s="78" t="s">
        <v>132</v>
      </c>
      <c r="BH548" s="75" t="s">
        <v>5970</v>
      </c>
      <c r="BI548" s="295" t="s">
        <v>2227</v>
      </c>
      <c r="BJ548" s="546">
        <v>1</v>
      </c>
      <c r="BK548" s="294" t="s">
        <v>16</v>
      </c>
      <c r="BL548" s="157" t="s">
        <v>16</v>
      </c>
      <c r="BM548" s="548" t="s">
        <v>578</v>
      </c>
      <c r="BN548" s="548" t="s">
        <v>578</v>
      </c>
      <c r="BO548" s="157" t="s">
        <v>4341</v>
      </c>
      <c r="BP548" s="548" t="s">
        <v>4343</v>
      </c>
      <c r="BQ548" s="157" t="s">
        <v>4309</v>
      </c>
      <c r="BR548" s="157"/>
    </row>
    <row r="549" spans="1:70" x14ac:dyDescent="0.25">
      <c r="A549" s="19" t="s">
        <v>3686</v>
      </c>
      <c r="B549" s="37" t="s">
        <v>3852</v>
      </c>
      <c r="C549" s="90">
        <v>45191.619027777779</v>
      </c>
      <c r="D549" s="114">
        <v>45191.369027777779</v>
      </c>
      <c r="E549" s="38">
        <v>45191</v>
      </c>
      <c r="F549" s="91">
        <v>2023</v>
      </c>
      <c r="G549" s="93">
        <v>9</v>
      </c>
      <c r="H549" s="37" t="s">
        <v>2475</v>
      </c>
      <c r="I549" s="37"/>
      <c r="J549" s="103">
        <v>-89.67474591180985</v>
      </c>
      <c r="K549" s="40">
        <v>43.398744219659271</v>
      </c>
      <c r="L549" s="74"/>
      <c r="M549" s="272" t="s">
        <v>3853</v>
      </c>
      <c r="N549" s="74">
        <v>1</v>
      </c>
      <c r="O549" s="94"/>
      <c r="P549" s="118">
        <v>1</v>
      </c>
      <c r="Q549" s="510">
        <v>180</v>
      </c>
      <c r="R549" s="513">
        <v>120</v>
      </c>
      <c r="S549" s="41"/>
      <c r="T549" s="40"/>
      <c r="U549" s="40">
        <v>7.5</v>
      </c>
      <c r="V549" s="119">
        <v>1</v>
      </c>
      <c r="W549" s="40">
        <v>100</v>
      </c>
      <c r="X549" s="119">
        <v>1</v>
      </c>
      <c r="Y549" s="40">
        <v>59</v>
      </c>
      <c r="Z549" s="119">
        <v>1</v>
      </c>
      <c r="AA549" s="368">
        <v>0</v>
      </c>
      <c r="AB549" s="535">
        <v>0</v>
      </c>
      <c r="AC549" s="39" t="s">
        <v>160</v>
      </c>
      <c r="AD549" s="75" t="s">
        <v>10</v>
      </c>
      <c r="AE549" s="95">
        <v>0</v>
      </c>
      <c r="AF549" s="75">
        <v>0</v>
      </c>
      <c r="AG549" s="75">
        <v>0</v>
      </c>
      <c r="AH549" s="75">
        <v>0</v>
      </c>
      <c r="AI549" s="75">
        <v>0</v>
      </c>
      <c r="AJ549" s="75">
        <v>0</v>
      </c>
      <c r="AK549" s="75">
        <v>0</v>
      </c>
      <c r="AL549" s="95">
        <v>1</v>
      </c>
      <c r="AM549" s="92">
        <v>0</v>
      </c>
      <c r="AN549" s="79" t="s">
        <v>80</v>
      </c>
      <c r="AO549" s="75">
        <v>1</v>
      </c>
      <c r="AP549" s="75" t="s">
        <v>83</v>
      </c>
      <c r="AQ549" s="122">
        <v>1</v>
      </c>
      <c r="AR549" s="515" t="s">
        <v>10</v>
      </c>
      <c r="AS549" s="95">
        <v>0</v>
      </c>
      <c r="AT549" s="75">
        <v>0</v>
      </c>
      <c r="AU549" s="75">
        <v>0</v>
      </c>
      <c r="AV549" s="75">
        <v>0</v>
      </c>
      <c r="AW549" s="123">
        <v>0</v>
      </c>
      <c r="AX549" s="516"/>
      <c r="AY549" s="75">
        <v>0</v>
      </c>
      <c r="AZ549" s="77" t="s">
        <v>131</v>
      </c>
      <c r="BA549" s="78" t="s">
        <v>131</v>
      </c>
      <c r="BB549" s="78" t="s">
        <v>131</v>
      </c>
      <c r="BC549" s="78" t="s">
        <v>131</v>
      </c>
      <c r="BD549" s="78" t="s">
        <v>131</v>
      </c>
      <c r="BE549" s="78" t="s">
        <v>131</v>
      </c>
      <c r="BF549" s="78" t="s">
        <v>131</v>
      </c>
      <c r="BG549" s="78" t="s">
        <v>132</v>
      </c>
      <c r="BH549" s="75" t="s">
        <v>5970</v>
      </c>
      <c r="BI549" s="295" t="s">
        <v>4075</v>
      </c>
      <c r="BJ549" s="546">
        <v>1</v>
      </c>
      <c r="BK549" s="294">
        <v>1</v>
      </c>
      <c r="BL549" s="157">
        <v>1</v>
      </c>
      <c r="BM549" s="548" t="s">
        <v>1346</v>
      </c>
      <c r="BN549" s="548" t="s">
        <v>4162</v>
      </c>
      <c r="BO549" s="157" t="s">
        <v>4345</v>
      </c>
      <c r="BP549" s="548" t="s">
        <v>4346</v>
      </c>
      <c r="BQ549" s="157" t="s">
        <v>4344</v>
      </c>
      <c r="BR549" s="157"/>
    </row>
    <row r="550" spans="1:70" x14ac:dyDescent="0.25">
      <c r="A550" s="19" t="s">
        <v>3686</v>
      </c>
      <c r="B550" s="37" t="s">
        <v>3854</v>
      </c>
      <c r="C550" s="90">
        <v>45190.647928240738</v>
      </c>
      <c r="D550" s="114">
        <v>45190.397928240738</v>
      </c>
      <c r="E550" s="38">
        <v>45190</v>
      </c>
      <c r="F550" s="91">
        <v>2023</v>
      </c>
      <c r="G550" s="93">
        <v>9</v>
      </c>
      <c r="H550" s="37" t="s">
        <v>2475</v>
      </c>
      <c r="I550" s="37"/>
      <c r="J550" s="103">
        <v>-89.713087117050819</v>
      </c>
      <c r="K550" s="40">
        <v>42.843240448511118</v>
      </c>
      <c r="L550" s="74"/>
      <c r="M550" s="272" t="s">
        <v>3855</v>
      </c>
      <c r="N550" s="74">
        <v>1</v>
      </c>
      <c r="O550" s="94"/>
      <c r="P550" s="118">
        <v>1</v>
      </c>
      <c r="Q550" s="510">
        <v>180</v>
      </c>
      <c r="R550" s="513">
        <v>120</v>
      </c>
      <c r="S550" s="41"/>
      <c r="T550" s="40"/>
      <c r="U550" s="40">
        <v>8</v>
      </c>
      <c r="V550" s="119">
        <v>0</v>
      </c>
      <c r="W550" s="40"/>
      <c r="X550" s="119">
        <v>1</v>
      </c>
      <c r="Y550" s="40">
        <v>63</v>
      </c>
      <c r="Z550" s="119">
        <v>1</v>
      </c>
      <c r="AA550" s="368">
        <v>0</v>
      </c>
      <c r="AB550" s="535">
        <v>2</v>
      </c>
      <c r="AC550" s="39" t="s">
        <v>160</v>
      </c>
      <c r="AD550" s="75" t="s">
        <v>16</v>
      </c>
      <c r="AE550" s="95">
        <v>-1</v>
      </c>
      <c r="AF550" s="75">
        <v>-1</v>
      </c>
      <c r="AG550" s="75">
        <v>-1</v>
      </c>
      <c r="AH550" s="75">
        <v>-1</v>
      </c>
      <c r="AI550" s="75">
        <v>-1</v>
      </c>
      <c r="AJ550" s="75">
        <v>-1</v>
      </c>
      <c r="AK550" s="75">
        <v>-1</v>
      </c>
      <c r="AL550" s="95">
        <v>-1</v>
      </c>
      <c r="AM550" s="92">
        <v>1</v>
      </c>
      <c r="AN550" s="79" t="s">
        <v>80</v>
      </c>
      <c r="AO550" s="75">
        <v>1</v>
      </c>
      <c r="AP550" s="75" t="s">
        <v>83</v>
      </c>
      <c r="AQ550" s="122">
        <v>1</v>
      </c>
      <c r="AR550" s="515" t="s">
        <v>10</v>
      </c>
      <c r="AS550" s="95">
        <v>0</v>
      </c>
      <c r="AT550" s="75">
        <v>0</v>
      </c>
      <c r="AU550" s="75">
        <v>0</v>
      </c>
      <c r="AV550" s="75">
        <v>0</v>
      </c>
      <c r="AW550" s="123">
        <v>0</v>
      </c>
      <c r="AX550" s="516"/>
      <c r="AY550" s="75">
        <v>0</v>
      </c>
      <c r="AZ550" s="77" t="s">
        <v>5971</v>
      </c>
      <c r="BA550" s="78" t="s">
        <v>5971</v>
      </c>
      <c r="BB550" s="78" t="s">
        <v>5971</v>
      </c>
      <c r="BC550" s="78" t="s">
        <v>5971</v>
      </c>
      <c r="BD550" s="78" t="s">
        <v>5971</v>
      </c>
      <c r="BE550" s="78" t="s">
        <v>5971</v>
      </c>
      <c r="BF550" s="78" t="s">
        <v>5971</v>
      </c>
      <c r="BG550" s="78" t="s">
        <v>5971</v>
      </c>
      <c r="BH550" s="75" t="s">
        <v>5971</v>
      </c>
      <c r="BI550" s="295" t="s">
        <v>4054</v>
      </c>
      <c r="BJ550" s="546" t="s">
        <v>16</v>
      </c>
      <c r="BK550" s="294" t="s">
        <v>16</v>
      </c>
      <c r="BL550" s="157" t="s">
        <v>16</v>
      </c>
      <c r="BM550" s="548" t="s">
        <v>1349</v>
      </c>
      <c r="BN550" s="548" t="s">
        <v>4162</v>
      </c>
      <c r="BO550" s="157" t="s">
        <v>4348</v>
      </c>
      <c r="BP550" s="548" t="s">
        <v>4349</v>
      </c>
      <c r="BQ550" s="157" t="s">
        <v>4347</v>
      </c>
      <c r="BR550" s="157"/>
    </row>
    <row r="551" spans="1:70" x14ac:dyDescent="0.25">
      <c r="A551" s="19" t="s">
        <v>3686</v>
      </c>
      <c r="B551" s="37" t="s">
        <v>3856</v>
      </c>
      <c r="C551" s="90">
        <v>45187.862511574072</v>
      </c>
      <c r="D551" s="114">
        <v>45187.612511574072</v>
      </c>
      <c r="E551" s="38">
        <v>45187</v>
      </c>
      <c r="F551" s="91">
        <v>2023</v>
      </c>
      <c r="G551" s="93">
        <v>9</v>
      </c>
      <c r="H551" s="37" t="s">
        <v>2475</v>
      </c>
      <c r="I551" s="37"/>
      <c r="J551" s="103">
        <v>-90.058501828545758</v>
      </c>
      <c r="K551" s="40">
        <v>42.906104740726889</v>
      </c>
      <c r="L551" s="74"/>
      <c r="M551" s="272" t="s">
        <v>3857</v>
      </c>
      <c r="N551" s="74">
        <v>1</v>
      </c>
      <c r="O551" s="94"/>
      <c r="P551" s="118">
        <v>1</v>
      </c>
      <c r="Q551" s="510">
        <v>180</v>
      </c>
      <c r="R551" s="513">
        <v>120</v>
      </c>
      <c r="S551" s="41"/>
      <c r="T551" s="40"/>
      <c r="U551" s="40">
        <v>8</v>
      </c>
      <c r="V551" s="119">
        <v>1</v>
      </c>
      <c r="W551" s="40">
        <v>0</v>
      </c>
      <c r="X551" s="119">
        <v>1</v>
      </c>
      <c r="Y551" s="40">
        <v>59</v>
      </c>
      <c r="Z551" s="119">
        <v>1</v>
      </c>
      <c r="AA551" s="368">
        <v>0</v>
      </c>
      <c r="AB551" s="535">
        <v>5</v>
      </c>
      <c r="AC551" s="39" t="s">
        <v>160</v>
      </c>
      <c r="AD551" s="75" t="s">
        <v>8</v>
      </c>
      <c r="AE551" s="95">
        <v>0</v>
      </c>
      <c r="AF551" s="75">
        <v>1</v>
      </c>
      <c r="AG551" s="75">
        <v>0</v>
      </c>
      <c r="AH551" s="75">
        <v>0</v>
      </c>
      <c r="AI551" s="75">
        <v>0</v>
      </c>
      <c r="AJ551" s="75">
        <v>0</v>
      </c>
      <c r="AK551" s="75">
        <v>0</v>
      </c>
      <c r="AL551" s="95">
        <v>0</v>
      </c>
      <c r="AM551" s="92">
        <v>0</v>
      </c>
      <c r="AN551" s="79" t="s">
        <v>80</v>
      </c>
      <c r="AO551" s="75">
        <v>1</v>
      </c>
      <c r="AP551" s="75" t="s">
        <v>83</v>
      </c>
      <c r="AQ551" s="122">
        <v>1</v>
      </c>
      <c r="AR551" s="515" t="s">
        <v>10</v>
      </c>
      <c r="AS551" s="95">
        <v>0</v>
      </c>
      <c r="AT551" s="75">
        <v>0</v>
      </c>
      <c r="AU551" s="75">
        <v>0</v>
      </c>
      <c r="AV551" s="75">
        <v>0</v>
      </c>
      <c r="AW551" s="123">
        <v>0</v>
      </c>
      <c r="AX551" s="516" t="s">
        <v>3858</v>
      </c>
      <c r="AY551" s="75">
        <v>1</v>
      </c>
      <c r="AZ551" s="77" t="s">
        <v>131</v>
      </c>
      <c r="BA551" s="78" t="s">
        <v>132</v>
      </c>
      <c r="BB551" s="78" t="s">
        <v>131</v>
      </c>
      <c r="BC551" s="78" t="s">
        <v>131</v>
      </c>
      <c r="BD551" s="78" t="s">
        <v>131</v>
      </c>
      <c r="BE551" s="78" t="s">
        <v>131</v>
      </c>
      <c r="BF551" s="78" t="s">
        <v>131</v>
      </c>
      <c r="BG551" s="78" t="s">
        <v>131</v>
      </c>
      <c r="BH551" s="75" t="s">
        <v>5970</v>
      </c>
      <c r="BI551" s="295" t="s">
        <v>4046</v>
      </c>
      <c r="BJ551" s="546">
        <v>1</v>
      </c>
      <c r="BK551" s="294" t="s">
        <v>16</v>
      </c>
      <c r="BL551" s="157" t="s">
        <v>16</v>
      </c>
      <c r="BM551" s="548" t="s">
        <v>1345</v>
      </c>
      <c r="BN551" s="548" t="s">
        <v>4162</v>
      </c>
      <c r="BO551" s="157" t="s">
        <v>4280</v>
      </c>
      <c r="BP551" s="548" t="s">
        <v>4282</v>
      </c>
      <c r="BQ551" s="157" t="s">
        <v>4279</v>
      </c>
      <c r="BR551" s="157"/>
    </row>
    <row r="552" spans="1:70" x14ac:dyDescent="0.25">
      <c r="A552" s="19" t="s">
        <v>3686</v>
      </c>
      <c r="B552" s="37" t="s">
        <v>3859</v>
      </c>
      <c r="C552" s="90">
        <v>45187.844155092593</v>
      </c>
      <c r="D552" s="114">
        <v>45187.594155092593</v>
      </c>
      <c r="E552" s="38">
        <v>45187</v>
      </c>
      <c r="F552" s="91">
        <v>2023</v>
      </c>
      <c r="G552" s="93">
        <v>9</v>
      </c>
      <c r="H552" s="37" t="s">
        <v>2475</v>
      </c>
      <c r="I552" s="37" t="s">
        <v>146</v>
      </c>
      <c r="J552" s="103">
        <v>-90.07353829228326</v>
      </c>
      <c r="K552" s="40">
        <v>42.898742579895213</v>
      </c>
      <c r="L552" s="74"/>
      <c r="M552" s="272" t="s">
        <v>3860</v>
      </c>
      <c r="N552" s="74">
        <v>1</v>
      </c>
      <c r="O552" s="94"/>
      <c r="P552" s="118">
        <v>1</v>
      </c>
      <c r="Q552" s="510">
        <v>180</v>
      </c>
      <c r="R552" s="513">
        <v>120</v>
      </c>
      <c r="S552" s="41"/>
      <c r="T552" s="40"/>
      <c r="U552" s="40">
        <v>8</v>
      </c>
      <c r="V552" s="119">
        <v>0</v>
      </c>
      <c r="W552" s="40"/>
      <c r="X552" s="119">
        <v>1</v>
      </c>
      <c r="Y552" s="40">
        <v>63</v>
      </c>
      <c r="Z552" s="119">
        <v>1</v>
      </c>
      <c r="AA552" s="368">
        <v>0</v>
      </c>
      <c r="AB552" s="535">
        <v>5</v>
      </c>
      <c r="AC552" s="39" t="s">
        <v>160</v>
      </c>
      <c r="AD552" s="75" t="s">
        <v>551</v>
      </c>
      <c r="AE552" s="95">
        <v>0</v>
      </c>
      <c r="AF552" s="75">
        <v>0</v>
      </c>
      <c r="AG552" s="75">
        <v>0</v>
      </c>
      <c r="AH552" s="75">
        <v>0</v>
      </c>
      <c r="AI552" s="75">
        <v>1</v>
      </c>
      <c r="AJ552" s="75">
        <v>0</v>
      </c>
      <c r="AK552" s="75">
        <v>0</v>
      </c>
      <c r="AL552" s="95">
        <v>0</v>
      </c>
      <c r="AM552" s="92">
        <v>0</v>
      </c>
      <c r="AN552" s="79" t="s">
        <v>80</v>
      </c>
      <c r="AO552" s="75">
        <v>1</v>
      </c>
      <c r="AP552" s="75" t="s">
        <v>83</v>
      </c>
      <c r="AQ552" s="122">
        <v>1</v>
      </c>
      <c r="AR552" s="515" t="s">
        <v>10</v>
      </c>
      <c r="AS552" s="95">
        <v>0</v>
      </c>
      <c r="AT552" s="75">
        <v>0</v>
      </c>
      <c r="AU552" s="75">
        <v>0</v>
      </c>
      <c r="AV552" s="75">
        <v>0</v>
      </c>
      <c r="AW552" s="123">
        <v>0</v>
      </c>
      <c r="AX552" s="516" t="s">
        <v>3861</v>
      </c>
      <c r="AY552" s="75">
        <v>1</v>
      </c>
      <c r="AZ552" s="77" t="s">
        <v>131</v>
      </c>
      <c r="BA552" s="78" t="s">
        <v>131</v>
      </c>
      <c r="BB552" s="78" t="s">
        <v>131</v>
      </c>
      <c r="BC552" s="78" t="s">
        <v>131</v>
      </c>
      <c r="BD552" s="78" t="s">
        <v>132</v>
      </c>
      <c r="BE552" s="78" t="s">
        <v>131</v>
      </c>
      <c r="BF552" s="78" t="s">
        <v>131</v>
      </c>
      <c r="BG552" s="78" t="s">
        <v>131</v>
      </c>
      <c r="BH552" s="75" t="s">
        <v>5970</v>
      </c>
      <c r="BI552" s="295" t="s">
        <v>4051</v>
      </c>
      <c r="BJ552" s="546">
        <v>1</v>
      </c>
      <c r="BK552" s="294" t="s">
        <v>16</v>
      </c>
      <c r="BL552" s="157" t="s">
        <v>16</v>
      </c>
      <c r="BM552" s="548" t="s">
        <v>1345</v>
      </c>
      <c r="BN552" s="548" t="s">
        <v>4162</v>
      </c>
      <c r="BO552" s="157" t="s">
        <v>4280</v>
      </c>
      <c r="BP552" s="548" t="s">
        <v>4282</v>
      </c>
      <c r="BQ552" s="157" t="s">
        <v>4279</v>
      </c>
      <c r="BR552" s="157"/>
    </row>
    <row r="553" spans="1:70" x14ac:dyDescent="0.25">
      <c r="A553" s="19" t="s">
        <v>3686</v>
      </c>
      <c r="B553" s="37" t="s">
        <v>3862</v>
      </c>
      <c r="C553" s="90">
        <v>45187.815833333334</v>
      </c>
      <c r="D553" s="114">
        <v>45187.565833333334</v>
      </c>
      <c r="E553" s="38">
        <v>45187</v>
      </c>
      <c r="F553" s="91">
        <v>2023</v>
      </c>
      <c r="G553" s="93">
        <v>9</v>
      </c>
      <c r="H553" s="37" t="s">
        <v>2475</v>
      </c>
      <c r="I553" s="37"/>
      <c r="J553" s="103">
        <v>-90.169061310673285</v>
      </c>
      <c r="K553" s="40">
        <v>42.821865105110057</v>
      </c>
      <c r="L553" s="74"/>
      <c r="M553" s="272" t="s">
        <v>3863</v>
      </c>
      <c r="N553" s="74">
        <v>1</v>
      </c>
      <c r="O553" s="94"/>
      <c r="P553" s="118">
        <v>1</v>
      </c>
      <c r="Q553" s="510">
        <v>120</v>
      </c>
      <c r="R553" s="513">
        <v>120</v>
      </c>
      <c r="S553" s="41"/>
      <c r="T553" s="40"/>
      <c r="U553" s="40">
        <v>8</v>
      </c>
      <c r="V553" s="119">
        <v>1</v>
      </c>
      <c r="W553" s="40">
        <v>100</v>
      </c>
      <c r="X553" s="119">
        <v>1</v>
      </c>
      <c r="Y553" s="40">
        <v>61</v>
      </c>
      <c r="Z553" s="119">
        <v>1</v>
      </c>
      <c r="AA553" s="368">
        <v>0</v>
      </c>
      <c r="AB553" s="535">
        <v>5</v>
      </c>
      <c r="AC553" s="39" t="s">
        <v>160</v>
      </c>
      <c r="AD553" s="75" t="s">
        <v>551</v>
      </c>
      <c r="AE553" s="95">
        <v>0</v>
      </c>
      <c r="AF553" s="75">
        <v>0</v>
      </c>
      <c r="AG553" s="75">
        <v>0</v>
      </c>
      <c r="AH553" s="75">
        <v>0</v>
      </c>
      <c r="AI553" s="75">
        <v>1</v>
      </c>
      <c r="AJ553" s="75">
        <v>0</v>
      </c>
      <c r="AK553" s="75">
        <v>0</v>
      </c>
      <c r="AL553" s="95">
        <v>0</v>
      </c>
      <c r="AM553" s="92">
        <v>0</v>
      </c>
      <c r="AN553" s="79" t="s">
        <v>80</v>
      </c>
      <c r="AO553" s="75">
        <v>1</v>
      </c>
      <c r="AP553" s="75" t="s">
        <v>83</v>
      </c>
      <c r="AQ553" s="122">
        <v>1</v>
      </c>
      <c r="AR553" s="515" t="s">
        <v>10</v>
      </c>
      <c r="AS553" s="95">
        <v>0</v>
      </c>
      <c r="AT553" s="75">
        <v>0</v>
      </c>
      <c r="AU553" s="75">
        <v>0</v>
      </c>
      <c r="AV553" s="75">
        <v>0</v>
      </c>
      <c r="AW553" s="123">
        <v>0</v>
      </c>
      <c r="AX553" s="516" t="s">
        <v>3864</v>
      </c>
      <c r="AY553" s="75">
        <v>1</v>
      </c>
      <c r="AZ553" s="77" t="s">
        <v>131</v>
      </c>
      <c r="BA553" s="78" t="s">
        <v>131</v>
      </c>
      <c r="BB553" s="78" t="s">
        <v>131</v>
      </c>
      <c r="BC553" s="78" t="s">
        <v>131</v>
      </c>
      <c r="BD553" s="78" t="s">
        <v>132</v>
      </c>
      <c r="BE553" s="78" t="s">
        <v>131</v>
      </c>
      <c r="BF553" s="78" t="s">
        <v>131</v>
      </c>
      <c r="BG553" s="78" t="s">
        <v>131</v>
      </c>
      <c r="BH553" s="75" t="s">
        <v>5970</v>
      </c>
      <c r="BI553" s="295" t="s">
        <v>4053</v>
      </c>
      <c r="BJ553" s="546">
        <v>1</v>
      </c>
      <c r="BK553" s="294" t="s">
        <v>16</v>
      </c>
      <c r="BL553" s="157" t="s">
        <v>16</v>
      </c>
      <c r="BM553" s="548" t="s">
        <v>1345</v>
      </c>
      <c r="BN553" s="548" t="s">
        <v>4162</v>
      </c>
      <c r="BO553" s="157" t="s">
        <v>4351</v>
      </c>
      <c r="BP553" s="548" t="s">
        <v>4353</v>
      </c>
      <c r="BQ553" s="157" t="s">
        <v>4350</v>
      </c>
      <c r="BR553" s="157"/>
    </row>
    <row r="554" spans="1:70" x14ac:dyDescent="0.25">
      <c r="A554" s="19" t="s">
        <v>3686</v>
      </c>
      <c r="B554" s="37" t="s">
        <v>3865</v>
      </c>
      <c r="C554" s="90">
        <v>45187.773969907408</v>
      </c>
      <c r="D554" s="114">
        <v>45187.523969907408</v>
      </c>
      <c r="E554" s="38">
        <v>45187</v>
      </c>
      <c r="F554" s="91">
        <v>2023</v>
      </c>
      <c r="G554" s="93">
        <v>9</v>
      </c>
      <c r="H554" s="37" t="s">
        <v>2475</v>
      </c>
      <c r="I554" s="37"/>
      <c r="J554" s="103">
        <v>-90.353311553121841</v>
      </c>
      <c r="K554" s="40">
        <v>42.821946890915221</v>
      </c>
      <c r="L554" s="74"/>
      <c r="M554" s="272" t="s">
        <v>3866</v>
      </c>
      <c r="N554" s="74">
        <v>1</v>
      </c>
      <c r="O554" s="94"/>
      <c r="P554" s="118">
        <v>1</v>
      </c>
      <c r="Q554" s="510">
        <v>180</v>
      </c>
      <c r="R554" s="513">
        <v>120</v>
      </c>
      <c r="S554" s="41"/>
      <c r="T554" s="40"/>
      <c r="U554" s="40">
        <v>8</v>
      </c>
      <c r="V554" s="119">
        <v>0</v>
      </c>
      <c r="W554" s="40"/>
      <c r="X554" s="119">
        <v>1</v>
      </c>
      <c r="Y554" s="40">
        <v>57</v>
      </c>
      <c r="Z554" s="119">
        <v>1</v>
      </c>
      <c r="AA554" s="368">
        <v>0</v>
      </c>
      <c r="AB554" s="535">
        <v>5</v>
      </c>
      <c r="AC554" s="39" t="s">
        <v>160</v>
      </c>
      <c r="AD554" s="75" t="s">
        <v>551</v>
      </c>
      <c r="AE554" s="95">
        <v>0</v>
      </c>
      <c r="AF554" s="75">
        <v>0</v>
      </c>
      <c r="AG554" s="75">
        <v>0</v>
      </c>
      <c r="AH554" s="75">
        <v>0</v>
      </c>
      <c r="AI554" s="75">
        <v>1</v>
      </c>
      <c r="AJ554" s="75">
        <v>0</v>
      </c>
      <c r="AK554" s="75">
        <v>0</v>
      </c>
      <c r="AL554" s="95">
        <v>0</v>
      </c>
      <c r="AM554" s="92">
        <v>0</v>
      </c>
      <c r="AN554" s="79" t="s">
        <v>80</v>
      </c>
      <c r="AO554" s="75">
        <v>1</v>
      </c>
      <c r="AP554" s="75" t="s">
        <v>83</v>
      </c>
      <c r="AQ554" s="122">
        <v>1</v>
      </c>
      <c r="AR554" s="515" t="s">
        <v>10</v>
      </c>
      <c r="AS554" s="95">
        <v>0</v>
      </c>
      <c r="AT554" s="75">
        <v>0</v>
      </c>
      <c r="AU554" s="75">
        <v>0</v>
      </c>
      <c r="AV554" s="75">
        <v>0</v>
      </c>
      <c r="AW554" s="123">
        <v>0</v>
      </c>
      <c r="AX554" s="516"/>
      <c r="AY554" s="75">
        <v>0</v>
      </c>
      <c r="AZ554" s="77" t="s">
        <v>131</v>
      </c>
      <c r="BA554" s="78" t="s">
        <v>131</v>
      </c>
      <c r="BB554" s="78" t="s">
        <v>131</v>
      </c>
      <c r="BC554" s="78" t="s">
        <v>131</v>
      </c>
      <c r="BD554" s="78" t="s">
        <v>132</v>
      </c>
      <c r="BE554" s="78" t="s">
        <v>131</v>
      </c>
      <c r="BF554" s="78" t="s">
        <v>131</v>
      </c>
      <c r="BG554" s="78" t="s">
        <v>131</v>
      </c>
      <c r="BH554" s="75" t="s">
        <v>5970</v>
      </c>
      <c r="BI554" s="295" t="s">
        <v>5950</v>
      </c>
      <c r="BJ554" s="546">
        <v>1</v>
      </c>
      <c r="BK554" s="294">
        <v>1</v>
      </c>
      <c r="BL554" s="157">
        <v>1</v>
      </c>
      <c r="BM554" s="548" t="s">
        <v>1345</v>
      </c>
      <c r="BN554" s="548" t="s">
        <v>4162</v>
      </c>
      <c r="BO554" s="157" t="s">
        <v>4354</v>
      </c>
      <c r="BP554" s="548" t="s">
        <v>4355</v>
      </c>
      <c r="BQ554" s="157" t="s">
        <v>4352</v>
      </c>
      <c r="BR554" s="157"/>
    </row>
    <row r="555" spans="1:70" x14ac:dyDescent="0.25">
      <c r="A555" s="19" t="s">
        <v>3686</v>
      </c>
      <c r="B555" s="37" t="s">
        <v>3867</v>
      </c>
      <c r="C555" s="90">
        <v>45187.763379629629</v>
      </c>
      <c r="D555" s="114">
        <v>45187.513379629629</v>
      </c>
      <c r="E555" s="38">
        <v>45187</v>
      </c>
      <c r="F555" s="91">
        <v>2023</v>
      </c>
      <c r="G555" s="93">
        <v>9</v>
      </c>
      <c r="H555" s="37" t="s">
        <v>2475</v>
      </c>
      <c r="I555" s="37"/>
      <c r="J555" s="103">
        <v>-90.362960379654879</v>
      </c>
      <c r="K555" s="40">
        <v>42.828322271856315</v>
      </c>
      <c r="L555" s="74"/>
      <c r="M555" s="272" t="s">
        <v>3868</v>
      </c>
      <c r="N555" s="74">
        <v>1</v>
      </c>
      <c r="O555" s="94"/>
      <c r="P555" s="118">
        <v>1</v>
      </c>
      <c r="Q555" s="510">
        <v>180</v>
      </c>
      <c r="R555" s="513">
        <v>120</v>
      </c>
      <c r="S555" s="41"/>
      <c r="T555" s="40"/>
      <c r="U555" s="40">
        <v>8</v>
      </c>
      <c r="V555" s="119">
        <v>1</v>
      </c>
      <c r="W555" s="40">
        <v>0</v>
      </c>
      <c r="X555" s="119">
        <v>1</v>
      </c>
      <c r="Y555" s="40">
        <v>55</v>
      </c>
      <c r="Z555" s="119">
        <v>1</v>
      </c>
      <c r="AA555" s="368">
        <v>0</v>
      </c>
      <c r="AB555" s="535">
        <v>5</v>
      </c>
      <c r="AC555" s="39" t="s">
        <v>160</v>
      </c>
      <c r="AD555" s="75" t="s">
        <v>10</v>
      </c>
      <c r="AE555" s="95">
        <v>0</v>
      </c>
      <c r="AF555" s="75">
        <v>0</v>
      </c>
      <c r="AG555" s="75">
        <v>0</v>
      </c>
      <c r="AH555" s="75">
        <v>0</v>
      </c>
      <c r="AI555" s="75">
        <v>0</v>
      </c>
      <c r="AJ555" s="75">
        <v>0</v>
      </c>
      <c r="AK555" s="75">
        <v>0</v>
      </c>
      <c r="AL555" s="95">
        <v>1</v>
      </c>
      <c r="AM555" s="92">
        <v>0</v>
      </c>
      <c r="AN555" s="79" t="s">
        <v>80</v>
      </c>
      <c r="AO555" s="75">
        <v>1</v>
      </c>
      <c r="AP555" s="75" t="s">
        <v>83</v>
      </c>
      <c r="AQ555" s="122">
        <v>1</v>
      </c>
      <c r="AR555" s="515" t="s">
        <v>10</v>
      </c>
      <c r="AS555" s="95">
        <v>0</v>
      </c>
      <c r="AT555" s="75">
        <v>0</v>
      </c>
      <c r="AU555" s="75">
        <v>0</v>
      </c>
      <c r="AV555" s="75">
        <v>0</v>
      </c>
      <c r="AW555" s="123">
        <v>0</v>
      </c>
      <c r="AX555" s="516"/>
      <c r="AY555" s="75">
        <v>0</v>
      </c>
      <c r="AZ555" s="77" t="s">
        <v>131</v>
      </c>
      <c r="BA555" s="78" t="s">
        <v>131</v>
      </c>
      <c r="BB555" s="78" t="s">
        <v>131</v>
      </c>
      <c r="BC555" s="78" t="s">
        <v>131</v>
      </c>
      <c r="BD555" s="78" t="s">
        <v>131</v>
      </c>
      <c r="BE555" s="78" t="s">
        <v>131</v>
      </c>
      <c r="BF555" s="78" t="s">
        <v>131</v>
      </c>
      <c r="BG555" s="78" t="s">
        <v>132</v>
      </c>
      <c r="BH555" s="75" t="s">
        <v>5970</v>
      </c>
      <c r="BI555" s="295" t="s">
        <v>4052</v>
      </c>
      <c r="BJ555" s="546">
        <v>1</v>
      </c>
      <c r="BK555" s="294">
        <v>1</v>
      </c>
      <c r="BL555" s="157">
        <v>1</v>
      </c>
      <c r="BM555" s="548" t="s">
        <v>1345</v>
      </c>
      <c r="BN555" s="548" t="s">
        <v>4162</v>
      </c>
      <c r="BO555" s="157" t="s">
        <v>4354</v>
      </c>
      <c r="BP555" s="548" t="s">
        <v>4355</v>
      </c>
      <c r="BQ555" s="157" t="s">
        <v>4352</v>
      </c>
      <c r="BR555" s="157"/>
    </row>
    <row r="556" spans="1:70" x14ac:dyDescent="0.25">
      <c r="A556" s="19" t="s">
        <v>3686</v>
      </c>
      <c r="B556" s="37" t="s">
        <v>3869</v>
      </c>
      <c r="C556" s="90">
        <v>45187.728807870371</v>
      </c>
      <c r="D556" s="114">
        <v>45187.478807870371</v>
      </c>
      <c r="E556" s="38">
        <v>45187</v>
      </c>
      <c r="F556" s="91">
        <v>2023</v>
      </c>
      <c r="G556" s="93">
        <v>9</v>
      </c>
      <c r="H556" s="37" t="s">
        <v>2475</v>
      </c>
      <c r="I556" s="37"/>
      <c r="J556" s="103">
        <v>-90.24904855535388</v>
      </c>
      <c r="K556" s="40">
        <v>42.907990333664365</v>
      </c>
      <c r="L556" s="74"/>
      <c r="M556" s="272" t="s">
        <v>3870</v>
      </c>
      <c r="N556" s="74">
        <v>1</v>
      </c>
      <c r="O556" s="94"/>
      <c r="P556" s="118">
        <v>1</v>
      </c>
      <c r="Q556" s="510">
        <v>180</v>
      </c>
      <c r="R556" s="513">
        <v>120</v>
      </c>
      <c r="S556" s="41"/>
      <c r="T556" s="40"/>
      <c r="U556" s="40">
        <v>8</v>
      </c>
      <c r="V556" s="119">
        <v>1</v>
      </c>
      <c r="W556" s="40">
        <v>0</v>
      </c>
      <c r="X556" s="119">
        <v>1</v>
      </c>
      <c r="Y556" s="40">
        <v>57</v>
      </c>
      <c r="Z556" s="119">
        <v>1</v>
      </c>
      <c r="AA556" s="368">
        <v>0</v>
      </c>
      <c r="AB556" s="535">
        <v>2</v>
      </c>
      <c r="AC556" s="39" t="s">
        <v>160</v>
      </c>
      <c r="AD556" s="75" t="s">
        <v>439</v>
      </c>
      <c r="AE556" s="95">
        <v>0</v>
      </c>
      <c r="AF556" s="75">
        <v>1</v>
      </c>
      <c r="AG556" s="75">
        <v>0</v>
      </c>
      <c r="AH556" s="75">
        <v>0</v>
      </c>
      <c r="AI556" s="75">
        <v>1</v>
      </c>
      <c r="AJ556" s="75">
        <v>0</v>
      </c>
      <c r="AK556" s="75">
        <v>0</v>
      </c>
      <c r="AL556" s="95">
        <v>0</v>
      </c>
      <c r="AM556" s="92">
        <v>0</v>
      </c>
      <c r="AN556" s="79" t="s">
        <v>80</v>
      </c>
      <c r="AO556" s="75">
        <v>1</v>
      </c>
      <c r="AP556" s="75" t="s">
        <v>83</v>
      </c>
      <c r="AQ556" s="122">
        <v>1</v>
      </c>
      <c r="AR556" s="515" t="s">
        <v>10</v>
      </c>
      <c r="AS556" s="95">
        <v>0</v>
      </c>
      <c r="AT556" s="75">
        <v>0</v>
      </c>
      <c r="AU556" s="75">
        <v>0</v>
      </c>
      <c r="AV556" s="75">
        <v>0</v>
      </c>
      <c r="AW556" s="123">
        <v>0</v>
      </c>
      <c r="AX556" s="516" t="s">
        <v>3871</v>
      </c>
      <c r="AY556" s="75">
        <v>1</v>
      </c>
      <c r="AZ556" s="77" t="s">
        <v>131</v>
      </c>
      <c r="BA556" s="78" t="s">
        <v>132</v>
      </c>
      <c r="BB556" s="78" t="s">
        <v>131</v>
      </c>
      <c r="BC556" s="78" t="s">
        <v>131</v>
      </c>
      <c r="BD556" s="78" t="s">
        <v>132</v>
      </c>
      <c r="BE556" s="78" t="s">
        <v>131</v>
      </c>
      <c r="BF556" s="78" t="s">
        <v>131</v>
      </c>
      <c r="BG556" s="78" t="s">
        <v>131</v>
      </c>
      <c r="BH556" s="75" t="s">
        <v>5970</v>
      </c>
      <c r="BI556" s="295" t="s">
        <v>16</v>
      </c>
      <c r="BJ556" s="546" t="s">
        <v>16</v>
      </c>
      <c r="BK556" s="294" t="s">
        <v>16</v>
      </c>
      <c r="BL556" s="157" t="s">
        <v>16</v>
      </c>
      <c r="BM556" s="548" t="s">
        <v>1345</v>
      </c>
      <c r="BN556" s="548" t="s">
        <v>4162</v>
      </c>
      <c r="BO556" s="157" t="s">
        <v>4356</v>
      </c>
      <c r="BP556" s="548" t="s">
        <v>4357</v>
      </c>
      <c r="BQ556" s="157" t="s">
        <v>4350</v>
      </c>
      <c r="BR556" s="157"/>
    </row>
    <row r="557" spans="1:70" x14ac:dyDescent="0.25">
      <c r="A557" s="19" t="s">
        <v>3686</v>
      </c>
      <c r="B557" s="37" t="s">
        <v>3872</v>
      </c>
      <c r="C557" s="90">
        <v>45187.705578703702</v>
      </c>
      <c r="D557" s="114">
        <v>45187.455578703702</v>
      </c>
      <c r="E557" s="38">
        <v>45187</v>
      </c>
      <c r="F557" s="91">
        <v>2023</v>
      </c>
      <c r="G557" s="93">
        <v>9</v>
      </c>
      <c r="H557" s="37" t="s">
        <v>2475</v>
      </c>
      <c r="I557" s="37"/>
      <c r="J557" s="103">
        <v>-90.291274068961201</v>
      </c>
      <c r="K557" s="40">
        <v>42.946041449944666</v>
      </c>
      <c r="L557" s="74"/>
      <c r="M557" s="272" t="s">
        <v>3873</v>
      </c>
      <c r="N557" s="74">
        <v>1</v>
      </c>
      <c r="O557" s="94"/>
      <c r="P557" s="118">
        <v>1</v>
      </c>
      <c r="Q557" s="510">
        <v>180</v>
      </c>
      <c r="R557" s="513">
        <v>120</v>
      </c>
      <c r="S557" s="41"/>
      <c r="T557" s="40"/>
      <c r="U557" s="40">
        <v>8</v>
      </c>
      <c r="V557" s="119">
        <v>1</v>
      </c>
      <c r="W557" s="40">
        <v>100</v>
      </c>
      <c r="X557" s="119">
        <v>1</v>
      </c>
      <c r="Y557" s="40">
        <v>55</v>
      </c>
      <c r="Z557" s="119">
        <v>1</v>
      </c>
      <c r="AA557" s="368">
        <v>0</v>
      </c>
      <c r="AB557" s="535">
        <v>10</v>
      </c>
      <c r="AC557" s="39" t="s">
        <v>160</v>
      </c>
      <c r="AD557" s="75" t="s">
        <v>10</v>
      </c>
      <c r="AE557" s="95">
        <v>0</v>
      </c>
      <c r="AF557" s="75">
        <v>0</v>
      </c>
      <c r="AG557" s="75">
        <v>0</v>
      </c>
      <c r="AH557" s="75">
        <v>0</v>
      </c>
      <c r="AI557" s="75">
        <v>0</v>
      </c>
      <c r="AJ557" s="75">
        <v>0</v>
      </c>
      <c r="AK557" s="75">
        <v>0</v>
      </c>
      <c r="AL557" s="95">
        <v>1</v>
      </c>
      <c r="AM557" s="92">
        <v>0</v>
      </c>
      <c r="AN557" s="79" t="s">
        <v>80</v>
      </c>
      <c r="AO557" s="75">
        <v>1</v>
      </c>
      <c r="AP557" s="75" t="s">
        <v>83</v>
      </c>
      <c r="AQ557" s="122">
        <v>1</v>
      </c>
      <c r="AR557" s="515" t="s">
        <v>10</v>
      </c>
      <c r="AS557" s="95">
        <v>0</v>
      </c>
      <c r="AT557" s="75">
        <v>0</v>
      </c>
      <c r="AU557" s="75">
        <v>0</v>
      </c>
      <c r="AV557" s="75">
        <v>0</v>
      </c>
      <c r="AW557" s="123">
        <v>0</v>
      </c>
      <c r="AX557" s="516" t="s">
        <v>3874</v>
      </c>
      <c r="AY557" s="75">
        <v>1</v>
      </c>
      <c r="AZ557" s="77" t="s">
        <v>131</v>
      </c>
      <c r="BA557" s="78" t="s">
        <v>131</v>
      </c>
      <c r="BB557" s="78" t="s">
        <v>131</v>
      </c>
      <c r="BC557" s="78" t="s">
        <v>131</v>
      </c>
      <c r="BD557" s="78" t="s">
        <v>131</v>
      </c>
      <c r="BE557" s="78" t="s">
        <v>131</v>
      </c>
      <c r="BF557" s="78" t="s">
        <v>131</v>
      </c>
      <c r="BG557" s="78" t="s">
        <v>132</v>
      </c>
      <c r="BH557" s="75" t="s">
        <v>5970</v>
      </c>
      <c r="BI557" s="295" t="s">
        <v>4050</v>
      </c>
      <c r="BJ557" s="546">
        <v>1</v>
      </c>
      <c r="BK557" s="294" t="s">
        <v>16</v>
      </c>
      <c r="BL557" s="157" t="s">
        <v>16</v>
      </c>
      <c r="BM557" s="548" t="s">
        <v>1345</v>
      </c>
      <c r="BN557" s="548" t="s">
        <v>4162</v>
      </c>
      <c r="BO557" s="157" t="s">
        <v>4356</v>
      </c>
      <c r="BP557" s="548" t="s">
        <v>4357</v>
      </c>
      <c r="BQ557" s="157" t="s">
        <v>4350</v>
      </c>
      <c r="BR557" s="157"/>
    </row>
    <row r="558" spans="1:70" x14ac:dyDescent="0.25">
      <c r="A558" s="19" t="s">
        <v>3686</v>
      </c>
      <c r="B558" s="37" t="s">
        <v>3875</v>
      </c>
      <c r="C558" s="90">
        <v>45187.669699074075</v>
      </c>
      <c r="D558" s="114">
        <v>45187.419699074075</v>
      </c>
      <c r="E558" s="38">
        <v>45187</v>
      </c>
      <c r="F558" s="91">
        <v>2023</v>
      </c>
      <c r="G558" s="93">
        <v>9</v>
      </c>
      <c r="H558" s="37" t="s">
        <v>2475</v>
      </c>
      <c r="I558" s="37"/>
      <c r="J558" s="103">
        <v>-90.220488058487163</v>
      </c>
      <c r="K558" s="40">
        <v>42.960166884626453</v>
      </c>
      <c r="L558" s="74"/>
      <c r="M558" s="272" t="s">
        <v>3876</v>
      </c>
      <c r="N558" s="74">
        <v>1</v>
      </c>
      <c r="O558" s="94"/>
      <c r="P558" s="118">
        <v>1</v>
      </c>
      <c r="Q558" s="510">
        <v>180</v>
      </c>
      <c r="R558" s="513">
        <v>120</v>
      </c>
      <c r="S558" s="41"/>
      <c r="T558" s="40"/>
      <c r="U558" s="40">
        <v>7.5</v>
      </c>
      <c r="V558" s="119">
        <v>1</v>
      </c>
      <c r="W558" s="40">
        <v>0</v>
      </c>
      <c r="X558" s="119">
        <v>1</v>
      </c>
      <c r="Y558" s="40">
        <v>51</v>
      </c>
      <c r="Z558" s="119">
        <v>1</v>
      </c>
      <c r="AA558" s="368">
        <v>0</v>
      </c>
      <c r="AB558" s="535">
        <v>5</v>
      </c>
      <c r="AC558" s="39" t="s">
        <v>160</v>
      </c>
      <c r="AD558" s="75" t="s">
        <v>10</v>
      </c>
      <c r="AE558" s="95">
        <v>0</v>
      </c>
      <c r="AF558" s="75">
        <v>0</v>
      </c>
      <c r="AG558" s="75">
        <v>0</v>
      </c>
      <c r="AH558" s="75">
        <v>0</v>
      </c>
      <c r="AI558" s="75">
        <v>0</v>
      </c>
      <c r="AJ558" s="75">
        <v>0</v>
      </c>
      <c r="AK558" s="75">
        <v>0</v>
      </c>
      <c r="AL558" s="95">
        <v>1</v>
      </c>
      <c r="AM558" s="92">
        <v>0</v>
      </c>
      <c r="AN558" s="79" t="s">
        <v>80</v>
      </c>
      <c r="AO558" s="75">
        <v>1</v>
      </c>
      <c r="AP558" s="75" t="s">
        <v>83</v>
      </c>
      <c r="AQ558" s="122">
        <v>1</v>
      </c>
      <c r="AR558" s="515" t="s">
        <v>10</v>
      </c>
      <c r="AS558" s="95">
        <v>0</v>
      </c>
      <c r="AT558" s="75">
        <v>0</v>
      </c>
      <c r="AU558" s="75">
        <v>0</v>
      </c>
      <c r="AV558" s="75">
        <v>0</v>
      </c>
      <c r="AW558" s="123">
        <v>0</v>
      </c>
      <c r="AX558" s="516"/>
      <c r="AY558" s="75">
        <v>0</v>
      </c>
      <c r="AZ558" s="77" t="s">
        <v>131</v>
      </c>
      <c r="BA558" s="78" t="s">
        <v>131</v>
      </c>
      <c r="BB558" s="78" t="s">
        <v>131</v>
      </c>
      <c r="BC558" s="78" t="s">
        <v>131</v>
      </c>
      <c r="BD558" s="78" t="s">
        <v>131</v>
      </c>
      <c r="BE558" s="78" t="s">
        <v>131</v>
      </c>
      <c r="BF558" s="78" t="s">
        <v>131</v>
      </c>
      <c r="BG558" s="78" t="s">
        <v>132</v>
      </c>
      <c r="BH558" s="75" t="s">
        <v>5970</v>
      </c>
      <c r="BI558" s="295" t="s">
        <v>4049</v>
      </c>
      <c r="BJ558" s="546" t="s">
        <v>16</v>
      </c>
      <c r="BK558" s="294" t="s">
        <v>16</v>
      </c>
      <c r="BL558" s="157" t="s">
        <v>16</v>
      </c>
      <c r="BM558" s="548" t="s">
        <v>1345</v>
      </c>
      <c r="BN558" s="548" t="s">
        <v>4162</v>
      </c>
      <c r="BO558" s="157" t="s">
        <v>4356</v>
      </c>
      <c r="BP558" s="548" t="s">
        <v>4357</v>
      </c>
      <c r="BQ558" s="157" t="s">
        <v>4350</v>
      </c>
      <c r="BR558" s="157"/>
    </row>
    <row r="559" spans="1:70" x14ac:dyDescent="0.25">
      <c r="A559" s="19" t="s">
        <v>3686</v>
      </c>
      <c r="B559" s="37" t="s">
        <v>3877</v>
      </c>
      <c r="C559" s="90">
        <v>45186.663263888891</v>
      </c>
      <c r="D559" s="114">
        <v>45186.413263888891</v>
      </c>
      <c r="E559" s="38">
        <v>45186</v>
      </c>
      <c r="F559" s="91">
        <v>2023</v>
      </c>
      <c r="G559" s="93">
        <v>9</v>
      </c>
      <c r="H559" s="37" t="s">
        <v>606</v>
      </c>
      <c r="I559" s="37" t="s">
        <v>16</v>
      </c>
      <c r="J559" s="103">
        <v>-92.146287628457742</v>
      </c>
      <c r="K559" s="40">
        <v>44.239802434168851</v>
      </c>
      <c r="L559" s="74"/>
      <c r="M559" s="272" t="s">
        <v>3878</v>
      </c>
      <c r="N559" s="74">
        <v>1</v>
      </c>
      <c r="O559" s="94"/>
      <c r="P559" s="118">
        <v>1</v>
      </c>
      <c r="Q559" s="510">
        <v>40</v>
      </c>
      <c r="R559" s="513">
        <v>180</v>
      </c>
      <c r="S559" s="41"/>
      <c r="T559" s="40"/>
      <c r="U559" s="40">
        <v>7</v>
      </c>
      <c r="V559" s="119">
        <v>1</v>
      </c>
      <c r="W559" s="40">
        <v>100</v>
      </c>
      <c r="X559" s="119">
        <v>1</v>
      </c>
      <c r="Y559" s="40">
        <v>55</v>
      </c>
      <c r="Z559" s="119">
        <v>1</v>
      </c>
      <c r="AA559" s="368">
        <v>0</v>
      </c>
      <c r="AB559" s="535">
        <v>5</v>
      </c>
      <c r="AC559" s="39" t="s">
        <v>160</v>
      </c>
      <c r="AD559" s="75" t="s">
        <v>10</v>
      </c>
      <c r="AE559" s="95">
        <v>0</v>
      </c>
      <c r="AF559" s="75">
        <v>0</v>
      </c>
      <c r="AG559" s="75">
        <v>0</v>
      </c>
      <c r="AH559" s="75">
        <v>0</v>
      </c>
      <c r="AI559" s="75">
        <v>0</v>
      </c>
      <c r="AJ559" s="75">
        <v>0</v>
      </c>
      <c r="AK559" s="75">
        <v>0</v>
      </c>
      <c r="AL559" s="95">
        <v>1</v>
      </c>
      <c r="AM559" s="92">
        <v>0</v>
      </c>
      <c r="AN559" s="79" t="s">
        <v>80</v>
      </c>
      <c r="AO559" s="75">
        <v>1</v>
      </c>
      <c r="AP559" s="75" t="s">
        <v>83</v>
      </c>
      <c r="AQ559" s="122">
        <v>1</v>
      </c>
      <c r="AR559" s="515" t="s">
        <v>10</v>
      </c>
      <c r="AS559" s="95">
        <v>0</v>
      </c>
      <c r="AT559" s="75">
        <v>0</v>
      </c>
      <c r="AU559" s="75">
        <v>0</v>
      </c>
      <c r="AV559" s="75">
        <v>0</v>
      </c>
      <c r="AW559" s="123">
        <v>0</v>
      </c>
      <c r="AX559" s="516" t="s">
        <v>3879</v>
      </c>
      <c r="AY559" s="75">
        <v>1</v>
      </c>
      <c r="AZ559" s="77" t="s">
        <v>131</v>
      </c>
      <c r="BA559" s="78" t="s">
        <v>131</v>
      </c>
      <c r="BB559" s="78" t="s">
        <v>131</v>
      </c>
      <c r="BC559" s="78" t="s">
        <v>131</v>
      </c>
      <c r="BD559" s="78" t="s">
        <v>131</v>
      </c>
      <c r="BE559" s="78" t="s">
        <v>131</v>
      </c>
      <c r="BF559" s="78" t="s">
        <v>131</v>
      </c>
      <c r="BG559" s="78" t="s">
        <v>132</v>
      </c>
      <c r="BH559" s="75" t="s">
        <v>5970</v>
      </c>
      <c r="BI559" s="295" t="s">
        <v>317</v>
      </c>
      <c r="BJ559" s="546">
        <v>1</v>
      </c>
      <c r="BK559" s="294">
        <v>1</v>
      </c>
      <c r="BL559" s="157">
        <v>1</v>
      </c>
      <c r="BM559" s="548" t="s">
        <v>1339</v>
      </c>
      <c r="BN559" s="548" t="s">
        <v>1339</v>
      </c>
      <c r="BO559" s="157" t="s">
        <v>4358</v>
      </c>
      <c r="BP559" s="548" t="s">
        <v>317</v>
      </c>
      <c r="BQ559" s="157" t="s">
        <v>4330</v>
      </c>
      <c r="BR559" s="157"/>
    </row>
    <row r="560" spans="1:70" x14ac:dyDescent="0.25">
      <c r="A560" s="19" t="s">
        <v>3686</v>
      </c>
      <c r="B560" s="37" t="s">
        <v>3880</v>
      </c>
      <c r="C560" s="90">
        <v>45185.883310185185</v>
      </c>
      <c r="D560" s="114">
        <v>45185.633310185185</v>
      </c>
      <c r="E560" s="38">
        <v>45185</v>
      </c>
      <c r="F560" s="91">
        <v>2023</v>
      </c>
      <c r="G560" s="93">
        <v>9</v>
      </c>
      <c r="H560" s="37" t="s">
        <v>2434</v>
      </c>
      <c r="I560" s="37" t="s">
        <v>16</v>
      </c>
      <c r="J560" s="103">
        <v>-91.81214269471036</v>
      </c>
      <c r="K560" s="40">
        <v>44.001346811271141</v>
      </c>
      <c r="L560" s="74"/>
      <c r="M560" s="272" t="s">
        <v>16</v>
      </c>
      <c r="N560" s="74">
        <v>0</v>
      </c>
      <c r="O560" s="94"/>
      <c r="P560" s="118">
        <v>1</v>
      </c>
      <c r="Q560" s="510">
        <v>180</v>
      </c>
      <c r="R560" s="513">
        <v>120</v>
      </c>
      <c r="S560" s="41"/>
      <c r="T560" s="40"/>
      <c r="U560" s="40">
        <v>7</v>
      </c>
      <c r="V560" s="119">
        <v>1</v>
      </c>
      <c r="W560" s="40">
        <v>100</v>
      </c>
      <c r="X560" s="119">
        <v>1</v>
      </c>
      <c r="Y560" s="40">
        <v>55</v>
      </c>
      <c r="Z560" s="119">
        <v>0</v>
      </c>
      <c r="AA560" s="368" t="s">
        <v>16</v>
      </c>
      <c r="AB560" s="535" t="s">
        <v>16</v>
      </c>
      <c r="AC560" s="39" t="s">
        <v>160</v>
      </c>
      <c r="AD560" s="75" t="s">
        <v>16</v>
      </c>
      <c r="AE560" s="95">
        <v>-1</v>
      </c>
      <c r="AF560" s="75">
        <v>-1</v>
      </c>
      <c r="AG560" s="75">
        <v>-1</v>
      </c>
      <c r="AH560" s="75">
        <v>-1</v>
      </c>
      <c r="AI560" s="75">
        <v>-1</v>
      </c>
      <c r="AJ560" s="75">
        <v>-1</v>
      </c>
      <c r="AK560" s="75">
        <v>-1</v>
      </c>
      <c r="AL560" s="95">
        <v>-1</v>
      </c>
      <c r="AM560" s="92">
        <v>1</v>
      </c>
      <c r="AN560" s="79"/>
      <c r="AO560" s="75">
        <v>0</v>
      </c>
      <c r="AP560" s="75"/>
      <c r="AQ560" s="122">
        <v>0</v>
      </c>
      <c r="AR560" s="515" t="s">
        <v>16</v>
      </c>
      <c r="AS560" s="95">
        <v>-1</v>
      </c>
      <c r="AT560" s="75">
        <v>-1</v>
      </c>
      <c r="AU560" s="75">
        <v>-1</v>
      </c>
      <c r="AV560" s="75">
        <v>-1</v>
      </c>
      <c r="AW560" s="123">
        <v>1</v>
      </c>
      <c r="AX560" s="516"/>
      <c r="AY560" s="75">
        <v>0</v>
      </c>
      <c r="AZ560" s="77" t="s">
        <v>5971</v>
      </c>
      <c r="BA560" s="78" t="s">
        <v>5971</v>
      </c>
      <c r="BB560" s="78" t="s">
        <v>5971</v>
      </c>
      <c r="BC560" s="78" t="s">
        <v>5971</v>
      </c>
      <c r="BD560" s="78" t="s">
        <v>5971</v>
      </c>
      <c r="BE560" s="78" t="s">
        <v>5971</v>
      </c>
      <c r="BF560" s="78" t="s">
        <v>5971</v>
      </c>
      <c r="BG560" s="78" t="s">
        <v>5971</v>
      </c>
      <c r="BH560" s="75" t="s">
        <v>5971</v>
      </c>
      <c r="BI560" s="295" t="s">
        <v>313</v>
      </c>
      <c r="BJ560" s="546">
        <v>1</v>
      </c>
      <c r="BK560" s="294">
        <v>1</v>
      </c>
      <c r="BL560" s="157">
        <v>1</v>
      </c>
      <c r="BM560" s="548" t="s">
        <v>1341</v>
      </c>
      <c r="BN560" s="548" t="s">
        <v>544</v>
      </c>
      <c r="BO560" s="157" t="s">
        <v>4360</v>
      </c>
      <c r="BP560" s="548" t="s">
        <v>313</v>
      </c>
      <c r="BQ560" s="157" t="s">
        <v>4359</v>
      </c>
      <c r="BR560" s="157"/>
    </row>
    <row r="561" spans="1:70" x14ac:dyDescent="0.25">
      <c r="A561" s="19" t="s">
        <v>3686</v>
      </c>
      <c r="B561" s="37" t="s">
        <v>3881</v>
      </c>
      <c r="C561" s="90">
        <v>45185.855729166666</v>
      </c>
      <c r="D561" s="114">
        <v>45185.605729166666</v>
      </c>
      <c r="E561" s="38">
        <v>45185</v>
      </c>
      <c r="F561" s="91">
        <v>2023</v>
      </c>
      <c r="G561" s="93">
        <v>9</v>
      </c>
      <c r="H561" s="37" t="s">
        <v>2434</v>
      </c>
      <c r="I561" s="37" t="s">
        <v>16</v>
      </c>
      <c r="J561" s="103">
        <v>-91.999441441485047</v>
      </c>
      <c r="K561" s="40">
        <v>44.090156001218595</v>
      </c>
      <c r="L561" s="74"/>
      <c r="M561" s="272" t="s">
        <v>16</v>
      </c>
      <c r="N561" s="74">
        <v>0</v>
      </c>
      <c r="O561" s="94"/>
      <c r="P561" s="118">
        <v>0</v>
      </c>
      <c r="Q561" s="510"/>
      <c r="R561" s="513"/>
      <c r="S561" s="41"/>
      <c r="T561" s="40"/>
      <c r="U561" s="40"/>
      <c r="V561" s="119">
        <v>1</v>
      </c>
      <c r="W561" s="40">
        <v>100</v>
      </c>
      <c r="X561" s="119">
        <v>1</v>
      </c>
      <c r="Y561" s="40">
        <v>57</v>
      </c>
      <c r="Z561" s="119">
        <v>0</v>
      </c>
      <c r="AA561" s="368" t="s">
        <v>16</v>
      </c>
      <c r="AB561" s="535" t="s">
        <v>16</v>
      </c>
      <c r="AC561" s="39" t="s">
        <v>160</v>
      </c>
      <c r="AD561" s="75" t="s">
        <v>16</v>
      </c>
      <c r="AE561" s="95">
        <v>-1</v>
      </c>
      <c r="AF561" s="75">
        <v>-1</v>
      </c>
      <c r="AG561" s="75">
        <v>-1</v>
      </c>
      <c r="AH561" s="75">
        <v>-1</v>
      </c>
      <c r="AI561" s="75">
        <v>-1</v>
      </c>
      <c r="AJ561" s="75">
        <v>-1</v>
      </c>
      <c r="AK561" s="75">
        <v>-1</v>
      </c>
      <c r="AL561" s="95">
        <v>-1</v>
      </c>
      <c r="AM561" s="92">
        <v>1</v>
      </c>
      <c r="AN561" s="79" t="s">
        <v>80</v>
      </c>
      <c r="AO561" s="75">
        <v>1</v>
      </c>
      <c r="AP561" s="75" t="s">
        <v>83</v>
      </c>
      <c r="AQ561" s="122">
        <v>1</v>
      </c>
      <c r="AR561" s="515" t="s">
        <v>10</v>
      </c>
      <c r="AS561" s="95">
        <v>0</v>
      </c>
      <c r="AT561" s="75">
        <v>0</v>
      </c>
      <c r="AU561" s="75">
        <v>0</v>
      </c>
      <c r="AV561" s="75">
        <v>0</v>
      </c>
      <c r="AW561" s="123">
        <v>0</v>
      </c>
      <c r="AX561" s="516"/>
      <c r="AY561" s="75">
        <v>0</v>
      </c>
      <c r="AZ561" s="77" t="s">
        <v>5971</v>
      </c>
      <c r="BA561" s="78" t="s">
        <v>5971</v>
      </c>
      <c r="BB561" s="78" t="s">
        <v>5971</v>
      </c>
      <c r="BC561" s="78" t="s">
        <v>5971</v>
      </c>
      <c r="BD561" s="78" t="s">
        <v>5971</v>
      </c>
      <c r="BE561" s="78" t="s">
        <v>5971</v>
      </c>
      <c r="BF561" s="78" t="s">
        <v>5971</v>
      </c>
      <c r="BG561" s="78" t="s">
        <v>5971</v>
      </c>
      <c r="BH561" s="75" t="s">
        <v>5971</v>
      </c>
      <c r="BI561" s="295" t="s">
        <v>16</v>
      </c>
      <c r="BJ561" s="546">
        <v>1</v>
      </c>
      <c r="BK561" s="294" t="s">
        <v>16</v>
      </c>
      <c r="BL561" s="157" t="s">
        <v>16</v>
      </c>
      <c r="BM561" s="548" t="s">
        <v>1339</v>
      </c>
      <c r="BN561" s="548" t="s">
        <v>544</v>
      </c>
      <c r="BO561" s="157" t="s">
        <v>4362</v>
      </c>
      <c r="BP561" s="548" t="s">
        <v>4363</v>
      </c>
      <c r="BQ561" s="157" t="s">
        <v>4361</v>
      </c>
      <c r="BR561" s="157"/>
    </row>
    <row r="562" spans="1:70" x14ac:dyDescent="0.25">
      <c r="A562" s="19" t="s">
        <v>3686</v>
      </c>
      <c r="B562" s="37" t="s">
        <v>3882</v>
      </c>
      <c r="C562" s="90">
        <v>45185.693726851852</v>
      </c>
      <c r="D562" s="114">
        <v>45185.443726851852</v>
      </c>
      <c r="E562" s="38">
        <v>45185</v>
      </c>
      <c r="F562" s="91">
        <v>2023</v>
      </c>
      <c r="G562" s="93">
        <v>9</v>
      </c>
      <c r="H562" s="37" t="s">
        <v>2706</v>
      </c>
      <c r="I562" s="37" t="s">
        <v>146</v>
      </c>
      <c r="J562" s="103">
        <v>-92.149242400000006</v>
      </c>
      <c r="K562" s="40">
        <v>44.248816400000003</v>
      </c>
      <c r="L562" s="74"/>
      <c r="M562" s="272" t="s">
        <v>3883</v>
      </c>
      <c r="N562" s="74">
        <v>1</v>
      </c>
      <c r="O562" s="94"/>
      <c r="P562" s="118">
        <v>1</v>
      </c>
      <c r="Q562" s="510">
        <v>180</v>
      </c>
      <c r="R562" s="513">
        <v>180</v>
      </c>
      <c r="S562" s="41"/>
      <c r="T562" s="40"/>
      <c r="U562" s="40">
        <v>7.5</v>
      </c>
      <c r="V562" s="119">
        <v>1</v>
      </c>
      <c r="W562" s="40">
        <v>0</v>
      </c>
      <c r="X562" s="119">
        <v>1</v>
      </c>
      <c r="Y562" s="40">
        <v>54</v>
      </c>
      <c r="Z562" s="119">
        <v>1</v>
      </c>
      <c r="AA562" s="368">
        <v>0</v>
      </c>
      <c r="AB562" s="535">
        <v>0</v>
      </c>
      <c r="AC562" s="39" t="s">
        <v>160</v>
      </c>
      <c r="AD562" s="75" t="s">
        <v>10</v>
      </c>
      <c r="AE562" s="95">
        <v>0</v>
      </c>
      <c r="AF562" s="75">
        <v>0</v>
      </c>
      <c r="AG562" s="75">
        <v>0</v>
      </c>
      <c r="AH562" s="75">
        <v>0</v>
      </c>
      <c r="AI562" s="75">
        <v>0</v>
      </c>
      <c r="AJ562" s="75">
        <v>0</v>
      </c>
      <c r="AK562" s="75">
        <v>0</v>
      </c>
      <c r="AL562" s="95">
        <v>1</v>
      </c>
      <c r="AM562" s="92">
        <v>0</v>
      </c>
      <c r="AN562" s="79" t="s">
        <v>80</v>
      </c>
      <c r="AO562" s="75">
        <v>1</v>
      </c>
      <c r="AP562" s="75" t="s">
        <v>84</v>
      </c>
      <c r="AQ562" s="122">
        <v>1</v>
      </c>
      <c r="AR562" s="515" t="s">
        <v>10</v>
      </c>
      <c r="AS562" s="95">
        <v>0</v>
      </c>
      <c r="AT562" s="75">
        <v>0</v>
      </c>
      <c r="AU562" s="75">
        <v>0</v>
      </c>
      <c r="AV562" s="75">
        <v>0</v>
      </c>
      <c r="AW562" s="123">
        <v>0</v>
      </c>
      <c r="AX562" s="516" t="s">
        <v>317</v>
      </c>
      <c r="AY562" s="75">
        <v>1</v>
      </c>
      <c r="AZ562" s="77" t="s">
        <v>131</v>
      </c>
      <c r="BA562" s="78" t="s">
        <v>131</v>
      </c>
      <c r="BB562" s="78" t="s">
        <v>131</v>
      </c>
      <c r="BC562" s="78" t="s">
        <v>131</v>
      </c>
      <c r="BD562" s="78" t="s">
        <v>131</v>
      </c>
      <c r="BE562" s="78" t="s">
        <v>131</v>
      </c>
      <c r="BF562" s="78" t="s">
        <v>131</v>
      </c>
      <c r="BG562" s="78" t="s">
        <v>132</v>
      </c>
      <c r="BH562" s="75" t="s">
        <v>5970</v>
      </c>
      <c r="BI562" s="295" t="s">
        <v>317</v>
      </c>
      <c r="BJ562" s="546">
        <v>1</v>
      </c>
      <c r="BK562" s="294">
        <v>1</v>
      </c>
      <c r="BL562" s="157">
        <v>1</v>
      </c>
      <c r="BM562" s="548" t="s">
        <v>1339</v>
      </c>
      <c r="BN562" s="548" t="s">
        <v>4161</v>
      </c>
      <c r="BO562" s="157" t="s">
        <v>4358</v>
      </c>
      <c r="BP562" s="548" t="s">
        <v>317</v>
      </c>
      <c r="BQ562" s="157" t="s">
        <v>4330</v>
      </c>
      <c r="BR562" s="157"/>
    </row>
    <row r="563" spans="1:70" x14ac:dyDescent="0.25">
      <c r="A563" s="19" t="s">
        <v>3686</v>
      </c>
      <c r="B563" s="37" t="s">
        <v>5800</v>
      </c>
      <c r="C563" s="90">
        <v>45185.674050925925</v>
      </c>
      <c r="D563" s="114">
        <v>45185.424050925925</v>
      </c>
      <c r="E563" s="38">
        <v>45185</v>
      </c>
      <c r="F563" s="91">
        <v>2023</v>
      </c>
      <c r="G563" s="93">
        <v>9</v>
      </c>
      <c r="H563" s="37" t="s">
        <v>1616</v>
      </c>
      <c r="I563" s="37" t="s">
        <v>1212</v>
      </c>
      <c r="J563" s="103">
        <v>-92.236441499999998</v>
      </c>
      <c r="K563" s="40">
        <v>44.840168800000001</v>
      </c>
      <c r="L563" s="74"/>
      <c r="M563" s="272" t="s">
        <v>5801</v>
      </c>
      <c r="N563" s="74">
        <v>1</v>
      </c>
      <c r="O563" s="94"/>
      <c r="P563" s="118">
        <v>1</v>
      </c>
      <c r="Q563" s="510">
        <v>80</v>
      </c>
      <c r="R563" s="513">
        <v>120</v>
      </c>
      <c r="S563" s="41"/>
      <c r="T563" s="40"/>
      <c r="U563" s="40">
        <v>7.5</v>
      </c>
      <c r="V563" s="119">
        <v>1</v>
      </c>
      <c r="W563" s="40">
        <v>100</v>
      </c>
      <c r="X563" s="119">
        <v>1</v>
      </c>
      <c r="Y563" s="40">
        <v>60</v>
      </c>
      <c r="Z563" s="119">
        <v>1</v>
      </c>
      <c r="AA563" s="368">
        <v>0</v>
      </c>
      <c r="AB563" s="535">
        <v>0</v>
      </c>
      <c r="AC563" s="39" t="s">
        <v>160</v>
      </c>
      <c r="AD563" s="75" t="s">
        <v>10</v>
      </c>
      <c r="AE563" s="95">
        <v>0</v>
      </c>
      <c r="AF563" s="75">
        <v>0</v>
      </c>
      <c r="AG563" s="75">
        <v>0</v>
      </c>
      <c r="AH563" s="75">
        <v>0</v>
      </c>
      <c r="AI563" s="75">
        <v>0</v>
      </c>
      <c r="AJ563" s="75">
        <v>0</v>
      </c>
      <c r="AK563" s="75">
        <v>0</v>
      </c>
      <c r="AL563" s="95">
        <v>1</v>
      </c>
      <c r="AM563" s="92">
        <v>0</v>
      </c>
      <c r="AN563" s="79" t="s">
        <v>80</v>
      </c>
      <c r="AO563" s="75">
        <v>1</v>
      </c>
      <c r="AP563" s="75" t="s">
        <v>83</v>
      </c>
      <c r="AQ563" s="122">
        <v>1</v>
      </c>
      <c r="AR563" s="515" t="s">
        <v>10</v>
      </c>
      <c r="AS563" s="95">
        <v>0</v>
      </c>
      <c r="AT563" s="75">
        <v>0</v>
      </c>
      <c r="AU563" s="75">
        <v>0</v>
      </c>
      <c r="AV563" s="75">
        <v>0</v>
      </c>
      <c r="AW563" s="123">
        <v>0</v>
      </c>
      <c r="AX563" s="516" t="s">
        <v>5802</v>
      </c>
      <c r="AY563" s="75">
        <v>1</v>
      </c>
      <c r="AZ563" s="77" t="s">
        <v>131</v>
      </c>
      <c r="BA563" s="78" t="s">
        <v>131</v>
      </c>
      <c r="BB563" s="78" t="s">
        <v>131</v>
      </c>
      <c r="BC563" s="78" t="s">
        <v>131</v>
      </c>
      <c r="BD563" s="78" t="s">
        <v>131</v>
      </c>
      <c r="BE563" s="78" t="s">
        <v>131</v>
      </c>
      <c r="BF563" s="78" t="s">
        <v>131</v>
      </c>
      <c r="BG563" s="78" t="s">
        <v>132</v>
      </c>
      <c r="BH563" s="75" t="s">
        <v>5970</v>
      </c>
      <c r="BI563" s="295" t="s">
        <v>2247</v>
      </c>
      <c r="BJ563" s="546">
        <v>1</v>
      </c>
      <c r="BK563" s="294">
        <v>1</v>
      </c>
      <c r="BL563" s="157">
        <v>1</v>
      </c>
      <c r="BM563" s="548" t="s">
        <v>578</v>
      </c>
      <c r="BN563" s="548" t="s">
        <v>578</v>
      </c>
      <c r="BO563" s="157" t="s">
        <v>4318</v>
      </c>
      <c r="BP563" s="548" t="s">
        <v>4439</v>
      </c>
      <c r="BQ563" s="157" t="s">
        <v>4316</v>
      </c>
      <c r="BR563" s="157"/>
    </row>
    <row r="564" spans="1:70" x14ac:dyDescent="0.25">
      <c r="A564" s="19" t="s">
        <v>3686</v>
      </c>
      <c r="B564" s="37" t="s">
        <v>3884</v>
      </c>
      <c r="C564" s="90">
        <v>45184.8518287037</v>
      </c>
      <c r="D564" s="114">
        <v>45184.6018287037</v>
      </c>
      <c r="E564" s="38">
        <v>45184</v>
      </c>
      <c r="F564" s="91">
        <v>2023</v>
      </c>
      <c r="G564" s="93">
        <v>9</v>
      </c>
      <c r="H564" s="37" t="s">
        <v>2706</v>
      </c>
      <c r="I564" s="37"/>
      <c r="J564" s="103">
        <v>-91.975118899999998</v>
      </c>
      <c r="K564" s="40">
        <v>44.050599099999999</v>
      </c>
      <c r="L564" s="74"/>
      <c r="M564" s="272" t="s">
        <v>3885</v>
      </c>
      <c r="N564" s="74">
        <v>1</v>
      </c>
      <c r="O564" s="94"/>
      <c r="P564" s="118">
        <v>1</v>
      </c>
      <c r="Q564" s="510">
        <v>180</v>
      </c>
      <c r="R564" s="513">
        <v>180</v>
      </c>
      <c r="S564" s="41"/>
      <c r="T564" s="40"/>
      <c r="U564" s="40">
        <v>7.5</v>
      </c>
      <c r="V564" s="119">
        <v>1</v>
      </c>
      <c r="W564" s="40">
        <v>100</v>
      </c>
      <c r="X564" s="119">
        <v>1</v>
      </c>
      <c r="Y564" s="40">
        <v>56</v>
      </c>
      <c r="Z564" s="119">
        <v>0</v>
      </c>
      <c r="AA564" s="368" t="s">
        <v>16</v>
      </c>
      <c r="AB564" s="535" t="s">
        <v>16</v>
      </c>
      <c r="AC564" s="39" t="s">
        <v>160</v>
      </c>
      <c r="AD564" s="75" t="s">
        <v>16</v>
      </c>
      <c r="AE564" s="95">
        <v>-1</v>
      </c>
      <c r="AF564" s="75">
        <v>-1</v>
      </c>
      <c r="AG564" s="75">
        <v>-1</v>
      </c>
      <c r="AH564" s="75">
        <v>-1</v>
      </c>
      <c r="AI564" s="75">
        <v>-1</v>
      </c>
      <c r="AJ564" s="75">
        <v>-1</v>
      </c>
      <c r="AK564" s="75">
        <v>-1</v>
      </c>
      <c r="AL564" s="95">
        <v>-1</v>
      </c>
      <c r="AM564" s="92">
        <v>1</v>
      </c>
      <c r="AN564" s="79"/>
      <c r="AO564" s="75">
        <v>0</v>
      </c>
      <c r="AP564" s="75"/>
      <c r="AQ564" s="122">
        <v>0</v>
      </c>
      <c r="AR564" s="515" t="s">
        <v>16</v>
      </c>
      <c r="AS564" s="95">
        <v>-1</v>
      </c>
      <c r="AT564" s="75">
        <v>-1</v>
      </c>
      <c r="AU564" s="75">
        <v>-1</v>
      </c>
      <c r="AV564" s="75">
        <v>-1</v>
      </c>
      <c r="AW564" s="123">
        <v>1</v>
      </c>
      <c r="AX564" s="516" t="s">
        <v>3886</v>
      </c>
      <c r="AY564" s="75">
        <v>1</v>
      </c>
      <c r="AZ564" s="77" t="s">
        <v>5971</v>
      </c>
      <c r="BA564" s="78" t="s">
        <v>5971</v>
      </c>
      <c r="BB564" s="78" t="s">
        <v>5971</v>
      </c>
      <c r="BC564" s="78" t="s">
        <v>5971</v>
      </c>
      <c r="BD564" s="78" t="s">
        <v>5971</v>
      </c>
      <c r="BE564" s="78" t="s">
        <v>5971</v>
      </c>
      <c r="BF564" s="78" t="s">
        <v>5971</v>
      </c>
      <c r="BG564" s="78" t="s">
        <v>5971</v>
      </c>
      <c r="BH564" s="75" t="s">
        <v>5971</v>
      </c>
      <c r="BI564" s="295" t="s">
        <v>2255</v>
      </c>
      <c r="BJ564" s="546">
        <v>1</v>
      </c>
      <c r="BK564" s="294" t="s">
        <v>16</v>
      </c>
      <c r="BL564" s="157" t="s">
        <v>16</v>
      </c>
      <c r="BM564" s="548" t="s">
        <v>1341</v>
      </c>
      <c r="BN564" s="548" t="s">
        <v>4161</v>
      </c>
      <c r="BO564" s="157" t="s">
        <v>4362</v>
      </c>
      <c r="BP564" s="548" t="s">
        <v>4363</v>
      </c>
      <c r="BQ564" s="157" t="s">
        <v>4361</v>
      </c>
      <c r="BR564" s="157"/>
    </row>
    <row r="565" spans="1:70" x14ac:dyDescent="0.25">
      <c r="A565" s="19" t="s">
        <v>3686</v>
      </c>
      <c r="B565" s="37" t="s">
        <v>3887</v>
      </c>
      <c r="C565" s="90">
        <v>45184.795081018521</v>
      </c>
      <c r="D565" s="114">
        <v>45184.545081018521</v>
      </c>
      <c r="E565" s="38">
        <v>45184</v>
      </c>
      <c r="F565" s="91">
        <v>2023</v>
      </c>
      <c r="G565" s="93">
        <v>9</v>
      </c>
      <c r="H565" s="37" t="s">
        <v>2706</v>
      </c>
      <c r="I565" s="37" t="s">
        <v>16</v>
      </c>
      <c r="J565" s="103">
        <v>-92.046965900000004</v>
      </c>
      <c r="K565" s="40">
        <v>44.057150300000004</v>
      </c>
      <c r="L565" s="74"/>
      <c r="M565" s="272" t="s">
        <v>3888</v>
      </c>
      <c r="N565" s="74">
        <v>1</v>
      </c>
      <c r="O565" s="94"/>
      <c r="P565" s="118">
        <v>1</v>
      </c>
      <c r="Q565" s="510">
        <v>80</v>
      </c>
      <c r="R565" s="513">
        <v>60</v>
      </c>
      <c r="S565" s="41"/>
      <c r="T565" s="40"/>
      <c r="U565" s="40">
        <v>7</v>
      </c>
      <c r="V565" s="119">
        <v>1</v>
      </c>
      <c r="W565" s="40">
        <v>0</v>
      </c>
      <c r="X565" s="119">
        <v>1</v>
      </c>
      <c r="Y565" s="40">
        <v>57</v>
      </c>
      <c r="Z565" s="119">
        <v>0</v>
      </c>
      <c r="AA565" s="368" t="s">
        <v>16</v>
      </c>
      <c r="AB565" s="535" t="s">
        <v>16</v>
      </c>
      <c r="AC565" s="39" t="s">
        <v>160</v>
      </c>
      <c r="AD565" s="75" t="s">
        <v>10</v>
      </c>
      <c r="AE565" s="95">
        <v>0</v>
      </c>
      <c r="AF565" s="75">
        <v>0</v>
      </c>
      <c r="AG565" s="75">
        <v>0</v>
      </c>
      <c r="AH565" s="75">
        <v>0</v>
      </c>
      <c r="AI565" s="75">
        <v>0</v>
      </c>
      <c r="AJ565" s="75">
        <v>0</v>
      </c>
      <c r="AK565" s="75">
        <v>0</v>
      </c>
      <c r="AL565" s="95">
        <v>1</v>
      </c>
      <c r="AM565" s="92">
        <v>0</v>
      </c>
      <c r="AN565" s="79" t="s">
        <v>80</v>
      </c>
      <c r="AO565" s="75">
        <v>1</v>
      </c>
      <c r="AP565" s="75" t="s">
        <v>83</v>
      </c>
      <c r="AQ565" s="122">
        <v>1</v>
      </c>
      <c r="AR565" s="515" t="s">
        <v>13</v>
      </c>
      <c r="AS565" s="95">
        <v>1</v>
      </c>
      <c r="AT565" s="75">
        <v>0</v>
      </c>
      <c r="AU565" s="75">
        <v>0</v>
      </c>
      <c r="AV565" s="75">
        <v>0</v>
      </c>
      <c r="AW565" s="123">
        <v>0</v>
      </c>
      <c r="AX565" s="516" t="s">
        <v>3889</v>
      </c>
      <c r="AY565" s="75">
        <v>1</v>
      </c>
      <c r="AZ565" s="77" t="s">
        <v>131</v>
      </c>
      <c r="BA565" s="78" t="s">
        <v>131</v>
      </c>
      <c r="BB565" s="78" t="s">
        <v>131</v>
      </c>
      <c r="BC565" s="78" t="s">
        <v>131</v>
      </c>
      <c r="BD565" s="78" t="s">
        <v>131</v>
      </c>
      <c r="BE565" s="78" t="s">
        <v>131</v>
      </c>
      <c r="BF565" s="78" t="s">
        <v>131</v>
      </c>
      <c r="BG565" s="78" t="s">
        <v>132</v>
      </c>
      <c r="BH565" s="75" t="s">
        <v>5970</v>
      </c>
      <c r="BI565" s="295" t="s">
        <v>2292</v>
      </c>
      <c r="BJ565" s="546">
        <v>1</v>
      </c>
      <c r="BK565" s="294" t="s">
        <v>16</v>
      </c>
      <c r="BL565" s="157" t="s">
        <v>16</v>
      </c>
      <c r="BM565" s="548" t="s">
        <v>1341</v>
      </c>
      <c r="BN565" s="548" t="s">
        <v>4161</v>
      </c>
      <c r="BO565" s="157" t="s">
        <v>4364</v>
      </c>
      <c r="BP565" s="548" t="s">
        <v>2292</v>
      </c>
      <c r="BQ565" s="157" t="s">
        <v>4361</v>
      </c>
      <c r="BR565" s="157"/>
    </row>
    <row r="566" spans="1:70" x14ac:dyDescent="0.25">
      <c r="A566" s="19" t="s">
        <v>3686</v>
      </c>
      <c r="B566" s="37" t="s">
        <v>3890</v>
      </c>
      <c r="C566" s="90">
        <v>45183.846273148149</v>
      </c>
      <c r="D566" s="114">
        <v>45183.596273148149</v>
      </c>
      <c r="E566" s="38">
        <v>45183</v>
      </c>
      <c r="F566" s="91">
        <v>2023</v>
      </c>
      <c r="G566" s="93">
        <v>9</v>
      </c>
      <c r="H566" s="37" t="s">
        <v>2475</v>
      </c>
      <c r="I566" s="37"/>
      <c r="J566" s="103">
        <v>-89.484949590823547</v>
      </c>
      <c r="K566" s="40">
        <v>42.842822379851981</v>
      </c>
      <c r="L566" s="74"/>
      <c r="M566" s="272" t="s">
        <v>3891</v>
      </c>
      <c r="N566" s="74">
        <v>1</v>
      </c>
      <c r="O566" s="94"/>
      <c r="P566" s="118">
        <v>1</v>
      </c>
      <c r="Q566" s="510">
        <v>180</v>
      </c>
      <c r="R566" s="513">
        <v>120</v>
      </c>
      <c r="S566" s="41"/>
      <c r="T566" s="40"/>
      <c r="U566" s="40">
        <v>7.5</v>
      </c>
      <c r="V566" s="119">
        <v>0</v>
      </c>
      <c r="W566" s="40"/>
      <c r="X566" s="119">
        <v>1</v>
      </c>
      <c r="Y566" s="40">
        <v>60</v>
      </c>
      <c r="Z566" s="119">
        <v>1</v>
      </c>
      <c r="AA566" s="368">
        <v>0</v>
      </c>
      <c r="AB566" s="535">
        <v>2</v>
      </c>
      <c r="AC566" s="39" t="s">
        <v>160</v>
      </c>
      <c r="AD566" s="75" t="s">
        <v>10</v>
      </c>
      <c r="AE566" s="95">
        <v>0</v>
      </c>
      <c r="AF566" s="75">
        <v>0</v>
      </c>
      <c r="AG566" s="75">
        <v>0</v>
      </c>
      <c r="AH566" s="75">
        <v>0</v>
      </c>
      <c r="AI566" s="75">
        <v>0</v>
      </c>
      <c r="AJ566" s="75">
        <v>0</v>
      </c>
      <c r="AK566" s="75">
        <v>0</v>
      </c>
      <c r="AL566" s="95">
        <v>1</v>
      </c>
      <c r="AM566" s="92">
        <v>0</v>
      </c>
      <c r="AN566" s="79" t="s">
        <v>80</v>
      </c>
      <c r="AO566" s="75">
        <v>1</v>
      </c>
      <c r="AP566" s="75" t="s">
        <v>83</v>
      </c>
      <c r="AQ566" s="122">
        <v>1</v>
      </c>
      <c r="AR566" s="515" t="s">
        <v>10</v>
      </c>
      <c r="AS566" s="95">
        <v>0</v>
      </c>
      <c r="AT566" s="75">
        <v>0</v>
      </c>
      <c r="AU566" s="75">
        <v>0</v>
      </c>
      <c r="AV566" s="75">
        <v>0</v>
      </c>
      <c r="AW566" s="123">
        <v>0</v>
      </c>
      <c r="AX566" s="516"/>
      <c r="AY566" s="75">
        <v>0</v>
      </c>
      <c r="AZ566" s="77" t="s">
        <v>131</v>
      </c>
      <c r="BA566" s="78" t="s">
        <v>131</v>
      </c>
      <c r="BB566" s="78" t="s">
        <v>131</v>
      </c>
      <c r="BC566" s="78" t="s">
        <v>131</v>
      </c>
      <c r="BD566" s="78" t="s">
        <v>131</v>
      </c>
      <c r="BE566" s="78" t="s">
        <v>131</v>
      </c>
      <c r="BF566" s="78" t="s">
        <v>131</v>
      </c>
      <c r="BG566" s="78" t="s">
        <v>132</v>
      </c>
      <c r="BH566" s="75" t="s">
        <v>5970</v>
      </c>
      <c r="BI566" s="295" t="s">
        <v>4055</v>
      </c>
      <c r="BJ566" s="546">
        <v>1</v>
      </c>
      <c r="BK566" s="294" t="s">
        <v>16</v>
      </c>
      <c r="BL566" s="157" t="s">
        <v>16</v>
      </c>
      <c r="BM566" s="548" t="s">
        <v>1349</v>
      </c>
      <c r="BN566" s="548" t="s">
        <v>4162</v>
      </c>
      <c r="BO566" s="157" t="s">
        <v>4365</v>
      </c>
      <c r="BP566" s="548" t="s">
        <v>4055</v>
      </c>
      <c r="BQ566" s="157" t="s">
        <v>4248</v>
      </c>
      <c r="BR566" s="157"/>
    </row>
    <row r="567" spans="1:70" x14ac:dyDescent="0.25">
      <c r="A567" s="19" t="s">
        <v>3686</v>
      </c>
      <c r="B567" s="37" t="s">
        <v>3892</v>
      </c>
      <c r="C567" s="90">
        <v>45183.818958333337</v>
      </c>
      <c r="D567" s="114">
        <v>45183.568958333337</v>
      </c>
      <c r="E567" s="38">
        <v>45183</v>
      </c>
      <c r="F567" s="91">
        <v>2023</v>
      </c>
      <c r="G567" s="93">
        <v>9</v>
      </c>
      <c r="H567" s="37" t="s">
        <v>2475</v>
      </c>
      <c r="I567" s="37" t="s">
        <v>146</v>
      </c>
      <c r="J567" s="103">
        <v>-89.496291971329342</v>
      </c>
      <c r="K567" s="40">
        <v>42.813757486698741</v>
      </c>
      <c r="L567" s="74"/>
      <c r="M567" s="272" t="s">
        <v>3893</v>
      </c>
      <c r="N567" s="74">
        <v>1</v>
      </c>
      <c r="O567" s="94"/>
      <c r="P567" s="118">
        <v>1</v>
      </c>
      <c r="Q567" s="510">
        <v>180</v>
      </c>
      <c r="R567" s="513">
        <v>180</v>
      </c>
      <c r="S567" s="41"/>
      <c r="T567" s="40"/>
      <c r="U567" s="40">
        <v>7.5</v>
      </c>
      <c r="V567" s="119">
        <v>1</v>
      </c>
      <c r="W567" s="40">
        <v>100</v>
      </c>
      <c r="X567" s="119">
        <v>1</v>
      </c>
      <c r="Y567" s="40">
        <v>62</v>
      </c>
      <c r="Z567" s="119">
        <v>1</v>
      </c>
      <c r="AA567" s="368">
        <v>0</v>
      </c>
      <c r="AB567" s="535">
        <v>2</v>
      </c>
      <c r="AC567" s="39" t="s">
        <v>160</v>
      </c>
      <c r="AD567" s="75" t="s">
        <v>10</v>
      </c>
      <c r="AE567" s="95">
        <v>0</v>
      </c>
      <c r="AF567" s="75">
        <v>0</v>
      </c>
      <c r="AG567" s="75">
        <v>0</v>
      </c>
      <c r="AH567" s="75">
        <v>0</v>
      </c>
      <c r="AI567" s="75">
        <v>0</v>
      </c>
      <c r="AJ567" s="75">
        <v>0</v>
      </c>
      <c r="AK567" s="75">
        <v>0</v>
      </c>
      <c r="AL567" s="95">
        <v>1</v>
      </c>
      <c r="AM567" s="92">
        <v>0</v>
      </c>
      <c r="AN567" s="79" t="s">
        <v>80</v>
      </c>
      <c r="AO567" s="75">
        <v>1</v>
      </c>
      <c r="AP567" s="75" t="s">
        <v>83</v>
      </c>
      <c r="AQ567" s="122">
        <v>1</v>
      </c>
      <c r="AR567" s="515" t="s">
        <v>10</v>
      </c>
      <c r="AS567" s="95">
        <v>0</v>
      </c>
      <c r="AT567" s="75">
        <v>0</v>
      </c>
      <c r="AU567" s="75">
        <v>0</v>
      </c>
      <c r="AV567" s="75">
        <v>0</v>
      </c>
      <c r="AW567" s="123">
        <v>0</v>
      </c>
      <c r="AX567" s="516"/>
      <c r="AY567" s="75">
        <v>0</v>
      </c>
      <c r="AZ567" s="77" t="s">
        <v>131</v>
      </c>
      <c r="BA567" s="78" t="s">
        <v>131</v>
      </c>
      <c r="BB567" s="78" t="s">
        <v>131</v>
      </c>
      <c r="BC567" s="78" t="s">
        <v>131</v>
      </c>
      <c r="BD567" s="78" t="s">
        <v>131</v>
      </c>
      <c r="BE567" s="78" t="s">
        <v>131</v>
      </c>
      <c r="BF567" s="78" t="s">
        <v>131</v>
      </c>
      <c r="BG567" s="78" t="s">
        <v>132</v>
      </c>
      <c r="BH567" s="75" t="s">
        <v>5970</v>
      </c>
      <c r="BI567" s="295" t="s">
        <v>4055</v>
      </c>
      <c r="BJ567" s="546">
        <v>1</v>
      </c>
      <c r="BK567" s="294" t="s">
        <v>16</v>
      </c>
      <c r="BL567" s="157" t="s">
        <v>16</v>
      </c>
      <c r="BM567" s="548" t="s">
        <v>1343</v>
      </c>
      <c r="BN567" s="548" t="s">
        <v>4162</v>
      </c>
      <c r="BO567" s="157" t="s">
        <v>4365</v>
      </c>
      <c r="BP567" s="548" t="s">
        <v>4055</v>
      </c>
      <c r="BQ567" s="157" t="s">
        <v>4248</v>
      </c>
      <c r="BR567" s="157"/>
    </row>
    <row r="568" spans="1:70" x14ac:dyDescent="0.25">
      <c r="A568" s="19" t="s">
        <v>3686</v>
      </c>
      <c r="B568" s="37" t="s">
        <v>3894</v>
      </c>
      <c r="C568" s="90">
        <v>45183.805393518516</v>
      </c>
      <c r="D568" s="114">
        <v>45183.555393518516</v>
      </c>
      <c r="E568" s="38">
        <v>45183</v>
      </c>
      <c r="F568" s="91">
        <v>2023</v>
      </c>
      <c r="G568" s="93">
        <v>9</v>
      </c>
      <c r="H568" s="37" t="s">
        <v>2475</v>
      </c>
      <c r="I568" s="37"/>
      <c r="J568" s="103">
        <v>-89.46820698253886</v>
      </c>
      <c r="K568" s="40">
        <v>42.810060418320887</v>
      </c>
      <c r="L568" s="74"/>
      <c r="M568" s="272" t="s">
        <v>3895</v>
      </c>
      <c r="N568" s="74">
        <v>1</v>
      </c>
      <c r="O568" s="94"/>
      <c r="P568" s="118">
        <v>1</v>
      </c>
      <c r="Q568" s="510">
        <v>180</v>
      </c>
      <c r="R568" s="513">
        <v>180</v>
      </c>
      <c r="S568" s="41"/>
      <c r="T568" s="40"/>
      <c r="U568" s="40">
        <v>8</v>
      </c>
      <c r="V568" s="119">
        <v>0</v>
      </c>
      <c r="W568" s="40"/>
      <c r="X568" s="119">
        <v>1</v>
      </c>
      <c r="Y568" s="40">
        <v>60</v>
      </c>
      <c r="Z568" s="119">
        <v>1</v>
      </c>
      <c r="AA568" s="368">
        <v>0</v>
      </c>
      <c r="AB568" s="535">
        <v>5</v>
      </c>
      <c r="AC568" s="39" t="s">
        <v>160</v>
      </c>
      <c r="AD568" s="75" t="s">
        <v>8</v>
      </c>
      <c r="AE568" s="95">
        <v>0</v>
      </c>
      <c r="AF568" s="75">
        <v>1</v>
      </c>
      <c r="AG568" s="75">
        <v>0</v>
      </c>
      <c r="AH568" s="75">
        <v>0</v>
      </c>
      <c r="AI568" s="75">
        <v>0</v>
      </c>
      <c r="AJ568" s="75">
        <v>0</v>
      </c>
      <c r="AK568" s="75">
        <v>0</v>
      </c>
      <c r="AL568" s="95">
        <v>0</v>
      </c>
      <c r="AM568" s="92">
        <v>0</v>
      </c>
      <c r="AN568" s="79" t="s">
        <v>80</v>
      </c>
      <c r="AO568" s="75">
        <v>1</v>
      </c>
      <c r="AP568" s="75" t="s">
        <v>83</v>
      </c>
      <c r="AQ568" s="122">
        <v>1</v>
      </c>
      <c r="AR568" s="515" t="s">
        <v>10</v>
      </c>
      <c r="AS568" s="95">
        <v>0</v>
      </c>
      <c r="AT568" s="75">
        <v>0</v>
      </c>
      <c r="AU568" s="75">
        <v>0</v>
      </c>
      <c r="AV568" s="75">
        <v>0</v>
      </c>
      <c r="AW568" s="123">
        <v>0</v>
      </c>
      <c r="AX568" s="516"/>
      <c r="AY568" s="75">
        <v>0</v>
      </c>
      <c r="AZ568" s="77" t="s">
        <v>131</v>
      </c>
      <c r="BA568" s="78" t="s">
        <v>132</v>
      </c>
      <c r="BB568" s="78" t="s">
        <v>131</v>
      </c>
      <c r="BC568" s="78" t="s">
        <v>131</v>
      </c>
      <c r="BD568" s="78" t="s">
        <v>131</v>
      </c>
      <c r="BE568" s="78" t="s">
        <v>131</v>
      </c>
      <c r="BF568" s="78" t="s">
        <v>131</v>
      </c>
      <c r="BG568" s="78" t="s">
        <v>131</v>
      </c>
      <c r="BH568" s="75" t="s">
        <v>5970</v>
      </c>
      <c r="BI568" s="295" t="s">
        <v>4056</v>
      </c>
      <c r="BJ568" s="546" t="s">
        <v>16</v>
      </c>
      <c r="BK568" s="294">
        <v>1</v>
      </c>
      <c r="BL568" s="157">
        <v>1</v>
      </c>
      <c r="BM568" s="548" t="s">
        <v>1349</v>
      </c>
      <c r="BN568" s="548" t="s">
        <v>4162</v>
      </c>
      <c r="BO568" s="157" t="s">
        <v>4366</v>
      </c>
      <c r="BP568" s="548" t="s">
        <v>4367</v>
      </c>
      <c r="BQ568" s="157" t="s">
        <v>4248</v>
      </c>
      <c r="BR568" s="157"/>
    </row>
    <row r="569" spans="1:70" x14ac:dyDescent="0.25">
      <c r="A569" s="19" t="s">
        <v>3686</v>
      </c>
      <c r="B569" s="37" t="s">
        <v>3896</v>
      </c>
      <c r="C569" s="90">
        <v>45183.79583333333</v>
      </c>
      <c r="D569" s="114">
        <v>45183.54583333333</v>
      </c>
      <c r="E569" s="38">
        <v>45183</v>
      </c>
      <c r="F569" s="91">
        <v>2023</v>
      </c>
      <c r="G569" s="93">
        <v>9</v>
      </c>
      <c r="H569" s="37" t="s">
        <v>2475</v>
      </c>
      <c r="I569" s="37"/>
      <c r="J569" s="103">
        <v>-89.466815755380026</v>
      </c>
      <c r="K569" s="40">
        <v>42.811687433854253</v>
      </c>
      <c r="L569" s="74"/>
      <c r="M569" s="272" t="s">
        <v>3897</v>
      </c>
      <c r="N569" s="74">
        <v>1</v>
      </c>
      <c r="O569" s="94"/>
      <c r="P569" s="118">
        <v>1</v>
      </c>
      <c r="Q569" s="510">
        <v>180</v>
      </c>
      <c r="R569" s="513">
        <v>120</v>
      </c>
      <c r="S569" s="41"/>
      <c r="T569" s="40"/>
      <c r="U569" s="40">
        <v>7</v>
      </c>
      <c r="V569" s="119">
        <v>0</v>
      </c>
      <c r="W569" s="40"/>
      <c r="X569" s="119">
        <v>1</v>
      </c>
      <c r="Y569" s="40">
        <v>58</v>
      </c>
      <c r="Z569" s="119">
        <v>0</v>
      </c>
      <c r="AA569" s="368" t="s">
        <v>16</v>
      </c>
      <c r="AB569" s="535" t="s">
        <v>16</v>
      </c>
      <c r="AC569" s="39" t="s">
        <v>160</v>
      </c>
      <c r="AD569" s="75" t="s">
        <v>8</v>
      </c>
      <c r="AE569" s="95">
        <v>0</v>
      </c>
      <c r="AF569" s="75">
        <v>1</v>
      </c>
      <c r="AG569" s="75">
        <v>0</v>
      </c>
      <c r="AH569" s="75">
        <v>0</v>
      </c>
      <c r="AI569" s="75">
        <v>0</v>
      </c>
      <c r="AJ569" s="75">
        <v>0</v>
      </c>
      <c r="AK569" s="75">
        <v>0</v>
      </c>
      <c r="AL569" s="95">
        <v>0</v>
      </c>
      <c r="AM569" s="92">
        <v>0</v>
      </c>
      <c r="AN569" s="79" t="s">
        <v>80</v>
      </c>
      <c r="AO569" s="75">
        <v>1</v>
      </c>
      <c r="AP569" s="75" t="s">
        <v>83</v>
      </c>
      <c r="AQ569" s="122">
        <v>1</v>
      </c>
      <c r="AR569" s="515" t="s">
        <v>10</v>
      </c>
      <c r="AS569" s="95">
        <v>0</v>
      </c>
      <c r="AT569" s="75">
        <v>0</v>
      </c>
      <c r="AU569" s="75">
        <v>0</v>
      </c>
      <c r="AV569" s="75">
        <v>0</v>
      </c>
      <c r="AW569" s="123">
        <v>0</v>
      </c>
      <c r="AX569" s="516" t="s">
        <v>3898</v>
      </c>
      <c r="AY569" s="75">
        <v>1</v>
      </c>
      <c r="AZ569" s="77" t="s">
        <v>131</v>
      </c>
      <c r="BA569" s="78" t="s">
        <v>132</v>
      </c>
      <c r="BB569" s="78" t="s">
        <v>131</v>
      </c>
      <c r="BC569" s="78" t="s">
        <v>131</v>
      </c>
      <c r="BD569" s="78" t="s">
        <v>131</v>
      </c>
      <c r="BE569" s="78" t="s">
        <v>131</v>
      </c>
      <c r="BF569" s="78" t="s">
        <v>131</v>
      </c>
      <c r="BG569" s="78" t="s">
        <v>131</v>
      </c>
      <c r="BH569" s="75" t="s">
        <v>5970</v>
      </c>
      <c r="BI569" s="295" t="s">
        <v>4056</v>
      </c>
      <c r="BJ569" s="546" t="s">
        <v>16</v>
      </c>
      <c r="BK569" s="294">
        <v>1</v>
      </c>
      <c r="BL569" s="157">
        <v>1</v>
      </c>
      <c r="BM569" s="548" t="s">
        <v>1349</v>
      </c>
      <c r="BN569" s="548" t="s">
        <v>4162</v>
      </c>
      <c r="BO569" s="157" t="s">
        <v>4366</v>
      </c>
      <c r="BP569" s="548" t="s">
        <v>4367</v>
      </c>
      <c r="BQ569" s="157" t="s">
        <v>4248</v>
      </c>
      <c r="BR569" s="157"/>
    </row>
    <row r="570" spans="1:70" x14ac:dyDescent="0.25">
      <c r="A570" s="19" t="s">
        <v>3686</v>
      </c>
      <c r="B570" s="37" t="s">
        <v>3899</v>
      </c>
      <c r="C570" s="90">
        <v>45182.861307870371</v>
      </c>
      <c r="D570" s="114">
        <v>45182.611307870371</v>
      </c>
      <c r="E570" s="38">
        <v>45182</v>
      </c>
      <c r="F570" s="91">
        <v>2023</v>
      </c>
      <c r="G570" s="93">
        <v>9</v>
      </c>
      <c r="H570" s="37" t="s">
        <v>2475</v>
      </c>
      <c r="I570" s="37"/>
      <c r="J570" s="103">
        <v>-89.998010300415174</v>
      </c>
      <c r="K570" s="40">
        <v>42.77505816114617</v>
      </c>
      <c r="L570" s="74"/>
      <c r="M570" s="272" t="s">
        <v>3900</v>
      </c>
      <c r="N570" s="74">
        <v>1</v>
      </c>
      <c r="O570" s="94"/>
      <c r="P570" s="118">
        <v>1</v>
      </c>
      <c r="Q570" s="510">
        <v>180</v>
      </c>
      <c r="R570" s="513">
        <v>30</v>
      </c>
      <c r="S570" s="41"/>
      <c r="T570" s="40"/>
      <c r="U570" s="40">
        <v>8</v>
      </c>
      <c r="V570" s="119">
        <v>0</v>
      </c>
      <c r="W570" s="40"/>
      <c r="X570" s="119">
        <v>1</v>
      </c>
      <c r="Y570" s="40">
        <v>59</v>
      </c>
      <c r="Z570" s="119">
        <v>0</v>
      </c>
      <c r="AA570" s="368" t="s">
        <v>16</v>
      </c>
      <c r="AB570" s="535" t="s">
        <v>16</v>
      </c>
      <c r="AC570" s="39" t="s">
        <v>160</v>
      </c>
      <c r="AD570" s="75" t="s">
        <v>10</v>
      </c>
      <c r="AE570" s="95">
        <v>0</v>
      </c>
      <c r="AF570" s="75">
        <v>0</v>
      </c>
      <c r="AG570" s="75">
        <v>0</v>
      </c>
      <c r="AH570" s="75">
        <v>0</v>
      </c>
      <c r="AI570" s="75">
        <v>0</v>
      </c>
      <c r="AJ570" s="75">
        <v>0</v>
      </c>
      <c r="AK570" s="75">
        <v>0</v>
      </c>
      <c r="AL570" s="95">
        <v>1</v>
      </c>
      <c r="AM570" s="92">
        <v>0</v>
      </c>
      <c r="AN570" s="79" t="s">
        <v>80</v>
      </c>
      <c r="AO570" s="75">
        <v>1</v>
      </c>
      <c r="AP570" s="75" t="s">
        <v>84</v>
      </c>
      <c r="AQ570" s="122">
        <v>1</v>
      </c>
      <c r="AR570" s="515" t="s">
        <v>10</v>
      </c>
      <c r="AS570" s="95">
        <v>0</v>
      </c>
      <c r="AT570" s="75">
        <v>0</v>
      </c>
      <c r="AU570" s="75">
        <v>0</v>
      </c>
      <c r="AV570" s="75">
        <v>0</v>
      </c>
      <c r="AW570" s="123">
        <v>0</v>
      </c>
      <c r="AX570" s="516"/>
      <c r="AY570" s="75">
        <v>0</v>
      </c>
      <c r="AZ570" s="77" t="s">
        <v>131</v>
      </c>
      <c r="BA570" s="78" t="s">
        <v>131</v>
      </c>
      <c r="BB570" s="78" t="s">
        <v>131</v>
      </c>
      <c r="BC570" s="78" t="s">
        <v>131</v>
      </c>
      <c r="BD570" s="78" t="s">
        <v>131</v>
      </c>
      <c r="BE570" s="78" t="s">
        <v>131</v>
      </c>
      <c r="BF570" s="78" t="s">
        <v>131</v>
      </c>
      <c r="BG570" s="78" t="s">
        <v>132</v>
      </c>
      <c r="BH570" s="75" t="s">
        <v>5970</v>
      </c>
      <c r="BI570" s="295" t="s">
        <v>4047</v>
      </c>
      <c r="BJ570" s="546">
        <v>1</v>
      </c>
      <c r="BK570" s="294">
        <v>1</v>
      </c>
      <c r="BL570" s="157">
        <v>1</v>
      </c>
      <c r="BM570" s="548" t="s">
        <v>1345</v>
      </c>
      <c r="BN570" s="548" t="s">
        <v>4162</v>
      </c>
      <c r="BO570" s="157" t="s">
        <v>4369</v>
      </c>
      <c r="BP570" s="548" t="s">
        <v>4370</v>
      </c>
      <c r="BQ570" s="157" t="s">
        <v>4368</v>
      </c>
      <c r="BR570" s="157"/>
    </row>
    <row r="571" spans="1:70" x14ac:dyDescent="0.25">
      <c r="A571" s="19" t="s">
        <v>3686</v>
      </c>
      <c r="B571" s="37" t="s">
        <v>3901</v>
      </c>
      <c r="C571" s="90">
        <v>45182.834953703707</v>
      </c>
      <c r="D571" s="114">
        <v>45182.584953703707</v>
      </c>
      <c r="E571" s="38">
        <v>45182</v>
      </c>
      <c r="F571" s="91">
        <v>2023</v>
      </c>
      <c r="G571" s="93">
        <v>9</v>
      </c>
      <c r="H571" s="37" t="s">
        <v>2475</v>
      </c>
      <c r="I571" s="37"/>
      <c r="J571" s="103">
        <v>-90.029198576694156</v>
      </c>
      <c r="K571" s="40">
        <v>42.778592913596107</v>
      </c>
      <c r="L571" s="74"/>
      <c r="M571" s="272" t="s">
        <v>3902</v>
      </c>
      <c r="N571" s="74">
        <v>1</v>
      </c>
      <c r="O571" s="94"/>
      <c r="P571" s="118">
        <v>1</v>
      </c>
      <c r="Q571" s="510">
        <v>80</v>
      </c>
      <c r="R571" s="513">
        <v>120</v>
      </c>
      <c r="S571" s="41"/>
      <c r="T571" s="40"/>
      <c r="U571" s="40">
        <v>8</v>
      </c>
      <c r="V571" s="119">
        <v>1</v>
      </c>
      <c r="W571" s="40">
        <v>0</v>
      </c>
      <c r="X571" s="119">
        <v>1</v>
      </c>
      <c r="Y571" s="40">
        <v>57</v>
      </c>
      <c r="Z571" s="119">
        <v>1</v>
      </c>
      <c r="AA571" s="368">
        <v>0</v>
      </c>
      <c r="AB571" s="535">
        <v>5</v>
      </c>
      <c r="AC571" s="39" t="s">
        <v>160</v>
      </c>
      <c r="AD571" s="75" t="s">
        <v>8</v>
      </c>
      <c r="AE571" s="95">
        <v>0</v>
      </c>
      <c r="AF571" s="75">
        <v>1</v>
      </c>
      <c r="AG571" s="75">
        <v>0</v>
      </c>
      <c r="AH571" s="75">
        <v>0</v>
      </c>
      <c r="AI571" s="75">
        <v>0</v>
      </c>
      <c r="AJ571" s="75">
        <v>0</v>
      </c>
      <c r="AK571" s="75">
        <v>0</v>
      </c>
      <c r="AL571" s="95">
        <v>0</v>
      </c>
      <c r="AM571" s="92">
        <v>0</v>
      </c>
      <c r="AN571" s="79" t="s">
        <v>80</v>
      </c>
      <c r="AO571" s="75">
        <v>1</v>
      </c>
      <c r="AP571" s="75" t="s">
        <v>83</v>
      </c>
      <c r="AQ571" s="122">
        <v>1</v>
      </c>
      <c r="AR571" s="515" t="s">
        <v>10</v>
      </c>
      <c r="AS571" s="95">
        <v>0</v>
      </c>
      <c r="AT571" s="75">
        <v>0</v>
      </c>
      <c r="AU571" s="75">
        <v>0</v>
      </c>
      <c r="AV571" s="75">
        <v>0</v>
      </c>
      <c r="AW571" s="123">
        <v>0</v>
      </c>
      <c r="AX571" s="516"/>
      <c r="AY571" s="75">
        <v>0</v>
      </c>
      <c r="AZ571" s="77" t="s">
        <v>131</v>
      </c>
      <c r="BA571" s="78" t="s">
        <v>132</v>
      </c>
      <c r="BB571" s="78" t="s">
        <v>131</v>
      </c>
      <c r="BC571" s="78" t="s">
        <v>131</v>
      </c>
      <c r="BD571" s="78" t="s">
        <v>131</v>
      </c>
      <c r="BE571" s="78" t="s">
        <v>131</v>
      </c>
      <c r="BF571" s="78" t="s">
        <v>131</v>
      </c>
      <c r="BG571" s="78" t="s">
        <v>131</v>
      </c>
      <c r="BH571" s="75" t="s">
        <v>5970</v>
      </c>
      <c r="BI571" s="295" t="s">
        <v>4047</v>
      </c>
      <c r="BJ571" s="546">
        <v>1</v>
      </c>
      <c r="BK571" s="294">
        <v>1</v>
      </c>
      <c r="BL571" s="157">
        <v>1</v>
      </c>
      <c r="BM571" s="548" t="s">
        <v>1345</v>
      </c>
      <c r="BN571" s="548" t="s">
        <v>4162</v>
      </c>
      <c r="BO571" s="157" t="s">
        <v>4369</v>
      </c>
      <c r="BP571" s="548" t="s">
        <v>4370</v>
      </c>
      <c r="BQ571" s="157" t="s">
        <v>4368</v>
      </c>
      <c r="BR571" s="157"/>
    </row>
    <row r="572" spans="1:70" x14ac:dyDescent="0.25">
      <c r="A572" s="19" t="s">
        <v>3686</v>
      </c>
      <c r="B572" s="37" t="s">
        <v>3903</v>
      </c>
      <c r="C572" s="90">
        <v>45182.804548611108</v>
      </c>
      <c r="D572" s="114">
        <v>45182.554548611108</v>
      </c>
      <c r="E572" s="38">
        <v>45182</v>
      </c>
      <c r="F572" s="91">
        <v>2023</v>
      </c>
      <c r="G572" s="93">
        <v>9</v>
      </c>
      <c r="H572" s="37" t="s">
        <v>599</v>
      </c>
      <c r="I572" s="37" t="s">
        <v>2361</v>
      </c>
      <c r="J572" s="103">
        <v>-92.442966232929365</v>
      </c>
      <c r="K572" s="40">
        <v>44.621396150849478</v>
      </c>
      <c r="L572" s="74"/>
      <c r="M572" s="272" t="s">
        <v>16</v>
      </c>
      <c r="N572" s="74">
        <v>0</v>
      </c>
      <c r="O572" s="94"/>
      <c r="P572" s="118">
        <v>1</v>
      </c>
      <c r="Q572" s="510">
        <v>180</v>
      </c>
      <c r="R572" s="513">
        <v>180</v>
      </c>
      <c r="S572" s="41"/>
      <c r="T572" s="40"/>
      <c r="U572" s="40">
        <v>8</v>
      </c>
      <c r="V572" s="119">
        <v>1</v>
      </c>
      <c r="W572" s="40">
        <v>0</v>
      </c>
      <c r="X572" s="119">
        <v>1</v>
      </c>
      <c r="Y572" s="40">
        <v>54</v>
      </c>
      <c r="Z572" s="119">
        <v>1</v>
      </c>
      <c r="AA572" s="368">
        <v>0</v>
      </c>
      <c r="AB572" s="535">
        <v>5</v>
      </c>
      <c r="AC572" s="39" t="s">
        <v>160</v>
      </c>
      <c r="AD572" s="75" t="s">
        <v>10</v>
      </c>
      <c r="AE572" s="95">
        <v>0</v>
      </c>
      <c r="AF572" s="75">
        <v>0</v>
      </c>
      <c r="AG572" s="75">
        <v>0</v>
      </c>
      <c r="AH572" s="75">
        <v>0</v>
      </c>
      <c r="AI572" s="75">
        <v>0</v>
      </c>
      <c r="AJ572" s="75">
        <v>0</v>
      </c>
      <c r="AK572" s="75">
        <v>0</v>
      </c>
      <c r="AL572" s="95">
        <v>1</v>
      </c>
      <c r="AM572" s="92">
        <v>0</v>
      </c>
      <c r="AN572" s="79" t="s">
        <v>80</v>
      </c>
      <c r="AO572" s="75">
        <v>1</v>
      </c>
      <c r="AP572" s="75"/>
      <c r="AQ572" s="122">
        <v>0</v>
      </c>
      <c r="AR572" s="515" t="s">
        <v>10</v>
      </c>
      <c r="AS572" s="95">
        <v>0</v>
      </c>
      <c r="AT572" s="75">
        <v>0</v>
      </c>
      <c r="AU572" s="75">
        <v>0</v>
      </c>
      <c r="AV572" s="75">
        <v>0</v>
      </c>
      <c r="AW572" s="123">
        <v>0</v>
      </c>
      <c r="AX572" s="516"/>
      <c r="AY572" s="75">
        <v>0</v>
      </c>
      <c r="AZ572" s="77" t="s">
        <v>131</v>
      </c>
      <c r="BA572" s="78" t="s">
        <v>131</v>
      </c>
      <c r="BB572" s="78" t="s">
        <v>131</v>
      </c>
      <c r="BC572" s="78" t="s">
        <v>131</v>
      </c>
      <c r="BD572" s="78" t="s">
        <v>131</v>
      </c>
      <c r="BE572" s="78" t="s">
        <v>131</v>
      </c>
      <c r="BF572" s="78" t="s">
        <v>131</v>
      </c>
      <c r="BG572" s="78" t="s">
        <v>132</v>
      </c>
      <c r="BH572" s="75" t="s">
        <v>5970</v>
      </c>
      <c r="BI572" s="295" t="s">
        <v>2289</v>
      </c>
      <c r="BJ572" s="546">
        <v>1</v>
      </c>
      <c r="BK572" s="294" t="s">
        <v>16</v>
      </c>
      <c r="BL572" s="157" t="s">
        <v>16</v>
      </c>
      <c r="BM572" s="548" t="s">
        <v>578</v>
      </c>
      <c r="BN572" s="548" t="s">
        <v>544</v>
      </c>
      <c r="BO572" s="157" t="s">
        <v>4283</v>
      </c>
      <c r="BP572" s="548" t="s">
        <v>2289</v>
      </c>
      <c r="BQ572" s="157" t="s">
        <v>4214</v>
      </c>
      <c r="BR572" s="157"/>
    </row>
    <row r="573" spans="1:70" x14ac:dyDescent="0.25">
      <c r="A573" s="19" t="s">
        <v>3686</v>
      </c>
      <c r="B573" s="37" t="s">
        <v>3904</v>
      </c>
      <c r="C573" s="90">
        <v>45180.741898148146</v>
      </c>
      <c r="D573" s="114">
        <v>45180.491898148146</v>
      </c>
      <c r="E573" s="38">
        <v>45180</v>
      </c>
      <c r="F573" s="91">
        <v>2023</v>
      </c>
      <c r="G573" s="93">
        <v>9</v>
      </c>
      <c r="H573" s="37" t="s">
        <v>624</v>
      </c>
      <c r="I573" s="37" t="s">
        <v>958</v>
      </c>
      <c r="J573" s="103">
        <v>-92.563742911334927</v>
      </c>
      <c r="K573" s="40">
        <v>44.502626326099751</v>
      </c>
      <c r="L573" s="74"/>
      <c r="M573" s="272" t="s">
        <v>16</v>
      </c>
      <c r="N573" s="74">
        <v>0</v>
      </c>
      <c r="O573" s="94"/>
      <c r="P573" s="118">
        <v>1</v>
      </c>
      <c r="Q573" s="510">
        <v>80</v>
      </c>
      <c r="R573" s="513">
        <v>120</v>
      </c>
      <c r="S573" s="41"/>
      <c r="T573" s="40"/>
      <c r="U573" s="40">
        <v>8</v>
      </c>
      <c r="V573" s="119">
        <v>0</v>
      </c>
      <c r="W573" s="40"/>
      <c r="X573" s="119">
        <v>1</v>
      </c>
      <c r="Y573" s="40">
        <v>58</v>
      </c>
      <c r="Z573" s="119">
        <v>1</v>
      </c>
      <c r="AA573" s="368">
        <v>0</v>
      </c>
      <c r="AB573" s="535">
        <v>5</v>
      </c>
      <c r="AC573" s="39" t="s">
        <v>160</v>
      </c>
      <c r="AD573" s="75" t="s">
        <v>10</v>
      </c>
      <c r="AE573" s="95">
        <v>0</v>
      </c>
      <c r="AF573" s="75">
        <v>0</v>
      </c>
      <c r="AG573" s="75">
        <v>0</v>
      </c>
      <c r="AH573" s="75">
        <v>0</v>
      </c>
      <c r="AI573" s="75">
        <v>0</v>
      </c>
      <c r="AJ573" s="75">
        <v>0</v>
      </c>
      <c r="AK573" s="75">
        <v>0</v>
      </c>
      <c r="AL573" s="95">
        <v>1</v>
      </c>
      <c r="AM573" s="92">
        <v>0</v>
      </c>
      <c r="AN573" s="79" t="s">
        <v>80</v>
      </c>
      <c r="AO573" s="75">
        <v>1</v>
      </c>
      <c r="AP573" s="75" t="s">
        <v>83</v>
      </c>
      <c r="AQ573" s="122">
        <v>1</v>
      </c>
      <c r="AR573" s="515" t="s">
        <v>10</v>
      </c>
      <c r="AS573" s="95">
        <v>0</v>
      </c>
      <c r="AT573" s="75">
        <v>0</v>
      </c>
      <c r="AU573" s="75">
        <v>0</v>
      </c>
      <c r="AV573" s="75">
        <v>0</v>
      </c>
      <c r="AW573" s="123">
        <v>0</v>
      </c>
      <c r="AX573" s="516"/>
      <c r="AY573" s="75">
        <v>0</v>
      </c>
      <c r="AZ573" s="77" t="s">
        <v>131</v>
      </c>
      <c r="BA573" s="78" t="s">
        <v>131</v>
      </c>
      <c r="BB573" s="78" t="s">
        <v>131</v>
      </c>
      <c r="BC573" s="78" t="s">
        <v>131</v>
      </c>
      <c r="BD573" s="78" t="s">
        <v>131</v>
      </c>
      <c r="BE573" s="78" t="s">
        <v>131</v>
      </c>
      <c r="BF573" s="78" t="s">
        <v>131</v>
      </c>
      <c r="BG573" s="78" t="s">
        <v>132</v>
      </c>
      <c r="BH573" s="75" t="s">
        <v>5970</v>
      </c>
      <c r="BI573" s="295" t="s">
        <v>2238</v>
      </c>
      <c r="BJ573" s="546">
        <v>1</v>
      </c>
      <c r="BK573" s="294" t="s">
        <v>16</v>
      </c>
      <c r="BL573" s="157" t="s">
        <v>16</v>
      </c>
      <c r="BM573" s="548" t="s">
        <v>2343</v>
      </c>
      <c r="BN573" s="548" t="s">
        <v>4161</v>
      </c>
      <c r="BO573" s="157" t="s">
        <v>4308</v>
      </c>
      <c r="BP573" s="548" t="s">
        <v>2238</v>
      </c>
      <c r="BQ573" s="157" t="s">
        <v>4307</v>
      </c>
      <c r="BR573" s="157"/>
    </row>
    <row r="574" spans="1:70" x14ac:dyDescent="0.25">
      <c r="A574" s="19" t="s">
        <v>3686</v>
      </c>
      <c r="B574" s="37" t="s">
        <v>3905</v>
      </c>
      <c r="C574" s="90">
        <v>45179.5703587963</v>
      </c>
      <c r="D574" s="114">
        <v>45179.3203587963</v>
      </c>
      <c r="E574" s="38">
        <v>45179</v>
      </c>
      <c r="F574" s="91">
        <v>2023</v>
      </c>
      <c r="G574" s="93">
        <v>9</v>
      </c>
      <c r="H574" s="37" t="s">
        <v>3906</v>
      </c>
      <c r="I574" s="37" t="s">
        <v>16</v>
      </c>
      <c r="J574" s="103">
        <v>-91.406585100000001</v>
      </c>
      <c r="K574" s="40">
        <v>43.1175821</v>
      </c>
      <c r="L574" s="74"/>
      <c r="M574" s="272" t="s">
        <v>3907</v>
      </c>
      <c r="N574" s="74">
        <v>1</v>
      </c>
      <c r="O574" s="94"/>
      <c r="P574" s="118">
        <v>1</v>
      </c>
      <c r="Q574" s="510">
        <v>120</v>
      </c>
      <c r="R574" s="513">
        <v>180</v>
      </c>
      <c r="S574" s="41"/>
      <c r="T574" s="40"/>
      <c r="U574" s="40">
        <v>8</v>
      </c>
      <c r="V574" s="119">
        <v>0</v>
      </c>
      <c r="W574" s="40"/>
      <c r="X574" s="119">
        <v>1</v>
      </c>
      <c r="Y574" s="40">
        <v>52</v>
      </c>
      <c r="Z574" s="119">
        <v>1</v>
      </c>
      <c r="AA574" s="368">
        <v>0</v>
      </c>
      <c r="AB574" s="535">
        <v>5</v>
      </c>
      <c r="AC574" s="39" t="s">
        <v>160</v>
      </c>
      <c r="AD574" s="75" t="s">
        <v>10</v>
      </c>
      <c r="AE574" s="95">
        <v>0</v>
      </c>
      <c r="AF574" s="75">
        <v>0</v>
      </c>
      <c r="AG574" s="75">
        <v>0</v>
      </c>
      <c r="AH574" s="75">
        <v>0</v>
      </c>
      <c r="AI574" s="75">
        <v>0</v>
      </c>
      <c r="AJ574" s="75">
        <v>0</v>
      </c>
      <c r="AK574" s="75">
        <v>0</v>
      </c>
      <c r="AL574" s="95">
        <v>1</v>
      </c>
      <c r="AM574" s="92">
        <v>0</v>
      </c>
      <c r="AN574" s="79" t="s">
        <v>80</v>
      </c>
      <c r="AO574" s="75">
        <v>1</v>
      </c>
      <c r="AP574" s="75" t="s">
        <v>83</v>
      </c>
      <c r="AQ574" s="122">
        <v>1</v>
      </c>
      <c r="AR574" s="515" t="s">
        <v>10</v>
      </c>
      <c r="AS574" s="95">
        <v>0</v>
      </c>
      <c r="AT574" s="75">
        <v>0</v>
      </c>
      <c r="AU574" s="75">
        <v>0</v>
      </c>
      <c r="AV574" s="75">
        <v>0</v>
      </c>
      <c r="AW574" s="123">
        <v>0</v>
      </c>
      <c r="AX574" s="516"/>
      <c r="AY574" s="75">
        <v>0</v>
      </c>
      <c r="AZ574" s="77" t="s">
        <v>131</v>
      </c>
      <c r="BA574" s="78" t="s">
        <v>131</v>
      </c>
      <c r="BB574" s="78" t="s">
        <v>131</v>
      </c>
      <c r="BC574" s="78" t="s">
        <v>131</v>
      </c>
      <c r="BD574" s="78" t="s">
        <v>131</v>
      </c>
      <c r="BE574" s="78" t="s">
        <v>131</v>
      </c>
      <c r="BF574" s="78" t="s">
        <v>131</v>
      </c>
      <c r="BG574" s="78" t="s">
        <v>132</v>
      </c>
      <c r="BH574" s="75" t="s">
        <v>5970</v>
      </c>
      <c r="BI574" s="295" t="s">
        <v>4026</v>
      </c>
      <c r="BJ574" s="546">
        <v>1</v>
      </c>
      <c r="BK574" s="294">
        <v>1</v>
      </c>
      <c r="BL574" s="157">
        <v>1</v>
      </c>
      <c r="BM574" s="548" t="s">
        <v>1347</v>
      </c>
      <c r="BN574" s="548" t="s">
        <v>2341</v>
      </c>
      <c r="BO574" s="157" t="s">
        <v>4372</v>
      </c>
      <c r="BP574" s="548" t="s">
        <v>4026</v>
      </c>
      <c r="BQ574" s="157" t="s">
        <v>4371</v>
      </c>
      <c r="BR574" s="157"/>
    </row>
    <row r="575" spans="1:70" x14ac:dyDescent="0.25">
      <c r="A575" s="19" t="s">
        <v>3686</v>
      </c>
      <c r="B575" s="37" t="s">
        <v>3908</v>
      </c>
      <c r="C575" s="90">
        <v>45178.795891203707</v>
      </c>
      <c r="D575" s="114">
        <v>45178.545891203707</v>
      </c>
      <c r="E575" s="38">
        <v>45178</v>
      </c>
      <c r="F575" s="91">
        <v>2023</v>
      </c>
      <c r="G575" s="93">
        <v>9</v>
      </c>
      <c r="H575" s="37" t="s">
        <v>1353</v>
      </c>
      <c r="I575" s="37"/>
      <c r="J575" s="103">
        <v>-91.865659600000001</v>
      </c>
      <c r="K575" s="40">
        <v>43.357577800000001</v>
      </c>
      <c r="L575" s="74"/>
      <c r="M575" s="272" t="s">
        <v>16</v>
      </c>
      <c r="N575" s="74">
        <v>0</v>
      </c>
      <c r="O575" s="94"/>
      <c r="P575" s="118">
        <v>0</v>
      </c>
      <c r="Q575" s="510"/>
      <c r="R575" s="513"/>
      <c r="S575" s="41"/>
      <c r="T575" s="40"/>
      <c r="U575" s="40"/>
      <c r="V575" s="119">
        <v>0</v>
      </c>
      <c r="W575" s="40"/>
      <c r="X575" s="119">
        <v>0</v>
      </c>
      <c r="Y575" s="40"/>
      <c r="Z575" s="119">
        <v>1</v>
      </c>
      <c r="AA575" s="368">
        <v>0</v>
      </c>
      <c r="AB575" s="535">
        <v>5</v>
      </c>
      <c r="AC575" s="39"/>
      <c r="AD575" s="75" t="s">
        <v>16</v>
      </c>
      <c r="AE575" s="95">
        <v>-1</v>
      </c>
      <c r="AF575" s="75">
        <v>-1</v>
      </c>
      <c r="AG575" s="75">
        <v>-1</v>
      </c>
      <c r="AH575" s="75">
        <v>-1</v>
      </c>
      <c r="AI575" s="75">
        <v>-1</v>
      </c>
      <c r="AJ575" s="75">
        <v>-1</v>
      </c>
      <c r="AK575" s="75">
        <v>-1</v>
      </c>
      <c r="AL575" s="95">
        <v>-1</v>
      </c>
      <c r="AM575" s="92">
        <v>1</v>
      </c>
      <c r="AN575" s="79"/>
      <c r="AO575" s="75">
        <v>0</v>
      </c>
      <c r="AP575" s="75"/>
      <c r="AQ575" s="122">
        <v>0</v>
      </c>
      <c r="AR575" s="515" t="s">
        <v>16</v>
      </c>
      <c r="AS575" s="95">
        <v>-1</v>
      </c>
      <c r="AT575" s="75">
        <v>-1</v>
      </c>
      <c r="AU575" s="75">
        <v>-1</v>
      </c>
      <c r="AV575" s="75">
        <v>-1</v>
      </c>
      <c r="AW575" s="123">
        <v>1</v>
      </c>
      <c r="AX575" s="516"/>
      <c r="AY575" s="75">
        <v>0</v>
      </c>
      <c r="AZ575" s="77" t="s">
        <v>5971</v>
      </c>
      <c r="BA575" s="78" t="s">
        <v>5971</v>
      </c>
      <c r="BB575" s="78" t="s">
        <v>5971</v>
      </c>
      <c r="BC575" s="78" t="s">
        <v>5971</v>
      </c>
      <c r="BD575" s="78" t="s">
        <v>5971</v>
      </c>
      <c r="BE575" s="78" t="s">
        <v>5971</v>
      </c>
      <c r="BF575" s="78" t="s">
        <v>5971</v>
      </c>
      <c r="BG575" s="78" t="s">
        <v>5971</v>
      </c>
      <c r="BH575" s="75" t="s">
        <v>5971</v>
      </c>
      <c r="BI575" s="295">
        <v>0</v>
      </c>
      <c r="BJ575" s="546">
        <v>1</v>
      </c>
      <c r="BK575" s="294" t="s">
        <v>16</v>
      </c>
      <c r="BL575" s="157" t="s">
        <v>16</v>
      </c>
      <c r="BM575" s="548" t="s">
        <v>1344</v>
      </c>
      <c r="BN575" s="548" t="s">
        <v>4158</v>
      </c>
      <c r="BO575" s="157" t="s">
        <v>4376</v>
      </c>
      <c r="BP575" s="548" t="s">
        <v>4379</v>
      </c>
      <c r="BQ575" s="157" t="s">
        <v>4375</v>
      </c>
      <c r="BR575" s="157"/>
    </row>
    <row r="576" spans="1:70" x14ac:dyDescent="0.25">
      <c r="A576" s="19" t="s">
        <v>3686</v>
      </c>
      <c r="B576" s="37" t="s">
        <v>3909</v>
      </c>
      <c r="C576" s="90">
        <v>45178.787662037037</v>
      </c>
      <c r="D576" s="114">
        <v>45178.537662037037</v>
      </c>
      <c r="E576" s="38">
        <v>45178</v>
      </c>
      <c r="F576" s="91">
        <v>2023</v>
      </c>
      <c r="G576" s="93">
        <v>9</v>
      </c>
      <c r="H576" s="37" t="s">
        <v>1353</v>
      </c>
      <c r="I576" s="37"/>
      <c r="J576" s="103">
        <v>-91.865690499999999</v>
      </c>
      <c r="K576" s="40">
        <v>43.357558900000001</v>
      </c>
      <c r="L576" s="74"/>
      <c r="M576" s="272" t="s">
        <v>3910</v>
      </c>
      <c r="N576" s="74">
        <v>1</v>
      </c>
      <c r="O576" s="94"/>
      <c r="P576" s="118">
        <v>1</v>
      </c>
      <c r="Q576" s="510">
        <v>80</v>
      </c>
      <c r="R576" s="513">
        <v>180</v>
      </c>
      <c r="S576" s="41"/>
      <c r="T576" s="40"/>
      <c r="U576" s="40">
        <v>8.5</v>
      </c>
      <c r="V576" s="119">
        <v>0</v>
      </c>
      <c r="W576" s="40"/>
      <c r="X576" s="119">
        <v>1</v>
      </c>
      <c r="Y576" s="40">
        <v>62</v>
      </c>
      <c r="Z576" s="119">
        <v>0</v>
      </c>
      <c r="AA576" s="368" t="s">
        <v>16</v>
      </c>
      <c r="AB576" s="535" t="s">
        <v>16</v>
      </c>
      <c r="AC576" s="39" t="s">
        <v>160</v>
      </c>
      <c r="AD576" s="75" t="s">
        <v>10</v>
      </c>
      <c r="AE576" s="95">
        <v>0</v>
      </c>
      <c r="AF576" s="75">
        <v>0</v>
      </c>
      <c r="AG576" s="75">
        <v>0</v>
      </c>
      <c r="AH576" s="75">
        <v>0</v>
      </c>
      <c r="AI576" s="75">
        <v>0</v>
      </c>
      <c r="AJ576" s="75">
        <v>0</v>
      </c>
      <c r="AK576" s="75">
        <v>0</v>
      </c>
      <c r="AL576" s="95">
        <v>1</v>
      </c>
      <c r="AM576" s="92">
        <v>0</v>
      </c>
      <c r="AN576" s="79" t="s">
        <v>80</v>
      </c>
      <c r="AO576" s="75">
        <v>1</v>
      </c>
      <c r="AP576" s="75" t="s">
        <v>83</v>
      </c>
      <c r="AQ576" s="122">
        <v>1</v>
      </c>
      <c r="AR576" s="515" t="s">
        <v>10</v>
      </c>
      <c r="AS576" s="95">
        <v>0</v>
      </c>
      <c r="AT576" s="75">
        <v>0</v>
      </c>
      <c r="AU576" s="75">
        <v>0</v>
      </c>
      <c r="AV576" s="75">
        <v>0</v>
      </c>
      <c r="AW576" s="123">
        <v>0</v>
      </c>
      <c r="AX576" s="516"/>
      <c r="AY576" s="75">
        <v>0</v>
      </c>
      <c r="AZ576" s="77" t="s">
        <v>131</v>
      </c>
      <c r="BA576" s="78" t="s">
        <v>131</v>
      </c>
      <c r="BB576" s="78" t="s">
        <v>131</v>
      </c>
      <c r="BC576" s="78" t="s">
        <v>131</v>
      </c>
      <c r="BD576" s="78" t="s">
        <v>131</v>
      </c>
      <c r="BE576" s="78" t="s">
        <v>131</v>
      </c>
      <c r="BF576" s="78" t="s">
        <v>131</v>
      </c>
      <c r="BG576" s="78" t="s">
        <v>132</v>
      </c>
      <c r="BH576" s="75" t="s">
        <v>5970</v>
      </c>
      <c r="BI576" s="295" t="s">
        <v>16</v>
      </c>
      <c r="BJ576" s="546">
        <v>1</v>
      </c>
      <c r="BK576" s="294" t="s">
        <v>16</v>
      </c>
      <c r="BL576" s="157" t="s">
        <v>16</v>
      </c>
      <c r="BM576" s="548" t="s">
        <v>1344</v>
      </c>
      <c r="BN576" s="548" t="s">
        <v>4158</v>
      </c>
      <c r="BO576" s="157" t="s">
        <v>4376</v>
      </c>
      <c r="BP576" s="548" t="s">
        <v>4379</v>
      </c>
      <c r="BQ576" s="157" t="s">
        <v>4375</v>
      </c>
      <c r="BR576" s="157"/>
    </row>
    <row r="577" spans="1:70" x14ac:dyDescent="0.25">
      <c r="A577" s="19" t="s">
        <v>3686</v>
      </c>
      <c r="B577" s="37" t="s">
        <v>3911</v>
      </c>
      <c r="C577" s="90">
        <v>45178.626956018517</v>
      </c>
      <c r="D577" s="114">
        <v>45178.376956018517</v>
      </c>
      <c r="E577" s="38">
        <v>45178</v>
      </c>
      <c r="F577" s="91">
        <v>2023</v>
      </c>
      <c r="G577" s="93">
        <v>9</v>
      </c>
      <c r="H577" s="37" t="s">
        <v>1410</v>
      </c>
      <c r="I577" s="37" t="s">
        <v>1411</v>
      </c>
      <c r="J577" s="103">
        <v>-93.23139826989852</v>
      </c>
      <c r="K577" s="40">
        <v>44.846838734735883</v>
      </c>
      <c r="L577" s="74"/>
      <c r="M577" s="272" t="s">
        <v>16</v>
      </c>
      <c r="N577" s="74">
        <v>0</v>
      </c>
      <c r="O577" s="94"/>
      <c r="P577" s="118">
        <v>1</v>
      </c>
      <c r="Q577" s="510">
        <v>180</v>
      </c>
      <c r="R577" s="513">
        <v>120</v>
      </c>
      <c r="S577" s="41"/>
      <c r="T577" s="40"/>
      <c r="U577" s="40">
        <v>7</v>
      </c>
      <c r="V577" s="119">
        <v>1</v>
      </c>
      <c r="W577" s="40">
        <v>0</v>
      </c>
      <c r="X577" s="119">
        <v>1</v>
      </c>
      <c r="Y577" s="40">
        <v>56</v>
      </c>
      <c r="Z577" s="119">
        <v>1</v>
      </c>
      <c r="AA577" s="368">
        <v>0</v>
      </c>
      <c r="AB577" s="535">
        <v>0</v>
      </c>
      <c r="AC577" s="39" t="s">
        <v>160</v>
      </c>
      <c r="AD577" s="75" t="s">
        <v>10</v>
      </c>
      <c r="AE577" s="95">
        <v>0</v>
      </c>
      <c r="AF577" s="75">
        <v>0</v>
      </c>
      <c r="AG577" s="75">
        <v>0</v>
      </c>
      <c r="AH577" s="75">
        <v>0</v>
      </c>
      <c r="AI577" s="75">
        <v>0</v>
      </c>
      <c r="AJ577" s="75">
        <v>0</v>
      </c>
      <c r="AK577" s="75">
        <v>0</v>
      </c>
      <c r="AL577" s="95">
        <v>1</v>
      </c>
      <c r="AM577" s="92">
        <v>0</v>
      </c>
      <c r="AN577" s="79" t="s">
        <v>80</v>
      </c>
      <c r="AO577" s="75">
        <v>1</v>
      </c>
      <c r="AP577" s="75" t="s">
        <v>83</v>
      </c>
      <c r="AQ577" s="122">
        <v>1</v>
      </c>
      <c r="AR577" s="515" t="s">
        <v>10</v>
      </c>
      <c r="AS577" s="95">
        <v>0</v>
      </c>
      <c r="AT577" s="75">
        <v>0</v>
      </c>
      <c r="AU577" s="75">
        <v>0</v>
      </c>
      <c r="AV577" s="75">
        <v>0</v>
      </c>
      <c r="AW577" s="123">
        <v>0</v>
      </c>
      <c r="AX577" s="516" t="s">
        <v>3912</v>
      </c>
      <c r="AY577" s="75">
        <v>1</v>
      </c>
      <c r="AZ577" s="77" t="s">
        <v>131</v>
      </c>
      <c r="BA577" s="78" t="s">
        <v>131</v>
      </c>
      <c r="BB577" s="78" t="s">
        <v>131</v>
      </c>
      <c r="BC577" s="78" t="s">
        <v>131</v>
      </c>
      <c r="BD577" s="78" t="s">
        <v>131</v>
      </c>
      <c r="BE577" s="78" t="s">
        <v>131</v>
      </c>
      <c r="BF577" s="78" t="s">
        <v>131</v>
      </c>
      <c r="BG577" s="78" t="s">
        <v>132</v>
      </c>
      <c r="BH577" s="75" t="s">
        <v>5970</v>
      </c>
      <c r="BI577" s="295" t="s">
        <v>16</v>
      </c>
      <c r="BJ577" s="546" t="s">
        <v>16</v>
      </c>
      <c r="BK577" s="294" t="s">
        <v>16</v>
      </c>
      <c r="BL577" s="157" t="s">
        <v>16</v>
      </c>
      <c r="BM577" s="548" t="s">
        <v>2343</v>
      </c>
      <c r="BN577" s="548" t="s">
        <v>4161</v>
      </c>
      <c r="BO577" s="157" t="s">
        <v>4327</v>
      </c>
      <c r="BP577" s="548" t="s">
        <v>4314</v>
      </c>
      <c r="BQ577" s="157" t="s">
        <v>4312</v>
      </c>
      <c r="BR577" s="157"/>
    </row>
    <row r="578" spans="1:70" x14ac:dyDescent="0.25">
      <c r="A578" s="19" t="s">
        <v>3686</v>
      </c>
      <c r="B578" s="37" t="s">
        <v>3913</v>
      </c>
      <c r="C578" s="90">
        <v>45177.805520833332</v>
      </c>
      <c r="D578" s="114">
        <v>45177.555520833332</v>
      </c>
      <c r="E578" s="38">
        <v>45177</v>
      </c>
      <c r="F578" s="91">
        <v>2023</v>
      </c>
      <c r="G578" s="93">
        <v>9</v>
      </c>
      <c r="H578" s="37" t="s">
        <v>1391</v>
      </c>
      <c r="I578" s="37" t="s">
        <v>960</v>
      </c>
      <c r="J578" s="103">
        <v>-93.008991675537999</v>
      </c>
      <c r="K578" s="40">
        <v>44.657276971307262</v>
      </c>
      <c r="L578" s="74"/>
      <c r="M578" s="272" t="s">
        <v>16</v>
      </c>
      <c r="N578" s="74">
        <v>0</v>
      </c>
      <c r="O578" s="94"/>
      <c r="P578" s="118">
        <v>1</v>
      </c>
      <c r="Q578" s="510">
        <v>0</v>
      </c>
      <c r="R578" s="513">
        <v>30</v>
      </c>
      <c r="S578" s="41"/>
      <c r="T578" s="40"/>
      <c r="U578" s="40">
        <v>7</v>
      </c>
      <c r="V578" s="119">
        <v>1</v>
      </c>
      <c r="W578" s="40">
        <v>200</v>
      </c>
      <c r="X578" s="119">
        <v>1</v>
      </c>
      <c r="Y578" s="40">
        <v>62</v>
      </c>
      <c r="Z578" s="119">
        <v>1</v>
      </c>
      <c r="AA578" s="368">
        <v>0</v>
      </c>
      <c r="AB578" s="535">
        <v>5</v>
      </c>
      <c r="AC578" s="39" t="s">
        <v>160</v>
      </c>
      <c r="AD578" s="75" t="s">
        <v>10</v>
      </c>
      <c r="AE578" s="95">
        <v>0</v>
      </c>
      <c r="AF578" s="75">
        <v>0</v>
      </c>
      <c r="AG578" s="75">
        <v>0</v>
      </c>
      <c r="AH578" s="75">
        <v>0</v>
      </c>
      <c r="AI578" s="75">
        <v>0</v>
      </c>
      <c r="AJ578" s="75">
        <v>0</v>
      </c>
      <c r="AK578" s="75">
        <v>0</v>
      </c>
      <c r="AL578" s="95">
        <v>1</v>
      </c>
      <c r="AM578" s="92">
        <v>0</v>
      </c>
      <c r="AN578" s="79" t="s">
        <v>80</v>
      </c>
      <c r="AO578" s="75">
        <v>1</v>
      </c>
      <c r="AP578" s="75" t="s">
        <v>83</v>
      </c>
      <c r="AQ578" s="122">
        <v>1</v>
      </c>
      <c r="AR578" s="515" t="s">
        <v>10</v>
      </c>
      <c r="AS578" s="95">
        <v>0</v>
      </c>
      <c r="AT578" s="75">
        <v>0</v>
      </c>
      <c r="AU578" s="75">
        <v>0</v>
      </c>
      <c r="AV578" s="75">
        <v>0</v>
      </c>
      <c r="AW578" s="123">
        <v>0</v>
      </c>
      <c r="AX578" s="516"/>
      <c r="AY578" s="75">
        <v>0</v>
      </c>
      <c r="AZ578" s="77" t="s">
        <v>131</v>
      </c>
      <c r="BA578" s="78" t="s">
        <v>131</v>
      </c>
      <c r="BB578" s="78" t="s">
        <v>131</v>
      </c>
      <c r="BC578" s="78" t="s">
        <v>131</v>
      </c>
      <c r="BD578" s="78" t="s">
        <v>131</v>
      </c>
      <c r="BE578" s="78" t="s">
        <v>131</v>
      </c>
      <c r="BF578" s="78" t="s">
        <v>131</v>
      </c>
      <c r="BG578" s="78" t="s">
        <v>132</v>
      </c>
      <c r="BH578" s="75" t="s">
        <v>5970</v>
      </c>
      <c r="BI578" s="295" t="s">
        <v>2225</v>
      </c>
      <c r="BJ578" s="546">
        <v>1</v>
      </c>
      <c r="BK578" s="294" t="s">
        <v>16</v>
      </c>
      <c r="BL578" s="157" t="s">
        <v>16</v>
      </c>
      <c r="BM578" s="548" t="s">
        <v>2343</v>
      </c>
      <c r="BN578" s="548" t="s">
        <v>4161</v>
      </c>
      <c r="BO578" s="157" t="s">
        <v>4293</v>
      </c>
      <c r="BP578" s="548" t="s">
        <v>2225</v>
      </c>
      <c r="BQ578" s="157" t="s">
        <v>4292</v>
      </c>
      <c r="BR578" s="157"/>
    </row>
    <row r="579" spans="1:70" x14ac:dyDescent="0.25">
      <c r="A579" s="19" t="s">
        <v>3686</v>
      </c>
      <c r="B579" s="37" t="s">
        <v>3914</v>
      </c>
      <c r="C579" s="90">
        <v>45177.781412037039</v>
      </c>
      <c r="D579" s="114">
        <v>45177.531412037039</v>
      </c>
      <c r="E579" s="38">
        <v>45177</v>
      </c>
      <c r="F579" s="91">
        <v>2023</v>
      </c>
      <c r="G579" s="93">
        <v>9</v>
      </c>
      <c r="H579" s="37" t="s">
        <v>190</v>
      </c>
      <c r="I579" s="37"/>
      <c r="J579" s="103">
        <v>-91.406139967785165</v>
      </c>
      <c r="K579" s="40">
        <v>43.117776291423091</v>
      </c>
      <c r="L579" s="74"/>
      <c r="M579" s="272" t="s">
        <v>16</v>
      </c>
      <c r="N579" s="74">
        <v>0</v>
      </c>
      <c r="O579" s="94"/>
      <c r="P579" s="118">
        <v>1</v>
      </c>
      <c r="Q579" s="510">
        <v>180</v>
      </c>
      <c r="R579" s="513">
        <v>120</v>
      </c>
      <c r="S579" s="41"/>
      <c r="T579" s="40"/>
      <c r="U579" s="40">
        <v>7</v>
      </c>
      <c r="V579" s="119">
        <v>0</v>
      </c>
      <c r="W579" s="40"/>
      <c r="X579" s="119">
        <v>0</v>
      </c>
      <c r="Y579" s="40"/>
      <c r="Z579" s="119">
        <v>0</v>
      </c>
      <c r="AA579" s="368" t="s">
        <v>16</v>
      </c>
      <c r="AB579" s="535" t="s">
        <v>16</v>
      </c>
      <c r="AC579" s="39" t="s">
        <v>160</v>
      </c>
      <c r="AD579" s="75" t="s">
        <v>16</v>
      </c>
      <c r="AE579" s="95">
        <v>-1</v>
      </c>
      <c r="AF579" s="75">
        <v>-1</v>
      </c>
      <c r="AG579" s="75">
        <v>-1</v>
      </c>
      <c r="AH579" s="75">
        <v>-1</v>
      </c>
      <c r="AI579" s="75">
        <v>-1</v>
      </c>
      <c r="AJ579" s="75">
        <v>-1</v>
      </c>
      <c r="AK579" s="75">
        <v>-1</v>
      </c>
      <c r="AL579" s="95">
        <v>-1</v>
      </c>
      <c r="AM579" s="92">
        <v>1</v>
      </c>
      <c r="AN579" s="79"/>
      <c r="AO579" s="75">
        <v>0</v>
      </c>
      <c r="AP579" s="75"/>
      <c r="AQ579" s="122">
        <v>0</v>
      </c>
      <c r="AR579" s="515" t="s">
        <v>16</v>
      </c>
      <c r="AS579" s="95">
        <v>-1</v>
      </c>
      <c r="AT579" s="75">
        <v>-1</v>
      </c>
      <c r="AU579" s="75">
        <v>-1</v>
      </c>
      <c r="AV579" s="75">
        <v>-1</v>
      </c>
      <c r="AW579" s="123">
        <v>1</v>
      </c>
      <c r="AX579" s="516"/>
      <c r="AY579" s="75">
        <v>0</v>
      </c>
      <c r="AZ579" s="77" t="s">
        <v>5971</v>
      </c>
      <c r="BA579" s="78" t="s">
        <v>5971</v>
      </c>
      <c r="BB579" s="78" t="s">
        <v>5971</v>
      </c>
      <c r="BC579" s="78" t="s">
        <v>5971</v>
      </c>
      <c r="BD579" s="78" t="s">
        <v>5971</v>
      </c>
      <c r="BE579" s="78" t="s">
        <v>5971</v>
      </c>
      <c r="BF579" s="78" t="s">
        <v>5971</v>
      </c>
      <c r="BG579" s="78" t="s">
        <v>5971</v>
      </c>
      <c r="BH579" s="75" t="s">
        <v>5971</v>
      </c>
      <c r="BI579" s="295" t="s">
        <v>4026</v>
      </c>
      <c r="BJ579" s="546">
        <v>1</v>
      </c>
      <c r="BK579" s="294">
        <v>1</v>
      </c>
      <c r="BL579" s="157">
        <v>1</v>
      </c>
      <c r="BM579" s="548" t="s">
        <v>1347</v>
      </c>
      <c r="BN579" s="548" t="s">
        <v>2341</v>
      </c>
      <c r="BO579" s="157" t="s">
        <v>4372</v>
      </c>
      <c r="BP579" s="548" t="s">
        <v>4026</v>
      </c>
      <c r="BQ579" s="157" t="s">
        <v>4371</v>
      </c>
      <c r="BR579" s="157"/>
    </row>
    <row r="580" spans="1:70" x14ac:dyDescent="0.25">
      <c r="A580" s="19" t="s">
        <v>3686</v>
      </c>
      <c r="B580" s="37" t="s">
        <v>3915</v>
      </c>
      <c r="C580" s="90">
        <v>45176.611296296294</v>
      </c>
      <c r="D580" s="114">
        <v>45176.361296296294</v>
      </c>
      <c r="E580" s="38">
        <v>45176</v>
      </c>
      <c r="F580" s="91">
        <v>2023</v>
      </c>
      <c r="G580" s="93">
        <v>9</v>
      </c>
      <c r="H580" s="37" t="s">
        <v>624</v>
      </c>
      <c r="I580" s="37" t="s">
        <v>16</v>
      </c>
      <c r="J580" s="103">
        <v>-91.079844886121762</v>
      </c>
      <c r="K580" s="40">
        <v>43.749820154308487</v>
      </c>
      <c r="L580" s="74"/>
      <c r="M580" s="272" t="s">
        <v>16</v>
      </c>
      <c r="N580" s="74">
        <v>0</v>
      </c>
      <c r="O580" s="94"/>
      <c r="P580" s="118">
        <v>0</v>
      </c>
      <c r="Q580" s="510"/>
      <c r="R580" s="513"/>
      <c r="S580" s="41"/>
      <c r="T580" s="40"/>
      <c r="U580" s="40"/>
      <c r="V580" s="119">
        <v>0</v>
      </c>
      <c r="W580" s="40"/>
      <c r="X580" s="119">
        <v>1</v>
      </c>
      <c r="Y580" s="40">
        <v>58</v>
      </c>
      <c r="Z580" s="119">
        <v>1</v>
      </c>
      <c r="AA580" s="368">
        <v>0</v>
      </c>
      <c r="AB580" s="535">
        <v>5</v>
      </c>
      <c r="AC580" s="39" t="s">
        <v>160</v>
      </c>
      <c r="AD580" s="75" t="s">
        <v>10</v>
      </c>
      <c r="AE580" s="95">
        <v>0</v>
      </c>
      <c r="AF580" s="75">
        <v>0</v>
      </c>
      <c r="AG580" s="75">
        <v>0</v>
      </c>
      <c r="AH580" s="75">
        <v>0</v>
      </c>
      <c r="AI580" s="75">
        <v>0</v>
      </c>
      <c r="AJ580" s="75">
        <v>0</v>
      </c>
      <c r="AK580" s="75">
        <v>0</v>
      </c>
      <c r="AL580" s="95">
        <v>1</v>
      </c>
      <c r="AM580" s="92">
        <v>0</v>
      </c>
      <c r="AN580" s="79" t="s">
        <v>80</v>
      </c>
      <c r="AO580" s="75">
        <v>1</v>
      </c>
      <c r="AP580" s="75" t="s">
        <v>83</v>
      </c>
      <c r="AQ580" s="122">
        <v>1</v>
      </c>
      <c r="AR580" s="515" t="s">
        <v>10</v>
      </c>
      <c r="AS580" s="95">
        <v>0</v>
      </c>
      <c r="AT580" s="75">
        <v>0</v>
      </c>
      <c r="AU580" s="75">
        <v>0</v>
      </c>
      <c r="AV580" s="75">
        <v>0</v>
      </c>
      <c r="AW580" s="123">
        <v>0</v>
      </c>
      <c r="AX580" s="516"/>
      <c r="AY580" s="75">
        <v>0</v>
      </c>
      <c r="AZ580" s="77" t="s">
        <v>131</v>
      </c>
      <c r="BA580" s="78" t="s">
        <v>131</v>
      </c>
      <c r="BB580" s="78" t="s">
        <v>131</v>
      </c>
      <c r="BC580" s="78" t="s">
        <v>131</v>
      </c>
      <c r="BD580" s="78" t="s">
        <v>131</v>
      </c>
      <c r="BE580" s="78" t="s">
        <v>131</v>
      </c>
      <c r="BF580" s="78" t="s">
        <v>131</v>
      </c>
      <c r="BG580" s="78" t="s">
        <v>132</v>
      </c>
      <c r="BH580" s="75" t="s">
        <v>5970</v>
      </c>
      <c r="BI580" s="295" t="s">
        <v>2274</v>
      </c>
      <c r="BJ580" s="546">
        <v>1</v>
      </c>
      <c r="BK580" s="294">
        <v>1</v>
      </c>
      <c r="BL580" s="157">
        <v>1</v>
      </c>
      <c r="BM580" s="548" t="s">
        <v>1342</v>
      </c>
      <c r="BN580" s="548" t="s">
        <v>4161</v>
      </c>
      <c r="BO580" s="157" t="s">
        <v>4335</v>
      </c>
      <c r="BP580" s="548" t="s">
        <v>2274</v>
      </c>
      <c r="BQ580" s="157" t="s">
        <v>4236</v>
      </c>
      <c r="BR580" s="157"/>
    </row>
    <row r="581" spans="1:70" x14ac:dyDescent="0.25">
      <c r="A581" s="19" t="s">
        <v>3686</v>
      </c>
      <c r="B581" s="37" t="s">
        <v>3916</v>
      </c>
      <c r="C581" s="90">
        <v>45174.863599537035</v>
      </c>
      <c r="D581" s="114">
        <v>45174.613599537035</v>
      </c>
      <c r="E581" s="38">
        <v>45174</v>
      </c>
      <c r="F581" s="91">
        <v>2023</v>
      </c>
      <c r="G581" s="93">
        <v>9</v>
      </c>
      <c r="H581" s="37" t="s">
        <v>598</v>
      </c>
      <c r="I581" s="37"/>
      <c r="J581" s="103">
        <v>-92.547529927295514</v>
      </c>
      <c r="K581" s="40">
        <v>43.984531695727732</v>
      </c>
      <c r="L581" s="74"/>
      <c r="M581" s="272" t="s">
        <v>3917</v>
      </c>
      <c r="N581" s="74">
        <v>1</v>
      </c>
      <c r="O581" s="94"/>
      <c r="P581" s="118">
        <v>1</v>
      </c>
      <c r="Q581" s="510">
        <v>180</v>
      </c>
      <c r="R581" s="513">
        <v>180</v>
      </c>
      <c r="S581" s="41"/>
      <c r="T581" s="40"/>
      <c r="U581" s="40">
        <v>8</v>
      </c>
      <c r="V581" s="119">
        <v>1</v>
      </c>
      <c r="W581" s="40">
        <v>100</v>
      </c>
      <c r="X581" s="119">
        <v>1</v>
      </c>
      <c r="Y581" s="40">
        <v>76</v>
      </c>
      <c r="Z581" s="119">
        <v>1</v>
      </c>
      <c r="AA581" s="368">
        <v>0</v>
      </c>
      <c r="AB581" s="535">
        <v>2</v>
      </c>
      <c r="AC581" s="39" t="s">
        <v>160</v>
      </c>
      <c r="AD581" s="75" t="s">
        <v>10</v>
      </c>
      <c r="AE581" s="95">
        <v>0</v>
      </c>
      <c r="AF581" s="75">
        <v>0</v>
      </c>
      <c r="AG581" s="75">
        <v>0</v>
      </c>
      <c r="AH581" s="75">
        <v>0</v>
      </c>
      <c r="AI581" s="75">
        <v>0</v>
      </c>
      <c r="AJ581" s="75">
        <v>0</v>
      </c>
      <c r="AK581" s="75">
        <v>0</v>
      </c>
      <c r="AL581" s="95">
        <v>1</v>
      </c>
      <c r="AM581" s="92">
        <v>0</v>
      </c>
      <c r="AN581" s="79" t="s">
        <v>80</v>
      </c>
      <c r="AO581" s="75">
        <v>1</v>
      </c>
      <c r="AP581" s="75" t="s">
        <v>83</v>
      </c>
      <c r="AQ581" s="122">
        <v>1</v>
      </c>
      <c r="AR581" s="515" t="s">
        <v>10</v>
      </c>
      <c r="AS581" s="95">
        <v>0</v>
      </c>
      <c r="AT581" s="75">
        <v>0</v>
      </c>
      <c r="AU581" s="75">
        <v>0</v>
      </c>
      <c r="AV581" s="75">
        <v>0</v>
      </c>
      <c r="AW581" s="123">
        <v>0</v>
      </c>
      <c r="AX581" s="516"/>
      <c r="AY581" s="75">
        <v>0</v>
      </c>
      <c r="AZ581" s="77" t="s">
        <v>131</v>
      </c>
      <c r="BA581" s="78" t="s">
        <v>131</v>
      </c>
      <c r="BB581" s="78" t="s">
        <v>131</v>
      </c>
      <c r="BC581" s="78" t="s">
        <v>131</v>
      </c>
      <c r="BD581" s="78" t="s">
        <v>131</v>
      </c>
      <c r="BE581" s="78" t="s">
        <v>131</v>
      </c>
      <c r="BF581" s="78" t="s">
        <v>131</v>
      </c>
      <c r="BG581" s="78" t="s">
        <v>132</v>
      </c>
      <c r="BH581" s="75" t="s">
        <v>5970</v>
      </c>
      <c r="BI581" s="295" t="s">
        <v>3967</v>
      </c>
      <c r="BJ581" s="546" t="s">
        <v>16</v>
      </c>
      <c r="BK581" s="294" t="s">
        <v>16</v>
      </c>
      <c r="BL581" s="157" t="s">
        <v>16</v>
      </c>
      <c r="BM581" s="548" t="s">
        <v>1339</v>
      </c>
      <c r="BN581" s="548" t="s">
        <v>1339</v>
      </c>
      <c r="BO581" s="157" t="s">
        <v>4381</v>
      </c>
      <c r="BP581" s="548" t="s">
        <v>4382</v>
      </c>
      <c r="BQ581" s="157" t="s">
        <v>4380</v>
      </c>
      <c r="BR581" s="157"/>
    </row>
    <row r="582" spans="1:70" x14ac:dyDescent="0.25">
      <c r="A582" s="19" t="s">
        <v>3686</v>
      </c>
      <c r="B582" s="37" t="s">
        <v>3918</v>
      </c>
      <c r="C582" s="90">
        <v>45174.693356481483</v>
      </c>
      <c r="D582" s="114">
        <v>45174.443356481483</v>
      </c>
      <c r="E582" s="38">
        <v>45174</v>
      </c>
      <c r="F582" s="91">
        <v>2023</v>
      </c>
      <c r="G582" s="93">
        <v>9</v>
      </c>
      <c r="H582" s="37" t="s">
        <v>624</v>
      </c>
      <c r="I582" s="37"/>
      <c r="J582" s="103">
        <v>-90.954054292671515</v>
      </c>
      <c r="K582" s="40">
        <v>43.757973538739584</v>
      </c>
      <c r="L582" s="74"/>
      <c r="M582" s="272" t="s">
        <v>16</v>
      </c>
      <c r="N582" s="74">
        <v>0</v>
      </c>
      <c r="O582" s="94"/>
      <c r="P582" s="118">
        <v>0</v>
      </c>
      <c r="Q582" s="510"/>
      <c r="R582" s="513"/>
      <c r="S582" s="41"/>
      <c r="T582" s="40"/>
      <c r="U582" s="40"/>
      <c r="V582" s="119">
        <v>0</v>
      </c>
      <c r="W582" s="40"/>
      <c r="X582" s="119">
        <v>1</v>
      </c>
      <c r="Y582" s="40">
        <v>62</v>
      </c>
      <c r="Z582" s="119">
        <v>0</v>
      </c>
      <c r="AA582" s="368" t="s">
        <v>16</v>
      </c>
      <c r="AB582" s="535" t="s">
        <v>16</v>
      </c>
      <c r="AC582" s="39" t="s">
        <v>160</v>
      </c>
      <c r="AD582" s="75" t="s">
        <v>10</v>
      </c>
      <c r="AE582" s="95">
        <v>0</v>
      </c>
      <c r="AF582" s="75">
        <v>0</v>
      </c>
      <c r="AG582" s="75">
        <v>0</v>
      </c>
      <c r="AH582" s="75">
        <v>0</v>
      </c>
      <c r="AI582" s="75">
        <v>0</v>
      </c>
      <c r="AJ582" s="75">
        <v>0</v>
      </c>
      <c r="AK582" s="75">
        <v>0</v>
      </c>
      <c r="AL582" s="95">
        <v>1</v>
      </c>
      <c r="AM582" s="92">
        <v>0</v>
      </c>
      <c r="AN582" s="79" t="s">
        <v>80</v>
      </c>
      <c r="AO582" s="75">
        <v>1</v>
      </c>
      <c r="AP582" s="75" t="s">
        <v>83</v>
      </c>
      <c r="AQ582" s="122">
        <v>1</v>
      </c>
      <c r="AR582" s="515" t="s">
        <v>10</v>
      </c>
      <c r="AS582" s="95">
        <v>0</v>
      </c>
      <c r="AT582" s="75">
        <v>0</v>
      </c>
      <c r="AU582" s="75">
        <v>0</v>
      </c>
      <c r="AV582" s="75">
        <v>0</v>
      </c>
      <c r="AW582" s="123">
        <v>0</v>
      </c>
      <c r="AX582" s="516"/>
      <c r="AY582" s="75">
        <v>0</v>
      </c>
      <c r="AZ582" s="77" t="s">
        <v>131</v>
      </c>
      <c r="BA582" s="78" t="s">
        <v>131</v>
      </c>
      <c r="BB582" s="78" t="s">
        <v>131</v>
      </c>
      <c r="BC582" s="78" t="s">
        <v>131</v>
      </c>
      <c r="BD582" s="78" t="s">
        <v>131</v>
      </c>
      <c r="BE582" s="78" t="s">
        <v>131</v>
      </c>
      <c r="BF582" s="78" t="s">
        <v>131</v>
      </c>
      <c r="BG582" s="78" t="s">
        <v>132</v>
      </c>
      <c r="BH582" s="75" t="s">
        <v>5970</v>
      </c>
      <c r="BI582" s="295" t="s">
        <v>2293</v>
      </c>
      <c r="BJ582" s="546">
        <v>1</v>
      </c>
      <c r="BK582" s="294" t="s">
        <v>16</v>
      </c>
      <c r="BL582" s="157" t="s">
        <v>16</v>
      </c>
      <c r="BM582" s="548" t="s">
        <v>1342</v>
      </c>
      <c r="BN582" s="548" t="s">
        <v>4161</v>
      </c>
      <c r="BO582" s="157" t="s">
        <v>4384</v>
      </c>
      <c r="BP582" s="548" t="s">
        <v>4386</v>
      </c>
      <c r="BQ582" s="157" t="s">
        <v>4383</v>
      </c>
      <c r="BR582" s="157"/>
    </row>
    <row r="583" spans="1:70" x14ac:dyDescent="0.25">
      <c r="A583" s="19" t="s">
        <v>3686</v>
      </c>
      <c r="B583" s="37" t="s">
        <v>3919</v>
      </c>
      <c r="C583" s="90">
        <v>45173.74428240741</v>
      </c>
      <c r="D583" s="114">
        <v>45173.49428240741</v>
      </c>
      <c r="E583" s="38">
        <v>45173</v>
      </c>
      <c r="F583" s="91">
        <v>2023</v>
      </c>
      <c r="G583" s="93">
        <v>9</v>
      </c>
      <c r="H583" s="37" t="s">
        <v>2457</v>
      </c>
      <c r="I583" s="37" t="s">
        <v>337</v>
      </c>
      <c r="J583" s="103">
        <v>-92.644945822662223</v>
      </c>
      <c r="K583" s="40">
        <v>44.843586927638839</v>
      </c>
      <c r="L583" s="74"/>
      <c r="M583" s="272" t="s">
        <v>3920</v>
      </c>
      <c r="N583" s="74">
        <v>1</v>
      </c>
      <c r="O583" s="94"/>
      <c r="P583" s="118">
        <v>1</v>
      </c>
      <c r="Q583" s="510">
        <v>180</v>
      </c>
      <c r="R583" s="513">
        <v>180</v>
      </c>
      <c r="S583" s="41"/>
      <c r="T583" s="40"/>
      <c r="U583" s="40">
        <v>8</v>
      </c>
      <c r="V583" s="119">
        <v>1</v>
      </c>
      <c r="W583" s="40">
        <v>0</v>
      </c>
      <c r="X583" s="119">
        <v>1</v>
      </c>
      <c r="Y583" s="40">
        <v>64</v>
      </c>
      <c r="Z583" s="119">
        <v>1</v>
      </c>
      <c r="AA583" s="368">
        <v>0</v>
      </c>
      <c r="AB583" s="535">
        <v>10</v>
      </c>
      <c r="AC583" s="39" t="s">
        <v>160</v>
      </c>
      <c r="AD583" s="75" t="s">
        <v>10</v>
      </c>
      <c r="AE583" s="95">
        <v>0</v>
      </c>
      <c r="AF583" s="75">
        <v>0</v>
      </c>
      <c r="AG583" s="75">
        <v>0</v>
      </c>
      <c r="AH583" s="75">
        <v>0</v>
      </c>
      <c r="AI583" s="75">
        <v>0</v>
      </c>
      <c r="AJ583" s="75">
        <v>0</v>
      </c>
      <c r="AK583" s="75">
        <v>0</v>
      </c>
      <c r="AL583" s="95">
        <v>1</v>
      </c>
      <c r="AM583" s="92">
        <v>0</v>
      </c>
      <c r="AN583" s="79" t="s">
        <v>80</v>
      </c>
      <c r="AO583" s="75">
        <v>1</v>
      </c>
      <c r="AP583" s="75" t="s">
        <v>83</v>
      </c>
      <c r="AQ583" s="122">
        <v>1</v>
      </c>
      <c r="AR583" s="515" t="s">
        <v>10</v>
      </c>
      <c r="AS583" s="95">
        <v>0</v>
      </c>
      <c r="AT583" s="75">
        <v>0</v>
      </c>
      <c r="AU583" s="75">
        <v>0</v>
      </c>
      <c r="AV583" s="75">
        <v>0</v>
      </c>
      <c r="AW583" s="123">
        <v>0</v>
      </c>
      <c r="AX583" s="516" t="s">
        <v>3921</v>
      </c>
      <c r="AY583" s="75">
        <v>1</v>
      </c>
      <c r="AZ583" s="77" t="s">
        <v>131</v>
      </c>
      <c r="BA583" s="78" t="s">
        <v>131</v>
      </c>
      <c r="BB583" s="78" t="s">
        <v>131</v>
      </c>
      <c r="BC583" s="78" t="s">
        <v>131</v>
      </c>
      <c r="BD583" s="78" t="s">
        <v>131</v>
      </c>
      <c r="BE583" s="78" t="s">
        <v>131</v>
      </c>
      <c r="BF583" s="78" t="s">
        <v>131</v>
      </c>
      <c r="BG583" s="78" t="s">
        <v>132</v>
      </c>
      <c r="BH583" s="75" t="s">
        <v>5970</v>
      </c>
      <c r="BI583" s="295" t="s">
        <v>2227</v>
      </c>
      <c r="BJ583" s="546">
        <v>1</v>
      </c>
      <c r="BK583" s="294" t="s">
        <v>16</v>
      </c>
      <c r="BL583" s="157" t="s">
        <v>16</v>
      </c>
      <c r="BM583" s="548" t="s">
        <v>578</v>
      </c>
      <c r="BN583" s="548" t="s">
        <v>578</v>
      </c>
      <c r="BO583" s="157" t="s">
        <v>4341</v>
      </c>
      <c r="BP583" s="548" t="s">
        <v>4343</v>
      </c>
      <c r="BQ583" s="157" t="s">
        <v>4309</v>
      </c>
      <c r="BR583" s="157"/>
    </row>
    <row r="584" spans="1:70" x14ac:dyDescent="0.25">
      <c r="A584" s="19" t="s">
        <v>3686</v>
      </c>
      <c r="B584" s="37" t="s">
        <v>3922</v>
      </c>
      <c r="C584" s="90">
        <v>45172.500601851854</v>
      </c>
      <c r="D584" s="114">
        <v>45172.250601851854</v>
      </c>
      <c r="E584" s="38">
        <v>45172</v>
      </c>
      <c r="F584" s="91">
        <v>2023</v>
      </c>
      <c r="G584" s="93">
        <v>9</v>
      </c>
      <c r="H584" s="37" t="s">
        <v>1364</v>
      </c>
      <c r="I584" s="37" t="s">
        <v>959</v>
      </c>
      <c r="J584" s="103">
        <v>-92.596983300000005</v>
      </c>
      <c r="K584" s="40">
        <v>44.472676700000001</v>
      </c>
      <c r="L584" s="74"/>
      <c r="M584" s="272" t="s">
        <v>3923</v>
      </c>
      <c r="N584" s="74">
        <v>1</v>
      </c>
      <c r="O584" s="94"/>
      <c r="P584" s="118">
        <v>1</v>
      </c>
      <c r="Q584" s="510">
        <v>40</v>
      </c>
      <c r="R584" s="513">
        <v>0</v>
      </c>
      <c r="S584" s="41"/>
      <c r="T584" s="40"/>
      <c r="U584" s="40">
        <v>7.5</v>
      </c>
      <c r="V584" s="119">
        <v>1</v>
      </c>
      <c r="W584" s="40">
        <v>100</v>
      </c>
      <c r="X584" s="119">
        <v>1</v>
      </c>
      <c r="Y584" s="40">
        <v>56</v>
      </c>
      <c r="Z584" s="119">
        <v>1</v>
      </c>
      <c r="AA584" s="368">
        <v>0</v>
      </c>
      <c r="AB584" s="535">
        <v>5</v>
      </c>
      <c r="AC584" s="39" t="s">
        <v>160</v>
      </c>
      <c r="AD584" s="75" t="s">
        <v>10</v>
      </c>
      <c r="AE584" s="95">
        <v>0</v>
      </c>
      <c r="AF584" s="75">
        <v>0</v>
      </c>
      <c r="AG584" s="75">
        <v>0</v>
      </c>
      <c r="AH584" s="75">
        <v>0</v>
      </c>
      <c r="AI584" s="75">
        <v>0</v>
      </c>
      <c r="AJ584" s="75">
        <v>0</v>
      </c>
      <c r="AK584" s="75">
        <v>0</v>
      </c>
      <c r="AL584" s="95">
        <v>1</v>
      </c>
      <c r="AM584" s="92">
        <v>0</v>
      </c>
      <c r="AN584" s="79" t="s">
        <v>81</v>
      </c>
      <c r="AO584" s="75">
        <v>1</v>
      </c>
      <c r="AP584" s="75" t="s">
        <v>83</v>
      </c>
      <c r="AQ584" s="122">
        <v>1</v>
      </c>
      <c r="AR584" s="515" t="s">
        <v>10</v>
      </c>
      <c r="AS584" s="95">
        <v>0</v>
      </c>
      <c r="AT584" s="75">
        <v>0</v>
      </c>
      <c r="AU584" s="75">
        <v>0</v>
      </c>
      <c r="AV584" s="75">
        <v>0</v>
      </c>
      <c r="AW584" s="123">
        <v>0</v>
      </c>
      <c r="AX584" s="516" t="s">
        <v>3924</v>
      </c>
      <c r="AY584" s="75">
        <v>1</v>
      </c>
      <c r="AZ584" s="77" t="s">
        <v>131</v>
      </c>
      <c r="BA584" s="78" t="s">
        <v>131</v>
      </c>
      <c r="BB584" s="78" t="s">
        <v>131</v>
      </c>
      <c r="BC584" s="78" t="s">
        <v>131</v>
      </c>
      <c r="BD584" s="78" t="s">
        <v>131</v>
      </c>
      <c r="BE584" s="78" t="s">
        <v>131</v>
      </c>
      <c r="BF584" s="78" t="s">
        <v>131</v>
      </c>
      <c r="BG584" s="78" t="s">
        <v>132</v>
      </c>
      <c r="BH584" s="75" t="s">
        <v>5970</v>
      </c>
      <c r="BI584" s="295" t="s">
        <v>2238</v>
      </c>
      <c r="BJ584" s="546">
        <v>1</v>
      </c>
      <c r="BK584" s="294" t="s">
        <v>16</v>
      </c>
      <c r="BL584" s="157" t="s">
        <v>16</v>
      </c>
      <c r="BM584" s="548" t="s">
        <v>2343</v>
      </c>
      <c r="BN584" s="548" t="s">
        <v>4161</v>
      </c>
      <c r="BO584" s="157" t="s">
        <v>4308</v>
      </c>
      <c r="BP584" s="548" t="s">
        <v>2238</v>
      </c>
      <c r="BQ584" s="157" t="s">
        <v>4307</v>
      </c>
      <c r="BR584" s="157"/>
    </row>
    <row r="585" spans="1:70" x14ac:dyDescent="0.25">
      <c r="A585" s="19" t="s">
        <v>3686</v>
      </c>
      <c r="B585" s="37" t="s">
        <v>3925</v>
      </c>
      <c r="C585" s="90">
        <v>45172.484340277777</v>
      </c>
      <c r="D585" s="114">
        <v>45172.234340277777</v>
      </c>
      <c r="E585" s="38">
        <v>45172</v>
      </c>
      <c r="F585" s="91">
        <v>2023</v>
      </c>
      <c r="G585" s="93">
        <v>9</v>
      </c>
      <c r="H585" s="37" t="s">
        <v>1364</v>
      </c>
      <c r="I585" s="37" t="s">
        <v>958</v>
      </c>
      <c r="J585" s="103">
        <v>-92.575598900000003</v>
      </c>
      <c r="K585" s="40">
        <v>44.488412500000003</v>
      </c>
      <c r="L585" s="74"/>
      <c r="M585" s="272" t="s">
        <v>3926</v>
      </c>
      <c r="N585" s="74">
        <v>1</v>
      </c>
      <c r="O585" s="94"/>
      <c r="P585" s="118">
        <v>1</v>
      </c>
      <c r="Q585" s="510">
        <v>40</v>
      </c>
      <c r="R585" s="513">
        <v>0</v>
      </c>
      <c r="S585" s="41"/>
      <c r="T585" s="40"/>
      <c r="U585" s="40">
        <v>7</v>
      </c>
      <c r="V585" s="119">
        <v>1</v>
      </c>
      <c r="W585" s="40">
        <v>100</v>
      </c>
      <c r="X585" s="119">
        <v>1</v>
      </c>
      <c r="Y585" s="40">
        <v>60</v>
      </c>
      <c r="Z585" s="119">
        <v>1</v>
      </c>
      <c r="AA585" s="368">
        <v>0</v>
      </c>
      <c r="AB585" s="535">
        <v>2</v>
      </c>
      <c r="AC585" s="39" t="s">
        <v>160</v>
      </c>
      <c r="AD585" s="75" t="s">
        <v>10</v>
      </c>
      <c r="AE585" s="95">
        <v>0</v>
      </c>
      <c r="AF585" s="75">
        <v>0</v>
      </c>
      <c r="AG585" s="75">
        <v>0</v>
      </c>
      <c r="AH585" s="75">
        <v>0</v>
      </c>
      <c r="AI585" s="75">
        <v>0</v>
      </c>
      <c r="AJ585" s="75">
        <v>0</v>
      </c>
      <c r="AK585" s="75">
        <v>0</v>
      </c>
      <c r="AL585" s="95">
        <v>1</v>
      </c>
      <c r="AM585" s="92">
        <v>0</v>
      </c>
      <c r="AN585" s="79" t="s">
        <v>81</v>
      </c>
      <c r="AO585" s="75">
        <v>1</v>
      </c>
      <c r="AP585" s="75" t="s">
        <v>83</v>
      </c>
      <c r="AQ585" s="122">
        <v>1</v>
      </c>
      <c r="AR585" s="515" t="s">
        <v>10</v>
      </c>
      <c r="AS585" s="95">
        <v>0</v>
      </c>
      <c r="AT585" s="75">
        <v>0</v>
      </c>
      <c r="AU585" s="75">
        <v>0</v>
      </c>
      <c r="AV585" s="75">
        <v>0</v>
      </c>
      <c r="AW585" s="123">
        <v>0</v>
      </c>
      <c r="AX585" s="516" t="s">
        <v>3927</v>
      </c>
      <c r="AY585" s="75">
        <v>1</v>
      </c>
      <c r="AZ585" s="77" t="s">
        <v>131</v>
      </c>
      <c r="BA585" s="78" t="s">
        <v>131</v>
      </c>
      <c r="BB585" s="78" t="s">
        <v>131</v>
      </c>
      <c r="BC585" s="78" t="s">
        <v>131</v>
      </c>
      <c r="BD585" s="78" t="s">
        <v>131</v>
      </c>
      <c r="BE585" s="78" t="s">
        <v>131</v>
      </c>
      <c r="BF585" s="78" t="s">
        <v>131</v>
      </c>
      <c r="BG585" s="78" t="s">
        <v>132</v>
      </c>
      <c r="BH585" s="75" t="s">
        <v>5970</v>
      </c>
      <c r="BI585" s="295" t="s">
        <v>2238</v>
      </c>
      <c r="BJ585" s="546">
        <v>1</v>
      </c>
      <c r="BK585" s="294" t="s">
        <v>16</v>
      </c>
      <c r="BL585" s="157" t="s">
        <v>16</v>
      </c>
      <c r="BM585" s="548" t="s">
        <v>2343</v>
      </c>
      <c r="BN585" s="548" t="s">
        <v>4161</v>
      </c>
      <c r="BO585" s="157" t="s">
        <v>4308</v>
      </c>
      <c r="BP585" s="548" t="s">
        <v>2238</v>
      </c>
      <c r="BQ585" s="157" t="s">
        <v>4307</v>
      </c>
      <c r="BR585" s="157"/>
    </row>
    <row r="586" spans="1:70" x14ac:dyDescent="0.25">
      <c r="A586" s="19" t="s">
        <v>3686</v>
      </c>
      <c r="B586" s="37" t="s">
        <v>3928</v>
      </c>
      <c r="C586" s="90">
        <v>45171.798402777778</v>
      </c>
      <c r="D586" s="114">
        <v>45171.548402777778</v>
      </c>
      <c r="E586" s="38">
        <v>45171</v>
      </c>
      <c r="F586" s="91">
        <v>2023</v>
      </c>
      <c r="G586" s="93">
        <v>9</v>
      </c>
      <c r="H586" s="37" t="s">
        <v>201</v>
      </c>
      <c r="I586" s="37"/>
      <c r="J586" s="103">
        <v>-92.732147378454655</v>
      </c>
      <c r="K586" s="40">
        <v>44.831281947033681</v>
      </c>
      <c r="L586" s="74"/>
      <c r="M586" s="272" t="s">
        <v>16</v>
      </c>
      <c r="N586" s="74">
        <v>0</v>
      </c>
      <c r="O586" s="94"/>
      <c r="P586" s="118">
        <v>1</v>
      </c>
      <c r="Q586" s="510">
        <v>120</v>
      </c>
      <c r="R586" s="513">
        <v>120</v>
      </c>
      <c r="S586" s="41"/>
      <c r="T586" s="40"/>
      <c r="U586" s="40">
        <v>9</v>
      </c>
      <c r="V586" s="119">
        <v>1</v>
      </c>
      <c r="W586" s="40">
        <v>0</v>
      </c>
      <c r="X586" s="119">
        <v>1</v>
      </c>
      <c r="Y586" s="40">
        <v>66</v>
      </c>
      <c r="Z586" s="119">
        <v>1</v>
      </c>
      <c r="AA586" s="368">
        <v>0</v>
      </c>
      <c r="AB586" s="535">
        <v>5</v>
      </c>
      <c r="AC586" s="39" t="s">
        <v>160</v>
      </c>
      <c r="AD586" s="75" t="s">
        <v>8</v>
      </c>
      <c r="AE586" s="95">
        <v>0</v>
      </c>
      <c r="AF586" s="75">
        <v>1</v>
      </c>
      <c r="AG586" s="75">
        <v>0</v>
      </c>
      <c r="AH586" s="75">
        <v>0</v>
      </c>
      <c r="AI586" s="75">
        <v>0</v>
      </c>
      <c r="AJ586" s="75">
        <v>0</v>
      </c>
      <c r="AK586" s="75">
        <v>0</v>
      </c>
      <c r="AL586" s="95">
        <v>0</v>
      </c>
      <c r="AM586" s="92">
        <v>0</v>
      </c>
      <c r="AN586" s="79" t="s">
        <v>80</v>
      </c>
      <c r="AO586" s="75">
        <v>1</v>
      </c>
      <c r="AP586" s="75" t="s">
        <v>83</v>
      </c>
      <c r="AQ586" s="122">
        <v>1</v>
      </c>
      <c r="AR586" s="515" t="s">
        <v>10</v>
      </c>
      <c r="AS586" s="95">
        <v>0</v>
      </c>
      <c r="AT586" s="75">
        <v>0</v>
      </c>
      <c r="AU586" s="75">
        <v>0</v>
      </c>
      <c r="AV586" s="75">
        <v>0</v>
      </c>
      <c r="AW586" s="123">
        <v>0</v>
      </c>
      <c r="AX586" s="516" t="s">
        <v>3929</v>
      </c>
      <c r="AY586" s="75">
        <v>1</v>
      </c>
      <c r="AZ586" s="77" t="s">
        <v>131</v>
      </c>
      <c r="BA586" s="78" t="s">
        <v>132</v>
      </c>
      <c r="BB586" s="78" t="s">
        <v>131</v>
      </c>
      <c r="BC586" s="78" t="s">
        <v>131</v>
      </c>
      <c r="BD586" s="78" t="s">
        <v>131</v>
      </c>
      <c r="BE586" s="78" t="s">
        <v>131</v>
      </c>
      <c r="BF586" s="78" t="s">
        <v>131</v>
      </c>
      <c r="BG586" s="78" t="s">
        <v>131</v>
      </c>
      <c r="BH586" s="75" t="s">
        <v>5970</v>
      </c>
      <c r="BI586" s="295" t="s">
        <v>2227</v>
      </c>
      <c r="BJ586" s="546">
        <v>1</v>
      </c>
      <c r="BK586" s="294" t="s">
        <v>16</v>
      </c>
      <c r="BL586" s="157" t="s">
        <v>16</v>
      </c>
      <c r="BM586" s="548" t="s">
        <v>578</v>
      </c>
      <c r="BN586" s="548" t="s">
        <v>578</v>
      </c>
      <c r="BO586" s="157" t="s">
        <v>4341</v>
      </c>
      <c r="BP586" s="548" t="s">
        <v>4343</v>
      </c>
      <c r="BQ586" s="157" t="s">
        <v>4309</v>
      </c>
      <c r="BR586" s="157"/>
    </row>
    <row r="587" spans="1:70" x14ac:dyDescent="0.25">
      <c r="A587" s="19" t="s">
        <v>3686</v>
      </c>
      <c r="B587" s="37" t="s">
        <v>3930</v>
      </c>
      <c r="C587" s="90">
        <v>45171.564027777778</v>
      </c>
      <c r="D587" s="114">
        <v>45171.314027777778</v>
      </c>
      <c r="E587" s="38">
        <v>45171</v>
      </c>
      <c r="F587" s="91">
        <v>2023</v>
      </c>
      <c r="G587" s="93">
        <v>9</v>
      </c>
      <c r="H587" s="37" t="s">
        <v>1416</v>
      </c>
      <c r="I587" s="37" t="s">
        <v>960</v>
      </c>
      <c r="J587" s="103">
        <v>-93.009039198500318</v>
      </c>
      <c r="K587" s="40">
        <v>44.657231044369617</v>
      </c>
      <c r="L587" s="74"/>
      <c r="M587" s="272" t="s">
        <v>3931</v>
      </c>
      <c r="N587" s="74">
        <v>1</v>
      </c>
      <c r="O587" s="94"/>
      <c r="P587" s="118">
        <v>1</v>
      </c>
      <c r="Q587" s="510">
        <v>180</v>
      </c>
      <c r="R587" s="513">
        <v>30</v>
      </c>
      <c r="S587" s="41"/>
      <c r="T587" s="40"/>
      <c r="U587" s="40">
        <v>7</v>
      </c>
      <c r="V587" s="119">
        <v>1</v>
      </c>
      <c r="W587" s="40">
        <v>200</v>
      </c>
      <c r="X587" s="119">
        <v>1</v>
      </c>
      <c r="Y587" s="40">
        <v>65</v>
      </c>
      <c r="Z587" s="119">
        <v>1</v>
      </c>
      <c r="AA587" s="368">
        <v>0</v>
      </c>
      <c r="AB587" s="535">
        <v>5</v>
      </c>
      <c r="AC587" s="39" t="s">
        <v>160</v>
      </c>
      <c r="AD587" s="75" t="s">
        <v>7</v>
      </c>
      <c r="AE587" s="95">
        <v>1</v>
      </c>
      <c r="AF587" s="75">
        <v>0</v>
      </c>
      <c r="AG587" s="75">
        <v>0</v>
      </c>
      <c r="AH587" s="75">
        <v>0</v>
      </c>
      <c r="AI587" s="75">
        <v>0</v>
      </c>
      <c r="AJ587" s="75">
        <v>0</v>
      </c>
      <c r="AK587" s="75">
        <v>0</v>
      </c>
      <c r="AL587" s="95">
        <v>0</v>
      </c>
      <c r="AM587" s="92">
        <v>0</v>
      </c>
      <c r="AN587" s="79" t="s">
        <v>80</v>
      </c>
      <c r="AO587" s="75">
        <v>1</v>
      </c>
      <c r="AP587" s="75" t="s">
        <v>83</v>
      </c>
      <c r="AQ587" s="122">
        <v>1</v>
      </c>
      <c r="AR587" s="515" t="s">
        <v>10</v>
      </c>
      <c r="AS587" s="95">
        <v>0</v>
      </c>
      <c r="AT587" s="75">
        <v>0</v>
      </c>
      <c r="AU587" s="75">
        <v>0</v>
      </c>
      <c r="AV587" s="75">
        <v>0</v>
      </c>
      <c r="AW587" s="123">
        <v>0</v>
      </c>
      <c r="AX587" s="516" t="s">
        <v>3932</v>
      </c>
      <c r="AY587" s="75">
        <v>1</v>
      </c>
      <c r="AZ587" s="77" t="s">
        <v>132</v>
      </c>
      <c r="BA587" s="78" t="s">
        <v>131</v>
      </c>
      <c r="BB587" s="78" t="s">
        <v>131</v>
      </c>
      <c r="BC587" s="78" t="s">
        <v>131</v>
      </c>
      <c r="BD587" s="78" t="s">
        <v>131</v>
      </c>
      <c r="BE587" s="78" t="s">
        <v>131</v>
      </c>
      <c r="BF587" s="78" t="s">
        <v>131</v>
      </c>
      <c r="BG587" s="78" t="s">
        <v>131</v>
      </c>
      <c r="BH587" s="75" t="s">
        <v>5970</v>
      </c>
      <c r="BI587" s="295" t="s">
        <v>2225</v>
      </c>
      <c r="BJ587" s="546">
        <v>1</v>
      </c>
      <c r="BK587" s="294" t="s">
        <v>16</v>
      </c>
      <c r="BL587" s="157" t="s">
        <v>16</v>
      </c>
      <c r="BM587" s="548" t="s">
        <v>2343</v>
      </c>
      <c r="BN587" s="548" t="s">
        <v>4161</v>
      </c>
      <c r="BO587" s="157" t="s">
        <v>4293</v>
      </c>
      <c r="BP587" s="548" t="s">
        <v>2225</v>
      </c>
      <c r="BQ587" s="157" t="s">
        <v>4292</v>
      </c>
      <c r="BR587" s="157"/>
    </row>
    <row r="588" spans="1:70" x14ac:dyDescent="0.25">
      <c r="A588" s="19" t="s">
        <v>3686</v>
      </c>
      <c r="B588" s="37" t="s">
        <v>3933</v>
      </c>
      <c r="C588" s="90">
        <v>45168.645219907405</v>
      </c>
      <c r="D588" s="114">
        <v>45168.395219907405</v>
      </c>
      <c r="E588" s="38">
        <v>45168</v>
      </c>
      <c r="F588" s="91">
        <v>2023</v>
      </c>
      <c r="G588" s="93">
        <v>8</v>
      </c>
      <c r="H588" s="37" t="s">
        <v>475</v>
      </c>
      <c r="I588" s="37"/>
      <c r="J588" s="103">
        <v>-92.224535113411761</v>
      </c>
      <c r="K588" s="40">
        <v>43.622293675985233</v>
      </c>
      <c r="L588" s="74"/>
      <c r="M588" s="272" t="s">
        <v>3934</v>
      </c>
      <c r="N588" s="74">
        <v>1</v>
      </c>
      <c r="O588" s="94"/>
      <c r="P588" s="118">
        <v>1</v>
      </c>
      <c r="Q588" s="510">
        <v>180</v>
      </c>
      <c r="R588" s="513">
        <v>180</v>
      </c>
      <c r="S588" s="41"/>
      <c r="T588" s="40"/>
      <c r="U588" s="40">
        <v>8</v>
      </c>
      <c r="V588" s="119">
        <v>1</v>
      </c>
      <c r="W588" s="40">
        <v>0</v>
      </c>
      <c r="X588" s="119">
        <v>1</v>
      </c>
      <c r="Y588" s="40">
        <v>50</v>
      </c>
      <c r="Z588" s="119">
        <v>1</v>
      </c>
      <c r="AA588" s="368">
        <v>0</v>
      </c>
      <c r="AB588" s="535">
        <v>5</v>
      </c>
      <c r="AC588" s="39" t="s">
        <v>160</v>
      </c>
      <c r="AD588" s="75" t="s">
        <v>10</v>
      </c>
      <c r="AE588" s="95">
        <v>0</v>
      </c>
      <c r="AF588" s="75">
        <v>0</v>
      </c>
      <c r="AG588" s="75">
        <v>0</v>
      </c>
      <c r="AH588" s="75">
        <v>0</v>
      </c>
      <c r="AI588" s="75">
        <v>0</v>
      </c>
      <c r="AJ588" s="75">
        <v>0</v>
      </c>
      <c r="AK588" s="75">
        <v>0</v>
      </c>
      <c r="AL588" s="95">
        <v>1</v>
      </c>
      <c r="AM588" s="92">
        <v>0</v>
      </c>
      <c r="AN588" s="79" t="s">
        <v>80</v>
      </c>
      <c r="AO588" s="75">
        <v>1</v>
      </c>
      <c r="AP588" s="75" t="s">
        <v>83</v>
      </c>
      <c r="AQ588" s="122">
        <v>1</v>
      </c>
      <c r="AR588" s="515" t="s">
        <v>10</v>
      </c>
      <c r="AS588" s="95">
        <v>0</v>
      </c>
      <c r="AT588" s="75">
        <v>0</v>
      </c>
      <c r="AU588" s="75">
        <v>0</v>
      </c>
      <c r="AV588" s="75">
        <v>0</v>
      </c>
      <c r="AW588" s="123">
        <v>0</v>
      </c>
      <c r="AX588" s="516" t="s">
        <v>3935</v>
      </c>
      <c r="AY588" s="75">
        <v>1</v>
      </c>
      <c r="AZ588" s="77" t="s">
        <v>131</v>
      </c>
      <c r="BA588" s="78" t="s">
        <v>131</v>
      </c>
      <c r="BB588" s="78" t="s">
        <v>131</v>
      </c>
      <c r="BC588" s="78" t="s">
        <v>131</v>
      </c>
      <c r="BD588" s="78" t="s">
        <v>131</v>
      </c>
      <c r="BE588" s="78" t="s">
        <v>131</v>
      </c>
      <c r="BF588" s="78" t="s">
        <v>131</v>
      </c>
      <c r="BG588" s="78" t="s">
        <v>132</v>
      </c>
      <c r="BH588" s="75" t="s">
        <v>5970</v>
      </c>
      <c r="BI588" s="295" t="s">
        <v>2232</v>
      </c>
      <c r="BJ588" s="546">
        <v>1</v>
      </c>
      <c r="BK588" s="294" t="s">
        <v>16</v>
      </c>
      <c r="BL588" s="157" t="s">
        <v>16</v>
      </c>
      <c r="BM588" s="548" t="s">
        <v>1339</v>
      </c>
      <c r="BN588" s="548" t="s">
        <v>1339</v>
      </c>
      <c r="BO588" s="157" t="s">
        <v>4332</v>
      </c>
      <c r="BP588" s="548" t="s">
        <v>4333</v>
      </c>
      <c r="BQ588" s="157" t="s">
        <v>4229</v>
      </c>
      <c r="BR588" s="157"/>
    </row>
    <row r="589" spans="1:70" x14ac:dyDescent="0.25">
      <c r="A589" s="19" t="s">
        <v>3686</v>
      </c>
      <c r="B589" s="37" t="s">
        <v>2368</v>
      </c>
      <c r="C589" s="90">
        <v>45168.586006944446</v>
      </c>
      <c r="D589" s="114">
        <v>45168.336006944446</v>
      </c>
      <c r="E589" s="38">
        <v>45168</v>
      </c>
      <c r="F589" s="91">
        <v>2023</v>
      </c>
      <c r="G589" s="93">
        <v>8</v>
      </c>
      <c r="H589" s="37" t="s">
        <v>475</v>
      </c>
      <c r="I589" s="37"/>
      <c r="J589" s="103">
        <v>-92.278075617326962</v>
      </c>
      <c r="K589" s="40">
        <v>43.793152464591245</v>
      </c>
      <c r="L589" s="74"/>
      <c r="M589" s="272" t="s">
        <v>2369</v>
      </c>
      <c r="N589" s="74">
        <v>1</v>
      </c>
      <c r="O589" s="94"/>
      <c r="P589" s="118">
        <v>1</v>
      </c>
      <c r="Q589" s="510">
        <v>180</v>
      </c>
      <c r="R589" s="513">
        <v>180</v>
      </c>
      <c r="S589" s="41"/>
      <c r="T589" s="40"/>
      <c r="U589" s="40">
        <v>8</v>
      </c>
      <c r="V589" s="119">
        <v>1</v>
      </c>
      <c r="W589" s="40">
        <v>0</v>
      </c>
      <c r="X589" s="119">
        <v>1</v>
      </c>
      <c r="Y589" s="40">
        <v>50</v>
      </c>
      <c r="Z589" s="119">
        <v>1</v>
      </c>
      <c r="AA589" s="368">
        <v>0</v>
      </c>
      <c r="AB589" s="535">
        <v>2</v>
      </c>
      <c r="AC589" s="39" t="s">
        <v>160</v>
      </c>
      <c r="AD589" s="75" t="s">
        <v>10</v>
      </c>
      <c r="AE589" s="95">
        <v>0</v>
      </c>
      <c r="AF589" s="75">
        <v>0</v>
      </c>
      <c r="AG589" s="75">
        <v>0</v>
      </c>
      <c r="AH589" s="75">
        <v>0</v>
      </c>
      <c r="AI589" s="75">
        <v>0</v>
      </c>
      <c r="AJ589" s="75">
        <v>0</v>
      </c>
      <c r="AK589" s="75">
        <v>0</v>
      </c>
      <c r="AL589" s="95">
        <v>1</v>
      </c>
      <c r="AM589" s="92">
        <v>0</v>
      </c>
      <c r="AN589" s="79" t="s">
        <v>80</v>
      </c>
      <c r="AO589" s="75">
        <v>1</v>
      </c>
      <c r="AP589" s="75" t="s">
        <v>83</v>
      </c>
      <c r="AQ589" s="122">
        <v>1</v>
      </c>
      <c r="AR589" s="515" t="s">
        <v>10</v>
      </c>
      <c r="AS589" s="95">
        <v>0</v>
      </c>
      <c r="AT589" s="75">
        <v>0</v>
      </c>
      <c r="AU589" s="75">
        <v>0</v>
      </c>
      <c r="AV589" s="75">
        <v>0</v>
      </c>
      <c r="AW589" s="123">
        <v>0</v>
      </c>
      <c r="AX589" s="516" t="s">
        <v>2370</v>
      </c>
      <c r="AY589" s="75">
        <v>1</v>
      </c>
      <c r="AZ589" s="77" t="s">
        <v>131</v>
      </c>
      <c r="BA589" s="78" t="s">
        <v>131</v>
      </c>
      <c r="BB589" s="78" t="s">
        <v>131</v>
      </c>
      <c r="BC589" s="78" t="s">
        <v>131</v>
      </c>
      <c r="BD589" s="78" t="s">
        <v>131</v>
      </c>
      <c r="BE589" s="78" t="s">
        <v>131</v>
      </c>
      <c r="BF589" s="78" t="s">
        <v>131</v>
      </c>
      <c r="BG589" s="78" t="s">
        <v>132</v>
      </c>
      <c r="BH589" s="75" t="s">
        <v>5970</v>
      </c>
      <c r="BI589" s="295" t="s">
        <v>2251</v>
      </c>
      <c r="BJ589" s="546">
        <v>1</v>
      </c>
      <c r="BK589" s="294">
        <v>1</v>
      </c>
      <c r="BL589" s="157">
        <v>1</v>
      </c>
      <c r="BM589" s="548" t="s">
        <v>1339</v>
      </c>
      <c r="BN589" s="548" t="s">
        <v>1339</v>
      </c>
      <c r="BO589" s="157" t="s">
        <v>4329</v>
      </c>
      <c r="BP589" s="548" t="s">
        <v>4228</v>
      </c>
      <c r="BQ589" s="157" t="s">
        <v>4226</v>
      </c>
      <c r="BR589" s="157"/>
    </row>
    <row r="590" spans="1:70" x14ac:dyDescent="0.25">
      <c r="A590" s="19" t="s">
        <v>3686</v>
      </c>
      <c r="B590" s="37" t="s">
        <v>2371</v>
      </c>
      <c r="C590" s="90">
        <v>45168.553252314814</v>
      </c>
      <c r="D590" s="114">
        <v>45168.303252314814</v>
      </c>
      <c r="E590" s="38">
        <v>45168</v>
      </c>
      <c r="F590" s="91">
        <v>2023</v>
      </c>
      <c r="G590" s="93">
        <v>8</v>
      </c>
      <c r="H590" s="37" t="s">
        <v>475</v>
      </c>
      <c r="I590" s="37"/>
      <c r="J590" s="103">
        <v>-92.342888912499077</v>
      </c>
      <c r="K590" s="40">
        <v>43.773987864760819</v>
      </c>
      <c r="L590" s="74"/>
      <c r="M590" s="272" t="s">
        <v>2372</v>
      </c>
      <c r="N590" s="74">
        <v>1</v>
      </c>
      <c r="O590" s="94"/>
      <c r="P590" s="118">
        <v>1</v>
      </c>
      <c r="Q590" s="510">
        <v>180</v>
      </c>
      <c r="R590" s="513">
        <v>180</v>
      </c>
      <c r="S590" s="41"/>
      <c r="T590" s="40"/>
      <c r="U590" s="40">
        <v>8</v>
      </c>
      <c r="V590" s="119">
        <v>1</v>
      </c>
      <c r="W590" s="40">
        <v>0</v>
      </c>
      <c r="X590" s="119">
        <v>1</v>
      </c>
      <c r="Y590" s="40">
        <v>51</v>
      </c>
      <c r="Z590" s="119">
        <v>1</v>
      </c>
      <c r="AA590" s="368">
        <v>0</v>
      </c>
      <c r="AB590" s="535">
        <v>2</v>
      </c>
      <c r="AC590" s="39" t="s">
        <v>160</v>
      </c>
      <c r="AD590" s="75" t="s">
        <v>10</v>
      </c>
      <c r="AE590" s="95">
        <v>0</v>
      </c>
      <c r="AF590" s="75">
        <v>0</v>
      </c>
      <c r="AG590" s="75">
        <v>0</v>
      </c>
      <c r="AH590" s="75">
        <v>0</v>
      </c>
      <c r="AI590" s="75">
        <v>0</v>
      </c>
      <c r="AJ590" s="75">
        <v>0</v>
      </c>
      <c r="AK590" s="75">
        <v>0</v>
      </c>
      <c r="AL590" s="95">
        <v>1</v>
      </c>
      <c r="AM590" s="92">
        <v>0</v>
      </c>
      <c r="AN590" s="79" t="s">
        <v>80</v>
      </c>
      <c r="AO590" s="75">
        <v>1</v>
      </c>
      <c r="AP590" s="75" t="s">
        <v>83</v>
      </c>
      <c r="AQ590" s="122">
        <v>1</v>
      </c>
      <c r="AR590" s="515" t="s">
        <v>10</v>
      </c>
      <c r="AS590" s="95">
        <v>0</v>
      </c>
      <c r="AT590" s="75">
        <v>0</v>
      </c>
      <c r="AU590" s="75">
        <v>0</v>
      </c>
      <c r="AV590" s="75">
        <v>0</v>
      </c>
      <c r="AW590" s="123">
        <v>0</v>
      </c>
      <c r="AX590" s="516" t="s">
        <v>2373</v>
      </c>
      <c r="AY590" s="75">
        <v>1</v>
      </c>
      <c r="AZ590" s="77" t="s">
        <v>131</v>
      </c>
      <c r="BA590" s="78" t="s">
        <v>131</v>
      </c>
      <c r="BB590" s="78" t="s">
        <v>131</v>
      </c>
      <c r="BC590" s="78" t="s">
        <v>131</v>
      </c>
      <c r="BD590" s="78" t="s">
        <v>131</v>
      </c>
      <c r="BE590" s="78" t="s">
        <v>131</v>
      </c>
      <c r="BF590" s="78" t="s">
        <v>131</v>
      </c>
      <c r="BG590" s="78" t="s">
        <v>132</v>
      </c>
      <c r="BH590" s="75" t="s">
        <v>5970</v>
      </c>
      <c r="BI590" s="295" t="s">
        <v>2260</v>
      </c>
      <c r="BJ590" s="546">
        <v>1</v>
      </c>
      <c r="BK590" s="294" t="s">
        <v>16</v>
      </c>
      <c r="BL590" s="157" t="s">
        <v>16</v>
      </c>
      <c r="BM590" s="548" t="s">
        <v>1339</v>
      </c>
      <c r="BN590" s="548" t="s">
        <v>1339</v>
      </c>
      <c r="BO590" s="157" t="s">
        <v>4328</v>
      </c>
      <c r="BP590" s="548" t="s">
        <v>2222</v>
      </c>
      <c r="BQ590" s="157" t="s">
        <v>4226</v>
      </c>
      <c r="BR590" s="157"/>
    </row>
    <row r="591" spans="1:70" x14ac:dyDescent="0.25">
      <c r="A591" s="19" t="s">
        <v>3686</v>
      </c>
      <c r="B591" s="37" t="s">
        <v>2374</v>
      </c>
      <c r="C591" s="90">
        <v>45166.698460648149</v>
      </c>
      <c r="D591" s="114">
        <v>45166.448460648149</v>
      </c>
      <c r="E591" s="38">
        <v>45166</v>
      </c>
      <c r="F591" s="91">
        <v>2023</v>
      </c>
      <c r="G591" s="93">
        <v>8</v>
      </c>
      <c r="H591" s="37" t="s">
        <v>1386</v>
      </c>
      <c r="I591" s="37"/>
      <c r="J591" s="103">
        <v>-92.342176699999996</v>
      </c>
      <c r="K591" s="40">
        <v>43.6031075</v>
      </c>
      <c r="L591" s="74"/>
      <c r="M591" s="272" t="s">
        <v>16</v>
      </c>
      <c r="N591" s="74">
        <v>0</v>
      </c>
      <c r="O591" s="94"/>
      <c r="P591" s="118">
        <v>0</v>
      </c>
      <c r="Q591" s="510"/>
      <c r="R591" s="513"/>
      <c r="S591" s="41"/>
      <c r="T591" s="40"/>
      <c r="U591" s="40"/>
      <c r="V591" s="119">
        <v>1</v>
      </c>
      <c r="W591" s="40">
        <v>0</v>
      </c>
      <c r="X591" s="119">
        <v>1</v>
      </c>
      <c r="Y591" s="40">
        <v>55</v>
      </c>
      <c r="Z591" s="119">
        <v>1</v>
      </c>
      <c r="AA591" s="368">
        <v>0</v>
      </c>
      <c r="AB591" s="535">
        <v>10</v>
      </c>
      <c r="AC591" s="39" t="s">
        <v>160</v>
      </c>
      <c r="AD591" s="75" t="s">
        <v>10</v>
      </c>
      <c r="AE591" s="95">
        <v>0</v>
      </c>
      <c r="AF591" s="75">
        <v>0</v>
      </c>
      <c r="AG591" s="75">
        <v>0</v>
      </c>
      <c r="AH591" s="75">
        <v>0</v>
      </c>
      <c r="AI591" s="75">
        <v>0</v>
      </c>
      <c r="AJ591" s="75">
        <v>0</v>
      </c>
      <c r="AK591" s="75">
        <v>0</v>
      </c>
      <c r="AL591" s="95">
        <v>1</v>
      </c>
      <c r="AM591" s="92">
        <v>0</v>
      </c>
      <c r="AN591" s="79" t="s">
        <v>80</v>
      </c>
      <c r="AO591" s="75">
        <v>1</v>
      </c>
      <c r="AP591" s="75" t="s">
        <v>83</v>
      </c>
      <c r="AQ591" s="122">
        <v>1</v>
      </c>
      <c r="AR591" s="515" t="s">
        <v>10</v>
      </c>
      <c r="AS591" s="95">
        <v>0</v>
      </c>
      <c r="AT591" s="75">
        <v>0</v>
      </c>
      <c r="AU591" s="75">
        <v>0</v>
      </c>
      <c r="AV591" s="75">
        <v>0</v>
      </c>
      <c r="AW591" s="123">
        <v>0</v>
      </c>
      <c r="AX591" s="516"/>
      <c r="AY591" s="75">
        <v>0</v>
      </c>
      <c r="AZ591" s="77" t="s">
        <v>131</v>
      </c>
      <c r="BA591" s="78" t="s">
        <v>131</v>
      </c>
      <c r="BB591" s="78" t="s">
        <v>131</v>
      </c>
      <c r="BC591" s="78" t="s">
        <v>131</v>
      </c>
      <c r="BD591" s="78" t="s">
        <v>131</v>
      </c>
      <c r="BE591" s="78" t="s">
        <v>131</v>
      </c>
      <c r="BF591" s="78" t="s">
        <v>131</v>
      </c>
      <c r="BG591" s="78" t="s">
        <v>132</v>
      </c>
      <c r="BH591" s="75" t="s">
        <v>5970</v>
      </c>
      <c r="BI591" s="295" t="s">
        <v>2294</v>
      </c>
      <c r="BJ591" s="546">
        <v>1</v>
      </c>
      <c r="BK591" s="294" t="s">
        <v>16</v>
      </c>
      <c r="BL591" s="157" t="s">
        <v>16</v>
      </c>
      <c r="BM591" s="548" t="s">
        <v>1339</v>
      </c>
      <c r="BN591" s="548" t="s">
        <v>1339</v>
      </c>
      <c r="BO591" s="157" t="s">
        <v>4230</v>
      </c>
      <c r="BP591" s="548" t="s">
        <v>4231</v>
      </c>
      <c r="BQ591" s="157" t="s">
        <v>4229</v>
      </c>
      <c r="BR591" s="157"/>
    </row>
    <row r="592" spans="1:70" x14ac:dyDescent="0.25">
      <c r="A592" s="19" t="s">
        <v>3686</v>
      </c>
      <c r="B592" s="37" t="s">
        <v>2375</v>
      </c>
      <c r="C592" s="90">
        <v>45166.674780092595</v>
      </c>
      <c r="D592" s="114">
        <v>45166.424780092595</v>
      </c>
      <c r="E592" s="38">
        <v>45166</v>
      </c>
      <c r="F592" s="91">
        <v>2023</v>
      </c>
      <c r="G592" s="93">
        <v>8</v>
      </c>
      <c r="H592" s="37" t="s">
        <v>1386</v>
      </c>
      <c r="I592" s="37"/>
      <c r="J592" s="103">
        <v>-92.295060300000003</v>
      </c>
      <c r="K592" s="40">
        <v>43.736323800000001</v>
      </c>
      <c r="L592" s="74"/>
      <c r="M592" s="272" t="s">
        <v>16</v>
      </c>
      <c r="N592" s="74">
        <v>0</v>
      </c>
      <c r="O592" s="94"/>
      <c r="P592" s="118">
        <v>0</v>
      </c>
      <c r="Q592" s="510"/>
      <c r="R592" s="513"/>
      <c r="S592" s="41"/>
      <c r="T592" s="40"/>
      <c r="U592" s="40"/>
      <c r="V592" s="119">
        <v>1</v>
      </c>
      <c r="W592" s="40">
        <v>0</v>
      </c>
      <c r="X592" s="119">
        <v>1</v>
      </c>
      <c r="Y592" s="40">
        <v>66</v>
      </c>
      <c r="Z592" s="119">
        <v>1</v>
      </c>
      <c r="AA592" s="368">
        <v>0</v>
      </c>
      <c r="AB592" s="535">
        <v>5</v>
      </c>
      <c r="AC592" s="39" t="s">
        <v>160</v>
      </c>
      <c r="AD592" s="75" t="s">
        <v>10</v>
      </c>
      <c r="AE592" s="95">
        <v>0</v>
      </c>
      <c r="AF592" s="75">
        <v>0</v>
      </c>
      <c r="AG592" s="75">
        <v>0</v>
      </c>
      <c r="AH592" s="75">
        <v>0</v>
      </c>
      <c r="AI592" s="75">
        <v>0</v>
      </c>
      <c r="AJ592" s="75">
        <v>0</v>
      </c>
      <c r="AK592" s="75">
        <v>0</v>
      </c>
      <c r="AL592" s="95">
        <v>1</v>
      </c>
      <c r="AM592" s="92">
        <v>0</v>
      </c>
      <c r="AN592" s="79" t="s">
        <v>80</v>
      </c>
      <c r="AO592" s="75">
        <v>1</v>
      </c>
      <c r="AP592" s="75" t="s">
        <v>83</v>
      </c>
      <c r="AQ592" s="122">
        <v>1</v>
      </c>
      <c r="AR592" s="515" t="s">
        <v>10</v>
      </c>
      <c r="AS592" s="95">
        <v>0</v>
      </c>
      <c r="AT592" s="75">
        <v>0</v>
      </c>
      <c r="AU592" s="75">
        <v>0</v>
      </c>
      <c r="AV592" s="75">
        <v>0</v>
      </c>
      <c r="AW592" s="123">
        <v>0</v>
      </c>
      <c r="AX592" s="516"/>
      <c r="AY592" s="75">
        <v>0</v>
      </c>
      <c r="AZ592" s="77" t="s">
        <v>131</v>
      </c>
      <c r="BA592" s="78" t="s">
        <v>131</v>
      </c>
      <c r="BB592" s="78" t="s">
        <v>131</v>
      </c>
      <c r="BC592" s="78" t="s">
        <v>131</v>
      </c>
      <c r="BD592" s="78" t="s">
        <v>131</v>
      </c>
      <c r="BE592" s="78" t="s">
        <v>131</v>
      </c>
      <c r="BF592" s="78" t="s">
        <v>131</v>
      </c>
      <c r="BG592" s="78" t="s">
        <v>132</v>
      </c>
      <c r="BH592" s="75" t="s">
        <v>5970</v>
      </c>
      <c r="BI592" s="295" t="s">
        <v>3974</v>
      </c>
      <c r="BJ592" s="546">
        <v>1</v>
      </c>
      <c r="BK592" s="294" t="s">
        <v>16</v>
      </c>
      <c r="BL592" s="157" t="s">
        <v>16</v>
      </c>
      <c r="BM592" s="548" t="s">
        <v>1339</v>
      </c>
      <c r="BN592" s="548" t="s">
        <v>1339</v>
      </c>
      <c r="BO592" s="157" t="s">
        <v>4387</v>
      </c>
      <c r="BP592" s="548" t="s">
        <v>3974</v>
      </c>
      <c r="BQ592" s="157" t="s">
        <v>4226</v>
      </c>
      <c r="BR592" s="157"/>
    </row>
    <row r="593" spans="1:70" x14ac:dyDescent="0.25">
      <c r="A593" s="19" t="s">
        <v>3686</v>
      </c>
      <c r="B593" s="37" t="s">
        <v>3936</v>
      </c>
      <c r="C593" s="90">
        <v>45166.006365740737</v>
      </c>
      <c r="D593" s="114">
        <v>45165.756365740737</v>
      </c>
      <c r="E593" s="38">
        <v>45165</v>
      </c>
      <c r="F593" s="91">
        <v>2023</v>
      </c>
      <c r="G593" s="93">
        <v>8</v>
      </c>
      <c r="H593" s="37" t="s">
        <v>606</v>
      </c>
      <c r="I593" s="37"/>
      <c r="J593" s="103">
        <v>-92.236281034586398</v>
      </c>
      <c r="K593" s="40">
        <v>44.230630512123668</v>
      </c>
      <c r="L593" s="74"/>
      <c r="M593" s="272" t="s">
        <v>3937</v>
      </c>
      <c r="N593" s="74">
        <v>1</v>
      </c>
      <c r="O593" s="94"/>
      <c r="P593" s="118">
        <v>1</v>
      </c>
      <c r="Q593" s="510">
        <v>180</v>
      </c>
      <c r="R593" s="513">
        <v>60</v>
      </c>
      <c r="S593" s="41"/>
      <c r="T593" s="40"/>
      <c r="U593" s="40">
        <v>7.5</v>
      </c>
      <c r="V593" s="119">
        <v>1</v>
      </c>
      <c r="W593" s="40">
        <v>100</v>
      </c>
      <c r="X593" s="119">
        <v>1</v>
      </c>
      <c r="Y593" s="40">
        <v>60</v>
      </c>
      <c r="Z593" s="119">
        <v>1</v>
      </c>
      <c r="AA593" s="368">
        <v>0</v>
      </c>
      <c r="AB593" s="535">
        <v>5</v>
      </c>
      <c r="AC593" s="39" t="s">
        <v>160</v>
      </c>
      <c r="AD593" s="75" t="s">
        <v>10</v>
      </c>
      <c r="AE593" s="95">
        <v>0</v>
      </c>
      <c r="AF593" s="75">
        <v>0</v>
      </c>
      <c r="AG593" s="75">
        <v>0</v>
      </c>
      <c r="AH593" s="75">
        <v>0</v>
      </c>
      <c r="AI593" s="75">
        <v>0</v>
      </c>
      <c r="AJ593" s="75">
        <v>0</v>
      </c>
      <c r="AK593" s="75">
        <v>0</v>
      </c>
      <c r="AL593" s="95">
        <v>1</v>
      </c>
      <c r="AM593" s="92">
        <v>0</v>
      </c>
      <c r="AN593" s="79" t="s">
        <v>80</v>
      </c>
      <c r="AO593" s="75">
        <v>1</v>
      </c>
      <c r="AP593" s="75" t="s">
        <v>83</v>
      </c>
      <c r="AQ593" s="122">
        <v>1</v>
      </c>
      <c r="AR593" s="515" t="s">
        <v>10</v>
      </c>
      <c r="AS593" s="95">
        <v>0</v>
      </c>
      <c r="AT593" s="75">
        <v>0</v>
      </c>
      <c r="AU593" s="75">
        <v>0</v>
      </c>
      <c r="AV593" s="75">
        <v>0</v>
      </c>
      <c r="AW593" s="123">
        <v>0</v>
      </c>
      <c r="AX593" s="516" t="s">
        <v>3938</v>
      </c>
      <c r="AY593" s="75">
        <v>1</v>
      </c>
      <c r="AZ593" s="77" t="s">
        <v>131</v>
      </c>
      <c r="BA593" s="78" t="s">
        <v>131</v>
      </c>
      <c r="BB593" s="78" t="s">
        <v>131</v>
      </c>
      <c r="BC593" s="78" t="s">
        <v>131</v>
      </c>
      <c r="BD593" s="78" t="s">
        <v>131</v>
      </c>
      <c r="BE593" s="78" t="s">
        <v>131</v>
      </c>
      <c r="BF593" s="78" t="s">
        <v>131</v>
      </c>
      <c r="BG593" s="78" t="s">
        <v>132</v>
      </c>
      <c r="BH593" s="75" t="s">
        <v>5970</v>
      </c>
      <c r="BI593" s="295" t="s">
        <v>3966</v>
      </c>
      <c r="BJ593" s="546">
        <v>1</v>
      </c>
      <c r="BK593" s="294">
        <v>1</v>
      </c>
      <c r="BL593" s="157">
        <v>1</v>
      </c>
      <c r="BM593" s="548" t="s">
        <v>1339</v>
      </c>
      <c r="BN593" s="548" t="s">
        <v>1339</v>
      </c>
      <c r="BO593" s="157" t="s">
        <v>4334</v>
      </c>
      <c r="BP593" s="548" t="s">
        <v>3966</v>
      </c>
      <c r="BQ593" s="157" t="s">
        <v>4330</v>
      </c>
      <c r="BR593" s="157"/>
    </row>
    <row r="594" spans="1:70" x14ac:dyDescent="0.25">
      <c r="A594" s="19" t="s">
        <v>3686</v>
      </c>
      <c r="B594" s="37" t="s">
        <v>2376</v>
      </c>
      <c r="C594" s="90">
        <v>45165.648854166669</v>
      </c>
      <c r="D594" s="114">
        <v>45165.398854166669</v>
      </c>
      <c r="E594" s="38">
        <v>45165</v>
      </c>
      <c r="F594" s="91">
        <v>2023</v>
      </c>
      <c r="G594" s="93">
        <v>8</v>
      </c>
      <c r="H594" s="37" t="s">
        <v>606</v>
      </c>
      <c r="I594" s="37"/>
      <c r="J594" s="103">
        <v>-92.149245494123804</v>
      </c>
      <c r="K594" s="40">
        <v>44.248832443067222</v>
      </c>
      <c r="L594" s="74"/>
      <c r="M594" s="272" t="s">
        <v>2377</v>
      </c>
      <c r="N594" s="74">
        <v>1</v>
      </c>
      <c r="O594" s="94"/>
      <c r="P594" s="118">
        <v>1</v>
      </c>
      <c r="Q594" s="510">
        <v>40</v>
      </c>
      <c r="R594" s="513">
        <v>0</v>
      </c>
      <c r="S594" s="41"/>
      <c r="T594" s="40"/>
      <c r="U594" s="40">
        <v>7</v>
      </c>
      <c r="V594" s="119">
        <v>1</v>
      </c>
      <c r="W594" s="40">
        <v>0</v>
      </c>
      <c r="X594" s="119">
        <v>1</v>
      </c>
      <c r="Y594" s="40">
        <v>58</v>
      </c>
      <c r="Z594" s="119">
        <v>1</v>
      </c>
      <c r="AA594" s="368">
        <v>0</v>
      </c>
      <c r="AB594" s="535">
        <v>5</v>
      </c>
      <c r="AC594" s="39" t="s">
        <v>160</v>
      </c>
      <c r="AD594" s="75" t="s">
        <v>10</v>
      </c>
      <c r="AE594" s="95">
        <v>0</v>
      </c>
      <c r="AF594" s="75">
        <v>0</v>
      </c>
      <c r="AG594" s="75">
        <v>0</v>
      </c>
      <c r="AH594" s="75">
        <v>0</v>
      </c>
      <c r="AI594" s="75">
        <v>0</v>
      </c>
      <c r="AJ594" s="75">
        <v>0</v>
      </c>
      <c r="AK594" s="75">
        <v>0</v>
      </c>
      <c r="AL594" s="95">
        <v>1</v>
      </c>
      <c r="AM594" s="92">
        <v>0</v>
      </c>
      <c r="AN594" s="79" t="s">
        <v>80</v>
      </c>
      <c r="AO594" s="75">
        <v>1</v>
      </c>
      <c r="AP594" s="75" t="s">
        <v>83</v>
      </c>
      <c r="AQ594" s="122">
        <v>1</v>
      </c>
      <c r="AR594" s="515" t="s">
        <v>10</v>
      </c>
      <c r="AS594" s="95">
        <v>0</v>
      </c>
      <c r="AT594" s="75">
        <v>0</v>
      </c>
      <c r="AU594" s="75">
        <v>0</v>
      </c>
      <c r="AV594" s="75">
        <v>0</v>
      </c>
      <c r="AW594" s="123">
        <v>0</v>
      </c>
      <c r="AX594" s="516" t="s">
        <v>2378</v>
      </c>
      <c r="AY594" s="75">
        <v>1</v>
      </c>
      <c r="AZ594" s="77" t="s">
        <v>131</v>
      </c>
      <c r="BA594" s="78" t="s">
        <v>131</v>
      </c>
      <c r="BB594" s="78" t="s">
        <v>131</v>
      </c>
      <c r="BC594" s="78" t="s">
        <v>131</v>
      </c>
      <c r="BD594" s="78" t="s">
        <v>131</v>
      </c>
      <c r="BE594" s="78" t="s">
        <v>131</v>
      </c>
      <c r="BF594" s="78" t="s">
        <v>131</v>
      </c>
      <c r="BG594" s="78" t="s">
        <v>132</v>
      </c>
      <c r="BH594" s="75" t="s">
        <v>5970</v>
      </c>
      <c r="BI594" s="295" t="s">
        <v>317</v>
      </c>
      <c r="BJ594" s="546">
        <v>1</v>
      </c>
      <c r="BK594" s="294">
        <v>1</v>
      </c>
      <c r="BL594" s="157">
        <v>1</v>
      </c>
      <c r="BM594" s="548" t="s">
        <v>1339</v>
      </c>
      <c r="BN594" s="548" t="s">
        <v>1339</v>
      </c>
      <c r="BO594" s="157" t="s">
        <v>4358</v>
      </c>
      <c r="BP594" s="548" t="s">
        <v>317</v>
      </c>
      <c r="BQ594" s="157" t="s">
        <v>4330</v>
      </c>
      <c r="BR594" s="157"/>
    </row>
    <row r="595" spans="1:70" x14ac:dyDescent="0.25">
      <c r="A595" s="19" t="s">
        <v>3686</v>
      </c>
      <c r="B595" s="37" t="s">
        <v>2379</v>
      </c>
      <c r="C595" s="90">
        <v>45163.661435185182</v>
      </c>
      <c r="D595" s="114">
        <v>45163.411435185182</v>
      </c>
      <c r="E595" s="38">
        <v>45163</v>
      </c>
      <c r="F595" s="91">
        <v>2023</v>
      </c>
      <c r="G595" s="93">
        <v>8</v>
      </c>
      <c r="H595" s="37" t="s">
        <v>1514</v>
      </c>
      <c r="I595" s="37" t="s">
        <v>2362</v>
      </c>
      <c r="J595" s="103">
        <v>-92.283992347004244</v>
      </c>
      <c r="K595" s="40">
        <v>44.542223110118179</v>
      </c>
      <c r="L595" s="74"/>
      <c r="M595" s="272" t="s">
        <v>16</v>
      </c>
      <c r="N595" s="74">
        <v>0</v>
      </c>
      <c r="O595" s="94"/>
      <c r="P595" s="118">
        <v>1</v>
      </c>
      <c r="Q595" s="510">
        <v>120</v>
      </c>
      <c r="R595" s="513">
        <v>120</v>
      </c>
      <c r="S595" s="41"/>
      <c r="T595" s="40"/>
      <c r="U595" s="40">
        <v>7</v>
      </c>
      <c r="V595" s="119">
        <v>1</v>
      </c>
      <c r="W595" s="40">
        <v>0</v>
      </c>
      <c r="X595" s="119">
        <v>1</v>
      </c>
      <c r="Y595" s="40">
        <v>52</v>
      </c>
      <c r="Z595" s="119">
        <v>1</v>
      </c>
      <c r="AA595" s="368">
        <v>0</v>
      </c>
      <c r="AB595" s="535">
        <v>5</v>
      </c>
      <c r="AC595" s="39" t="s">
        <v>160</v>
      </c>
      <c r="AD595" s="75" t="s">
        <v>16</v>
      </c>
      <c r="AE595" s="95">
        <v>-1</v>
      </c>
      <c r="AF595" s="75">
        <v>-1</v>
      </c>
      <c r="AG595" s="75">
        <v>-1</v>
      </c>
      <c r="AH595" s="75">
        <v>-1</v>
      </c>
      <c r="AI595" s="75">
        <v>-1</v>
      </c>
      <c r="AJ595" s="75">
        <v>-1</v>
      </c>
      <c r="AK595" s="75">
        <v>-1</v>
      </c>
      <c r="AL595" s="95">
        <v>-1</v>
      </c>
      <c r="AM595" s="92">
        <v>1</v>
      </c>
      <c r="AN595" s="79" t="s">
        <v>80</v>
      </c>
      <c r="AO595" s="75">
        <v>1</v>
      </c>
      <c r="AP595" s="75" t="s">
        <v>83</v>
      </c>
      <c r="AQ595" s="122">
        <v>1</v>
      </c>
      <c r="AR595" s="515" t="s">
        <v>10</v>
      </c>
      <c r="AS595" s="95">
        <v>0</v>
      </c>
      <c r="AT595" s="75">
        <v>0</v>
      </c>
      <c r="AU595" s="75">
        <v>0</v>
      </c>
      <c r="AV595" s="75">
        <v>0</v>
      </c>
      <c r="AW595" s="123">
        <v>0</v>
      </c>
      <c r="AX595" s="516"/>
      <c r="AY595" s="75">
        <v>0</v>
      </c>
      <c r="AZ595" s="77" t="s">
        <v>5971</v>
      </c>
      <c r="BA595" s="78" t="s">
        <v>5971</v>
      </c>
      <c r="BB595" s="78" t="s">
        <v>5971</v>
      </c>
      <c r="BC595" s="78" t="s">
        <v>5971</v>
      </c>
      <c r="BD595" s="78" t="s">
        <v>5971</v>
      </c>
      <c r="BE595" s="78" t="s">
        <v>5971</v>
      </c>
      <c r="BF595" s="78" t="s">
        <v>5971</v>
      </c>
      <c r="BG595" s="78" t="s">
        <v>5971</v>
      </c>
      <c r="BH595" s="75" t="s">
        <v>5971</v>
      </c>
      <c r="BI595" s="295" t="s">
        <v>2261</v>
      </c>
      <c r="BJ595" s="546">
        <v>1</v>
      </c>
      <c r="BK595" s="294">
        <v>1</v>
      </c>
      <c r="BL595" s="157">
        <v>1</v>
      </c>
      <c r="BM595" s="548" t="s">
        <v>1340</v>
      </c>
      <c r="BN595" s="548" t="s">
        <v>578</v>
      </c>
      <c r="BO595" s="157" t="s">
        <v>4268</v>
      </c>
      <c r="BP595" s="548" t="s">
        <v>2261</v>
      </c>
      <c r="BQ595" s="157" t="s">
        <v>4214</v>
      </c>
      <c r="BR595" s="157"/>
    </row>
    <row r="596" spans="1:70" x14ac:dyDescent="0.25">
      <c r="A596" s="19" t="s">
        <v>3686</v>
      </c>
      <c r="B596" s="37" t="s">
        <v>2380</v>
      </c>
      <c r="C596" s="90">
        <v>45160.870532407411</v>
      </c>
      <c r="D596" s="114">
        <v>45160.620532407411</v>
      </c>
      <c r="E596" s="38">
        <v>45160</v>
      </c>
      <c r="F596" s="91">
        <v>2023</v>
      </c>
      <c r="G596" s="93">
        <v>8</v>
      </c>
      <c r="H596" s="37" t="s">
        <v>2381</v>
      </c>
      <c r="I596" s="37"/>
      <c r="J596" s="103">
        <v>-90.044152100000005</v>
      </c>
      <c r="K596" s="40">
        <v>43.281529800000001</v>
      </c>
      <c r="L596" s="74"/>
      <c r="M596" s="272" t="s">
        <v>16</v>
      </c>
      <c r="N596" s="74">
        <v>0</v>
      </c>
      <c r="O596" s="94"/>
      <c r="P596" s="118">
        <v>1</v>
      </c>
      <c r="Q596" s="510">
        <v>180</v>
      </c>
      <c r="R596" s="513">
        <v>180</v>
      </c>
      <c r="S596" s="41"/>
      <c r="T596" s="40"/>
      <c r="U596" s="40">
        <v>9</v>
      </c>
      <c r="V596" s="119">
        <v>0</v>
      </c>
      <c r="W596" s="40"/>
      <c r="X596" s="119">
        <v>1</v>
      </c>
      <c r="Y596" s="40">
        <v>66</v>
      </c>
      <c r="Z596" s="119">
        <v>0</v>
      </c>
      <c r="AA596" s="368" t="s">
        <v>16</v>
      </c>
      <c r="AB596" s="535" t="s">
        <v>16</v>
      </c>
      <c r="AC596" s="39" t="s">
        <v>160</v>
      </c>
      <c r="AD596" s="75" t="s">
        <v>16</v>
      </c>
      <c r="AE596" s="95">
        <v>-1</v>
      </c>
      <c r="AF596" s="75">
        <v>-1</v>
      </c>
      <c r="AG596" s="75">
        <v>-1</v>
      </c>
      <c r="AH596" s="75">
        <v>-1</v>
      </c>
      <c r="AI596" s="75">
        <v>-1</v>
      </c>
      <c r="AJ596" s="75">
        <v>-1</v>
      </c>
      <c r="AK596" s="75">
        <v>-1</v>
      </c>
      <c r="AL596" s="95">
        <v>-1</v>
      </c>
      <c r="AM596" s="92">
        <v>1</v>
      </c>
      <c r="AN596" s="79"/>
      <c r="AO596" s="75">
        <v>0</v>
      </c>
      <c r="AP596" s="75"/>
      <c r="AQ596" s="122">
        <v>0</v>
      </c>
      <c r="AR596" s="515" t="s">
        <v>16</v>
      </c>
      <c r="AS596" s="95">
        <v>-1</v>
      </c>
      <c r="AT596" s="75">
        <v>-1</v>
      </c>
      <c r="AU596" s="75">
        <v>-1</v>
      </c>
      <c r="AV596" s="75">
        <v>-1</v>
      </c>
      <c r="AW596" s="123">
        <v>1</v>
      </c>
      <c r="AX596" s="516" t="s">
        <v>2382</v>
      </c>
      <c r="AY596" s="75">
        <v>1</v>
      </c>
      <c r="AZ596" s="77" t="s">
        <v>5971</v>
      </c>
      <c r="BA596" s="78" t="s">
        <v>5971</v>
      </c>
      <c r="BB596" s="78" t="s">
        <v>5971</v>
      </c>
      <c r="BC596" s="78" t="s">
        <v>5971</v>
      </c>
      <c r="BD596" s="78" t="s">
        <v>5971</v>
      </c>
      <c r="BE596" s="78" t="s">
        <v>5971</v>
      </c>
      <c r="BF596" s="78" t="s">
        <v>5971</v>
      </c>
      <c r="BG596" s="78" t="s">
        <v>5971</v>
      </c>
      <c r="BH596" s="75" t="s">
        <v>5971</v>
      </c>
      <c r="BI596" s="295">
        <v>0</v>
      </c>
      <c r="BJ596" s="546" t="s">
        <v>16</v>
      </c>
      <c r="BK596" s="294" t="s">
        <v>16</v>
      </c>
      <c r="BL596" s="157" t="s">
        <v>16</v>
      </c>
      <c r="BM596" s="548" t="s">
        <v>1345</v>
      </c>
      <c r="BN596" s="548" t="s">
        <v>4160</v>
      </c>
      <c r="BO596" s="157" t="s">
        <v>4323</v>
      </c>
      <c r="BP596" s="548" t="s">
        <v>4324</v>
      </c>
      <c r="BQ596" s="157" t="s">
        <v>4322</v>
      </c>
      <c r="BR596" s="157"/>
    </row>
    <row r="597" spans="1:70" x14ac:dyDescent="0.25">
      <c r="A597" s="19" t="s">
        <v>3686</v>
      </c>
      <c r="B597" s="37" t="s">
        <v>2383</v>
      </c>
      <c r="C597" s="90">
        <v>45160.861562500002</v>
      </c>
      <c r="D597" s="114">
        <v>45160.611562500002</v>
      </c>
      <c r="E597" s="38">
        <v>45160</v>
      </c>
      <c r="F597" s="91">
        <v>2023</v>
      </c>
      <c r="G597" s="93">
        <v>8</v>
      </c>
      <c r="H597" s="37" t="s">
        <v>2381</v>
      </c>
      <c r="I597" s="37"/>
      <c r="J597" s="103">
        <v>-90.044273200000006</v>
      </c>
      <c r="K597" s="40">
        <v>43.291769199999997</v>
      </c>
      <c r="L597" s="74"/>
      <c r="M597" s="272" t="s">
        <v>16</v>
      </c>
      <c r="N597" s="74">
        <v>0</v>
      </c>
      <c r="O597" s="94"/>
      <c r="P597" s="118">
        <v>1</v>
      </c>
      <c r="Q597" s="510">
        <v>180</v>
      </c>
      <c r="R597" s="513">
        <v>180</v>
      </c>
      <c r="S597" s="41"/>
      <c r="T597" s="40"/>
      <c r="U597" s="40">
        <v>8</v>
      </c>
      <c r="V597" s="119">
        <v>1</v>
      </c>
      <c r="W597" s="40">
        <v>0</v>
      </c>
      <c r="X597" s="119">
        <v>1</v>
      </c>
      <c r="Y597" s="40">
        <v>65</v>
      </c>
      <c r="Z597" s="119">
        <v>1</v>
      </c>
      <c r="AA597" s="368">
        <v>0</v>
      </c>
      <c r="AB597" s="535">
        <v>5</v>
      </c>
      <c r="AC597" s="39"/>
      <c r="AD597" s="75" t="s">
        <v>16</v>
      </c>
      <c r="AE597" s="95">
        <v>-1</v>
      </c>
      <c r="AF597" s="75">
        <v>-1</v>
      </c>
      <c r="AG597" s="75">
        <v>-1</v>
      </c>
      <c r="AH597" s="75">
        <v>-1</v>
      </c>
      <c r="AI597" s="75">
        <v>-1</v>
      </c>
      <c r="AJ597" s="75">
        <v>-1</v>
      </c>
      <c r="AK597" s="75">
        <v>-1</v>
      </c>
      <c r="AL597" s="95">
        <v>-1</v>
      </c>
      <c r="AM597" s="92">
        <v>1</v>
      </c>
      <c r="AN597" s="79"/>
      <c r="AO597" s="75">
        <v>0</v>
      </c>
      <c r="AP597" s="75" t="s">
        <v>83</v>
      </c>
      <c r="AQ597" s="122">
        <v>1</v>
      </c>
      <c r="AR597" s="515" t="s">
        <v>16</v>
      </c>
      <c r="AS597" s="95">
        <v>-1</v>
      </c>
      <c r="AT597" s="75">
        <v>-1</v>
      </c>
      <c r="AU597" s="75">
        <v>-1</v>
      </c>
      <c r="AV597" s="75">
        <v>-1</v>
      </c>
      <c r="AW597" s="123">
        <v>1</v>
      </c>
      <c r="AX597" s="516" t="s">
        <v>2384</v>
      </c>
      <c r="AY597" s="75">
        <v>1</v>
      </c>
      <c r="AZ597" s="77" t="s">
        <v>5971</v>
      </c>
      <c r="BA597" s="78" t="s">
        <v>5971</v>
      </c>
      <c r="BB597" s="78" t="s">
        <v>5971</v>
      </c>
      <c r="BC597" s="78" t="s">
        <v>5971</v>
      </c>
      <c r="BD597" s="78" t="s">
        <v>5971</v>
      </c>
      <c r="BE597" s="78" t="s">
        <v>5971</v>
      </c>
      <c r="BF597" s="78" t="s">
        <v>5971</v>
      </c>
      <c r="BG597" s="78" t="s">
        <v>5971</v>
      </c>
      <c r="BH597" s="75" t="s">
        <v>5971</v>
      </c>
      <c r="BI597" s="295" t="s">
        <v>16</v>
      </c>
      <c r="BJ597" s="546" t="s">
        <v>16</v>
      </c>
      <c r="BK597" s="294" t="s">
        <v>16</v>
      </c>
      <c r="BL597" s="157" t="s">
        <v>16</v>
      </c>
      <c r="BM597" s="548" t="s">
        <v>1345</v>
      </c>
      <c r="BN597" s="548" t="s">
        <v>4160</v>
      </c>
      <c r="BO597" s="157" t="s">
        <v>4325</v>
      </c>
      <c r="BP597" s="548" t="s">
        <v>4326</v>
      </c>
      <c r="BQ597" s="157" t="s">
        <v>4322</v>
      </c>
      <c r="BR597" s="157"/>
    </row>
    <row r="598" spans="1:70" x14ac:dyDescent="0.25">
      <c r="A598" s="19" t="s">
        <v>3686</v>
      </c>
      <c r="B598" s="37" t="s">
        <v>2385</v>
      </c>
      <c r="C598" s="90">
        <v>45160.852523148147</v>
      </c>
      <c r="D598" s="114">
        <v>45160.602523148147</v>
      </c>
      <c r="E598" s="38">
        <v>45160</v>
      </c>
      <c r="F598" s="91">
        <v>2023</v>
      </c>
      <c r="G598" s="93">
        <v>8</v>
      </c>
      <c r="H598" s="37" t="s">
        <v>2381</v>
      </c>
      <c r="I598" s="37"/>
      <c r="J598" s="103">
        <v>-90.037177499999999</v>
      </c>
      <c r="K598" s="40">
        <v>43.293121599999999</v>
      </c>
      <c r="L598" s="74"/>
      <c r="M598" s="272" t="s">
        <v>16</v>
      </c>
      <c r="N598" s="74">
        <v>0</v>
      </c>
      <c r="O598" s="94"/>
      <c r="P598" s="118">
        <v>1</v>
      </c>
      <c r="Q598" s="510">
        <v>120</v>
      </c>
      <c r="R598" s="513">
        <v>180</v>
      </c>
      <c r="S598" s="41"/>
      <c r="T598" s="40"/>
      <c r="U598" s="40">
        <v>7.5</v>
      </c>
      <c r="V598" s="119">
        <v>1</v>
      </c>
      <c r="W598" s="40">
        <v>300</v>
      </c>
      <c r="X598" s="119">
        <v>1</v>
      </c>
      <c r="Y598" s="40">
        <v>71</v>
      </c>
      <c r="Z598" s="119">
        <v>1</v>
      </c>
      <c r="AA598" s="368">
        <v>0</v>
      </c>
      <c r="AB598" s="535">
        <v>2</v>
      </c>
      <c r="AC598" s="39" t="s">
        <v>160</v>
      </c>
      <c r="AD598" s="75" t="s">
        <v>16</v>
      </c>
      <c r="AE598" s="95">
        <v>-1</v>
      </c>
      <c r="AF598" s="75">
        <v>-1</v>
      </c>
      <c r="AG598" s="75">
        <v>-1</v>
      </c>
      <c r="AH598" s="75">
        <v>-1</v>
      </c>
      <c r="AI598" s="75">
        <v>-1</v>
      </c>
      <c r="AJ598" s="75">
        <v>-1</v>
      </c>
      <c r="AK598" s="75">
        <v>-1</v>
      </c>
      <c r="AL598" s="95">
        <v>-1</v>
      </c>
      <c r="AM598" s="92">
        <v>1</v>
      </c>
      <c r="AN598" s="79"/>
      <c r="AO598" s="75">
        <v>0</v>
      </c>
      <c r="AP598" s="75" t="s">
        <v>83</v>
      </c>
      <c r="AQ598" s="122">
        <v>1</v>
      </c>
      <c r="AR598" s="515" t="s">
        <v>16</v>
      </c>
      <c r="AS598" s="95">
        <v>-1</v>
      </c>
      <c r="AT598" s="75">
        <v>-1</v>
      </c>
      <c r="AU598" s="75">
        <v>-1</v>
      </c>
      <c r="AV598" s="75">
        <v>-1</v>
      </c>
      <c r="AW598" s="123">
        <v>1</v>
      </c>
      <c r="AX598" s="516" t="s">
        <v>2386</v>
      </c>
      <c r="AY598" s="75">
        <v>1</v>
      </c>
      <c r="AZ598" s="77" t="s">
        <v>5971</v>
      </c>
      <c r="BA598" s="78" t="s">
        <v>5971</v>
      </c>
      <c r="BB598" s="78" t="s">
        <v>5971</v>
      </c>
      <c r="BC598" s="78" t="s">
        <v>5971</v>
      </c>
      <c r="BD598" s="78" t="s">
        <v>5971</v>
      </c>
      <c r="BE598" s="78" t="s">
        <v>5971</v>
      </c>
      <c r="BF598" s="78" t="s">
        <v>5971</v>
      </c>
      <c r="BG598" s="78" t="s">
        <v>5971</v>
      </c>
      <c r="BH598" s="75" t="s">
        <v>5971</v>
      </c>
      <c r="BI598" s="295" t="s">
        <v>4037</v>
      </c>
      <c r="BJ598" s="546">
        <v>1</v>
      </c>
      <c r="BK598" s="294" t="s">
        <v>16</v>
      </c>
      <c r="BL598" s="157" t="s">
        <v>16</v>
      </c>
      <c r="BM598" s="548" t="s">
        <v>1345</v>
      </c>
      <c r="BN598" s="548" t="s">
        <v>4160</v>
      </c>
      <c r="BO598" s="157" t="s">
        <v>4325</v>
      </c>
      <c r="BP598" s="548" t="s">
        <v>4326</v>
      </c>
      <c r="BQ598" s="157" t="s">
        <v>4322</v>
      </c>
      <c r="BR598" s="157"/>
    </row>
    <row r="599" spans="1:70" x14ac:dyDescent="0.25">
      <c r="A599" s="19" t="s">
        <v>3686</v>
      </c>
      <c r="B599" s="37" t="s">
        <v>2387</v>
      </c>
      <c r="C599" s="90">
        <v>45160.84103009259</v>
      </c>
      <c r="D599" s="114">
        <v>45160.59103009259</v>
      </c>
      <c r="E599" s="38">
        <v>45160</v>
      </c>
      <c r="F599" s="91">
        <v>2023</v>
      </c>
      <c r="G599" s="93">
        <v>8</v>
      </c>
      <c r="H599" s="37" t="s">
        <v>2381</v>
      </c>
      <c r="I599" s="37"/>
      <c r="J599" s="103">
        <v>-90.070328000000003</v>
      </c>
      <c r="K599" s="40">
        <v>43.351005999999998</v>
      </c>
      <c r="L599" s="74"/>
      <c r="M599" s="272" t="s">
        <v>16</v>
      </c>
      <c r="N599" s="74">
        <v>0</v>
      </c>
      <c r="O599" s="94"/>
      <c r="P599" s="118">
        <v>1</v>
      </c>
      <c r="Q599" s="510">
        <v>0</v>
      </c>
      <c r="R599" s="513">
        <v>60</v>
      </c>
      <c r="S599" s="41"/>
      <c r="T599" s="40"/>
      <c r="U599" s="40">
        <v>7</v>
      </c>
      <c r="V599" s="119">
        <v>1</v>
      </c>
      <c r="W599" s="40">
        <v>100</v>
      </c>
      <c r="X599" s="119">
        <v>1</v>
      </c>
      <c r="Y599" s="40">
        <v>61</v>
      </c>
      <c r="Z599" s="119">
        <v>1</v>
      </c>
      <c r="AA599" s="368">
        <v>0</v>
      </c>
      <c r="AB599" s="535">
        <v>2</v>
      </c>
      <c r="AC599" s="39" t="s">
        <v>160</v>
      </c>
      <c r="AD599" s="75" t="s">
        <v>16</v>
      </c>
      <c r="AE599" s="95">
        <v>-1</v>
      </c>
      <c r="AF599" s="75">
        <v>-1</v>
      </c>
      <c r="AG599" s="75">
        <v>-1</v>
      </c>
      <c r="AH599" s="75">
        <v>-1</v>
      </c>
      <c r="AI599" s="75">
        <v>-1</v>
      </c>
      <c r="AJ599" s="75">
        <v>-1</v>
      </c>
      <c r="AK599" s="75">
        <v>-1</v>
      </c>
      <c r="AL599" s="95">
        <v>-1</v>
      </c>
      <c r="AM599" s="92">
        <v>1</v>
      </c>
      <c r="AN599" s="79"/>
      <c r="AO599" s="75">
        <v>0</v>
      </c>
      <c r="AP599" s="75" t="s">
        <v>83</v>
      </c>
      <c r="AQ599" s="122">
        <v>1</v>
      </c>
      <c r="AR599" s="515" t="s">
        <v>16</v>
      </c>
      <c r="AS599" s="95">
        <v>-1</v>
      </c>
      <c r="AT599" s="75">
        <v>-1</v>
      </c>
      <c r="AU599" s="75">
        <v>-1</v>
      </c>
      <c r="AV599" s="75">
        <v>-1</v>
      </c>
      <c r="AW599" s="123">
        <v>1</v>
      </c>
      <c r="AX599" s="516" t="s">
        <v>2388</v>
      </c>
      <c r="AY599" s="75">
        <v>1</v>
      </c>
      <c r="AZ599" s="77" t="s">
        <v>5971</v>
      </c>
      <c r="BA599" s="78" t="s">
        <v>5971</v>
      </c>
      <c r="BB599" s="78" t="s">
        <v>5971</v>
      </c>
      <c r="BC599" s="78" t="s">
        <v>5971</v>
      </c>
      <c r="BD599" s="78" t="s">
        <v>5971</v>
      </c>
      <c r="BE599" s="78" t="s">
        <v>5971</v>
      </c>
      <c r="BF599" s="78" t="s">
        <v>5971</v>
      </c>
      <c r="BG599" s="78" t="s">
        <v>5971</v>
      </c>
      <c r="BH599" s="75" t="s">
        <v>5971</v>
      </c>
      <c r="BI599" s="295" t="s">
        <v>4037</v>
      </c>
      <c r="BJ599" s="546">
        <v>1</v>
      </c>
      <c r="BK599" s="294" t="s">
        <v>16</v>
      </c>
      <c r="BL599" s="157" t="s">
        <v>16</v>
      </c>
      <c r="BM599" s="548" t="s">
        <v>1346</v>
      </c>
      <c r="BN599" s="548" t="s">
        <v>4160</v>
      </c>
      <c r="BO599" s="157" t="s">
        <v>4325</v>
      </c>
      <c r="BP599" s="548" t="s">
        <v>4326</v>
      </c>
      <c r="BQ599" s="157" t="s">
        <v>4322</v>
      </c>
      <c r="BR599" s="157"/>
    </row>
    <row r="600" spans="1:70" x14ac:dyDescent="0.25">
      <c r="A600" s="19" t="s">
        <v>3686</v>
      </c>
      <c r="B600" s="37" t="s">
        <v>2389</v>
      </c>
      <c r="C600" s="90">
        <v>45160.83488425926</v>
      </c>
      <c r="D600" s="114">
        <v>45160.58488425926</v>
      </c>
      <c r="E600" s="38">
        <v>45160</v>
      </c>
      <c r="F600" s="91">
        <v>2023</v>
      </c>
      <c r="G600" s="93">
        <v>8</v>
      </c>
      <c r="H600" s="37" t="s">
        <v>2381</v>
      </c>
      <c r="I600" s="37"/>
      <c r="J600" s="103">
        <v>-90.077992499999993</v>
      </c>
      <c r="K600" s="40">
        <v>43.350886199999998</v>
      </c>
      <c r="L600" s="74"/>
      <c r="M600" s="272" t="s">
        <v>16</v>
      </c>
      <c r="N600" s="74">
        <v>0</v>
      </c>
      <c r="O600" s="94"/>
      <c r="P600" s="118">
        <v>1</v>
      </c>
      <c r="Q600" s="510">
        <v>0</v>
      </c>
      <c r="R600" s="513">
        <v>60</v>
      </c>
      <c r="S600" s="41"/>
      <c r="T600" s="40"/>
      <c r="U600" s="40">
        <v>7</v>
      </c>
      <c r="V600" s="119">
        <v>1</v>
      </c>
      <c r="W600" s="40">
        <v>100</v>
      </c>
      <c r="X600" s="119">
        <v>1</v>
      </c>
      <c r="Y600" s="40">
        <v>73</v>
      </c>
      <c r="Z600" s="119">
        <v>1</v>
      </c>
      <c r="AA600" s="368">
        <v>0</v>
      </c>
      <c r="AB600" s="535">
        <v>2</v>
      </c>
      <c r="AC600" s="39" t="s">
        <v>160</v>
      </c>
      <c r="AD600" s="75" t="s">
        <v>16</v>
      </c>
      <c r="AE600" s="95">
        <v>-1</v>
      </c>
      <c r="AF600" s="75">
        <v>-1</v>
      </c>
      <c r="AG600" s="75">
        <v>-1</v>
      </c>
      <c r="AH600" s="75">
        <v>-1</v>
      </c>
      <c r="AI600" s="75">
        <v>-1</v>
      </c>
      <c r="AJ600" s="75">
        <v>-1</v>
      </c>
      <c r="AK600" s="75">
        <v>-1</v>
      </c>
      <c r="AL600" s="95">
        <v>-1</v>
      </c>
      <c r="AM600" s="92">
        <v>1</v>
      </c>
      <c r="AN600" s="79"/>
      <c r="AO600" s="75">
        <v>0</v>
      </c>
      <c r="AP600" s="75" t="s">
        <v>83</v>
      </c>
      <c r="AQ600" s="122">
        <v>1</v>
      </c>
      <c r="AR600" s="515" t="s">
        <v>16</v>
      </c>
      <c r="AS600" s="95">
        <v>-1</v>
      </c>
      <c r="AT600" s="75">
        <v>-1</v>
      </c>
      <c r="AU600" s="75">
        <v>-1</v>
      </c>
      <c r="AV600" s="75">
        <v>-1</v>
      </c>
      <c r="AW600" s="123">
        <v>1</v>
      </c>
      <c r="AX600" s="516" t="s">
        <v>2390</v>
      </c>
      <c r="AY600" s="75">
        <v>1</v>
      </c>
      <c r="AZ600" s="77" t="s">
        <v>5971</v>
      </c>
      <c r="BA600" s="78" t="s">
        <v>5971</v>
      </c>
      <c r="BB600" s="78" t="s">
        <v>5971</v>
      </c>
      <c r="BC600" s="78" t="s">
        <v>5971</v>
      </c>
      <c r="BD600" s="78" t="s">
        <v>5971</v>
      </c>
      <c r="BE600" s="78" t="s">
        <v>5971</v>
      </c>
      <c r="BF600" s="78" t="s">
        <v>5971</v>
      </c>
      <c r="BG600" s="78" t="s">
        <v>5971</v>
      </c>
      <c r="BH600" s="75" t="s">
        <v>5971</v>
      </c>
      <c r="BI600" s="295">
        <v>0</v>
      </c>
      <c r="BJ600" s="546" t="s">
        <v>16</v>
      </c>
      <c r="BK600" s="294" t="s">
        <v>16</v>
      </c>
      <c r="BL600" s="157" t="s">
        <v>16</v>
      </c>
      <c r="BM600" s="548" t="s">
        <v>1346</v>
      </c>
      <c r="BN600" s="548" t="s">
        <v>4160</v>
      </c>
      <c r="BO600" s="157" t="s">
        <v>4325</v>
      </c>
      <c r="BP600" s="548" t="s">
        <v>4326</v>
      </c>
      <c r="BQ600" s="157" t="s">
        <v>4322</v>
      </c>
      <c r="BR600" s="157"/>
    </row>
    <row r="601" spans="1:70" x14ac:dyDescent="0.25">
      <c r="A601" s="19" t="s">
        <v>3686</v>
      </c>
      <c r="B601" s="37" t="s">
        <v>2391</v>
      </c>
      <c r="C601" s="90">
        <v>45160.822175925925</v>
      </c>
      <c r="D601" s="114">
        <v>45160.572175925925</v>
      </c>
      <c r="E601" s="38">
        <v>45160</v>
      </c>
      <c r="F601" s="91">
        <v>2023</v>
      </c>
      <c r="G601" s="93">
        <v>8</v>
      </c>
      <c r="H601" s="37" t="s">
        <v>2381</v>
      </c>
      <c r="I601" s="37"/>
      <c r="J601" s="103">
        <v>-90.093846900000003</v>
      </c>
      <c r="K601" s="40">
        <v>43.3726889</v>
      </c>
      <c r="L601" s="74"/>
      <c r="M601" s="272" t="s">
        <v>16</v>
      </c>
      <c r="N601" s="74">
        <v>0</v>
      </c>
      <c r="O601" s="94"/>
      <c r="P601" s="118">
        <v>1</v>
      </c>
      <c r="Q601" s="510">
        <v>80</v>
      </c>
      <c r="R601" s="513">
        <v>180</v>
      </c>
      <c r="S601" s="41"/>
      <c r="T601" s="40"/>
      <c r="U601" s="40">
        <v>8</v>
      </c>
      <c r="V601" s="119">
        <v>1</v>
      </c>
      <c r="W601" s="40">
        <v>100</v>
      </c>
      <c r="X601" s="119">
        <v>1</v>
      </c>
      <c r="Y601" s="40">
        <v>67</v>
      </c>
      <c r="Z601" s="119">
        <v>1</v>
      </c>
      <c r="AA601" s="368">
        <v>0</v>
      </c>
      <c r="AB601" s="535">
        <v>0</v>
      </c>
      <c r="AC601" s="39" t="s">
        <v>160</v>
      </c>
      <c r="AD601" s="75" t="s">
        <v>16</v>
      </c>
      <c r="AE601" s="95">
        <v>-1</v>
      </c>
      <c r="AF601" s="75">
        <v>-1</v>
      </c>
      <c r="AG601" s="75">
        <v>-1</v>
      </c>
      <c r="AH601" s="75">
        <v>-1</v>
      </c>
      <c r="AI601" s="75">
        <v>-1</v>
      </c>
      <c r="AJ601" s="75">
        <v>-1</v>
      </c>
      <c r="AK601" s="75">
        <v>-1</v>
      </c>
      <c r="AL601" s="95">
        <v>-1</v>
      </c>
      <c r="AM601" s="92">
        <v>1</v>
      </c>
      <c r="AN601" s="79"/>
      <c r="AO601" s="75">
        <v>0</v>
      </c>
      <c r="AP601" s="75" t="s">
        <v>83</v>
      </c>
      <c r="AQ601" s="122">
        <v>1</v>
      </c>
      <c r="AR601" s="515" t="s">
        <v>16</v>
      </c>
      <c r="AS601" s="95">
        <v>-1</v>
      </c>
      <c r="AT601" s="75">
        <v>-1</v>
      </c>
      <c r="AU601" s="75">
        <v>-1</v>
      </c>
      <c r="AV601" s="75">
        <v>-1</v>
      </c>
      <c r="AW601" s="123">
        <v>1</v>
      </c>
      <c r="AX601" s="516" t="s">
        <v>2392</v>
      </c>
      <c r="AY601" s="75">
        <v>1</v>
      </c>
      <c r="AZ601" s="77" t="s">
        <v>5971</v>
      </c>
      <c r="BA601" s="78" t="s">
        <v>5971</v>
      </c>
      <c r="BB601" s="78" t="s">
        <v>5971</v>
      </c>
      <c r="BC601" s="78" t="s">
        <v>5971</v>
      </c>
      <c r="BD601" s="78" t="s">
        <v>5971</v>
      </c>
      <c r="BE601" s="78" t="s">
        <v>5971</v>
      </c>
      <c r="BF601" s="78" t="s">
        <v>5971</v>
      </c>
      <c r="BG601" s="78" t="s">
        <v>5971</v>
      </c>
      <c r="BH601" s="75" t="s">
        <v>5971</v>
      </c>
      <c r="BI601" s="295">
        <v>0</v>
      </c>
      <c r="BJ601" s="546" t="s">
        <v>16</v>
      </c>
      <c r="BK601" s="294" t="s">
        <v>16</v>
      </c>
      <c r="BL601" s="157" t="s">
        <v>16</v>
      </c>
      <c r="BM601" s="548" t="s">
        <v>1346</v>
      </c>
      <c r="BN601" s="548" t="s">
        <v>4160</v>
      </c>
      <c r="BO601" s="157" t="s">
        <v>4325</v>
      </c>
      <c r="BP601" s="548" t="s">
        <v>4326</v>
      </c>
      <c r="BQ601" s="157" t="s">
        <v>4322</v>
      </c>
      <c r="BR601" s="157"/>
    </row>
    <row r="602" spans="1:70" x14ac:dyDescent="0.25">
      <c r="A602" s="19" t="s">
        <v>3686</v>
      </c>
      <c r="B602" s="37" t="s">
        <v>2393</v>
      </c>
      <c r="C602" s="90">
        <v>45160.79824074074</v>
      </c>
      <c r="D602" s="114">
        <v>45160.54824074074</v>
      </c>
      <c r="E602" s="38">
        <v>45160</v>
      </c>
      <c r="F602" s="91">
        <v>2023</v>
      </c>
      <c r="G602" s="93">
        <v>8</v>
      </c>
      <c r="H602" s="37" t="s">
        <v>2381</v>
      </c>
      <c r="I602" s="37" t="s">
        <v>146</v>
      </c>
      <c r="J602" s="103">
        <v>-90.040131599999995</v>
      </c>
      <c r="K602" s="40">
        <v>43.2786057</v>
      </c>
      <c r="L602" s="74"/>
      <c r="M602" s="272" t="s">
        <v>16</v>
      </c>
      <c r="N602" s="74">
        <v>0</v>
      </c>
      <c r="O602" s="94"/>
      <c r="P602" s="118">
        <v>1</v>
      </c>
      <c r="Q602" s="510">
        <v>120</v>
      </c>
      <c r="R602" s="513">
        <v>120</v>
      </c>
      <c r="S602" s="41"/>
      <c r="T602" s="40"/>
      <c r="U602" s="40">
        <v>7.5</v>
      </c>
      <c r="V602" s="119">
        <v>1</v>
      </c>
      <c r="W602" s="40">
        <v>200</v>
      </c>
      <c r="X602" s="119">
        <v>1</v>
      </c>
      <c r="Y602" s="40">
        <v>64</v>
      </c>
      <c r="Z602" s="119">
        <v>1</v>
      </c>
      <c r="AA602" s="368">
        <v>0</v>
      </c>
      <c r="AB602" s="535">
        <v>0</v>
      </c>
      <c r="AC602" s="39" t="s">
        <v>160</v>
      </c>
      <c r="AD602" s="75" t="s">
        <v>16</v>
      </c>
      <c r="AE602" s="95">
        <v>-1</v>
      </c>
      <c r="AF602" s="75">
        <v>-1</v>
      </c>
      <c r="AG602" s="75">
        <v>-1</v>
      </c>
      <c r="AH602" s="75">
        <v>-1</v>
      </c>
      <c r="AI602" s="75">
        <v>-1</v>
      </c>
      <c r="AJ602" s="75">
        <v>-1</v>
      </c>
      <c r="AK602" s="75">
        <v>-1</v>
      </c>
      <c r="AL602" s="95">
        <v>-1</v>
      </c>
      <c r="AM602" s="92">
        <v>1</v>
      </c>
      <c r="AN602" s="79" t="s">
        <v>80</v>
      </c>
      <c r="AO602" s="75">
        <v>1</v>
      </c>
      <c r="AP602" s="75" t="s">
        <v>83</v>
      </c>
      <c r="AQ602" s="122">
        <v>1</v>
      </c>
      <c r="AR602" s="515" t="s">
        <v>16</v>
      </c>
      <c r="AS602" s="95">
        <v>-1</v>
      </c>
      <c r="AT602" s="75">
        <v>-1</v>
      </c>
      <c r="AU602" s="75">
        <v>-1</v>
      </c>
      <c r="AV602" s="75">
        <v>-1</v>
      </c>
      <c r="AW602" s="123">
        <v>1</v>
      </c>
      <c r="AX602" s="516" t="s">
        <v>16</v>
      </c>
      <c r="AY602" s="75">
        <v>0</v>
      </c>
      <c r="AZ602" s="77" t="s">
        <v>5971</v>
      </c>
      <c r="BA602" s="78" t="s">
        <v>5971</v>
      </c>
      <c r="BB602" s="78" t="s">
        <v>5971</v>
      </c>
      <c r="BC602" s="78" t="s">
        <v>5971</v>
      </c>
      <c r="BD602" s="78" t="s">
        <v>5971</v>
      </c>
      <c r="BE602" s="78" t="s">
        <v>5971</v>
      </c>
      <c r="BF602" s="78" t="s">
        <v>5971</v>
      </c>
      <c r="BG602" s="78" t="s">
        <v>5971</v>
      </c>
      <c r="BH602" s="75" t="s">
        <v>5971</v>
      </c>
      <c r="BI602" s="295">
        <v>0</v>
      </c>
      <c r="BJ602" s="546" t="s">
        <v>16</v>
      </c>
      <c r="BK602" s="294" t="s">
        <v>16</v>
      </c>
      <c r="BL602" s="157" t="s">
        <v>16</v>
      </c>
      <c r="BM602" s="548" t="s">
        <v>1345</v>
      </c>
      <c r="BN602" s="548" t="s">
        <v>4160</v>
      </c>
      <c r="BO602" s="157" t="s">
        <v>4323</v>
      </c>
      <c r="BP602" s="548" t="s">
        <v>4324</v>
      </c>
      <c r="BQ602" s="157" t="s">
        <v>4322</v>
      </c>
      <c r="BR602" s="157"/>
    </row>
    <row r="603" spans="1:70" x14ac:dyDescent="0.25">
      <c r="A603" s="19" t="s">
        <v>3686</v>
      </c>
      <c r="B603" s="37" t="s">
        <v>2394</v>
      </c>
      <c r="C603" s="90">
        <v>45160.782337962963</v>
      </c>
      <c r="D603" s="114">
        <v>45160.532337962963</v>
      </c>
      <c r="E603" s="38">
        <v>45160</v>
      </c>
      <c r="F603" s="91">
        <v>2023</v>
      </c>
      <c r="G603" s="93">
        <v>8</v>
      </c>
      <c r="H603" s="37" t="s">
        <v>2381</v>
      </c>
      <c r="I603" s="37" t="s">
        <v>16</v>
      </c>
      <c r="J603" s="103">
        <v>-89.887445200000002</v>
      </c>
      <c r="K603" s="40">
        <v>43.287237400000002</v>
      </c>
      <c r="L603" s="74"/>
      <c r="M603" s="272" t="s">
        <v>16</v>
      </c>
      <c r="N603" s="74">
        <v>0</v>
      </c>
      <c r="O603" s="94"/>
      <c r="P603" s="118">
        <v>1</v>
      </c>
      <c r="Q603" s="510">
        <v>120</v>
      </c>
      <c r="R603" s="513">
        <v>120</v>
      </c>
      <c r="S603" s="41"/>
      <c r="T603" s="40"/>
      <c r="U603" s="40">
        <v>7.5</v>
      </c>
      <c r="V603" s="119">
        <v>0</v>
      </c>
      <c r="W603" s="40"/>
      <c r="X603" s="119">
        <v>0</v>
      </c>
      <c r="Y603" s="40"/>
      <c r="Z603" s="119">
        <v>1</v>
      </c>
      <c r="AA603" s="368">
        <v>0</v>
      </c>
      <c r="AB603" s="535">
        <v>2</v>
      </c>
      <c r="AC603" s="39"/>
      <c r="AD603" s="75" t="s">
        <v>16</v>
      </c>
      <c r="AE603" s="95">
        <v>-1</v>
      </c>
      <c r="AF603" s="75">
        <v>-1</v>
      </c>
      <c r="AG603" s="75">
        <v>-1</v>
      </c>
      <c r="AH603" s="75">
        <v>-1</v>
      </c>
      <c r="AI603" s="75">
        <v>-1</v>
      </c>
      <c r="AJ603" s="75">
        <v>-1</v>
      </c>
      <c r="AK603" s="75">
        <v>-1</v>
      </c>
      <c r="AL603" s="95">
        <v>-1</v>
      </c>
      <c r="AM603" s="92">
        <v>1</v>
      </c>
      <c r="AN603" s="79"/>
      <c r="AO603" s="75">
        <v>0</v>
      </c>
      <c r="AP603" s="75" t="s">
        <v>83</v>
      </c>
      <c r="AQ603" s="122">
        <v>1</v>
      </c>
      <c r="AR603" s="515" t="s">
        <v>16</v>
      </c>
      <c r="AS603" s="95">
        <v>-1</v>
      </c>
      <c r="AT603" s="75">
        <v>-1</v>
      </c>
      <c r="AU603" s="75">
        <v>-1</v>
      </c>
      <c r="AV603" s="75">
        <v>-1</v>
      </c>
      <c r="AW603" s="123">
        <v>1</v>
      </c>
      <c r="AX603" s="516" t="s">
        <v>2395</v>
      </c>
      <c r="AY603" s="75">
        <v>1</v>
      </c>
      <c r="AZ603" s="77" t="s">
        <v>5971</v>
      </c>
      <c r="BA603" s="78" t="s">
        <v>5971</v>
      </c>
      <c r="BB603" s="78" t="s">
        <v>5971</v>
      </c>
      <c r="BC603" s="78" t="s">
        <v>5971</v>
      </c>
      <c r="BD603" s="78" t="s">
        <v>5971</v>
      </c>
      <c r="BE603" s="78" t="s">
        <v>5971</v>
      </c>
      <c r="BF603" s="78" t="s">
        <v>5971</v>
      </c>
      <c r="BG603" s="78" t="s">
        <v>5971</v>
      </c>
      <c r="BH603" s="75" t="s">
        <v>5971</v>
      </c>
      <c r="BI603" s="295" t="s">
        <v>4037</v>
      </c>
      <c r="BJ603" s="546" t="s">
        <v>16</v>
      </c>
      <c r="BK603" s="294" t="s">
        <v>16</v>
      </c>
      <c r="BL603" s="157" t="s">
        <v>16</v>
      </c>
      <c r="BM603" s="548" t="s">
        <v>1346</v>
      </c>
      <c r="BN603" s="548" t="s">
        <v>4160</v>
      </c>
      <c r="BO603" s="157" t="s">
        <v>4388</v>
      </c>
      <c r="BP603" s="548" t="s">
        <v>4076</v>
      </c>
      <c r="BQ603" s="157" t="s">
        <v>4322</v>
      </c>
      <c r="BR603" s="157"/>
    </row>
    <row r="604" spans="1:70" x14ac:dyDescent="0.25">
      <c r="A604" s="19" t="s">
        <v>3686</v>
      </c>
      <c r="B604" s="37" t="s">
        <v>3939</v>
      </c>
      <c r="C604" s="90">
        <v>45160.655439814815</v>
      </c>
      <c r="D604" s="114">
        <v>45160.405439814815</v>
      </c>
      <c r="E604" s="38">
        <v>45160</v>
      </c>
      <c r="F604" s="91">
        <v>2023</v>
      </c>
      <c r="G604" s="93">
        <v>8</v>
      </c>
      <c r="H604" s="37" t="s">
        <v>1401</v>
      </c>
      <c r="I604" s="37" t="s">
        <v>1402</v>
      </c>
      <c r="J604" s="103">
        <v>-92.738138000000006</v>
      </c>
      <c r="K604" s="40">
        <v>44.563296700000002</v>
      </c>
      <c r="L604" s="74"/>
      <c r="M604" s="272" t="s">
        <v>16</v>
      </c>
      <c r="N604" s="74">
        <v>0</v>
      </c>
      <c r="O604" s="94"/>
      <c r="P604" s="118">
        <v>1</v>
      </c>
      <c r="Q604" s="510">
        <v>0</v>
      </c>
      <c r="R604" s="513">
        <v>0</v>
      </c>
      <c r="S604" s="41"/>
      <c r="T604" s="40"/>
      <c r="U604" s="40">
        <v>6.5</v>
      </c>
      <c r="V604" s="119">
        <v>1</v>
      </c>
      <c r="W604" s="40">
        <v>0</v>
      </c>
      <c r="X604" s="119">
        <v>1</v>
      </c>
      <c r="Y604" s="40">
        <v>61</v>
      </c>
      <c r="Z604" s="119">
        <v>1</v>
      </c>
      <c r="AA604" s="368">
        <v>0</v>
      </c>
      <c r="AB604" s="535">
        <v>0</v>
      </c>
      <c r="AC604" s="39" t="s">
        <v>160</v>
      </c>
      <c r="AD604" s="75" t="s">
        <v>10</v>
      </c>
      <c r="AE604" s="95">
        <v>0</v>
      </c>
      <c r="AF604" s="75">
        <v>0</v>
      </c>
      <c r="AG604" s="75">
        <v>0</v>
      </c>
      <c r="AH604" s="75">
        <v>0</v>
      </c>
      <c r="AI604" s="75">
        <v>0</v>
      </c>
      <c r="AJ604" s="75">
        <v>0</v>
      </c>
      <c r="AK604" s="75">
        <v>0</v>
      </c>
      <c r="AL604" s="95">
        <v>1</v>
      </c>
      <c r="AM604" s="92">
        <v>0</v>
      </c>
      <c r="AN604" s="79" t="s">
        <v>80</v>
      </c>
      <c r="AO604" s="75">
        <v>1</v>
      </c>
      <c r="AP604" s="75" t="s">
        <v>83</v>
      </c>
      <c r="AQ604" s="122">
        <v>1</v>
      </c>
      <c r="AR604" s="515" t="s">
        <v>10</v>
      </c>
      <c r="AS604" s="95">
        <v>0</v>
      </c>
      <c r="AT604" s="75">
        <v>0</v>
      </c>
      <c r="AU604" s="75">
        <v>0</v>
      </c>
      <c r="AV604" s="75">
        <v>0</v>
      </c>
      <c r="AW604" s="123">
        <v>0</v>
      </c>
      <c r="AX604" s="516"/>
      <c r="AY604" s="75">
        <v>0</v>
      </c>
      <c r="AZ604" s="77" t="s">
        <v>131</v>
      </c>
      <c r="BA604" s="78" t="s">
        <v>131</v>
      </c>
      <c r="BB604" s="78" t="s">
        <v>131</v>
      </c>
      <c r="BC604" s="78" t="s">
        <v>131</v>
      </c>
      <c r="BD604" s="78" t="s">
        <v>131</v>
      </c>
      <c r="BE604" s="78" t="s">
        <v>131</v>
      </c>
      <c r="BF604" s="78" t="s">
        <v>131</v>
      </c>
      <c r="BG604" s="78" t="s">
        <v>132</v>
      </c>
      <c r="BH604" s="75" t="s">
        <v>5970</v>
      </c>
      <c r="BI604" s="295" t="s">
        <v>2224</v>
      </c>
      <c r="BJ604" s="546" t="s">
        <v>16</v>
      </c>
      <c r="BK604" s="294" t="s">
        <v>16</v>
      </c>
      <c r="BL604" s="157" t="s">
        <v>16</v>
      </c>
      <c r="BM604" s="548" t="s">
        <v>2343</v>
      </c>
      <c r="BN604" s="548" t="s">
        <v>4161</v>
      </c>
      <c r="BO604" s="157" t="s">
        <v>4390</v>
      </c>
      <c r="BP604" s="548" t="s">
        <v>4391</v>
      </c>
      <c r="BQ604" s="157" t="s">
        <v>4389</v>
      </c>
      <c r="BR604" s="157"/>
    </row>
    <row r="605" spans="1:70" x14ac:dyDescent="0.25">
      <c r="A605" s="19" t="s">
        <v>3686</v>
      </c>
      <c r="B605" s="37" t="s">
        <v>2396</v>
      </c>
      <c r="C605" s="90">
        <v>45159.909756944442</v>
      </c>
      <c r="D605" s="114">
        <v>45159.659756944442</v>
      </c>
      <c r="E605" s="38">
        <v>45159</v>
      </c>
      <c r="F605" s="91">
        <v>2023</v>
      </c>
      <c r="G605" s="93">
        <v>8</v>
      </c>
      <c r="H605" s="37" t="s">
        <v>379</v>
      </c>
      <c r="I605" s="37" t="s">
        <v>642</v>
      </c>
      <c r="J605" s="103">
        <v>-92.583453450884704</v>
      </c>
      <c r="K605" s="40">
        <v>44.84879058927352</v>
      </c>
      <c r="L605" s="74"/>
      <c r="M605" s="272" t="s">
        <v>2397</v>
      </c>
      <c r="N605" s="74">
        <v>1</v>
      </c>
      <c r="O605" s="94"/>
      <c r="P605" s="118">
        <v>1</v>
      </c>
      <c r="Q605" s="510">
        <v>180</v>
      </c>
      <c r="R605" s="513">
        <v>180</v>
      </c>
      <c r="S605" s="41"/>
      <c r="T605" s="40"/>
      <c r="U605" s="40">
        <v>8</v>
      </c>
      <c r="V605" s="119">
        <v>0</v>
      </c>
      <c r="W605" s="40"/>
      <c r="X605" s="119">
        <v>1</v>
      </c>
      <c r="Y605" s="40">
        <v>56</v>
      </c>
      <c r="Z605" s="119">
        <v>1</v>
      </c>
      <c r="AA605" s="368">
        <v>0</v>
      </c>
      <c r="AB605" s="535">
        <v>2</v>
      </c>
      <c r="AC605" s="39" t="s">
        <v>160</v>
      </c>
      <c r="AD605" s="75" t="s">
        <v>427</v>
      </c>
      <c r="AE605" s="95">
        <v>0</v>
      </c>
      <c r="AF605" s="75">
        <v>0</v>
      </c>
      <c r="AG605" s="75">
        <v>0</v>
      </c>
      <c r="AH605" s="75">
        <v>0</v>
      </c>
      <c r="AI605" s="75">
        <v>0</v>
      </c>
      <c r="AJ605" s="75">
        <v>1</v>
      </c>
      <c r="AK605" s="75">
        <v>0</v>
      </c>
      <c r="AL605" s="95">
        <v>0</v>
      </c>
      <c r="AM605" s="92">
        <v>0</v>
      </c>
      <c r="AN605" s="79"/>
      <c r="AO605" s="75">
        <v>0</v>
      </c>
      <c r="AP605" s="75"/>
      <c r="AQ605" s="122">
        <v>0</v>
      </c>
      <c r="AR605" s="515" t="s">
        <v>16</v>
      </c>
      <c r="AS605" s="95">
        <v>-1</v>
      </c>
      <c r="AT605" s="75">
        <v>-1</v>
      </c>
      <c r="AU605" s="75">
        <v>-1</v>
      </c>
      <c r="AV605" s="75">
        <v>-1</v>
      </c>
      <c r="AW605" s="123">
        <v>1</v>
      </c>
      <c r="AX605" s="516" t="s">
        <v>2398</v>
      </c>
      <c r="AY605" s="75">
        <v>1</v>
      </c>
      <c r="AZ605" s="77" t="s">
        <v>131</v>
      </c>
      <c r="BA605" s="78" t="s">
        <v>131</v>
      </c>
      <c r="BB605" s="78" t="s">
        <v>131</v>
      </c>
      <c r="BC605" s="78" t="s">
        <v>131</v>
      </c>
      <c r="BD605" s="78" t="s">
        <v>131</v>
      </c>
      <c r="BE605" s="78" t="s">
        <v>132</v>
      </c>
      <c r="BF605" s="78" t="s">
        <v>131</v>
      </c>
      <c r="BG605" s="78" t="s">
        <v>131</v>
      </c>
      <c r="BH605" s="75" t="s">
        <v>5970</v>
      </c>
      <c r="BI605" s="295" t="s">
        <v>2226</v>
      </c>
      <c r="BJ605" s="546">
        <v>1</v>
      </c>
      <c r="BK605" s="294">
        <v>1</v>
      </c>
      <c r="BL605" s="157">
        <v>1</v>
      </c>
      <c r="BM605" s="548" t="s">
        <v>578</v>
      </c>
      <c r="BN605" s="548" t="s">
        <v>578</v>
      </c>
      <c r="BO605" s="157" t="s">
        <v>4310</v>
      </c>
      <c r="BP605" s="548" t="s">
        <v>2226</v>
      </c>
      <c r="BQ605" s="157" t="s">
        <v>4309</v>
      </c>
      <c r="BR605" s="157"/>
    </row>
    <row r="606" spans="1:70" x14ac:dyDescent="0.25">
      <c r="A606" s="19" t="s">
        <v>3686</v>
      </c>
      <c r="B606" s="37" t="s">
        <v>2399</v>
      </c>
      <c r="C606" s="90">
        <v>45159.517476851855</v>
      </c>
      <c r="D606" s="114">
        <v>45159.267476851855</v>
      </c>
      <c r="E606" s="38">
        <v>45159</v>
      </c>
      <c r="F606" s="91">
        <v>2023</v>
      </c>
      <c r="G606" s="93">
        <v>8</v>
      </c>
      <c r="H606" s="37" t="s">
        <v>2400</v>
      </c>
      <c r="I606" s="37"/>
      <c r="J606" s="103">
        <v>-90.397463200000004</v>
      </c>
      <c r="K606" s="40">
        <v>43.369614300000002</v>
      </c>
      <c r="L606" s="74"/>
      <c r="M606" s="272" t="s">
        <v>16</v>
      </c>
      <c r="N606" s="74">
        <v>0</v>
      </c>
      <c r="O606" s="94"/>
      <c r="P606" s="118">
        <v>1</v>
      </c>
      <c r="Q606" s="510">
        <v>180</v>
      </c>
      <c r="R606" s="513">
        <v>180</v>
      </c>
      <c r="S606" s="41"/>
      <c r="T606" s="40"/>
      <c r="U606" s="40">
        <v>7.5</v>
      </c>
      <c r="V606" s="119">
        <v>1</v>
      </c>
      <c r="W606" s="40">
        <v>0</v>
      </c>
      <c r="X606" s="119">
        <v>1</v>
      </c>
      <c r="Y606" s="40">
        <v>61</v>
      </c>
      <c r="Z606" s="119">
        <v>1</v>
      </c>
      <c r="AA606" s="368">
        <v>0</v>
      </c>
      <c r="AB606" s="535">
        <v>0</v>
      </c>
      <c r="AC606" s="39" t="s">
        <v>160</v>
      </c>
      <c r="AD606" s="75" t="s">
        <v>16</v>
      </c>
      <c r="AE606" s="95">
        <v>-1</v>
      </c>
      <c r="AF606" s="75">
        <v>-1</v>
      </c>
      <c r="AG606" s="75">
        <v>-1</v>
      </c>
      <c r="AH606" s="75">
        <v>-1</v>
      </c>
      <c r="AI606" s="75">
        <v>-1</v>
      </c>
      <c r="AJ606" s="75">
        <v>-1</v>
      </c>
      <c r="AK606" s="75">
        <v>-1</v>
      </c>
      <c r="AL606" s="95">
        <v>-1</v>
      </c>
      <c r="AM606" s="92">
        <v>1</v>
      </c>
      <c r="AN606" s="79" t="s">
        <v>80</v>
      </c>
      <c r="AO606" s="75">
        <v>1</v>
      </c>
      <c r="AP606" s="75" t="s">
        <v>84</v>
      </c>
      <c r="AQ606" s="122">
        <v>1</v>
      </c>
      <c r="AR606" s="515" t="s">
        <v>10</v>
      </c>
      <c r="AS606" s="95">
        <v>0</v>
      </c>
      <c r="AT606" s="75">
        <v>0</v>
      </c>
      <c r="AU606" s="75">
        <v>0</v>
      </c>
      <c r="AV606" s="75">
        <v>0</v>
      </c>
      <c r="AW606" s="123">
        <v>0</v>
      </c>
      <c r="AX606" s="516"/>
      <c r="AY606" s="75">
        <v>0</v>
      </c>
      <c r="AZ606" s="77" t="s">
        <v>5971</v>
      </c>
      <c r="BA606" s="78" t="s">
        <v>5971</v>
      </c>
      <c r="BB606" s="78" t="s">
        <v>5971</v>
      </c>
      <c r="BC606" s="78" t="s">
        <v>5971</v>
      </c>
      <c r="BD606" s="78" t="s">
        <v>5971</v>
      </c>
      <c r="BE606" s="78" t="s">
        <v>5971</v>
      </c>
      <c r="BF606" s="78" t="s">
        <v>5971</v>
      </c>
      <c r="BG606" s="78" t="s">
        <v>5971</v>
      </c>
      <c r="BH606" s="75" t="s">
        <v>5971</v>
      </c>
      <c r="BI606" s="295" t="s">
        <v>4089</v>
      </c>
      <c r="BJ606" s="546">
        <v>1</v>
      </c>
      <c r="BK606" s="294" t="s">
        <v>16</v>
      </c>
      <c r="BL606" s="157" t="s">
        <v>16</v>
      </c>
      <c r="BM606" s="548" t="s">
        <v>1342</v>
      </c>
      <c r="BN606" s="548" t="s">
        <v>4158</v>
      </c>
      <c r="BO606" s="157" t="s">
        <v>4393</v>
      </c>
      <c r="BP606" s="548" t="s">
        <v>4394</v>
      </c>
      <c r="BQ606" s="157" t="s">
        <v>4392</v>
      </c>
      <c r="BR606" s="157"/>
    </row>
    <row r="607" spans="1:70" x14ac:dyDescent="0.25">
      <c r="A607" s="19" t="s">
        <v>3686</v>
      </c>
      <c r="B607" s="37" t="s">
        <v>2401</v>
      </c>
      <c r="C607" s="90">
        <v>45159.494895833333</v>
      </c>
      <c r="D607" s="114">
        <v>45159.244895833333</v>
      </c>
      <c r="E607" s="38">
        <v>45159</v>
      </c>
      <c r="F607" s="91">
        <v>2023</v>
      </c>
      <c r="G607" s="93">
        <v>8</v>
      </c>
      <c r="H607" s="37" t="s">
        <v>2400</v>
      </c>
      <c r="I607" s="37"/>
      <c r="J607" s="103">
        <v>-90.384382900000006</v>
      </c>
      <c r="K607" s="40">
        <v>43.373379300000003</v>
      </c>
      <c r="L607" s="74"/>
      <c r="M607" s="272" t="s">
        <v>16</v>
      </c>
      <c r="N607" s="74">
        <v>0</v>
      </c>
      <c r="O607" s="94"/>
      <c r="P607" s="118">
        <v>1</v>
      </c>
      <c r="Q607" s="510">
        <v>180</v>
      </c>
      <c r="R607" s="513">
        <v>180</v>
      </c>
      <c r="S607" s="41"/>
      <c r="T607" s="40"/>
      <c r="U607" s="40">
        <v>8</v>
      </c>
      <c r="V607" s="119">
        <v>1</v>
      </c>
      <c r="W607" s="40">
        <v>0</v>
      </c>
      <c r="X607" s="119">
        <v>1</v>
      </c>
      <c r="Y607" s="40">
        <v>69</v>
      </c>
      <c r="Z607" s="119">
        <v>1</v>
      </c>
      <c r="AA607" s="368">
        <v>0</v>
      </c>
      <c r="AB607" s="535">
        <v>1</v>
      </c>
      <c r="AC607" s="39" t="s">
        <v>160</v>
      </c>
      <c r="AD607" s="75" t="s">
        <v>10</v>
      </c>
      <c r="AE607" s="95">
        <v>0</v>
      </c>
      <c r="AF607" s="75">
        <v>0</v>
      </c>
      <c r="AG607" s="75">
        <v>0</v>
      </c>
      <c r="AH607" s="75">
        <v>0</v>
      </c>
      <c r="AI607" s="75">
        <v>0</v>
      </c>
      <c r="AJ607" s="75">
        <v>0</v>
      </c>
      <c r="AK607" s="75">
        <v>0</v>
      </c>
      <c r="AL607" s="95">
        <v>1</v>
      </c>
      <c r="AM607" s="92">
        <v>0</v>
      </c>
      <c r="AN607" s="79" t="s">
        <v>80</v>
      </c>
      <c r="AO607" s="75">
        <v>1</v>
      </c>
      <c r="AP607" s="75" t="s">
        <v>84</v>
      </c>
      <c r="AQ607" s="122">
        <v>1</v>
      </c>
      <c r="AR607" s="515" t="s">
        <v>10</v>
      </c>
      <c r="AS607" s="95">
        <v>0</v>
      </c>
      <c r="AT607" s="75">
        <v>0</v>
      </c>
      <c r="AU607" s="75">
        <v>0</v>
      </c>
      <c r="AV607" s="75">
        <v>0</v>
      </c>
      <c r="AW607" s="123">
        <v>0</v>
      </c>
      <c r="AX607" s="516"/>
      <c r="AY607" s="75">
        <v>0</v>
      </c>
      <c r="AZ607" s="77" t="s">
        <v>131</v>
      </c>
      <c r="BA607" s="78" t="s">
        <v>131</v>
      </c>
      <c r="BB607" s="78" t="s">
        <v>131</v>
      </c>
      <c r="BC607" s="78" t="s">
        <v>131</v>
      </c>
      <c r="BD607" s="78" t="s">
        <v>131</v>
      </c>
      <c r="BE607" s="78" t="s">
        <v>131</v>
      </c>
      <c r="BF607" s="78" t="s">
        <v>131</v>
      </c>
      <c r="BG607" s="78" t="s">
        <v>132</v>
      </c>
      <c r="BH607" s="75" t="s">
        <v>5970</v>
      </c>
      <c r="BI607" s="295" t="s">
        <v>4072</v>
      </c>
      <c r="BJ607" s="546">
        <v>1</v>
      </c>
      <c r="BK607" s="294" t="s">
        <v>16</v>
      </c>
      <c r="BL607" s="157" t="s">
        <v>16</v>
      </c>
      <c r="BM607" s="548" t="s">
        <v>1342</v>
      </c>
      <c r="BN607" s="548" t="s">
        <v>4158</v>
      </c>
      <c r="BO607" s="157" t="s">
        <v>4393</v>
      </c>
      <c r="BP607" s="548" t="s">
        <v>4394</v>
      </c>
      <c r="BQ607" s="157" t="s">
        <v>4392</v>
      </c>
      <c r="BR607" s="157"/>
    </row>
    <row r="608" spans="1:70" x14ac:dyDescent="0.25">
      <c r="A608" s="19" t="s">
        <v>3686</v>
      </c>
      <c r="B608" s="37" t="s">
        <v>2402</v>
      </c>
      <c r="C608" s="90">
        <v>45158.914050925923</v>
      </c>
      <c r="D608" s="114">
        <v>45158.664050925923</v>
      </c>
      <c r="E608" s="38">
        <v>45158</v>
      </c>
      <c r="F608" s="91">
        <v>2023</v>
      </c>
      <c r="G608" s="93">
        <v>8</v>
      </c>
      <c r="H608" s="37" t="s">
        <v>1410</v>
      </c>
      <c r="I608" s="37" t="s">
        <v>1411</v>
      </c>
      <c r="J608" s="103">
        <v>-93.232710374745182</v>
      </c>
      <c r="K608" s="40">
        <v>44.846295637008431</v>
      </c>
      <c r="L608" s="74"/>
      <c r="M608" s="272" t="s">
        <v>16</v>
      </c>
      <c r="N608" s="74">
        <v>0</v>
      </c>
      <c r="O608" s="94"/>
      <c r="P608" s="118">
        <v>1</v>
      </c>
      <c r="Q608" s="510">
        <v>120</v>
      </c>
      <c r="R608" s="513">
        <v>120</v>
      </c>
      <c r="S608" s="41"/>
      <c r="T608" s="40"/>
      <c r="U608" s="40">
        <v>8</v>
      </c>
      <c r="V608" s="119">
        <v>1</v>
      </c>
      <c r="W608" s="40">
        <v>0</v>
      </c>
      <c r="X608" s="119">
        <v>1</v>
      </c>
      <c r="Y608" s="40">
        <v>61</v>
      </c>
      <c r="Z608" s="119">
        <v>1</v>
      </c>
      <c r="AA608" s="368">
        <v>0</v>
      </c>
      <c r="AB608" s="535">
        <v>1</v>
      </c>
      <c r="AC608" s="39" t="s">
        <v>160</v>
      </c>
      <c r="AD608" s="75" t="s">
        <v>10</v>
      </c>
      <c r="AE608" s="95">
        <v>0</v>
      </c>
      <c r="AF608" s="75">
        <v>0</v>
      </c>
      <c r="AG608" s="75">
        <v>0</v>
      </c>
      <c r="AH608" s="75">
        <v>0</v>
      </c>
      <c r="AI608" s="75">
        <v>0</v>
      </c>
      <c r="AJ608" s="75">
        <v>0</v>
      </c>
      <c r="AK608" s="75">
        <v>0</v>
      </c>
      <c r="AL608" s="95">
        <v>1</v>
      </c>
      <c r="AM608" s="92">
        <v>0</v>
      </c>
      <c r="AN608" s="79" t="s">
        <v>80</v>
      </c>
      <c r="AO608" s="75">
        <v>1</v>
      </c>
      <c r="AP608" s="75" t="s">
        <v>83</v>
      </c>
      <c r="AQ608" s="122">
        <v>1</v>
      </c>
      <c r="AR608" s="515" t="s">
        <v>10</v>
      </c>
      <c r="AS608" s="95">
        <v>0</v>
      </c>
      <c r="AT608" s="75">
        <v>0</v>
      </c>
      <c r="AU608" s="75">
        <v>0</v>
      </c>
      <c r="AV608" s="75">
        <v>0</v>
      </c>
      <c r="AW608" s="123">
        <v>0</v>
      </c>
      <c r="AX608" s="516" t="s">
        <v>2403</v>
      </c>
      <c r="AY608" s="75">
        <v>1</v>
      </c>
      <c r="AZ608" s="77" t="s">
        <v>131</v>
      </c>
      <c r="BA608" s="78" t="s">
        <v>131</v>
      </c>
      <c r="BB608" s="78" t="s">
        <v>131</v>
      </c>
      <c r="BC608" s="78" t="s">
        <v>131</v>
      </c>
      <c r="BD608" s="78" t="s">
        <v>131</v>
      </c>
      <c r="BE608" s="78" t="s">
        <v>131</v>
      </c>
      <c r="BF608" s="78" t="s">
        <v>131</v>
      </c>
      <c r="BG608" s="78" t="s">
        <v>132</v>
      </c>
      <c r="BH608" s="75" t="s">
        <v>5970</v>
      </c>
      <c r="BI608" s="295" t="s">
        <v>16</v>
      </c>
      <c r="BJ608" s="546" t="s">
        <v>16</v>
      </c>
      <c r="BK608" s="294" t="s">
        <v>16</v>
      </c>
      <c r="BL608" s="157" t="s">
        <v>16</v>
      </c>
      <c r="BM608" s="548" t="s">
        <v>2343</v>
      </c>
      <c r="BN608" s="548" t="s">
        <v>4161</v>
      </c>
      <c r="BO608" s="157" t="s">
        <v>4327</v>
      </c>
      <c r="BP608" s="548" t="s">
        <v>4314</v>
      </c>
      <c r="BQ608" s="157" t="s">
        <v>4312</v>
      </c>
      <c r="BR608" s="157"/>
    </row>
    <row r="609" spans="1:70" x14ac:dyDescent="0.25">
      <c r="A609" s="19" t="s">
        <v>3686</v>
      </c>
      <c r="B609" s="37" t="s">
        <v>2404</v>
      </c>
      <c r="C609" s="90">
        <v>45158.835474537038</v>
      </c>
      <c r="D609" s="114">
        <v>45158.585474537038</v>
      </c>
      <c r="E609" s="38">
        <v>45158</v>
      </c>
      <c r="F609" s="91">
        <v>2023</v>
      </c>
      <c r="G609" s="93">
        <v>8</v>
      </c>
      <c r="H609" s="37" t="s">
        <v>201</v>
      </c>
      <c r="I609" s="37"/>
      <c r="J609" s="103">
        <v>-92.732079630671507</v>
      </c>
      <c r="K609" s="40">
        <v>44.831133791153555</v>
      </c>
      <c r="L609" s="74"/>
      <c r="M609" s="272" t="s">
        <v>16</v>
      </c>
      <c r="N609" s="74">
        <v>0</v>
      </c>
      <c r="O609" s="94"/>
      <c r="P609" s="118">
        <v>1</v>
      </c>
      <c r="Q609" s="510">
        <v>180</v>
      </c>
      <c r="R609" s="513">
        <v>180</v>
      </c>
      <c r="S609" s="41"/>
      <c r="T609" s="40"/>
      <c r="U609" s="40">
        <v>8</v>
      </c>
      <c r="V609" s="119">
        <v>1</v>
      </c>
      <c r="W609" s="40">
        <v>0</v>
      </c>
      <c r="X609" s="119">
        <v>1</v>
      </c>
      <c r="Y609" s="40">
        <v>67</v>
      </c>
      <c r="Z609" s="119">
        <v>1</v>
      </c>
      <c r="AA609" s="368">
        <v>0</v>
      </c>
      <c r="AB609" s="535">
        <v>5</v>
      </c>
      <c r="AC609" s="39" t="s">
        <v>160</v>
      </c>
      <c r="AD609" s="75" t="s">
        <v>8</v>
      </c>
      <c r="AE609" s="95">
        <v>0</v>
      </c>
      <c r="AF609" s="75">
        <v>1</v>
      </c>
      <c r="AG609" s="75">
        <v>0</v>
      </c>
      <c r="AH609" s="75">
        <v>0</v>
      </c>
      <c r="AI609" s="75">
        <v>0</v>
      </c>
      <c r="AJ609" s="75">
        <v>0</v>
      </c>
      <c r="AK609" s="75">
        <v>0</v>
      </c>
      <c r="AL609" s="95">
        <v>0</v>
      </c>
      <c r="AM609" s="92">
        <v>0</v>
      </c>
      <c r="AN609" s="79" t="s">
        <v>80</v>
      </c>
      <c r="AO609" s="75">
        <v>1</v>
      </c>
      <c r="AP609" s="75" t="s">
        <v>83</v>
      </c>
      <c r="AQ609" s="122">
        <v>1</v>
      </c>
      <c r="AR609" s="515" t="s">
        <v>10</v>
      </c>
      <c r="AS609" s="95">
        <v>0</v>
      </c>
      <c r="AT609" s="75">
        <v>0</v>
      </c>
      <c r="AU609" s="75">
        <v>0</v>
      </c>
      <c r="AV609" s="75">
        <v>0</v>
      </c>
      <c r="AW609" s="123">
        <v>0</v>
      </c>
      <c r="AX609" s="516" t="s">
        <v>2405</v>
      </c>
      <c r="AY609" s="75">
        <v>1</v>
      </c>
      <c r="AZ609" s="77" t="s">
        <v>131</v>
      </c>
      <c r="BA609" s="78" t="s">
        <v>132</v>
      </c>
      <c r="BB609" s="78" t="s">
        <v>131</v>
      </c>
      <c r="BC609" s="78" t="s">
        <v>131</v>
      </c>
      <c r="BD609" s="78" t="s">
        <v>131</v>
      </c>
      <c r="BE609" s="78" t="s">
        <v>131</v>
      </c>
      <c r="BF609" s="78" t="s">
        <v>131</v>
      </c>
      <c r="BG609" s="78" t="s">
        <v>131</v>
      </c>
      <c r="BH609" s="75" t="s">
        <v>5970</v>
      </c>
      <c r="BI609" s="295" t="s">
        <v>2227</v>
      </c>
      <c r="BJ609" s="546">
        <v>1</v>
      </c>
      <c r="BK609" s="294" t="s">
        <v>16</v>
      </c>
      <c r="BL609" s="157" t="s">
        <v>16</v>
      </c>
      <c r="BM609" s="548" t="s">
        <v>578</v>
      </c>
      <c r="BN609" s="548" t="s">
        <v>578</v>
      </c>
      <c r="BO609" s="157" t="s">
        <v>4341</v>
      </c>
      <c r="BP609" s="548" t="s">
        <v>4343</v>
      </c>
      <c r="BQ609" s="157" t="s">
        <v>4309</v>
      </c>
      <c r="BR609" s="157"/>
    </row>
    <row r="610" spans="1:70" x14ac:dyDescent="0.25">
      <c r="A610" s="19" t="s">
        <v>3686</v>
      </c>
      <c r="B610" s="37" t="s">
        <v>2406</v>
      </c>
      <c r="C610" s="90">
        <v>45157.651203703703</v>
      </c>
      <c r="D610" s="114">
        <v>45157.401203703703</v>
      </c>
      <c r="E610" s="38">
        <v>45157</v>
      </c>
      <c r="F610" s="91">
        <v>2023</v>
      </c>
      <c r="G610" s="93">
        <v>8</v>
      </c>
      <c r="H610" s="37" t="s">
        <v>966</v>
      </c>
      <c r="I610" s="37" t="s">
        <v>959</v>
      </c>
      <c r="J610" s="103">
        <v>-92.587053207789936</v>
      </c>
      <c r="K610" s="40">
        <v>44.478872349126966</v>
      </c>
      <c r="L610" s="74"/>
      <c r="M610" s="272" t="s">
        <v>2407</v>
      </c>
      <c r="N610" s="74">
        <v>1</v>
      </c>
      <c r="O610" s="94"/>
      <c r="P610" s="118">
        <v>0</v>
      </c>
      <c r="Q610" s="510"/>
      <c r="R610" s="513"/>
      <c r="S610" s="41"/>
      <c r="T610" s="40"/>
      <c r="U610" s="40"/>
      <c r="V610" s="119">
        <v>1</v>
      </c>
      <c r="W610" s="40">
        <v>100</v>
      </c>
      <c r="X610" s="119">
        <v>1</v>
      </c>
      <c r="Y610" s="40">
        <v>57</v>
      </c>
      <c r="Z610" s="119">
        <v>1</v>
      </c>
      <c r="AA610" s="368">
        <v>0</v>
      </c>
      <c r="AB610" s="535">
        <v>5</v>
      </c>
      <c r="AC610" s="39"/>
      <c r="AD610" s="75" t="s">
        <v>10</v>
      </c>
      <c r="AE610" s="95">
        <v>0</v>
      </c>
      <c r="AF610" s="75">
        <v>0</v>
      </c>
      <c r="AG610" s="75">
        <v>0</v>
      </c>
      <c r="AH610" s="75">
        <v>0</v>
      </c>
      <c r="AI610" s="75">
        <v>0</v>
      </c>
      <c r="AJ610" s="75">
        <v>0</v>
      </c>
      <c r="AK610" s="75">
        <v>0</v>
      </c>
      <c r="AL610" s="95">
        <v>1</v>
      </c>
      <c r="AM610" s="92">
        <v>0</v>
      </c>
      <c r="AN610" s="79" t="s">
        <v>195</v>
      </c>
      <c r="AO610" s="75">
        <v>1</v>
      </c>
      <c r="AP610" s="75" t="s">
        <v>83</v>
      </c>
      <c r="AQ610" s="122">
        <v>1</v>
      </c>
      <c r="AR610" s="515" t="s">
        <v>13</v>
      </c>
      <c r="AS610" s="95">
        <v>1</v>
      </c>
      <c r="AT610" s="75">
        <v>0</v>
      </c>
      <c r="AU610" s="75">
        <v>0</v>
      </c>
      <c r="AV610" s="75">
        <v>0</v>
      </c>
      <c r="AW610" s="123">
        <v>0</v>
      </c>
      <c r="AX610" s="516" t="s">
        <v>2408</v>
      </c>
      <c r="AY610" s="75">
        <v>1</v>
      </c>
      <c r="AZ610" s="77" t="s">
        <v>131</v>
      </c>
      <c r="BA610" s="78" t="s">
        <v>131</v>
      </c>
      <c r="BB610" s="78" t="s">
        <v>131</v>
      </c>
      <c r="BC610" s="78" t="s">
        <v>131</v>
      </c>
      <c r="BD610" s="78" t="s">
        <v>131</v>
      </c>
      <c r="BE610" s="78" t="s">
        <v>131</v>
      </c>
      <c r="BF610" s="78" t="s">
        <v>131</v>
      </c>
      <c r="BG610" s="78" t="s">
        <v>132</v>
      </c>
      <c r="BH610" s="75" t="s">
        <v>5970</v>
      </c>
      <c r="BI610" s="295" t="s">
        <v>2238</v>
      </c>
      <c r="BJ610" s="546">
        <v>1</v>
      </c>
      <c r="BK610" s="294" t="s">
        <v>16</v>
      </c>
      <c r="BL610" s="157" t="s">
        <v>16</v>
      </c>
      <c r="BM610" s="548" t="s">
        <v>2343</v>
      </c>
      <c r="BN610" s="548" t="s">
        <v>4161</v>
      </c>
      <c r="BO610" s="157" t="s">
        <v>4308</v>
      </c>
      <c r="BP610" s="548" t="s">
        <v>2238</v>
      </c>
      <c r="BQ610" s="157" t="s">
        <v>4307</v>
      </c>
      <c r="BR610" s="157"/>
    </row>
    <row r="611" spans="1:70" x14ac:dyDescent="0.25">
      <c r="A611" s="19" t="s">
        <v>3686</v>
      </c>
      <c r="B611" s="37" t="s">
        <v>2409</v>
      </c>
      <c r="C611" s="90">
        <v>45156.841122685182</v>
      </c>
      <c r="D611" s="114">
        <v>45156.591122685182</v>
      </c>
      <c r="E611" s="38">
        <v>45156</v>
      </c>
      <c r="F611" s="91">
        <v>2023</v>
      </c>
      <c r="G611" s="93">
        <v>8</v>
      </c>
      <c r="H611" s="37" t="s">
        <v>2410</v>
      </c>
      <c r="I611" s="37"/>
      <c r="J611" s="103">
        <v>-92.621245301133754</v>
      </c>
      <c r="K611" s="40">
        <v>44.875087653631986</v>
      </c>
      <c r="L611" s="74"/>
      <c r="M611" s="272" t="s">
        <v>16</v>
      </c>
      <c r="N611" s="74">
        <v>0</v>
      </c>
      <c r="O611" s="94"/>
      <c r="P611" s="118">
        <v>0</v>
      </c>
      <c r="Q611" s="510"/>
      <c r="R611" s="513"/>
      <c r="S611" s="41"/>
      <c r="T611" s="40"/>
      <c r="U611" s="40"/>
      <c r="V611" s="119">
        <v>0</v>
      </c>
      <c r="W611" s="40"/>
      <c r="X611" s="119">
        <v>0</v>
      </c>
      <c r="Y611" s="40"/>
      <c r="Z611" s="119">
        <v>1</v>
      </c>
      <c r="AA611" s="368">
        <v>0</v>
      </c>
      <c r="AB611" s="535">
        <v>10</v>
      </c>
      <c r="AC611" s="39"/>
      <c r="AD611" s="75" t="s">
        <v>16</v>
      </c>
      <c r="AE611" s="95">
        <v>-1</v>
      </c>
      <c r="AF611" s="75">
        <v>-1</v>
      </c>
      <c r="AG611" s="75">
        <v>-1</v>
      </c>
      <c r="AH611" s="75">
        <v>-1</v>
      </c>
      <c r="AI611" s="75">
        <v>-1</v>
      </c>
      <c r="AJ611" s="75">
        <v>-1</v>
      </c>
      <c r="AK611" s="75">
        <v>-1</v>
      </c>
      <c r="AL611" s="95">
        <v>-1</v>
      </c>
      <c r="AM611" s="92">
        <v>1</v>
      </c>
      <c r="AN611" s="79"/>
      <c r="AO611" s="75">
        <v>0</v>
      </c>
      <c r="AP611" s="75"/>
      <c r="AQ611" s="122">
        <v>0</v>
      </c>
      <c r="AR611" s="515" t="s">
        <v>16</v>
      </c>
      <c r="AS611" s="95">
        <v>-1</v>
      </c>
      <c r="AT611" s="75">
        <v>-1</v>
      </c>
      <c r="AU611" s="75">
        <v>-1</v>
      </c>
      <c r="AV611" s="75">
        <v>-1</v>
      </c>
      <c r="AW611" s="123">
        <v>1</v>
      </c>
      <c r="AX611" s="516"/>
      <c r="AY611" s="75">
        <v>0</v>
      </c>
      <c r="AZ611" s="77" t="s">
        <v>5971</v>
      </c>
      <c r="BA611" s="78" t="s">
        <v>5971</v>
      </c>
      <c r="BB611" s="78" t="s">
        <v>5971</v>
      </c>
      <c r="BC611" s="78" t="s">
        <v>5971</v>
      </c>
      <c r="BD611" s="78" t="s">
        <v>5971</v>
      </c>
      <c r="BE611" s="78" t="s">
        <v>5971</v>
      </c>
      <c r="BF611" s="78" t="s">
        <v>5971</v>
      </c>
      <c r="BG611" s="78" t="s">
        <v>5971</v>
      </c>
      <c r="BH611" s="75" t="s">
        <v>5971</v>
      </c>
      <c r="BI611" s="295" t="s">
        <v>2227</v>
      </c>
      <c r="BJ611" s="546">
        <v>1</v>
      </c>
      <c r="BK611" s="294" t="s">
        <v>16</v>
      </c>
      <c r="BL611" s="157" t="s">
        <v>16</v>
      </c>
      <c r="BM611" s="548" t="s">
        <v>578</v>
      </c>
      <c r="BN611" s="548" t="s">
        <v>4159</v>
      </c>
      <c r="BO611" s="157" t="s">
        <v>4311</v>
      </c>
      <c r="BP611" s="548" t="s">
        <v>4395</v>
      </c>
      <c r="BQ611" s="157" t="s">
        <v>4309</v>
      </c>
      <c r="BR611" s="157"/>
    </row>
    <row r="612" spans="1:70" x14ac:dyDescent="0.25">
      <c r="A612" s="19" t="s">
        <v>3686</v>
      </c>
      <c r="B612" s="37" t="s">
        <v>2411</v>
      </c>
      <c r="C612" s="90">
        <v>45156.639814814815</v>
      </c>
      <c r="D612" s="114">
        <v>45156.389814814815</v>
      </c>
      <c r="E612" s="38">
        <v>45156</v>
      </c>
      <c r="F612" s="91">
        <v>2023</v>
      </c>
      <c r="G612" s="93">
        <v>8</v>
      </c>
      <c r="H612" s="37" t="s">
        <v>2412</v>
      </c>
      <c r="I612" s="37"/>
      <c r="J612" s="103">
        <v>-92.641686508355306</v>
      </c>
      <c r="K612" s="40">
        <v>44.849885414736214</v>
      </c>
      <c r="L612" s="74"/>
      <c r="M612" s="272" t="s">
        <v>16</v>
      </c>
      <c r="N612" s="74">
        <v>0</v>
      </c>
      <c r="O612" s="94"/>
      <c r="P612" s="118">
        <v>0</v>
      </c>
      <c r="Q612" s="510"/>
      <c r="R612" s="513"/>
      <c r="S612" s="41"/>
      <c r="T612" s="40"/>
      <c r="U612" s="40"/>
      <c r="V612" s="119">
        <v>0</v>
      </c>
      <c r="W612" s="40"/>
      <c r="X612" s="119">
        <v>0</v>
      </c>
      <c r="Y612" s="40"/>
      <c r="Z612" s="119">
        <v>1</v>
      </c>
      <c r="AA612" s="368">
        <v>0</v>
      </c>
      <c r="AB612" s="535">
        <v>1</v>
      </c>
      <c r="AC612" s="39"/>
      <c r="AD612" s="75" t="s">
        <v>16</v>
      </c>
      <c r="AE612" s="95">
        <v>-1</v>
      </c>
      <c r="AF612" s="75">
        <v>-1</v>
      </c>
      <c r="AG612" s="75">
        <v>-1</v>
      </c>
      <c r="AH612" s="75">
        <v>-1</v>
      </c>
      <c r="AI612" s="75">
        <v>-1</v>
      </c>
      <c r="AJ612" s="75">
        <v>-1</v>
      </c>
      <c r="AK612" s="75">
        <v>-1</v>
      </c>
      <c r="AL612" s="95">
        <v>-1</v>
      </c>
      <c r="AM612" s="92">
        <v>1</v>
      </c>
      <c r="AN612" s="79"/>
      <c r="AO612" s="75">
        <v>0</v>
      </c>
      <c r="AP612" s="75"/>
      <c r="AQ612" s="122">
        <v>0</v>
      </c>
      <c r="AR612" s="515" t="s">
        <v>16</v>
      </c>
      <c r="AS612" s="95">
        <v>-1</v>
      </c>
      <c r="AT612" s="75">
        <v>-1</v>
      </c>
      <c r="AU612" s="75">
        <v>-1</v>
      </c>
      <c r="AV612" s="75">
        <v>-1</v>
      </c>
      <c r="AW612" s="123">
        <v>1</v>
      </c>
      <c r="AX612" s="516"/>
      <c r="AY612" s="75">
        <v>0</v>
      </c>
      <c r="AZ612" s="77" t="s">
        <v>5971</v>
      </c>
      <c r="BA612" s="78" t="s">
        <v>5971</v>
      </c>
      <c r="BB612" s="78" t="s">
        <v>5971</v>
      </c>
      <c r="BC612" s="78" t="s">
        <v>5971</v>
      </c>
      <c r="BD612" s="78" t="s">
        <v>5971</v>
      </c>
      <c r="BE612" s="78" t="s">
        <v>5971</v>
      </c>
      <c r="BF612" s="78" t="s">
        <v>5971</v>
      </c>
      <c r="BG612" s="78" t="s">
        <v>5971</v>
      </c>
      <c r="BH612" s="75" t="s">
        <v>5971</v>
      </c>
      <c r="BI612" s="295" t="s">
        <v>2227</v>
      </c>
      <c r="BJ612" s="546">
        <v>1</v>
      </c>
      <c r="BK612" s="294">
        <v>1</v>
      </c>
      <c r="BL612" s="157">
        <v>1</v>
      </c>
      <c r="BM612" s="548" t="s">
        <v>578</v>
      </c>
      <c r="BN612" s="548" t="s">
        <v>544</v>
      </c>
      <c r="BO612" s="157" t="s">
        <v>4341</v>
      </c>
      <c r="BP612" s="548" t="s">
        <v>4343</v>
      </c>
      <c r="BQ612" s="157" t="s">
        <v>4309</v>
      </c>
      <c r="BR612" s="157"/>
    </row>
    <row r="613" spans="1:70" x14ac:dyDescent="0.25">
      <c r="A613" s="19" t="s">
        <v>3686</v>
      </c>
      <c r="B613" s="37" t="s">
        <v>2413</v>
      </c>
      <c r="C613" s="90">
        <v>45155.871990740743</v>
      </c>
      <c r="D613" s="114">
        <v>45155.621990740743</v>
      </c>
      <c r="E613" s="38">
        <v>45155</v>
      </c>
      <c r="F613" s="91">
        <v>2023</v>
      </c>
      <c r="G613" s="93">
        <v>8</v>
      </c>
      <c r="H613" s="37" t="s">
        <v>2414</v>
      </c>
      <c r="I613" s="37"/>
      <c r="J613" s="103">
        <v>-92.634629799999999</v>
      </c>
      <c r="K613" s="40">
        <v>44.8549972</v>
      </c>
      <c r="L613" s="74"/>
      <c r="M613" s="272" t="s">
        <v>16</v>
      </c>
      <c r="N613" s="74">
        <v>0</v>
      </c>
      <c r="O613" s="94"/>
      <c r="P613" s="118">
        <v>0</v>
      </c>
      <c r="Q613" s="510"/>
      <c r="R613" s="513"/>
      <c r="S613" s="41"/>
      <c r="T613" s="40"/>
      <c r="U613" s="40"/>
      <c r="V613" s="119">
        <v>0</v>
      </c>
      <c r="W613" s="40"/>
      <c r="X613" s="119">
        <v>0</v>
      </c>
      <c r="Y613" s="40"/>
      <c r="Z613" s="119">
        <v>1</v>
      </c>
      <c r="AA613" s="368">
        <v>0</v>
      </c>
      <c r="AB613" s="535">
        <v>1</v>
      </c>
      <c r="AC613" s="39"/>
      <c r="AD613" s="75" t="s">
        <v>16</v>
      </c>
      <c r="AE613" s="95">
        <v>-1</v>
      </c>
      <c r="AF613" s="75">
        <v>-1</v>
      </c>
      <c r="AG613" s="75">
        <v>-1</v>
      </c>
      <c r="AH613" s="75">
        <v>-1</v>
      </c>
      <c r="AI613" s="75">
        <v>-1</v>
      </c>
      <c r="AJ613" s="75">
        <v>-1</v>
      </c>
      <c r="AK613" s="75">
        <v>-1</v>
      </c>
      <c r="AL613" s="95">
        <v>-1</v>
      </c>
      <c r="AM613" s="92">
        <v>1</v>
      </c>
      <c r="AN613" s="79"/>
      <c r="AO613" s="75">
        <v>0</v>
      </c>
      <c r="AP613" s="75"/>
      <c r="AQ613" s="122">
        <v>0</v>
      </c>
      <c r="AR613" s="515" t="s">
        <v>16</v>
      </c>
      <c r="AS613" s="95">
        <v>-1</v>
      </c>
      <c r="AT613" s="75">
        <v>-1</v>
      </c>
      <c r="AU613" s="75">
        <v>-1</v>
      </c>
      <c r="AV613" s="75">
        <v>-1</v>
      </c>
      <c r="AW613" s="123">
        <v>1</v>
      </c>
      <c r="AX613" s="516"/>
      <c r="AY613" s="75">
        <v>0</v>
      </c>
      <c r="AZ613" s="77" t="s">
        <v>5971</v>
      </c>
      <c r="BA613" s="78" t="s">
        <v>5971</v>
      </c>
      <c r="BB613" s="78" t="s">
        <v>5971</v>
      </c>
      <c r="BC613" s="78" t="s">
        <v>5971</v>
      </c>
      <c r="BD613" s="78" t="s">
        <v>5971</v>
      </c>
      <c r="BE613" s="78" t="s">
        <v>5971</v>
      </c>
      <c r="BF613" s="78" t="s">
        <v>5971</v>
      </c>
      <c r="BG613" s="78" t="s">
        <v>5971</v>
      </c>
      <c r="BH613" s="75" t="s">
        <v>5971</v>
      </c>
      <c r="BI613" s="295" t="s">
        <v>2227</v>
      </c>
      <c r="BJ613" s="546">
        <v>1</v>
      </c>
      <c r="BK613" s="294">
        <v>1</v>
      </c>
      <c r="BL613" s="157">
        <v>1</v>
      </c>
      <c r="BM613" s="548" t="s">
        <v>578</v>
      </c>
      <c r="BN613" s="548" t="s">
        <v>544</v>
      </c>
      <c r="BO613" s="157" t="s">
        <v>4341</v>
      </c>
      <c r="BP613" s="548" t="s">
        <v>4343</v>
      </c>
      <c r="BQ613" s="157" t="s">
        <v>4309</v>
      </c>
      <c r="BR613" s="157"/>
    </row>
    <row r="614" spans="1:70" x14ac:dyDescent="0.25">
      <c r="A614" s="19" t="s">
        <v>3686</v>
      </c>
      <c r="B614" s="37" t="s">
        <v>2415</v>
      </c>
      <c r="C614" s="90">
        <v>45155.854907407411</v>
      </c>
      <c r="D614" s="114">
        <v>45155.604907407411</v>
      </c>
      <c r="E614" s="38">
        <v>45155</v>
      </c>
      <c r="F614" s="91">
        <v>2023</v>
      </c>
      <c r="G614" s="93">
        <v>8</v>
      </c>
      <c r="H614" s="37" t="s">
        <v>2414</v>
      </c>
      <c r="I614" s="37"/>
      <c r="J614" s="103">
        <v>-92.636234000000002</v>
      </c>
      <c r="K614" s="40">
        <v>44.854673400000003</v>
      </c>
      <c r="L614" s="74"/>
      <c r="M614" s="272" t="s">
        <v>16</v>
      </c>
      <c r="N614" s="74">
        <v>0</v>
      </c>
      <c r="O614" s="94"/>
      <c r="P614" s="118">
        <v>0</v>
      </c>
      <c r="Q614" s="510"/>
      <c r="R614" s="513"/>
      <c r="S614" s="41"/>
      <c r="T614" s="40"/>
      <c r="U614" s="40"/>
      <c r="V614" s="119">
        <v>0</v>
      </c>
      <c r="W614" s="40"/>
      <c r="X614" s="119">
        <v>0</v>
      </c>
      <c r="Y614" s="40"/>
      <c r="Z614" s="119">
        <v>1</v>
      </c>
      <c r="AA614" s="368">
        <v>0</v>
      </c>
      <c r="AB614" s="535">
        <v>1</v>
      </c>
      <c r="AC614" s="39"/>
      <c r="AD614" s="75" t="s">
        <v>16</v>
      </c>
      <c r="AE614" s="95">
        <v>-1</v>
      </c>
      <c r="AF614" s="75">
        <v>-1</v>
      </c>
      <c r="AG614" s="75">
        <v>-1</v>
      </c>
      <c r="AH614" s="75">
        <v>-1</v>
      </c>
      <c r="AI614" s="75">
        <v>-1</v>
      </c>
      <c r="AJ614" s="75">
        <v>-1</v>
      </c>
      <c r="AK614" s="75">
        <v>-1</v>
      </c>
      <c r="AL614" s="95">
        <v>-1</v>
      </c>
      <c r="AM614" s="92">
        <v>1</v>
      </c>
      <c r="AN614" s="79"/>
      <c r="AO614" s="75">
        <v>0</v>
      </c>
      <c r="AP614" s="75"/>
      <c r="AQ614" s="122">
        <v>0</v>
      </c>
      <c r="AR614" s="515" t="s">
        <v>16</v>
      </c>
      <c r="AS614" s="95">
        <v>-1</v>
      </c>
      <c r="AT614" s="75">
        <v>-1</v>
      </c>
      <c r="AU614" s="75">
        <v>-1</v>
      </c>
      <c r="AV614" s="75">
        <v>-1</v>
      </c>
      <c r="AW614" s="123">
        <v>1</v>
      </c>
      <c r="AX614" s="516"/>
      <c r="AY614" s="75">
        <v>0</v>
      </c>
      <c r="AZ614" s="77" t="s">
        <v>5971</v>
      </c>
      <c r="BA614" s="78" t="s">
        <v>5971</v>
      </c>
      <c r="BB614" s="78" t="s">
        <v>5971</v>
      </c>
      <c r="BC614" s="78" t="s">
        <v>5971</v>
      </c>
      <c r="BD614" s="78" t="s">
        <v>5971</v>
      </c>
      <c r="BE614" s="78" t="s">
        <v>5971</v>
      </c>
      <c r="BF614" s="78" t="s">
        <v>5971</v>
      </c>
      <c r="BG614" s="78" t="s">
        <v>5971</v>
      </c>
      <c r="BH614" s="75" t="s">
        <v>5971</v>
      </c>
      <c r="BI614" s="295" t="s">
        <v>2227</v>
      </c>
      <c r="BJ614" s="546">
        <v>1</v>
      </c>
      <c r="BK614" s="294">
        <v>1</v>
      </c>
      <c r="BL614" s="157">
        <v>1</v>
      </c>
      <c r="BM614" s="548" t="s">
        <v>578</v>
      </c>
      <c r="BN614" s="548" t="s">
        <v>544</v>
      </c>
      <c r="BO614" s="157" t="s">
        <v>4341</v>
      </c>
      <c r="BP614" s="548" t="s">
        <v>4343</v>
      </c>
      <c r="BQ614" s="157" t="s">
        <v>4309</v>
      </c>
      <c r="BR614" s="157"/>
    </row>
    <row r="615" spans="1:70" x14ac:dyDescent="0.25">
      <c r="A615" s="19" t="s">
        <v>3686</v>
      </c>
      <c r="B615" s="37" t="s">
        <v>2416</v>
      </c>
      <c r="C615" s="90">
        <v>45154.920636574076</v>
      </c>
      <c r="D615" s="114">
        <v>45154.670636574076</v>
      </c>
      <c r="E615" s="38">
        <v>45154</v>
      </c>
      <c r="F615" s="91">
        <v>2023</v>
      </c>
      <c r="G615" s="93">
        <v>8</v>
      </c>
      <c r="H615" s="37" t="s">
        <v>1391</v>
      </c>
      <c r="I615" s="37" t="s">
        <v>960</v>
      </c>
      <c r="J615" s="103">
        <v>-93.008947335270236</v>
      </c>
      <c r="K615" s="40">
        <v>44.657291891094907</v>
      </c>
      <c r="L615" s="74"/>
      <c r="M615" s="272" t="s">
        <v>16</v>
      </c>
      <c r="N615" s="74">
        <v>0</v>
      </c>
      <c r="O615" s="94"/>
      <c r="P615" s="118">
        <v>1</v>
      </c>
      <c r="Q615" s="510">
        <v>80</v>
      </c>
      <c r="R615" s="513">
        <v>0</v>
      </c>
      <c r="S615" s="41"/>
      <c r="T615" s="40"/>
      <c r="U615" s="40">
        <v>7</v>
      </c>
      <c r="V615" s="119">
        <v>1</v>
      </c>
      <c r="W615" s="40">
        <v>100</v>
      </c>
      <c r="X615" s="119">
        <v>1</v>
      </c>
      <c r="Y615" s="40">
        <v>67</v>
      </c>
      <c r="Z615" s="119">
        <v>1</v>
      </c>
      <c r="AA615" s="368">
        <v>0</v>
      </c>
      <c r="AB615" s="535">
        <v>5</v>
      </c>
      <c r="AC615" s="39" t="s">
        <v>160</v>
      </c>
      <c r="AD615" s="75" t="s">
        <v>2417</v>
      </c>
      <c r="AE615" s="95">
        <v>0</v>
      </c>
      <c r="AF615" s="75">
        <v>0</v>
      </c>
      <c r="AG615" s="75">
        <v>1</v>
      </c>
      <c r="AH615" s="75">
        <v>0</v>
      </c>
      <c r="AI615" s="75">
        <v>0</v>
      </c>
      <c r="AJ615" s="75">
        <v>0</v>
      </c>
      <c r="AK615" s="75">
        <v>0</v>
      </c>
      <c r="AL615" s="95">
        <v>1</v>
      </c>
      <c r="AM615" s="92">
        <v>0</v>
      </c>
      <c r="AN615" s="79" t="s">
        <v>80</v>
      </c>
      <c r="AO615" s="75">
        <v>1</v>
      </c>
      <c r="AP615" s="75" t="s">
        <v>83</v>
      </c>
      <c r="AQ615" s="122">
        <v>1</v>
      </c>
      <c r="AR615" s="515" t="s">
        <v>10</v>
      </c>
      <c r="AS615" s="95">
        <v>0</v>
      </c>
      <c r="AT615" s="75">
        <v>0</v>
      </c>
      <c r="AU615" s="75">
        <v>0</v>
      </c>
      <c r="AV615" s="75">
        <v>0</v>
      </c>
      <c r="AW615" s="123">
        <v>0</v>
      </c>
      <c r="AX615" s="516"/>
      <c r="AY615" s="75">
        <v>0</v>
      </c>
      <c r="AZ615" s="77" t="s">
        <v>131</v>
      </c>
      <c r="BA615" s="78" t="s">
        <v>131</v>
      </c>
      <c r="BB615" s="78" t="s">
        <v>132</v>
      </c>
      <c r="BC615" s="78" t="s">
        <v>131</v>
      </c>
      <c r="BD615" s="78" t="s">
        <v>131</v>
      </c>
      <c r="BE615" s="78" t="s">
        <v>131</v>
      </c>
      <c r="BF615" s="78" t="s">
        <v>131</v>
      </c>
      <c r="BG615" s="78" t="s">
        <v>132</v>
      </c>
      <c r="BH615" s="75" t="s">
        <v>5970</v>
      </c>
      <c r="BI615" s="295" t="s">
        <v>2225</v>
      </c>
      <c r="BJ615" s="546">
        <v>1</v>
      </c>
      <c r="BK615" s="294" t="s">
        <v>16</v>
      </c>
      <c r="BL615" s="157" t="s">
        <v>16</v>
      </c>
      <c r="BM615" s="548" t="s">
        <v>2343</v>
      </c>
      <c r="BN615" s="548" t="s">
        <v>4161</v>
      </c>
      <c r="BO615" s="157" t="s">
        <v>4293</v>
      </c>
      <c r="BP615" s="548" t="s">
        <v>2225</v>
      </c>
      <c r="BQ615" s="157" t="s">
        <v>4292</v>
      </c>
      <c r="BR615" s="157"/>
    </row>
    <row r="616" spans="1:70" x14ac:dyDescent="0.25">
      <c r="A616" s="19" t="s">
        <v>3686</v>
      </c>
      <c r="B616" s="37" t="s">
        <v>5803</v>
      </c>
      <c r="C616" s="90">
        <v>45154.916724537034</v>
      </c>
      <c r="D616" s="114">
        <v>45154.666724537034</v>
      </c>
      <c r="E616" s="38">
        <v>45154</v>
      </c>
      <c r="F616" s="91">
        <v>2023</v>
      </c>
      <c r="G616" s="93">
        <v>8</v>
      </c>
      <c r="H616" s="37" t="s">
        <v>2548</v>
      </c>
      <c r="I616" s="37"/>
      <c r="J616" s="103">
        <v>-90.756519815359638</v>
      </c>
      <c r="K616" s="40">
        <v>43.380238038448361</v>
      </c>
      <c r="L616" s="74"/>
      <c r="M616" s="272" t="s">
        <v>16</v>
      </c>
      <c r="N616" s="74">
        <v>0</v>
      </c>
      <c r="O616" s="94"/>
      <c r="P616" s="118">
        <v>1</v>
      </c>
      <c r="Q616" s="510">
        <v>180</v>
      </c>
      <c r="R616" s="513">
        <v>180</v>
      </c>
      <c r="S616" s="41"/>
      <c r="T616" s="40"/>
      <c r="U616" s="40">
        <v>8</v>
      </c>
      <c r="V616" s="119">
        <v>1</v>
      </c>
      <c r="W616" s="40">
        <v>0</v>
      </c>
      <c r="X616" s="119">
        <v>1</v>
      </c>
      <c r="Y616" s="40">
        <v>61</v>
      </c>
      <c r="Z616" s="119">
        <v>1</v>
      </c>
      <c r="AA616" s="368">
        <v>0</v>
      </c>
      <c r="AB616" s="535">
        <v>2</v>
      </c>
      <c r="AC616" s="39" t="s">
        <v>160</v>
      </c>
      <c r="AD616" s="75" t="s">
        <v>10</v>
      </c>
      <c r="AE616" s="95">
        <v>0</v>
      </c>
      <c r="AF616" s="75">
        <v>0</v>
      </c>
      <c r="AG616" s="75">
        <v>0</v>
      </c>
      <c r="AH616" s="75">
        <v>0</v>
      </c>
      <c r="AI616" s="75">
        <v>0</v>
      </c>
      <c r="AJ616" s="75">
        <v>0</v>
      </c>
      <c r="AK616" s="75">
        <v>0</v>
      </c>
      <c r="AL616" s="95">
        <v>1</v>
      </c>
      <c r="AM616" s="92">
        <v>0</v>
      </c>
      <c r="AN616" s="79" t="s">
        <v>80</v>
      </c>
      <c r="AO616" s="75">
        <v>1</v>
      </c>
      <c r="AP616" s="75" t="s">
        <v>83</v>
      </c>
      <c r="AQ616" s="122">
        <v>1</v>
      </c>
      <c r="AR616" s="515" t="s">
        <v>10</v>
      </c>
      <c r="AS616" s="95">
        <v>0</v>
      </c>
      <c r="AT616" s="75">
        <v>0</v>
      </c>
      <c r="AU616" s="75">
        <v>0</v>
      </c>
      <c r="AV616" s="75">
        <v>0</v>
      </c>
      <c r="AW616" s="123">
        <v>0</v>
      </c>
      <c r="AX616" s="516"/>
      <c r="AY616" s="75">
        <v>0</v>
      </c>
      <c r="AZ616" s="77" t="s">
        <v>131</v>
      </c>
      <c r="BA616" s="78" t="s">
        <v>131</v>
      </c>
      <c r="BB616" s="78" t="s">
        <v>131</v>
      </c>
      <c r="BC616" s="78" t="s">
        <v>131</v>
      </c>
      <c r="BD616" s="78" t="s">
        <v>131</v>
      </c>
      <c r="BE616" s="78" t="s">
        <v>131</v>
      </c>
      <c r="BF616" s="78" t="s">
        <v>131</v>
      </c>
      <c r="BG616" s="78" t="s">
        <v>132</v>
      </c>
      <c r="BH616" s="75" t="s">
        <v>5970</v>
      </c>
      <c r="BI616" s="295" t="s">
        <v>5953</v>
      </c>
      <c r="BJ616" s="546">
        <v>1</v>
      </c>
      <c r="BK616" s="294" t="s">
        <v>16</v>
      </c>
      <c r="BL616" s="157" t="s">
        <v>16</v>
      </c>
      <c r="BM616" s="548" t="s">
        <v>1342</v>
      </c>
      <c r="BN616" s="548" t="s">
        <v>4158</v>
      </c>
      <c r="BO616" s="157" t="s">
        <v>4306</v>
      </c>
      <c r="BP616" s="548" t="s">
        <v>4469</v>
      </c>
      <c r="BQ616" s="157" t="s">
        <v>4303</v>
      </c>
      <c r="BR616" s="157"/>
    </row>
    <row r="617" spans="1:70" x14ac:dyDescent="0.25">
      <c r="A617" s="19" t="s">
        <v>3686</v>
      </c>
      <c r="B617" s="37" t="s">
        <v>2418</v>
      </c>
      <c r="C617" s="90">
        <v>45154.817604166667</v>
      </c>
      <c r="D617" s="114">
        <v>45154.567604166667</v>
      </c>
      <c r="E617" s="38">
        <v>45154</v>
      </c>
      <c r="F617" s="91">
        <v>2023</v>
      </c>
      <c r="G617" s="93">
        <v>8</v>
      </c>
      <c r="H617" s="37" t="s">
        <v>302</v>
      </c>
      <c r="I617" s="37"/>
      <c r="J617" s="103">
        <v>-91.912846782744197</v>
      </c>
      <c r="K617" s="40">
        <v>43.710002930803597</v>
      </c>
      <c r="L617" s="74"/>
      <c r="M617" s="272" t="s">
        <v>2419</v>
      </c>
      <c r="N617" s="74">
        <v>1</v>
      </c>
      <c r="O617" s="94"/>
      <c r="P617" s="118">
        <v>1</v>
      </c>
      <c r="Q617" s="510">
        <v>180</v>
      </c>
      <c r="R617" s="513">
        <v>180</v>
      </c>
      <c r="S617" s="41"/>
      <c r="T617" s="40"/>
      <c r="U617" s="40">
        <v>8</v>
      </c>
      <c r="V617" s="119">
        <v>1</v>
      </c>
      <c r="W617" s="40">
        <v>200</v>
      </c>
      <c r="X617" s="119">
        <v>1</v>
      </c>
      <c r="Y617" s="40">
        <v>56</v>
      </c>
      <c r="Z617" s="119">
        <v>1</v>
      </c>
      <c r="AA617" s="368">
        <v>0</v>
      </c>
      <c r="AB617" s="535">
        <v>5</v>
      </c>
      <c r="AC617" s="39" t="s">
        <v>160</v>
      </c>
      <c r="AD617" s="75" t="s">
        <v>8</v>
      </c>
      <c r="AE617" s="95">
        <v>0</v>
      </c>
      <c r="AF617" s="75">
        <v>1</v>
      </c>
      <c r="AG617" s="75">
        <v>0</v>
      </c>
      <c r="AH617" s="75">
        <v>0</v>
      </c>
      <c r="AI617" s="75">
        <v>0</v>
      </c>
      <c r="AJ617" s="75">
        <v>0</v>
      </c>
      <c r="AK617" s="75">
        <v>0</v>
      </c>
      <c r="AL617" s="95">
        <v>0</v>
      </c>
      <c r="AM617" s="92">
        <v>0</v>
      </c>
      <c r="AN617" s="79" t="s">
        <v>80</v>
      </c>
      <c r="AO617" s="75">
        <v>1</v>
      </c>
      <c r="AP617" s="75" t="s">
        <v>83</v>
      </c>
      <c r="AQ617" s="122">
        <v>1</v>
      </c>
      <c r="AR617" s="515" t="s">
        <v>10</v>
      </c>
      <c r="AS617" s="95">
        <v>0</v>
      </c>
      <c r="AT617" s="75">
        <v>0</v>
      </c>
      <c r="AU617" s="75">
        <v>0</v>
      </c>
      <c r="AV617" s="75">
        <v>0</v>
      </c>
      <c r="AW617" s="123">
        <v>0</v>
      </c>
      <c r="AX617" s="516" t="s">
        <v>2420</v>
      </c>
      <c r="AY617" s="75">
        <v>1</v>
      </c>
      <c r="AZ617" s="77" t="s">
        <v>131</v>
      </c>
      <c r="BA617" s="78" t="s">
        <v>132</v>
      </c>
      <c r="BB617" s="78" t="s">
        <v>131</v>
      </c>
      <c r="BC617" s="78" t="s">
        <v>131</v>
      </c>
      <c r="BD617" s="78" t="s">
        <v>131</v>
      </c>
      <c r="BE617" s="78" t="s">
        <v>131</v>
      </c>
      <c r="BF617" s="78" t="s">
        <v>131</v>
      </c>
      <c r="BG617" s="78" t="s">
        <v>131</v>
      </c>
      <c r="BH617" s="75" t="s">
        <v>5970</v>
      </c>
      <c r="BI617" s="295" t="s">
        <v>2317</v>
      </c>
      <c r="BJ617" s="546">
        <v>1</v>
      </c>
      <c r="BK617" s="294" t="s">
        <v>16</v>
      </c>
      <c r="BL617" s="157" t="s">
        <v>16</v>
      </c>
      <c r="BM617" s="548" t="s">
        <v>1339</v>
      </c>
      <c r="BN617" s="548" t="s">
        <v>4160</v>
      </c>
      <c r="BO617" s="157" t="s">
        <v>4397</v>
      </c>
      <c r="BP617" s="548" t="s">
        <v>4398</v>
      </c>
      <c r="BQ617" s="157" t="s">
        <v>4396</v>
      </c>
      <c r="BR617" s="157"/>
    </row>
    <row r="618" spans="1:70" x14ac:dyDescent="0.25">
      <c r="A618" s="19" t="s">
        <v>3686</v>
      </c>
      <c r="B618" s="37" t="s">
        <v>2421</v>
      </c>
      <c r="C618" s="90">
        <v>45154.552928240744</v>
      </c>
      <c r="D618" s="114">
        <v>45154.302928240744</v>
      </c>
      <c r="E618" s="38">
        <v>45154</v>
      </c>
      <c r="F618" s="91">
        <v>2023</v>
      </c>
      <c r="G618" s="93">
        <v>8</v>
      </c>
      <c r="H618" s="37" t="s">
        <v>2400</v>
      </c>
      <c r="I618" s="37"/>
      <c r="J618" s="103">
        <v>-90.351235000000003</v>
      </c>
      <c r="K618" s="40">
        <v>43.475812400000002</v>
      </c>
      <c r="L618" s="74"/>
      <c r="M618" s="272" t="s">
        <v>16</v>
      </c>
      <c r="N618" s="74">
        <v>0</v>
      </c>
      <c r="O618" s="94"/>
      <c r="P618" s="118">
        <v>1</v>
      </c>
      <c r="Q618" s="510">
        <v>180</v>
      </c>
      <c r="R618" s="513">
        <v>180</v>
      </c>
      <c r="S618" s="41"/>
      <c r="T618" s="40"/>
      <c r="U618" s="40">
        <v>7.5</v>
      </c>
      <c r="V618" s="119">
        <v>1</v>
      </c>
      <c r="W618" s="40">
        <v>0</v>
      </c>
      <c r="X618" s="119">
        <v>1</v>
      </c>
      <c r="Y618" s="40">
        <v>63</v>
      </c>
      <c r="Z618" s="119">
        <v>1</v>
      </c>
      <c r="AA618" s="368">
        <v>0</v>
      </c>
      <c r="AB618" s="535">
        <v>0</v>
      </c>
      <c r="AC618" s="39" t="s">
        <v>160</v>
      </c>
      <c r="AD618" s="75" t="s">
        <v>10</v>
      </c>
      <c r="AE618" s="95">
        <v>0</v>
      </c>
      <c r="AF618" s="75">
        <v>0</v>
      </c>
      <c r="AG618" s="75">
        <v>0</v>
      </c>
      <c r="AH618" s="75">
        <v>0</v>
      </c>
      <c r="AI618" s="75">
        <v>0</v>
      </c>
      <c r="AJ618" s="75">
        <v>0</v>
      </c>
      <c r="AK618" s="75">
        <v>0</v>
      </c>
      <c r="AL618" s="95">
        <v>1</v>
      </c>
      <c r="AM618" s="92">
        <v>0</v>
      </c>
      <c r="AN618" s="79" t="s">
        <v>80</v>
      </c>
      <c r="AO618" s="75">
        <v>1</v>
      </c>
      <c r="AP618" s="75" t="s">
        <v>83</v>
      </c>
      <c r="AQ618" s="122">
        <v>1</v>
      </c>
      <c r="AR618" s="515" t="s">
        <v>10</v>
      </c>
      <c r="AS618" s="95">
        <v>0</v>
      </c>
      <c r="AT618" s="75">
        <v>0</v>
      </c>
      <c r="AU618" s="75">
        <v>0</v>
      </c>
      <c r="AV618" s="75">
        <v>0</v>
      </c>
      <c r="AW618" s="123">
        <v>0</v>
      </c>
      <c r="AX618" s="516"/>
      <c r="AY618" s="75">
        <v>0</v>
      </c>
      <c r="AZ618" s="77" t="s">
        <v>131</v>
      </c>
      <c r="BA618" s="78" t="s">
        <v>131</v>
      </c>
      <c r="BB618" s="78" t="s">
        <v>131</v>
      </c>
      <c r="BC618" s="78" t="s">
        <v>131</v>
      </c>
      <c r="BD618" s="78" t="s">
        <v>131</v>
      </c>
      <c r="BE618" s="78" t="s">
        <v>131</v>
      </c>
      <c r="BF618" s="78" t="s">
        <v>131</v>
      </c>
      <c r="BG618" s="78" t="s">
        <v>132</v>
      </c>
      <c r="BH618" s="75" t="s">
        <v>5970</v>
      </c>
      <c r="BI618" s="295" t="s">
        <v>4078</v>
      </c>
      <c r="BJ618" s="546">
        <v>1</v>
      </c>
      <c r="BK618" s="294" t="s">
        <v>16</v>
      </c>
      <c r="BL618" s="157" t="s">
        <v>16</v>
      </c>
      <c r="BM618" s="548" t="s">
        <v>1342</v>
      </c>
      <c r="BN618" s="548" t="s">
        <v>4158</v>
      </c>
      <c r="BO618" s="157" t="s">
        <v>4399</v>
      </c>
      <c r="BP618" s="548" t="s">
        <v>4400</v>
      </c>
      <c r="BQ618" s="157" t="s">
        <v>4392</v>
      </c>
      <c r="BR618" s="157"/>
    </row>
    <row r="619" spans="1:70" x14ac:dyDescent="0.25">
      <c r="A619" s="19" t="s">
        <v>3686</v>
      </c>
      <c r="B619" s="37" t="s">
        <v>5804</v>
      </c>
      <c r="C619" s="90">
        <v>45153.953576388885</v>
      </c>
      <c r="D619" s="114">
        <v>45153.703576388885</v>
      </c>
      <c r="E619" s="38">
        <v>45153</v>
      </c>
      <c r="F619" s="91">
        <v>2023</v>
      </c>
      <c r="G619" s="93">
        <v>8</v>
      </c>
      <c r="H619" s="37" t="s">
        <v>2548</v>
      </c>
      <c r="I619" s="37"/>
      <c r="J619" s="103">
        <v>-90.375152005305836</v>
      </c>
      <c r="K619" s="40">
        <v>43.495837121390188</v>
      </c>
      <c r="L619" s="74"/>
      <c r="M619" s="272" t="s">
        <v>16</v>
      </c>
      <c r="N619" s="74">
        <v>0</v>
      </c>
      <c r="O619" s="94"/>
      <c r="P619" s="118">
        <v>1</v>
      </c>
      <c r="Q619" s="510">
        <v>180</v>
      </c>
      <c r="R619" s="513">
        <v>180</v>
      </c>
      <c r="S619" s="41"/>
      <c r="T619" s="40"/>
      <c r="U619" s="40">
        <v>8</v>
      </c>
      <c r="V619" s="119">
        <v>1</v>
      </c>
      <c r="W619" s="40">
        <v>0</v>
      </c>
      <c r="X619" s="119">
        <v>1</v>
      </c>
      <c r="Y619" s="40">
        <v>69</v>
      </c>
      <c r="Z619" s="119">
        <v>1</v>
      </c>
      <c r="AA619" s="368">
        <v>0</v>
      </c>
      <c r="AB619" s="535">
        <v>0</v>
      </c>
      <c r="AC619" s="39" t="s">
        <v>160</v>
      </c>
      <c r="AD619" s="75" t="s">
        <v>10</v>
      </c>
      <c r="AE619" s="95">
        <v>0</v>
      </c>
      <c r="AF619" s="75">
        <v>0</v>
      </c>
      <c r="AG619" s="75">
        <v>0</v>
      </c>
      <c r="AH619" s="75">
        <v>0</v>
      </c>
      <c r="AI619" s="75">
        <v>0</v>
      </c>
      <c r="AJ619" s="75">
        <v>0</v>
      </c>
      <c r="AK619" s="75">
        <v>0</v>
      </c>
      <c r="AL619" s="95">
        <v>1</v>
      </c>
      <c r="AM619" s="92">
        <v>0</v>
      </c>
      <c r="AN619" s="79" t="s">
        <v>80</v>
      </c>
      <c r="AO619" s="75">
        <v>1</v>
      </c>
      <c r="AP619" s="75" t="s">
        <v>85</v>
      </c>
      <c r="AQ619" s="122">
        <v>1</v>
      </c>
      <c r="AR619" s="515" t="s">
        <v>10</v>
      </c>
      <c r="AS619" s="95">
        <v>0</v>
      </c>
      <c r="AT619" s="75">
        <v>0</v>
      </c>
      <c r="AU619" s="75">
        <v>0</v>
      </c>
      <c r="AV619" s="75">
        <v>0</v>
      </c>
      <c r="AW619" s="123">
        <v>0</v>
      </c>
      <c r="AX619" s="516"/>
      <c r="AY619" s="75">
        <v>0</v>
      </c>
      <c r="AZ619" s="77" t="s">
        <v>131</v>
      </c>
      <c r="BA619" s="78" t="s">
        <v>131</v>
      </c>
      <c r="BB619" s="78" t="s">
        <v>131</v>
      </c>
      <c r="BC619" s="78" t="s">
        <v>131</v>
      </c>
      <c r="BD619" s="78" t="s">
        <v>131</v>
      </c>
      <c r="BE619" s="78" t="s">
        <v>131</v>
      </c>
      <c r="BF619" s="78" t="s">
        <v>131</v>
      </c>
      <c r="BG619" s="78" t="s">
        <v>132</v>
      </c>
      <c r="BH619" s="75" t="s">
        <v>5970</v>
      </c>
      <c r="BI619" s="295" t="s">
        <v>4072</v>
      </c>
      <c r="BJ619" s="546">
        <v>1</v>
      </c>
      <c r="BK619" s="294" t="s">
        <v>16</v>
      </c>
      <c r="BL619" s="157" t="s">
        <v>16</v>
      </c>
      <c r="BM619" s="548" t="s">
        <v>1342</v>
      </c>
      <c r="BN619" s="548" t="s">
        <v>4158</v>
      </c>
      <c r="BO619" s="157" t="s">
        <v>4399</v>
      </c>
      <c r="BP619" s="548" t="s">
        <v>4400</v>
      </c>
      <c r="BQ619" s="157" t="s">
        <v>4392</v>
      </c>
      <c r="BR619" s="157"/>
    </row>
    <row r="620" spans="1:70" x14ac:dyDescent="0.25">
      <c r="A620" s="19" t="s">
        <v>3686</v>
      </c>
      <c r="B620" s="37" t="s">
        <v>2422</v>
      </c>
      <c r="C620" s="90">
        <v>45153.782766203702</v>
      </c>
      <c r="D620" s="114">
        <v>45153.532766203702</v>
      </c>
      <c r="E620" s="38">
        <v>45153</v>
      </c>
      <c r="F620" s="91">
        <v>2023</v>
      </c>
      <c r="G620" s="93">
        <v>8</v>
      </c>
      <c r="H620" s="37" t="s">
        <v>2423</v>
      </c>
      <c r="I620" s="37"/>
      <c r="J620" s="103">
        <v>-92.644068399999995</v>
      </c>
      <c r="K620" s="40">
        <v>44.8443714</v>
      </c>
      <c r="L620" s="74"/>
      <c r="M620" s="272" t="s">
        <v>16</v>
      </c>
      <c r="N620" s="74">
        <v>0</v>
      </c>
      <c r="O620" s="94"/>
      <c r="P620" s="118">
        <v>0</v>
      </c>
      <c r="Q620" s="510"/>
      <c r="R620" s="513"/>
      <c r="S620" s="41"/>
      <c r="T620" s="40"/>
      <c r="U620" s="40"/>
      <c r="V620" s="119">
        <v>0</v>
      </c>
      <c r="W620" s="40"/>
      <c r="X620" s="119">
        <v>0</v>
      </c>
      <c r="Y620" s="40"/>
      <c r="Z620" s="119">
        <v>1</v>
      </c>
      <c r="AA620" s="368">
        <v>0</v>
      </c>
      <c r="AB620" s="535">
        <v>2</v>
      </c>
      <c r="AC620" s="39" t="s">
        <v>160</v>
      </c>
      <c r="AD620" s="75" t="s">
        <v>16</v>
      </c>
      <c r="AE620" s="95">
        <v>-1</v>
      </c>
      <c r="AF620" s="75">
        <v>-1</v>
      </c>
      <c r="AG620" s="75">
        <v>-1</v>
      </c>
      <c r="AH620" s="75">
        <v>-1</v>
      </c>
      <c r="AI620" s="75">
        <v>-1</v>
      </c>
      <c r="AJ620" s="75">
        <v>-1</v>
      </c>
      <c r="AK620" s="75">
        <v>-1</v>
      </c>
      <c r="AL620" s="95">
        <v>-1</v>
      </c>
      <c r="AM620" s="92">
        <v>1</v>
      </c>
      <c r="AN620" s="79"/>
      <c r="AO620" s="75">
        <v>0</v>
      </c>
      <c r="AP620" s="75"/>
      <c r="AQ620" s="122">
        <v>0</v>
      </c>
      <c r="AR620" s="515" t="s">
        <v>16</v>
      </c>
      <c r="AS620" s="95">
        <v>-1</v>
      </c>
      <c r="AT620" s="75">
        <v>-1</v>
      </c>
      <c r="AU620" s="75">
        <v>-1</v>
      </c>
      <c r="AV620" s="75">
        <v>-1</v>
      </c>
      <c r="AW620" s="123">
        <v>1</v>
      </c>
      <c r="AX620" s="516"/>
      <c r="AY620" s="75">
        <v>0</v>
      </c>
      <c r="AZ620" s="77" t="s">
        <v>5971</v>
      </c>
      <c r="BA620" s="78" t="s">
        <v>5971</v>
      </c>
      <c r="BB620" s="78" t="s">
        <v>5971</v>
      </c>
      <c r="BC620" s="78" t="s">
        <v>5971</v>
      </c>
      <c r="BD620" s="78" t="s">
        <v>5971</v>
      </c>
      <c r="BE620" s="78" t="s">
        <v>5971</v>
      </c>
      <c r="BF620" s="78" t="s">
        <v>5971</v>
      </c>
      <c r="BG620" s="78" t="s">
        <v>5971</v>
      </c>
      <c r="BH620" s="75" t="s">
        <v>5971</v>
      </c>
      <c r="BI620" s="295" t="s">
        <v>2227</v>
      </c>
      <c r="BJ620" s="546">
        <v>1</v>
      </c>
      <c r="BK620" s="294">
        <v>1</v>
      </c>
      <c r="BL620" s="157">
        <v>1</v>
      </c>
      <c r="BM620" s="548" t="s">
        <v>578</v>
      </c>
      <c r="BN620" s="548" t="s">
        <v>4159</v>
      </c>
      <c r="BO620" s="157" t="s">
        <v>4341</v>
      </c>
      <c r="BP620" s="548" t="s">
        <v>4343</v>
      </c>
      <c r="BQ620" s="157" t="s">
        <v>4309</v>
      </c>
      <c r="BR620" s="157"/>
    </row>
    <row r="621" spans="1:70" x14ac:dyDescent="0.25">
      <c r="A621" s="19" t="s">
        <v>3686</v>
      </c>
      <c r="B621" s="37" t="s">
        <v>3940</v>
      </c>
      <c r="C621" s="90">
        <v>45153.760740740741</v>
      </c>
      <c r="D621" s="114">
        <v>45153.510740740741</v>
      </c>
      <c r="E621" s="38">
        <v>45153</v>
      </c>
      <c r="F621" s="91">
        <v>2023</v>
      </c>
      <c r="G621" s="93">
        <v>8</v>
      </c>
      <c r="H621" s="37" t="s">
        <v>1353</v>
      </c>
      <c r="I621" s="37"/>
      <c r="J621" s="103">
        <v>-90.765066000000004</v>
      </c>
      <c r="K621" s="40">
        <v>43.575713999999998</v>
      </c>
      <c r="L621" s="74"/>
      <c r="M621" s="272" t="s">
        <v>16</v>
      </c>
      <c r="N621" s="74">
        <v>0</v>
      </c>
      <c r="O621" s="94"/>
      <c r="P621" s="118">
        <v>0</v>
      </c>
      <c r="Q621" s="510"/>
      <c r="R621" s="513"/>
      <c r="S621" s="41"/>
      <c r="T621" s="40"/>
      <c r="U621" s="40"/>
      <c r="V621" s="119">
        <v>0</v>
      </c>
      <c r="W621" s="40"/>
      <c r="X621" s="119">
        <v>1</v>
      </c>
      <c r="Y621" s="40">
        <v>68</v>
      </c>
      <c r="Z621" s="119">
        <v>0</v>
      </c>
      <c r="AA621" s="368" t="s">
        <v>16</v>
      </c>
      <c r="AB621" s="535" t="s">
        <v>16</v>
      </c>
      <c r="AC621" s="39"/>
      <c r="AD621" s="75" t="s">
        <v>16</v>
      </c>
      <c r="AE621" s="95">
        <v>-1</v>
      </c>
      <c r="AF621" s="75">
        <v>-1</v>
      </c>
      <c r="AG621" s="75">
        <v>-1</v>
      </c>
      <c r="AH621" s="75">
        <v>-1</v>
      </c>
      <c r="AI621" s="75">
        <v>-1</v>
      </c>
      <c r="AJ621" s="75">
        <v>-1</v>
      </c>
      <c r="AK621" s="75">
        <v>-1</v>
      </c>
      <c r="AL621" s="95">
        <v>-1</v>
      </c>
      <c r="AM621" s="92">
        <v>1</v>
      </c>
      <c r="AN621" s="79"/>
      <c r="AO621" s="75">
        <v>0</v>
      </c>
      <c r="AP621" s="75"/>
      <c r="AQ621" s="122">
        <v>0</v>
      </c>
      <c r="AR621" s="515" t="s">
        <v>16</v>
      </c>
      <c r="AS621" s="95">
        <v>-1</v>
      </c>
      <c r="AT621" s="75">
        <v>-1</v>
      </c>
      <c r="AU621" s="75">
        <v>-1</v>
      </c>
      <c r="AV621" s="75">
        <v>-1</v>
      </c>
      <c r="AW621" s="123">
        <v>1</v>
      </c>
      <c r="AX621" s="516"/>
      <c r="AY621" s="75">
        <v>0</v>
      </c>
      <c r="AZ621" s="77" t="s">
        <v>5971</v>
      </c>
      <c r="BA621" s="78" t="s">
        <v>5971</v>
      </c>
      <c r="BB621" s="78" t="s">
        <v>5971</v>
      </c>
      <c r="BC621" s="78" t="s">
        <v>5971</v>
      </c>
      <c r="BD621" s="78" t="s">
        <v>5971</v>
      </c>
      <c r="BE621" s="78" t="s">
        <v>5971</v>
      </c>
      <c r="BF621" s="78" t="s">
        <v>5971</v>
      </c>
      <c r="BG621" s="78" t="s">
        <v>5971</v>
      </c>
      <c r="BH621" s="75" t="s">
        <v>5971</v>
      </c>
      <c r="BI621" s="295" t="s">
        <v>16</v>
      </c>
      <c r="BJ621" s="546">
        <v>1</v>
      </c>
      <c r="BK621" s="294">
        <v>1</v>
      </c>
      <c r="BL621" s="157">
        <v>1</v>
      </c>
      <c r="BM621" s="548" t="s">
        <v>1342</v>
      </c>
      <c r="BN621" s="548" t="s">
        <v>4158</v>
      </c>
      <c r="BO621" s="157" t="s">
        <v>4277</v>
      </c>
      <c r="BP621" s="548" t="s">
        <v>2287</v>
      </c>
      <c r="BQ621" s="157" t="s">
        <v>4272</v>
      </c>
      <c r="BR621" s="157"/>
    </row>
    <row r="622" spans="1:70" x14ac:dyDescent="0.25">
      <c r="A622" s="19" t="s">
        <v>3686</v>
      </c>
      <c r="B622" s="37" t="s">
        <v>3941</v>
      </c>
      <c r="C622" s="90">
        <v>45153.759432870371</v>
      </c>
      <c r="D622" s="114">
        <v>45153.509432870371</v>
      </c>
      <c r="E622" s="38">
        <v>45153</v>
      </c>
      <c r="F622" s="91">
        <v>2023</v>
      </c>
      <c r="G622" s="93">
        <v>8</v>
      </c>
      <c r="H622" s="37" t="s">
        <v>1353</v>
      </c>
      <c r="I622" s="37" t="s">
        <v>16</v>
      </c>
      <c r="J622" s="103">
        <v>-90.765058199999999</v>
      </c>
      <c r="K622" s="40">
        <v>43.575701700000003</v>
      </c>
      <c r="L622" s="74"/>
      <c r="M622" s="272" t="s">
        <v>3942</v>
      </c>
      <c r="N622" s="74">
        <v>1</v>
      </c>
      <c r="O622" s="94"/>
      <c r="P622" s="118">
        <v>1</v>
      </c>
      <c r="Q622" s="510">
        <v>240</v>
      </c>
      <c r="R622" s="513">
        <v>180</v>
      </c>
      <c r="S622" s="41"/>
      <c r="T622" s="40"/>
      <c r="U622" s="40">
        <v>7</v>
      </c>
      <c r="V622" s="119">
        <v>0</v>
      </c>
      <c r="W622" s="40"/>
      <c r="X622" s="119">
        <v>0</v>
      </c>
      <c r="Y622" s="40"/>
      <c r="Z622" s="119">
        <v>1</v>
      </c>
      <c r="AA622" s="368">
        <v>0</v>
      </c>
      <c r="AB622" s="535">
        <v>0</v>
      </c>
      <c r="AC622" s="39" t="s">
        <v>160</v>
      </c>
      <c r="AD622" s="75" t="s">
        <v>10</v>
      </c>
      <c r="AE622" s="95">
        <v>0</v>
      </c>
      <c r="AF622" s="75">
        <v>0</v>
      </c>
      <c r="AG622" s="75">
        <v>0</v>
      </c>
      <c r="AH622" s="75">
        <v>0</v>
      </c>
      <c r="AI622" s="75">
        <v>0</v>
      </c>
      <c r="AJ622" s="75">
        <v>0</v>
      </c>
      <c r="AK622" s="75">
        <v>0</v>
      </c>
      <c r="AL622" s="95">
        <v>1</v>
      </c>
      <c r="AM622" s="92">
        <v>0</v>
      </c>
      <c r="AN622" s="79" t="s">
        <v>80</v>
      </c>
      <c r="AO622" s="75">
        <v>1</v>
      </c>
      <c r="AP622" s="75" t="s">
        <v>83</v>
      </c>
      <c r="AQ622" s="122">
        <v>1</v>
      </c>
      <c r="AR622" s="515" t="s">
        <v>10</v>
      </c>
      <c r="AS622" s="95">
        <v>0</v>
      </c>
      <c r="AT622" s="75">
        <v>0</v>
      </c>
      <c r="AU622" s="75">
        <v>0</v>
      </c>
      <c r="AV622" s="75">
        <v>0</v>
      </c>
      <c r="AW622" s="123">
        <v>0</v>
      </c>
      <c r="AX622" s="516" t="s">
        <v>3943</v>
      </c>
      <c r="AY622" s="75">
        <v>1</v>
      </c>
      <c r="AZ622" s="77" t="s">
        <v>131</v>
      </c>
      <c r="BA622" s="78" t="s">
        <v>131</v>
      </c>
      <c r="BB622" s="78" t="s">
        <v>131</v>
      </c>
      <c r="BC622" s="78" t="s">
        <v>131</v>
      </c>
      <c r="BD622" s="78" t="s">
        <v>131</v>
      </c>
      <c r="BE622" s="78" t="s">
        <v>131</v>
      </c>
      <c r="BF622" s="78" t="s">
        <v>131</v>
      </c>
      <c r="BG622" s="78" t="s">
        <v>132</v>
      </c>
      <c r="BH622" s="75" t="s">
        <v>5970</v>
      </c>
      <c r="BI622" s="295" t="s">
        <v>16</v>
      </c>
      <c r="BJ622" s="546">
        <v>1</v>
      </c>
      <c r="BK622" s="294">
        <v>1</v>
      </c>
      <c r="BL622" s="157">
        <v>1</v>
      </c>
      <c r="BM622" s="548" t="s">
        <v>1342</v>
      </c>
      <c r="BN622" s="548" t="s">
        <v>4158</v>
      </c>
      <c r="BO622" s="157" t="s">
        <v>4277</v>
      </c>
      <c r="BP622" s="548" t="s">
        <v>2287</v>
      </c>
      <c r="BQ622" s="157" t="s">
        <v>4272</v>
      </c>
      <c r="BR622" s="157"/>
    </row>
    <row r="623" spans="1:70" x14ac:dyDescent="0.25">
      <c r="A623" s="19" t="s">
        <v>3686</v>
      </c>
      <c r="B623" s="37" t="s">
        <v>5805</v>
      </c>
      <c r="C623" s="90">
        <v>45153.723136574074</v>
      </c>
      <c r="D623" s="114">
        <v>45153.473136574074</v>
      </c>
      <c r="E623" s="38">
        <v>45153</v>
      </c>
      <c r="F623" s="91">
        <v>2023</v>
      </c>
      <c r="G623" s="93">
        <v>8</v>
      </c>
      <c r="H623" s="37" t="s">
        <v>2548</v>
      </c>
      <c r="I623" s="37"/>
      <c r="J623" s="103">
        <v>-90.589830937972295</v>
      </c>
      <c r="K623" s="40">
        <v>43.506580208224705</v>
      </c>
      <c r="L623" s="74"/>
      <c r="M623" s="272" t="s">
        <v>16</v>
      </c>
      <c r="N623" s="74">
        <v>0</v>
      </c>
      <c r="O623" s="94"/>
      <c r="P623" s="118">
        <v>1</v>
      </c>
      <c r="Q623" s="510">
        <v>180</v>
      </c>
      <c r="R623" s="513">
        <v>180</v>
      </c>
      <c r="S623" s="41"/>
      <c r="T623" s="40"/>
      <c r="U623" s="40">
        <v>7.5</v>
      </c>
      <c r="V623" s="119">
        <v>1</v>
      </c>
      <c r="W623" s="40">
        <v>0</v>
      </c>
      <c r="X623" s="119">
        <v>1</v>
      </c>
      <c r="Y623" s="40">
        <v>57</v>
      </c>
      <c r="Z623" s="119">
        <v>1</v>
      </c>
      <c r="AA623" s="368">
        <v>0</v>
      </c>
      <c r="AB623" s="535">
        <v>1</v>
      </c>
      <c r="AC623" s="39" t="s">
        <v>160</v>
      </c>
      <c r="AD623" s="75" t="s">
        <v>7</v>
      </c>
      <c r="AE623" s="95">
        <v>1</v>
      </c>
      <c r="AF623" s="75">
        <v>0</v>
      </c>
      <c r="AG623" s="75">
        <v>0</v>
      </c>
      <c r="AH623" s="75">
        <v>0</v>
      </c>
      <c r="AI623" s="75">
        <v>0</v>
      </c>
      <c r="AJ623" s="75">
        <v>0</v>
      </c>
      <c r="AK623" s="75">
        <v>0</v>
      </c>
      <c r="AL623" s="95">
        <v>0</v>
      </c>
      <c r="AM623" s="92">
        <v>0</v>
      </c>
      <c r="AN623" s="79" t="s">
        <v>80</v>
      </c>
      <c r="AO623" s="75">
        <v>1</v>
      </c>
      <c r="AP623" s="75" t="s">
        <v>83</v>
      </c>
      <c r="AQ623" s="122">
        <v>1</v>
      </c>
      <c r="AR623" s="515" t="s">
        <v>10</v>
      </c>
      <c r="AS623" s="95">
        <v>0</v>
      </c>
      <c r="AT623" s="75">
        <v>0</v>
      </c>
      <c r="AU623" s="75">
        <v>0</v>
      </c>
      <c r="AV623" s="75">
        <v>0</v>
      </c>
      <c r="AW623" s="123">
        <v>0</v>
      </c>
      <c r="AX623" s="516"/>
      <c r="AY623" s="75">
        <v>0</v>
      </c>
      <c r="AZ623" s="77" t="s">
        <v>132</v>
      </c>
      <c r="BA623" s="78" t="s">
        <v>131</v>
      </c>
      <c r="BB623" s="78" t="s">
        <v>131</v>
      </c>
      <c r="BC623" s="78" t="s">
        <v>131</v>
      </c>
      <c r="BD623" s="78" t="s">
        <v>131</v>
      </c>
      <c r="BE623" s="78" t="s">
        <v>131</v>
      </c>
      <c r="BF623" s="78" t="s">
        <v>131</v>
      </c>
      <c r="BG623" s="78" t="s">
        <v>131</v>
      </c>
      <c r="BH623" s="75" t="s">
        <v>5970</v>
      </c>
      <c r="BI623" s="295" t="s">
        <v>16</v>
      </c>
      <c r="BJ623" s="546">
        <v>1</v>
      </c>
      <c r="BK623" s="294" t="s">
        <v>16</v>
      </c>
      <c r="BL623" s="157" t="s">
        <v>16</v>
      </c>
      <c r="BM623" s="548" t="s">
        <v>1342</v>
      </c>
      <c r="BN623" s="548" t="s">
        <v>4158</v>
      </c>
      <c r="BO623" s="157" t="s">
        <v>4511</v>
      </c>
      <c r="BP623" s="548" t="s">
        <v>2269</v>
      </c>
      <c r="BQ623" s="157" t="s">
        <v>4274</v>
      </c>
      <c r="BR623" s="157"/>
    </row>
    <row r="624" spans="1:70" x14ac:dyDescent="0.25">
      <c r="A624" s="19" t="s">
        <v>3686</v>
      </c>
      <c r="B624" s="37" t="s">
        <v>2424</v>
      </c>
      <c r="C624" s="90">
        <v>45153.675057870372</v>
      </c>
      <c r="D624" s="114">
        <v>45153.425057870372</v>
      </c>
      <c r="E624" s="38">
        <v>45153</v>
      </c>
      <c r="F624" s="91">
        <v>2023</v>
      </c>
      <c r="G624" s="93">
        <v>8</v>
      </c>
      <c r="H624" s="37" t="s">
        <v>1386</v>
      </c>
      <c r="I624" s="37"/>
      <c r="J624" s="103">
        <v>-91.569513599999993</v>
      </c>
      <c r="K624" s="40">
        <v>43.502429599999999</v>
      </c>
      <c r="L624" s="74"/>
      <c r="M624" s="272" t="s">
        <v>16</v>
      </c>
      <c r="N624" s="74">
        <v>0</v>
      </c>
      <c r="O624" s="94"/>
      <c r="P624" s="118">
        <v>0</v>
      </c>
      <c r="Q624" s="510"/>
      <c r="R624" s="513"/>
      <c r="S624" s="41"/>
      <c r="T624" s="40"/>
      <c r="U624" s="40"/>
      <c r="V624" s="119">
        <v>1</v>
      </c>
      <c r="W624" s="40">
        <v>0</v>
      </c>
      <c r="X624" s="119">
        <v>1</v>
      </c>
      <c r="Y624" s="40">
        <v>53</v>
      </c>
      <c r="Z624" s="119">
        <v>1</v>
      </c>
      <c r="AA624" s="368">
        <v>0</v>
      </c>
      <c r="AB624" s="535">
        <v>5</v>
      </c>
      <c r="AC624" s="39" t="s">
        <v>160</v>
      </c>
      <c r="AD624" s="75" t="s">
        <v>10</v>
      </c>
      <c r="AE624" s="95">
        <v>0</v>
      </c>
      <c r="AF624" s="75">
        <v>0</v>
      </c>
      <c r="AG624" s="75">
        <v>0</v>
      </c>
      <c r="AH624" s="75">
        <v>0</v>
      </c>
      <c r="AI624" s="75">
        <v>0</v>
      </c>
      <c r="AJ624" s="75">
        <v>0</v>
      </c>
      <c r="AK624" s="75">
        <v>0</v>
      </c>
      <c r="AL624" s="95">
        <v>1</v>
      </c>
      <c r="AM624" s="92">
        <v>0</v>
      </c>
      <c r="AN624" s="79" t="s">
        <v>80</v>
      </c>
      <c r="AO624" s="75">
        <v>1</v>
      </c>
      <c r="AP624" s="75" t="s">
        <v>83</v>
      </c>
      <c r="AQ624" s="122">
        <v>1</v>
      </c>
      <c r="AR624" s="515" t="s">
        <v>10</v>
      </c>
      <c r="AS624" s="95">
        <v>0</v>
      </c>
      <c r="AT624" s="75">
        <v>0</v>
      </c>
      <c r="AU624" s="75">
        <v>0</v>
      </c>
      <c r="AV624" s="75">
        <v>0</v>
      </c>
      <c r="AW624" s="123">
        <v>0</v>
      </c>
      <c r="AX624" s="516"/>
      <c r="AY624" s="75">
        <v>0</v>
      </c>
      <c r="AZ624" s="77" t="s">
        <v>131</v>
      </c>
      <c r="BA624" s="78" t="s">
        <v>131</v>
      </c>
      <c r="BB624" s="78" t="s">
        <v>131</v>
      </c>
      <c r="BC624" s="78" t="s">
        <v>131</v>
      </c>
      <c r="BD624" s="78" t="s">
        <v>131</v>
      </c>
      <c r="BE624" s="78" t="s">
        <v>131</v>
      </c>
      <c r="BF624" s="78" t="s">
        <v>131</v>
      </c>
      <c r="BG624" s="78" t="s">
        <v>132</v>
      </c>
      <c r="BH624" s="75" t="s">
        <v>5970</v>
      </c>
      <c r="BI624" s="295" t="s">
        <v>2265</v>
      </c>
      <c r="BJ624" s="546">
        <v>1</v>
      </c>
      <c r="BK624" s="294">
        <v>1</v>
      </c>
      <c r="BL624" s="157">
        <v>1</v>
      </c>
      <c r="BM624" s="548" t="s">
        <v>1341</v>
      </c>
      <c r="BN624" s="548" t="s">
        <v>1339</v>
      </c>
      <c r="BO624" s="157" t="s">
        <v>4242</v>
      </c>
      <c r="BP624" s="548" t="s">
        <v>4041</v>
      </c>
      <c r="BQ624" s="157" t="s">
        <v>4241</v>
      </c>
      <c r="BR624" s="157"/>
    </row>
    <row r="625" spans="1:70" x14ac:dyDescent="0.25">
      <c r="A625" s="19" t="s">
        <v>3686</v>
      </c>
      <c r="B625" s="37" t="s">
        <v>2425</v>
      </c>
      <c r="C625" s="90">
        <v>45153.644641203704</v>
      </c>
      <c r="D625" s="114">
        <v>45153.394641203704</v>
      </c>
      <c r="E625" s="38">
        <v>45153</v>
      </c>
      <c r="F625" s="91">
        <v>2023</v>
      </c>
      <c r="G625" s="93">
        <v>8</v>
      </c>
      <c r="H625" s="37" t="s">
        <v>1386</v>
      </c>
      <c r="I625" s="37"/>
      <c r="J625" s="103">
        <v>-91.4131103</v>
      </c>
      <c r="K625" s="40">
        <v>43.540574999999997</v>
      </c>
      <c r="L625" s="74"/>
      <c r="M625" s="272" t="s">
        <v>16</v>
      </c>
      <c r="N625" s="74">
        <v>0</v>
      </c>
      <c r="O625" s="94"/>
      <c r="P625" s="118">
        <v>1</v>
      </c>
      <c r="Q625" s="510">
        <v>120</v>
      </c>
      <c r="R625" s="513">
        <v>120</v>
      </c>
      <c r="S625" s="41"/>
      <c r="T625" s="40"/>
      <c r="U625" s="40">
        <v>7.5</v>
      </c>
      <c r="V625" s="119">
        <v>1</v>
      </c>
      <c r="W625" s="40">
        <v>0</v>
      </c>
      <c r="X625" s="119">
        <v>1</v>
      </c>
      <c r="Y625" s="40">
        <v>56</v>
      </c>
      <c r="Z625" s="119">
        <v>1</v>
      </c>
      <c r="AA625" s="368">
        <v>0</v>
      </c>
      <c r="AB625" s="535">
        <v>5</v>
      </c>
      <c r="AC625" s="39" t="s">
        <v>160</v>
      </c>
      <c r="AD625" s="75" t="s">
        <v>10</v>
      </c>
      <c r="AE625" s="95">
        <v>0</v>
      </c>
      <c r="AF625" s="75">
        <v>0</v>
      </c>
      <c r="AG625" s="75">
        <v>0</v>
      </c>
      <c r="AH625" s="75">
        <v>0</v>
      </c>
      <c r="AI625" s="75">
        <v>0</v>
      </c>
      <c r="AJ625" s="75">
        <v>0</v>
      </c>
      <c r="AK625" s="75">
        <v>0</v>
      </c>
      <c r="AL625" s="95">
        <v>1</v>
      </c>
      <c r="AM625" s="92">
        <v>0</v>
      </c>
      <c r="AN625" s="79" t="s">
        <v>80</v>
      </c>
      <c r="AO625" s="75">
        <v>1</v>
      </c>
      <c r="AP625" s="75" t="s">
        <v>83</v>
      </c>
      <c r="AQ625" s="122">
        <v>1</v>
      </c>
      <c r="AR625" s="515" t="s">
        <v>10</v>
      </c>
      <c r="AS625" s="95">
        <v>0</v>
      </c>
      <c r="AT625" s="75">
        <v>0</v>
      </c>
      <c r="AU625" s="75">
        <v>0</v>
      </c>
      <c r="AV625" s="75">
        <v>0</v>
      </c>
      <c r="AW625" s="123">
        <v>0</v>
      </c>
      <c r="AX625" s="516"/>
      <c r="AY625" s="75">
        <v>0</v>
      </c>
      <c r="AZ625" s="77" t="s">
        <v>131</v>
      </c>
      <c r="BA625" s="78" t="s">
        <v>131</v>
      </c>
      <c r="BB625" s="78" t="s">
        <v>131</v>
      </c>
      <c r="BC625" s="78" t="s">
        <v>131</v>
      </c>
      <c r="BD625" s="78" t="s">
        <v>131</v>
      </c>
      <c r="BE625" s="78" t="s">
        <v>131</v>
      </c>
      <c r="BF625" s="78" t="s">
        <v>131</v>
      </c>
      <c r="BG625" s="78" t="s">
        <v>132</v>
      </c>
      <c r="BH625" s="75" t="s">
        <v>5970</v>
      </c>
      <c r="BI625" s="295" t="s">
        <v>4020</v>
      </c>
      <c r="BJ625" s="546">
        <v>1</v>
      </c>
      <c r="BK625" s="294">
        <v>1</v>
      </c>
      <c r="BL625" s="157">
        <v>1</v>
      </c>
      <c r="BM625" s="548" t="s">
        <v>1341</v>
      </c>
      <c r="BN625" s="548" t="s">
        <v>1339</v>
      </c>
      <c r="BO625" s="157" t="s">
        <v>4239</v>
      </c>
      <c r="BP625" s="548" t="s">
        <v>4240</v>
      </c>
      <c r="BQ625" s="157" t="s">
        <v>4238</v>
      </c>
      <c r="BR625" s="157"/>
    </row>
    <row r="626" spans="1:70" x14ac:dyDescent="0.25">
      <c r="A626" s="19" t="s">
        <v>3686</v>
      </c>
      <c r="B626" s="37" t="s">
        <v>2426</v>
      </c>
      <c r="C626" s="90">
        <v>45153.612395833334</v>
      </c>
      <c r="D626" s="114">
        <v>45153.362395833334</v>
      </c>
      <c r="E626" s="38">
        <v>45153</v>
      </c>
      <c r="F626" s="91">
        <v>2023</v>
      </c>
      <c r="G626" s="93">
        <v>8</v>
      </c>
      <c r="H626" s="37" t="s">
        <v>1386</v>
      </c>
      <c r="I626" s="37"/>
      <c r="J626" s="103">
        <v>-91.393278600000002</v>
      </c>
      <c r="K626" s="40">
        <v>43.606850700000003</v>
      </c>
      <c r="L626" s="74"/>
      <c r="M626" s="272" t="s">
        <v>16</v>
      </c>
      <c r="N626" s="74">
        <v>0</v>
      </c>
      <c r="O626" s="94"/>
      <c r="P626" s="118">
        <v>1</v>
      </c>
      <c r="Q626" s="510">
        <v>80</v>
      </c>
      <c r="R626" s="513">
        <v>180</v>
      </c>
      <c r="S626" s="41"/>
      <c r="T626" s="40"/>
      <c r="U626" s="40">
        <v>7.5</v>
      </c>
      <c r="V626" s="119">
        <v>1</v>
      </c>
      <c r="W626" s="40">
        <v>0</v>
      </c>
      <c r="X626" s="119">
        <v>1</v>
      </c>
      <c r="Y626" s="40">
        <v>60</v>
      </c>
      <c r="Z626" s="119">
        <v>1</v>
      </c>
      <c r="AA626" s="368">
        <v>0</v>
      </c>
      <c r="AB626" s="535">
        <v>5</v>
      </c>
      <c r="AC626" s="39" t="s">
        <v>160</v>
      </c>
      <c r="AD626" s="75" t="s">
        <v>10</v>
      </c>
      <c r="AE626" s="95">
        <v>0</v>
      </c>
      <c r="AF626" s="75">
        <v>0</v>
      </c>
      <c r="AG626" s="75">
        <v>0</v>
      </c>
      <c r="AH626" s="75">
        <v>0</v>
      </c>
      <c r="AI626" s="75">
        <v>0</v>
      </c>
      <c r="AJ626" s="75">
        <v>0</v>
      </c>
      <c r="AK626" s="75">
        <v>0</v>
      </c>
      <c r="AL626" s="95">
        <v>1</v>
      </c>
      <c r="AM626" s="92">
        <v>0</v>
      </c>
      <c r="AN626" s="79" t="s">
        <v>80</v>
      </c>
      <c r="AO626" s="75">
        <v>1</v>
      </c>
      <c r="AP626" s="75" t="s">
        <v>84</v>
      </c>
      <c r="AQ626" s="122">
        <v>1</v>
      </c>
      <c r="AR626" s="515" t="s">
        <v>10</v>
      </c>
      <c r="AS626" s="95">
        <v>0</v>
      </c>
      <c r="AT626" s="75">
        <v>0</v>
      </c>
      <c r="AU626" s="75">
        <v>0</v>
      </c>
      <c r="AV626" s="75">
        <v>0</v>
      </c>
      <c r="AW626" s="123">
        <v>0</v>
      </c>
      <c r="AX626" s="516"/>
      <c r="AY626" s="75">
        <v>0</v>
      </c>
      <c r="AZ626" s="77" t="s">
        <v>131</v>
      </c>
      <c r="BA626" s="78" t="s">
        <v>131</v>
      </c>
      <c r="BB626" s="78" t="s">
        <v>131</v>
      </c>
      <c r="BC626" s="78" t="s">
        <v>131</v>
      </c>
      <c r="BD626" s="78" t="s">
        <v>131</v>
      </c>
      <c r="BE626" s="78" t="s">
        <v>131</v>
      </c>
      <c r="BF626" s="78" t="s">
        <v>131</v>
      </c>
      <c r="BG626" s="78" t="s">
        <v>132</v>
      </c>
      <c r="BH626" s="75" t="s">
        <v>5970</v>
      </c>
      <c r="BI626" s="295" t="s">
        <v>4019</v>
      </c>
      <c r="BJ626" s="546">
        <v>1</v>
      </c>
      <c r="BK626" s="294" t="s">
        <v>16</v>
      </c>
      <c r="BL626" s="157" t="s">
        <v>16</v>
      </c>
      <c r="BM626" s="548" t="s">
        <v>1341</v>
      </c>
      <c r="BN626" s="548" t="s">
        <v>1339</v>
      </c>
      <c r="BO626" s="157" t="s">
        <v>4235</v>
      </c>
      <c r="BP626" s="548" t="s">
        <v>4237</v>
      </c>
      <c r="BQ626" s="157" t="s">
        <v>4234</v>
      </c>
      <c r="BR626" s="157"/>
    </row>
    <row r="627" spans="1:70" x14ac:dyDescent="0.25">
      <c r="A627" s="19" t="s">
        <v>3686</v>
      </c>
      <c r="B627" s="37" t="s">
        <v>2427</v>
      </c>
      <c r="C627" s="90">
        <v>45153.558379629627</v>
      </c>
      <c r="D627" s="114">
        <v>45153.308379629627</v>
      </c>
      <c r="E627" s="38">
        <v>45153</v>
      </c>
      <c r="F627" s="91">
        <v>2023</v>
      </c>
      <c r="G627" s="93">
        <v>8</v>
      </c>
      <c r="H627" s="37" t="s">
        <v>1386</v>
      </c>
      <c r="I627" s="37"/>
      <c r="J627" s="103">
        <v>-91.580416999999997</v>
      </c>
      <c r="K627" s="40">
        <v>43.642175899999998</v>
      </c>
      <c r="L627" s="74"/>
      <c r="M627" s="272" t="s">
        <v>16</v>
      </c>
      <c r="N627" s="74">
        <v>0</v>
      </c>
      <c r="O627" s="94"/>
      <c r="P627" s="118">
        <v>1</v>
      </c>
      <c r="Q627" s="510">
        <v>40</v>
      </c>
      <c r="R627" s="513">
        <v>120</v>
      </c>
      <c r="S627" s="41"/>
      <c r="T627" s="40"/>
      <c r="U627" s="40">
        <v>7.5</v>
      </c>
      <c r="V627" s="119">
        <v>1</v>
      </c>
      <c r="W627" s="40">
        <v>0</v>
      </c>
      <c r="X627" s="119">
        <v>1</v>
      </c>
      <c r="Y627" s="40">
        <v>50</v>
      </c>
      <c r="Z627" s="119">
        <v>1</v>
      </c>
      <c r="AA627" s="368">
        <v>0</v>
      </c>
      <c r="AB627" s="535">
        <v>5</v>
      </c>
      <c r="AC627" s="39" t="s">
        <v>160</v>
      </c>
      <c r="AD627" s="75" t="s">
        <v>10</v>
      </c>
      <c r="AE627" s="95">
        <v>0</v>
      </c>
      <c r="AF627" s="75">
        <v>0</v>
      </c>
      <c r="AG627" s="75">
        <v>0</v>
      </c>
      <c r="AH627" s="75">
        <v>0</v>
      </c>
      <c r="AI627" s="75">
        <v>0</v>
      </c>
      <c r="AJ627" s="75">
        <v>0</v>
      </c>
      <c r="AK627" s="75">
        <v>0</v>
      </c>
      <c r="AL627" s="95">
        <v>1</v>
      </c>
      <c r="AM627" s="92">
        <v>0</v>
      </c>
      <c r="AN627" s="79" t="s">
        <v>80</v>
      </c>
      <c r="AO627" s="75">
        <v>1</v>
      </c>
      <c r="AP627" s="75" t="s">
        <v>83</v>
      </c>
      <c r="AQ627" s="122">
        <v>1</v>
      </c>
      <c r="AR627" s="515" t="s">
        <v>10</v>
      </c>
      <c r="AS627" s="95">
        <v>0</v>
      </c>
      <c r="AT627" s="75">
        <v>0</v>
      </c>
      <c r="AU627" s="75">
        <v>0</v>
      </c>
      <c r="AV627" s="75">
        <v>0</v>
      </c>
      <c r="AW627" s="123">
        <v>0</v>
      </c>
      <c r="AX627" s="516"/>
      <c r="AY627" s="75">
        <v>0</v>
      </c>
      <c r="AZ627" s="77" t="s">
        <v>131</v>
      </c>
      <c r="BA627" s="78" t="s">
        <v>131</v>
      </c>
      <c r="BB627" s="78" t="s">
        <v>131</v>
      </c>
      <c r="BC627" s="78" t="s">
        <v>131</v>
      </c>
      <c r="BD627" s="78" t="s">
        <v>131</v>
      </c>
      <c r="BE627" s="78" t="s">
        <v>131</v>
      </c>
      <c r="BF627" s="78" t="s">
        <v>131</v>
      </c>
      <c r="BG627" s="78" t="s">
        <v>132</v>
      </c>
      <c r="BH627" s="75" t="s">
        <v>5970</v>
      </c>
      <c r="BI627" s="295" t="s">
        <v>2259</v>
      </c>
      <c r="BJ627" s="546">
        <v>1</v>
      </c>
      <c r="BK627" s="294" t="s">
        <v>16</v>
      </c>
      <c r="BL627" s="157" t="s">
        <v>16</v>
      </c>
      <c r="BM627" s="548" t="s">
        <v>1341</v>
      </c>
      <c r="BN627" s="548" t="s">
        <v>1339</v>
      </c>
      <c r="BO627" s="157" t="s">
        <v>4233</v>
      </c>
      <c r="BP627" s="548" t="s">
        <v>307</v>
      </c>
      <c r="BQ627" s="157" t="s">
        <v>4232</v>
      </c>
      <c r="BR627" s="157"/>
    </row>
    <row r="628" spans="1:70" x14ac:dyDescent="0.25">
      <c r="A628" s="19" t="s">
        <v>3686</v>
      </c>
      <c r="B628" s="37" t="s">
        <v>2428</v>
      </c>
      <c r="C628" s="90">
        <v>45153.026134259257</v>
      </c>
      <c r="D628" s="114">
        <v>45152.776134259257</v>
      </c>
      <c r="E628" s="38">
        <v>45152</v>
      </c>
      <c r="F628" s="91">
        <v>2023</v>
      </c>
      <c r="G628" s="93">
        <v>8</v>
      </c>
      <c r="H628" s="37" t="s">
        <v>621</v>
      </c>
      <c r="I628" s="37" t="s">
        <v>960</v>
      </c>
      <c r="J628" s="103">
        <v>-93.00899125644284</v>
      </c>
      <c r="K628" s="40">
        <v>44.657255429816111</v>
      </c>
      <c r="L628" s="74"/>
      <c r="M628" s="272" t="s">
        <v>16</v>
      </c>
      <c r="N628" s="74">
        <v>0</v>
      </c>
      <c r="O628" s="94"/>
      <c r="P628" s="118">
        <v>1</v>
      </c>
      <c r="Q628" s="510">
        <v>180</v>
      </c>
      <c r="R628" s="513">
        <v>180</v>
      </c>
      <c r="S628" s="41"/>
      <c r="T628" s="40"/>
      <c r="U628" s="40">
        <v>9</v>
      </c>
      <c r="V628" s="119">
        <v>1</v>
      </c>
      <c r="W628" s="40">
        <v>100</v>
      </c>
      <c r="X628" s="119">
        <v>1</v>
      </c>
      <c r="Y628" s="40">
        <v>60</v>
      </c>
      <c r="Z628" s="119">
        <v>1</v>
      </c>
      <c r="AA628" s="368">
        <v>0</v>
      </c>
      <c r="AB628" s="535">
        <v>5</v>
      </c>
      <c r="AC628" s="39" t="s">
        <v>160</v>
      </c>
      <c r="AD628" s="75" t="s">
        <v>10</v>
      </c>
      <c r="AE628" s="95">
        <v>0</v>
      </c>
      <c r="AF628" s="75">
        <v>0</v>
      </c>
      <c r="AG628" s="75">
        <v>0</v>
      </c>
      <c r="AH628" s="75">
        <v>0</v>
      </c>
      <c r="AI628" s="75">
        <v>0</v>
      </c>
      <c r="AJ628" s="75">
        <v>0</v>
      </c>
      <c r="AK628" s="75">
        <v>0</v>
      </c>
      <c r="AL628" s="95">
        <v>1</v>
      </c>
      <c r="AM628" s="92">
        <v>0</v>
      </c>
      <c r="AN628" s="79" t="s">
        <v>195</v>
      </c>
      <c r="AO628" s="75">
        <v>1</v>
      </c>
      <c r="AP628" s="75" t="s">
        <v>83</v>
      </c>
      <c r="AQ628" s="122">
        <v>1</v>
      </c>
      <c r="AR628" s="515" t="s">
        <v>13</v>
      </c>
      <c r="AS628" s="95">
        <v>1</v>
      </c>
      <c r="AT628" s="75">
        <v>0</v>
      </c>
      <c r="AU628" s="75">
        <v>0</v>
      </c>
      <c r="AV628" s="75">
        <v>0</v>
      </c>
      <c r="AW628" s="123">
        <v>0</v>
      </c>
      <c r="AX628" s="516"/>
      <c r="AY628" s="75">
        <v>0</v>
      </c>
      <c r="AZ628" s="77" t="s">
        <v>131</v>
      </c>
      <c r="BA628" s="78" t="s">
        <v>131</v>
      </c>
      <c r="BB628" s="78" t="s">
        <v>131</v>
      </c>
      <c r="BC628" s="78" t="s">
        <v>131</v>
      </c>
      <c r="BD628" s="78" t="s">
        <v>131</v>
      </c>
      <c r="BE628" s="78" t="s">
        <v>131</v>
      </c>
      <c r="BF628" s="78" t="s">
        <v>131</v>
      </c>
      <c r="BG628" s="78" t="s">
        <v>132</v>
      </c>
      <c r="BH628" s="75" t="s">
        <v>5970</v>
      </c>
      <c r="BI628" s="295" t="s">
        <v>2225</v>
      </c>
      <c r="BJ628" s="546">
        <v>1</v>
      </c>
      <c r="BK628" s="294" t="s">
        <v>16</v>
      </c>
      <c r="BL628" s="157" t="s">
        <v>16</v>
      </c>
      <c r="BM628" s="548" t="s">
        <v>2343</v>
      </c>
      <c r="BN628" s="548" t="s">
        <v>4161</v>
      </c>
      <c r="BO628" s="157" t="s">
        <v>4293</v>
      </c>
      <c r="BP628" s="548" t="s">
        <v>2225</v>
      </c>
      <c r="BQ628" s="157" t="s">
        <v>4292</v>
      </c>
      <c r="BR628" s="157"/>
    </row>
    <row r="629" spans="1:70" x14ac:dyDescent="0.25">
      <c r="A629" s="19" t="s">
        <v>3686</v>
      </c>
      <c r="B629" s="37" t="s">
        <v>2429</v>
      </c>
      <c r="C629" s="90">
        <v>45152.911076388889</v>
      </c>
      <c r="D629" s="114">
        <v>45152.661076388889</v>
      </c>
      <c r="E629" s="38">
        <v>45152</v>
      </c>
      <c r="F629" s="91">
        <v>2023</v>
      </c>
      <c r="G629" s="93">
        <v>8</v>
      </c>
      <c r="H629" s="37" t="s">
        <v>461</v>
      </c>
      <c r="I629" s="37" t="s">
        <v>154</v>
      </c>
      <c r="J629" s="103">
        <v>-92.146956233978258</v>
      </c>
      <c r="K629" s="40">
        <v>44.79318431744634</v>
      </c>
      <c r="L629" s="74"/>
      <c r="M629" s="272" t="s">
        <v>2430</v>
      </c>
      <c r="N629" s="74">
        <v>1</v>
      </c>
      <c r="O629" s="94"/>
      <c r="P629" s="118">
        <v>1</v>
      </c>
      <c r="Q629" s="510">
        <v>80</v>
      </c>
      <c r="R629" s="513">
        <v>120</v>
      </c>
      <c r="S629" s="41"/>
      <c r="T629" s="40"/>
      <c r="U629" s="40">
        <v>7</v>
      </c>
      <c r="V629" s="119">
        <v>1</v>
      </c>
      <c r="W629" s="40">
        <v>300</v>
      </c>
      <c r="X629" s="119">
        <v>1</v>
      </c>
      <c r="Y629" s="40">
        <v>61</v>
      </c>
      <c r="Z629" s="119">
        <v>1</v>
      </c>
      <c r="AA629" s="368">
        <v>0</v>
      </c>
      <c r="AB629" s="535">
        <v>1</v>
      </c>
      <c r="AC629" s="39" t="s">
        <v>160</v>
      </c>
      <c r="AD629" s="75" t="s">
        <v>10</v>
      </c>
      <c r="AE629" s="95">
        <v>0</v>
      </c>
      <c r="AF629" s="75">
        <v>0</v>
      </c>
      <c r="AG629" s="75">
        <v>0</v>
      </c>
      <c r="AH629" s="75">
        <v>0</v>
      </c>
      <c r="AI629" s="75">
        <v>0</v>
      </c>
      <c r="AJ629" s="75">
        <v>0</v>
      </c>
      <c r="AK629" s="75">
        <v>0</v>
      </c>
      <c r="AL629" s="95">
        <v>1</v>
      </c>
      <c r="AM629" s="92">
        <v>0</v>
      </c>
      <c r="AN629" s="79" t="s">
        <v>81</v>
      </c>
      <c r="AO629" s="75">
        <v>1</v>
      </c>
      <c r="AP629" s="75" t="s">
        <v>85</v>
      </c>
      <c r="AQ629" s="122">
        <v>1</v>
      </c>
      <c r="AR629" s="515" t="s">
        <v>16</v>
      </c>
      <c r="AS629" s="95">
        <v>-1</v>
      </c>
      <c r="AT629" s="75">
        <v>-1</v>
      </c>
      <c r="AU629" s="75">
        <v>-1</v>
      </c>
      <c r="AV629" s="75">
        <v>-1</v>
      </c>
      <c r="AW629" s="123">
        <v>1</v>
      </c>
      <c r="AX629" s="516" t="s">
        <v>2431</v>
      </c>
      <c r="AY629" s="75">
        <v>1</v>
      </c>
      <c r="AZ629" s="77" t="s">
        <v>131</v>
      </c>
      <c r="BA629" s="78" t="s">
        <v>131</v>
      </c>
      <c r="BB629" s="78" t="s">
        <v>131</v>
      </c>
      <c r="BC629" s="78" t="s">
        <v>131</v>
      </c>
      <c r="BD629" s="78" t="s">
        <v>131</v>
      </c>
      <c r="BE629" s="78" t="s">
        <v>131</v>
      </c>
      <c r="BF629" s="78" t="s">
        <v>131</v>
      </c>
      <c r="BG629" s="78" t="s">
        <v>132</v>
      </c>
      <c r="BH629" s="75" t="s">
        <v>5970</v>
      </c>
      <c r="BI629" s="295" t="s">
        <v>2270</v>
      </c>
      <c r="BJ629" s="546">
        <v>1</v>
      </c>
      <c r="BK629" s="294">
        <v>1</v>
      </c>
      <c r="BL629" s="157">
        <v>1</v>
      </c>
      <c r="BM629" s="548" t="s">
        <v>578</v>
      </c>
      <c r="BN629" s="548" t="s">
        <v>578</v>
      </c>
      <c r="BO629" s="157" t="s">
        <v>4317</v>
      </c>
      <c r="BP629" s="548" t="s">
        <v>2270</v>
      </c>
      <c r="BQ629" s="157" t="s">
        <v>4316</v>
      </c>
      <c r="BR629" s="157"/>
    </row>
    <row r="630" spans="1:70" x14ac:dyDescent="0.25">
      <c r="A630" s="19" t="s">
        <v>3686</v>
      </c>
      <c r="B630" s="37" t="s">
        <v>2432</v>
      </c>
      <c r="C630" s="90">
        <v>45152.907442129632</v>
      </c>
      <c r="D630" s="114">
        <v>45152.657442129632</v>
      </c>
      <c r="E630" s="38">
        <v>45152</v>
      </c>
      <c r="F630" s="91">
        <v>2023</v>
      </c>
      <c r="G630" s="93">
        <v>8</v>
      </c>
      <c r="H630" s="37" t="s">
        <v>461</v>
      </c>
      <c r="I630" s="37"/>
      <c r="J630" s="103">
        <v>-92.14694620781448</v>
      </c>
      <c r="K630" s="40">
        <v>44.793181003098894</v>
      </c>
      <c r="L630" s="74"/>
      <c r="M630" s="272" t="s">
        <v>16</v>
      </c>
      <c r="N630" s="74">
        <v>0</v>
      </c>
      <c r="O630" s="94"/>
      <c r="P630" s="118">
        <v>1</v>
      </c>
      <c r="Q630" s="510">
        <v>120</v>
      </c>
      <c r="R630" s="513">
        <v>120</v>
      </c>
      <c r="S630" s="41"/>
      <c r="T630" s="40"/>
      <c r="U630" s="40">
        <v>7</v>
      </c>
      <c r="V630" s="119">
        <v>1</v>
      </c>
      <c r="W630" s="40">
        <v>300</v>
      </c>
      <c r="X630" s="119">
        <v>1</v>
      </c>
      <c r="Y630" s="40">
        <v>61</v>
      </c>
      <c r="Z630" s="119">
        <v>1</v>
      </c>
      <c r="AA630" s="368">
        <v>0</v>
      </c>
      <c r="AB630" s="535">
        <v>2</v>
      </c>
      <c r="AC630" s="39" t="s">
        <v>160</v>
      </c>
      <c r="AD630" s="75" t="s">
        <v>16</v>
      </c>
      <c r="AE630" s="95">
        <v>-1</v>
      </c>
      <c r="AF630" s="75">
        <v>-1</v>
      </c>
      <c r="AG630" s="75">
        <v>-1</v>
      </c>
      <c r="AH630" s="75">
        <v>-1</v>
      </c>
      <c r="AI630" s="75">
        <v>-1</v>
      </c>
      <c r="AJ630" s="75">
        <v>-1</v>
      </c>
      <c r="AK630" s="75">
        <v>-1</v>
      </c>
      <c r="AL630" s="95">
        <v>-1</v>
      </c>
      <c r="AM630" s="92">
        <v>1</v>
      </c>
      <c r="AN630" s="79"/>
      <c r="AO630" s="75">
        <v>0</v>
      </c>
      <c r="AP630" s="75"/>
      <c r="AQ630" s="122">
        <v>0</v>
      </c>
      <c r="AR630" s="515" t="s">
        <v>16</v>
      </c>
      <c r="AS630" s="95">
        <v>-1</v>
      </c>
      <c r="AT630" s="75">
        <v>-1</v>
      </c>
      <c r="AU630" s="75">
        <v>-1</v>
      </c>
      <c r="AV630" s="75">
        <v>-1</v>
      </c>
      <c r="AW630" s="123">
        <v>1</v>
      </c>
      <c r="AX630" s="516"/>
      <c r="AY630" s="75">
        <v>0</v>
      </c>
      <c r="AZ630" s="77" t="s">
        <v>5971</v>
      </c>
      <c r="BA630" s="78" t="s">
        <v>5971</v>
      </c>
      <c r="BB630" s="78" t="s">
        <v>5971</v>
      </c>
      <c r="BC630" s="78" t="s">
        <v>5971</v>
      </c>
      <c r="BD630" s="78" t="s">
        <v>5971</v>
      </c>
      <c r="BE630" s="78" t="s">
        <v>5971</v>
      </c>
      <c r="BF630" s="78" t="s">
        <v>5971</v>
      </c>
      <c r="BG630" s="78" t="s">
        <v>5971</v>
      </c>
      <c r="BH630" s="75" t="s">
        <v>5971</v>
      </c>
      <c r="BI630" s="295" t="s">
        <v>2270</v>
      </c>
      <c r="BJ630" s="546">
        <v>1</v>
      </c>
      <c r="BK630" s="294">
        <v>1</v>
      </c>
      <c r="BL630" s="157">
        <v>1</v>
      </c>
      <c r="BM630" s="548" t="s">
        <v>578</v>
      </c>
      <c r="BN630" s="548" t="s">
        <v>578</v>
      </c>
      <c r="BO630" s="157" t="s">
        <v>4317</v>
      </c>
      <c r="BP630" s="548" t="s">
        <v>2270</v>
      </c>
      <c r="BQ630" s="157" t="s">
        <v>4316</v>
      </c>
      <c r="BR630" s="157"/>
    </row>
    <row r="631" spans="1:70" x14ac:dyDescent="0.25">
      <c r="A631" s="19" t="s">
        <v>3686</v>
      </c>
      <c r="B631" s="37" t="s">
        <v>2433</v>
      </c>
      <c r="C631" s="90">
        <v>45152.709398148145</v>
      </c>
      <c r="D631" s="114">
        <v>45152.459398148145</v>
      </c>
      <c r="E631" s="38">
        <v>45152</v>
      </c>
      <c r="F631" s="91">
        <v>2023</v>
      </c>
      <c r="G631" s="93">
        <v>8</v>
      </c>
      <c r="H631" s="37" t="s">
        <v>2434</v>
      </c>
      <c r="I631" s="37"/>
      <c r="J631" s="103">
        <v>-91.812359736511397</v>
      </c>
      <c r="K631" s="40">
        <v>44.001311521693928</v>
      </c>
      <c r="L631" s="74"/>
      <c r="M631" s="272" t="s">
        <v>16</v>
      </c>
      <c r="N631" s="74">
        <v>0</v>
      </c>
      <c r="O631" s="94"/>
      <c r="P631" s="118">
        <v>0</v>
      </c>
      <c r="Q631" s="510"/>
      <c r="R631" s="513"/>
      <c r="S631" s="41"/>
      <c r="T631" s="40"/>
      <c r="U631" s="40"/>
      <c r="V631" s="119">
        <v>1</v>
      </c>
      <c r="W631" s="40">
        <v>200</v>
      </c>
      <c r="X631" s="119">
        <v>1</v>
      </c>
      <c r="Y631" s="40">
        <v>52</v>
      </c>
      <c r="Z631" s="119">
        <v>0</v>
      </c>
      <c r="AA631" s="368" t="s">
        <v>16</v>
      </c>
      <c r="AB631" s="535" t="s">
        <v>16</v>
      </c>
      <c r="AC631" s="39"/>
      <c r="AD631" s="75" t="s">
        <v>16</v>
      </c>
      <c r="AE631" s="95">
        <v>-1</v>
      </c>
      <c r="AF631" s="75">
        <v>-1</v>
      </c>
      <c r="AG631" s="75">
        <v>-1</v>
      </c>
      <c r="AH631" s="75">
        <v>-1</v>
      </c>
      <c r="AI631" s="75">
        <v>-1</v>
      </c>
      <c r="AJ631" s="75">
        <v>-1</v>
      </c>
      <c r="AK631" s="75">
        <v>-1</v>
      </c>
      <c r="AL631" s="95">
        <v>-1</v>
      </c>
      <c r="AM631" s="92">
        <v>1</v>
      </c>
      <c r="AN631" s="79"/>
      <c r="AO631" s="75">
        <v>0</v>
      </c>
      <c r="AP631" s="75"/>
      <c r="AQ631" s="122">
        <v>0</v>
      </c>
      <c r="AR631" s="515" t="s">
        <v>16</v>
      </c>
      <c r="AS631" s="95">
        <v>-1</v>
      </c>
      <c r="AT631" s="75">
        <v>-1</v>
      </c>
      <c r="AU631" s="75">
        <v>-1</v>
      </c>
      <c r="AV631" s="75">
        <v>-1</v>
      </c>
      <c r="AW631" s="123">
        <v>1</v>
      </c>
      <c r="AX631" s="516"/>
      <c r="AY631" s="75">
        <v>0</v>
      </c>
      <c r="AZ631" s="77" t="s">
        <v>5971</v>
      </c>
      <c r="BA631" s="78" t="s">
        <v>5971</v>
      </c>
      <c r="BB631" s="78" t="s">
        <v>5971</v>
      </c>
      <c r="BC631" s="78" t="s">
        <v>5971</v>
      </c>
      <c r="BD631" s="78" t="s">
        <v>5971</v>
      </c>
      <c r="BE631" s="78" t="s">
        <v>5971</v>
      </c>
      <c r="BF631" s="78" t="s">
        <v>5971</v>
      </c>
      <c r="BG631" s="78" t="s">
        <v>5971</v>
      </c>
      <c r="BH631" s="75" t="s">
        <v>5971</v>
      </c>
      <c r="BI631" s="295" t="s">
        <v>313</v>
      </c>
      <c r="BJ631" s="546">
        <v>1</v>
      </c>
      <c r="BK631" s="294">
        <v>1</v>
      </c>
      <c r="BL631" s="157">
        <v>1</v>
      </c>
      <c r="BM631" s="548" t="s">
        <v>1341</v>
      </c>
      <c r="BN631" s="548" t="s">
        <v>544</v>
      </c>
      <c r="BO631" s="157" t="s">
        <v>4360</v>
      </c>
      <c r="BP631" s="548" t="s">
        <v>313</v>
      </c>
      <c r="BQ631" s="157" t="s">
        <v>4359</v>
      </c>
      <c r="BR631" s="157"/>
    </row>
    <row r="632" spans="1:70" x14ac:dyDescent="0.25">
      <c r="A632" s="19" t="s">
        <v>3686</v>
      </c>
      <c r="B632" s="37" t="s">
        <v>2435</v>
      </c>
      <c r="C632" s="90">
        <v>45152.707256944443</v>
      </c>
      <c r="D632" s="114">
        <v>45152.457256944443</v>
      </c>
      <c r="E632" s="38">
        <v>45152</v>
      </c>
      <c r="F632" s="91">
        <v>2023</v>
      </c>
      <c r="G632" s="93">
        <v>8</v>
      </c>
      <c r="H632" s="37" t="s">
        <v>2434</v>
      </c>
      <c r="I632" s="37" t="s">
        <v>16</v>
      </c>
      <c r="J632" s="103">
        <v>-91.812375187965401</v>
      </c>
      <c r="K632" s="40">
        <v>44.001317101942959</v>
      </c>
      <c r="L632" s="74"/>
      <c r="M632" s="272" t="s">
        <v>16</v>
      </c>
      <c r="N632" s="74">
        <v>0</v>
      </c>
      <c r="O632" s="94"/>
      <c r="P632" s="118">
        <v>1</v>
      </c>
      <c r="Q632" s="510">
        <v>180</v>
      </c>
      <c r="R632" s="513">
        <v>120</v>
      </c>
      <c r="S632" s="41"/>
      <c r="T632" s="40"/>
      <c r="U632" s="40">
        <v>7.5</v>
      </c>
      <c r="V632" s="119">
        <v>0</v>
      </c>
      <c r="W632" s="40"/>
      <c r="X632" s="119">
        <v>0</v>
      </c>
      <c r="Y632" s="40"/>
      <c r="Z632" s="119">
        <v>1</v>
      </c>
      <c r="AA632" s="368">
        <v>0</v>
      </c>
      <c r="AB632" s="535">
        <v>5</v>
      </c>
      <c r="AC632" s="39" t="s">
        <v>160</v>
      </c>
      <c r="AD632" s="75" t="s">
        <v>10</v>
      </c>
      <c r="AE632" s="95">
        <v>0</v>
      </c>
      <c r="AF632" s="75">
        <v>0</v>
      </c>
      <c r="AG632" s="75">
        <v>0</v>
      </c>
      <c r="AH632" s="75">
        <v>0</v>
      </c>
      <c r="AI632" s="75">
        <v>0</v>
      </c>
      <c r="AJ632" s="75">
        <v>0</v>
      </c>
      <c r="AK632" s="75">
        <v>0</v>
      </c>
      <c r="AL632" s="95">
        <v>1</v>
      </c>
      <c r="AM632" s="92">
        <v>0</v>
      </c>
      <c r="AN632" s="79" t="s">
        <v>81</v>
      </c>
      <c r="AO632" s="75">
        <v>1</v>
      </c>
      <c r="AP632" s="75"/>
      <c r="AQ632" s="122">
        <v>0</v>
      </c>
      <c r="AR632" s="515" t="s">
        <v>13</v>
      </c>
      <c r="AS632" s="95">
        <v>1</v>
      </c>
      <c r="AT632" s="75">
        <v>0</v>
      </c>
      <c r="AU632" s="75">
        <v>0</v>
      </c>
      <c r="AV632" s="75">
        <v>0</v>
      </c>
      <c r="AW632" s="123">
        <v>0</v>
      </c>
      <c r="AX632" s="516"/>
      <c r="AY632" s="75">
        <v>0</v>
      </c>
      <c r="AZ632" s="77" t="s">
        <v>131</v>
      </c>
      <c r="BA632" s="78" t="s">
        <v>131</v>
      </c>
      <c r="BB632" s="78" t="s">
        <v>131</v>
      </c>
      <c r="BC632" s="78" t="s">
        <v>131</v>
      </c>
      <c r="BD632" s="78" t="s">
        <v>131</v>
      </c>
      <c r="BE632" s="78" t="s">
        <v>131</v>
      </c>
      <c r="BF632" s="78" t="s">
        <v>131</v>
      </c>
      <c r="BG632" s="78" t="s">
        <v>132</v>
      </c>
      <c r="BH632" s="75" t="s">
        <v>5970</v>
      </c>
      <c r="BI632" s="295" t="s">
        <v>313</v>
      </c>
      <c r="BJ632" s="546">
        <v>1</v>
      </c>
      <c r="BK632" s="294">
        <v>1</v>
      </c>
      <c r="BL632" s="157">
        <v>1</v>
      </c>
      <c r="BM632" s="548" t="s">
        <v>1341</v>
      </c>
      <c r="BN632" s="548" t="s">
        <v>544</v>
      </c>
      <c r="BO632" s="157" t="s">
        <v>4360</v>
      </c>
      <c r="BP632" s="548" t="s">
        <v>313</v>
      </c>
      <c r="BQ632" s="157" t="s">
        <v>4359</v>
      </c>
      <c r="BR632" s="157"/>
    </row>
    <row r="633" spans="1:70" x14ac:dyDescent="0.25">
      <c r="A633" s="19" t="s">
        <v>3686</v>
      </c>
      <c r="B633" s="37" t="s">
        <v>2436</v>
      </c>
      <c r="C633" s="90">
        <v>45152.680509259262</v>
      </c>
      <c r="D633" s="114">
        <v>45152.430509259262</v>
      </c>
      <c r="E633" s="38">
        <v>45152</v>
      </c>
      <c r="F633" s="91">
        <v>2023</v>
      </c>
      <c r="G633" s="93">
        <v>8</v>
      </c>
      <c r="H633" s="37" t="s">
        <v>2434</v>
      </c>
      <c r="I633" s="37"/>
      <c r="J633" s="103">
        <v>-91.998411481527086</v>
      </c>
      <c r="K633" s="40">
        <v>44.090263383908578</v>
      </c>
      <c r="L633" s="74"/>
      <c r="M633" s="272" t="s">
        <v>16</v>
      </c>
      <c r="N633" s="74">
        <v>0</v>
      </c>
      <c r="O633" s="94"/>
      <c r="P633" s="118">
        <v>0</v>
      </c>
      <c r="Q633" s="510"/>
      <c r="R633" s="513"/>
      <c r="S633" s="41"/>
      <c r="T633" s="40"/>
      <c r="U633" s="40"/>
      <c r="V633" s="119">
        <v>1</v>
      </c>
      <c r="W633" s="40">
        <v>0</v>
      </c>
      <c r="X633" s="119">
        <v>1</v>
      </c>
      <c r="Y633" s="40">
        <v>57</v>
      </c>
      <c r="Z633" s="119">
        <v>0</v>
      </c>
      <c r="AA633" s="368" t="s">
        <v>16</v>
      </c>
      <c r="AB633" s="535" t="s">
        <v>16</v>
      </c>
      <c r="AC633" s="39"/>
      <c r="AD633" s="75" t="s">
        <v>16</v>
      </c>
      <c r="AE633" s="95">
        <v>-1</v>
      </c>
      <c r="AF633" s="75">
        <v>-1</v>
      </c>
      <c r="AG633" s="75">
        <v>-1</v>
      </c>
      <c r="AH633" s="75">
        <v>-1</v>
      </c>
      <c r="AI633" s="75">
        <v>-1</v>
      </c>
      <c r="AJ633" s="75">
        <v>-1</v>
      </c>
      <c r="AK633" s="75">
        <v>-1</v>
      </c>
      <c r="AL633" s="95">
        <v>-1</v>
      </c>
      <c r="AM633" s="92">
        <v>1</v>
      </c>
      <c r="AN633" s="79"/>
      <c r="AO633" s="75">
        <v>0</v>
      </c>
      <c r="AP633" s="75"/>
      <c r="AQ633" s="122">
        <v>0</v>
      </c>
      <c r="AR633" s="515" t="s">
        <v>16</v>
      </c>
      <c r="AS633" s="95">
        <v>-1</v>
      </c>
      <c r="AT633" s="75">
        <v>-1</v>
      </c>
      <c r="AU633" s="75">
        <v>-1</v>
      </c>
      <c r="AV633" s="75">
        <v>-1</v>
      </c>
      <c r="AW633" s="123">
        <v>1</v>
      </c>
      <c r="AX633" s="516"/>
      <c r="AY633" s="75">
        <v>0</v>
      </c>
      <c r="AZ633" s="77" t="s">
        <v>5971</v>
      </c>
      <c r="BA633" s="78" t="s">
        <v>5971</v>
      </c>
      <c r="BB633" s="78" t="s">
        <v>5971</v>
      </c>
      <c r="BC633" s="78" t="s">
        <v>5971</v>
      </c>
      <c r="BD633" s="78" t="s">
        <v>5971</v>
      </c>
      <c r="BE633" s="78" t="s">
        <v>5971</v>
      </c>
      <c r="BF633" s="78" t="s">
        <v>5971</v>
      </c>
      <c r="BG633" s="78" t="s">
        <v>5971</v>
      </c>
      <c r="BH633" s="75" t="s">
        <v>5971</v>
      </c>
      <c r="BI633" s="295" t="s">
        <v>2255</v>
      </c>
      <c r="BJ633" s="546">
        <v>1</v>
      </c>
      <c r="BK633" s="294" t="s">
        <v>16</v>
      </c>
      <c r="BL633" s="157" t="s">
        <v>16</v>
      </c>
      <c r="BM633" s="548" t="s">
        <v>1341</v>
      </c>
      <c r="BN633" s="548" t="s">
        <v>544</v>
      </c>
      <c r="BO633" s="157" t="s">
        <v>4362</v>
      </c>
      <c r="BP633" s="548" t="s">
        <v>4363</v>
      </c>
      <c r="BQ633" s="157" t="s">
        <v>4361</v>
      </c>
      <c r="BR633" s="157"/>
    </row>
    <row r="634" spans="1:70" x14ac:dyDescent="0.25">
      <c r="A634" s="19" t="s">
        <v>3686</v>
      </c>
      <c r="B634" s="37" t="s">
        <v>2437</v>
      </c>
      <c r="C634" s="90">
        <v>45152.679699074077</v>
      </c>
      <c r="D634" s="114">
        <v>45152.429699074077</v>
      </c>
      <c r="E634" s="38">
        <v>45152</v>
      </c>
      <c r="F634" s="91">
        <v>2023</v>
      </c>
      <c r="G634" s="93">
        <v>8</v>
      </c>
      <c r="H634" s="37" t="s">
        <v>2434</v>
      </c>
      <c r="I634" s="37" t="s">
        <v>16</v>
      </c>
      <c r="J634" s="103">
        <v>-91.998459221439944</v>
      </c>
      <c r="K634" s="40">
        <v>44.090364490869824</v>
      </c>
      <c r="L634" s="74"/>
      <c r="M634" s="272" t="s">
        <v>16</v>
      </c>
      <c r="N634" s="74">
        <v>0</v>
      </c>
      <c r="O634" s="94"/>
      <c r="P634" s="118">
        <v>1</v>
      </c>
      <c r="Q634" s="510">
        <v>180</v>
      </c>
      <c r="R634" s="513">
        <v>120</v>
      </c>
      <c r="S634" s="41"/>
      <c r="T634" s="40"/>
      <c r="U634" s="40">
        <v>7</v>
      </c>
      <c r="V634" s="119">
        <v>0</v>
      </c>
      <c r="W634" s="40"/>
      <c r="X634" s="119">
        <v>0</v>
      </c>
      <c r="Y634" s="40"/>
      <c r="Z634" s="119">
        <v>1</v>
      </c>
      <c r="AA634" s="368">
        <v>0</v>
      </c>
      <c r="AB634" s="535">
        <v>5</v>
      </c>
      <c r="AC634" s="39" t="s">
        <v>160</v>
      </c>
      <c r="AD634" s="75" t="s">
        <v>10</v>
      </c>
      <c r="AE634" s="95">
        <v>0</v>
      </c>
      <c r="AF634" s="75">
        <v>0</v>
      </c>
      <c r="AG634" s="75">
        <v>0</v>
      </c>
      <c r="AH634" s="75">
        <v>0</v>
      </c>
      <c r="AI634" s="75">
        <v>0</v>
      </c>
      <c r="AJ634" s="75">
        <v>0</v>
      </c>
      <c r="AK634" s="75">
        <v>0</v>
      </c>
      <c r="AL634" s="95">
        <v>1</v>
      </c>
      <c r="AM634" s="92">
        <v>0</v>
      </c>
      <c r="AN634" s="79" t="s">
        <v>80</v>
      </c>
      <c r="AO634" s="75">
        <v>1</v>
      </c>
      <c r="AP634" s="75" t="s">
        <v>83</v>
      </c>
      <c r="AQ634" s="122">
        <v>1</v>
      </c>
      <c r="AR634" s="515" t="s">
        <v>13</v>
      </c>
      <c r="AS634" s="95">
        <v>1</v>
      </c>
      <c r="AT634" s="75">
        <v>0</v>
      </c>
      <c r="AU634" s="75">
        <v>0</v>
      </c>
      <c r="AV634" s="75">
        <v>0</v>
      </c>
      <c r="AW634" s="123">
        <v>0</v>
      </c>
      <c r="AX634" s="516"/>
      <c r="AY634" s="75">
        <v>0</v>
      </c>
      <c r="AZ634" s="77" t="s">
        <v>131</v>
      </c>
      <c r="BA634" s="78" t="s">
        <v>131</v>
      </c>
      <c r="BB634" s="78" t="s">
        <v>131</v>
      </c>
      <c r="BC634" s="78" t="s">
        <v>131</v>
      </c>
      <c r="BD634" s="78" t="s">
        <v>131</v>
      </c>
      <c r="BE634" s="78" t="s">
        <v>131</v>
      </c>
      <c r="BF634" s="78" t="s">
        <v>131</v>
      </c>
      <c r="BG634" s="78" t="s">
        <v>132</v>
      </c>
      <c r="BH634" s="75" t="s">
        <v>5970</v>
      </c>
      <c r="BI634" s="295" t="s">
        <v>2255</v>
      </c>
      <c r="BJ634" s="546">
        <v>1</v>
      </c>
      <c r="BK634" s="294" t="s">
        <v>16</v>
      </c>
      <c r="BL634" s="157" t="s">
        <v>16</v>
      </c>
      <c r="BM634" s="548" t="s">
        <v>1341</v>
      </c>
      <c r="BN634" s="548" t="s">
        <v>544</v>
      </c>
      <c r="BO634" s="157" t="s">
        <v>4362</v>
      </c>
      <c r="BP634" s="548" t="s">
        <v>4363</v>
      </c>
      <c r="BQ634" s="157" t="s">
        <v>4361</v>
      </c>
      <c r="BR634" s="157"/>
    </row>
    <row r="635" spans="1:70" x14ac:dyDescent="0.25">
      <c r="A635" s="19" t="s">
        <v>3686</v>
      </c>
      <c r="B635" s="37" t="s">
        <v>2438</v>
      </c>
      <c r="C635" s="90">
        <v>45150.638078703705</v>
      </c>
      <c r="D635" s="114">
        <v>45150.388078703705</v>
      </c>
      <c r="E635" s="38">
        <v>45150</v>
      </c>
      <c r="F635" s="91">
        <v>2023</v>
      </c>
      <c r="G635" s="93">
        <v>8</v>
      </c>
      <c r="H635" s="37" t="s">
        <v>1410</v>
      </c>
      <c r="I635" s="37" t="s">
        <v>1411</v>
      </c>
      <c r="J635" s="103">
        <v>-93.231430252812757</v>
      </c>
      <c r="K635" s="40">
        <v>44.846776416703499</v>
      </c>
      <c r="L635" s="74"/>
      <c r="M635" s="272" t="s">
        <v>16</v>
      </c>
      <c r="N635" s="74">
        <v>0</v>
      </c>
      <c r="O635" s="94"/>
      <c r="P635" s="118">
        <v>1</v>
      </c>
      <c r="Q635" s="510">
        <v>120</v>
      </c>
      <c r="R635" s="513">
        <v>180</v>
      </c>
      <c r="S635" s="41"/>
      <c r="T635" s="40"/>
      <c r="U635" s="40">
        <v>7</v>
      </c>
      <c r="V635" s="119">
        <v>1</v>
      </c>
      <c r="W635" s="40">
        <v>0</v>
      </c>
      <c r="X635" s="119">
        <v>1</v>
      </c>
      <c r="Y635" s="40">
        <v>57</v>
      </c>
      <c r="Z635" s="119">
        <v>1</v>
      </c>
      <c r="AA635" s="368">
        <v>0</v>
      </c>
      <c r="AB635" s="535">
        <v>1</v>
      </c>
      <c r="AC635" s="39" t="s">
        <v>160</v>
      </c>
      <c r="AD635" s="75" t="s">
        <v>10</v>
      </c>
      <c r="AE635" s="95">
        <v>0</v>
      </c>
      <c r="AF635" s="75">
        <v>0</v>
      </c>
      <c r="AG635" s="75">
        <v>0</v>
      </c>
      <c r="AH635" s="75">
        <v>0</v>
      </c>
      <c r="AI635" s="75">
        <v>0</v>
      </c>
      <c r="AJ635" s="75">
        <v>0</v>
      </c>
      <c r="AK635" s="75">
        <v>0</v>
      </c>
      <c r="AL635" s="95">
        <v>1</v>
      </c>
      <c r="AM635" s="92">
        <v>0</v>
      </c>
      <c r="AN635" s="79" t="s">
        <v>81</v>
      </c>
      <c r="AO635" s="75">
        <v>1</v>
      </c>
      <c r="AP635" s="75" t="s">
        <v>83</v>
      </c>
      <c r="AQ635" s="122">
        <v>1</v>
      </c>
      <c r="AR635" s="515" t="s">
        <v>10</v>
      </c>
      <c r="AS635" s="95">
        <v>0</v>
      </c>
      <c r="AT635" s="75">
        <v>0</v>
      </c>
      <c r="AU635" s="75">
        <v>0</v>
      </c>
      <c r="AV635" s="75">
        <v>0</v>
      </c>
      <c r="AW635" s="123">
        <v>0</v>
      </c>
      <c r="AX635" s="516" t="s">
        <v>2439</v>
      </c>
      <c r="AY635" s="75">
        <v>1</v>
      </c>
      <c r="AZ635" s="77" t="s">
        <v>131</v>
      </c>
      <c r="BA635" s="78" t="s">
        <v>131</v>
      </c>
      <c r="BB635" s="78" t="s">
        <v>131</v>
      </c>
      <c r="BC635" s="78" t="s">
        <v>131</v>
      </c>
      <c r="BD635" s="78" t="s">
        <v>131</v>
      </c>
      <c r="BE635" s="78" t="s">
        <v>131</v>
      </c>
      <c r="BF635" s="78" t="s">
        <v>131</v>
      </c>
      <c r="BG635" s="78" t="s">
        <v>132</v>
      </c>
      <c r="BH635" s="75" t="s">
        <v>5970</v>
      </c>
      <c r="BI635" s="295" t="s">
        <v>16</v>
      </c>
      <c r="BJ635" s="546" t="s">
        <v>16</v>
      </c>
      <c r="BK635" s="294" t="s">
        <v>16</v>
      </c>
      <c r="BL635" s="157" t="s">
        <v>16</v>
      </c>
      <c r="BM635" s="548" t="s">
        <v>2343</v>
      </c>
      <c r="BN635" s="548" t="s">
        <v>4161</v>
      </c>
      <c r="BO635" s="157" t="s">
        <v>4327</v>
      </c>
      <c r="BP635" s="548" t="s">
        <v>4314</v>
      </c>
      <c r="BQ635" s="157" t="s">
        <v>4312</v>
      </c>
      <c r="BR635" s="157"/>
    </row>
    <row r="636" spans="1:70" x14ac:dyDescent="0.25">
      <c r="A636" s="19" t="s">
        <v>3686</v>
      </c>
      <c r="B636" s="37" t="s">
        <v>2440</v>
      </c>
      <c r="C636" s="90">
        <v>45150.584675925929</v>
      </c>
      <c r="D636" s="114">
        <v>45150.334675925929</v>
      </c>
      <c r="E636" s="38">
        <v>45150</v>
      </c>
      <c r="F636" s="91">
        <v>2023</v>
      </c>
      <c r="G636" s="93">
        <v>8</v>
      </c>
      <c r="H636" s="37" t="s">
        <v>2441</v>
      </c>
      <c r="I636" s="37"/>
      <c r="J636" s="103">
        <v>-90.887706699999995</v>
      </c>
      <c r="K636" s="40">
        <v>43.442246699999998</v>
      </c>
      <c r="L636" s="74"/>
      <c r="M636" s="272" t="s">
        <v>16</v>
      </c>
      <c r="N636" s="74">
        <v>0</v>
      </c>
      <c r="O636" s="94"/>
      <c r="P636" s="118">
        <v>1</v>
      </c>
      <c r="Q636" s="510">
        <v>120</v>
      </c>
      <c r="R636" s="513">
        <v>120</v>
      </c>
      <c r="S636" s="41"/>
      <c r="T636" s="40"/>
      <c r="U636" s="40">
        <v>7.5</v>
      </c>
      <c r="V636" s="119">
        <v>1</v>
      </c>
      <c r="W636" s="40">
        <v>0</v>
      </c>
      <c r="X636" s="119">
        <v>0</v>
      </c>
      <c r="Y636" s="40"/>
      <c r="Z636" s="119">
        <v>1</v>
      </c>
      <c r="AA636" s="368">
        <v>0</v>
      </c>
      <c r="AB636" s="535">
        <v>2</v>
      </c>
      <c r="AC636" s="39" t="s">
        <v>160</v>
      </c>
      <c r="AD636" s="75" t="s">
        <v>10</v>
      </c>
      <c r="AE636" s="95">
        <v>0</v>
      </c>
      <c r="AF636" s="75">
        <v>0</v>
      </c>
      <c r="AG636" s="75">
        <v>0</v>
      </c>
      <c r="AH636" s="75">
        <v>0</v>
      </c>
      <c r="AI636" s="75">
        <v>0</v>
      </c>
      <c r="AJ636" s="75">
        <v>0</v>
      </c>
      <c r="AK636" s="75">
        <v>0</v>
      </c>
      <c r="AL636" s="95">
        <v>1</v>
      </c>
      <c r="AM636" s="92">
        <v>0</v>
      </c>
      <c r="AN636" s="79" t="s">
        <v>80</v>
      </c>
      <c r="AO636" s="75">
        <v>1</v>
      </c>
      <c r="AP636" s="75" t="s">
        <v>83</v>
      </c>
      <c r="AQ636" s="122">
        <v>1</v>
      </c>
      <c r="AR636" s="515" t="s">
        <v>35</v>
      </c>
      <c r="AS636" s="95">
        <v>0</v>
      </c>
      <c r="AT636" s="75">
        <v>1</v>
      </c>
      <c r="AU636" s="75">
        <v>0</v>
      </c>
      <c r="AV636" s="75">
        <v>0</v>
      </c>
      <c r="AW636" s="123">
        <v>0</v>
      </c>
      <c r="AX636" s="516" t="s">
        <v>2442</v>
      </c>
      <c r="AY636" s="75">
        <v>1</v>
      </c>
      <c r="AZ636" s="77" t="s">
        <v>131</v>
      </c>
      <c r="BA636" s="78" t="s">
        <v>131</v>
      </c>
      <c r="BB636" s="78" t="s">
        <v>131</v>
      </c>
      <c r="BC636" s="78" t="s">
        <v>131</v>
      </c>
      <c r="BD636" s="78" t="s">
        <v>131</v>
      </c>
      <c r="BE636" s="78" t="s">
        <v>131</v>
      </c>
      <c r="BF636" s="78" t="s">
        <v>131</v>
      </c>
      <c r="BG636" s="78" t="s">
        <v>132</v>
      </c>
      <c r="BH636" s="75" t="s">
        <v>5970</v>
      </c>
      <c r="BI636" s="295" t="s">
        <v>4063</v>
      </c>
      <c r="BJ636" s="546">
        <v>1</v>
      </c>
      <c r="BK636" s="294">
        <v>1</v>
      </c>
      <c r="BL636" s="157">
        <v>1</v>
      </c>
      <c r="BM636" s="548" t="s">
        <v>1342</v>
      </c>
      <c r="BN636" s="548" t="s">
        <v>1342</v>
      </c>
      <c r="BO636" s="157" t="s">
        <v>4401</v>
      </c>
      <c r="BP636" s="548" t="s">
        <v>4063</v>
      </c>
      <c r="BQ636" s="157" t="s">
        <v>4303</v>
      </c>
      <c r="BR636" s="157"/>
    </row>
    <row r="637" spans="1:70" x14ac:dyDescent="0.25">
      <c r="A637" s="19" t="s">
        <v>3686</v>
      </c>
      <c r="B637" s="37" t="s">
        <v>2443</v>
      </c>
      <c r="C637" s="90">
        <v>45149.788101851853</v>
      </c>
      <c r="D637" s="114">
        <v>45149.538101851853</v>
      </c>
      <c r="E637" s="38">
        <v>45149</v>
      </c>
      <c r="F637" s="91">
        <v>2023</v>
      </c>
      <c r="G637" s="93">
        <v>8</v>
      </c>
      <c r="H637" s="37" t="s">
        <v>2400</v>
      </c>
      <c r="I637" s="37"/>
      <c r="J637" s="103">
        <v>-90.487932400000005</v>
      </c>
      <c r="K637" s="40">
        <v>43.281854600000003</v>
      </c>
      <c r="L637" s="74"/>
      <c r="M637" s="272" t="s">
        <v>16</v>
      </c>
      <c r="N637" s="74">
        <v>0</v>
      </c>
      <c r="O637" s="94"/>
      <c r="P637" s="118">
        <v>1</v>
      </c>
      <c r="Q637" s="510">
        <v>120</v>
      </c>
      <c r="R637" s="513">
        <v>180</v>
      </c>
      <c r="S637" s="41"/>
      <c r="T637" s="40"/>
      <c r="U637" s="40">
        <v>8.5</v>
      </c>
      <c r="V637" s="119">
        <v>1</v>
      </c>
      <c r="W637" s="40">
        <v>0</v>
      </c>
      <c r="X637" s="119">
        <v>1</v>
      </c>
      <c r="Y637" s="40">
        <v>70</v>
      </c>
      <c r="Z637" s="119">
        <v>1</v>
      </c>
      <c r="AA637" s="368">
        <v>0</v>
      </c>
      <c r="AB637" s="535">
        <v>2</v>
      </c>
      <c r="AC637" s="39" t="s">
        <v>160</v>
      </c>
      <c r="AD637" s="75" t="s">
        <v>10</v>
      </c>
      <c r="AE637" s="95">
        <v>0</v>
      </c>
      <c r="AF637" s="75">
        <v>0</v>
      </c>
      <c r="AG637" s="75">
        <v>0</v>
      </c>
      <c r="AH637" s="75">
        <v>0</v>
      </c>
      <c r="AI637" s="75">
        <v>0</v>
      </c>
      <c r="AJ637" s="75">
        <v>0</v>
      </c>
      <c r="AK637" s="75">
        <v>0</v>
      </c>
      <c r="AL637" s="95">
        <v>1</v>
      </c>
      <c r="AM637" s="92">
        <v>0</v>
      </c>
      <c r="AN637" s="79" t="s">
        <v>80</v>
      </c>
      <c r="AO637" s="75">
        <v>1</v>
      </c>
      <c r="AP637" s="75" t="s">
        <v>83</v>
      </c>
      <c r="AQ637" s="122">
        <v>1</v>
      </c>
      <c r="AR637" s="515" t="s">
        <v>10</v>
      </c>
      <c r="AS637" s="95">
        <v>0</v>
      </c>
      <c r="AT637" s="75">
        <v>0</v>
      </c>
      <c r="AU637" s="75">
        <v>0</v>
      </c>
      <c r="AV637" s="75">
        <v>0</v>
      </c>
      <c r="AW637" s="123">
        <v>0</v>
      </c>
      <c r="AX637" s="516"/>
      <c r="AY637" s="75">
        <v>0</v>
      </c>
      <c r="AZ637" s="77" t="s">
        <v>131</v>
      </c>
      <c r="BA637" s="78" t="s">
        <v>131</v>
      </c>
      <c r="BB637" s="78" t="s">
        <v>131</v>
      </c>
      <c r="BC637" s="78" t="s">
        <v>131</v>
      </c>
      <c r="BD637" s="78" t="s">
        <v>131</v>
      </c>
      <c r="BE637" s="78" t="s">
        <v>131</v>
      </c>
      <c r="BF637" s="78" t="s">
        <v>131</v>
      </c>
      <c r="BG637" s="78" t="s">
        <v>132</v>
      </c>
      <c r="BH637" s="75" t="s">
        <v>5970</v>
      </c>
      <c r="BI637" s="295" t="s">
        <v>4100</v>
      </c>
      <c r="BJ637" s="546">
        <v>1</v>
      </c>
      <c r="BK637" s="294" t="s">
        <v>16</v>
      </c>
      <c r="BL637" s="157" t="s">
        <v>16</v>
      </c>
      <c r="BM637" s="548" t="s">
        <v>1345</v>
      </c>
      <c r="BN637" s="548" t="s">
        <v>4158</v>
      </c>
      <c r="BO637" s="157" t="s">
        <v>4301</v>
      </c>
      <c r="BP637" s="548" t="s">
        <v>4404</v>
      </c>
      <c r="BQ637" s="157" t="s">
        <v>4297</v>
      </c>
      <c r="BR637" s="157"/>
    </row>
    <row r="638" spans="1:70" x14ac:dyDescent="0.25">
      <c r="A638" s="19" t="s">
        <v>3686</v>
      </c>
      <c r="B638" s="37" t="s">
        <v>2444</v>
      </c>
      <c r="C638" s="90">
        <v>45149.645219907405</v>
      </c>
      <c r="D638" s="114">
        <v>45149.395219907405</v>
      </c>
      <c r="E638" s="38">
        <v>45149</v>
      </c>
      <c r="F638" s="91">
        <v>2023</v>
      </c>
      <c r="G638" s="93">
        <v>8</v>
      </c>
      <c r="H638" s="37" t="s">
        <v>2400</v>
      </c>
      <c r="I638" s="37"/>
      <c r="J638" s="103">
        <v>-90.192094499999996</v>
      </c>
      <c r="K638" s="40">
        <v>43.306909500000003</v>
      </c>
      <c r="L638" s="74"/>
      <c r="M638" s="272" t="s">
        <v>16</v>
      </c>
      <c r="N638" s="74">
        <v>0</v>
      </c>
      <c r="O638" s="94"/>
      <c r="P638" s="118">
        <v>1</v>
      </c>
      <c r="Q638" s="510">
        <v>180</v>
      </c>
      <c r="R638" s="513">
        <v>120</v>
      </c>
      <c r="S638" s="41"/>
      <c r="T638" s="40"/>
      <c r="U638" s="40">
        <v>8</v>
      </c>
      <c r="V638" s="119">
        <v>1</v>
      </c>
      <c r="W638" s="40">
        <v>0</v>
      </c>
      <c r="X638" s="119">
        <v>1</v>
      </c>
      <c r="Y638" s="40">
        <v>64</v>
      </c>
      <c r="Z638" s="119">
        <v>1</v>
      </c>
      <c r="AA638" s="368">
        <v>0</v>
      </c>
      <c r="AB638" s="535">
        <v>0</v>
      </c>
      <c r="AC638" s="39" t="s">
        <v>160</v>
      </c>
      <c r="AD638" s="75" t="s">
        <v>10</v>
      </c>
      <c r="AE638" s="95">
        <v>0</v>
      </c>
      <c r="AF638" s="75">
        <v>0</v>
      </c>
      <c r="AG638" s="75">
        <v>0</v>
      </c>
      <c r="AH638" s="75">
        <v>0</v>
      </c>
      <c r="AI638" s="75">
        <v>0</v>
      </c>
      <c r="AJ638" s="75">
        <v>0</v>
      </c>
      <c r="AK638" s="75">
        <v>0</v>
      </c>
      <c r="AL638" s="95">
        <v>1</v>
      </c>
      <c r="AM638" s="92">
        <v>0</v>
      </c>
      <c r="AN638" s="79" t="s">
        <v>80</v>
      </c>
      <c r="AO638" s="75">
        <v>1</v>
      </c>
      <c r="AP638" s="75" t="s">
        <v>84</v>
      </c>
      <c r="AQ638" s="122">
        <v>1</v>
      </c>
      <c r="AR638" s="515" t="s">
        <v>10</v>
      </c>
      <c r="AS638" s="95">
        <v>0</v>
      </c>
      <c r="AT638" s="75">
        <v>0</v>
      </c>
      <c r="AU638" s="75">
        <v>0</v>
      </c>
      <c r="AV638" s="75">
        <v>0</v>
      </c>
      <c r="AW638" s="123">
        <v>0</v>
      </c>
      <c r="AX638" s="516"/>
      <c r="AY638" s="75">
        <v>0</v>
      </c>
      <c r="AZ638" s="77" t="s">
        <v>131</v>
      </c>
      <c r="BA638" s="78" t="s">
        <v>131</v>
      </c>
      <c r="BB638" s="78" t="s">
        <v>131</v>
      </c>
      <c r="BC638" s="78" t="s">
        <v>131</v>
      </c>
      <c r="BD638" s="78" t="s">
        <v>131</v>
      </c>
      <c r="BE638" s="78" t="s">
        <v>131</v>
      </c>
      <c r="BF638" s="78" t="s">
        <v>131</v>
      </c>
      <c r="BG638" s="78" t="s">
        <v>132</v>
      </c>
      <c r="BH638" s="75" t="s">
        <v>5970</v>
      </c>
      <c r="BI638" s="295" t="s">
        <v>2260</v>
      </c>
      <c r="BJ638" s="546">
        <v>1</v>
      </c>
      <c r="BK638" s="294" t="s">
        <v>16</v>
      </c>
      <c r="BL638" s="157" t="s">
        <v>16</v>
      </c>
      <c r="BM638" s="548" t="s">
        <v>1345</v>
      </c>
      <c r="BN638" s="548" t="s">
        <v>4158</v>
      </c>
      <c r="BO638" s="157" t="s">
        <v>4406</v>
      </c>
      <c r="BP638" s="548" t="s">
        <v>4407</v>
      </c>
      <c r="BQ638" s="157" t="s">
        <v>4405</v>
      </c>
      <c r="BR638" s="157"/>
    </row>
    <row r="639" spans="1:70" x14ac:dyDescent="0.25">
      <c r="A639" s="19" t="s">
        <v>3686</v>
      </c>
      <c r="B639" s="37" t="s">
        <v>5806</v>
      </c>
      <c r="C639" s="90">
        <v>45149.54760416667</v>
      </c>
      <c r="D639" s="114">
        <v>45149.29760416667</v>
      </c>
      <c r="E639" s="38">
        <v>45149</v>
      </c>
      <c r="F639" s="91">
        <v>2023</v>
      </c>
      <c r="G639" s="93">
        <v>8</v>
      </c>
      <c r="H639" s="37" t="s">
        <v>2548</v>
      </c>
      <c r="I639" s="37"/>
      <c r="J639" s="103">
        <v>-90.449764398963538</v>
      </c>
      <c r="K639" s="40">
        <v>43.249042067614674</v>
      </c>
      <c r="L639" s="74"/>
      <c r="M639" s="272" t="s">
        <v>16</v>
      </c>
      <c r="N639" s="74">
        <v>0</v>
      </c>
      <c r="O639" s="94"/>
      <c r="P639" s="118">
        <v>1</v>
      </c>
      <c r="Q639" s="510">
        <v>180</v>
      </c>
      <c r="R639" s="513">
        <v>120</v>
      </c>
      <c r="S639" s="41"/>
      <c r="T639" s="40"/>
      <c r="U639" s="40">
        <v>7.5</v>
      </c>
      <c r="V639" s="119">
        <v>1</v>
      </c>
      <c r="W639" s="40">
        <v>0</v>
      </c>
      <c r="X639" s="119">
        <v>1</v>
      </c>
      <c r="Y639" s="40">
        <v>58</v>
      </c>
      <c r="Z639" s="119">
        <v>1</v>
      </c>
      <c r="AA639" s="368">
        <v>0</v>
      </c>
      <c r="AB639" s="535">
        <v>0</v>
      </c>
      <c r="AC639" s="39" t="s">
        <v>160</v>
      </c>
      <c r="AD639" s="75" t="s">
        <v>10</v>
      </c>
      <c r="AE639" s="95">
        <v>0</v>
      </c>
      <c r="AF639" s="75">
        <v>0</v>
      </c>
      <c r="AG639" s="75">
        <v>0</v>
      </c>
      <c r="AH639" s="75">
        <v>0</v>
      </c>
      <c r="AI639" s="75">
        <v>0</v>
      </c>
      <c r="AJ639" s="75">
        <v>0</v>
      </c>
      <c r="AK639" s="75">
        <v>0</v>
      </c>
      <c r="AL639" s="95">
        <v>1</v>
      </c>
      <c r="AM639" s="92">
        <v>0</v>
      </c>
      <c r="AN639" s="79" t="s">
        <v>80</v>
      </c>
      <c r="AO639" s="75">
        <v>1</v>
      </c>
      <c r="AP639" s="75" t="s">
        <v>83</v>
      </c>
      <c r="AQ639" s="122">
        <v>1</v>
      </c>
      <c r="AR639" s="515" t="s">
        <v>10</v>
      </c>
      <c r="AS639" s="95">
        <v>0</v>
      </c>
      <c r="AT639" s="75">
        <v>0</v>
      </c>
      <c r="AU639" s="75">
        <v>0</v>
      </c>
      <c r="AV639" s="75">
        <v>0</v>
      </c>
      <c r="AW639" s="123">
        <v>0</v>
      </c>
      <c r="AX639" s="516"/>
      <c r="AY639" s="75">
        <v>0</v>
      </c>
      <c r="AZ639" s="77" t="s">
        <v>131</v>
      </c>
      <c r="BA639" s="78" t="s">
        <v>131</v>
      </c>
      <c r="BB639" s="78" t="s">
        <v>131</v>
      </c>
      <c r="BC639" s="78" t="s">
        <v>131</v>
      </c>
      <c r="BD639" s="78" t="s">
        <v>131</v>
      </c>
      <c r="BE639" s="78" t="s">
        <v>131</v>
      </c>
      <c r="BF639" s="78" t="s">
        <v>131</v>
      </c>
      <c r="BG639" s="78" t="s">
        <v>132</v>
      </c>
      <c r="BH639" s="75" t="s">
        <v>5970</v>
      </c>
      <c r="BI639" s="295" t="s">
        <v>5961</v>
      </c>
      <c r="BJ639" s="546">
        <v>1</v>
      </c>
      <c r="BK639" s="294" t="s">
        <v>16</v>
      </c>
      <c r="BL639" s="157" t="s">
        <v>16</v>
      </c>
      <c r="BM639" s="548" t="s">
        <v>1345</v>
      </c>
      <c r="BN639" s="548" t="s">
        <v>4158</v>
      </c>
      <c r="BO639" s="157" t="s">
        <v>4403</v>
      </c>
      <c r="BP639" s="548" t="s">
        <v>4300</v>
      </c>
      <c r="BQ639" s="157" t="s">
        <v>4297</v>
      </c>
      <c r="BR639" s="157"/>
    </row>
    <row r="640" spans="1:70" x14ac:dyDescent="0.25">
      <c r="A640" s="19" t="s">
        <v>3686</v>
      </c>
      <c r="B640" s="37" t="s">
        <v>5807</v>
      </c>
      <c r="C640" s="90">
        <v>45148.906608796293</v>
      </c>
      <c r="D640" s="114">
        <v>45148.656608796293</v>
      </c>
      <c r="E640" s="38">
        <v>45148</v>
      </c>
      <c r="F640" s="91">
        <v>2023</v>
      </c>
      <c r="G640" s="93">
        <v>8</v>
      </c>
      <c r="H640" s="37" t="s">
        <v>2548</v>
      </c>
      <c r="I640" s="37"/>
      <c r="J640" s="103">
        <v>-90.265744410085503</v>
      </c>
      <c r="K640" s="40">
        <v>43.365895485804757</v>
      </c>
      <c r="L640" s="74"/>
      <c r="M640" s="272" t="s">
        <v>16</v>
      </c>
      <c r="N640" s="74">
        <v>0</v>
      </c>
      <c r="O640" s="94"/>
      <c r="P640" s="118">
        <v>1</v>
      </c>
      <c r="Q640" s="510">
        <v>180</v>
      </c>
      <c r="R640" s="513">
        <v>120</v>
      </c>
      <c r="S640" s="41"/>
      <c r="T640" s="40"/>
      <c r="U640" s="40">
        <v>8</v>
      </c>
      <c r="V640" s="119">
        <v>1</v>
      </c>
      <c r="W640" s="40">
        <v>0</v>
      </c>
      <c r="X640" s="119">
        <v>1</v>
      </c>
      <c r="Y640" s="40">
        <v>63</v>
      </c>
      <c r="Z640" s="119">
        <v>1</v>
      </c>
      <c r="AA640" s="368">
        <v>0</v>
      </c>
      <c r="AB640" s="535">
        <v>2</v>
      </c>
      <c r="AC640" s="39" t="s">
        <v>160</v>
      </c>
      <c r="AD640" s="75" t="s">
        <v>10</v>
      </c>
      <c r="AE640" s="95">
        <v>0</v>
      </c>
      <c r="AF640" s="75">
        <v>0</v>
      </c>
      <c r="AG640" s="75">
        <v>0</v>
      </c>
      <c r="AH640" s="75">
        <v>0</v>
      </c>
      <c r="AI640" s="75">
        <v>0</v>
      </c>
      <c r="AJ640" s="75">
        <v>0</v>
      </c>
      <c r="AK640" s="75">
        <v>0</v>
      </c>
      <c r="AL640" s="95">
        <v>1</v>
      </c>
      <c r="AM640" s="92">
        <v>0</v>
      </c>
      <c r="AN640" s="79" t="s">
        <v>80</v>
      </c>
      <c r="AO640" s="75">
        <v>1</v>
      </c>
      <c r="AP640" s="75" t="s">
        <v>83</v>
      </c>
      <c r="AQ640" s="122">
        <v>1</v>
      </c>
      <c r="AR640" s="515" t="s">
        <v>10</v>
      </c>
      <c r="AS640" s="95">
        <v>0</v>
      </c>
      <c r="AT640" s="75">
        <v>0</v>
      </c>
      <c r="AU640" s="75">
        <v>0</v>
      </c>
      <c r="AV640" s="75">
        <v>0</v>
      </c>
      <c r="AW640" s="123">
        <v>0</v>
      </c>
      <c r="AX640" s="516"/>
      <c r="AY640" s="75">
        <v>0</v>
      </c>
      <c r="AZ640" s="77" t="s">
        <v>131</v>
      </c>
      <c r="BA640" s="78" t="s">
        <v>131</v>
      </c>
      <c r="BB640" s="78" t="s">
        <v>131</v>
      </c>
      <c r="BC640" s="78" t="s">
        <v>131</v>
      </c>
      <c r="BD640" s="78" t="s">
        <v>131</v>
      </c>
      <c r="BE640" s="78" t="s">
        <v>131</v>
      </c>
      <c r="BF640" s="78" t="s">
        <v>131</v>
      </c>
      <c r="BG640" s="78" t="s">
        <v>132</v>
      </c>
      <c r="BH640" s="75" t="s">
        <v>5970</v>
      </c>
      <c r="BI640" s="295" t="s">
        <v>16</v>
      </c>
      <c r="BJ640" s="546">
        <v>1</v>
      </c>
      <c r="BK640" s="294" t="s">
        <v>16</v>
      </c>
      <c r="BL640" s="157" t="s">
        <v>16</v>
      </c>
      <c r="BM640" s="548" t="s">
        <v>1342</v>
      </c>
      <c r="BN640" s="548" t="s">
        <v>4158</v>
      </c>
      <c r="BO640" s="157" t="s">
        <v>4411</v>
      </c>
      <c r="BP640" s="548" t="s">
        <v>4412</v>
      </c>
      <c r="BQ640" s="157" t="s">
        <v>4410</v>
      </c>
      <c r="BR640" s="157"/>
    </row>
    <row r="641" spans="1:70" x14ac:dyDescent="0.25">
      <c r="A641" s="19" t="s">
        <v>3686</v>
      </c>
      <c r="B641" s="37" t="s">
        <v>2445</v>
      </c>
      <c r="C641" s="90">
        <v>45148.857800925929</v>
      </c>
      <c r="D641" s="114">
        <v>45148.607800925929</v>
      </c>
      <c r="E641" s="38">
        <v>45148</v>
      </c>
      <c r="F641" s="91">
        <v>2023</v>
      </c>
      <c r="G641" s="93">
        <v>8</v>
      </c>
      <c r="H641" s="37" t="s">
        <v>2446</v>
      </c>
      <c r="I641" s="37"/>
      <c r="J641" s="103">
        <v>-90.211558956698781</v>
      </c>
      <c r="K641" s="40">
        <v>43.505759145444237</v>
      </c>
      <c r="L641" s="74"/>
      <c r="M641" s="272" t="s">
        <v>2447</v>
      </c>
      <c r="N641" s="74">
        <v>1</v>
      </c>
      <c r="O641" s="94"/>
      <c r="P641" s="118">
        <v>0</v>
      </c>
      <c r="Q641" s="510"/>
      <c r="R641" s="513"/>
      <c r="S641" s="41"/>
      <c r="T641" s="40"/>
      <c r="U641" s="40"/>
      <c r="V641" s="119">
        <v>1</v>
      </c>
      <c r="W641" s="40">
        <v>100</v>
      </c>
      <c r="X641" s="119">
        <v>1</v>
      </c>
      <c r="Y641" s="40">
        <v>67</v>
      </c>
      <c r="Z641" s="119">
        <v>1</v>
      </c>
      <c r="AA641" s="368">
        <v>0</v>
      </c>
      <c r="AB641" s="535">
        <v>2</v>
      </c>
      <c r="AC641" s="39" t="s">
        <v>160</v>
      </c>
      <c r="AD641" s="75" t="s">
        <v>10</v>
      </c>
      <c r="AE641" s="95">
        <v>0</v>
      </c>
      <c r="AF641" s="75">
        <v>0</v>
      </c>
      <c r="AG641" s="75">
        <v>0</v>
      </c>
      <c r="AH641" s="75">
        <v>0</v>
      </c>
      <c r="AI641" s="75">
        <v>0</v>
      </c>
      <c r="AJ641" s="75">
        <v>0</v>
      </c>
      <c r="AK641" s="75">
        <v>0</v>
      </c>
      <c r="AL641" s="95">
        <v>1</v>
      </c>
      <c r="AM641" s="92">
        <v>0</v>
      </c>
      <c r="AN641" s="79" t="s">
        <v>80</v>
      </c>
      <c r="AO641" s="75">
        <v>1</v>
      </c>
      <c r="AP641" s="75" t="s">
        <v>83</v>
      </c>
      <c r="AQ641" s="122">
        <v>1</v>
      </c>
      <c r="AR641" s="515" t="s">
        <v>10</v>
      </c>
      <c r="AS641" s="95">
        <v>0</v>
      </c>
      <c r="AT641" s="75">
        <v>0</v>
      </c>
      <c r="AU641" s="75">
        <v>0</v>
      </c>
      <c r="AV641" s="75">
        <v>0</v>
      </c>
      <c r="AW641" s="123">
        <v>0</v>
      </c>
      <c r="AX641" s="516" t="s">
        <v>2448</v>
      </c>
      <c r="AY641" s="75">
        <v>1</v>
      </c>
      <c r="AZ641" s="77" t="s">
        <v>131</v>
      </c>
      <c r="BA641" s="78" t="s">
        <v>131</v>
      </c>
      <c r="BB641" s="78" t="s">
        <v>131</v>
      </c>
      <c r="BC641" s="78" t="s">
        <v>131</v>
      </c>
      <c r="BD641" s="78" t="s">
        <v>131</v>
      </c>
      <c r="BE641" s="78" t="s">
        <v>131</v>
      </c>
      <c r="BF641" s="78" t="s">
        <v>131</v>
      </c>
      <c r="BG641" s="78" t="s">
        <v>132</v>
      </c>
      <c r="BH641" s="75" t="s">
        <v>5970</v>
      </c>
      <c r="BI641" s="295" t="s">
        <v>4108</v>
      </c>
      <c r="BJ641" s="546">
        <v>1</v>
      </c>
      <c r="BK641" s="294" t="s">
        <v>16</v>
      </c>
      <c r="BL641" s="157" t="s">
        <v>16</v>
      </c>
      <c r="BM641" s="548" t="s">
        <v>1342</v>
      </c>
      <c r="BN641" s="548" t="s">
        <v>4158</v>
      </c>
      <c r="BO641" s="157" t="s">
        <v>4409</v>
      </c>
      <c r="BP641" s="548" t="s">
        <v>4109</v>
      </c>
      <c r="BQ641" s="157" t="s">
        <v>4408</v>
      </c>
      <c r="BR641" s="157"/>
    </row>
    <row r="642" spans="1:70" x14ac:dyDescent="0.25">
      <c r="A642" s="19" t="s">
        <v>3686</v>
      </c>
      <c r="B642" s="37" t="s">
        <v>5808</v>
      </c>
      <c r="C642" s="90">
        <v>45148.642881944441</v>
      </c>
      <c r="D642" s="114">
        <v>45148.392881944441</v>
      </c>
      <c r="E642" s="38">
        <v>45148</v>
      </c>
      <c r="F642" s="91">
        <v>2023</v>
      </c>
      <c r="G642" s="93">
        <v>8</v>
      </c>
      <c r="H642" s="37" t="s">
        <v>2548</v>
      </c>
      <c r="I642" s="37"/>
      <c r="J642" s="103">
        <v>-90.877295641936954</v>
      </c>
      <c r="K642" s="40">
        <v>43.39328867738093</v>
      </c>
      <c r="L642" s="74"/>
      <c r="M642" s="272" t="s">
        <v>16</v>
      </c>
      <c r="N642" s="74">
        <v>0</v>
      </c>
      <c r="O642" s="94"/>
      <c r="P642" s="118">
        <v>1</v>
      </c>
      <c r="Q642" s="510">
        <v>180</v>
      </c>
      <c r="R642" s="513">
        <v>180</v>
      </c>
      <c r="S642" s="41"/>
      <c r="T642" s="40"/>
      <c r="U642" s="40">
        <v>8</v>
      </c>
      <c r="V642" s="119">
        <v>1</v>
      </c>
      <c r="W642" s="40">
        <v>0</v>
      </c>
      <c r="X642" s="119">
        <v>1</v>
      </c>
      <c r="Y642" s="40">
        <v>65</v>
      </c>
      <c r="Z642" s="119">
        <v>1</v>
      </c>
      <c r="AA642" s="368">
        <v>0</v>
      </c>
      <c r="AB642" s="535">
        <v>2</v>
      </c>
      <c r="AC642" s="39" t="s">
        <v>160</v>
      </c>
      <c r="AD642" s="75" t="s">
        <v>551</v>
      </c>
      <c r="AE642" s="95">
        <v>0</v>
      </c>
      <c r="AF642" s="75">
        <v>0</v>
      </c>
      <c r="AG642" s="75">
        <v>0</v>
      </c>
      <c r="AH642" s="75">
        <v>0</v>
      </c>
      <c r="AI642" s="75">
        <v>1</v>
      </c>
      <c r="AJ642" s="75">
        <v>0</v>
      </c>
      <c r="AK642" s="75">
        <v>0</v>
      </c>
      <c r="AL642" s="95">
        <v>0</v>
      </c>
      <c r="AM642" s="92">
        <v>0</v>
      </c>
      <c r="AN642" s="79" t="s">
        <v>80</v>
      </c>
      <c r="AO642" s="75">
        <v>1</v>
      </c>
      <c r="AP642" s="75" t="s">
        <v>83</v>
      </c>
      <c r="AQ642" s="122">
        <v>1</v>
      </c>
      <c r="AR642" s="515" t="s">
        <v>10</v>
      </c>
      <c r="AS642" s="95">
        <v>0</v>
      </c>
      <c r="AT642" s="75">
        <v>0</v>
      </c>
      <c r="AU642" s="75">
        <v>0</v>
      </c>
      <c r="AV642" s="75">
        <v>0</v>
      </c>
      <c r="AW642" s="123">
        <v>0</v>
      </c>
      <c r="AX642" s="516"/>
      <c r="AY642" s="75">
        <v>0</v>
      </c>
      <c r="AZ642" s="77" t="s">
        <v>131</v>
      </c>
      <c r="BA642" s="78" t="s">
        <v>131</v>
      </c>
      <c r="BB642" s="78" t="s">
        <v>131</v>
      </c>
      <c r="BC642" s="78" t="s">
        <v>131</v>
      </c>
      <c r="BD642" s="78" t="s">
        <v>132</v>
      </c>
      <c r="BE642" s="78" t="s">
        <v>131</v>
      </c>
      <c r="BF642" s="78" t="s">
        <v>131</v>
      </c>
      <c r="BG642" s="78" t="s">
        <v>131</v>
      </c>
      <c r="BH642" s="75" t="s">
        <v>5970</v>
      </c>
      <c r="BI642" s="295" t="s">
        <v>4065</v>
      </c>
      <c r="BJ642" s="546">
        <v>1</v>
      </c>
      <c r="BK642" s="294">
        <v>1</v>
      </c>
      <c r="BL642" s="157">
        <v>1</v>
      </c>
      <c r="BM642" s="548" t="s">
        <v>1342</v>
      </c>
      <c r="BN642" s="548" t="s">
        <v>4158</v>
      </c>
      <c r="BO642" s="157" t="s">
        <v>4401</v>
      </c>
      <c r="BP642" s="548" t="s">
        <v>4063</v>
      </c>
      <c r="BQ642" s="157" t="s">
        <v>4303</v>
      </c>
      <c r="BR642" s="157"/>
    </row>
    <row r="643" spans="1:70" x14ac:dyDescent="0.25">
      <c r="A643" s="19" t="s">
        <v>3686</v>
      </c>
      <c r="B643" s="37" t="s">
        <v>2449</v>
      </c>
      <c r="C643" s="90">
        <v>45148.571932870371</v>
      </c>
      <c r="D643" s="114">
        <v>45148.321932870371</v>
      </c>
      <c r="E643" s="38">
        <v>45148</v>
      </c>
      <c r="F643" s="91">
        <v>2023</v>
      </c>
      <c r="G643" s="93">
        <v>8</v>
      </c>
      <c r="H643" s="37" t="s">
        <v>2400</v>
      </c>
      <c r="I643" s="37"/>
      <c r="J643" s="103">
        <v>-90.926336300000003</v>
      </c>
      <c r="K643" s="40">
        <v>43.405335399999998</v>
      </c>
      <c r="L643" s="74"/>
      <c r="M643" s="272" t="s">
        <v>16</v>
      </c>
      <c r="N643" s="74">
        <v>0</v>
      </c>
      <c r="O643" s="94"/>
      <c r="P643" s="118">
        <v>1</v>
      </c>
      <c r="Q643" s="510">
        <v>120</v>
      </c>
      <c r="R643" s="513">
        <v>180</v>
      </c>
      <c r="S643" s="41"/>
      <c r="T643" s="40"/>
      <c r="U643" s="40">
        <v>7.5</v>
      </c>
      <c r="V643" s="119">
        <v>1</v>
      </c>
      <c r="W643" s="40">
        <v>0</v>
      </c>
      <c r="X643" s="119">
        <v>1</v>
      </c>
      <c r="Y643" s="40">
        <v>55</v>
      </c>
      <c r="Z643" s="119">
        <v>1</v>
      </c>
      <c r="AA643" s="368">
        <v>0</v>
      </c>
      <c r="AB643" s="535">
        <v>2</v>
      </c>
      <c r="AC643" s="39" t="s">
        <v>160</v>
      </c>
      <c r="AD643" s="75" t="s">
        <v>10</v>
      </c>
      <c r="AE643" s="95">
        <v>0</v>
      </c>
      <c r="AF643" s="75">
        <v>0</v>
      </c>
      <c r="AG643" s="75">
        <v>0</v>
      </c>
      <c r="AH643" s="75">
        <v>0</v>
      </c>
      <c r="AI643" s="75">
        <v>0</v>
      </c>
      <c r="AJ643" s="75">
        <v>0</v>
      </c>
      <c r="AK643" s="75">
        <v>0</v>
      </c>
      <c r="AL643" s="95">
        <v>1</v>
      </c>
      <c r="AM643" s="92">
        <v>0</v>
      </c>
      <c r="AN643" s="79" t="s">
        <v>80</v>
      </c>
      <c r="AO643" s="75">
        <v>1</v>
      </c>
      <c r="AP643" s="75" t="s">
        <v>83</v>
      </c>
      <c r="AQ643" s="122">
        <v>1</v>
      </c>
      <c r="AR643" s="515" t="s">
        <v>10</v>
      </c>
      <c r="AS643" s="95">
        <v>0</v>
      </c>
      <c r="AT643" s="75">
        <v>0</v>
      </c>
      <c r="AU643" s="75">
        <v>0</v>
      </c>
      <c r="AV643" s="75">
        <v>0</v>
      </c>
      <c r="AW643" s="123">
        <v>0</v>
      </c>
      <c r="AX643" s="516"/>
      <c r="AY643" s="75">
        <v>0</v>
      </c>
      <c r="AZ643" s="77" t="s">
        <v>131</v>
      </c>
      <c r="BA643" s="78" t="s">
        <v>131</v>
      </c>
      <c r="BB643" s="78" t="s">
        <v>131</v>
      </c>
      <c r="BC643" s="78" t="s">
        <v>131</v>
      </c>
      <c r="BD643" s="78" t="s">
        <v>131</v>
      </c>
      <c r="BE643" s="78" t="s">
        <v>131</v>
      </c>
      <c r="BF643" s="78" t="s">
        <v>131</v>
      </c>
      <c r="BG643" s="78" t="s">
        <v>132</v>
      </c>
      <c r="BH643" s="75" t="s">
        <v>5970</v>
      </c>
      <c r="BI643" s="295">
        <v>0</v>
      </c>
      <c r="BJ643" s="546" t="s">
        <v>16</v>
      </c>
      <c r="BK643" s="294" t="s">
        <v>16</v>
      </c>
      <c r="BL643" s="157" t="s">
        <v>16</v>
      </c>
      <c r="BM643" s="548" t="s">
        <v>1342</v>
      </c>
      <c r="BN643" s="548" t="s">
        <v>4158</v>
      </c>
      <c r="BO643" s="157" t="s">
        <v>4401</v>
      </c>
      <c r="BP643" s="548" t="s">
        <v>4063</v>
      </c>
      <c r="BQ643" s="157" t="s">
        <v>4303</v>
      </c>
      <c r="BR643" s="157"/>
    </row>
    <row r="644" spans="1:70" x14ac:dyDescent="0.25">
      <c r="A644" s="19" t="s">
        <v>3686</v>
      </c>
      <c r="B644" s="37" t="s">
        <v>5809</v>
      </c>
      <c r="C644" s="90">
        <v>45148.493935185186</v>
      </c>
      <c r="D644" s="114">
        <v>45148.243935185186</v>
      </c>
      <c r="E644" s="38">
        <v>45148</v>
      </c>
      <c r="F644" s="91">
        <v>2023</v>
      </c>
      <c r="G644" s="93">
        <v>8</v>
      </c>
      <c r="H644" s="37" t="s">
        <v>2548</v>
      </c>
      <c r="I644" s="37"/>
      <c r="J644" s="103">
        <v>-90.778933735335443</v>
      </c>
      <c r="K644" s="40">
        <v>43.146126331912313</v>
      </c>
      <c r="L644" s="74"/>
      <c r="M644" s="272" t="s">
        <v>16</v>
      </c>
      <c r="N644" s="74">
        <v>0</v>
      </c>
      <c r="O644" s="94"/>
      <c r="P644" s="118">
        <v>1</v>
      </c>
      <c r="Q644" s="510">
        <v>180</v>
      </c>
      <c r="R644" s="513">
        <v>180</v>
      </c>
      <c r="S644" s="41"/>
      <c r="T644" s="40"/>
      <c r="U644" s="40">
        <v>7</v>
      </c>
      <c r="V644" s="119">
        <v>1</v>
      </c>
      <c r="W644" s="40">
        <v>0</v>
      </c>
      <c r="X644" s="119">
        <v>1</v>
      </c>
      <c r="Y644" s="40">
        <v>51</v>
      </c>
      <c r="Z644" s="119">
        <v>1</v>
      </c>
      <c r="AA644" s="368">
        <v>0</v>
      </c>
      <c r="AB644" s="535">
        <v>2</v>
      </c>
      <c r="AC644" s="39" t="s">
        <v>160</v>
      </c>
      <c r="AD644" s="75" t="s">
        <v>10</v>
      </c>
      <c r="AE644" s="95">
        <v>0</v>
      </c>
      <c r="AF644" s="75">
        <v>0</v>
      </c>
      <c r="AG644" s="75">
        <v>0</v>
      </c>
      <c r="AH644" s="75">
        <v>0</v>
      </c>
      <c r="AI644" s="75">
        <v>0</v>
      </c>
      <c r="AJ644" s="75">
        <v>0</v>
      </c>
      <c r="AK644" s="75">
        <v>0</v>
      </c>
      <c r="AL644" s="95">
        <v>1</v>
      </c>
      <c r="AM644" s="92">
        <v>0</v>
      </c>
      <c r="AN644" s="79" t="s">
        <v>80</v>
      </c>
      <c r="AO644" s="75">
        <v>1</v>
      </c>
      <c r="AP644" s="75" t="s">
        <v>83</v>
      </c>
      <c r="AQ644" s="122">
        <v>1</v>
      </c>
      <c r="AR644" s="515" t="s">
        <v>10</v>
      </c>
      <c r="AS644" s="95">
        <v>0</v>
      </c>
      <c r="AT644" s="75">
        <v>0</v>
      </c>
      <c r="AU644" s="75">
        <v>0</v>
      </c>
      <c r="AV644" s="75">
        <v>0</v>
      </c>
      <c r="AW644" s="123">
        <v>0</v>
      </c>
      <c r="AX644" s="516"/>
      <c r="AY644" s="75">
        <v>0</v>
      </c>
      <c r="AZ644" s="77" t="s">
        <v>131</v>
      </c>
      <c r="BA644" s="78" t="s">
        <v>131</v>
      </c>
      <c r="BB644" s="78" t="s">
        <v>131</v>
      </c>
      <c r="BC644" s="78" t="s">
        <v>131</v>
      </c>
      <c r="BD644" s="78" t="s">
        <v>131</v>
      </c>
      <c r="BE644" s="78" t="s">
        <v>131</v>
      </c>
      <c r="BF644" s="78" t="s">
        <v>131</v>
      </c>
      <c r="BG644" s="78" t="s">
        <v>132</v>
      </c>
      <c r="BH644" s="75" t="s">
        <v>5970</v>
      </c>
      <c r="BI644" s="295" t="s">
        <v>2244</v>
      </c>
      <c r="BJ644" s="546">
        <v>1</v>
      </c>
      <c r="BK644" s="294" t="s">
        <v>16</v>
      </c>
      <c r="BL644" s="157" t="s">
        <v>16</v>
      </c>
      <c r="BM644" s="548" t="s">
        <v>1345</v>
      </c>
      <c r="BN644" s="548" t="s">
        <v>4158</v>
      </c>
      <c r="BO644" s="157" t="s">
        <v>4553</v>
      </c>
      <c r="BP644" s="548" t="s">
        <v>4554</v>
      </c>
      <c r="BQ644" s="157" t="s">
        <v>4299</v>
      </c>
      <c r="BR644" s="157"/>
    </row>
    <row r="645" spans="1:70" x14ac:dyDescent="0.25">
      <c r="A645" s="19" t="s">
        <v>3686</v>
      </c>
      <c r="B645" s="37" t="s">
        <v>2450</v>
      </c>
      <c r="C645" s="90">
        <v>45147.925879629627</v>
      </c>
      <c r="D645" s="114">
        <v>45147.675879629627</v>
      </c>
      <c r="E645" s="38">
        <v>45147</v>
      </c>
      <c r="F645" s="91">
        <v>2023</v>
      </c>
      <c r="G645" s="93">
        <v>8</v>
      </c>
      <c r="H645" s="37" t="s">
        <v>2446</v>
      </c>
      <c r="I645" s="37"/>
      <c r="J645" s="103">
        <v>-90.304765028807239</v>
      </c>
      <c r="K645" s="40">
        <v>43.345455902793397</v>
      </c>
      <c r="L645" s="74"/>
      <c r="M645" s="272" t="s">
        <v>2451</v>
      </c>
      <c r="N645" s="74">
        <v>1</v>
      </c>
      <c r="O645" s="94"/>
      <c r="P645" s="118">
        <v>0</v>
      </c>
      <c r="Q645" s="510"/>
      <c r="R645" s="513"/>
      <c r="S645" s="41"/>
      <c r="T645" s="40"/>
      <c r="U645" s="40"/>
      <c r="V645" s="119">
        <v>1</v>
      </c>
      <c r="W645" s="40">
        <v>100</v>
      </c>
      <c r="X645" s="119">
        <v>1</v>
      </c>
      <c r="Y645" s="40">
        <v>69</v>
      </c>
      <c r="Z645" s="119">
        <v>1</v>
      </c>
      <c r="AA645" s="368">
        <v>0</v>
      </c>
      <c r="AB645" s="535">
        <v>2</v>
      </c>
      <c r="AC645" s="39" t="s">
        <v>160</v>
      </c>
      <c r="AD645" s="75" t="s">
        <v>439</v>
      </c>
      <c r="AE645" s="95">
        <v>0</v>
      </c>
      <c r="AF645" s="75">
        <v>1</v>
      </c>
      <c r="AG645" s="75">
        <v>0</v>
      </c>
      <c r="AH645" s="75">
        <v>0</v>
      </c>
      <c r="AI645" s="75">
        <v>1</v>
      </c>
      <c r="AJ645" s="75">
        <v>0</v>
      </c>
      <c r="AK645" s="75">
        <v>0</v>
      </c>
      <c r="AL645" s="95">
        <v>0</v>
      </c>
      <c r="AM645" s="92">
        <v>0</v>
      </c>
      <c r="AN645" s="79" t="s">
        <v>80</v>
      </c>
      <c r="AO645" s="75">
        <v>1</v>
      </c>
      <c r="AP645" s="75" t="s">
        <v>84</v>
      </c>
      <c r="AQ645" s="122">
        <v>1</v>
      </c>
      <c r="AR645" s="515" t="s">
        <v>10</v>
      </c>
      <c r="AS645" s="95">
        <v>0</v>
      </c>
      <c r="AT645" s="75">
        <v>0</v>
      </c>
      <c r="AU645" s="75">
        <v>0</v>
      </c>
      <c r="AV645" s="75">
        <v>0</v>
      </c>
      <c r="AW645" s="123">
        <v>0</v>
      </c>
      <c r="AX645" s="516" t="s">
        <v>2452</v>
      </c>
      <c r="AY645" s="75">
        <v>1</v>
      </c>
      <c r="AZ645" s="77" t="s">
        <v>131</v>
      </c>
      <c r="BA645" s="78" t="s">
        <v>132</v>
      </c>
      <c r="BB645" s="78" t="s">
        <v>131</v>
      </c>
      <c r="BC645" s="78" t="s">
        <v>131</v>
      </c>
      <c r="BD645" s="78" t="s">
        <v>132</v>
      </c>
      <c r="BE645" s="78" t="s">
        <v>131</v>
      </c>
      <c r="BF645" s="78" t="s">
        <v>131</v>
      </c>
      <c r="BG645" s="78" t="s">
        <v>131</v>
      </c>
      <c r="BH645" s="75" t="s">
        <v>5970</v>
      </c>
      <c r="BI645" s="295" t="s">
        <v>4091</v>
      </c>
      <c r="BJ645" s="546">
        <v>1</v>
      </c>
      <c r="BK645" s="294" t="s">
        <v>16</v>
      </c>
      <c r="BL645" s="157" t="s">
        <v>16</v>
      </c>
      <c r="BM645" s="548" t="s">
        <v>1342</v>
      </c>
      <c r="BN645" s="548" t="s">
        <v>4158</v>
      </c>
      <c r="BO645" s="157" t="s">
        <v>4411</v>
      </c>
      <c r="BP645" s="548" t="s">
        <v>4412</v>
      </c>
      <c r="BQ645" s="157" t="s">
        <v>4410</v>
      </c>
      <c r="BR645" s="157"/>
    </row>
    <row r="646" spans="1:70" x14ac:dyDescent="0.25">
      <c r="A646" s="19" t="s">
        <v>3686</v>
      </c>
      <c r="B646" s="37" t="s">
        <v>2453</v>
      </c>
      <c r="C646" s="90">
        <v>45147.669502314813</v>
      </c>
      <c r="D646" s="114">
        <v>45147.419502314813</v>
      </c>
      <c r="E646" s="38">
        <v>45147</v>
      </c>
      <c r="F646" s="91">
        <v>2023</v>
      </c>
      <c r="G646" s="93">
        <v>8</v>
      </c>
      <c r="H646" s="37" t="s">
        <v>2446</v>
      </c>
      <c r="I646" s="37"/>
      <c r="J646" s="103">
        <v>-90.419797644458797</v>
      </c>
      <c r="K646" s="40">
        <v>43.372563542596403</v>
      </c>
      <c r="L646" s="74"/>
      <c r="M646" s="272" t="s">
        <v>2454</v>
      </c>
      <c r="N646" s="74">
        <v>1</v>
      </c>
      <c r="O646" s="94"/>
      <c r="P646" s="118">
        <v>0</v>
      </c>
      <c r="Q646" s="510"/>
      <c r="R646" s="513"/>
      <c r="S646" s="41"/>
      <c r="T646" s="40"/>
      <c r="U646" s="40"/>
      <c r="V646" s="119">
        <v>1</v>
      </c>
      <c r="W646" s="40">
        <v>100</v>
      </c>
      <c r="X646" s="119">
        <v>1</v>
      </c>
      <c r="Y646" s="40">
        <v>60</v>
      </c>
      <c r="Z646" s="119">
        <v>1</v>
      </c>
      <c r="AA646" s="368">
        <v>0</v>
      </c>
      <c r="AB646" s="535">
        <v>0</v>
      </c>
      <c r="AC646" s="39" t="s">
        <v>160</v>
      </c>
      <c r="AD646" s="75" t="s">
        <v>10</v>
      </c>
      <c r="AE646" s="95">
        <v>0</v>
      </c>
      <c r="AF646" s="75">
        <v>0</v>
      </c>
      <c r="AG646" s="75">
        <v>0</v>
      </c>
      <c r="AH646" s="75">
        <v>0</v>
      </c>
      <c r="AI646" s="75">
        <v>0</v>
      </c>
      <c r="AJ646" s="75">
        <v>0</v>
      </c>
      <c r="AK646" s="75">
        <v>0</v>
      </c>
      <c r="AL646" s="95">
        <v>1</v>
      </c>
      <c r="AM646" s="92">
        <v>0</v>
      </c>
      <c r="AN646" s="79" t="s">
        <v>80</v>
      </c>
      <c r="AO646" s="75">
        <v>1</v>
      </c>
      <c r="AP646" s="75" t="s">
        <v>83</v>
      </c>
      <c r="AQ646" s="122">
        <v>1</v>
      </c>
      <c r="AR646" s="515" t="s">
        <v>10</v>
      </c>
      <c r="AS646" s="95">
        <v>0</v>
      </c>
      <c r="AT646" s="75">
        <v>0</v>
      </c>
      <c r="AU646" s="75">
        <v>0</v>
      </c>
      <c r="AV646" s="75">
        <v>0</v>
      </c>
      <c r="AW646" s="123">
        <v>0</v>
      </c>
      <c r="AX646" s="516" t="s">
        <v>2452</v>
      </c>
      <c r="AY646" s="75">
        <v>1</v>
      </c>
      <c r="AZ646" s="77" t="s">
        <v>131</v>
      </c>
      <c r="BA646" s="78" t="s">
        <v>131</v>
      </c>
      <c r="BB646" s="78" t="s">
        <v>131</v>
      </c>
      <c r="BC646" s="78" t="s">
        <v>131</v>
      </c>
      <c r="BD646" s="78" t="s">
        <v>131</v>
      </c>
      <c r="BE646" s="78" t="s">
        <v>131</v>
      </c>
      <c r="BF646" s="78" t="s">
        <v>131</v>
      </c>
      <c r="BG646" s="78" t="s">
        <v>132</v>
      </c>
      <c r="BH646" s="75" t="s">
        <v>5970</v>
      </c>
      <c r="BI646" s="295" t="s">
        <v>4089</v>
      </c>
      <c r="BJ646" s="546">
        <v>1</v>
      </c>
      <c r="BK646" s="294" t="s">
        <v>16</v>
      </c>
      <c r="BL646" s="157" t="s">
        <v>16</v>
      </c>
      <c r="BM646" s="548" t="s">
        <v>1342</v>
      </c>
      <c r="BN646" s="548" t="s">
        <v>4158</v>
      </c>
      <c r="BO646" s="157" t="s">
        <v>4393</v>
      </c>
      <c r="BP646" s="548" t="s">
        <v>4394</v>
      </c>
      <c r="BQ646" s="157" t="s">
        <v>4392</v>
      </c>
      <c r="BR646" s="157"/>
    </row>
    <row r="647" spans="1:70" x14ac:dyDescent="0.25">
      <c r="A647" s="19" t="s">
        <v>3686</v>
      </c>
      <c r="B647" s="37" t="s">
        <v>2455</v>
      </c>
      <c r="C647" s="90">
        <v>45146.925706018519</v>
      </c>
      <c r="D647" s="114">
        <v>45146.675706018519</v>
      </c>
      <c r="E647" s="38">
        <v>45146</v>
      </c>
      <c r="F647" s="91">
        <v>2023</v>
      </c>
      <c r="G647" s="93">
        <v>8</v>
      </c>
      <c r="H647" s="37" t="s">
        <v>2446</v>
      </c>
      <c r="I647" s="37"/>
      <c r="J647" s="103">
        <v>-90.41036198333336</v>
      </c>
      <c r="K647" s="40">
        <v>43.520417999999999</v>
      </c>
      <c r="L647" s="74"/>
      <c r="M647" s="272" t="s">
        <v>16</v>
      </c>
      <c r="N647" s="74">
        <v>0</v>
      </c>
      <c r="O647" s="94"/>
      <c r="P647" s="118">
        <v>0</v>
      </c>
      <c r="Q647" s="510"/>
      <c r="R647" s="513"/>
      <c r="S647" s="41"/>
      <c r="T647" s="40"/>
      <c r="U647" s="40"/>
      <c r="V647" s="119">
        <v>0</v>
      </c>
      <c r="W647" s="40"/>
      <c r="X647" s="119">
        <v>1</v>
      </c>
      <c r="Y647" s="40">
        <v>77</v>
      </c>
      <c r="Z647" s="119">
        <v>0</v>
      </c>
      <c r="AA647" s="368" t="s">
        <v>16</v>
      </c>
      <c r="AB647" s="535" t="s">
        <v>16</v>
      </c>
      <c r="AC647" s="39" t="s">
        <v>160</v>
      </c>
      <c r="AD647" s="75" t="s">
        <v>10</v>
      </c>
      <c r="AE647" s="95">
        <v>0</v>
      </c>
      <c r="AF647" s="75">
        <v>0</v>
      </c>
      <c r="AG647" s="75">
        <v>0</v>
      </c>
      <c r="AH647" s="75">
        <v>0</v>
      </c>
      <c r="AI647" s="75">
        <v>0</v>
      </c>
      <c r="AJ647" s="75">
        <v>0</v>
      </c>
      <c r="AK647" s="75">
        <v>0</v>
      </c>
      <c r="AL647" s="95">
        <v>1</v>
      </c>
      <c r="AM647" s="92">
        <v>0</v>
      </c>
      <c r="AN647" s="79" t="s">
        <v>80</v>
      </c>
      <c r="AO647" s="75">
        <v>1</v>
      </c>
      <c r="AP647" s="75" t="s">
        <v>84</v>
      </c>
      <c r="AQ647" s="122">
        <v>1</v>
      </c>
      <c r="AR647" s="515" t="s">
        <v>10</v>
      </c>
      <c r="AS647" s="95">
        <v>0</v>
      </c>
      <c r="AT647" s="75">
        <v>0</v>
      </c>
      <c r="AU647" s="75">
        <v>0</v>
      </c>
      <c r="AV647" s="75">
        <v>0</v>
      </c>
      <c r="AW647" s="123">
        <v>0</v>
      </c>
      <c r="AX647" s="516"/>
      <c r="AY647" s="75">
        <v>0</v>
      </c>
      <c r="AZ647" s="77" t="s">
        <v>131</v>
      </c>
      <c r="BA647" s="78" t="s">
        <v>131</v>
      </c>
      <c r="BB647" s="78" t="s">
        <v>131</v>
      </c>
      <c r="BC647" s="78" t="s">
        <v>131</v>
      </c>
      <c r="BD647" s="78" t="s">
        <v>131</v>
      </c>
      <c r="BE647" s="78" t="s">
        <v>131</v>
      </c>
      <c r="BF647" s="78" t="s">
        <v>131</v>
      </c>
      <c r="BG647" s="78" t="s">
        <v>132</v>
      </c>
      <c r="BH647" s="75" t="s">
        <v>5970</v>
      </c>
      <c r="BI647" s="295" t="s">
        <v>5956</v>
      </c>
      <c r="BJ647" s="546">
        <v>1</v>
      </c>
      <c r="BK647" s="294" t="s">
        <v>16</v>
      </c>
      <c r="BL647" s="157" t="s">
        <v>16</v>
      </c>
      <c r="BM647" s="548" t="s">
        <v>1342</v>
      </c>
      <c r="BN647" s="548" t="s">
        <v>4158</v>
      </c>
      <c r="BO647" s="157" t="s">
        <v>4399</v>
      </c>
      <c r="BP647" s="548" t="s">
        <v>4400</v>
      </c>
      <c r="BQ647" s="157" t="s">
        <v>4392</v>
      </c>
      <c r="BR647" s="157"/>
    </row>
    <row r="648" spans="1:70" x14ac:dyDescent="0.25">
      <c r="A648" s="19" t="s">
        <v>3686</v>
      </c>
      <c r="B648" s="37" t="s">
        <v>3944</v>
      </c>
      <c r="C648" s="90">
        <v>45146.866111111114</v>
      </c>
      <c r="D648" s="114">
        <v>45146.616111111114</v>
      </c>
      <c r="E648" s="38">
        <v>45146</v>
      </c>
      <c r="F648" s="91">
        <v>2023</v>
      </c>
      <c r="G648" s="93">
        <v>8</v>
      </c>
      <c r="H648" s="37" t="s">
        <v>1378</v>
      </c>
      <c r="I648" s="37"/>
      <c r="J648" s="103">
        <v>-90.997517200000004</v>
      </c>
      <c r="K648" s="40">
        <v>43.710333499999997</v>
      </c>
      <c r="L648" s="74"/>
      <c r="M648" s="272" t="s">
        <v>3945</v>
      </c>
      <c r="N648" s="74">
        <v>1</v>
      </c>
      <c r="O648" s="94"/>
      <c r="P648" s="118">
        <v>1</v>
      </c>
      <c r="Q648" s="510">
        <v>120</v>
      </c>
      <c r="R648" s="513">
        <v>120</v>
      </c>
      <c r="S648" s="41"/>
      <c r="T648" s="40"/>
      <c r="U648" s="40">
        <v>8.5</v>
      </c>
      <c r="V648" s="119">
        <v>1</v>
      </c>
      <c r="W648" s="40">
        <v>0</v>
      </c>
      <c r="X648" s="119">
        <v>1</v>
      </c>
      <c r="Y648" s="40">
        <v>70</v>
      </c>
      <c r="Z648" s="119">
        <v>1</v>
      </c>
      <c r="AA648" s="368">
        <v>0</v>
      </c>
      <c r="AB648" s="535">
        <v>2</v>
      </c>
      <c r="AC648" s="39" t="s">
        <v>160</v>
      </c>
      <c r="AD648" s="75" t="s">
        <v>10</v>
      </c>
      <c r="AE648" s="95">
        <v>0</v>
      </c>
      <c r="AF648" s="75">
        <v>0</v>
      </c>
      <c r="AG648" s="75">
        <v>0</v>
      </c>
      <c r="AH648" s="75">
        <v>0</v>
      </c>
      <c r="AI648" s="75">
        <v>0</v>
      </c>
      <c r="AJ648" s="75">
        <v>0</v>
      </c>
      <c r="AK648" s="75">
        <v>0</v>
      </c>
      <c r="AL648" s="95">
        <v>1</v>
      </c>
      <c r="AM648" s="92">
        <v>0</v>
      </c>
      <c r="AN648" s="79" t="s">
        <v>80</v>
      </c>
      <c r="AO648" s="75">
        <v>1</v>
      </c>
      <c r="AP648" s="75" t="s">
        <v>83</v>
      </c>
      <c r="AQ648" s="122">
        <v>1</v>
      </c>
      <c r="AR648" s="515" t="s">
        <v>10</v>
      </c>
      <c r="AS648" s="95">
        <v>0</v>
      </c>
      <c r="AT648" s="75">
        <v>0</v>
      </c>
      <c r="AU648" s="75">
        <v>0</v>
      </c>
      <c r="AV648" s="75">
        <v>0</v>
      </c>
      <c r="AW648" s="123">
        <v>0</v>
      </c>
      <c r="AX648" s="516"/>
      <c r="AY648" s="75">
        <v>0</v>
      </c>
      <c r="AZ648" s="77" t="s">
        <v>131</v>
      </c>
      <c r="BA648" s="78" t="s">
        <v>131</v>
      </c>
      <c r="BB648" s="78" t="s">
        <v>131</v>
      </c>
      <c r="BC648" s="78" t="s">
        <v>131</v>
      </c>
      <c r="BD648" s="78" t="s">
        <v>131</v>
      </c>
      <c r="BE648" s="78" t="s">
        <v>131</v>
      </c>
      <c r="BF648" s="78" t="s">
        <v>131</v>
      </c>
      <c r="BG648" s="78" t="s">
        <v>132</v>
      </c>
      <c r="BH648" s="75" t="s">
        <v>5970</v>
      </c>
      <c r="BI648" s="295" t="s">
        <v>2293</v>
      </c>
      <c r="BJ648" s="546">
        <v>1</v>
      </c>
      <c r="BK648" s="294">
        <v>1</v>
      </c>
      <c r="BL648" s="157">
        <v>1</v>
      </c>
      <c r="BM648" s="548" t="s">
        <v>1342</v>
      </c>
      <c r="BN648" s="548" t="s">
        <v>4158</v>
      </c>
      <c r="BO648" s="157" t="s">
        <v>4385</v>
      </c>
      <c r="BP648" s="548" t="s">
        <v>4414</v>
      </c>
      <c r="BQ648" s="157" t="s">
        <v>4383</v>
      </c>
      <c r="BR648" s="157"/>
    </row>
    <row r="649" spans="1:70" x14ac:dyDescent="0.25">
      <c r="A649" s="19" t="s">
        <v>3686</v>
      </c>
      <c r="B649" s="37" t="s">
        <v>2456</v>
      </c>
      <c r="C649" s="90">
        <v>45146.861886574072</v>
      </c>
      <c r="D649" s="114">
        <v>45146.611886574072</v>
      </c>
      <c r="E649" s="38">
        <v>45146</v>
      </c>
      <c r="F649" s="91">
        <v>2023</v>
      </c>
      <c r="G649" s="93">
        <v>8</v>
      </c>
      <c r="H649" s="37" t="s">
        <v>2457</v>
      </c>
      <c r="I649" s="37" t="s">
        <v>337</v>
      </c>
      <c r="J649" s="103">
        <v>-92.644993770162799</v>
      </c>
      <c r="K649" s="40">
        <v>44.843563921689054</v>
      </c>
      <c r="L649" s="74"/>
      <c r="M649" s="272" t="s">
        <v>2458</v>
      </c>
      <c r="N649" s="74">
        <v>1</v>
      </c>
      <c r="O649" s="94"/>
      <c r="P649" s="118">
        <v>1</v>
      </c>
      <c r="Q649" s="510">
        <v>120</v>
      </c>
      <c r="R649" s="513">
        <v>120</v>
      </c>
      <c r="S649" s="41"/>
      <c r="T649" s="40"/>
      <c r="U649" s="40">
        <v>8</v>
      </c>
      <c r="V649" s="119">
        <v>1</v>
      </c>
      <c r="W649" s="40">
        <v>100</v>
      </c>
      <c r="X649" s="119">
        <v>1</v>
      </c>
      <c r="Y649" s="40">
        <v>63</v>
      </c>
      <c r="Z649" s="119">
        <v>1</v>
      </c>
      <c r="AA649" s="368">
        <v>0</v>
      </c>
      <c r="AB649" s="535">
        <v>10</v>
      </c>
      <c r="AC649" s="39" t="s">
        <v>160</v>
      </c>
      <c r="AD649" s="75" t="s">
        <v>10</v>
      </c>
      <c r="AE649" s="95">
        <v>0</v>
      </c>
      <c r="AF649" s="75">
        <v>0</v>
      </c>
      <c r="AG649" s="75">
        <v>0</v>
      </c>
      <c r="AH649" s="75">
        <v>0</v>
      </c>
      <c r="AI649" s="75">
        <v>0</v>
      </c>
      <c r="AJ649" s="75">
        <v>0</v>
      </c>
      <c r="AK649" s="75">
        <v>0</v>
      </c>
      <c r="AL649" s="95">
        <v>1</v>
      </c>
      <c r="AM649" s="92">
        <v>0</v>
      </c>
      <c r="AN649" s="79" t="s">
        <v>80</v>
      </c>
      <c r="AO649" s="75">
        <v>1</v>
      </c>
      <c r="AP649" s="75" t="s">
        <v>83</v>
      </c>
      <c r="AQ649" s="122">
        <v>1</v>
      </c>
      <c r="AR649" s="515" t="s">
        <v>10</v>
      </c>
      <c r="AS649" s="95">
        <v>0</v>
      </c>
      <c r="AT649" s="75">
        <v>0</v>
      </c>
      <c r="AU649" s="75">
        <v>0</v>
      </c>
      <c r="AV649" s="75">
        <v>0</v>
      </c>
      <c r="AW649" s="123">
        <v>0</v>
      </c>
      <c r="AX649" s="516" t="s">
        <v>2459</v>
      </c>
      <c r="AY649" s="75">
        <v>1</v>
      </c>
      <c r="AZ649" s="77" t="s">
        <v>131</v>
      </c>
      <c r="BA649" s="78" t="s">
        <v>131</v>
      </c>
      <c r="BB649" s="78" t="s">
        <v>131</v>
      </c>
      <c r="BC649" s="78" t="s">
        <v>131</v>
      </c>
      <c r="BD649" s="78" t="s">
        <v>131</v>
      </c>
      <c r="BE649" s="78" t="s">
        <v>131</v>
      </c>
      <c r="BF649" s="78" t="s">
        <v>131</v>
      </c>
      <c r="BG649" s="78" t="s">
        <v>132</v>
      </c>
      <c r="BH649" s="75" t="s">
        <v>5970</v>
      </c>
      <c r="BI649" s="295" t="s">
        <v>2227</v>
      </c>
      <c r="BJ649" s="546">
        <v>1</v>
      </c>
      <c r="BK649" s="294" t="s">
        <v>16</v>
      </c>
      <c r="BL649" s="157" t="s">
        <v>16</v>
      </c>
      <c r="BM649" s="548" t="s">
        <v>578</v>
      </c>
      <c r="BN649" s="548" t="s">
        <v>578</v>
      </c>
      <c r="BO649" s="157" t="s">
        <v>4341</v>
      </c>
      <c r="BP649" s="548" t="s">
        <v>4343</v>
      </c>
      <c r="BQ649" s="157" t="s">
        <v>4309</v>
      </c>
      <c r="BR649" s="157"/>
    </row>
    <row r="650" spans="1:70" x14ac:dyDescent="0.25">
      <c r="A650" s="19" t="s">
        <v>3686</v>
      </c>
      <c r="B650" s="37" t="s">
        <v>2460</v>
      </c>
      <c r="C650" s="90">
        <v>45146.860543981478</v>
      </c>
      <c r="D650" s="114">
        <v>45146.610543981478</v>
      </c>
      <c r="E650" s="38">
        <v>45146</v>
      </c>
      <c r="F650" s="91">
        <v>2023</v>
      </c>
      <c r="G650" s="93">
        <v>8</v>
      </c>
      <c r="H650" s="37" t="s">
        <v>1378</v>
      </c>
      <c r="I650" s="37"/>
      <c r="J650" s="103">
        <v>-90.997298599999993</v>
      </c>
      <c r="K650" s="40">
        <v>43.7096564</v>
      </c>
      <c r="L650" s="74"/>
      <c r="M650" s="272" t="s">
        <v>2461</v>
      </c>
      <c r="N650" s="74">
        <v>1</v>
      </c>
      <c r="O650" s="94"/>
      <c r="P650" s="118">
        <v>1</v>
      </c>
      <c r="Q650" s="510">
        <v>120</v>
      </c>
      <c r="R650" s="513">
        <v>0</v>
      </c>
      <c r="S650" s="41"/>
      <c r="T650" s="40"/>
      <c r="U650" s="40">
        <v>7.5</v>
      </c>
      <c r="V650" s="119">
        <v>1</v>
      </c>
      <c r="W650" s="40">
        <v>0</v>
      </c>
      <c r="X650" s="119">
        <v>1</v>
      </c>
      <c r="Y650" s="40">
        <v>51</v>
      </c>
      <c r="Z650" s="119">
        <v>1</v>
      </c>
      <c r="AA650" s="368">
        <v>0</v>
      </c>
      <c r="AB650" s="535">
        <v>0</v>
      </c>
      <c r="AC650" s="39" t="s">
        <v>162</v>
      </c>
      <c r="AD650" s="75" t="s">
        <v>16</v>
      </c>
      <c r="AE650" s="95">
        <v>-1</v>
      </c>
      <c r="AF650" s="75">
        <v>-1</v>
      </c>
      <c r="AG650" s="75">
        <v>-1</v>
      </c>
      <c r="AH650" s="75">
        <v>-1</v>
      </c>
      <c r="AI650" s="75">
        <v>-1</v>
      </c>
      <c r="AJ650" s="75">
        <v>-1</v>
      </c>
      <c r="AK650" s="75">
        <v>-1</v>
      </c>
      <c r="AL650" s="95">
        <v>-1</v>
      </c>
      <c r="AM650" s="92">
        <v>1</v>
      </c>
      <c r="AN650" s="79" t="s">
        <v>80</v>
      </c>
      <c r="AO650" s="75">
        <v>1</v>
      </c>
      <c r="AP650" s="75" t="s">
        <v>83</v>
      </c>
      <c r="AQ650" s="122">
        <v>1</v>
      </c>
      <c r="AR650" s="515" t="s">
        <v>10</v>
      </c>
      <c r="AS650" s="95">
        <v>0</v>
      </c>
      <c r="AT650" s="75">
        <v>0</v>
      </c>
      <c r="AU650" s="75">
        <v>0</v>
      </c>
      <c r="AV650" s="75">
        <v>0</v>
      </c>
      <c r="AW650" s="123">
        <v>0</v>
      </c>
      <c r="AX650" s="516"/>
      <c r="AY650" s="75">
        <v>0</v>
      </c>
      <c r="AZ650" s="77" t="s">
        <v>5971</v>
      </c>
      <c r="BA650" s="78" t="s">
        <v>5971</v>
      </c>
      <c r="BB650" s="78" t="s">
        <v>5971</v>
      </c>
      <c r="BC650" s="78" t="s">
        <v>5971</v>
      </c>
      <c r="BD650" s="78" t="s">
        <v>5971</v>
      </c>
      <c r="BE650" s="78" t="s">
        <v>5971</v>
      </c>
      <c r="BF650" s="78" t="s">
        <v>5971</v>
      </c>
      <c r="BG650" s="78" t="s">
        <v>5971</v>
      </c>
      <c r="BH650" s="75" t="s">
        <v>5971</v>
      </c>
      <c r="BI650" s="295" t="s">
        <v>2293</v>
      </c>
      <c r="BJ650" s="546">
        <v>1</v>
      </c>
      <c r="BK650" s="294">
        <v>1</v>
      </c>
      <c r="BL650" s="157">
        <v>1</v>
      </c>
      <c r="BM650" s="548" t="s">
        <v>1342</v>
      </c>
      <c r="BN650" s="548" t="s">
        <v>4158</v>
      </c>
      <c r="BO650" s="157" t="s">
        <v>4385</v>
      </c>
      <c r="BP650" s="548" t="s">
        <v>4414</v>
      </c>
      <c r="BQ650" s="157" t="s">
        <v>4383</v>
      </c>
      <c r="BR650" s="157"/>
    </row>
    <row r="651" spans="1:70" x14ac:dyDescent="0.25">
      <c r="A651" s="19" t="s">
        <v>3686</v>
      </c>
      <c r="B651" s="37" t="s">
        <v>2462</v>
      </c>
      <c r="C651" s="90">
        <v>45146.82</v>
      </c>
      <c r="D651" s="114">
        <v>45146.57</v>
      </c>
      <c r="E651" s="38">
        <v>45146</v>
      </c>
      <c r="F651" s="91">
        <v>2023</v>
      </c>
      <c r="G651" s="93">
        <v>8</v>
      </c>
      <c r="H651" s="37" t="s">
        <v>1378</v>
      </c>
      <c r="I651" s="37"/>
      <c r="J651" s="103">
        <v>-90.666938191642487</v>
      </c>
      <c r="K651" s="40">
        <v>43.6459072113094</v>
      </c>
      <c r="L651" s="74"/>
      <c r="M651" s="272" t="s">
        <v>2463</v>
      </c>
      <c r="N651" s="74">
        <v>1</v>
      </c>
      <c r="O651" s="94"/>
      <c r="P651" s="118">
        <v>1</v>
      </c>
      <c r="Q651" s="510">
        <v>180</v>
      </c>
      <c r="R651" s="513">
        <v>60</v>
      </c>
      <c r="S651" s="41"/>
      <c r="T651" s="40"/>
      <c r="U651" s="40">
        <v>8</v>
      </c>
      <c r="V651" s="119">
        <v>1</v>
      </c>
      <c r="W651" s="40">
        <v>0</v>
      </c>
      <c r="X651" s="119">
        <v>1</v>
      </c>
      <c r="Y651" s="40">
        <v>62</v>
      </c>
      <c r="Z651" s="119">
        <v>1</v>
      </c>
      <c r="AA651" s="368">
        <v>0</v>
      </c>
      <c r="AB651" s="535">
        <v>1</v>
      </c>
      <c r="AC651" s="39" t="s">
        <v>160</v>
      </c>
      <c r="AD651" s="75" t="s">
        <v>10</v>
      </c>
      <c r="AE651" s="95">
        <v>0</v>
      </c>
      <c r="AF651" s="75">
        <v>0</v>
      </c>
      <c r="AG651" s="75">
        <v>0</v>
      </c>
      <c r="AH651" s="75">
        <v>0</v>
      </c>
      <c r="AI651" s="75">
        <v>0</v>
      </c>
      <c r="AJ651" s="75">
        <v>0</v>
      </c>
      <c r="AK651" s="75">
        <v>0</v>
      </c>
      <c r="AL651" s="95">
        <v>1</v>
      </c>
      <c r="AM651" s="92">
        <v>0</v>
      </c>
      <c r="AN651" s="79" t="s">
        <v>80</v>
      </c>
      <c r="AO651" s="75">
        <v>1</v>
      </c>
      <c r="AP651" s="75" t="s">
        <v>83</v>
      </c>
      <c r="AQ651" s="122">
        <v>1</v>
      </c>
      <c r="AR651" s="515" t="s">
        <v>10</v>
      </c>
      <c r="AS651" s="95">
        <v>0</v>
      </c>
      <c r="AT651" s="75">
        <v>0</v>
      </c>
      <c r="AU651" s="75">
        <v>0</v>
      </c>
      <c r="AV651" s="75">
        <v>0</v>
      </c>
      <c r="AW651" s="123">
        <v>0</v>
      </c>
      <c r="AX651" s="516"/>
      <c r="AY651" s="75">
        <v>0</v>
      </c>
      <c r="AZ651" s="77" t="s">
        <v>131</v>
      </c>
      <c r="BA651" s="78" t="s">
        <v>131</v>
      </c>
      <c r="BB651" s="78" t="s">
        <v>131</v>
      </c>
      <c r="BC651" s="78" t="s">
        <v>131</v>
      </c>
      <c r="BD651" s="78" t="s">
        <v>131</v>
      </c>
      <c r="BE651" s="78" t="s">
        <v>131</v>
      </c>
      <c r="BF651" s="78" t="s">
        <v>131</v>
      </c>
      <c r="BG651" s="78" t="s">
        <v>132</v>
      </c>
      <c r="BH651" s="75" t="s">
        <v>5970</v>
      </c>
      <c r="BI651" s="295" t="s">
        <v>4057</v>
      </c>
      <c r="BJ651" s="546">
        <v>1</v>
      </c>
      <c r="BK651" s="294" t="s">
        <v>16</v>
      </c>
      <c r="BL651" s="157" t="s">
        <v>16</v>
      </c>
      <c r="BM651" s="548" t="s">
        <v>1342</v>
      </c>
      <c r="BN651" s="548" t="s">
        <v>4158</v>
      </c>
      <c r="BO651" s="157" t="s">
        <v>4415</v>
      </c>
      <c r="BP651" s="548" t="s">
        <v>4416</v>
      </c>
      <c r="BQ651" s="157" t="s">
        <v>4274</v>
      </c>
      <c r="BR651" s="157"/>
    </row>
    <row r="652" spans="1:70" x14ac:dyDescent="0.25">
      <c r="A652" s="19" t="s">
        <v>3686</v>
      </c>
      <c r="B652" s="37" t="s">
        <v>2464</v>
      </c>
      <c r="C652" s="90">
        <v>45145.814351851855</v>
      </c>
      <c r="D652" s="114">
        <v>45145.564351851855</v>
      </c>
      <c r="E652" s="38">
        <v>45145</v>
      </c>
      <c r="F652" s="91">
        <v>2023</v>
      </c>
      <c r="G652" s="93">
        <v>8</v>
      </c>
      <c r="H652" s="37" t="s">
        <v>2446</v>
      </c>
      <c r="I652" s="37"/>
      <c r="J652" s="103">
        <v>-90.65253782864464</v>
      </c>
      <c r="K652" s="40">
        <v>43.514161863381233</v>
      </c>
      <c r="L652" s="74"/>
      <c r="M652" s="272" t="s">
        <v>2465</v>
      </c>
      <c r="N652" s="74">
        <v>1</v>
      </c>
      <c r="O652" s="94"/>
      <c r="P652" s="118">
        <v>0</v>
      </c>
      <c r="Q652" s="510"/>
      <c r="R652" s="513"/>
      <c r="S652" s="41"/>
      <c r="T652" s="40"/>
      <c r="U652" s="40"/>
      <c r="V652" s="119">
        <v>0</v>
      </c>
      <c r="W652" s="40"/>
      <c r="X652" s="119">
        <v>1</v>
      </c>
      <c r="Y652" s="40">
        <v>62</v>
      </c>
      <c r="Z652" s="119">
        <v>0</v>
      </c>
      <c r="AA652" s="368" t="s">
        <v>16</v>
      </c>
      <c r="AB652" s="535" t="s">
        <v>16</v>
      </c>
      <c r="AC652" s="39" t="s">
        <v>160</v>
      </c>
      <c r="AD652" s="75" t="s">
        <v>7</v>
      </c>
      <c r="AE652" s="95">
        <v>1</v>
      </c>
      <c r="AF652" s="75">
        <v>0</v>
      </c>
      <c r="AG652" s="75">
        <v>0</v>
      </c>
      <c r="AH652" s="75">
        <v>0</v>
      </c>
      <c r="AI652" s="75">
        <v>0</v>
      </c>
      <c r="AJ652" s="75">
        <v>0</v>
      </c>
      <c r="AK652" s="75">
        <v>0</v>
      </c>
      <c r="AL652" s="95">
        <v>0</v>
      </c>
      <c r="AM652" s="92">
        <v>0</v>
      </c>
      <c r="AN652" s="79" t="s">
        <v>80</v>
      </c>
      <c r="AO652" s="75">
        <v>1</v>
      </c>
      <c r="AP652" s="75" t="s">
        <v>83</v>
      </c>
      <c r="AQ652" s="122">
        <v>1</v>
      </c>
      <c r="AR652" s="515" t="s">
        <v>10</v>
      </c>
      <c r="AS652" s="95">
        <v>0</v>
      </c>
      <c r="AT652" s="75">
        <v>0</v>
      </c>
      <c r="AU652" s="75">
        <v>0</v>
      </c>
      <c r="AV652" s="75">
        <v>0</v>
      </c>
      <c r="AW652" s="123">
        <v>0</v>
      </c>
      <c r="AX652" s="516" t="s">
        <v>2466</v>
      </c>
      <c r="AY652" s="75">
        <v>1</v>
      </c>
      <c r="AZ652" s="77" t="s">
        <v>132</v>
      </c>
      <c r="BA652" s="78" t="s">
        <v>131</v>
      </c>
      <c r="BB652" s="78" t="s">
        <v>131</v>
      </c>
      <c r="BC652" s="78" t="s">
        <v>131</v>
      </c>
      <c r="BD652" s="78" t="s">
        <v>131</v>
      </c>
      <c r="BE652" s="78" t="s">
        <v>131</v>
      </c>
      <c r="BF652" s="78" t="s">
        <v>131</v>
      </c>
      <c r="BG652" s="78" t="s">
        <v>131</v>
      </c>
      <c r="BH652" s="75" t="s">
        <v>5970</v>
      </c>
      <c r="BI652" s="295" t="s">
        <v>4060</v>
      </c>
      <c r="BJ652" s="546">
        <v>1</v>
      </c>
      <c r="BK652" s="294" t="s">
        <v>16</v>
      </c>
      <c r="BL652" s="157" t="s">
        <v>16</v>
      </c>
      <c r="BM652" s="548" t="s">
        <v>1342</v>
      </c>
      <c r="BN652" s="548" t="s">
        <v>4158</v>
      </c>
      <c r="BO652" s="157" t="s">
        <v>4284</v>
      </c>
      <c r="BP652" s="548" t="s">
        <v>4417</v>
      </c>
      <c r="BQ652" s="157" t="s">
        <v>4274</v>
      </c>
      <c r="BR652" s="157"/>
    </row>
    <row r="653" spans="1:70" x14ac:dyDescent="0.25">
      <c r="A653" s="19" t="s">
        <v>3686</v>
      </c>
      <c r="B653" s="37" t="s">
        <v>3946</v>
      </c>
      <c r="C653" s="90">
        <v>45145.794270833336</v>
      </c>
      <c r="D653" s="114">
        <v>45145.544270833336</v>
      </c>
      <c r="E653" s="38">
        <v>45145</v>
      </c>
      <c r="F653" s="91">
        <v>2023</v>
      </c>
      <c r="G653" s="93">
        <v>8</v>
      </c>
      <c r="H653" s="37" t="s">
        <v>598</v>
      </c>
      <c r="I653" s="37"/>
      <c r="J653" s="103">
        <v>-91.850047535129178</v>
      </c>
      <c r="K653" s="40">
        <v>43.657495256557205</v>
      </c>
      <c r="L653" s="74"/>
      <c r="M653" s="272" t="s">
        <v>3947</v>
      </c>
      <c r="N653" s="74">
        <v>1</v>
      </c>
      <c r="O653" s="94"/>
      <c r="P653" s="118">
        <v>1</v>
      </c>
      <c r="Q653" s="510">
        <v>180</v>
      </c>
      <c r="R653" s="513">
        <v>180</v>
      </c>
      <c r="S653" s="41"/>
      <c r="T653" s="40"/>
      <c r="U653" s="40">
        <v>7</v>
      </c>
      <c r="V653" s="119">
        <v>1</v>
      </c>
      <c r="W653" s="40">
        <v>100</v>
      </c>
      <c r="X653" s="119">
        <v>1</v>
      </c>
      <c r="Y653" s="40">
        <v>61</v>
      </c>
      <c r="Z653" s="119">
        <v>1</v>
      </c>
      <c r="AA653" s="368">
        <v>0</v>
      </c>
      <c r="AB653" s="535">
        <v>5</v>
      </c>
      <c r="AC653" s="39" t="s">
        <v>160</v>
      </c>
      <c r="AD653" s="75" t="s">
        <v>10</v>
      </c>
      <c r="AE653" s="95">
        <v>0</v>
      </c>
      <c r="AF653" s="75">
        <v>0</v>
      </c>
      <c r="AG653" s="75">
        <v>0</v>
      </c>
      <c r="AH653" s="75">
        <v>0</v>
      </c>
      <c r="AI653" s="75">
        <v>0</v>
      </c>
      <c r="AJ653" s="75">
        <v>0</v>
      </c>
      <c r="AK653" s="75">
        <v>0</v>
      </c>
      <c r="AL653" s="95">
        <v>1</v>
      </c>
      <c r="AM653" s="92">
        <v>0</v>
      </c>
      <c r="AN653" s="79" t="s">
        <v>80</v>
      </c>
      <c r="AO653" s="75">
        <v>1</v>
      </c>
      <c r="AP653" s="75" t="s">
        <v>83</v>
      </c>
      <c r="AQ653" s="122">
        <v>1</v>
      </c>
      <c r="AR653" s="515" t="s">
        <v>10</v>
      </c>
      <c r="AS653" s="95">
        <v>0</v>
      </c>
      <c r="AT653" s="75">
        <v>0</v>
      </c>
      <c r="AU653" s="75">
        <v>0</v>
      </c>
      <c r="AV653" s="75">
        <v>0</v>
      </c>
      <c r="AW653" s="123">
        <v>0</v>
      </c>
      <c r="AX653" s="516" t="s">
        <v>3948</v>
      </c>
      <c r="AY653" s="75">
        <v>1</v>
      </c>
      <c r="AZ653" s="77" t="s">
        <v>131</v>
      </c>
      <c r="BA653" s="78" t="s">
        <v>131</v>
      </c>
      <c r="BB653" s="78" t="s">
        <v>131</v>
      </c>
      <c r="BC653" s="78" t="s">
        <v>131</v>
      </c>
      <c r="BD653" s="78" t="s">
        <v>131</v>
      </c>
      <c r="BE653" s="78" t="s">
        <v>131</v>
      </c>
      <c r="BF653" s="78" t="s">
        <v>131</v>
      </c>
      <c r="BG653" s="78" t="s">
        <v>132</v>
      </c>
      <c r="BH653" s="75" t="s">
        <v>5970</v>
      </c>
      <c r="BI653" s="295" t="s">
        <v>3972</v>
      </c>
      <c r="BJ653" s="546">
        <v>1</v>
      </c>
      <c r="BK653" s="294" t="s">
        <v>16</v>
      </c>
      <c r="BL653" s="157" t="s">
        <v>16</v>
      </c>
      <c r="BM653" s="548" t="s">
        <v>1339</v>
      </c>
      <c r="BN653" s="548" t="s">
        <v>1339</v>
      </c>
      <c r="BO653" s="157" t="s">
        <v>4418</v>
      </c>
      <c r="BP653" s="548" t="s">
        <v>4419</v>
      </c>
      <c r="BQ653" s="157" t="s">
        <v>4232</v>
      </c>
      <c r="BR653" s="157"/>
    </row>
    <row r="654" spans="1:70" x14ac:dyDescent="0.25">
      <c r="A654" s="19" t="s">
        <v>3686</v>
      </c>
      <c r="B654" s="37" t="s">
        <v>2467</v>
      </c>
      <c r="C654" s="90">
        <v>45145.777291666665</v>
      </c>
      <c r="D654" s="114">
        <v>45145.527291666665</v>
      </c>
      <c r="E654" s="38">
        <v>45145</v>
      </c>
      <c r="F654" s="91">
        <v>2023</v>
      </c>
      <c r="G654" s="93">
        <v>8</v>
      </c>
      <c r="H654" s="37" t="s">
        <v>598</v>
      </c>
      <c r="I654" s="37"/>
      <c r="J654" s="103">
        <v>-91.8237507957368</v>
      </c>
      <c r="K654" s="40">
        <v>43.642496649830704</v>
      </c>
      <c r="L654" s="74"/>
      <c r="M654" s="272" t="s">
        <v>2468</v>
      </c>
      <c r="N654" s="74">
        <v>1</v>
      </c>
      <c r="O654" s="94"/>
      <c r="P654" s="118">
        <v>1</v>
      </c>
      <c r="Q654" s="510">
        <v>180</v>
      </c>
      <c r="R654" s="513">
        <v>180</v>
      </c>
      <c r="S654" s="41"/>
      <c r="T654" s="40"/>
      <c r="U654" s="40">
        <v>8</v>
      </c>
      <c r="V654" s="119">
        <v>1</v>
      </c>
      <c r="W654" s="40">
        <v>100</v>
      </c>
      <c r="X654" s="119">
        <v>1</v>
      </c>
      <c r="Y654" s="40">
        <v>62</v>
      </c>
      <c r="Z654" s="119">
        <v>1</v>
      </c>
      <c r="AA654" s="368">
        <v>0</v>
      </c>
      <c r="AB654" s="535">
        <v>5</v>
      </c>
      <c r="AC654" s="39" t="s">
        <v>160</v>
      </c>
      <c r="AD654" s="75" t="s">
        <v>10</v>
      </c>
      <c r="AE654" s="95">
        <v>0</v>
      </c>
      <c r="AF654" s="75">
        <v>0</v>
      </c>
      <c r="AG654" s="75">
        <v>0</v>
      </c>
      <c r="AH654" s="75">
        <v>0</v>
      </c>
      <c r="AI654" s="75">
        <v>0</v>
      </c>
      <c r="AJ654" s="75">
        <v>0</v>
      </c>
      <c r="AK654" s="75">
        <v>0</v>
      </c>
      <c r="AL654" s="95">
        <v>1</v>
      </c>
      <c r="AM654" s="92">
        <v>0</v>
      </c>
      <c r="AN654" s="79" t="s">
        <v>80</v>
      </c>
      <c r="AO654" s="75">
        <v>1</v>
      </c>
      <c r="AP654" s="75" t="s">
        <v>83</v>
      </c>
      <c r="AQ654" s="122">
        <v>1</v>
      </c>
      <c r="AR654" s="515" t="s">
        <v>10</v>
      </c>
      <c r="AS654" s="95">
        <v>0</v>
      </c>
      <c r="AT654" s="75">
        <v>0</v>
      </c>
      <c r="AU654" s="75">
        <v>0</v>
      </c>
      <c r="AV654" s="75">
        <v>0</v>
      </c>
      <c r="AW654" s="123">
        <v>0</v>
      </c>
      <c r="AX654" s="516" t="s">
        <v>2469</v>
      </c>
      <c r="AY654" s="75">
        <v>1</v>
      </c>
      <c r="AZ654" s="77" t="s">
        <v>131</v>
      </c>
      <c r="BA654" s="78" t="s">
        <v>131</v>
      </c>
      <c r="BB654" s="78" t="s">
        <v>131</v>
      </c>
      <c r="BC654" s="78" t="s">
        <v>131</v>
      </c>
      <c r="BD654" s="78" t="s">
        <v>131</v>
      </c>
      <c r="BE654" s="78" t="s">
        <v>131</v>
      </c>
      <c r="BF654" s="78" t="s">
        <v>131</v>
      </c>
      <c r="BG654" s="78" t="s">
        <v>132</v>
      </c>
      <c r="BH654" s="75" t="s">
        <v>5970</v>
      </c>
      <c r="BI654" s="295" t="s">
        <v>2249</v>
      </c>
      <c r="BJ654" s="546">
        <v>1</v>
      </c>
      <c r="BK654" s="294">
        <v>1</v>
      </c>
      <c r="BL654" s="157">
        <v>1</v>
      </c>
      <c r="BM654" s="548" t="s">
        <v>1341</v>
      </c>
      <c r="BN654" s="548" t="s">
        <v>1339</v>
      </c>
      <c r="BO654" s="157" t="s">
        <v>4418</v>
      </c>
      <c r="BP654" s="548" t="s">
        <v>4419</v>
      </c>
      <c r="BQ654" s="157" t="s">
        <v>4232</v>
      </c>
      <c r="BR654" s="157"/>
    </row>
    <row r="655" spans="1:70" x14ac:dyDescent="0.25">
      <c r="A655" s="19" t="s">
        <v>3686</v>
      </c>
      <c r="B655" s="37" t="s">
        <v>2470</v>
      </c>
      <c r="C655" s="90">
        <v>45145.705520833333</v>
      </c>
      <c r="D655" s="114">
        <v>45145.455520833333</v>
      </c>
      <c r="E655" s="38">
        <v>45145</v>
      </c>
      <c r="F655" s="91">
        <v>2023</v>
      </c>
      <c r="G655" s="93">
        <v>8</v>
      </c>
      <c r="H655" s="37" t="s">
        <v>603</v>
      </c>
      <c r="I655" s="37" t="s">
        <v>753</v>
      </c>
      <c r="J655" s="103">
        <v>-92.983068000000003</v>
      </c>
      <c r="K655" s="40">
        <v>44.845246199999998</v>
      </c>
      <c r="L655" s="74"/>
      <c r="M655" s="272" t="s">
        <v>16</v>
      </c>
      <c r="N655" s="74">
        <v>0</v>
      </c>
      <c r="O655" s="94"/>
      <c r="P655" s="118">
        <v>0</v>
      </c>
      <c r="Q655" s="510"/>
      <c r="R655" s="513"/>
      <c r="S655" s="41"/>
      <c r="T655" s="40"/>
      <c r="U655" s="40"/>
      <c r="V655" s="119">
        <v>1</v>
      </c>
      <c r="W655" s="40">
        <v>100</v>
      </c>
      <c r="X655" s="119">
        <v>1</v>
      </c>
      <c r="Y655" s="40">
        <v>54</v>
      </c>
      <c r="Z655" s="119">
        <v>0</v>
      </c>
      <c r="AA655" s="368" t="s">
        <v>16</v>
      </c>
      <c r="AB655" s="535" t="s">
        <v>16</v>
      </c>
      <c r="AC655" s="39" t="s">
        <v>160</v>
      </c>
      <c r="AD655" s="75" t="s">
        <v>10</v>
      </c>
      <c r="AE655" s="95">
        <v>0</v>
      </c>
      <c r="AF655" s="75">
        <v>0</v>
      </c>
      <c r="AG655" s="75">
        <v>0</v>
      </c>
      <c r="AH655" s="75">
        <v>0</v>
      </c>
      <c r="AI655" s="75">
        <v>0</v>
      </c>
      <c r="AJ655" s="75">
        <v>0</v>
      </c>
      <c r="AK655" s="75">
        <v>0</v>
      </c>
      <c r="AL655" s="95">
        <v>1</v>
      </c>
      <c r="AM655" s="92">
        <v>0</v>
      </c>
      <c r="AN655" s="79" t="s">
        <v>80</v>
      </c>
      <c r="AO655" s="75">
        <v>1</v>
      </c>
      <c r="AP655" s="75" t="s">
        <v>83</v>
      </c>
      <c r="AQ655" s="122">
        <v>1</v>
      </c>
      <c r="AR655" s="515" t="s">
        <v>13</v>
      </c>
      <c r="AS655" s="95">
        <v>1</v>
      </c>
      <c r="AT655" s="75">
        <v>0</v>
      </c>
      <c r="AU655" s="75">
        <v>0</v>
      </c>
      <c r="AV655" s="75">
        <v>0</v>
      </c>
      <c r="AW655" s="123">
        <v>0</v>
      </c>
      <c r="AX655" s="516"/>
      <c r="AY655" s="75">
        <v>0</v>
      </c>
      <c r="AZ655" s="77" t="s">
        <v>131</v>
      </c>
      <c r="BA655" s="78" t="s">
        <v>131</v>
      </c>
      <c r="BB655" s="78" t="s">
        <v>131</v>
      </c>
      <c r="BC655" s="78" t="s">
        <v>131</v>
      </c>
      <c r="BD655" s="78" t="s">
        <v>131</v>
      </c>
      <c r="BE655" s="78" t="s">
        <v>131</v>
      </c>
      <c r="BF655" s="78" t="s">
        <v>131</v>
      </c>
      <c r="BG655" s="78" t="s">
        <v>132</v>
      </c>
      <c r="BH655" s="75" t="s">
        <v>5970</v>
      </c>
      <c r="BI655" s="295" t="s">
        <v>16</v>
      </c>
      <c r="BJ655" s="546" t="s">
        <v>16</v>
      </c>
      <c r="BK655" s="294" t="s">
        <v>16</v>
      </c>
      <c r="BL655" s="157" t="s">
        <v>16</v>
      </c>
      <c r="BM655" s="548" t="s">
        <v>2343</v>
      </c>
      <c r="BN655" s="548" t="s">
        <v>4161</v>
      </c>
      <c r="BO655" s="157" t="s">
        <v>4265</v>
      </c>
      <c r="BP655" s="548" t="s">
        <v>4267</v>
      </c>
      <c r="BQ655" s="157" t="s">
        <v>4224</v>
      </c>
      <c r="BR655" s="157"/>
    </row>
    <row r="656" spans="1:70" x14ac:dyDescent="0.25">
      <c r="A656" s="19" t="s">
        <v>3686</v>
      </c>
      <c r="B656" s="37" t="s">
        <v>2471</v>
      </c>
      <c r="C656" s="90">
        <v>45145.669537037036</v>
      </c>
      <c r="D656" s="114">
        <v>45145.419537037036</v>
      </c>
      <c r="E656" s="38">
        <v>45145</v>
      </c>
      <c r="F656" s="91">
        <v>2023</v>
      </c>
      <c r="G656" s="93">
        <v>8</v>
      </c>
      <c r="H656" s="37" t="s">
        <v>603</v>
      </c>
      <c r="I656" s="37" t="s">
        <v>753</v>
      </c>
      <c r="J656" s="103">
        <v>-92.774402899999998</v>
      </c>
      <c r="K656" s="40">
        <v>44.5426334</v>
      </c>
      <c r="L656" s="74"/>
      <c r="M656" s="272" t="s">
        <v>16</v>
      </c>
      <c r="N656" s="74">
        <v>0</v>
      </c>
      <c r="O656" s="94"/>
      <c r="P656" s="118">
        <v>1</v>
      </c>
      <c r="Q656" s="510">
        <v>40</v>
      </c>
      <c r="R656" s="513">
        <v>0</v>
      </c>
      <c r="S656" s="41"/>
      <c r="T656" s="40"/>
      <c r="U656" s="40">
        <v>7</v>
      </c>
      <c r="V656" s="119">
        <v>1</v>
      </c>
      <c r="W656" s="40">
        <v>100</v>
      </c>
      <c r="X656" s="119">
        <v>1</v>
      </c>
      <c r="Y656" s="40">
        <v>54</v>
      </c>
      <c r="Z656" s="119">
        <v>0</v>
      </c>
      <c r="AA656" s="368" t="s">
        <v>16</v>
      </c>
      <c r="AB656" s="535" t="s">
        <v>16</v>
      </c>
      <c r="AC656" s="39" t="s">
        <v>160</v>
      </c>
      <c r="AD656" s="75" t="s">
        <v>10</v>
      </c>
      <c r="AE656" s="95">
        <v>0</v>
      </c>
      <c r="AF656" s="75">
        <v>0</v>
      </c>
      <c r="AG656" s="75">
        <v>0</v>
      </c>
      <c r="AH656" s="75">
        <v>0</v>
      </c>
      <c r="AI656" s="75">
        <v>0</v>
      </c>
      <c r="AJ656" s="75">
        <v>0</v>
      </c>
      <c r="AK656" s="75">
        <v>0</v>
      </c>
      <c r="AL656" s="95">
        <v>1</v>
      </c>
      <c r="AM656" s="92">
        <v>0</v>
      </c>
      <c r="AN656" s="79" t="s">
        <v>80</v>
      </c>
      <c r="AO656" s="75">
        <v>1</v>
      </c>
      <c r="AP656" s="75" t="s">
        <v>83</v>
      </c>
      <c r="AQ656" s="122">
        <v>1</v>
      </c>
      <c r="AR656" s="515" t="s">
        <v>13</v>
      </c>
      <c r="AS656" s="95">
        <v>1</v>
      </c>
      <c r="AT656" s="75">
        <v>0</v>
      </c>
      <c r="AU656" s="75">
        <v>0</v>
      </c>
      <c r="AV656" s="75">
        <v>0</v>
      </c>
      <c r="AW656" s="123">
        <v>0</v>
      </c>
      <c r="AX656" s="516"/>
      <c r="AY656" s="75">
        <v>0</v>
      </c>
      <c r="AZ656" s="77" t="s">
        <v>131</v>
      </c>
      <c r="BA656" s="78" t="s">
        <v>131</v>
      </c>
      <c r="BB656" s="78" t="s">
        <v>131</v>
      </c>
      <c r="BC656" s="78" t="s">
        <v>131</v>
      </c>
      <c r="BD656" s="78" t="s">
        <v>131</v>
      </c>
      <c r="BE656" s="78" t="s">
        <v>131</v>
      </c>
      <c r="BF656" s="78" t="s">
        <v>131</v>
      </c>
      <c r="BG656" s="78" t="s">
        <v>132</v>
      </c>
      <c r="BH656" s="75" t="s">
        <v>5970</v>
      </c>
      <c r="BI656" s="295" t="s">
        <v>16</v>
      </c>
      <c r="BJ656" s="546" t="s">
        <v>16</v>
      </c>
      <c r="BK656" s="294" t="s">
        <v>16</v>
      </c>
      <c r="BL656" s="157" t="s">
        <v>16</v>
      </c>
      <c r="BM656" s="548" t="s">
        <v>2343</v>
      </c>
      <c r="BN656" s="548" t="s">
        <v>4161</v>
      </c>
      <c r="BO656" s="157" t="s">
        <v>4390</v>
      </c>
      <c r="BP656" s="548" t="s">
        <v>4391</v>
      </c>
      <c r="BQ656" s="157" t="s">
        <v>4389</v>
      </c>
      <c r="BR656" s="157"/>
    </row>
    <row r="657" spans="1:70" x14ac:dyDescent="0.25">
      <c r="A657" s="19" t="s">
        <v>3686</v>
      </c>
      <c r="B657" s="37" t="s">
        <v>5810</v>
      </c>
      <c r="C657" s="90">
        <v>45145.572523148148</v>
      </c>
      <c r="D657" s="114">
        <v>45145.322523148148</v>
      </c>
      <c r="E657" s="38">
        <v>45145</v>
      </c>
      <c r="F657" s="91">
        <v>2023</v>
      </c>
      <c r="G657" s="93">
        <v>8</v>
      </c>
      <c r="H657" s="37" t="s">
        <v>2548</v>
      </c>
      <c r="I657" s="37"/>
      <c r="J657" s="103">
        <v>-91.01984636119424</v>
      </c>
      <c r="K657" s="40">
        <v>43.075867471713146</v>
      </c>
      <c r="L657" s="74"/>
      <c r="M657" s="272" t="s">
        <v>16</v>
      </c>
      <c r="N657" s="74">
        <v>0</v>
      </c>
      <c r="O657" s="94"/>
      <c r="P657" s="118">
        <v>1</v>
      </c>
      <c r="Q657" s="510">
        <v>180</v>
      </c>
      <c r="R657" s="513">
        <v>180</v>
      </c>
      <c r="S657" s="41"/>
      <c r="T657" s="40"/>
      <c r="U657" s="40">
        <v>7.5</v>
      </c>
      <c r="V657" s="119">
        <v>1</v>
      </c>
      <c r="W657" s="40">
        <v>0</v>
      </c>
      <c r="X657" s="119">
        <v>1</v>
      </c>
      <c r="Y657" s="40">
        <v>57</v>
      </c>
      <c r="Z657" s="119">
        <v>1</v>
      </c>
      <c r="AA657" s="368">
        <v>0</v>
      </c>
      <c r="AB657" s="535">
        <v>0</v>
      </c>
      <c r="AC657" s="39" t="s">
        <v>160</v>
      </c>
      <c r="AD657" s="75" t="s">
        <v>10</v>
      </c>
      <c r="AE657" s="95">
        <v>0</v>
      </c>
      <c r="AF657" s="75">
        <v>0</v>
      </c>
      <c r="AG657" s="75">
        <v>0</v>
      </c>
      <c r="AH657" s="75">
        <v>0</v>
      </c>
      <c r="AI657" s="75">
        <v>0</v>
      </c>
      <c r="AJ657" s="75">
        <v>0</v>
      </c>
      <c r="AK657" s="75">
        <v>0</v>
      </c>
      <c r="AL657" s="95">
        <v>1</v>
      </c>
      <c r="AM657" s="92">
        <v>0</v>
      </c>
      <c r="AN657" s="79" t="s">
        <v>80</v>
      </c>
      <c r="AO657" s="75">
        <v>1</v>
      </c>
      <c r="AP657" s="75" t="s">
        <v>83</v>
      </c>
      <c r="AQ657" s="122">
        <v>1</v>
      </c>
      <c r="AR657" s="515" t="s">
        <v>10</v>
      </c>
      <c r="AS657" s="95">
        <v>0</v>
      </c>
      <c r="AT657" s="75">
        <v>0</v>
      </c>
      <c r="AU657" s="75">
        <v>0</v>
      </c>
      <c r="AV657" s="75">
        <v>0</v>
      </c>
      <c r="AW657" s="123">
        <v>0</v>
      </c>
      <c r="AX657" s="516"/>
      <c r="AY657" s="75">
        <v>0</v>
      </c>
      <c r="AZ657" s="77" t="s">
        <v>131</v>
      </c>
      <c r="BA657" s="78" t="s">
        <v>131</v>
      </c>
      <c r="BB657" s="78" t="s">
        <v>131</v>
      </c>
      <c r="BC657" s="78" t="s">
        <v>131</v>
      </c>
      <c r="BD657" s="78" t="s">
        <v>131</v>
      </c>
      <c r="BE657" s="78" t="s">
        <v>131</v>
      </c>
      <c r="BF657" s="78" t="s">
        <v>131</v>
      </c>
      <c r="BG657" s="78" t="s">
        <v>132</v>
      </c>
      <c r="BH657" s="75" t="s">
        <v>5970</v>
      </c>
      <c r="BI657" s="295" t="s">
        <v>4105</v>
      </c>
      <c r="BJ657" s="546">
        <v>1</v>
      </c>
      <c r="BK657" s="294">
        <v>1</v>
      </c>
      <c r="BL657" s="157">
        <v>1</v>
      </c>
      <c r="BM657" s="548" t="s">
        <v>1342</v>
      </c>
      <c r="BN657" s="548" t="s">
        <v>4158</v>
      </c>
      <c r="BO657" s="157" t="s">
        <v>4570</v>
      </c>
      <c r="BP657" s="548" t="s">
        <v>4105</v>
      </c>
      <c r="BQ657" s="157" t="s">
        <v>4432</v>
      </c>
      <c r="BR657" s="157"/>
    </row>
    <row r="658" spans="1:70" x14ac:dyDescent="0.25">
      <c r="A658" s="19" t="s">
        <v>3686</v>
      </c>
      <c r="B658" s="37" t="s">
        <v>2472</v>
      </c>
      <c r="C658" s="90">
        <v>45143.926412037035</v>
      </c>
      <c r="D658" s="114">
        <v>45143.676412037035</v>
      </c>
      <c r="E658" s="38">
        <v>45143</v>
      </c>
      <c r="F658" s="91">
        <v>2023</v>
      </c>
      <c r="G658" s="93">
        <v>8</v>
      </c>
      <c r="H658" s="37" t="s">
        <v>2473</v>
      </c>
      <c r="I658" s="37"/>
      <c r="J658" s="103">
        <v>-92.737251696477642</v>
      </c>
      <c r="K658" s="40">
        <v>45.138962708989389</v>
      </c>
      <c r="L658" s="74"/>
      <c r="M658" s="272" t="s">
        <v>16</v>
      </c>
      <c r="N658" s="74">
        <v>0</v>
      </c>
      <c r="O658" s="94"/>
      <c r="P658" s="118">
        <v>0</v>
      </c>
      <c r="Q658" s="510"/>
      <c r="R658" s="513"/>
      <c r="S658" s="41"/>
      <c r="T658" s="40"/>
      <c r="U658" s="40"/>
      <c r="V658" s="119">
        <v>0</v>
      </c>
      <c r="W658" s="40"/>
      <c r="X658" s="119">
        <v>0</v>
      </c>
      <c r="Y658" s="40"/>
      <c r="Z658" s="119">
        <v>0</v>
      </c>
      <c r="AA658" s="368" t="s">
        <v>16</v>
      </c>
      <c r="AB658" s="535" t="s">
        <v>16</v>
      </c>
      <c r="AC658" s="39" t="s">
        <v>16</v>
      </c>
      <c r="AD658" s="75" t="s">
        <v>10</v>
      </c>
      <c r="AE658" s="95">
        <v>0</v>
      </c>
      <c r="AF658" s="75">
        <v>0</v>
      </c>
      <c r="AG658" s="75">
        <v>0</v>
      </c>
      <c r="AH658" s="75">
        <v>0</v>
      </c>
      <c r="AI658" s="75">
        <v>0</v>
      </c>
      <c r="AJ658" s="75">
        <v>0</v>
      </c>
      <c r="AK658" s="75">
        <v>0</v>
      </c>
      <c r="AL658" s="95">
        <v>1</v>
      </c>
      <c r="AM658" s="92">
        <v>0</v>
      </c>
      <c r="AN658" s="79"/>
      <c r="AO658" s="75">
        <v>0</v>
      </c>
      <c r="AP658" s="75"/>
      <c r="AQ658" s="122">
        <v>0</v>
      </c>
      <c r="AR658" s="515" t="s">
        <v>16</v>
      </c>
      <c r="AS658" s="95">
        <v>-1</v>
      </c>
      <c r="AT658" s="75">
        <v>-1</v>
      </c>
      <c r="AU658" s="75">
        <v>-1</v>
      </c>
      <c r="AV658" s="75">
        <v>-1</v>
      </c>
      <c r="AW658" s="123">
        <v>1</v>
      </c>
      <c r="AX658" s="516"/>
      <c r="AY658" s="75">
        <v>0</v>
      </c>
      <c r="AZ658" s="77" t="s">
        <v>131</v>
      </c>
      <c r="BA658" s="78" t="s">
        <v>131</v>
      </c>
      <c r="BB658" s="78" t="s">
        <v>131</v>
      </c>
      <c r="BC658" s="78" t="s">
        <v>131</v>
      </c>
      <c r="BD658" s="78" t="s">
        <v>131</v>
      </c>
      <c r="BE658" s="78" t="s">
        <v>131</v>
      </c>
      <c r="BF658" s="78" t="s">
        <v>131</v>
      </c>
      <c r="BG658" s="78" t="s">
        <v>132</v>
      </c>
      <c r="BH658" s="75" t="s">
        <v>5970</v>
      </c>
      <c r="BI658" s="295">
        <v>0</v>
      </c>
      <c r="BJ658" s="546" t="s">
        <v>16</v>
      </c>
      <c r="BK658" s="294" t="s">
        <v>16</v>
      </c>
      <c r="BL658" s="157" t="s">
        <v>16</v>
      </c>
      <c r="BM658" s="548" t="s">
        <v>578</v>
      </c>
      <c r="BN658" s="548" t="s">
        <v>578</v>
      </c>
      <c r="BO658" s="157" t="s">
        <v>4288</v>
      </c>
      <c r="BP658" s="548" t="s">
        <v>4421</v>
      </c>
      <c r="BQ658" s="157" t="s">
        <v>4285</v>
      </c>
      <c r="BR658" s="157"/>
    </row>
    <row r="659" spans="1:70" x14ac:dyDescent="0.25">
      <c r="A659" s="19" t="s">
        <v>3686</v>
      </c>
      <c r="B659" s="37" t="s">
        <v>2474</v>
      </c>
      <c r="C659" s="90">
        <v>45142.761018518519</v>
      </c>
      <c r="D659" s="114">
        <v>45142.511018518519</v>
      </c>
      <c r="E659" s="38">
        <v>45142</v>
      </c>
      <c r="F659" s="91">
        <v>2023</v>
      </c>
      <c r="G659" s="93">
        <v>8</v>
      </c>
      <c r="H659" s="37" t="s">
        <v>2475</v>
      </c>
      <c r="I659" s="37"/>
      <c r="J659" s="103">
        <v>-89.776096129641701</v>
      </c>
      <c r="K659" s="40">
        <v>43.035971203809545</v>
      </c>
      <c r="L659" s="74"/>
      <c r="M659" s="272" t="s">
        <v>2476</v>
      </c>
      <c r="N659" s="74">
        <v>1</v>
      </c>
      <c r="O659" s="94"/>
      <c r="P659" s="118">
        <v>1</v>
      </c>
      <c r="Q659" s="510">
        <v>180</v>
      </c>
      <c r="R659" s="513">
        <v>120</v>
      </c>
      <c r="S659" s="41"/>
      <c r="T659" s="40"/>
      <c r="U659" s="40">
        <v>7.5</v>
      </c>
      <c r="V659" s="119">
        <v>0</v>
      </c>
      <c r="W659" s="40"/>
      <c r="X659" s="119">
        <v>1</v>
      </c>
      <c r="Y659" s="40">
        <v>65</v>
      </c>
      <c r="Z659" s="119">
        <v>1</v>
      </c>
      <c r="AA659" s="368">
        <v>0</v>
      </c>
      <c r="AB659" s="535">
        <v>5</v>
      </c>
      <c r="AC659" s="39" t="s">
        <v>160</v>
      </c>
      <c r="AD659" s="75" t="s">
        <v>10</v>
      </c>
      <c r="AE659" s="95">
        <v>0</v>
      </c>
      <c r="AF659" s="75">
        <v>0</v>
      </c>
      <c r="AG659" s="75">
        <v>0</v>
      </c>
      <c r="AH659" s="75">
        <v>0</v>
      </c>
      <c r="AI659" s="75">
        <v>0</v>
      </c>
      <c r="AJ659" s="75">
        <v>0</v>
      </c>
      <c r="AK659" s="75">
        <v>0</v>
      </c>
      <c r="AL659" s="95">
        <v>1</v>
      </c>
      <c r="AM659" s="92">
        <v>0</v>
      </c>
      <c r="AN659" s="79" t="s">
        <v>80</v>
      </c>
      <c r="AO659" s="75">
        <v>1</v>
      </c>
      <c r="AP659" s="75" t="s">
        <v>83</v>
      </c>
      <c r="AQ659" s="122">
        <v>1</v>
      </c>
      <c r="AR659" s="515" t="s">
        <v>10</v>
      </c>
      <c r="AS659" s="95">
        <v>0</v>
      </c>
      <c r="AT659" s="75">
        <v>0</v>
      </c>
      <c r="AU659" s="75">
        <v>0</v>
      </c>
      <c r="AV659" s="75">
        <v>0</v>
      </c>
      <c r="AW659" s="123">
        <v>0</v>
      </c>
      <c r="AX659" s="516"/>
      <c r="AY659" s="75">
        <v>0</v>
      </c>
      <c r="AZ659" s="77" t="s">
        <v>131</v>
      </c>
      <c r="BA659" s="78" t="s">
        <v>131</v>
      </c>
      <c r="BB659" s="78" t="s">
        <v>131</v>
      </c>
      <c r="BC659" s="78" t="s">
        <v>131</v>
      </c>
      <c r="BD659" s="78" t="s">
        <v>131</v>
      </c>
      <c r="BE659" s="78" t="s">
        <v>131</v>
      </c>
      <c r="BF659" s="78" t="s">
        <v>131</v>
      </c>
      <c r="BG659" s="78" t="s">
        <v>132</v>
      </c>
      <c r="BH659" s="75" t="s">
        <v>5970</v>
      </c>
      <c r="BI659" s="295" t="s">
        <v>16</v>
      </c>
      <c r="BJ659" s="546">
        <v>1</v>
      </c>
      <c r="BK659" s="294">
        <v>1</v>
      </c>
      <c r="BL659" s="157">
        <v>1</v>
      </c>
      <c r="BM659" s="548" t="s">
        <v>1343</v>
      </c>
      <c r="BN659" s="548" t="s">
        <v>4162</v>
      </c>
      <c r="BO659" s="157" t="s">
        <v>4423</v>
      </c>
      <c r="BP659" s="548" t="s">
        <v>4424</v>
      </c>
      <c r="BQ659" s="157" t="s">
        <v>4422</v>
      </c>
      <c r="BR659" s="157"/>
    </row>
    <row r="660" spans="1:70" x14ac:dyDescent="0.25">
      <c r="A660" s="19" t="s">
        <v>3686</v>
      </c>
      <c r="B660" s="37" t="s">
        <v>2477</v>
      </c>
      <c r="C660" s="90">
        <v>45142.749189814815</v>
      </c>
      <c r="D660" s="114">
        <v>45142.499189814815</v>
      </c>
      <c r="E660" s="38">
        <v>45142</v>
      </c>
      <c r="F660" s="91">
        <v>2023</v>
      </c>
      <c r="G660" s="93">
        <v>8</v>
      </c>
      <c r="H660" s="37" t="s">
        <v>2473</v>
      </c>
      <c r="I660" s="37"/>
      <c r="J660" s="103">
        <v>-92.3313306467834</v>
      </c>
      <c r="K660" s="40">
        <v>44.746270391440063</v>
      </c>
      <c r="L660" s="74"/>
      <c r="M660" s="272" t="s">
        <v>2478</v>
      </c>
      <c r="N660" s="74">
        <v>1</v>
      </c>
      <c r="O660" s="94"/>
      <c r="P660" s="118">
        <v>1</v>
      </c>
      <c r="Q660" s="510">
        <v>0</v>
      </c>
      <c r="R660" s="513">
        <v>30</v>
      </c>
      <c r="S660" s="41"/>
      <c r="T660" s="40"/>
      <c r="U660" s="40">
        <v>7</v>
      </c>
      <c r="V660" s="119">
        <v>1</v>
      </c>
      <c r="W660" s="40">
        <v>200</v>
      </c>
      <c r="X660" s="119">
        <v>1</v>
      </c>
      <c r="Y660" s="40">
        <v>67</v>
      </c>
      <c r="Z660" s="119">
        <v>1</v>
      </c>
      <c r="AA660" s="368">
        <v>0</v>
      </c>
      <c r="AB660" s="535">
        <v>2</v>
      </c>
      <c r="AC660" s="39" t="s">
        <v>160</v>
      </c>
      <c r="AD660" s="75" t="s">
        <v>16</v>
      </c>
      <c r="AE660" s="95">
        <v>-1</v>
      </c>
      <c r="AF660" s="75">
        <v>-1</v>
      </c>
      <c r="AG660" s="75">
        <v>-1</v>
      </c>
      <c r="AH660" s="75">
        <v>-1</v>
      </c>
      <c r="AI660" s="75">
        <v>-1</v>
      </c>
      <c r="AJ660" s="75">
        <v>-1</v>
      </c>
      <c r="AK660" s="75">
        <v>-1</v>
      </c>
      <c r="AL660" s="95">
        <v>-1</v>
      </c>
      <c r="AM660" s="92">
        <v>1</v>
      </c>
      <c r="AN660" s="79"/>
      <c r="AO660" s="75">
        <v>0</v>
      </c>
      <c r="AP660" s="75"/>
      <c r="AQ660" s="122">
        <v>0</v>
      </c>
      <c r="AR660" s="515" t="s">
        <v>16</v>
      </c>
      <c r="AS660" s="95">
        <v>-1</v>
      </c>
      <c r="AT660" s="75">
        <v>-1</v>
      </c>
      <c r="AU660" s="75">
        <v>-1</v>
      </c>
      <c r="AV660" s="75">
        <v>-1</v>
      </c>
      <c r="AW660" s="123">
        <v>1</v>
      </c>
      <c r="AX660" s="516"/>
      <c r="AY660" s="75">
        <v>0</v>
      </c>
      <c r="AZ660" s="77" t="s">
        <v>5971</v>
      </c>
      <c r="BA660" s="78" t="s">
        <v>5971</v>
      </c>
      <c r="BB660" s="78" t="s">
        <v>5971</v>
      </c>
      <c r="BC660" s="78" t="s">
        <v>5971</v>
      </c>
      <c r="BD660" s="78" t="s">
        <v>5971</v>
      </c>
      <c r="BE660" s="78" t="s">
        <v>5971</v>
      </c>
      <c r="BF660" s="78" t="s">
        <v>5971</v>
      </c>
      <c r="BG660" s="78" t="s">
        <v>5971</v>
      </c>
      <c r="BH660" s="75" t="s">
        <v>5971</v>
      </c>
      <c r="BI660" s="295" t="s">
        <v>2231</v>
      </c>
      <c r="BJ660" s="546">
        <v>1</v>
      </c>
      <c r="BK660" s="294">
        <v>1</v>
      </c>
      <c r="BL660" s="157">
        <v>1</v>
      </c>
      <c r="BM660" s="548" t="s">
        <v>578</v>
      </c>
      <c r="BN660" s="548" t="s">
        <v>578</v>
      </c>
      <c r="BO660" s="157" t="s">
        <v>4213</v>
      </c>
      <c r="BP660" s="548" t="s">
        <v>4216</v>
      </c>
      <c r="BQ660" s="157" t="s">
        <v>4212</v>
      </c>
      <c r="BR660" s="157"/>
    </row>
    <row r="661" spans="1:70" x14ac:dyDescent="0.25">
      <c r="A661" s="19" t="s">
        <v>3686</v>
      </c>
      <c r="B661" s="37" t="s">
        <v>2479</v>
      </c>
      <c r="C661" s="90">
        <v>45142.517650462964</v>
      </c>
      <c r="D661" s="114">
        <v>45142.267650462964</v>
      </c>
      <c r="E661" s="38">
        <v>45142</v>
      </c>
      <c r="F661" s="91">
        <v>2023</v>
      </c>
      <c r="G661" s="93">
        <v>8</v>
      </c>
      <c r="H661" s="37" t="s">
        <v>1416</v>
      </c>
      <c r="I661" s="37" t="s">
        <v>16</v>
      </c>
      <c r="J661" s="103">
        <v>-93.009024959816685</v>
      </c>
      <c r="K661" s="40">
        <v>44.657224391273473</v>
      </c>
      <c r="L661" s="74"/>
      <c r="M661" s="272" t="s">
        <v>2480</v>
      </c>
      <c r="N661" s="74">
        <v>1</v>
      </c>
      <c r="O661" s="94"/>
      <c r="P661" s="118">
        <v>1</v>
      </c>
      <c r="Q661" s="510">
        <v>120</v>
      </c>
      <c r="R661" s="513">
        <v>120</v>
      </c>
      <c r="S661" s="41"/>
      <c r="T661" s="40"/>
      <c r="U661" s="40">
        <v>7</v>
      </c>
      <c r="V661" s="119">
        <v>1</v>
      </c>
      <c r="W661" s="40">
        <v>0</v>
      </c>
      <c r="X661" s="119">
        <v>1</v>
      </c>
      <c r="Y661" s="40">
        <v>64</v>
      </c>
      <c r="Z661" s="119">
        <v>1</v>
      </c>
      <c r="AA661" s="368">
        <v>0</v>
      </c>
      <c r="AB661" s="535">
        <v>5</v>
      </c>
      <c r="AC661" s="39" t="s">
        <v>160</v>
      </c>
      <c r="AD661" s="75" t="s">
        <v>16</v>
      </c>
      <c r="AE661" s="95">
        <v>-1</v>
      </c>
      <c r="AF661" s="75">
        <v>-1</v>
      </c>
      <c r="AG661" s="75">
        <v>-1</v>
      </c>
      <c r="AH661" s="75">
        <v>-1</v>
      </c>
      <c r="AI661" s="75">
        <v>-1</v>
      </c>
      <c r="AJ661" s="75">
        <v>-1</v>
      </c>
      <c r="AK661" s="75">
        <v>-1</v>
      </c>
      <c r="AL661" s="95">
        <v>-1</v>
      </c>
      <c r="AM661" s="92">
        <v>1</v>
      </c>
      <c r="AN661" s="79" t="s">
        <v>80</v>
      </c>
      <c r="AO661" s="75">
        <v>1</v>
      </c>
      <c r="AP661" s="75" t="s">
        <v>83</v>
      </c>
      <c r="AQ661" s="122">
        <v>1</v>
      </c>
      <c r="AR661" s="515" t="s">
        <v>10</v>
      </c>
      <c r="AS661" s="95">
        <v>0</v>
      </c>
      <c r="AT661" s="75">
        <v>0</v>
      </c>
      <c r="AU661" s="75">
        <v>0</v>
      </c>
      <c r="AV661" s="75">
        <v>0</v>
      </c>
      <c r="AW661" s="123">
        <v>0</v>
      </c>
      <c r="AX661" s="516" t="s">
        <v>2481</v>
      </c>
      <c r="AY661" s="75">
        <v>1</v>
      </c>
      <c r="AZ661" s="77" t="s">
        <v>5971</v>
      </c>
      <c r="BA661" s="78" t="s">
        <v>5971</v>
      </c>
      <c r="BB661" s="78" t="s">
        <v>5971</v>
      </c>
      <c r="BC661" s="78" t="s">
        <v>5971</v>
      </c>
      <c r="BD661" s="78" t="s">
        <v>5971</v>
      </c>
      <c r="BE661" s="78" t="s">
        <v>5971</v>
      </c>
      <c r="BF661" s="78" t="s">
        <v>5971</v>
      </c>
      <c r="BG661" s="78" t="s">
        <v>5971</v>
      </c>
      <c r="BH661" s="75" t="s">
        <v>5971</v>
      </c>
      <c r="BI661" s="295" t="s">
        <v>2225</v>
      </c>
      <c r="BJ661" s="546">
        <v>1</v>
      </c>
      <c r="BK661" s="294" t="s">
        <v>16</v>
      </c>
      <c r="BL661" s="157" t="s">
        <v>16</v>
      </c>
      <c r="BM661" s="548" t="s">
        <v>2343</v>
      </c>
      <c r="BN661" s="548" t="s">
        <v>4161</v>
      </c>
      <c r="BO661" s="157" t="s">
        <v>4293</v>
      </c>
      <c r="BP661" s="548" t="s">
        <v>2225</v>
      </c>
      <c r="BQ661" s="157" t="s">
        <v>4292</v>
      </c>
      <c r="BR661" s="157"/>
    </row>
    <row r="662" spans="1:70" x14ac:dyDescent="0.25">
      <c r="A662" s="19" t="s">
        <v>3686</v>
      </c>
      <c r="B662" s="37" t="s">
        <v>2482</v>
      </c>
      <c r="C662" s="90">
        <v>45141.878657407404</v>
      </c>
      <c r="D662" s="114">
        <v>45141.628657407404</v>
      </c>
      <c r="E662" s="38">
        <v>45141</v>
      </c>
      <c r="F662" s="91">
        <v>2023</v>
      </c>
      <c r="G662" s="93">
        <v>8</v>
      </c>
      <c r="H662" s="37" t="s">
        <v>2446</v>
      </c>
      <c r="I662" s="37"/>
      <c r="J662" s="103">
        <v>-90.355694999999997</v>
      </c>
      <c r="K662" s="40">
        <v>43.460973016666671</v>
      </c>
      <c r="L662" s="74"/>
      <c r="M662" s="272" t="s">
        <v>2483</v>
      </c>
      <c r="N662" s="74">
        <v>1</v>
      </c>
      <c r="O662" s="94"/>
      <c r="P662" s="118">
        <v>0</v>
      </c>
      <c r="Q662" s="510"/>
      <c r="R662" s="513"/>
      <c r="S662" s="41"/>
      <c r="T662" s="40"/>
      <c r="U662" s="40"/>
      <c r="V662" s="119">
        <v>0</v>
      </c>
      <c r="W662" s="40"/>
      <c r="X662" s="119">
        <v>1</v>
      </c>
      <c r="Y662" s="40">
        <v>69</v>
      </c>
      <c r="Z662" s="119">
        <v>0</v>
      </c>
      <c r="AA662" s="368" t="s">
        <v>16</v>
      </c>
      <c r="AB662" s="535" t="s">
        <v>16</v>
      </c>
      <c r="AC662" s="39" t="s">
        <v>160</v>
      </c>
      <c r="AD662" s="75" t="s">
        <v>10</v>
      </c>
      <c r="AE662" s="95">
        <v>0</v>
      </c>
      <c r="AF662" s="75">
        <v>0</v>
      </c>
      <c r="AG662" s="75">
        <v>0</v>
      </c>
      <c r="AH662" s="75">
        <v>0</v>
      </c>
      <c r="AI662" s="75">
        <v>0</v>
      </c>
      <c r="AJ662" s="75">
        <v>0</v>
      </c>
      <c r="AK662" s="75">
        <v>0</v>
      </c>
      <c r="AL662" s="95">
        <v>1</v>
      </c>
      <c r="AM662" s="92">
        <v>0</v>
      </c>
      <c r="AN662" s="79" t="s">
        <v>80</v>
      </c>
      <c r="AO662" s="75">
        <v>1</v>
      </c>
      <c r="AP662" s="75" t="s">
        <v>84</v>
      </c>
      <c r="AQ662" s="122">
        <v>1</v>
      </c>
      <c r="AR662" s="515" t="s">
        <v>10</v>
      </c>
      <c r="AS662" s="95">
        <v>0</v>
      </c>
      <c r="AT662" s="75">
        <v>0</v>
      </c>
      <c r="AU662" s="75">
        <v>0</v>
      </c>
      <c r="AV662" s="75">
        <v>0</v>
      </c>
      <c r="AW662" s="123">
        <v>0</v>
      </c>
      <c r="AX662" s="516"/>
      <c r="AY662" s="75">
        <v>0</v>
      </c>
      <c r="AZ662" s="77" t="s">
        <v>131</v>
      </c>
      <c r="BA662" s="78" t="s">
        <v>131</v>
      </c>
      <c r="BB662" s="78" t="s">
        <v>131</v>
      </c>
      <c r="BC662" s="78" t="s">
        <v>131</v>
      </c>
      <c r="BD662" s="78" t="s">
        <v>131</v>
      </c>
      <c r="BE662" s="78" t="s">
        <v>131</v>
      </c>
      <c r="BF662" s="78" t="s">
        <v>131</v>
      </c>
      <c r="BG662" s="78" t="s">
        <v>132</v>
      </c>
      <c r="BH662" s="75" t="s">
        <v>5970</v>
      </c>
      <c r="BI662" s="295" t="s">
        <v>16</v>
      </c>
      <c r="BJ662" s="546">
        <v>1</v>
      </c>
      <c r="BK662" s="294" t="s">
        <v>16</v>
      </c>
      <c r="BL662" s="157" t="s">
        <v>16</v>
      </c>
      <c r="BM662" s="548" t="s">
        <v>1342</v>
      </c>
      <c r="BN662" s="548" t="s">
        <v>4158</v>
      </c>
      <c r="BO662" s="157" t="s">
        <v>4399</v>
      </c>
      <c r="BP662" s="548" t="s">
        <v>4400</v>
      </c>
      <c r="BQ662" s="157" t="s">
        <v>4392</v>
      </c>
      <c r="BR662" s="157"/>
    </row>
    <row r="663" spans="1:70" x14ac:dyDescent="0.25">
      <c r="A663" s="19" t="s">
        <v>3686</v>
      </c>
      <c r="B663" s="37" t="s">
        <v>2484</v>
      </c>
      <c r="C663" s="90">
        <v>45141.716469907406</v>
      </c>
      <c r="D663" s="114">
        <v>45141.466469907406</v>
      </c>
      <c r="E663" s="38">
        <v>45141</v>
      </c>
      <c r="F663" s="91">
        <v>2023</v>
      </c>
      <c r="G663" s="93">
        <v>8</v>
      </c>
      <c r="H663" s="37" t="s">
        <v>2446</v>
      </c>
      <c r="I663" s="37"/>
      <c r="J663" s="103">
        <v>-90.373525001092517</v>
      </c>
      <c r="K663" s="40">
        <v>43.449920687429092</v>
      </c>
      <c r="L663" s="74"/>
      <c r="M663" s="272" t="s">
        <v>2485</v>
      </c>
      <c r="N663" s="74">
        <v>1</v>
      </c>
      <c r="O663" s="94"/>
      <c r="P663" s="118">
        <v>0</v>
      </c>
      <c r="Q663" s="510"/>
      <c r="R663" s="513"/>
      <c r="S663" s="41"/>
      <c r="T663" s="40"/>
      <c r="U663" s="40"/>
      <c r="V663" s="119">
        <v>1</v>
      </c>
      <c r="W663" s="40">
        <v>100</v>
      </c>
      <c r="X663" s="119">
        <v>1</v>
      </c>
      <c r="Y663" s="40">
        <v>69</v>
      </c>
      <c r="Z663" s="119">
        <v>1</v>
      </c>
      <c r="AA663" s="368">
        <v>0</v>
      </c>
      <c r="AB663" s="535">
        <v>0</v>
      </c>
      <c r="AC663" s="39" t="s">
        <v>160</v>
      </c>
      <c r="AD663" s="75" t="s">
        <v>10</v>
      </c>
      <c r="AE663" s="95">
        <v>0</v>
      </c>
      <c r="AF663" s="75">
        <v>0</v>
      </c>
      <c r="AG663" s="75">
        <v>0</v>
      </c>
      <c r="AH663" s="75">
        <v>0</v>
      </c>
      <c r="AI663" s="75">
        <v>0</v>
      </c>
      <c r="AJ663" s="75">
        <v>0</v>
      </c>
      <c r="AK663" s="75">
        <v>0</v>
      </c>
      <c r="AL663" s="95">
        <v>1</v>
      </c>
      <c r="AM663" s="92">
        <v>0</v>
      </c>
      <c r="AN663" s="79" t="s">
        <v>80</v>
      </c>
      <c r="AO663" s="75">
        <v>1</v>
      </c>
      <c r="AP663" s="75" t="s">
        <v>84</v>
      </c>
      <c r="AQ663" s="122">
        <v>1</v>
      </c>
      <c r="AR663" s="515" t="s">
        <v>10</v>
      </c>
      <c r="AS663" s="95">
        <v>0</v>
      </c>
      <c r="AT663" s="75">
        <v>0</v>
      </c>
      <c r="AU663" s="75">
        <v>0</v>
      </c>
      <c r="AV663" s="75">
        <v>0</v>
      </c>
      <c r="AW663" s="123">
        <v>0</v>
      </c>
      <c r="AX663" s="516" t="s">
        <v>2452</v>
      </c>
      <c r="AY663" s="75">
        <v>1</v>
      </c>
      <c r="AZ663" s="77" t="s">
        <v>131</v>
      </c>
      <c r="BA663" s="78" t="s">
        <v>131</v>
      </c>
      <c r="BB663" s="78" t="s">
        <v>131</v>
      </c>
      <c r="BC663" s="78" t="s">
        <v>131</v>
      </c>
      <c r="BD663" s="78" t="s">
        <v>131</v>
      </c>
      <c r="BE663" s="78" t="s">
        <v>131</v>
      </c>
      <c r="BF663" s="78" t="s">
        <v>131</v>
      </c>
      <c r="BG663" s="78" t="s">
        <v>132</v>
      </c>
      <c r="BH663" s="75" t="s">
        <v>5970</v>
      </c>
      <c r="BI663" s="295" t="s">
        <v>4073</v>
      </c>
      <c r="BJ663" s="546">
        <v>1</v>
      </c>
      <c r="BK663" s="294" t="s">
        <v>16</v>
      </c>
      <c r="BL663" s="157" t="s">
        <v>16</v>
      </c>
      <c r="BM663" s="548" t="s">
        <v>1342</v>
      </c>
      <c r="BN663" s="548" t="s">
        <v>4158</v>
      </c>
      <c r="BO663" s="157" t="s">
        <v>4425</v>
      </c>
      <c r="BP663" s="548" t="s">
        <v>4073</v>
      </c>
      <c r="BQ663" s="157" t="s">
        <v>4392</v>
      </c>
      <c r="BR663" s="157"/>
    </row>
    <row r="664" spans="1:70" x14ac:dyDescent="0.25">
      <c r="A664" s="19" t="s">
        <v>3686</v>
      </c>
      <c r="B664" s="37" t="s">
        <v>2486</v>
      </c>
      <c r="C664" s="90">
        <v>45141.65997685185</v>
      </c>
      <c r="D664" s="114">
        <v>45141.40997685185</v>
      </c>
      <c r="E664" s="38">
        <v>45141</v>
      </c>
      <c r="F664" s="91">
        <v>2023</v>
      </c>
      <c r="G664" s="93">
        <v>8</v>
      </c>
      <c r="H664" s="37" t="s">
        <v>599</v>
      </c>
      <c r="I664" s="37" t="s">
        <v>2361</v>
      </c>
      <c r="J664" s="103">
        <v>-92.442835706785885</v>
      </c>
      <c r="K664" s="40">
        <v>44.621393886795126</v>
      </c>
      <c r="L664" s="74"/>
      <c r="M664" s="272" t="s">
        <v>16</v>
      </c>
      <c r="N664" s="74">
        <v>0</v>
      </c>
      <c r="O664" s="94"/>
      <c r="P664" s="118">
        <v>1</v>
      </c>
      <c r="Q664" s="510">
        <v>80</v>
      </c>
      <c r="R664" s="513">
        <v>120</v>
      </c>
      <c r="S664" s="41"/>
      <c r="T664" s="40"/>
      <c r="U664" s="40">
        <v>8</v>
      </c>
      <c r="V664" s="119">
        <v>1</v>
      </c>
      <c r="W664" s="40">
        <v>0</v>
      </c>
      <c r="X664" s="119">
        <v>1</v>
      </c>
      <c r="Y664" s="40">
        <v>59</v>
      </c>
      <c r="Z664" s="119">
        <v>1</v>
      </c>
      <c r="AA664" s="368">
        <v>0</v>
      </c>
      <c r="AB664" s="535">
        <v>5</v>
      </c>
      <c r="AC664" s="39" t="s">
        <v>160</v>
      </c>
      <c r="AD664" s="75" t="s">
        <v>10</v>
      </c>
      <c r="AE664" s="95">
        <v>0</v>
      </c>
      <c r="AF664" s="75">
        <v>0</v>
      </c>
      <c r="AG664" s="75">
        <v>0</v>
      </c>
      <c r="AH664" s="75">
        <v>0</v>
      </c>
      <c r="AI664" s="75">
        <v>0</v>
      </c>
      <c r="AJ664" s="75">
        <v>0</v>
      </c>
      <c r="AK664" s="75">
        <v>0</v>
      </c>
      <c r="AL664" s="95">
        <v>1</v>
      </c>
      <c r="AM664" s="92">
        <v>0</v>
      </c>
      <c r="AN664" s="79" t="s">
        <v>80</v>
      </c>
      <c r="AO664" s="75">
        <v>1</v>
      </c>
      <c r="AP664" s="75" t="s">
        <v>83</v>
      </c>
      <c r="AQ664" s="122">
        <v>1</v>
      </c>
      <c r="AR664" s="515" t="s">
        <v>10</v>
      </c>
      <c r="AS664" s="95">
        <v>0</v>
      </c>
      <c r="AT664" s="75">
        <v>0</v>
      </c>
      <c r="AU664" s="75">
        <v>0</v>
      </c>
      <c r="AV664" s="75">
        <v>0</v>
      </c>
      <c r="AW664" s="123">
        <v>0</v>
      </c>
      <c r="AX664" s="516"/>
      <c r="AY664" s="75">
        <v>0</v>
      </c>
      <c r="AZ664" s="77" t="s">
        <v>131</v>
      </c>
      <c r="BA664" s="78" t="s">
        <v>131</v>
      </c>
      <c r="BB664" s="78" t="s">
        <v>131</v>
      </c>
      <c r="BC664" s="78" t="s">
        <v>131</v>
      </c>
      <c r="BD664" s="78" t="s">
        <v>131</v>
      </c>
      <c r="BE664" s="78" t="s">
        <v>131</v>
      </c>
      <c r="BF664" s="78" t="s">
        <v>131</v>
      </c>
      <c r="BG664" s="78" t="s">
        <v>132</v>
      </c>
      <c r="BH664" s="75" t="s">
        <v>5970</v>
      </c>
      <c r="BI664" s="295" t="s">
        <v>2289</v>
      </c>
      <c r="BJ664" s="546">
        <v>1</v>
      </c>
      <c r="BK664" s="294" t="s">
        <v>16</v>
      </c>
      <c r="BL664" s="157" t="s">
        <v>16</v>
      </c>
      <c r="BM664" s="548" t="s">
        <v>578</v>
      </c>
      <c r="BN664" s="548" t="s">
        <v>544</v>
      </c>
      <c r="BO664" s="157" t="s">
        <v>4283</v>
      </c>
      <c r="BP664" s="548" t="s">
        <v>2289</v>
      </c>
      <c r="BQ664" s="157" t="s">
        <v>4214</v>
      </c>
      <c r="BR664" s="157"/>
    </row>
    <row r="665" spans="1:70" x14ac:dyDescent="0.25">
      <c r="A665" s="19" t="s">
        <v>3686</v>
      </c>
      <c r="B665" s="37" t="s">
        <v>2487</v>
      </c>
      <c r="C665" s="90">
        <v>45140.95652777778</v>
      </c>
      <c r="D665" s="114">
        <v>45140.70652777778</v>
      </c>
      <c r="E665" s="38">
        <v>45140</v>
      </c>
      <c r="F665" s="91">
        <v>2023</v>
      </c>
      <c r="G665" s="93">
        <v>8</v>
      </c>
      <c r="H665" s="37" t="s">
        <v>2446</v>
      </c>
      <c r="I665" s="37"/>
      <c r="J665" s="103">
        <v>-90.668479474246638</v>
      </c>
      <c r="K665" s="40">
        <v>43.456048471517782</v>
      </c>
      <c r="L665" s="74"/>
      <c r="M665" s="272" t="s">
        <v>16</v>
      </c>
      <c r="N665" s="74">
        <v>0</v>
      </c>
      <c r="O665" s="94"/>
      <c r="P665" s="118">
        <v>0</v>
      </c>
      <c r="Q665" s="510"/>
      <c r="R665" s="513"/>
      <c r="S665" s="41"/>
      <c r="T665" s="40"/>
      <c r="U665" s="40"/>
      <c r="V665" s="119">
        <v>0</v>
      </c>
      <c r="W665" s="40"/>
      <c r="X665" s="119">
        <v>1</v>
      </c>
      <c r="Y665" s="40">
        <v>66</v>
      </c>
      <c r="Z665" s="119">
        <v>0</v>
      </c>
      <c r="AA665" s="368" t="s">
        <v>16</v>
      </c>
      <c r="AB665" s="535" t="s">
        <v>16</v>
      </c>
      <c r="AC665" s="39" t="s">
        <v>160</v>
      </c>
      <c r="AD665" s="75" t="s">
        <v>10</v>
      </c>
      <c r="AE665" s="95">
        <v>0</v>
      </c>
      <c r="AF665" s="75">
        <v>0</v>
      </c>
      <c r="AG665" s="75">
        <v>0</v>
      </c>
      <c r="AH665" s="75">
        <v>0</v>
      </c>
      <c r="AI665" s="75">
        <v>0</v>
      </c>
      <c r="AJ665" s="75">
        <v>0</v>
      </c>
      <c r="AK665" s="75">
        <v>0</v>
      </c>
      <c r="AL665" s="95">
        <v>1</v>
      </c>
      <c r="AM665" s="92">
        <v>0</v>
      </c>
      <c r="AN665" s="79" t="s">
        <v>80</v>
      </c>
      <c r="AO665" s="75">
        <v>1</v>
      </c>
      <c r="AP665" s="75" t="s">
        <v>83</v>
      </c>
      <c r="AQ665" s="122">
        <v>1</v>
      </c>
      <c r="AR665" s="515" t="s">
        <v>10</v>
      </c>
      <c r="AS665" s="95">
        <v>0</v>
      </c>
      <c r="AT665" s="75">
        <v>0</v>
      </c>
      <c r="AU665" s="75">
        <v>0</v>
      </c>
      <c r="AV665" s="75">
        <v>0</v>
      </c>
      <c r="AW665" s="123">
        <v>0</v>
      </c>
      <c r="AX665" s="516"/>
      <c r="AY665" s="75">
        <v>0</v>
      </c>
      <c r="AZ665" s="77" t="s">
        <v>131</v>
      </c>
      <c r="BA665" s="78" t="s">
        <v>131</v>
      </c>
      <c r="BB665" s="78" t="s">
        <v>131</v>
      </c>
      <c r="BC665" s="78" t="s">
        <v>131</v>
      </c>
      <c r="BD665" s="78" t="s">
        <v>131</v>
      </c>
      <c r="BE665" s="78" t="s">
        <v>131</v>
      </c>
      <c r="BF665" s="78" t="s">
        <v>131</v>
      </c>
      <c r="BG665" s="78" t="s">
        <v>132</v>
      </c>
      <c r="BH665" s="75" t="s">
        <v>5970</v>
      </c>
      <c r="BI665" s="295" t="s">
        <v>2246</v>
      </c>
      <c r="BJ665" s="546">
        <v>1</v>
      </c>
      <c r="BK665" s="294">
        <v>1</v>
      </c>
      <c r="BL665" s="157">
        <v>1</v>
      </c>
      <c r="BM665" s="548" t="s">
        <v>1342</v>
      </c>
      <c r="BN665" s="548" t="s">
        <v>4158</v>
      </c>
      <c r="BO665" s="157" t="s">
        <v>4426</v>
      </c>
      <c r="BP665" s="548" t="s">
        <v>2246</v>
      </c>
      <c r="BQ665" s="157" t="s">
        <v>4274</v>
      </c>
      <c r="BR665" s="157"/>
    </row>
    <row r="666" spans="1:70" x14ac:dyDescent="0.25">
      <c r="A666" s="19" t="s">
        <v>3686</v>
      </c>
      <c r="B666" s="37" t="s">
        <v>2488</v>
      </c>
      <c r="C666" s="90">
        <v>45140.949305555558</v>
      </c>
      <c r="D666" s="114">
        <v>45140.699305555558</v>
      </c>
      <c r="E666" s="38">
        <v>45140</v>
      </c>
      <c r="F666" s="91">
        <v>2023</v>
      </c>
      <c r="G666" s="93">
        <v>8</v>
      </c>
      <c r="H666" s="37" t="s">
        <v>2446</v>
      </c>
      <c r="I666" s="37"/>
      <c r="J666" s="103">
        <v>-90.689099850570074</v>
      </c>
      <c r="K666" s="40">
        <v>43.46773706705374</v>
      </c>
      <c r="L666" s="74"/>
      <c r="M666" s="272" t="s">
        <v>2489</v>
      </c>
      <c r="N666" s="74">
        <v>1</v>
      </c>
      <c r="O666" s="94"/>
      <c r="P666" s="118">
        <v>0</v>
      </c>
      <c r="Q666" s="510"/>
      <c r="R666" s="513"/>
      <c r="S666" s="41"/>
      <c r="T666" s="40"/>
      <c r="U666" s="40"/>
      <c r="V666" s="119">
        <v>0</v>
      </c>
      <c r="W666" s="40"/>
      <c r="X666" s="119">
        <v>1</v>
      </c>
      <c r="Y666" s="40">
        <v>67</v>
      </c>
      <c r="Z666" s="119">
        <v>0</v>
      </c>
      <c r="AA666" s="368" t="s">
        <v>16</v>
      </c>
      <c r="AB666" s="535" t="s">
        <v>16</v>
      </c>
      <c r="AC666" s="39" t="s">
        <v>160</v>
      </c>
      <c r="AD666" s="75" t="s">
        <v>10</v>
      </c>
      <c r="AE666" s="95">
        <v>0</v>
      </c>
      <c r="AF666" s="75">
        <v>0</v>
      </c>
      <c r="AG666" s="75">
        <v>0</v>
      </c>
      <c r="AH666" s="75">
        <v>0</v>
      </c>
      <c r="AI666" s="75">
        <v>0</v>
      </c>
      <c r="AJ666" s="75">
        <v>0</v>
      </c>
      <c r="AK666" s="75">
        <v>0</v>
      </c>
      <c r="AL666" s="95">
        <v>1</v>
      </c>
      <c r="AM666" s="92">
        <v>0</v>
      </c>
      <c r="AN666" s="79" t="s">
        <v>80</v>
      </c>
      <c r="AO666" s="75">
        <v>1</v>
      </c>
      <c r="AP666" s="75" t="s">
        <v>83</v>
      </c>
      <c r="AQ666" s="122">
        <v>1</v>
      </c>
      <c r="AR666" s="515" t="s">
        <v>10</v>
      </c>
      <c r="AS666" s="95">
        <v>0</v>
      </c>
      <c r="AT666" s="75">
        <v>0</v>
      </c>
      <c r="AU666" s="75">
        <v>0</v>
      </c>
      <c r="AV666" s="75">
        <v>0</v>
      </c>
      <c r="AW666" s="123">
        <v>0</v>
      </c>
      <c r="AX666" s="516"/>
      <c r="AY666" s="75">
        <v>0</v>
      </c>
      <c r="AZ666" s="77" t="s">
        <v>131</v>
      </c>
      <c r="BA666" s="78" t="s">
        <v>131</v>
      </c>
      <c r="BB666" s="78" t="s">
        <v>131</v>
      </c>
      <c r="BC666" s="78" t="s">
        <v>131</v>
      </c>
      <c r="BD666" s="78" t="s">
        <v>131</v>
      </c>
      <c r="BE666" s="78" t="s">
        <v>131</v>
      </c>
      <c r="BF666" s="78" t="s">
        <v>131</v>
      </c>
      <c r="BG666" s="78" t="s">
        <v>132</v>
      </c>
      <c r="BH666" s="75" t="s">
        <v>5970</v>
      </c>
      <c r="BI666" s="295" t="s">
        <v>2246</v>
      </c>
      <c r="BJ666" s="546">
        <v>1</v>
      </c>
      <c r="BK666" s="294" t="s">
        <v>16</v>
      </c>
      <c r="BL666" s="157" t="s">
        <v>16</v>
      </c>
      <c r="BM666" s="548" t="s">
        <v>1342</v>
      </c>
      <c r="BN666" s="548" t="s">
        <v>4158</v>
      </c>
      <c r="BO666" s="157" t="s">
        <v>4426</v>
      </c>
      <c r="BP666" s="548" t="s">
        <v>2246</v>
      </c>
      <c r="BQ666" s="157" t="s">
        <v>4274</v>
      </c>
      <c r="BR666" s="157"/>
    </row>
    <row r="667" spans="1:70" x14ac:dyDescent="0.25">
      <c r="A667" s="19" t="s">
        <v>3686</v>
      </c>
      <c r="B667" s="37" t="s">
        <v>2490</v>
      </c>
      <c r="C667" s="90">
        <v>45140.927060185182</v>
      </c>
      <c r="D667" s="114">
        <v>45140.677060185182</v>
      </c>
      <c r="E667" s="38">
        <v>45140</v>
      </c>
      <c r="F667" s="91">
        <v>2023</v>
      </c>
      <c r="G667" s="93">
        <v>8</v>
      </c>
      <c r="H667" s="37" t="s">
        <v>2446</v>
      </c>
      <c r="I667" s="37"/>
      <c r="J667" s="103">
        <v>-90.465536999999998</v>
      </c>
      <c r="K667" s="40">
        <v>43.486973000000006</v>
      </c>
      <c r="L667" s="74"/>
      <c r="M667" s="272" t="s">
        <v>2491</v>
      </c>
      <c r="N667" s="74">
        <v>1</v>
      </c>
      <c r="O667" s="94"/>
      <c r="P667" s="118">
        <v>0</v>
      </c>
      <c r="Q667" s="510"/>
      <c r="R667" s="513"/>
      <c r="S667" s="41"/>
      <c r="T667" s="40"/>
      <c r="U667" s="40"/>
      <c r="V667" s="119">
        <v>0</v>
      </c>
      <c r="W667" s="40"/>
      <c r="X667" s="119">
        <v>1</v>
      </c>
      <c r="Y667" s="40">
        <v>69</v>
      </c>
      <c r="Z667" s="119">
        <v>0</v>
      </c>
      <c r="AA667" s="368" t="s">
        <v>16</v>
      </c>
      <c r="AB667" s="535" t="s">
        <v>16</v>
      </c>
      <c r="AC667" s="39" t="s">
        <v>160</v>
      </c>
      <c r="AD667" s="75" t="s">
        <v>10</v>
      </c>
      <c r="AE667" s="95">
        <v>0</v>
      </c>
      <c r="AF667" s="75">
        <v>0</v>
      </c>
      <c r="AG667" s="75">
        <v>0</v>
      </c>
      <c r="AH667" s="75">
        <v>0</v>
      </c>
      <c r="AI667" s="75">
        <v>0</v>
      </c>
      <c r="AJ667" s="75">
        <v>0</v>
      </c>
      <c r="AK667" s="75">
        <v>0</v>
      </c>
      <c r="AL667" s="95">
        <v>1</v>
      </c>
      <c r="AM667" s="92">
        <v>0</v>
      </c>
      <c r="AN667" s="79" t="s">
        <v>80</v>
      </c>
      <c r="AO667" s="75">
        <v>1</v>
      </c>
      <c r="AP667" s="75" t="s">
        <v>83</v>
      </c>
      <c r="AQ667" s="122">
        <v>1</v>
      </c>
      <c r="AR667" s="515" t="s">
        <v>10</v>
      </c>
      <c r="AS667" s="95">
        <v>0</v>
      </c>
      <c r="AT667" s="75">
        <v>0</v>
      </c>
      <c r="AU667" s="75">
        <v>0</v>
      </c>
      <c r="AV667" s="75">
        <v>0</v>
      </c>
      <c r="AW667" s="123">
        <v>0</v>
      </c>
      <c r="AX667" s="516"/>
      <c r="AY667" s="75">
        <v>0</v>
      </c>
      <c r="AZ667" s="77" t="s">
        <v>131</v>
      </c>
      <c r="BA667" s="78" t="s">
        <v>131</v>
      </c>
      <c r="BB667" s="78" t="s">
        <v>131</v>
      </c>
      <c r="BC667" s="78" t="s">
        <v>131</v>
      </c>
      <c r="BD667" s="78" t="s">
        <v>131</v>
      </c>
      <c r="BE667" s="78" t="s">
        <v>131</v>
      </c>
      <c r="BF667" s="78" t="s">
        <v>131</v>
      </c>
      <c r="BG667" s="78" t="s">
        <v>132</v>
      </c>
      <c r="BH667" s="75" t="s">
        <v>5970</v>
      </c>
      <c r="BI667" s="295" t="s">
        <v>4077</v>
      </c>
      <c r="BJ667" s="546">
        <v>1</v>
      </c>
      <c r="BK667" s="294">
        <v>1</v>
      </c>
      <c r="BL667" s="157">
        <v>1</v>
      </c>
      <c r="BM667" s="548" t="s">
        <v>1342</v>
      </c>
      <c r="BN667" s="548" t="s">
        <v>4158</v>
      </c>
      <c r="BO667" s="157" t="s">
        <v>4425</v>
      </c>
      <c r="BP667" s="548" t="s">
        <v>4073</v>
      </c>
      <c r="BQ667" s="157" t="s">
        <v>4392</v>
      </c>
      <c r="BR667" s="157"/>
    </row>
    <row r="668" spans="1:70" x14ac:dyDescent="0.25">
      <c r="A668" s="19" t="s">
        <v>3686</v>
      </c>
      <c r="B668" s="37" t="s">
        <v>5811</v>
      </c>
      <c r="C668" s="90">
        <v>45140.920081018521</v>
      </c>
      <c r="D668" s="114">
        <v>45140.670081018521</v>
      </c>
      <c r="E668" s="38">
        <v>45140</v>
      </c>
      <c r="F668" s="91">
        <v>2023</v>
      </c>
      <c r="G668" s="93">
        <v>8</v>
      </c>
      <c r="H668" s="37" t="s">
        <v>2548</v>
      </c>
      <c r="I668" s="37" t="s">
        <v>16</v>
      </c>
      <c r="J668" s="103">
        <v>-90.747425910981875</v>
      </c>
      <c r="K668" s="40">
        <v>43.373631301137543</v>
      </c>
      <c r="L668" s="74"/>
      <c r="M668" s="272" t="s">
        <v>16</v>
      </c>
      <c r="N668" s="74">
        <v>0</v>
      </c>
      <c r="O668" s="94"/>
      <c r="P668" s="118">
        <v>1</v>
      </c>
      <c r="Q668" s="510">
        <v>180</v>
      </c>
      <c r="R668" s="513">
        <v>180</v>
      </c>
      <c r="S668" s="41"/>
      <c r="T668" s="40"/>
      <c r="U668" s="40">
        <v>7.5</v>
      </c>
      <c r="V668" s="119">
        <v>1</v>
      </c>
      <c r="W668" s="40">
        <v>0</v>
      </c>
      <c r="X668" s="119">
        <v>1</v>
      </c>
      <c r="Y668" s="40">
        <v>61</v>
      </c>
      <c r="Z668" s="119">
        <v>1</v>
      </c>
      <c r="AA668" s="368">
        <v>0</v>
      </c>
      <c r="AB668" s="535">
        <v>2</v>
      </c>
      <c r="AC668" s="39" t="s">
        <v>160</v>
      </c>
      <c r="AD668" s="75" t="s">
        <v>7</v>
      </c>
      <c r="AE668" s="95">
        <v>1</v>
      </c>
      <c r="AF668" s="75">
        <v>0</v>
      </c>
      <c r="AG668" s="75">
        <v>0</v>
      </c>
      <c r="AH668" s="75">
        <v>0</v>
      </c>
      <c r="AI668" s="75">
        <v>0</v>
      </c>
      <c r="AJ668" s="75">
        <v>0</v>
      </c>
      <c r="AK668" s="75">
        <v>0</v>
      </c>
      <c r="AL668" s="95">
        <v>0</v>
      </c>
      <c r="AM668" s="92">
        <v>0</v>
      </c>
      <c r="AN668" s="79" t="s">
        <v>80</v>
      </c>
      <c r="AO668" s="75">
        <v>1</v>
      </c>
      <c r="AP668" s="75" t="s">
        <v>83</v>
      </c>
      <c r="AQ668" s="122">
        <v>1</v>
      </c>
      <c r="AR668" s="515" t="s">
        <v>10</v>
      </c>
      <c r="AS668" s="95">
        <v>0</v>
      </c>
      <c r="AT668" s="75">
        <v>0</v>
      </c>
      <c r="AU668" s="75">
        <v>0</v>
      </c>
      <c r="AV668" s="75">
        <v>0</v>
      </c>
      <c r="AW668" s="123">
        <v>0</v>
      </c>
      <c r="AX668" s="516"/>
      <c r="AY668" s="75">
        <v>0</v>
      </c>
      <c r="AZ668" s="77" t="s">
        <v>132</v>
      </c>
      <c r="BA668" s="78" t="s">
        <v>131</v>
      </c>
      <c r="BB668" s="78" t="s">
        <v>131</v>
      </c>
      <c r="BC668" s="78" t="s">
        <v>131</v>
      </c>
      <c r="BD668" s="78" t="s">
        <v>131</v>
      </c>
      <c r="BE668" s="78" t="s">
        <v>131</v>
      </c>
      <c r="BF668" s="78" t="s">
        <v>131</v>
      </c>
      <c r="BG668" s="78" t="s">
        <v>131</v>
      </c>
      <c r="BH668" s="75" t="s">
        <v>5970</v>
      </c>
      <c r="BI668" s="295" t="s">
        <v>5953</v>
      </c>
      <c r="BJ668" s="546">
        <v>1</v>
      </c>
      <c r="BK668" s="294" t="s">
        <v>16</v>
      </c>
      <c r="BL668" s="157" t="s">
        <v>16</v>
      </c>
      <c r="BM668" s="548" t="s">
        <v>1342</v>
      </c>
      <c r="BN668" s="548" t="s">
        <v>4158</v>
      </c>
      <c r="BO668" s="157" t="s">
        <v>4306</v>
      </c>
      <c r="BP668" s="548" t="s">
        <v>4469</v>
      </c>
      <c r="BQ668" s="157" t="s">
        <v>4303</v>
      </c>
      <c r="BR668" s="157"/>
    </row>
    <row r="669" spans="1:70" x14ac:dyDescent="0.25">
      <c r="A669" s="19" t="s">
        <v>3686</v>
      </c>
      <c r="B669" s="37" t="s">
        <v>2492</v>
      </c>
      <c r="C669" s="90">
        <v>45140.863888888889</v>
      </c>
      <c r="D669" s="114">
        <v>45140.613888888889</v>
      </c>
      <c r="E669" s="38">
        <v>45140</v>
      </c>
      <c r="F669" s="91">
        <v>2023</v>
      </c>
      <c r="G669" s="93">
        <v>8</v>
      </c>
      <c r="H669" s="37" t="s">
        <v>2446</v>
      </c>
      <c r="I669" s="37"/>
      <c r="J669" s="103">
        <v>-90.488991999999996</v>
      </c>
      <c r="K669" s="40">
        <v>43.48619699999999</v>
      </c>
      <c r="L669" s="74"/>
      <c r="M669" s="272" t="s">
        <v>2493</v>
      </c>
      <c r="N669" s="74">
        <v>1</v>
      </c>
      <c r="O669" s="94"/>
      <c r="P669" s="118">
        <v>0</v>
      </c>
      <c r="Q669" s="510"/>
      <c r="R669" s="513"/>
      <c r="S669" s="41"/>
      <c r="T669" s="40"/>
      <c r="U669" s="40"/>
      <c r="V669" s="119">
        <v>0</v>
      </c>
      <c r="W669" s="40"/>
      <c r="X669" s="119">
        <v>1</v>
      </c>
      <c r="Y669" s="40">
        <v>61</v>
      </c>
      <c r="Z669" s="119">
        <v>0</v>
      </c>
      <c r="AA669" s="368" t="s">
        <v>16</v>
      </c>
      <c r="AB669" s="535" t="s">
        <v>16</v>
      </c>
      <c r="AC669" s="39" t="s">
        <v>160</v>
      </c>
      <c r="AD669" s="75" t="s">
        <v>551</v>
      </c>
      <c r="AE669" s="95">
        <v>0</v>
      </c>
      <c r="AF669" s="75">
        <v>0</v>
      </c>
      <c r="AG669" s="75">
        <v>0</v>
      </c>
      <c r="AH669" s="75">
        <v>0</v>
      </c>
      <c r="AI669" s="75">
        <v>1</v>
      </c>
      <c r="AJ669" s="75">
        <v>0</v>
      </c>
      <c r="AK669" s="75">
        <v>0</v>
      </c>
      <c r="AL669" s="95">
        <v>0</v>
      </c>
      <c r="AM669" s="92">
        <v>0</v>
      </c>
      <c r="AN669" s="79" t="s">
        <v>80</v>
      </c>
      <c r="AO669" s="75">
        <v>1</v>
      </c>
      <c r="AP669" s="75" t="s">
        <v>83</v>
      </c>
      <c r="AQ669" s="122">
        <v>1</v>
      </c>
      <c r="AR669" s="515" t="s">
        <v>10</v>
      </c>
      <c r="AS669" s="95">
        <v>0</v>
      </c>
      <c r="AT669" s="75">
        <v>0</v>
      </c>
      <c r="AU669" s="75">
        <v>0</v>
      </c>
      <c r="AV669" s="75">
        <v>0</v>
      </c>
      <c r="AW669" s="123">
        <v>0</v>
      </c>
      <c r="AX669" s="516"/>
      <c r="AY669" s="75">
        <v>0</v>
      </c>
      <c r="AZ669" s="77" t="s">
        <v>131</v>
      </c>
      <c r="BA669" s="78" t="s">
        <v>131</v>
      </c>
      <c r="BB669" s="78" t="s">
        <v>131</v>
      </c>
      <c r="BC669" s="78" t="s">
        <v>131</v>
      </c>
      <c r="BD669" s="78" t="s">
        <v>132</v>
      </c>
      <c r="BE669" s="78" t="s">
        <v>131</v>
      </c>
      <c r="BF669" s="78" t="s">
        <v>131</v>
      </c>
      <c r="BG669" s="78" t="s">
        <v>131</v>
      </c>
      <c r="BH669" s="75" t="s">
        <v>5970</v>
      </c>
      <c r="BI669" s="295" t="s">
        <v>4106</v>
      </c>
      <c r="BJ669" s="546">
        <v>1</v>
      </c>
      <c r="BK669" s="294">
        <v>1</v>
      </c>
      <c r="BL669" s="157">
        <v>1</v>
      </c>
      <c r="BM669" s="548" t="s">
        <v>1342</v>
      </c>
      <c r="BN669" s="548" t="s">
        <v>4158</v>
      </c>
      <c r="BO669" s="157" t="s">
        <v>4425</v>
      </c>
      <c r="BP669" s="548" t="s">
        <v>4073</v>
      </c>
      <c r="BQ669" s="157" t="s">
        <v>4392</v>
      </c>
      <c r="BR669" s="157"/>
    </row>
    <row r="670" spans="1:70" x14ac:dyDescent="0.25">
      <c r="A670" s="19" t="s">
        <v>3686</v>
      </c>
      <c r="B670" s="37" t="s">
        <v>2494</v>
      </c>
      <c r="C670" s="90">
        <v>45140.79960648148</v>
      </c>
      <c r="D670" s="114">
        <v>45140.54960648148</v>
      </c>
      <c r="E670" s="38">
        <v>45140</v>
      </c>
      <c r="F670" s="91">
        <v>2023</v>
      </c>
      <c r="G670" s="93">
        <v>8</v>
      </c>
      <c r="H670" s="37" t="s">
        <v>2446</v>
      </c>
      <c r="I670" s="37"/>
      <c r="J670" s="103">
        <v>-90.477920547411458</v>
      </c>
      <c r="K670" s="40">
        <v>43.515199029624583</v>
      </c>
      <c r="L670" s="74"/>
      <c r="M670" s="272" t="s">
        <v>2495</v>
      </c>
      <c r="N670" s="74">
        <v>1</v>
      </c>
      <c r="O670" s="94"/>
      <c r="P670" s="118">
        <v>0</v>
      </c>
      <c r="Q670" s="510"/>
      <c r="R670" s="513"/>
      <c r="S670" s="41"/>
      <c r="T670" s="40"/>
      <c r="U670" s="40"/>
      <c r="V670" s="119">
        <v>0</v>
      </c>
      <c r="W670" s="40"/>
      <c r="X670" s="119">
        <v>1</v>
      </c>
      <c r="Y670" s="40">
        <v>68</v>
      </c>
      <c r="Z670" s="119">
        <v>0</v>
      </c>
      <c r="AA670" s="368" t="s">
        <v>16</v>
      </c>
      <c r="AB670" s="535" t="s">
        <v>16</v>
      </c>
      <c r="AC670" s="39" t="s">
        <v>160</v>
      </c>
      <c r="AD670" s="75" t="s">
        <v>10</v>
      </c>
      <c r="AE670" s="95">
        <v>0</v>
      </c>
      <c r="AF670" s="75">
        <v>0</v>
      </c>
      <c r="AG670" s="75">
        <v>0</v>
      </c>
      <c r="AH670" s="75">
        <v>0</v>
      </c>
      <c r="AI670" s="75">
        <v>0</v>
      </c>
      <c r="AJ670" s="75">
        <v>0</v>
      </c>
      <c r="AK670" s="75">
        <v>0</v>
      </c>
      <c r="AL670" s="95">
        <v>1</v>
      </c>
      <c r="AM670" s="92">
        <v>0</v>
      </c>
      <c r="AN670" s="79" t="s">
        <v>80</v>
      </c>
      <c r="AO670" s="75">
        <v>1</v>
      </c>
      <c r="AP670" s="75" t="s">
        <v>83</v>
      </c>
      <c r="AQ670" s="122">
        <v>1</v>
      </c>
      <c r="AR670" s="515" t="s">
        <v>10</v>
      </c>
      <c r="AS670" s="95">
        <v>0</v>
      </c>
      <c r="AT670" s="75">
        <v>0</v>
      </c>
      <c r="AU670" s="75">
        <v>0</v>
      </c>
      <c r="AV670" s="75">
        <v>0</v>
      </c>
      <c r="AW670" s="123">
        <v>0</v>
      </c>
      <c r="AX670" s="516"/>
      <c r="AY670" s="75">
        <v>0</v>
      </c>
      <c r="AZ670" s="77" t="s">
        <v>131</v>
      </c>
      <c r="BA670" s="78" t="s">
        <v>131</v>
      </c>
      <c r="BB670" s="78" t="s">
        <v>131</v>
      </c>
      <c r="BC670" s="78" t="s">
        <v>131</v>
      </c>
      <c r="BD670" s="78" t="s">
        <v>131</v>
      </c>
      <c r="BE670" s="78" t="s">
        <v>131</v>
      </c>
      <c r="BF670" s="78" t="s">
        <v>131</v>
      </c>
      <c r="BG670" s="78" t="s">
        <v>132</v>
      </c>
      <c r="BH670" s="75" t="s">
        <v>5970</v>
      </c>
      <c r="BI670" s="295" t="s">
        <v>4073</v>
      </c>
      <c r="BJ670" s="546">
        <v>1</v>
      </c>
      <c r="BK670" s="294" t="s">
        <v>16</v>
      </c>
      <c r="BL670" s="157" t="s">
        <v>16</v>
      </c>
      <c r="BM670" s="548" t="s">
        <v>1342</v>
      </c>
      <c r="BN670" s="548" t="s">
        <v>4158</v>
      </c>
      <c r="BO670" s="157" t="s">
        <v>4425</v>
      </c>
      <c r="BP670" s="548" t="s">
        <v>4073</v>
      </c>
      <c r="BQ670" s="157" t="s">
        <v>4392</v>
      </c>
      <c r="BR670" s="157"/>
    </row>
    <row r="671" spans="1:70" x14ac:dyDescent="0.25">
      <c r="A671" s="19" t="s">
        <v>3686</v>
      </c>
      <c r="B671" s="37" t="s">
        <v>2496</v>
      </c>
      <c r="C671" s="90">
        <v>45140.772812499999</v>
      </c>
      <c r="D671" s="114">
        <v>45140.522812499999</v>
      </c>
      <c r="E671" s="38">
        <v>45140</v>
      </c>
      <c r="F671" s="91">
        <v>2023</v>
      </c>
      <c r="G671" s="93">
        <v>8</v>
      </c>
      <c r="H671" s="37" t="s">
        <v>2400</v>
      </c>
      <c r="I671" s="37" t="s">
        <v>16</v>
      </c>
      <c r="J671" s="103">
        <v>-90.452213900000004</v>
      </c>
      <c r="K671" s="40">
        <v>43.338873499999998</v>
      </c>
      <c r="L671" s="74"/>
      <c r="M671" s="272" t="s">
        <v>16</v>
      </c>
      <c r="N671" s="74">
        <v>0</v>
      </c>
      <c r="O671" s="94"/>
      <c r="P671" s="118">
        <v>1</v>
      </c>
      <c r="Q671" s="510">
        <v>120</v>
      </c>
      <c r="R671" s="513">
        <v>180</v>
      </c>
      <c r="S671" s="41"/>
      <c r="T671" s="40"/>
      <c r="U671" s="40">
        <v>7.5</v>
      </c>
      <c r="V671" s="119">
        <v>1</v>
      </c>
      <c r="W671" s="40">
        <v>0</v>
      </c>
      <c r="X671" s="119">
        <v>1</v>
      </c>
      <c r="Y671" s="40">
        <v>67</v>
      </c>
      <c r="Z671" s="119">
        <v>1</v>
      </c>
      <c r="AA671" s="368">
        <v>0</v>
      </c>
      <c r="AB671" s="535">
        <v>1</v>
      </c>
      <c r="AC671" s="39" t="s">
        <v>160</v>
      </c>
      <c r="AD671" s="75" t="s">
        <v>10</v>
      </c>
      <c r="AE671" s="95">
        <v>0</v>
      </c>
      <c r="AF671" s="75">
        <v>0</v>
      </c>
      <c r="AG671" s="75">
        <v>0</v>
      </c>
      <c r="AH671" s="75">
        <v>0</v>
      </c>
      <c r="AI671" s="75">
        <v>0</v>
      </c>
      <c r="AJ671" s="75">
        <v>0</v>
      </c>
      <c r="AK671" s="75">
        <v>0</v>
      </c>
      <c r="AL671" s="95">
        <v>1</v>
      </c>
      <c r="AM671" s="92">
        <v>0</v>
      </c>
      <c r="AN671" s="79" t="s">
        <v>80</v>
      </c>
      <c r="AO671" s="75">
        <v>1</v>
      </c>
      <c r="AP671" s="75" t="s">
        <v>83</v>
      </c>
      <c r="AQ671" s="122">
        <v>1</v>
      </c>
      <c r="AR671" s="515" t="s">
        <v>10</v>
      </c>
      <c r="AS671" s="95">
        <v>0</v>
      </c>
      <c r="AT671" s="75">
        <v>0</v>
      </c>
      <c r="AU671" s="75">
        <v>0</v>
      </c>
      <c r="AV671" s="75">
        <v>0</v>
      </c>
      <c r="AW671" s="123">
        <v>0</v>
      </c>
      <c r="AX671" s="516"/>
      <c r="AY671" s="75">
        <v>0</v>
      </c>
      <c r="AZ671" s="77" t="s">
        <v>131</v>
      </c>
      <c r="BA671" s="78" t="s">
        <v>131</v>
      </c>
      <c r="BB671" s="78" t="s">
        <v>131</v>
      </c>
      <c r="BC671" s="78" t="s">
        <v>131</v>
      </c>
      <c r="BD671" s="78" t="s">
        <v>131</v>
      </c>
      <c r="BE671" s="78" t="s">
        <v>131</v>
      </c>
      <c r="BF671" s="78" t="s">
        <v>131</v>
      </c>
      <c r="BG671" s="78" t="s">
        <v>132</v>
      </c>
      <c r="BH671" s="75" t="s">
        <v>5970</v>
      </c>
      <c r="BI671" s="295" t="s">
        <v>4094</v>
      </c>
      <c r="BJ671" s="546">
        <v>1</v>
      </c>
      <c r="BK671" s="294" t="s">
        <v>16</v>
      </c>
      <c r="BL671" s="157" t="s">
        <v>16</v>
      </c>
      <c r="BM671" s="548" t="s">
        <v>1342</v>
      </c>
      <c r="BN671" s="548" t="s">
        <v>4158</v>
      </c>
      <c r="BO671" s="157" t="s">
        <v>4393</v>
      </c>
      <c r="BP671" s="548" t="s">
        <v>4394</v>
      </c>
      <c r="BQ671" s="157" t="s">
        <v>4392</v>
      </c>
      <c r="BR671" s="157"/>
    </row>
    <row r="672" spans="1:70" x14ac:dyDescent="0.25">
      <c r="A672" s="19" t="s">
        <v>3686</v>
      </c>
      <c r="B672" s="37" t="s">
        <v>2497</v>
      </c>
      <c r="C672" s="90">
        <v>45140.692337962966</v>
      </c>
      <c r="D672" s="114">
        <v>45140.442337962966</v>
      </c>
      <c r="E672" s="38">
        <v>45140</v>
      </c>
      <c r="F672" s="91">
        <v>2023</v>
      </c>
      <c r="G672" s="93">
        <v>8</v>
      </c>
      <c r="H672" s="37" t="s">
        <v>2400</v>
      </c>
      <c r="I672" s="37"/>
      <c r="J672" s="103">
        <v>-90.6356854</v>
      </c>
      <c r="K672" s="40">
        <v>43.289148500000003</v>
      </c>
      <c r="L672" s="74"/>
      <c r="M672" s="272" t="s">
        <v>16</v>
      </c>
      <c r="N672" s="74">
        <v>0</v>
      </c>
      <c r="O672" s="94"/>
      <c r="P672" s="118">
        <v>1</v>
      </c>
      <c r="Q672" s="510">
        <v>180</v>
      </c>
      <c r="R672" s="513">
        <v>180</v>
      </c>
      <c r="S672" s="41"/>
      <c r="T672" s="40"/>
      <c r="U672" s="40">
        <v>7.5</v>
      </c>
      <c r="V672" s="119">
        <v>1</v>
      </c>
      <c r="W672" s="40">
        <v>0</v>
      </c>
      <c r="X672" s="119">
        <v>1</v>
      </c>
      <c r="Y672" s="40">
        <v>65</v>
      </c>
      <c r="Z672" s="119">
        <v>1</v>
      </c>
      <c r="AA672" s="368">
        <v>0</v>
      </c>
      <c r="AB672" s="535">
        <v>1</v>
      </c>
      <c r="AC672" s="39" t="s">
        <v>160</v>
      </c>
      <c r="AD672" s="75" t="s">
        <v>10</v>
      </c>
      <c r="AE672" s="95">
        <v>0</v>
      </c>
      <c r="AF672" s="75">
        <v>0</v>
      </c>
      <c r="AG672" s="75">
        <v>0</v>
      </c>
      <c r="AH672" s="75">
        <v>0</v>
      </c>
      <c r="AI672" s="75">
        <v>0</v>
      </c>
      <c r="AJ672" s="75">
        <v>0</v>
      </c>
      <c r="AK672" s="75">
        <v>0</v>
      </c>
      <c r="AL672" s="95">
        <v>1</v>
      </c>
      <c r="AM672" s="92">
        <v>0</v>
      </c>
      <c r="AN672" s="79" t="s">
        <v>80</v>
      </c>
      <c r="AO672" s="75">
        <v>1</v>
      </c>
      <c r="AP672" s="75" t="s">
        <v>83</v>
      </c>
      <c r="AQ672" s="122">
        <v>1</v>
      </c>
      <c r="AR672" s="515" t="s">
        <v>10</v>
      </c>
      <c r="AS672" s="95">
        <v>0</v>
      </c>
      <c r="AT672" s="75">
        <v>0</v>
      </c>
      <c r="AU672" s="75">
        <v>0</v>
      </c>
      <c r="AV672" s="75">
        <v>0</v>
      </c>
      <c r="AW672" s="123">
        <v>0</v>
      </c>
      <c r="AX672" s="516"/>
      <c r="AY672" s="75">
        <v>0</v>
      </c>
      <c r="AZ672" s="77" t="s">
        <v>131</v>
      </c>
      <c r="BA672" s="78" t="s">
        <v>131</v>
      </c>
      <c r="BB672" s="78" t="s">
        <v>131</v>
      </c>
      <c r="BC672" s="78" t="s">
        <v>131</v>
      </c>
      <c r="BD672" s="78" t="s">
        <v>131</v>
      </c>
      <c r="BE672" s="78" t="s">
        <v>131</v>
      </c>
      <c r="BF672" s="78" t="s">
        <v>131</v>
      </c>
      <c r="BG672" s="78" t="s">
        <v>132</v>
      </c>
      <c r="BH672" s="75" t="s">
        <v>5970</v>
      </c>
      <c r="BI672" s="295" t="s">
        <v>4099</v>
      </c>
      <c r="BJ672" s="546">
        <v>1</v>
      </c>
      <c r="BK672" s="294" t="s">
        <v>16</v>
      </c>
      <c r="BL672" s="157" t="s">
        <v>16</v>
      </c>
      <c r="BM672" s="548" t="s">
        <v>1345</v>
      </c>
      <c r="BN672" s="548" t="s">
        <v>4158</v>
      </c>
      <c r="BO672" s="157" t="s">
        <v>4428</v>
      </c>
      <c r="BP672" s="548" t="s">
        <v>4430</v>
      </c>
      <c r="BQ672" s="157" t="s">
        <v>4427</v>
      </c>
      <c r="BR672" s="157"/>
    </row>
    <row r="673" spans="1:70" x14ac:dyDescent="0.25">
      <c r="A673" s="19" t="s">
        <v>3686</v>
      </c>
      <c r="B673" s="37" t="s">
        <v>2498</v>
      </c>
      <c r="C673" s="90">
        <v>45140.584768518522</v>
      </c>
      <c r="D673" s="114">
        <v>45140.334768518522</v>
      </c>
      <c r="E673" s="38">
        <v>45140</v>
      </c>
      <c r="F673" s="91">
        <v>2023</v>
      </c>
      <c r="G673" s="93">
        <v>8</v>
      </c>
      <c r="H673" s="37" t="s">
        <v>1386</v>
      </c>
      <c r="I673" s="37"/>
      <c r="J673" s="103">
        <v>-91.813376000000005</v>
      </c>
      <c r="K673" s="40">
        <v>43.5976158</v>
      </c>
      <c r="L673" s="74"/>
      <c r="M673" s="272" t="s">
        <v>16</v>
      </c>
      <c r="N673" s="74">
        <v>0</v>
      </c>
      <c r="O673" s="94"/>
      <c r="P673" s="118">
        <v>1</v>
      </c>
      <c r="Q673" s="510">
        <v>0</v>
      </c>
      <c r="R673" s="513">
        <v>60</v>
      </c>
      <c r="S673" s="41"/>
      <c r="T673" s="40"/>
      <c r="U673" s="40">
        <v>7</v>
      </c>
      <c r="V673" s="119">
        <v>1</v>
      </c>
      <c r="W673" s="40">
        <v>0</v>
      </c>
      <c r="X673" s="119">
        <v>1</v>
      </c>
      <c r="Y673" s="40">
        <v>56</v>
      </c>
      <c r="Z673" s="119">
        <v>1</v>
      </c>
      <c r="AA673" s="368">
        <v>0</v>
      </c>
      <c r="AB673" s="535">
        <v>5</v>
      </c>
      <c r="AC673" s="39" t="s">
        <v>160</v>
      </c>
      <c r="AD673" s="75" t="s">
        <v>10</v>
      </c>
      <c r="AE673" s="95">
        <v>0</v>
      </c>
      <c r="AF673" s="75">
        <v>0</v>
      </c>
      <c r="AG673" s="75">
        <v>0</v>
      </c>
      <c r="AH673" s="75">
        <v>0</v>
      </c>
      <c r="AI673" s="75">
        <v>0</v>
      </c>
      <c r="AJ673" s="75">
        <v>0</v>
      </c>
      <c r="AK673" s="75">
        <v>0</v>
      </c>
      <c r="AL673" s="95">
        <v>1</v>
      </c>
      <c r="AM673" s="92">
        <v>0</v>
      </c>
      <c r="AN673" s="79" t="s">
        <v>80</v>
      </c>
      <c r="AO673" s="75">
        <v>1</v>
      </c>
      <c r="AP673" s="75" t="s">
        <v>83</v>
      </c>
      <c r="AQ673" s="122">
        <v>1</v>
      </c>
      <c r="AR673" s="515" t="s">
        <v>10</v>
      </c>
      <c r="AS673" s="95">
        <v>0</v>
      </c>
      <c r="AT673" s="75">
        <v>0</v>
      </c>
      <c r="AU673" s="75">
        <v>0</v>
      </c>
      <c r="AV673" s="75">
        <v>0</v>
      </c>
      <c r="AW673" s="123">
        <v>0</v>
      </c>
      <c r="AX673" s="516"/>
      <c r="AY673" s="75">
        <v>0</v>
      </c>
      <c r="AZ673" s="77" t="s">
        <v>131</v>
      </c>
      <c r="BA673" s="78" t="s">
        <v>131</v>
      </c>
      <c r="BB673" s="78" t="s">
        <v>131</v>
      </c>
      <c r="BC673" s="78" t="s">
        <v>131</v>
      </c>
      <c r="BD673" s="78" t="s">
        <v>131</v>
      </c>
      <c r="BE673" s="78" t="s">
        <v>131</v>
      </c>
      <c r="BF673" s="78" t="s">
        <v>131</v>
      </c>
      <c r="BG673" s="78" t="s">
        <v>132</v>
      </c>
      <c r="BH673" s="75" t="s">
        <v>5970</v>
      </c>
      <c r="BI673" s="295" t="s">
        <v>2271</v>
      </c>
      <c r="BJ673" s="546">
        <v>1</v>
      </c>
      <c r="BK673" s="294">
        <v>1</v>
      </c>
      <c r="BL673" s="157">
        <v>1</v>
      </c>
      <c r="BM673" s="548" t="s">
        <v>1341</v>
      </c>
      <c r="BN673" s="548" t="s">
        <v>1339</v>
      </c>
      <c r="BO673" s="157" t="s">
        <v>4245</v>
      </c>
      <c r="BP673" s="548" t="s">
        <v>2271</v>
      </c>
      <c r="BQ673" s="157" t="s">
        <v>4232</v>
      </c>
      <c r="BR673" s="157"/>
    </row>
    <row r="674" spans="1:70" x14ac:dyDescent="0.25">
      <c r="A674" s="19" t="s">
        <v>3686</v>
      </c>
      <c r="B674" s="37" t="s">
        <v>2499</v>
      </c>
      <c r="C674" s="90">
        <v>45140.487222222226</v>
      </c>
      <c r="D674" s="114">
        <v>45140.237222222226</v>
      </c>
      <c r="E674" s="38">
        <v>45140</v>
      </c>
      <c r="F674" s="91">
        <v>2023</v>
      </c>
      <c r="G674" s="93">
        <v>8</v>
      </c>
      <c r="H674" s="37" t="s">
        <v>2400</v>
      </c>
      <c r="I674" s="37"/>
      <c r="J674" s="103">
        <v>-90.578721299999998</v>
      </c>
      <c r="K674" s="40">
        <v>43.270387900000003</v>
      </c>
      <c r="L674" s="74"/>
      <c r="M674" s="272" t="s">
        <v>2500</v>
      </c>
      <c r="N674" s="74">
        <v>1</v>
      </c>
      <c r="O674" s="94"/>
      <c r="P674" s="118">
        <v>1</v>
      </c>
      <c r="Q674" s="510">
        <v>80</v>
      </c>
      <c r="R674" s="513">
        <v>120</v>
      </c>
      <c r="S674" s="41"/>
      <c r="T674" s="40"/>
      <c r="U674" s="40">
        <v>7.5</v>
      </c>
      <c r="V674" s="119">
        <v>1</v>
      </c>
      <c r="W674" s="40">
        <v>0</v>
      </c>
      <c r="X674" s="119">
        <v>1</v>
      </c>
      <c r="Y674" s="40">
        <v>55</v>
      </c>
      <c r="Z674" s="119">
        <v>1</v>
      </c>
      <c r="AA674" s="368">
        <v>0</v>
      </c>
      <c r="AB674" s="535">
        <v>0</v>
      </c>
      <c r="AC674" s="39" t="s">
        <v>160</v>
      </c>
      <c r="AD674" s="75" t="s">
        <v>16</v>
      </c>
      <c r="AE674" s="95">
        <v>-1</v>
      </c>
      <c r="AF674" s="75">
        <v>-1</v>
      </c>
      <c r="AG674" s="75">
        <v>-1</v>
      </c>
      <c r="AH674" s="75">
        <v>-1</v>
      </c>
      <c r="AI674" s="75">
        <v>-1</v>
      </c>
      <c r="AJ674" s="75">
        <v>-1</v>
      </c>
      <c r="AK674" s="75">
        <v>-1</v>
      </c>
      <c r="AL674" s="95">
        <v>-1</v>
      </c>
      <c r="AM674" s="92">
        <v>1</v>
      </c>
      <c r="AN674" s="79" t="s">
        <v>80</v>
      </c>
      <c r="AO674" s="75">
        <v>1</v>
      </c>
      <c r="AP674" s="75" t="s">
        <v>83</v>
      </c>
      <c r="AQ674" s="122">
        <v>1</v>
      </c>
      <c r="AR674" s="515" t="s">
        <v>10</v>
      </c>
      <c r="AS674" s="95">
        <v>0</v>
      </c>
      <c r="AT674" s="75">
        <v>0</v>
      </c>
      <c r="AU674" s="75">
        <v>0</v>
      </c>
      <c r="AV674" s="75">
        <v>0</v>
      </c>
      <c r="AW674" s="123">
        <v>0</v>
      </c>
      <c r="AX674" s="516" t="s">
        <v>16</v>
      </c>
      <c r="AY674" s="75">
        <v>0</v>
      </c>
      <c r="AZ674" s="77" t="s">
        <v>5971</v>
      </c>
      <c r="BA674" s="78" t="s">
        <v>5971</v>
      </c>
      <c r="BB674" s="78" t="s">
        <v>5971</v>
      </c>
      <c r="BC674" s="78" t="s">
        <v>5971</v>
      </c>
      <c r="BD674" s="78" t="s">
        <v>5971</v>
      </c>
      <c r="BE674" s="78" t="s">
        <v>5971</v>
      </c>
      <c r="BF674" s="78" t="s">
        <v>5971</v>
      </c>
      <c r="BG674" s="78" t="s">
        <v>5971</v>
      </c>
      <c r="BH674" s="75" t="s">
        <v>5971</v>
      </c>
      <c r="BI674" s="295" t="s">
        <v>4101</v>
      </c>
      <c r="BJ674" s="546">
        <v>1</v>
      </c>
      <c r="BK674" s="294" t="s">
        <v>16</v>
      </c>
      <c r="BL674" s="157" t="s">
        <v>16</v>
      </c>
      <c r="BM674" s="548" t="s">
        <v>1345</v>
      </c>
      <c r="BN674" s="548" t="s">
        <v>4158</v>
      </c>
      <c r="BO674" s="157" t="s">
        <v>4431</v>
      </c>
      <c r="BP674" s="548" t="s">
        <v>4434</v>
      </c>
      <c r="BQ674" s="157" t="s">
        <v>4299</v>
      </c>
      <c r="BR674" s="157"/>
    </row>
    <row r="675" spans="1:70" x14ac:dyDescent="0.25">
      <c r="A675" s="19" t="s">
        <v>3686</v>
      </c>
      <c r="B675" s="37" t="s">
        <v>2501</v>
      </c>
      <c r="C675" s="90">
        <v>45139.932141203702</v>
      </c>
      <c r="D675" s="114">
        <v>45139.682141203702</v>
      </c>
      <c r="E675" s="38">
        <v>45139</v>
      </c>
      <c r="F675" s="91">
        <v>2023</v>
      </c>
      <c r="G675" s="93">
        <v>8</v>
      </c>
      <c r="H675" s="37" t="s">
        <v>2446</v>
      </c>
      <c r="I675" s="37"/>
      <c r="J675" s="103">
        <v>-90.57587882450504</v>
      </c>
      <c r="K675" s="40">
        <v>43.403188469161087</v>
      </c>
      <c r="L675" s="74"/>
      <c r="M675" s="272" t="s">
        <v>16</v>
      </c>
      <c r="N675" s="74">
        <v>0</v>
      </c>
      <c r="O675" s="94"/>
      <c r="P675" s="118">
        <v>0</v>
      </c>
      <c r="Q675" s="510"/>
      <c r="R675" s="513"/>
      <c r="S675" s="41"/>
      <c r="T675" s="40"/>
      <c r="U675" s="40"/>
      <c r="V675" s="119">
        <v>0</v>
      </c>
      <c r="W675" s="40"/>
      <c r="X675" s="119">
        <v>1</v>
      </c>
      <c r="Y675" s="40">
        <v>52</v>
      </c>
      <c r="Z675" s="119">
        <v>0</v>
      </c>
      <c r="AA675" s="368" t="s">
        <v>16</v>
      </c>
      <c r="AB675" s="535" t="s">
        <v>16</v>
      </c>
      <c r="AC675" s="39" t="s">
        <v>160</v>
      </c>
      <c r="AD675" s="75" t="s">
        <v>10</v>
      </c>
      <c r="AE675" s="95">
        <v>0</v>
      </c>
      <c r="AF675" s="75">
        <v>0</v>
      </c>
      <c r="AG675" s="75">
        <v>0</v>
      </c>
      <c r="AH675" s="75">
        <v>0</v>
      </c>
      <c r="AI675" s="75">
        <v>0</v>
      </c>
      <c r="AJ675" s="75">
        <v>0</v>
      </c>
      <c r="AK675" s="75">
        <v>0</v>
      </c>
      <c r="AL675" s="95">
        <v>1</v>
      </c>
      <c r="AM675" s="92">
        <v>0</v>
      </c>
      <c r="AN675" s="79" t="s">
        <v>80</v>
      </c>
      <c r="AO675" s="75">
        <v>1</v>
      </c>
      <c r="AP675" s="75" t="s">
        <v>83</v>
      </c>
      <c r="AQ675" s="122">
        <v>1</v>
      </c>
      <c r="AR675" s="515" t="s">
        <v>10</v>
      </c>
      <c r="AS675" s="95">
        <v>0</v>
      </c>
      <c r="AT675" s="75">
        <v>0</v>
      </c>
      <c r="AU675" s="75">
        <v>0</v>
      </c>
      <c r="AV675" s="75">
        <v>0</v>
      </c>
      <c r="AW675" s="123">
        <v>0</v>
      </c>
      <c r="AX675" s="516" t="s">
        <v>2502</v>
      </c>
      <c r="AY675" s="75">
        <v>1</v>
      </c>
      <c r="AZ675" s="77" t="s">
        <v>131</v>
      </c>
      <c r="BA675" s="78" t="s">
        <v>131</v>
      </c>
      <c r="BB675" s="78" t="s">
        <v>131</v>
      </c>
      <c r="BC675" s="78" t="s">
        <v>131</v>
      </c>
      <c r="BD675" s="78" t="s">
        <v>131</v>
      </c>
      <c r="BE675" s="78" t="s">
        <v>131</v>
      </c>
      <c r="BF675" s="78" t="s">
        <v>131</v>
      </c>
      <c r="BG675" s="78" t="s">
        <v>132</v>
      </c>
      <c r="BH675" s="75" t="s">
        <v>5970</v>
      </c>
      <c r="BI675" s="295" t="s">
        <v>4086</v>
      </c>
      <c r="BJ675" s="546">
        <v>1</v>
      </c>
      <c r="BK675" s="294" t="s">
        <v>16</v>
      </c>
      <c r="BL675" s="157" t="s">
        <v>16</v>
      </c>
      <c r="BM675" s="548" t="s">
        <v>1342</v>
      </c>
      <c r="BN675" s="548" t="s">
        <v>4158</v>
      </c>
      <c r="BO675" s="157" t="s">
        <v>4298</v>
      </c>
      <c r="BP675" s="548" t="s">
        <v>4302</v>
      </c>
      <c r="BQ675" s="157" t="s">
        <v>4297</v>
      </c>
      <c r="BR675" s="157"/>
    </row>
    <row r="676" spans="1:70" x14ac:dyDescent="0.25">
      <c r="A676" s="19" t="s">
        <v>3686</v>
      </c>
      <c r="B676" s="37" t="s">
        <v>2503</v>
      </c>
      <c r="C676" s="90">
        <v>45139.870115740741</v>
      </c>
      <c r="D676" s="114">
        <v>45139.620115740741</v>
      </c>
      <c r="E676" s="38">
        <v>45139</v>
      </c>
      <c r="F676" s="91">
        <v>2023</v>
      </c>
      <c r="G676" s="93">
        <v>8</v>
      </c>
      <c r="H676" s="37" t="s">
        <v>2446</v>
      </c>
      <c r="I676" s="37"/>
      <c r="J676" s="103">
        <v>-90.543305559918394</v>
      </c>
      <c r="K676" s="40">
        <v>43.374346555888977</v>
      </c>
      <c r="L676" s="74"/>
      <c r="M676" s="272" t="s">
        <v>16</v>
      </c>
      <c r="N676" s="74">
        <v>0</v>
      </c>
      <c r="O676" s="94"/>
      <c r="P676" s="118">
        <v>0</v>
      </c>
      <c r="Q676" s="510"/>
      <c r="R676" s="513"/>
      <c r="S676" s="41"/>
      <c r="T676" s="40"/>
      <c r="U676" s="40"/>
      <c r="V676" s="119">
        <v>0</v>
      </c>
      <c r="W676" s="40"/>
      <c r="X676" s="119">
        <v>1</v>
      </c>
      <c r="Y676" s="40">
        <v>63</v>
      </c>
      <c r="Z676" s="119">
        <v>0</v>
      </c>
      <c r="AA676" s="368" t="s">
        <v>16</v>
      </c>
      <c r="AB676" s="535" t="s">
        <v>16</v>
      </c>
      <c r="AC676" s="39" t="s">
        <v>160</v>
      </c>
      <c r="AD676" s="75" t="s">
        <v>7</v>
      </c>
      <c r="AE676" s="95">
        <v>1</v>
      </c>
      <c r="AF676" s="75">
        <v>0</v>
      </c>
      <c r="AG676" s="75">
        <v>0</v>
      </c>
      <c r="AH676" s="75">
        <v>0</v>
      </c>
      <c r="AI676" s="75">
        <v>0</v>
      </c>
      <c r="AJ676" s="75">
        <v>0</v>
      </c>
      <c r="AK676" s="75">
        <v>0</v>
      </c>
      <c r="AL676" s="95">
        <v>0</v>
      </c>
      <c r="AM676" s="92">
        <v>0</v>
      </c>
      <c r="AN676" s="79" t="s">
        <v>80</v>
      </c>
      <c r="AO676" s="75">
        <v>1</v>
      </c>
      <c r="AP676" s="75" t="s">
        <v>83</v>
      </c>
      <c r="AQ676" s="122">
        <v>1</v>
      </c>
      <c r="AR676" s="515" t="s">
        <v>10</v>
      </c>
      <c r="AS676" s="95">
        <v>0</v>
      </c>
      <c r="AT676" s="75">
        <v>0</v>
      </c>
      <c r="AU676" s="75">
        <v>0</v>
      </c>
      <c r="AV676" s="75">
        <v>0</v>
      </c>
      <c r="AW676" s="123">
        <v>0</v>
      </c>
      <c r="AX676" s="516" t="s">
        <v>2504</v>
      </c>
      <c r="AY676" s="75">
        <v>1</v>
      </c>
      <c r="AZ676" s="77" t="s">
        <v>132</v>
      </c>
      <c r="BA676" s="78" t="s">
        <v>131</v>
      </c>
      <c r="BB676" s="78" t="s">
        <v>131</v>
      </c>
      <c r="BC676" s="78" t="s">
        <v>131</v>
      </c>
      <c r="BD676" s="78" t="s">
        <v>131</v>
      </c>
      <c r="BE676" s="78" t="s">
        <v>131</v>
      </c>
      <c r="BF676" s="78" t="s">
        <v>131</v>
      </c>
      <c r="BG676" s="78" t="s">
        <v>131</v>
      </c>
      <c r="BH676" s="75" t="s">
        <v>5970</v>
      </c>
      <c r="BI676" s="295" t="s">
        <v>2243</v>
      </c>
      <c r="BJ676" s="546">
        <v>1</v>
      </c>
      <c r="BK676" s="294">
        <v>1</v>
      </c>
      <c r="BL676" s="157">
        <v>1</v>
      </c>
      <c r="BM676" s="548" t="s">
        <v>1342</v>
      </c>
      <c r="BN676" s="548" t="s">
        <v>4158</v>
      </c>
      <c r="BO676" s="157" t="s">
        <v>4298</v>
      </c>
      <c r="BP676" s="548" t="s">
        <v>4302</v>
      </c>
      <c r="BQ676" s="157" t="s">
        <v>4297</v>
      </c>
      <c r="BR676" s="157"/>
    </row>
    <row r="677" spans="1:70" x14ac:dyDescent="0.25">
      <c r="A677" s="19" t="s">
        <v>3686</v>
      </c>
      <c r="B677" s="37" t="s">
        <v>2505</v>
      </c>
      <c r="C677" s="90">
        <v>45139.829953703702</v>
      </c>
      <c r="D677" s="114">
        <v>45139.579953703702</v>
      </c>
      <c r="E677" s="38">
        <v>45139</v>
      </c>
      <c r="F677" s="91">
        <v>2023</v>
      </c>
      <c r="G677" s="93">
        <v>8</v>
      </c>
      <c r="H677" s="37" t="s">
        <v>2446</v>
      </c>
      <c r="I677" s="37"/>
      <c r="J677" s="103">
        <v>-90.533071120279502</v>
      </c>
      <c r="K677" s="40">
        <v>43.332629712054434</v>
      </c>
      <c r="L677" s="74"/>
      <c r="M677" s="272" t="s">
        <v>16</v>
      </c>
      <c r="N677" s="74">
        <v>0</v>
      </c>
      <c r="O677" s="94"/>
      <c r="P677" s="118">
        <v>0</v>
      </c>
      <c r="Q677" s="510"/>
      <c r="R677" s="513"/>
      <c r="S677" s="41"/>
      <c r="T677" s="40"/>
      <c r="U677" s="40"/>
      <c r="V677" s="119">
        <v>0</v>
      </c>
      <c r="W677" s="40"/>
      <c r="X677" s="119">
        <v>1</v>
      </c>
      <c r="Y677" s="40">
        <v>68</v>
      </c>
      <c r="Z677" s="119">
        <v>0</v>
      </c>
      <c r="AA677" s="368" t="s">
        <v>16</v>
      </c>
      <c r="AB677" s="535" t="s">
        <v>16</v>
      </c>
      <c r="AC677" s="39" t="s">
        <v>160</v>
      </c>
      <c r="AD677" s="75" t="s">
        <v>10</v>
      </c>
      <c r="AE677" s="95">
        <v>0</v>
      </c>
      <c r="AF677" s="75">
        <v>0</v>
      </c>
      <c r="AG677" s="75">
        <v>0</v>
      </c>
      <c r="AH677" s="75">
        <v>0</v>
      </c>
      <c r="AI677" s="75">
        <v>0</v>
      </c>
      <c r="AJ677" s="75">
        <v>0</v>
      </c>
      <c r="AK677" s="75">
        <v>0</v>
      </c>
      <c r="AL677" s="95">
        <v>1</v>
      </c>
      <c r="AM677" s="92">
        <v>0</v>
      </c>
      <c r="AN677" s="79" t="s">
        <v>80</v>
      </c>
      <c r="AO677" s="75">
        <v>1</v>
      </c>
      <c r="AP677" s="75" t="s">
        <v>84</v>
      </c>
      <c r="AQ677" s="122">
        <v>1</v>
      </c>
      <c r="AR677" s="515" t="s">
        <v>10</v>
      </c>
      <c r="AS677" s="95">
        <v>0</v>
      </c>
      <c r="AT677" s="75">
        <v>0</v>
      </c>
      <c r="AU677" s="75">
        <v>0</v>
      </c>
      <c r="AV677" s="75">
        <v>0</v>
      </c>
      <c r="AW677" s="123">
        <v>0</v>
      </c>
      <c r="AX677" s="516"/>
      <c r="AY677" s="75">
        <v>0</v>
      </c>
      <c r="AZ677" s="77" t="s">
        <v>131</v>
      </c>
      <c r="BA677" s="78" t="s">
        <v>131</v>
      </c>
      <c r="BB677" s="78" t="s">
        <v>131</v>
      </c>
      <c r="BC677" s="78" t="s">
        <v>131</v>
      </c>
      <c r="BD677" s="78" t="s">
        <v>131</v>
      </c>
      <c r="BE677" s="78" t="s">
        <v>131</v>
      </c>
      <c r="BF677" s="78" t="s">
        <v>131</v>
      </c>
      <c r="BG677" s="78" t="s">
        <v>132</v>
      </c>
      <c r="BH677" s="75" t="s">
        <v>5970</v>
      </c>
      <c r="BI677" s="295" t="s">
        <v>4096</v>
      </c>
      <c r="BJ677" s="546">
        <v>1</v>
      </c>
      <c r="BK677" s="294" t="s">
        <v>16</v>
      </c>
      <c r="BL677" s="157" t="s">
        <v>16</v>
      </c>
      <c r="BM677" s="548" t="s">
        <v>1345</v>
      </c>
      <c r="BN677" s="548" t="s">
        <v>4158</v>
      </c>
      <c r="BO677" s="157" t="s">
        <v>4301</v>
      </c>
      <c r="BP677" s="548" t="s">
        <v>4404</v>
      </c>
      <c r="BQ677" s="157" t="s">
        <v>4297</v>
      </c>
      <c r="BR677" s="157"/>
    </row>
    <row r="678" spans="1:70" x14ac:dyDescent="0.25">
      <c r="A678" s="19" t="s">
        <v>3686</v>
      </c>
      <c r="B678" s="37" t="s">
        <v>2506</v>
      </c>
      <c r="C678" s="90">
        <v>45139.827800925923</v>
      </c>
      <c r="D678" s="114">
        <v>45139.577800925923</v>
      </c>
      <c r="E678" s="38">
        <v>45139</v>
      </c>
      <c r="F678" s="91">
        <v>2023</v>
      </c>
      <c r="G678" s="93">
        <v>8</v>
      </c>
      <c r="H678" s="37" t="s">
        <v>2400</v>
      </c>
      <c r="I678" s="37"/>
      <c r="J678" s="103">
        <v>-90.764527900000004</v>
      </c>
      <c r="K678" s="40">
        <v>43.347345799999999</v>
      </c>
      <c r="L678" s="74"/>
      <c r="M678" s="272" t="s">
        <v>2507</v>
      </c>
      <c r="N678" s="74">
        <v>1</v>
      </c>
      <c r="O678" s="94"/>
      <c r="P678" s="118">
        <v>1</v>
      </c>
      <c r="Q678" s="510">
        <v>120</v>
      </c>
      <c r="R678" s="513">
        <v>180</v>
      </c>
      <c r="S678" s="41"/>
      <c r="T678" s="40"/>
      <c r="U678" s="40">
        <v>7.5</v>
      </c>
      <c r="V678" s="119">
        <v>1</v>
      </c>
      <c r="W678" s="40">
        <v>100</v>
      </c>
      <c r="X678" s="119">
        <v>1</v>
      </c>
      <c r="Y678" s="40">
        <v>57</v>
      </c>
      <c r="Z678" s="119">
        <v>1</v>
      </c>
      <c r="AA678" s="368">
        <v>0</v>
      </c>
      <c r="AB678" s="535">
        <v>0</v>
      </c>
      <c r="AC678" s="39" t="s">
        <v>160</v>
      </c>
      <c r="AD678" s="75" t="s">
        <v>10</v>
      </c>
      <c r="AE678" s="95">
        <v>0</v>
      </c>
      <c r="AF678" s="75">
        <v>0</v>
      </c>
      <c r="AG678" s="75">
        <v>0</v>
      </c>
      <c r="AH678" s="75">
        <v>0</v>
      </c>
      <c r="AI678" s="75">
        <v>0</v>
      </c>
      <c r="AJ678" s="75">
        <v>0</v>
      </c>
      <c r="AK678" s="75">
        <v>0</v>
      </c>
      <c r="AL678" s="95">
        <v>1</v>
      </c>
      <c r="AM678" s="92">
        <v>0</v>
      </c>
      <c r="AN678" s="79" t="s">
        <v>80</v>
      </c>
      <c r="AO678" s="75">
        <v>1</v>
      </c>
      <c r="AP678" s="75" t="s">
        <v>84</v>
      </c>
      <c r="AQ678" s="122">
        <v>1</v>
      </c>
      <c r="AR678" s="515" t="s">
        <v>2508</v>
      </c>
      <c r="AS678" s="95">
        <v>1</v>
      </c>
      <c r="AT678" s="75">
        <v>0</v>
      </c>
      <c r="AU678" s="75">
        <v>0</v>
      </c>
      <c r="AV678" s="75">
        <v>0</v>
      </c>
      <c r="AW678" s="123">
        <v>0</v>
      </c>
      <c r="AX678" s="516" t="s">
        <v>2509</v>
      </c>
      <c r="AY678" s="75">
        <v>1</v>
      </c>
      <c r="AZ678" s="77" t="s">
        <v>131</v>
      </c>
      <c r="BA678" s="78" t="s">
        <v>131</v>
      </c>
      <c r="BB678" s="78" t="s">
        <v>131</v>
      </c>
      <c r="BC678" s="78" t="s">
        <v>131</v>
      </c>
      <c r="BD678" s="78" t="s">
        <v>131</v>
      </c>
      <c r="BE678" s="78" t="s">
        <v>131</v>
      </c>
      <c r="BF678" s="78" t="s">
        <v>131</v>
      </c>
      <c r="BG678" s="78" t="s">
        <v>132</v>
      </c>
      <c r="BH678" s="75" t="s">
        <v>5970</v>
      </c>
      <c r="BI678" s="295" t="s">
        <v>16</v>
      </c>
      <c r="BJ678" s="546">
        <v>1</v>
      </c>
      <c r="BK678" s="294" t="s">
        <v>16</v>
      </c>
      <c r="BL678" s="157" t="s">
        <v>16</v>
      </c>
      <c r="BM678" s="548" t="s">
        <v>1342</v>
      </c>
      <c r="BN678" s="548" t="s">
        <v>4158</v>
      </c>
      <c r="BO678" s="157" t="s">
        <v>4402</v>
      </c>
      <c r="BP678" s="548" t="s">
        <v>4436</v>
      </c>
      <c r="BQ678" s="157" t="s">
        <v>4303</v>
      </c>
      <c r="BR678" s="157"/>
    </row>
    <row r="679" spans="1:70" x14ac:dyDescent="0.25">
      <c r="A679" s="19" t="s">
        <v>3686</v>
      </c>
      <c r="B679" s="37" t="s">
        <v>2510</v>
      </c>
      <c r="C679" s="90">
        <v>45139.805810185186</v>
      </c>
      <c r="D679" s="114">
        <v>45139.555810185186</v>
      </c>
      <c r="E679" s="38">
        <v>45139</v>
      </c>
      <c r="F679" s="91">
        <v>2023</v>
      </c>
      <c r="G679" s="93">
        <v>8</v>
      </c>
      <c r="H679" s="37" t="s">
        <v>2446</v>
      </c>
      <c r="I679" s="37"/>
      <c r="J679" s="103">
        <v>-90.537285366954805</v>
      </c>
      <c r="K679" s="40">
        <v>43.320960017132883</v>
      </c>
      <c r="L679" s="74"/>
      <c r="M679" s="272" t="s">
        <v>16</v>
      </c>
      <c r="N679" s="74">
        <v>0</v>
      </c>
      <c r="O679" s="94"/>
      <c r="P679" s="118">
        <v>0</v>
      </c>
      <c r="Q679" s="510"/>
      <c r="R679" s="513"/>
      <c r="S679" s="41"/>
      <c r="T679" s="40"/>
      <c r="U679" s="40"/>
      <c r="V679" s="119">
        <v>0</v>
      </c>
      <c r="W679" s="40"/>
      <c r="X679" s="119">
        <v>1</v>
      </c>
      <c r="Y679" s="40">
        <v>60</v>
      </c>
      <c r="Z679" s="119">
        <v>0</v>
      </c>
      <c r="AA679" s="368" t="s">
        <v>16</v>
      </c>
      <c r="AB679" s="535" t="s">
        <v>16</v>
      </c>
      <c r="AC679" s="39" t="s">
        <v>160</v>
      </c>
      <c r="AD679" s="75" t="s">
        <v>10</v>
      </c>
      <c r="AE679" s="95">
        <v>0</v>
      </c>
      <c r="AF679" s="75">
        <v>0</v>
      </c>
      <c r="AG679" s="75">
        <v>0</v>
      </c>
      <c r="AH679" s="75">
        <v>0</v>
      </c>
      <c r="AI679" s="75">
        <v>0</v>
      </c>
      <c r="AJ679" s="75">
        <v>0</v>
      </c>
      <c r="AK679" s="75">
        <v>0</v>
      </c>
      <c r="AL679" s="95">
        <v>1</v>
      </c>
      <c r="AM679" s="92">
        <v>0</v>
      </c>
      <c r="AN679" s="79" t="s">
        <v>80</v>
      </c>
      <c r="AO679" s="75">
        <v>1</v>
      </c>
      <c r="AP679" s="75" t="s">
        <v>84</v>
      </c>
      <c r="AQ679" s="122">
        <v>1</v>
      </c>
      <c r="AR679" s="515" t="s">
        <v>10</v>
      </c>
      <c r="AS679" s="95">
        <v>0</v>
      </c>
      <c r="AT679" s="75">
        <v>0</v>
      </c>
      <c r="AU679" s="75">
        <v>0</v>
      </c>
      <c r="AV679" s="75">
        <v>0</v>
      </c>
      <c r="AW679" s="123">
        <v>0</v>
      </c>
      <c r="AX679" s="516"/>
      <c r="AY679" s="75">
        <v>0</v>
      </c>
      <c r="AZ679" s="77" t="s">
        <v>131</v>
      </c>
      <c r="BA679" s="78" t="s">
        <v>131</v>
      </c>
      <c r="BB679" s="78" t="s">
        <v>131</v>
      </c>
      <c r="BC679" s="78" t="s">
        <v>131</v>
      </c>
      <c r="BD679" s="78" t="s">
        <v>131</v>
      </c>
      <c r="BE679" s="78" t="s">
        <v>131</v>
      </c>
      <c r="BF679" s="78" t="s">
        <v>131</v>
      </c>
      <c r="BG679" s="78" t="s">
        <v>132</v>
      </c>
      <c r="BH679" s="75" t="s">
        <v>5970</v>
      </c>
      <c r="BI679" s="295">
        <v>0</v>
      </c>
      <c r="BJ679" s="546">
        <v>1</v>
      </c>
      <c r="BK679" s="294" t="s">
        <v>16</v>
      </c>
      <c r="BL679" s="157" t="s">
        <v>16</v>
      </c>
      <c r="BM679" s="548" t="s">
        <v>1345</v>
      </c>
      <c r="BN679" s="548" t="s">
        <v>4158</v>
      </c>
      <c r="BO679" s="157" t="s">
        <v>4301</v>
      </c>
      <c r="BP679" s="548" t="s">
        <v>4404</v>
      </c>
      <c r="BQ679" s="157" t="s">
        <v>4297</v>
      </c>
      <c r="BR679" s="157"/>
    </row>
    <row r="680" spans="1:70" x14ac:dyDescent="0.25">
      <c r="A680" s="19" t="s">
        <v>3686</v>
      </c>
      <c r="B680" s="37" t="s">
        <v>2511</v>
      </c>
      <c r="C680" s="90">
        <v>45139.797465277778</v>
      </c>
      <c r="D680" s="114">
        <v>45139.547465277778</v>
      </c>
      <c r="E680" s="38">
        <v>45139</v>
      </c>
      <c r="F680" s="91">
        <v>2023</v>
      </c>
      <c r="G680" s="93">
        <v>8</v>
      </c>
      <c r="H680" s="37" t="s">
        <v>2423</v>
      </c>
      <c r="I680" s="37"/>
      <c r="J680" s="103">
        <v>-92.732177800000002</v>
      </c>
      <c r="K680" s="40">
        <v>44.831106200000001</v>
      </c>
      <c r="L680" s="74"/>
      <c r="M680" s="272" t="s">
        <v>2512</v>
      </c>
      <c r="N680" s="74">
        <v>1</v>
      </c>
      <c r="O680" s="94"/>
      <c r="P680" s="118">
        <v>1</v>
      </c>
      <c r="Q680" s="510">
        <v>80</v>
      </c>
      <c r="R680" s="513">
        <v>0</v>
      </c>
      <c r="S680" s="41"/>
      <c r="T680" s="40"/>
      <c r="U680" s="40">
        <v>7</v>
      </c>
      <c r="V680" s="119">
        <v>1</v>
      </c>
      <c r="W680" s="40">
        <v>0</v>
      </c>
      <c r="X680" s="119">
        <v>1</v>
      </c>
      <c r="Y680" s="40">
        <v>67</v>
      </c>
      <c r="Z680" s="119">
        <v>1</v>
      </c>
      <c r="AA680" s="368">
        <v>0</v>
      </c>
      <c r="AB680" s="535">
        <v>5</v>
      </c>
      <c r="AC680" s="39" t="s">
        <v>160</v>
      </c>
      <c r="AD680" s="75" t="s">
        <v>365</v>
      </c>
      <c r="AE680" s="95">
        <v>0</v>
      </c>
      <c r="AF680" s="75">
        <v>1</v>
      </c>
      <c r="AG680" s="75">
        <v>1</v>
      </c>
      <c r="AH680" s="75">
        <v>0</v>
      </c>
      <c r="AI680" s="75">
        <v>0</v>
      </c>
      <c r="AJ680" s="75">
        <v>0</v>
      </c>
      <c r="AK680" s="75">
        <v>0</v>
      </c>
      <c r="AL680" s="95">
        <v>0</v>
      </c>
      <c r="AM680" s="92">
        <v>0</v>
      </c>
      <c r="AN680" s="79" t="s">
        <v>80</v>
      </c>
      <c r="AO680" s="75">
        <v>1</v>
      </c>
      <c r="AP680" s="75" t="s">
        <v>83</v>
      </c>
      <c r="AQ680" s="122">
        <v>1</v>
      </c>
      <c r="AR680" s="515" t="s">
        <v>10</v>
      </c>
      <c r="AS680" s="95">
        <v>0</v>
      </c>
      <c r="AT680" s="75">
        <v>0</v>
      </c>
      <c r="AU680" s="75">
        <v>0</v>
      </c>
      <c r="AV680" s="75">
        <v>0</v>
      </c>
      <c r="AW680" s="123">
        <v>0</v>
      </c>
      <c r="AX680" s="516" t="s">
        <v>2513</v>
      </c>
      <c r="AY680" s="75">
        <v>1</v>
      </c>
      <c r="AZ680" s="77" t="s">
        <v>131</v>
      </c>
      <c r="BA680" s="78" t="s">
        <v>132</v>
      </c>
      <c r="BB680" s="78" t="s">
        <v>132</v>
      </c>
      <c r="BC680" s="78" t="s">
        <v>131</v>
      </c>
      <c r="BD680" s="78" t="s">
        <v>131</v>
      </c>
      <c r="BE680" s="78" t="s">
        <v>131</v>
      </c>
      <c r="BF680" s="78" t="s">
        <v>131</v>
      </c>
      <c r="BG680" s="78" t="s">
        <v>131</v>
      </c>
      <c r="BH680" s="75" t="s">
        <v>5970</v>
      </c>
      <c r="BI680" s="295" t="s">
        <v>2227</v>
      </c>
      <c r="BJ680" s="546">
        <v>1</v>
      </c>
      <c r="BK680" s="294" t="s">
        <v>16</v>
      </c>
      <c r="BL680" s="157" t="s">
        <v>16</v>
      </c>
      <c r="BM680" s="548" t="s">
        <v>578</v>
      </c>
      <c r="BN680" s="548" t="s">
        <v>4159</v>
      </c>
      <c r="BO680" s="157" t="s">
        <v>4341</v>
      </c>
      <c r="BP680" s="548" t="s">
        <v>4343</v>
      </c>
      <c r="BQ680" s="157" t="s">
        <v>4309</v>
      </c>
      <c r="BR680" s="157"/>
    </row>
    <row r="681" spans="1:70" x14ac:dyDescent="0.25">
      <c r="A681" s="19" t="s">
        <v>3686</v>
      </c>
      <c r="B681" s="37" t="s">
        <v>2514</v>
      </c>
      <c r="C681" s="90">
        <v>45139.758692129632</v>
      </c>
      <c r="D681" s="114">
        <v>45139.508692129632</v>
      </c>
      <c r="E681" s="38">
        <v>45139</v>
      </c>
      <c r="F681" s="91">
        <v>2023</v>
      </c>
      <c r="G681" s="93">
        <v>8</v>
      </c>
      <c r="H681" s="37" t="s">
        <v>2423</v>
      </c>
      <c r="I681" s="37"/>
      <c r="J681" s="103">
        <v>-92.641482800000006</v>
      </c>
      <c r="K681" s="40">
        <v>44.849601800000002</v>
      </c>
      <c r="L681" s="74"/>
      <c r="M681" s="272" t="s">
        <v>2515</v>
      </c>
      <c r="N681" s="74">
        <v>1</v>
      </c>
      <c r="O681" s="94"/>
      <c r="P681" s="118">
        <v>1</v>
      </c>
      <c r="Q681" s="510">
        <v>80</v>
      </c>
      <c r="R681" s="513">
        <v>180</v>
      </c>
      <c r="S681" s="41"/>
      <c r="T681" s="40"/>
      <c r="U681" s="40">
        <v>8.5</v>
      </c>
      <c r="V681" s="119">
        <v>1</v>
      </c>
      <c r="W681" s="40">
        <v>0</v>
      </c>
      <c r="X681" s="119">
        <v>1</v>
      </c>
      <c r="Y681" s="40">
        <v>65</v>
      </c>
      <c r="Z681" s="119">
        <v>1</v>
      </c>
      <c r="AA681" s="368">
        <v>0</v>
      </c>
      <c r="AB681" s="535">
        <v>5</v>
      </c>
      <c r="AC681" s="39" t="s">
        <v>160</v>
      </c>
      <c r="AD681" s="75" t="s">
        <v>365</v>
      </c>
      <c r="AE681" s="95">
        <v>0</v>
      </c>
      <c r="AF681" s="75">
        <v>1</v>
      </c>
      <c r="AG681" s="75">
        <v>1</v>
      </c>
      <c r="AH681" s="75">
        <v>0</v>
      </c>
      <c r="AI681" s="75">
        <v>0</v>
      </c>
      <c r="AJ681" s="75">
        <v>0</v>
      </c>
      <c r="AK681" s="75">
        <v>0</v>
      </c>
      <c r="AL681" s="95">
        <v>0</v>
      </c>
      <c r="AM681" s="92">
        <v>0</v>
      </c>
      <c r="AN681" s="79" t="s">
        <v>80</v>
      </c>
      <c r="AO681" s="75">
        <v>1</v>
      </c>
      <c r="AP681" s="75" t="s">
        <v>83</v>
      </c>
      <c r="AQ681" s="122">
        <v>1</v>
      </c>
      <c r="AR681" s="515" t="s">
        <v>10</v>
      </c>
      <c r="AS681" s="95">
        <v>0</v>
      </c>
      <c r="AT681" s="75">
        <v>0</v>
      </c>
      <c r="AU681" s="75">
        <v>0</v>
      </c>
      <c r="AV681" s="75">
        <v>0</v>
      </c>
      <c r="AW681" s="123">
        <v>0</v>
      </c>
      <c r="AX681" s="516" t="s">
        <v>2516</v>
      </c>
      <c r="AY681" s="75">
        <v>1</v>
      </c>
      <c r="AZ681" s="77" t="s">
        <v>131</v>
      </c>
      <c r="BA681" s="78" t="s">
        <v>132</v>
      </c>
      <c r="BB681" s="78" t="s">
        <v>132</v>
      </c>
      <c r="BC681" s="78" t="s">
        <v>131</v>
      </c>
      <c r="BD681" s="78" t="s">
        <v>131</v>
      </c>
      <c r="BE681" s="78" t="s">
        <v>131</v>
      </c>
      <c r="BF681" s="78" t="s">
        <v>131</v>
      </c>
      <c r="BG681" s="78" t="s">
        <v>131</v>
      </c>
      <c r="BH681" s="75" t="s">
        <v>5970</v>
      </c>
      <c r="BI681" s="295" t="s">
        <v>16</v>
      </c>
      <c r="BJ681" s="546">
        <v>1</v>
      </c>
      <c r="BK681" s="294">
        <v>1</v>
      </c>
      <c r="BL681" s="157">
        <v>1</v>
      </c>
      <c r="BM681" s="548" t="s">
        <v>578</v>
      </c>
      <c r="BN681" s="548" t="s">
        <v>4159</v>
      </c>
      <c r="BO681" s="157" t="s">
        <v>4341</v>
      </c>
      <c r="BP681" s="548" t="s">
        <v>4343</v>
      </c>
      <c r="BQ681" s="157" t="s">
        <v>4309</v>
      </c>
      <c r="BR681" s="157"/>
    </row>
    <row r="682" spans="1:70" x14ac:dyDescent="0.25">
      <c r="A682" s="19" t="s">
        <v>3686</v>
      </c>
      <c r="B682" s="37" t="s">
        <v>2517</v>
      </c>
      <c r="C682" s="90">
        <v>45139.742534722223</v>
      </c>
      <c r="D682" s="114">
        <v>45139.492534722223</v>
      </c>
      <c r="E682" s="38">
        <v>45139</v>
      </c>
      <c r="F682" s="91">
        <v>2023</v>
      </c>
      <c r="G682" s="93">
        <v>8</v>
      </c>
      <c r="H682" s="37" t="s">
        <v>2423</v>
      </c>
      <c r="I682" s="37"/>
      <c r="J682" s="103">
        <v>-92.644078800000003</v>
      </c>
      <c r="K682" s="40">
        <v>44.844255199999999</v>
      </c>
      <c r="L682" s="74"/>
      <c r="M682" s="272" t="s">
        <v>2518</v>
      </c>
      <c r="N682" s="74">
        <v>1</v>
      </c>
      <c r="O682" s="94"/>
      <c r="P682" s="118">
        <v>1</v>
      </c>
      <c r="Q682" s="510">
        <v>80</v>
      </c>
      <c r="R682" s="513">
        <v>180</v>
      </c>
      <c r="S682" s="41"/>
      <c r="T682" s="40"/>
      <c r="U682" s="40">
        <v>7</v>
      </c>
      <c r="V682" s="119">
        <v>1</v>
      </c>
      <c r="W682" s="40">
        <v>0</v>
      </c>
      <c r="X682" s="119">
        <v>1</v>
      </c>
      <c r="Y682" s="40">
        <v>65</v>
      </c>
      <c r="Z682" s="119">
        <v>1</v>
      </c>
      <c r="AA682" s="368">
        <v>0</v>
      </c>
      <c r="AB682" s="535">
        <v>5</v>
      </c>
      <c r="AC682" s="39" t="s">
        <v>160</v>
      </c>
      <c r="AD682" s="75" t="s">
        <v>365</v>
      </c>
      <c r="AE682" s="95">
        <v>0</v>
      </c>
      <c r="AF682" s="75">
        <v>1</v>
      </c>
      <c r="AG682" s="75">
        <v>1</v>
      </c>
      <c r="AH682" s="75">
        <v>0</v>
      </c>
      <c r="AI682" s="75">
        <v>0</v>
      </c>
      <c r="AJ682" s="75">
        <v>0</v>
      </c>
      <c r="AK682" s="75">
        <v>0</v>
      </c>
      <c r="AL682" s="95">
        <v>0</v>
      </c>
      <c r="AM682" s="92">
        <v>0</v>
      </c>
      <c r="AN682" s="79" t="s">
        <v>80</v>
      </c>
      <c r="AO682" s="75">
        <v>1</v>
      </c>
      <c r="AP682" s="75" t="s">
        <v>83</v>
      </c>
      <c r="AQ682" s="122">
        <v>1</v>
      </c>
      <c r="AR682" s="515" t="s">
        <v>10</v>
      </c>
      <c r="AS682" s="95">
        <v>0</v>
      </c>
      <c r="AT682" s="75">
        <v>0</v>
      </c>
      <c r="AU682" s="75">
        <v>0</v>
      </c>
      <c r="AV682" s="75">
        <v>0</v>
      </c>
      <c r="AW682" s="123">
        <v>0</v>
      </c>
      <c r="AX682" s="516" t="s">
        <v>2519</v>
      </c>
      <c r="AY682" s="75">
        <v>1</v>
      </c>
      <c r="AZ682" s="77" t="s">
        <v>131</v>
      </c>
      <c r="BA682" s="78" t="s">
        <v>132</v>
      </c>
      <c r="BB682" s="78" t="s">
        <v>132</v>
      </c>
      <c r="BC682" s="78" t="s">
        <v>131</v>
      </c>
      <c r="BD682" s="78" t="s">
        <v>131</v>
      </c>
      <c r="BE682" s="78" t="s">
        <v>131</v>
      </c>
      <c r="BF682" s="78" t="s">
        <v>131</v>
      </c>
      <c r="BG682" s="78" t="s">
        <v>131</v>
      </c>
      <c r="BH682" s="75" t="s">
        <v>5970</v>
      </c>
      <c r="BI682" s="295" t="s">
        <v>2227</v>
      </c>
      <c r="BJ682" s="546">
        <v>1</v>
      </c>
      <c r="BK682" s="294" t="s">
        <v>16</v>
      </c>
      <c r="BL682" s="157" t="s">
        <v>16</v>
      </c>
      <c r="BM682" s="548" t="s">
        <v>578</v>
      </c>
      <c r="BN682" s="548" t="s">
        <v>4159</v>
      </c>
      <c r="BO682" s="157" t="s">
        <v>4341</v>
      </c>
      <c r="BP682" s="548" t="s">
        <v>4343</v>
      </c>
      <c r="BQ682" s="157" t="s">
        <v>4309</v>
      </c>
      <c r="BR682" s="157"/>
    </row>
    <row r="683" spans="1:70" x14ac:dyDescent="0.25">
      <c r="A683" s="19" t="s">
        <v>3686</v>
      </c>
      <c r="B683" s="37" t="s">
        <v>2520</v>
      </c>
      <c r="C683" s="90">
        <v>45139.713969907411</v>
      </c>
      <c r="D683" s="114">
        <v>45139.463969907411</v>
      </c>
      <c r="E683" s="38">
        <v>45139</v>
      </c>
      <c r="F683" s="91">
        <v>2023</v>
      </c>
      <c r="G683" s="93">
        <v>8</v>
      </c>
      <c r="H683" s="37" t="s">
        <v>2400</v>
      </c>
      <c r="I683" s="37"/>
      <c r="J683" s="103">
        <v>-90.976668399999994</v>
      </c>
      <c r="K683" s="40">
        <v>43.3798678</v>
      </c>
      <c r="L683" s="74"/>
      <c r="M683" s="272" t="s">
        <v>2521</v>
      </c>
      <c r="N683" s="74">
        <v>1</v>
      </c>
      <c r="O683" s="94"/>
      <c r="P683" s="118">
        <v>1</v>
      </c>
      <c r="Q683" s="510">
        <v>80</v>
      </c>
      <c r="R683" s="513">
        <v>60</v>
      </c>
      <c r="S683" s="41"/>
      <c r="T683" s="40"/>
      <c r="U683" s="40">
        <v>7</v>
      </c>
      <c r="V683" s="119">
        <v>1</v>
      </c>
      <c r="W683" s="40">
        <v>0</v>
      </c>
      <c r="X683" s="119">
        <v>1</v>
      </c>
      <c r="Y683" s="40">
        <v>55</v>
      </c>
      <c r="Z683" s="119">
        <v>1</v>
      </c>
      <c r="AA683" s="368">
        <v>0</v>
      </c>
      <c r="AB683" s="535">
        <v>0</v>
      </c>
      <c r="AC683" s="39" t="s">
        <v>160</v>
      </c>
      <c r="AD683" s="75" t="s">
        <v>10</v>
      </c>
      <c r="AE683" s="95">
        <v>0</v>
      </c>
      <c r="AF683" s="75">
        <v>0</v>
      </c>
      <c r="AG683" s="75">
        <v>0</v>
      </c>
      <c r="AH683" s="75">
        <v>0</v>
      </c>
      <c r="AI683" s="75">
        <v>0</v>
      </c>
      <c r="AJ683" s="75">
        <v>0</v>
      </c>
      <c r="AK683" s="75">
        <v>0</v>
      </c>
      <c r="AL683" s="95">
        <v>1</v>
      </c>
      <c r="AM683" s="92">
        <v>0</v>
      </c>
      <c r="AN683" s="79" t="s">
        <v>80</v>
      </c>
      <c r="AO683" s="75">
        <v>1</v>
      </c>
      <c r="AP683" s="75" t="s">
        <v>83</v>
      </c>
      <c r="AQ683" s="122">
        <v>1</v>
      </c>
      <c r="AR683" s="515" t="s">
        <v>10</v>
      </c>
      <c r="AS683" s="95">
        <v>0</v>
      </c>
      <c r="AT683" s="75">
        <v>0</v>
      </c>
      <c r="AU683" s="75">
        <v>0</v>
      </c>
      <c r="AV683" s="75">
        <v>0</v>
      </c>
      <c r="AW683" s="123">
        <v>0</v>
      </c>
      <c r="AX683" s="516"/>
      <c r="AY683" s="75">
        <v>0</v>
      </c>
      <c r="AZ683" s="77" t="s">
        <v>131</v>
      </c>
      <c r="BA683" s="78" t="s">
        <v>131</v>
      </c>
      <c r="BB683" s="78" t="s">
        <v>131</v>
      </c>
      <c r="BC683" s="78" t="s">
        <v>131</v>
      </c>
      <c r="BD683" s="78" t="s">
        <v>131</v>
      </c>
      <c r="BE683" s="78" t="s">
        <v>131</v>
      </c>
      <c r="BF683" s="78" t="s">
        <v>131</v>
      </c>
      <c r="BG683" s="78" t="s">
        <v>132</v>
      </c>
      <c r="BH683" s="75" t="s">
        <v>5970</v>
      </c>
      <c r="BI683" s="295" t="s">
        <v>4021</v>
      </c>
      <c r="BJ683" s="546">
        <v>1</v>
      </c>
      <c r="BK683" s="294" t="s">
        <v>16</v>
      </c>
      <c r="BL683" s="157" t="s">
        <v>16</v>
      </c>
      <c r="BM683" s="548" t="s">
        <v>1342</v>
      </c>
      <c r="BN683" s="548" t="s">
        <v>4158</v>
      </c>
      <c r="BO683" s="157" t="s">
        <v>4437</v>
      </c>
      <c r="BP683" s="548" t="s">
        <v>2239</v>
      </c>
      <c r="BQ683" s="157" t="s">
        <v>4336</v>
      </c>
      <c r="BR683" s="157"/>
    </row>
    <row r="684" spans="1:70" x14ac:dyDescent="0.25">
      <c r="A684" s="19" t="s">
        <v>3686</v>
      </c>
      <c r="B684" s="37" t="s">
        <v>2522</v>
      </c>
      <c r="C684" s="90">
        <v>45139.670613425929</v>
      </c>
      <c r="D684" s="114">
        <v>45139.420613425929</v>
      </c>
      <c r="E684" s="38">
        <v>45139</v>
      </c>
      <c r="F684" s="91">
        <v>2023</v>
      </c>
      <c r="G684" s="93">
        <v>8</v>
      </c>
      <c r="H684" s="37" t="s">
        <v>2423</v>
      </c>
      <c r="I684" s="37"/>
      <c r="J684" s="103">
        <v>-92.631941999999995</v>
      </c>
      <c r="K684" s="40">
        <v>44.855554400000003</v>
      </c>
      <c r="L684" s="74"/>
      <c r="M684" s="272" t="s">
        <v>2523</v>
      </c>
      <c r="N684" s="74">
        <v>1</v>
      </c>
      <c r="O684" s="94"/>
      <c r="P684" s="118">
        <v>1</v>
      </c>
      <c r="Q684" s="510">
        <v>40</v>
      </c>
      <c r="R684" s="513">
        <v>120</v>
      </c>
      <c r="S684" s="41"/>
      <c r="T684" s="40"/>
      <c r="U684" s="40">
        <v>7</v>
      </c>
      <c r="V684" s="119">
        <v>1</v>
      </c>
      <c r="W684" s="40">
        <v>0</v>
      </c>
      <c r="X684" s="119">
        <v>1</v>
      </c>
      <c r="Y684" s="40">
        <v>63</v>
      </c>
      <c r="Z684" s="119">
        <v>1</v>
      </c>
      <c r="AA684" s="368">
        <v>0</v>
      </c>
      <c r="AB684" s="535">
        <v>2</v>
      </c>
      <c r="AC684" s="39" t="s">
        <v>160</v>
      </c>
      <c r="AD684" s="75" t="s">
        <v>365</v>
      </c>
      <c r="AE684" s="95">
        <v>0</v>
      </c>
      <c r="AF684" s="75">
        <v>1</v>
      </c>
      <c r="AG684" s="75">
        <v>1</v>
      </c>
      <c r="AH684" s="75">
        <v>0</v>
      </c>
      <c r="AI684" s="75">
        <v>0</v>
      </c>
      <c r="AJ684" s="75">
        <v>0</v>
      </c>
      <c r="AK684" s="75">
        <v>0</v>
      </c>
      <c r="AL684" s="95">
        <v>0</v>
      </c>
      <c r="AM684" s="92">
        <v>0</v>
      </c>
      <c r="AN684" s="79" t="s">
        <v>80</v>
      </c>
      <c r="AO684" s="75">
        <v>1</v>
      </c>
      <c r="AP684" s="75" t="s">
        <v>83</v>
      </c>
      <c r="AQ684" s="122">
        <v>1</v>
      </c>
      <c r="AR684" s="515" t="s">
        <v>10</v>
      </c>
      <c r="AS684" s="95">
        <v>0</v>
      </c>
      <c r="AT684" s="75">
        <v>0</v>
      </c>
      <c r="AU684" s="75">
        <v>0</v>
      </c>
      <c r="AV684" s="75">
        <v>0</v>
      </c>
      <c r="AW684" s="123">
        <v>0</v>
      </c>
      <c r="AX684" s="516" t="s">
        <v>2524</v>
      </c>
      <c r="AY684" s="75">
        <v>1</v>
      </c>
      <c r="AZ684" s="77" t="s">
        <v>131</v>
      </c>
      <c r="BA684" s="78" t="s">
        <v>132</v>
      </c>
      <c r="BB684" s="78" t="s">
        <v>132</v>
      </c>
      <c r="BC684" s="78" t="s">
        <v>131</v>
      </c>
      <c r="BD684" s="78" t="s">
        <v>131</v>
      </c>
      <c r="BE684" s="78" t="s">
        <v>131</v>
      </c>
      <c r="BF684" s="78" t="s">
        <v>131</v>
      </c>
      <c r="BG684" s="78" t="s">
        <v>131</v>
      </c>
      <c r="BH684" s="75" t="s">
        <v>5970</v>
      </c>
      <c r="BI684" s="295" t="s">
        <v>2227</v>
      </c>
      <c r="BJ684" s="546">
        <v>1</v>
      </c>
      <c r="BK684" s="294">
        <v>1</v>
      </c>
      <c r="BL684" s="157">
        <v>1</v>
      </c>
      <c r="BM684" s="548" t="s">
        <v>578</v>
      </c>
      <c r="BN684" s="548" t="s">
        <v>4159</v>
      </c>
      <c r="BO684" s="157" t="s">
        <v>4311</v>
      </c>
      <c r="BP684" s="548" t="s">
        <v>4395</v>
      </c>
      <c r="BQ684" s="157" t="s">
        <v>4309</v>
      </c>
      <c r="BR684" s="157"/>
    </row>
    <row r="685" spans="1:70" x14ac:dyDescent="0.25">
      <c r="A685" s="19" t="s">
        <v>3686</v>
      </c>
      <c r="B685" s="37" t="s">
        <v>2525</v>
      </c>
      <c r="C685" s="90">
        <v>45139.644131944442</v>
      </c>
      <c r="D685" s="114">
        <v>45139.394131944442</v>
      </c>
      <c r="E685" s="38">
        <v>45139</v>
      </c>
      <c r="F685" s="91">
        <v>2023</v>
      </c>
      <c r="G685" s="93">
        <v>8</v>
      </c>
      <c r="H685" s="37" t="s">
        <v>2423</v>
      </c>
      <c r="I685" s="37" t="s">
        <v>16</v>
      </c>
      <c r="J685" s="103">
        <v>-92.638243500000002</v>
      </c>
      <c r="K685" s="40">
        <v>44.851708100000003</v>
      </c>
      <c r="L685" s="74"/>
      <c r="M685" s="272" t="s">
        <v>16</v>
      </c>
      <c r="N685" s="74">
        <v>0</v>
      </c>
      <c r="O685" s="94"/>
      <c r="P685" s="118">
        <v>1</v>
      </c>
      <c r="Q685" s="510">
        <v>80</v>
      </c>
      <c r="R685" s="513">
        <v>120</v>
      </c>
      <c r="S685" s="41"/>
      <c r="T685" s="40"/>
      <c r="U685" s="40">
        <v>7.5</v>
      </c>
      <c r="V685" s="119">
        <v>1</v>
      </c>
      <c r="W685" s="40">
        <v>0</v>
      </c>
      <c r="X685" s="119">
        <v>1</v>
      </c>
      <c r="Y685" s="40">
        <v>61</v>
      </c>
      <c r="Z685" s="119">
        <v>1</v>
      </c>
      <c r="AA685" s="368">
        <v>0</v>
      </c>
      <c r="AB685" s="535">
        <v>5</v>
      </c>
      <c r="AC685" s="39" t="s">
        <v>160</v>
      </c>
      <c r="AD685" s="75" t="s">
        <v>365</v>
      </c>
      <c r="AE685" s="95">
        <v>0</v>
      </c>
      <c r="AF685" s="75">
        <v>1</v>
      </c>
      <c r="AG685" s="75">
        <v>1</v>
      </c>
      <c r="AH685" s="75">
        <v>0</v>
      </c>
      <c r="AI685" s="75">
        <v>0</v>
      </c>
      <c r="AJ685" s="75">
        <v>0</v>
      </c>
      <c r="AK685" s="75">
        <v>0</v>
      </c>
      <c r="AL685" s="95">
        <v>0</v>
      </c>
      <c r="AM685" s="92">
        <v>0</v>
      </c>
      <c r="AN685" s="79" t="s">
        <v>80</v>
      </c>
      <c r="AO685" s="75">
        <v>1</v>
      </c>
      <c r="AP685" s="75" t="s">
        <v>83</v>
      </c>
      <c r="AQ685" s="122">
        <v>1</v>
      </c>
      <c r="AR685" s="515" t="s">
        <v>10</v>
      </c>
      <c r="AS685" s="95">
        <v>0</v>
      </c>
      <c r="AT685" s="75">
        <v>0</v>
      </c>
      <c r="AU685" s="75">
        <v>0</v>
      </c>
      <c r="AV685" s="75">
        <v>0</v>
      </c>
      <c r="AW685" s="123">
        <v>0</v>
      </c>
      <c r="AX685" s="516" t="s">
        <v>2526</v>
      </c>
      <c r="AY685" s="75">
        <v>1</v>
      </c>
      <c r="AZ685" s="77" t="s">
        <v>131</v>
      </c>
      <c r="BA685" s="78" t="s">
        <v>132</v>
      </c>
      <c r="BB685" s="78" t="s">
        <v>132</v>
      </c>
      <c r="BC685" s="78" t="s">
        <v>131</v>
      </c>
      <c r="BD685" s="78" t="s">
        <v>131</v>
      </c>
      <c r="BE685" s="78" t="s">
        <v>131</v>
      </c>
      <c r="BF685" s="78" t="s">
        <v>131</v>
      </c>
      <c r="BG685" s="78" t="s">
        <v>131</v>
      </c>
      <c r="BH685" s="75" t="s">
        <v>5970</v>
      </c>
      <c r="BI685" s="295" t="s">
        <v>2227</v>
      </c>
      <c r="BJ685" s="546">
        <v>1</v>
      </c>
      <c r="BK685" s="294">
        <v>1</v>
      </c>
      <c r="BL685" s="157">
        <v>1</v>
      </c>
      <c r="BM685" s="548" t="s">
        <v>578</v>
      </c>
      <c r="BN685" s="548" t="s">
        <v>4159</v>
      </c>
      <c r="BO685" s="157" t="s">
        <v>4341</v>
      </c>
      <c r="BP685" s="548" t="s">
        <v>4343</v>
      </c>
      <c r="BQ685" s="157" t="s">
        <v>4309</v>
      </c>
      <c r="BR685" s="157"/>
    </row>
    <row r="686" spans="1:70" x14ac:dyDescent="0.25">
      <c r="A686" s="19" t="s">
        <v>3686</v>
      </c>
      <c r="B686" s="37" t="s">
        <v>2527</v>
      </c>
      <c r="C686" s="90">
        <v>45139.622685185182</v>
      </c>
      <c r="D686" s="114">
        <v>45139.372685185182</v>
      </c>
      <c r="E686" s="38">
        <v>45139</v>
      </c>
      <c r="F686" s="91">
        <v>2023</v>
      </c>
      <c r="G686" s="93">
        <v>8</v>
      </c>
      <c r="H686" s="37" t="s">
        <v>2423</v>
      </c>
      <c r="I686" s="37"/>
      <c r="J686" s="103">
        <v>-92.636491800000002</v>
      </c>
      <c r="K686" s="40">
        <v>44.854627299999997</v>
      </c>
      <c r="L686" s="74"/>
      <c r="M686" s="272" t="s">
        <v>2528</v>
      </c>
      <c r="N686" s="74">
        <v>1</v>
      </c>
      <c r="O686" s="94"/>
      <c r="P686" s="118">
        <v>1</v>
      </c>
      <c r="Q686" s="510">
        <v>80</v>
      </c>
      <c r="R686" s="513">
        <v>120</v>
      </c>
      <c r="S686" s="41"/>
      <c r="T686" s="40"/>
      <c r="U686" s="40">
        <v>7.5</v>
      </c>
      <c r="V686" s="119">
        <v>1</v>
      </c>
      <c r="W686" s="40">
        <v>0</v>
      </c>
      <c r="X686" s="119">
        <v>1</v>
      </c>
      <c r="Y686" s="40">
        <v>60</v>
      </c>
      <c r="Z686" s="119">
        <v>1</v>
      </c>
      <c r="AA686" s="368">
        <v>0</v>
      </c>
      <c r="AB686" s="535">
        <v>5</v>
      </c>
      <c r="AC686" s="39" t="s">
        <v>160</v>
      </c>
      <c r="AD686" s="75" t="s">
        <v>803</v>
      </c>
      <c r="AE686" s="95">
        <v>0</v>
      </c>
      <c r="AF686" s="75">
        <v>1</v>
      </c>
      <c r="AG686" s="75">
        <v>1</v>
      </c>
      <c r="AH686" s="75">
        <v>1</v>
      </c>
      <c r="AI686" s="75">
        <v>0</v>
      </c>
      <c r="AJ686" s="75">
        <v>0</v>
      </c>
      <c r="AK686" s="75">
        <v>0</v>
      </c>
      <c r="AL686" s="95">
        <v>0</v>
      </c>
      <c r="AM686" s="92">
        <v>0</v>
      </c>
      <c r="AN686" s="79" t="s">
        <v>80</v>
      </c>
      <c r="AO686" s="75">
        <v>1</v>
      </c>
      <c r="AP686" s="75" t="s">
        <v>83</v>
      </c>
      <c r="AQ686" s="122">
        <v>1</v>
      </c>
      <c r="AR686" s="515" t="s">
        <v>10</v>
      </c>
      <c r="AS686" s="95">
        <v>0</v>
      </c>
      <c r="AT686" s="75">
        <v>0</v>
      </c>
      <c r="AU686" s="75">
        <v>0</v>
      </c>
      <c r="AV686" s="75">
        <v>0</v>
      </c>
      <c r="AW686" s="123">
        <v>0</v>
      </c>
      <c r="AX686" s="516" t="s">
        <v>2529</v>
      </c>
      <c r="AY686" s="75">
        <v>1</v>
      </c>
      <c r="AZ686" s="77" t="s">
        <v>131</v>
      </c>
      <c r="BA686" s="78" t="s">
        <v>132</v>
      </c>
      <c r="BB686" s="78" t="s">
        <v>132</v>
      </c>
      <c r="BC686" s="78" t="s">
        <v>132</v>
      </c>
      <c r="BD686" s="78" t="s">
        <v>131</v>
      </c>
      <c r="BE686" s="78" t="s">
        <v>131</v>
      </c>
      <c r="BF686" s="78" t="s">
        <v>131</v>
      </c>
      <c r="BG686" s="78" t="s">
        <v>131</v>
      </c>
      <c r="BH686" s="75" t="s">
        <v>5970</v>
      </c>
      <c r="BI686" s="295" t="s">
        <v>2227</v>
      </c>
      <c r="BJ686" s="546">
        <v>1</v>
      </c>
      <c r="BK686" s="294">
        <v>1</v>
      </c>
      <c r="BL686" s="157">
        <v>1</v>
      </c>
      <c r="BM686" s="548" t="s">
        <v>578</v>
      </c>
      <c r="BN686" s="548" t="s">
        <v>4159</v>
      </c>
      <c r="BO686" s="157" t="s">
        <v>4341</v>
      </c>
      <c r="BP686" s="548" t="s">
        <v>4343</v>
      </c>
      <c r="BQ686" s="157" t="s">
        <v>4309</v>
      </c>
      <c r="BR686" s="157"/>
    </row>
    <row r="687" spans="1:70" x14ac:dyDescent="0.25">
      <c r="A687" s="19" t="s">
        <v>3686</v>
      </c>
      <c r="B687" s="37" t="s">
        <v>2530</v>
      </c>
      <c r="C687" s="90">
        <v>45139.595243055555</v>
      </c>
      <c r="D687" s="114">
        <v>45139.345243055555</v>
      </c>
      <c r="E687" s="38">
        <v>45139</v>
      </c>
      <c r="F687" s="91">
        <v>2023</v>
      </c>
      <c r="G687" s="93">
        <v>8</v>
      </c>
      <c r="H687" s="37" t="s">
        <v>2423</v>
      </c>
      <c r="I687" s="37"/>
      <c r="J687" s="103">
        <v>-92.623916899999998</v>
      </c>
      <c r="K687" s="40">
        <v>44.864030900000003</v>
      </c>
      <c r="L687" s="74"/>
      <c r="M687" s="272" t="s">
        <v>2531</v>
      </c>
      <c r="N687" s="74">
        <v>1</v>
      </c>
      <c r="O687" s="94"/>
      <c r="P687" s="118">
        <v>1</v>
      </c>
      <c r="Q687" s="510">
        <v>80</v>
      </c>
      <c r="R687" s="513">
        <v>120</v>
      </c>
      <c r="S687" s="41"/>
      <c r="T687" s="40"/>
      <c r="U687" s="40">
        <v>7</v>
      </c>
      <c r="V687" s="119">
        <v>1</v>
      </c>
      <c r="W687" s="40">
        <v>0</v>
      </c>
      <c r="X687" s="119">
        <v>1</v>
      </c>
      <c r="Y687" s="40">
        <v>58</v>
      </c>
      <c r="Z687" s="119">
        <v>1</v>
      </c>
      <c r="AA687" s="368">
        <v>0</v>
      </c>
      <c r="AB687" s="535">
        <v>5</v>
      </c>
      <c r="AC687" s="39" t="s">
        <v>160</v>
      </c>
      <c r="AD687" s="75" t="s">
        <v>718</v>
      </c>
      <c r="AE687" s="95">
        <v>0</v>
      </c>
      <c r="AF687" s="75">
        <v>1</v>
      </c>
      <c r="AG687" s="75">
        <v>0</v>
      </c>
      <c r="AH687" s="75">
        <v>1</v>
      </c>
      <c r="AI687" s="75">
        <v>0</v>
      </c>
      <c r="AJ687" s="75">
        <v>0</v>
      </c>
      <c r="AK687" s="75">
        <v>0</v>
      </c>
      <c r="AL687" s="95">
        <v>0</v>
      </c>
      <c r="AM687" s="92">
        <v>0</v>
      </c>
      <c r="AN687" s="79" t="s">
        <v>80</v>
      </c>
      <c r="AO687" s="75">
        <v>1</v>
      </c>
      <c r="AP687" s="75" t="s">
        <v>83</v>
      </c>
      <c r="AQ687" s="122">
        <v>1</v>
      </c>
      <c r="AR687" s="515" t="s">
        <v>10</v>
      </c>
      <c r="AS687" s="95">
        <v>0</v>
      </c>
      <c r="AT687" s="75">
        <v>0</v>
      </c>
      <c r="AU687" s="75">
        <v>0</v>
      </c>
      <c r="AV687" s="75">
        <v>0</v>
      </c>
      <c r="AW687" s="123">
        <v>0</v>
      </c>
      <c r="AX687" s="516" t="s">
        <v>2532</v>
      </c>
      <c r="AY687" s="75">
        <v>1</v>
      </c>
      <c r="AZ687" s="77" t="s">
        <v>131</v>
      </c>
      <c r="BA687" s="78" t="s">
        <v>132</v>
      </c>
      <c r="BB687" s="78" t="s">
        <v>131</v>
      </c>
      <c r="BC687" s="78" t="s">
        <v>132</v>
      </c>
      <c r="BD687" s="78" t="s">
        <v>131</v>
      </c>
      <c r="BE687" s="78" t="s">
        <v>131</v>
      </c>
      <c r="BF687" s="78" t="s">
        <v>131</v>
      </c>
      <c r="BG687" s="78" t="s">
        <v>131</v>
      </c>
      <c r="BH687" s="75" t="s">
        <v>5970</v>
      </c>
      <c r="BI687" s="295" t="s">
        <v>2227</v>
      </c>
      <c r="BJ687" s="546">
        <v>1</v>
      </c>
      <c r="BK687" s="294" t="s">
        <v>16</v>
      </c>
      <c r="BL687" s="157" t="s">
        <v>16</v>
      </c>
      <c r="BM687" s="548" t="s">
        <v>578</v>
      </c>
      <c r="BN687" s="548" t="s">
        <v>4159</v>
      </c>
      <c r="BO687" s="157" t="s">
        <v>4311</v>
      </c>
      <c r="BP687" s="548" t="s">
        <v>4395</v>
      </c>
      <c r="BQ687" s="157" t="s">
        <v>4309</v>
      </c>
      <c r="BR687" s="157"/>
    </row>
    <row r="688" spans="1:70" x14ac:dyDescent="0.25">
      <c r="A688" s="19" t="s">
        <v>3686</v>
      </c>
      <c r="B688" s="37" t="s">
        <v>2533</v>
      </c>
      <c r="C688" s="90">
        <v>45139.576828703706</v>
      </c>
      <c r="D688" s="114">
        <v>45139.326828703706</v>
      </c>
      <c r="E688" s="38">
        <v>45139</v>
      </c>
      <c r="F688" s="91">
        <v>2023</v>
      </c>
      <c r="G688" s="93">
        <v>8</v>
      </c>
      <c r="H688" s="37" t="s">
        <v>2534</v>
      </c>
      <c r="I688" s="37"/>
      <c r="J688" s="103">
        <v>-92.621325049635615</v>
      </c>
      <c r="K688" s="40">
        <v>44.875131980558059</v>
      </c>
      <c r="L688" s="74"/>
      <c r="M688" s="272" t="s">
        <v>16</v>
      </c>
      <c r="N688" s="74">
        <v>0</v>
      </c>
      <c r="O688" s="94"/>
      <c r="P688" s="118">
        <v>1</v>
      </c>
      <c r="Q688" s="510">
        <v>120</v>
      </c>
      <c r="R688" s="513">
        <v>180</v>
      </c>
      <c r="S688" s="41"/>
      <c r="T688" s="40"/>
      <c r="U688" s="40">
        <v>7</v>
      </c>
      <c r="V688" s="119">
        <v>1</v>
      </c>
      <c r="W688" s="40">
        <v>100</v>
      </c>
      <c r="X688" s="119">
        <v>1</v>
      </c>
      <c r="Y688" s="40">
        <v>57</v>
      </c>
      <c r="Z688" s="119">
        <v>1</v>
      </c>
      <c r="AA688" s="368">
        <v>0</v>
      </c>
      <c r="AB688" s="535">
        <v>5</v>
      </c>
      <c r="AC688" s="39" t="s">
        <v>160</v>
      </c>
      <c r="AD688" s="75" t="s">
        <v>10</v>
      </c>
      <c r="AE688" s="95">
        <v>0</v>
      </c>
      <c r="AF688" s="75">
        <v>0</v>
      </c>
      <c r="AG688" s="75">
        <v>0</v>
      </c>
      <c r="AH688" s="75">
        <v>0</v>
      </c>
      <c r="AI688" s="75">
        <v>0</v>
      </c>
      <c r="AJ688" s="75">
        <v>0</v>
      </c>
      <c r="AK688" s="75">
        <v>0</v>
      </c>
      <c r="AL688" s="95">
        <v>1</v>
      </c>
      <c r="AM688" s="92">
        <v>0</v>
      </c>
      <c r="AN688" s="79" t="s">
        <v>80</v>
      </c>
      <c r="AO688" s="75">
        <v>1</v>
      </c>
      <c r="AP688" s="75" t="s">
        <v>83</v>
      </c>
      <c r="AQ688" s="122">
        <v>1</v>
      </c>
      <c r="AR688" s="515" t="s">
        <v>10</v>
      </c>
      <c r="AS688" s="95">
        <v>0</v>
      </c>
      <c r="AT688" s="75">
        <v>0</v>
      </c>
      <c r="AU688" s="75">
        <v>0</v>
      </c>
      <c r="AV688" s="75">
        <v>0</v>
      </c>
      <c r="AW688" s="123">
        <v>0</v>
      </c>
      <c r="AX688" s="516" t="s">
        <v>2535</v>
      </c>
      <c r="AY688" s="75">
        <v>1</v>
      </c>
      <c r="AZ688" s="77" t="s">
        <v>131</v>
      </c>
      <c r="BA688" s="78" t="s">
        <v>131</v>
      </c>
      <c r="BB688" s="78" t="s">
        <v>131</v>
      </c>
      <c r="BC688" s="78" t="s">
        <v>131</v>
      </c>
      <c r="BD688" s="78" t="s">
        <v>131</v>
      </c>
      <c r="BE688" s="78" t="s">
        <v>131</v>
      </c>
      <c r="BF688" s="78" t="s">
        <v>131</v>
      </c>
      <c r="BG688" s="78" t="s">
        <v>132</v>
      </c>
      <c r="BH688" s="75" t="s">
        <v>5970</v>
      </c>
      <c r="BI688" s="295" t="s">
        <v>16</v>
      </c>
      <c r="BJ688" s="546">
        <v>1</v>
      </c>
      <c r="BK688" s="294" t="s">
        <v>16</v>
      </c>
      <c r="BL688" s="157" t="s">
        <v>16</v>
      </c>
      <c r="BM688" s="548" t="s">
        <v>578</v>
      </c>
      <c r="BN688" s="548" t="s">
        <v>4159</v>
      </c>
      <c r="BO688" s="157" t="s">
        <v>4311</v>
      </c>
      <c r="BP688" s="548" t="s">
        <v>4395</v>
      </c>
      <c r="BQ688" s="157" t="s">
        <v>4309</v>
      </c>
      <c r="BR688" s="157"/>
    </row>
    <row r="689" spans="1:70" x14ac:dyDescent="0.25">
      <c r="A689" s="19" t="s">
        <v>3686</v>
      </c>
      <c r="B689" s="37" t="s">
        <v>5812</v>
      </c>
      <c r="C689" s="90">
        <v>45139.483460648145</v>
      </c>
      <c r="D689" s="114">
        <v>45139.233460648145</v>
      </c>
      <c r="E689" s="38">
        <v>45139</v>
      </c>
      <c r="F689" s="91">
        <v>2023</v>
      </c>
      <c r="G689" s="93">
        <v>8</v>
      </c>
      <c r="H689" s="37" t="s">
        <v>2548</v>
      </c>
      <c r="I689" s="37"/>
      <c r="J689" s="103">
        <v>-91.011697853935914</v>
      </c>
      <c r="K689" s="40">
        <v>43.419688489443693</v>
      </c>
      <c r="L689" s="74"/>
      <c r="M689" s="272" t="s">
        <v>16</v>
      </c>
      <c r="N689" s="74">
        <v>0</v>
      </c>
      <c r="O689" s="94"/>
      <c r="P689" s="118">
        <v>1</v>
      </c>
      <c r="Q689" s="510">
        <v>180</v>
      </c>
      <c r="R689" s="513">
        <v>180</v>
      </c>
      <c r="S689" s="41"/>
      <c r="T689" s="40"/>
      <c r="U689" s="40">
        <v>7</v>
      </c>
      <c r="V689" s="119">
        <v>1</v>
      </c>
      <c r="W689" s="40">
        <v>0</v>
      </c>
      <c r="X689" s="119">
        <v>1</v>
      </c>
      <c r="Y689" s="40">
        <v>55</v>
      </c>
      <c r="Z689" s="119">
        <v>1</v>
      </c>
      <c r="AA689" s="368">
        <v>0</v>
      </c>
      <c r="AB689" s="535">
        <v>5</v>
      </c>
      <c r="AC689" s="39" t="s">
        <v>160</v>
      </c>
      <c r="AD689" s="75" t="s">
        <v>10</v>
      </c>
      <c r="AE689" s="95">
        <v>0</v>
      </c>
      <c r="AF689" s="75">
        <v>0</v>
      </c>
      <c r="AG689" s="75">
        <v>0</v>
      </c>
      <c r="AH689" s="75">
        <v>0</v>
      </c>
      <c r="AI689" s="75">
        <v>0</v>
      </c>
      <c r="AJ689" s="75">
        <v>0</v>
      </c>
      <c r="AK689" s="75">
        <v>0</v>
      </c>
      <c r="AL689" s="95">
        <v>1</v>
      </c>
      <c r="AM689" s="92">
        <v>0</v>
      </c>
      <c r="AN689" s="79" t="s">
        <v>80</v>
      </c>
      <c r="AO689" s="75">
        <v>1</v>
      </c>
      <c r="AP689" s="75" t="s">
        <v>83</v>
      </c>
      <c r="AQ689" s="122">
        <v>1</v>
      </c>
      <c r="AR689" s="515" t="s">
        <v>10</v>
      </c>
      <c r="AS689" s="95">
        <v>0</v>
      </c>
      <c r="AT689" s="75">
        <v>0</v>
      </c>
      <c r="AU689" s="75">
        <v>0</v>
      </c>
      <c r="AV689" s="75">
        <v>0</v>
      </c>
      <c r="AW689" s="123">
        <v>0</v>
      </c>
      <c r="AX689" s="516"/>
      <c r="AY689" s="75">
        <v>0</v>
      </c>
      <c r="AZ689" s="77" t="s">
        <v>131</v>
      </c>
      <c r="BA689" s="78" t="s">
        <v>131</v>
      </c>
      <c r="BB689" s="78" t="s">
        <v>131</v>
      </c>
      <c r="BC689" s="78" t="s">
        <v>131</v>
      </c>
      <c r="BD689" s="78" t="s">
        <v>131</v>
      </c>
      <c r="BE689" s="78" t="s">
        <v>131</v>
      </c>
      <c r="BF689" s="78" t="s">
        <v>131</v>
      </c>
      <c r="BG689" s="78" t="s">
        <v>132</v>
      </c>
      <c r="BH689" s="75" t="s">
        <v>5970</v>
      </c>
      <c r="BI689" s="295">
        <v>0</v>
      </c>
      <c r="BJ689" s="546">
        <v>1</v>
      </c>
      <c r="BK689" s="294" t="s">
        <v>16</v>
      </c>
      <c r="BL689" s="157" t="s">
        <v>16</v>
      </c>
      <c r="BM689" s="548" t="s">
        <v>1342</v>
      </c>
      <c r="BN689" s="548" t="s">
        <v>4158</v>
      </c>
      <c r="BO689" s="157" t="s">
        <v>5836</v>
      </c>
      <c r="BP689" s="548" t="s">
        <v>2250</v>
      </c>
      <c r="BQ689" s="157" t="s">
        <v>4336</v>
      </c>
      <c r="BR689" s="157"/>
    </row>
    <row r="690" spans="1:70" x14ac:dyDescent="0.25">
      <c r="A690" s="19" t="s">
        <v>3686</v>
      </c>
      <c r="B690" s="37" t="s">
        <v>2536</v>
      </c>
      <c r="C690" s="90">
        <v>45139.035902777781</v>
      </c>
      <c r="D690" s="114">
        <v>45138.785902777781</v>
      </c>
      <c r="E690" s="38">
        <v>45138</v>
      </c>
      <c r="F690" s="91">
        <v>2023</v>
      </c>
      <c r="G690" s="93">
        <v>7</v>
      </c>
      <c r="H690" s="37" t="s">
        <v>1616</v>
      </c>
      <c r="I690" s="37"/>
      <c r="J690" s="103">
        <v>-92.236532600000004</v>
      </c>
      <c r="K690" s="40">
        <v>44.840274000000001</v>
      </c>
      <c r="L690" s="74"/>
      <c r="M690" s="272" t="s">
        <v>2537</v>
      </c>
      <c r="N690" s="74">
        <v>1</v>
      </c>
      <c r="O690" s="94"/>
      <c r="P690" s="118">
        <v>1</v>
      </c>
      <c r="Q690" s="510">
        <v>40</v>
      </c>
      <c r="R690" s="513">
        <v>60</v>
      </c>
      <c r="S690" s="41"/>
      <c r="T690" s="40"/>
      <c r="U690" s="40">
        <v>7</v>
      </c>
      <c r="V690" s="119">
        <v>1</v>
      </c>
      <c r="W690" s="40">
        <v>0</v>
      </c>
      <c r="X690" s="119">
        <v>1</v>
      </c>
      <c r="Y690" s="40">
        <v>70</v>
      </c>
      <c r="Z690" s="119">
        <v>1</v>
      </c>
      <c r="AA690" s="368">
        <v>0</v>
      </c>
      <c r="AB690" s="535">
        <v>0</v>
      </c>
      <c r="AC690" s="39" t="s">
        <v>160</v>
      </c>
      <c r="AD690" s="75" t="s">
        <v>16</v>
      </c>
      <c r="AE690" s="95">
        <v>-1</v>
      </c>
      <c r="AF690" s="75">
        <v>-1</v>
      </c>
      <c r="AG690" s="75">
        <v>-1</v>
      </c>
      <c r="AH690" s="75">
        <v>-1</v>
      </c>
      <c r="AI690" s="75">
        <v>-1</v>
      </c>
      <c r="AJ690" s="75">
        <v>-1</v>
      </c>
      <c r="AK690" s="75">
        <v>-1</v>
      </c>
      <c r="AL690" s="95">
        <v>-1</v>
      </c>
      <c r="AM690" s="92">
        <v>1</v>
      </c>
      <c r="AN690" s="79"/>
      <c r="AO690" s="75">
        <v>0</v>
      </c>
      <c r="AP690" s="75"/>
      <c r="AQ690" s="122">
        <v>0</v>
      </c>
      <c r="AR690" s="515" t="s">
        <v>16</v>
      </c>
      <c r="AS690" s="95">
        <v>-1</v>
      </c>
      <c r="AT690" s="75">
        <v>-1</v>
      </c>
      <c r="AU690" s="75">
        <v>-1</v>
      </c>
      <c r="AV690" s="75">
        <v>-1</v>
      </c>
      <c r="AW690" s="123">
        <v>1</v>
      </c>
      <c r="AX690" s="516" t="s">
        <v>2538</v>
      </c>
      <c r="AY690" s="75">
        <v>1</v>
      </c>
      <c r="AZ690" s="77" t="s">
        <v>5971</v>
      </c>
      <c r="BA690" s="78" t="s">
        <v>5971</v>
      </c>
      <c r="BB690" s="78" t="s">
        <v>5971</v>
      </c>
      <c r="BC690" s="78" t="s">
        <v>5971</v>
      </c>
      <c r="BD690" s="78" t="s">
        <v>5971</v>
      </c>
      <c r="BE690" s="78" t="s">
        <v>5971</v>
      </c>
      <c r="BF690" s="78" t="s">
        <v>5971</v>
      </c>
      <c r="BG690" s="78" t="s">
        <v>5971</v>
      </c>
      <c r="BH690" s="75" t="s">
        <v>5971</v>
      </c>
      <c r="BI690" s="295" t="s">
        <v>2247</v>
      </c>
      <c r="BJ690" s="546">
        <v>1</v>
      </c>
      <c r="BK690" s="294">
        <v>1</v>
      </c>
      <c r="BL690" s="157">
        <v>1</v>
      </c>
      <c r="BM690" s="548" t="s">
        <v>578</v>
      </c>
      <c r="BN690" s="548" t="s">
        <v>578</v>
      </c>
      <c r="BO690" s="157" t="s">
        <v>4318</v>
      </c>
      <c r="BP690" s="548" t="s">
        <v>4439</v>
      </c>
      <c r="BQ690" s="157" t="s">
        <v>4316</v>
      </c>
      <c r="BR690" s="157"/>
    </row>
    <row r="691" spans="1:70" x14ac:dyDescent="0.25">
      <c r="A691" s="19" t="s">
        <v>3686</v>
      </c>
      <c r="B691" s="37" t="s">
        <v>5813</v>
      </c>
      <c r="C691" s="90">
        <v>45138.944525462961</v>
      </c>
      <c r="D691" s="114">
        <v>45138.694525462961</v>
      </c>
      <c r="E691" s="38">
        <v>45138</v>
      </c>
      <c r="F691" s="91">
        <v>2023</v>
      </c>
      <c r="G691" s="93">
        <v>7</v>
      </c>
      <c r="H691" s="37" t="s">
        <v>2548</v>
      </c>
      <c r="I691" s="37"/>
      <c r="J691" s="103">
        <v>-91.127538270749625</v>
      </c>
      <c r="K691" s="40">
        <v>43.42210753396202</v>
      </c>
      <c r="L691" s="74"/>
      <c r="M691" s="272" t="s">
        <v>16</v>
      </c>
      <c r="N691" s="74">
        <v>0</v>
      </c>
      <c r="O691" s="94"/>
      <c r="P691" s="118">
        <v>1</v>
      </c>
      <c r="Q691" s="510">
        <v>180</v>
      </c>
      <c r="R691" s="513">
        <v>180</v>
      </c>
      <c r="S691" s="41"/>
      <c r="T691" s="40"/>
      <c r="U691" s="40">
        <v>8</v>
      </c>
      <c r="V691" s="119">
        <v>1</v>
      </c>
      <c r="W691" s="40">
        <v>0</v>
      </c>
      <c r="X691" s="119">
        <v>1</v>
      </c>
      <c r="Y691" s="40">
        <v>62</v>
      </c>
      <c r="Z691" s="119">
        <v>1</v>
      </c>
      <c r="AA691" s="368">
        <v>0</v>
      </c>
      <c r="AB691" s="535">
        <v>1</v>
      </c>
      <c r="AC691" s="39" t="s">
        <v>160</v>
      </c>
      <c r="AD691" s="75" t="s">
        <v>10</v>
      </c>
      <c r="AE691" s="95">
        <v>0</v>
      </c>
      <c r="AF691" s="75">
        <v>0</v>
      </c>
      <c r="AG691" s="75">
        <v>0</v>
      </c>
      <c r="AH691" s="75">
        <v>0</v>
      </c>
      <c r="AI691" s="75">
        <v>0</v>
      </c>
      <c r="AJ691" s="75">
        <v>0</v>
      </c>
      <c r="AK691" s="75">
        <v>0</v>
      </c>
      <c r="AL691" s="95">
        <v>1</v>
      </c>
      <c r="AM691" s="92">
        <v>0</v>
      </c>
      <c r="AN691" s="79" t="s">
        <v>80</v>
      </c>
      <c r="AO691" s="75">
        <v>1</v>
      </c>
      <c r="AP691" s="75" t="s">
        <v>83</v>
      </c>
      <c r="AQ691" s="122">
        <v>1</v>
      </c>
      <c r="AR691" s="515" t="s">
        <v>10</v>
      </c>
      <c r="AS691" s="95">
        <v>0</v>
      </c>
      <c r="AT691" s="75">
        <v>0</v>
      </c>
      <c r="AU691" s="75">
        <v>0</v>
      </c>
      <c r="AV691" s="75">
        <v>0</v>
      </c>
      <c r="AW691" s="123">
        <v>0</v>
      </c>
      <c r="AX691" s="516"/>
      <c r="AY691" s="75">
        <v>0</v>
      </c>
      <c r="AZ691" s="77" t="s">
        <v>131</v>
      </c>
      <c r="BA691" s="78" t="s">
        <v>131</v>
      </c>
      <c r="BB691" s="78" t="s">
        <v>131</v>
      </c>
      <c r="BC691" s="78" t="s">
        <v>131</v>
      </c>
      <c r="BD691" s="78" t="s">
        <v>131</v>
      </c>
      <c r="BE691" s="78" t="s">
        <v>131</v>
      </c>
      <c r="BF691" s="78" t="s">
        <v>131</v>
      </c>
      <c r="BG691" s="78" t="s">
        <v>132</v>
      </c>
      <c r="BH691" s="75" t="s">
        <v>5970</v>
      </c>
      <c r="BI691" s="295">
        <v>0</v>
      </c>
      <c r="BJ691" s="546">
        <v>1</v>
      </c>
      <c r="BK691" s="294" t="s">
        <v>16</v>
      </c>
      <c r="BL691" s="157" t="s">
        <v>16</v>
      </c>
      <c r="BM691" s="548" t="s">
        <v>1342</v>
      </c>
      <c r="BN691" s="548" t="s">
        <v>4158</v>
      </c>
      <c r="BO691" s="157" t="s">
        <v>5836</v>
      </c>
      <c r="BP691" s="548" t="s">
        <v>2250</v>
      </c>
      <c r="BQ691" s="157" t="s">
        <v>4336</v>
      </c>
      <c r="BR691" s="157"/>
    </row>
    <row r="692" spans="1:70" x14ac:dyDescent="0.25">
      <c r="A692" s="19" t="s">
        <v>3686</v>
      </c>
      <c r="B692" s="37" t="s">
        <v>2539</v>
      </c>
      <c r="C692" s="90">
        <v>45138.92114583333</v>
      </c>
      <c r="D692" s="114">
        <v>45138.67114583333</v>
      </c>
      <c r="E692" s="38">
        <v>45138</v>
      </c>
      <c r="F692" s="91">
        <v>2023</v>
      </c>
      <c r="G692" s="93">
        <v>7</v>
      </c>
      <c r="H692" s="37" t="s">
        <v>2446</v>
      </c>
      <c r="I692" s="37"/>
      <c r="J692" s="103">
        <v>-90.553661750117584</v>
      </c>
      <c r="K692" s="40">
        <v>43.393784769520401</v>
      </c>
      <c r="L692" s="74"/>
      <c r="M692" s="272" t="s">
        <v>2540</v>
      </c>
      <c r="N692" s="74">
        <v>1</v>
      </c>
      <c r="O692" s="94"/>
      <c r="P692" s="118">
        <v>0</v>
      </c>
      <c r="Q692" s="510"/>
      <c r="R692" s="513"/>
      <c r="S692" s="41"/>
      <c r="T692" s="40"/>
      <c r="U692" s="40"/>
      <c r="V692" s="119">
        <v>1</v>
      </c>
      <c r="W692" s="40">
        <v>0</v>
      </c>
      <c r="X692" s="119">
        <v>1</v>
      </c>
      <c r="Y692" s="40">
        <v>69</v>
      </c>
      <c r="Z692" s="119">
        <v>1</v>
      </c>
      <c r="AA692" s="368">
        <v>0</v>
      </c>
      <c r="AB692" s="535">
        <v>2</v>
      </c>
      <c r="AC692" s="39" t="s">
        <v>160</v>
      </c>
      <c r="AD692" s="75" t="s">
        <v>10</v>
      </c>
      <c r="AE692" s="95">
        <v>0</v>
      </c>
      <c r="AF692" s="75">
        <v>0</v>
      </c>
      <c r="AG692" s="75">
        <v>0</v>
      </c>
      <c r="AH692" s="75">
        <v>0</v>
      </c>
      <c r="AI692" s="75">
        <v>0</v>
      </c>
      <c r="AJ692" s="75">
        <v>0</v>
      </c>
      <c r="AK692" s="75">
        <v>0</v>
      </c>
      <c r="AL692" s="95">
        <v>1</v>
      </c>
      <c r="AM692" s="92">
        <v>0</v>
      </c>
      <c r="AN692" s="79" t="s">
        <v>80</v>
      </c>
      <c r="AO692" s="75">
        <v>1</v>
      </c>
      <c r="AP692" s="75" t="s">
        <v>83</v>
      </c>
      <c r="AQ692" s="122">
        <v>1</v>
      </c>
      <c r="AR692" s="515" t="s">
        <v>10</v>
      </c>
      <c r="AS692" s="95">
        <v>0</v>
      </c>
      <c r="AT692" s="75">
        <v>0</v>
      </c>
      <c r="AU692" s="75">
        <v>0</v>
      </c>
      <c r="AV692" s="75">
        <v>0</v>
      </c>
      <c r="AW692" s="123">
        <v>0</v>
      </c>
      <c r="AX692" s="516" t="s">
        <v>2541</v>
      </c>
      <c r="AY692" s="75">
        <v>1</v>
      </c>
      <c r="AZ692" s="77" t="s">
        <v>131</v>
      </c>
      <c r="BA692" s="78" t="s">
        <v>131</v>
      </c>
      <c r="BB692" s="78" t="s">
        <v>131</v>
      </c>
      <c r="BC692" s="78" t="s">
        <v>131</v>
      </c>
      <c r="BD692" s="78" t="s">
        <v>131</v>
      </c>
      <c r="BE692" s="78" t="s">
        <v>131</v>
      </c>
      <c r="BF692" s="78" t="s">
        <v>131</v>
      </c>
      <c r="BG692" s="78" t="s">
        <v>132</v>
      </c>
      <c r="BH692" s="75" t="s">
        <v>5970</v>
      </c>
      <c r="BI692" s="295" t="s">
        <v>2243</v>
      </c>
      <c r="BJ692" s="546">
        <v>1</v>
      </c>
      <c r="BK692" s="294">
        <v>1</v>
      </c>
      <c r="BL692" s="157">
        <v>1</v>
      </c>
      <c r="BM692" s="548" t="s">
        <v>1342</v>
      </c>
      <c r="BN692" s="548" t="s">
        <v>4158</v>
      </c>
      <c r="BO692" s="157" t="s">
        <v>4298</v>
      </c>
      <c r="BP692" s="548" t="s">
        <v>4302</v>
      </c>
      <c r="BQ692" s="157" t="s">
        <v>4297</v>
      </c>
      <c r="BR692" s="157"/>
    </row>
    <row r="693" spans="1:70" x14ac:dyDescent="0.25">
      <c r="A693" s="19" t="s">
        <v>3686</v>
      </c>
      <c r="B693" s="37" t="s">
        <v>5814</v>
      </c>
      <c r="C693" s="90">
        <v>45138.810787037037</v>
      </c>
      <c r="D693" s="114">
        <v>45138.560787037037</v>
      </c>
      <c r="E693" s="38">
        <v>45138</v>
      </c>
      <c r="F693" s="91">
        <v>2023</v>
      </c>
      <c r="G693" s="93">
        <v>7</v>
      </c>
      <c r="H693" s="37" t="s">
        <v>2548</v>
      </c>
      <c r="I693" s="37"/>
      <c r="J693" s="103">
        <v>-90.629639021869664</v>
      </c>
      <c r="K693" s="40">
        <v>43.263029921233972</v>
      </c>
      <c r="L693" s="74"/>
      <c r="M693" s="272" t="s">
        <v>16</v>
      </c>
      <c r="N693" s="74">
        <v>0</v>
      </c>
      <c r="O693" s="94"/>
      <c r="P693" s="118">
        <v>1</v>
      </c>
      <c r="Q693" s="510">
        <v>180</v>
      </c>
      <c r="R693" s="513">
        <v>180</v>
      </c>
      <c r="S693" s="41"/>
      <c r="T693" s="40"/>
      <c r="U693" s="40">
        <v>9</v>
      </c>
      <c r="V693" s="119">
        <v>1</v>
      </c>
      <c r="W693" s="40">
        <v>0</v>
      </c>
      <c r="X693" s="119">
        <v>1</v>
      </c>
      <c r="Y693" s="40">
        <v>72</v>
      </c>
      <c r="Z693" s="119">
        <v>1</v>
      </c>
      <c r="AA693" s="368">
        <v>0</v>
      </c>
      <c r="AB693" s="535">
        <v>1</v>
      </c>
      <c r="AC693" s="39" t="s">
        <v>160</v>
      </c>
      <c r="AD693" s="75" t="s">
        <v>551</v>
      </c>
      <c r="AE693" s="95">
        <v>0</v>
      </c>
      <c r="AF693" s="75">
        <v>0</v>
      </c>
      <c r="AG693" s="75">
        <v>0</v>
      </c>
      <c r="AH693" s="75">
        <v>0</v>
      </c>
      <c r="AI693" s="75">
        <v>1</v>
      </c>
      <c r="AJ693" s="75">
        <v>0</v>
      </c>
      <c r="AK693" s="75">
        <v>0</v>
      </c>
      <c r="AL693" s="95">
        <v>0</v>
      </c>
      <c r="AM693" s="92">
        <v>0</v>
      </c>
      <c r="AN693" s="79" t="s">
        <v>80</v>
      </c>
      <c r="AO693" s="75">
        <v>1</v>
      </c>
      <c r="AP693" s="75" t="s">
        <v>84</v>
      </c>
      <c r="AQ693" s="122">
        <v>1</v>
      </c>
      <c r="AR693" s="515" t="s">
        <v>10</v>
      </c>
      <c r="AS693" s="95">
        <v>0</v>
      </c>
      <c r="AT693" s="75">
        <v>0</v>
      </c>
      <c r="AU693" s="75">
        <v>0</v>
      </c>
      <c r="AV693" s="75">
        <v>0</v>
      </c>
      <c r="AW693" s="123">
        <v>0</v>
      </c>
      <c r="AX693" s="516"/>
      <c r="AY693" s="75">
        <v>0</v>
      </c>
      <c r="AZ693" s="77" t="s">
        <v>131</v>
      </c>
      <c r="BA693" s="78" t="s">
        <v>131</v>
      </c>
      <c r="BB693" s="78" t="s">
        <v>131</v>
      </c>
      <c r="BC693" s="78" t="s">
        <v>131</v>
      </c>
      <c r="BD693" s="78" t="s">
        <v>132</v>
      </c>
      <c r="BE693" s="78" t="s">
        <v>131</v>
      </c>
      <c r="BF693" s="78" t="s">
        <v>131</v>
      </c>
      <c r="BG693" s="78" t="s">
        <v>131</v>
      </c>
      <c r="BH693" s="75" t="s">
        <v>5970</v>
      </c>
      <c r="BI693" s="295" t="s">
        <v>4088</v>
      </c>
      <c r="BJ693" s="546">
        <v>1</v>
      </c>
      <c r="BK693" s="294" t="s">
        <v>16</v>
      </c>
      <c r="BL693" s="157" t="s">
        <v>16</v>
      </c>
      <c r="BM693" s="548" t="s">
        <v>1345</v>
      </c>
      <c r="BN693" s="548" t="s">
        <v>4158</v>
      </c>
      <c r="BO693" s="157" t="s">
        <v>4428</v>
      </c>
      <c r="BP693" s="548" t="s">
        <v>4430</v>
      </c>
      <c r="BQ693" s="157" t="s">
        <v>4427</v>
      </c>
      <c r="BR693" s="157"/>
    </row>
    <row r="694" spans="1:70" x14ac:dyDescent="0.25">
      <c r="A694" s="19" t="s">
        <v>3686</v>
      </c>
      <c r="B694" s="37" t="s">
        <v>2542</v>
      </c>
      <c r="C694" s="90">
        <v>45138.777094907404</v>
      </c>
      <c r="D694" s="114">
        <v>45138.527094907404</v>
      </c>
      <c r="E694" s="38">
        <v>45138</v>
      </c>
      <c r="F694" s="91">
        <v>2023</v>
      </c>
      <c r="G694" s="93">
        <v>7</v>
      </c>
      <c r="H694" s="37" t="s">
        <v>201</v>
      </c>
      <c r="I694" s="37"/>
      <c r="J694" s="103">
        <v>-92.732201786197805</v>
      </c>
      <c r="K694" s="40">
        <v>44.831295067476631</v>
      </c>
      <c r="L694" s="74"/>
      <c r="M694" s="272" t="s">
        <v>16</v>
      </c>
      <c r="N694" s="74">
        <v>0</v>
      </c>
      <c r="O694" s="94"/>
      <c r="P694" s="118">
        <v>1</v>
      </c>
      <c r="Q694" s="510">
        <v>180</v>
      </c>
      <c r="R694" s="513">
        <v>120</v>
      </c>
      <c r="S694" s="41"/>
      <c r="T694" s="40"/>
      <c r="U694" s="40">
        <v>8</v>
      </c>
      <c r="V694" s="119">
        <v>1</v>
      </c>
      <c r="W694" s="40">
        <v>0</v>
      </c>
      <c r="X694" s="119">
        <v>1</v>
      </c>
      <c r="Y694" s="40">
        <v>65</v>
      </c>
      <c r="Z694" s="119">
        <v>1</v>
      </c>
      <c r="AA694" s="368">
        <v>0</v>
      </c>
      <c r="AB694" s="535">
        <v>5</v>
      </c>
      <c r="AC694" s="39" t="s">
        <v>160</v>
      </c>
      <c r="AD694" s="75" t="s">
        <v>8</v>
      </c>
      <c r="AE694" s="95">
        <v>0</v>
      </c>
      <c r="AF694" s="75">
        <v>1</v>
      </c>
      <c r="AG694" s="75">
        <v>0</v>
      </c>
      <c r="AH694" s="75">
        <v>0</v>
      </c>
      <c r="AI694" s="75">
        <v>0</v>
      </c>
      <c r="AJ694" s="75">
        <v>0</v>
      </c>
      <c r="AK694" s="75">
        <v>0</v>
      </c>
      <c r="AL694" s="95">
        <v>0</v>
      </c>
      <c r="AM694" s="92">
        <v>0</v>
      </c>
      <c r="AN694" s="79" t="s">
        <v>80</v>
      </c>
      <c r="AO694" s="75">
        <v>1</v>
      </c>
      <c r="AP694" s="75" t="s">
        <v>83</v>
      </c>
      <c r="AQ694" s="122">
        <v>1</v>
      </c>
      <c r="AR694" s="515" t="s">
        <v>10</v>
      </c>
      <c r="AS694" s="95">
        <v>0</v>
      </c>
      <c r="AT694" s="75">
        <v>0</v>
      </c>
      <c r="AU694" s="75">
        <v>0</v>
      </c>
      <c r="AV694" s="75">
        <v>0</v>
      </c>
      <c r="AW694" s="123">
        <v>0</v>
      </c>
      <c r="AX694" s="516" t="s">
        <v>1537</v>
      </c>
      <c r="AY694" s="75">
        <v>1</v>
      </c>
      <c r="AZ694" s="77" t="s">
        <v>131</v>
      </c>
      <c r="BA694" s="78" t="s">
        <v>132</v>
      </c>
      <c r="BB694" s="78" t="s">
        <v>131</v>
      </c>
      <c r="BC694" s="78" t="s">
        <v>131</v>
      </c>
      <c r="BD694" s="78" t="s">
        <v>131</v>
      </c>
      <c r="BE694" s="78" t="s">
        <v>131</v>
      </c>
      <c r="BF694" s="78" t="s">
        <v>131</v>
      </c>
      <c r="BG694" s="78" t="s">
        <v>131</v>
      </c>
      <c r="BH694" s="75" t="s">
        <v>5970</v>
      </c>
      <c r="BI694" s="295" t="s">
        <v>2227</v>
      </c>
      <c r="BJ694" s="546">
        <v>1</v>
      </c>
      <c r="BK694" s="294" t="s">
        <v>16</v>
      </c>
      <c r="BL694" s="157" t="s">
        <v>16</v>
      </c>
      <c r="BM694" s="548" t="s">
        <v>578</v>
      </c>
      <c r="BN694" s="548" t="s">
        <v>578</v>
      </c>
      <c r="BO694" s="157" t="s">
        <v>4341</v>
      </c>
      <c r="BP694" s="548" t="s">
        <v>4343</v>
      </c>
      <c r="BQ694" s="157" t="s">
        <v>4309</v>
      </c>
      <c r="BR694" s="157"/>
    </row>
    <row r="695" spans="1:70" x14ac:dyDescent="0.25">
      <c r="A695" s="19" t="s">
        <v>3686</v>
      </c>
      <c r="B695" s="37" t="s">
        <v>2543</v>
      </c>
      <c r="C695" s="90">
        <v>45138.775127314817</v>
      </c>
      <c r="D695" s="114">
        <v>45138.525127314817</v>
      </c>
      <c r="E695" s="38">
        <v>45138</v>
      </c>
      <c r="F695" s="91">
        <v>2023</v>
      </c>
      <c r="G695" s="93">
        <v>7</v>
      </c>
      <c r="H695" s="37" t="s">
        <v>1807</v>
      </c>
      <c r="I695" s="37"/>
      <c r="J695" s="103">
        <v>-91.867372524078803</v>
      </c>
      <c r="K695" s="40">
        <v>43.167636254842769</v>
      </c>
      <c r="L695" s="74"/>
      <c r="M695" s="272" t="s">
        <v>16</v>
      </c>
      <c r="N695" s="74">
        <v>0</v>
      </c>
      <c r="O695" s="94"/>
      <c r="P695" s="118">
        <v>0</v>
      </c>
      <c r="Q695" s="510"/>
      <c r="R695" s="513"/>
      <c r="S695" s="41"/>
      <c r="T695" s="40"/>
      <c r="U695" s="40"/>
      <c r="V695" s="119">
        <v>0</v>
      </c>
      <c r="W695" s="40"/>
      <c r="X695" s="119">
        <v>0</v>
      </c>
      <c r="Y695" s="40"/>
      <c r="Z695" s="119">
        <v>1</v>
      </c>
      <c r="AA695" s="368">
        <v>0</v>
      </c>
      <c r="AB695" s="535">
        <v>5</v>
      </c>
      <c r="AC695" s="39"/>
      <c r="AD695" s="75" t="s">
        <v>16</v>
      </c>
      <c r="AE695" s="95">
        <v>-1</v>
      </c>
      <c r="AF695" s="75">
        <v>-1</v>
      </c>
      <c r="AG695" s="75">
        <v>-1</v>
      </c>
      <c r="AH695" s="75">
        <v>-1</v>
      </c>
      <c r="AI695" s="75">
        <v>-1</v>
      </c>
      <c r="AJ695" s="75">
        <v>-1</v>
      </c>
      <c r="AK695" s="75">
        <v>-1</v>
      </c>
      <c r="AL695" s="95">
        <v>-1</v>
      </c>
      <c r="AM695" s="92">
        <v>1</v>
      </c>
      <c r="AN695" s="79"/>
      <c r="AO695" s="75">
        <v>0</v>
      </c>
      <c r="AP695" s="75"/>
      <c r="AQ695" s="122">
        <v>0</v>
      </c>
      <c r="AR695" s="515" t="s">
        <v>16</v>
      </c>
      <c r="AS695" s="95">
        <v>-1</v>
      </c>
      <c r="AT695" s="75">
        <v>-1</v>
      </c>
      <c r="AU695" s="75">
        <v>-1</v>
      </c>
      <c r="AV695" s="75">
        <v>-1</v>
      </c>
      <c r="AW695" s="123">
        <v>1</v>
      </c>
      <c r="AX695" s="516"/>
      <c r="AY695" s="75">
        <v>0</v>
      </c>
      <c r="AZ695" s="77" t="s">
        <v>5971</v>
      </c>
      <c r="BA695" s="78" t="s">
        <v>5971</v>
      </c>
      <c r="BB695" s="78" t="s">
        <v>5971</v>
      </c>
      <c r="BC695" s="78" t="s">
        <v>5971</v>
      </c>
      <c r="BD695" s="78" t="s">
        <v>5971</v>
      </c>
      <c r="BE695" s="78" t="s">
        <v>5971</v>
      </c>
      <c r="BF695" s="78" t="s">
        <v>5971</v>
      </c>
      <c r="BG695" s="78" t="s">
        <v>5971</v>
      </c>
      <c r="BH695" s="75" t="s">
        <v>5971</v>
      </c>
      <c r="BI695" s="295" t="s">
        <v>16</v>
      </c>
      <c r="BJ695" s="546" t="s">
        <v>16</v>
      </c>
      <c r="BK695" s="294" t="s">
        <v>16</v>
      </c>
      <c r="BL695" s="157" t="s">
        <v>16</v>
      </c>
      <c r="BM695" s="548" t="s">
        <v>1344</v>
      </c>
      <c r="BN695" s="548" t="s">
        <v>4160</v>
      </c>
      <c r="BO695" s="157" t="s">
        <v>4441</v>
      </c>
      <c r="BP695" s="548" t="s">
        <v>4442</v>
      </c>
      <c r="BQ695" s="157" t="s">
        <v>4440</v>
      </c>
      <c r="BR695" s="157"/>
    </row>
    <row r="696" spans="1:70" x14ac:dyDescent="0.25">
      <c r="A696" s="19" t="s">
        <v>3686</v>
      </c>
      <c r="B696" s="37" t="s">
        <v>2544</v>
      </c>
      <c r="C696" s="90">
        <v>45138.713993055557</v>
      </c>
      <c r="D696" s="114">
        <v>45138.463993055557</v>
      </c>
      <c r="E696" s="38">
        <v>45138</v>
      </c>
      <c r="F696" s="91">
        <v>2023</v>
      </c>
      <c r="G696" s="93">
        <v>7</v>
      </c>
      <c r="H696" s="37" t="s">
        <v>1361</v>
      </c>
      <c r="I696" s="37" t="s">
        <v>16</v>
      </c>
      <c r="J696" s="103">
        <v>-91.866572136144967</v>
      </c>
      <c r="K696" s="40">
        <v>43.168428889515965</v>
      </c>
      <c r="L696" s="74"/>
      <c r="M696" s="272" t="s">
        <v>2545</v>
      </c>
      <c r="N696" s="74">
        <v>1</v>
      </c>
      <c r="O696" s="94"/>
      <c r="P696" s="118">
        <v>1</v>
      </c>
      <c r="Q696" s="510">
        <v>180</v>
      </c>
      <c r="R696" s="513">
        <v>120</v>
      </c>
      <c r="S696" s="41"/>
      <c r="T696" s="40"/>
      <c r="U696" s="40">
        <v>7</v>
      </c>
      <c r="V696" s="119">
        <v>1</v>
      </c>
      <c r="W696" s="40">
        <v>100</v>
      </c>
      <c r="X696" s="119">
        <v>1</v>
      </c>
      <c r="Y696" s="40">
        <v>72</v>
      </c>
      <c r="Z696" s="119">
        <v>1</v>
      </c>
      <c r="AA696" s="368">
        <v>0</v>
      </c>
      <c r="AB696" s="535">
        <v>0</v>
      </c>
      <c r="AC696" s="39" t="s">
        <v>186</v>
      </c>
      <c r="AD696" s="75" t="s">
        <v>16</v>
      </c>
      <c r="AE696" s="95">
        <v>-1</v>
      </c>
      <c r="AF696" s="75">
        <v>-1</v>
      </c>
      <c r="AG696" s="75">
        <v>-1</v>
      </c>
      <c r="AH696" s="75">
        <v>-1</v>
      </c>
      <c r="AI696" s="75">
        <v>-1</v>
      </c>
      <c r="AJ696" s="75">
        <v>-1</v>
      </c>
      <c r="AK696" s="75">
        <v>-1</v>
      </c>
      <c r="AL696" s="95">
        <v>-1</v>
      </c>
      <c r="AM696" s="92">
        <v>1</v>
      </c>
      <c r="AN696" s="79" t="s">
        <v>81</v>
      </c>
      <c r="AO696" s="75">
        <v>1</v>
      </c>
      <c r="AP696" s="75" t="s">
        <v>84</v>
      </c>
      <c r="AQ696" s="122">
        <v>1</v>
      </c>
      <c r="AR696" s="515" t="s">
        <v>10</v>
      </c>
      <c r="AS696" s="95">
        <v>0</v>
      </c>
      <c r="AT696" s="75">
        <v>0</v>
      </c>
      <c r="AU696" s="75">
        <v>0</v>
      </c>
      <c r="AV696" s="75">
        <v>0</v>
      </c>
      <c r="AW696" s="123">
        <v>0</v>
      </c>
      <c r="AX696" s="516" t="s">
        <v>2546</v>
      </c>
      <c r="AY696" s="75">
        <v>1</v>
      </c>
      <c r="AZ696" s="77" t="s">
        <v>5971</v>
      </c>
      <c r="BA696" s="78" t="s">
        <v>5971</v>
      </c>
      <c r="BB696" s="78" t="s">
        <v>5971</v>
      </c>
      <c r="BC696" s="78" t="s">
        <v>5971</v>
      </c>
      <c r="BD696" s="78" t="s">
        <v>5971</v>
      </c>
      <c r="BE696" s="78" t="s">
        <v>5971</v>
      </c>
      <c r="BF696" s="78" t="s">
        <v>5971</v>
      </c>
      <c r="BG696" s="78" t="s">
        <v>5971</v>
      </c>
      <c r="BH696" s="75" t="s">
        <v>5971</v>
      </c>
      <c r="BI696" s="295" t="s">
        <v>16</v>
      </c>
      <c r="BJ696" s="546" t="s">
        <v>16</v>
      </c>
      <c r="BK696" s="294" t="s">
        <v>16</v>
      </c>
      <c r="BL696" s="157" t="s">
        <v>16</v>
      </c>
      <c r="BM696" s="548" t="s">
        <v>1344</v>
      </c>
      <c r="BN696" s="548" t="s">
        <v>4160</v>
      </c>
      <c r="BO696" s="157" t="s">
        <v>4441</v>
      </c>
      <c r="BP696" s="548" t="s">
        <v>4442</v>
      </c>
      <c r="BQ696" s="157" t="s">
        <v>4440</v>
      </c>
      <c r="BR696" s="157"/>
    </row>
    <row r="697" spans="1:70" x14ac:dyDescent="0.25">
      <c r="A697" s="19" t="s">
        <v>3686</v>
      </c>
      <c r="B697" s="37" t="s">
        <v>2547</v>
      </c>
      <c r="C697" s="90">
        <v>45138.630995370368</v>
      </c>
      <c r="D697" s="114">
        <v>45138.380995370368</v>
      </c>
      <c r="E697" s="38">
        <v>45138</v>
      </c>
      <c r="F697" s="91">
        <v>2023</v>
      </c>
      <c r="G697" s="93">
        <v>7</v>
      </c>
      <c r="H697" s="37" t="s">
        <v>2548</v>
      </c>
      <c r="I697" s="37"/>
      <c r="J697" s="103">
        <v>-90.647004595375037</v>
      </c>
      <c r="K697" s="40">
        <v>43.306514906666287</v>
      </c>
      <c r="L697" s="74"/>
      <c r="M697" s="272" t="s">
        <v>16</v>
      </c>
      <c r="N697" s="74">
        <v>0</v>
      </c>
      <c r="O697" s="94"/>
      <c r="P697" s="118">
        <v>1</v>
      </c>
      <c r="Q697" s="510">
        <v>180</v>
      </c>
      <c r="R697" s="513">
        <v>120</v>
      </c>
      <c r="S697" s="41"/>
      <c r="T697" s="40"/>
      <c r="U697" s="40">
        <v>8</v>
      </c>
      <c r="V697" s="119">
        <v>1</v>
      </c>
      <c r="W697" s="40">
        <v>0</v>
      </c>
      <c r="X697" s="119">
        <v>1</v>
      </c>
      <c r="Y697" s="40">
        <v>61</v>
      </c>
      <c r="Z697" s="119">
        <v>1</v>
      </c>
      <c r="AA697" s="368">
        <v>0</v>
      </c>
      <c r="AB697" s="535">
        <v>2</v>
      </c>
      <c r="AC697" s="39" t="s">
        <v>160</v>
      </c>
      <c r="AD697" s="75" t="s">
        <v>10</v>
      </c>
      <c r="AE697" s="95">
        <v>0</v>
      </c>
      <c r="AF697" s="75">
        <v>0</v>
      </c>
      <c r="AG697" s="75">
        <v>0</v>
      </c>
      <c r="AH697" s="75">
        <v>0</v>
      </c>
      <c r="AI697" s="75">
        <v>0</v>
      </c>
      <c r="AJ697" s="75">
        <v>0</v>
      </c>
      <c r="AK697" s="75">
        <v>0</v>
      </c>
      <c r="AL697" s="95">
        <v>1</v>
      </c>
      <c r="AM697" s="92">
        <v>0</v>
      </c>
      <c r="AN697" s="79" t="s">
        <v>80</v>
      </c>
      <c r="AO697" s="75">
        <v>1</v>
      </c>
      <c r="AP697" s="75" t="s">
        <v>84</v>
      </c>
      <c r="AQ697" s="122">
        <v>1</v>
      </c>
      <c r="AR697" s="515" t="s">
        <v>10</v>
      </c>
      <c r="AS697" s="95">
        <v>0</v>
      </c>
      <c r="AT697" s="75">
        <v>0</v>
      </c>
      <c r="AU697" s="75">
        <v>0</v>
      </c>
      <c r="AV697" s="75">
        <v>0</v>
      </c>
      <c r="AW697" s="123">
        <v>0</v>
      </c>
      <c r="AX697" s="516"/>
      <c r="AY697" s="75">
        <v>0</v>
      </c>
      <c r="AZ697" s="77" t="s">
        <v>131</v>
      </c>
      <c r="BA697" s="78" t="s">
        <v>131</v>
      </c>
      <c r="BB697" s="78" t="s">
        <v>131</v>
      </c>
      <c r="BC697" s="78" t="s">
        <v>131</v>
      </c>
      <c r="BD697" s="78" t="s">
        <v>131</v>
      </c>
      <c r="BE697" s="78" t="s">
        <v>131</v>
      </c>
      <c r="BF697" s="78" t="s">
        <v>131</v>
      </c>
      <c r="BG697" s="78" t="s">
        <v>132</v>
      </c>
      <c r="BH697" s="75" t="s">
        <v>5970</v>
      </c>
      <c r="BI697" s="295" t="s">
        <v>4088</v>
      </c>
      <c r="BJ697" s="546">
        <v>1</v>
      </c>
      <c r="BK697" s="294" t="s">
        <v>16</v>
      </c>
      <c r="BL697" s="157" t="s">
        <v>16</v>
      </c>
      <c r="BM697" s="548" t="s">
        <v>1345</v>
      </c>
      <c r="BN697" s="548" t="s">
        <v>4158</v>
      </c>
      <c r="BO697" s="157" t="s">
        <v>4428</v>
      </c>
      <c r="BP697" s="548" t="s">
        <v>4430</v>
      </c>
      <c r="BQ697" s="157" t="s">
        <v>4427</v>
      </c>
      <c r="BR697" s="157"/>
    </row>
    <row r="698" spans="1:70" x14ac:dyDescent="0.25">
      <c r="A698" s="19" t="s">
        <v>3686</v>
      </c>
      <c r="B698" s="37" t="s">
        <v>2549</v>
      </c>
      <c r="C698" s="90">
        <v>45138.524409722224</v>
      </c>
      <c r="D698" s="114">
        <v>45138.274409722224</v>
      </c>
      <c r="E698" s="38">
        <v>45138</v>
      </c>
      <c r="F698" s="91">
        <v>2023</v>
      </c>
      <c r="G698" s="93">
        <v>7</v>
      </c>
      <c r="H698" s="37" t="s">
        <v>2548</v>
      </c>
      <c r="I698" s="37"/>
      <c r="J698" s="103">
        <v>-90.619870474305046</v>
      </c>
      <c r="K698" s="40">
        <v>43.327058513612229</v>
      </c>
      <c r="L698" s="74"/>
      <c r="M698" s="272" t="s">
        <v>16</v>
      </c>
      <c r="N698" s="74">
        <v>0</v>
      </c>
      <c r="O698" s="94"/>
      <c r="P698" s="118">
        <v>1</v>
      </c>
      <c r="Q698" s="510">
        <v>180</v>
      </c>
      <c r="R698" s="513">
        <v>180</v>
      </c>
      <c r="S698" s="41"/>
      <c r="T698" s="40"/>
      <c r="U698" s="40">
        <v>8</v>
      </c>
      <c r="V698" s="119">
        <v>1</v>
      </c>
      <c r="W698" s="40">
        <v>0</v>
      </c>
      <c r="X698" s="119">
        <v>1</v>
      </c>
      <c r="Y698" s="40">
        <v>52</v>
      </c>
      <c r="Z698" s="119">
        <v>1</v>
      </c>
      <c r="AA698" s="368">
        <v>0</v>
      </c>
      <c r="AB698" s="535">
        <v>1</v>
      </c>
      <c r="AC698" s="39" t="s">
        <v>160</v>
      </c>
      <c r="AD698" s="75" t="s">
        <v>10</v>
      </c>
      <c r="AE698" s="95">
        <v>0</v>
      </c>
      <c r="AF698" s="75">
        <v>0</v>
      </c>
      <c r="AG698" s="75">
        <v>0</v>
      </c>
      <c r="AH698" s="75">
        <v>0</v>
      </c>
      <c r="AI698" s="75">
        <v>0</v>
      </c>
      <c r="AJ698" s="75">
        <v>0</v>
      </c>
      <c r="AK698" s="75">
        <v>0</v>
      </c>
      <c r="AL698" s="95">
        <v>1</v>
      </c>
      <c r="AM698" s="92">
        <v>0</v>
      </c>
      <c r="AN698" s="79" t="s">
        <v>80</v>
      </c>
      <c r="AO698" s="75">
        <v>1</v>
      </c>
      <c r="AP698" s="75" t="s">
        <v>83</v>
      </c>
      <c r="AQ698" s="122">
        <v>1</v>
      </c>
      <c r="AR698" s="515" t="s">
        <v>10</v>
      </c>
      <c r="AS698" s="95">
        <v>0</v>
      </c>
      <c r="AT698" s="75">
        <v>0</v>
      </c>
      <c r="AU698" s="75">
        <v>0</v>
      </c>
      <c r="AV698" s="75">
        <v>0</v>
      </c>
      <c r="AW698" s="123">
        <v>0</v>
      </c>
      <c r="AX698" s="516"/>
      <c r="AY698" s="75">
        <v>0</v>
      </c>
      <c r="AZ698" s="77" t="s">
        <v>131</v>
      </c>
      <c r="BA698" s="78" t="s">
        <v>131</v>
      </c>
      <c r="BB698" s="78" t="s">
        <v>131</v>
      </c>
      <c r="BC698" s="78" t="s">
        <v>131</v>
      </c>
      <c r="BD698" s="78" t="s">
        <v>131</v>
      </c>
      <c r="BE698" s="78" t="s">
        <v>131</v>
      </c>
      <c r="BF698" s="78" t="s">
        <v>131</v>
      </c>
      <c r="BG698" s="78" t="s">
        <v>132</v>
      </c>
      <c r="BH698" s="75" t="s">
        <v>5970</v>
      </c>
      <c r="BI698" s="295">
        <v>0</v>
      </c>
      <c r="BJ698" s="546">
        <v>1</v>
      </c>
      <c r="BK698" s="294">
        <v>1</v>
      </c>
      <c r="BL698" s="157">
        <v>1</v>
      </c>
      <c r="BM698" s="548" t="s">
        <v>1345</v>
      </c>
      <c r="BN698" s="548" t="s">
        <v>4158</v>
      </c>
      <c r="BO698" s="157" t="s">
        <v>4428</v>
      </c>
      <c r="BP698" s="548" t="s">
        <v>4430</v>
      </c>
      <c r="BQ698" s="157" t="s">
        <v>4427</v>
      </c>
      <c r="BR698" s="157"/>
    </row>
    <row r="699" spans="1:70" x14ac:dyDescent="0.25">
      <c r="A699" s="19" t="s">
        <v>3686</v>
      </c>
      <c r="B699" s="37" t="s">
        <v>2550</v>
      </c>
      <c r="C699" s="90">
        <v>45137.718518518515</v>
      </c>
      <c r="D699" s="114">
        <v>45137.468518518515</v>
      </c>
      <c r="E699" s="38">
        <v>45137</v>
      </c>
      <c r="F699" s="91">
        <v>2023</v>
      </c>
      <c r="G699" s="93">
        <v>7</v>
      </c>
      <c r="H699" s="37" t="s">
        <v>2441</v>
      </c>
      <c r="I699" s="37" t="s">
        <v>146</v>
      </c>
      <c r="J699" s="103">
        <v>-91.126392499999994</v>
      </c>
      <c r="K699" s="40">
        <v>43.764361600000001</v>
      </c>
      <c r="L699" s="74"/>
      <c r="M699" s="272" t="s">
        <v>2551</v>
      </c>
      <c r="N699" s="74">
        <v>1</v>
      </c>
      <c r="O699" s="94"/>
      <c r="P699" s="118">
        <v>1</v>
      </c>
      <c r="Q699" s="510">
        <v>40</v>
      </c>
      <c r="R699" s="513">
        <v>0</v>
      </c>
      <c r="S699" s="41"/>
      <c r="T699" s="40"/>
      <c r="U699" s="40">
        <v>7</v>
      </c>
      <c r="V699" s="119">
        <v>1</v>
      </c>
      <c r="W699" s="40">
        <v>0</v>
      </c>
      <c r="X699" s="119">
        <v>0</v>
      </c>
      <c r="Y699" s="40"/>
      <c r="Z699" s="119">
        <v>1</v>
      </c>
      <c r="AA699" s="368">
        <v>0</v>
      </c>
      <c r="AB699" s="535">
        <v>2</v>
      </c>
      <c r="AC699" s="39" t="s">
        <v>160</v>
      </c>
      <c r="AD699" s="75" t="s">
        <v>9</v>
      </c>
      <c r="AE699" s="95">
        <v>0</v>
      </c>
      <c r="AF699" s="75">
        <v>0</v>
      </c>
      <c r="AG699" s="75">
        <v>1</v>
      </c>
      <c r="AH699" s="75">
        <v>0</v>
      </c>
      <c r="AI699" s="75">
        <v>0</v>
      </c>
      <c r="AJ699" s="75">
        <v>0</v>
      </c>
      <c r="AK699" s="75">
        <v>0</v>
      </c>
      <c r="AL699" s="95">
        <v>0</v>
      </c>
      <c r="AM699" s="92">
        <v>0</v>
      </c>
      <c r="AN699" s="79" t="s">
        <v>80</v>
      </c>
      <c r="AO699" s="75">
        <v>1</v>
      </c>
      <c r="AP699" s="75" t="s">
        <v>83</v>
      </c>
      <c r="AQ699" s="122">
        <v>1</v>
      </c>
      <c r="AR699" s="515" t="s">
        <v>10</v>
      </c>
      <c r="AS699" s="95">
        <v>0</v>
      </c>
      <c r="AT699" s="75">
        <v>0</v>
      </c>
      <c r="AU699" s="75">
        <v>0</v>
      </c>
      <c r="AV699" s="75">
        <v>0</v>
      </c>
      <c r="AW699" s="123">
        <v>0</v>
      </c>
      <c r="AX699" s="516"/>
      <c r="AY699" s="75">
        <v>0</v>
      </c>
      <c r="AZ699" s="77" t="s">
        <v>131</v>
      </c>
      <c r="BA699" s="78" t="s">
        <v>131</v>
      </c>
      <c r="BB699" s="78" t="s">
        <v>132</v>
      </c>
      <c r="BC699" s="78" t="s">
        <v>131</v>
      </c>
      <c r="BD699" s="78" t="s">
        <v>131</v>
      </c>
      <c r="BE699" s="78" t="s">
        <v>131</v>
      </c>
      <c r="BF699" s="78" t="s">
        <v>131</v>
      </c>
      <c r="BG699" s="78" t="s">
        <v>131</v>
      </c>
      <c r="BH699" s="75" t="s">
        <v>5970</v>
      </c>
      <c r="BI699" s="295" t="s">
        <v>2274</v>
      </c>
      <c r="BJ699" s="546">
        <v>1</v>
      </c>
      <c r="BK699" s="294">
        <v>1</v>
      </c>
      <c r="BL699" s="157">
        <v>1</v>
      </c>
      <c r="BM699" s="548" t="s">
        <v>1342</v>
      </c>
      <c r="BN699" s="548" t="s">
        <v>1342</v>
      </c>
      <c r="BO699" s="157" t="s">
        <v>4335</v>
      </c>
      <c r="BP699" s="548" t="s">
        <v>2274</v>
      </c>
      <c r="BQ699" s="157" t="s">
        <v>4236</v>
      </c>
      <c r="BR699" s="157"/>
    </row>
    <row r="700" spans="1:70" x14ac:dyDescent="0.25">
      <c r="A700" s="19" t="s">
        <v>3686</v>
      </c>
      <c r="B700" s="37" t="s">
        <v>2552</v>
      </c>
      <c r="C700" s="90">
        <v>45137.70616898148</v>
      </c>
      <c r="D700" s="114">
        <v>45137.45616898148</v>
      </c>
      <c r="E700" s="38">
        <v>45137</v>
      </c>
      <c r="F700" s="91">
        <v>2023</v>
      </c>
      <c r="G700" s="93">
        <v>7</v>
      </c>
      <c r="H700" s="37" t="s">
        <v>2441</v>
      </c>
      <c r="I700" s="37" t="s">
        <v>146</v>
      </c>
      <c r="J700" s="103">
        <v>-91.126242899999994</v>
      </c>
      <c r="K700" s="40">
        <v>43.764561499999999</v>
      </c>
      <c r="L700" s="74"/>
      <c r="M700" s="272" t="s">
        <v>2553</v>
      </c>
      <c r="N700" s="74">
        <v>1</v>
      </c>
      <c r="O700" s="94"/>
      <c r="P700" s="118">
        <v>1</v>
      </c>
      <c r="Q700" s="510">
        <v>180</v>
      </c>
      <c r="R700" s="513">
        <v>180</v>
      </c>
      <c r="S700" s="41"/>
      <c r="T700" s="40"/>
      <c r="U700" s="40">
        <v>7.5</v>
      </c>
      <c r="V700" s="119">
        <v>1</v>
      </c>
      <c r="W700" s="40">
        <v>0</v>
      </c>
      <c r="X700" s="119">
        <v>0</v>
      </c>
      <c r="Y700" s="40"/>
      <c r="Z700" s="119">
        <v>1</v>
      </c>
      <c r="AA700" s="368">
        <v>0</v>
      </c>
      <c r="AB700" s="535">
        <v>0</v>
      </c>
      <c r="AC700" s="39" t="s">
        <v>160</v>
      </c>
      <c r="AD700" s="75" t="s">
        <v>10</v>
      </c>
      <c r="AE700" s="95">
        <v>0</v>
      </c>
      <c r="AF700" s="75">
        <v>0</v>
      </c>
      <c r="AG700" s="75">
        <v>0</v>
      </c>
      <c r="AH700" s="75">
        <v>0</v>
      </c>
      <c r="AI700" s="75">
        <v>0</v>
      </c>
      <c r="AJ700" s="75">
        <v>0</v>
      </c>
      <c r="AK700" s="75">
        <v>0</v>
      </c>
      <c r="AL700" s="95">
        <v>1</v>
      </c>
      <c r="AM700" s="92">
        <v>0</v>
      </c>
      <c r="AN700" s="79" t="s">
        <v>80</v>
      </c>
      <c r="AO700" s="75">
        <v>1</v>
      </c>
      <c r="AP700" s="75" t="s">
        <v>83</v>
      </c>
      <c r="AQ700" s="122">
        <v>1</v>
      </c>
      <c r="AR700" s="515" t="s">
        <v>10</v>
      </c>
      <c r="AS700" s="95">
        <v>0</v>
      </c>
      <c r="AT700" s="75">
        <v>0</v>
      </c>
      <c r="AU700" s="75">
        <v>0</v>
      </c>
      <c r="AV700" s="75">
        <v>0</v>
      </c>
      <c r="AW700" s="123">
        <v>0</v>
      </c>
      <c r="AX700" s="516"/>
      <c r="AY700" s="75">
        <v>0</v>
      </c>
      <c r="AZ700" s="77" t="s">
        <v>131</v>
      </c>
      <c r="BA700" s="78" t="s">
        <v>131</v>
      </c>
      <c r="BB700" s="78" t="s">
        <v>131</v>
      </c>
      <c r="BC700" s="78" t="s">
        <v>131</v>
      </c>
      <c r="BD700" s="78" t="s">
        <v>131</v>
      </c>
      <c r="BE700" s="78" t="s">
        <v>131</v>
      </c>
      <c r="BF700" s="78" t="s">
        <v>131</v>
      </c>
      <c r="BG700" s="78" t="s">
        <v>132</v>
      </c>
      <c r="BH700" s="75" t="s">
        <v>5970</v>
      </c>
      <c r="BI700" s="295" t="s">
        <v>2274</v>
      </c>
      <c r="BJ700" s="546">
        <v>1</v>
      </c>
      <c r="BK700" s="294">
        <v>1</v>
      </c>
      <c r="BL700" s="157">
        <v>1</v>
      </c>
      <c r="BM700" s="548" t="s">
        <v>1342</v>
      </c>
      <c r="BN700" s="548" t="s">
        <v>1342</v>
      </c>
      <c r="BO700" s="157" t="s">
        <v>4335</v>
      </c>
      <c r="BP700" s="548" t="s">
        <v>2274</v>
      </c>
      <c r="BQ700" s="157" t="s">
        <v>4236</v>
      </c>
      <c r="BR700" s="157"/>
    </row>
    <row r="701" spans="1:70" x14ac:dyDescent="0.25">
      <c r="A701" s="19" t="s">
        <v>3686</v>
      </c>
      <c r="B701" s="37" t="s">
        <v>2554</v>
      </c>
      <c r="C701" s="90">
        <v>45137.663217592592</v>
      </c>
      <c r="D701" s="114">
        <v>45137.413217592592</v>
      </c>
      <c r="E701" s="38">
        <v>45137</v>
      </c>
      <c r="F701" s="91">
        <v>2023</v>
      </c>
      <c r="G701" s="93">
        <v>7</v>
      </c>
      <c r="H701" s="37" t="s">
        <v>2441</v>
      </c>
      <c r="I701" s="37" t="s">
        <v>146</v>
      </c>
      <c r="J701" s="103">
        <v>-91.178613799999994</v>
      </c>
      <c r="K701" s="40">
        <v>43.760331100000002</v>
      </c>
      <c r="L701" s="74"/>
      <c r="M701" s="272" t="s">
        <v>2555</v>
      </c>
      <c r="N701" s="74">
        <v>1</v>
      </c>
      <c r="O701" s="94"/>
      <c r="P701" s="118">
        <v>1</v>
      </c>
      <c r="Q701" s="510">
        <v>240</v>
      </c>
      <c r="R701" s="513">
        <v>0</v>
      </c>
      <c r="S701" s="41"/>
      <c r="T701" s="40"/>
      <c r="U701" s="40">
        <v>6</v>
      </c>
      <c r="V701" s="119">
        <v>1</v>
      </c>
      <c r="W701" s="40">
        <v>100</v>
      </c>
      <c r="X701" s="119">
        <v>0</v>
      </c>
      <c r="Y701" s="40"/>
      <c r="Z701" s="119">
        <v>1</v>
      </c>
      <c r="AA701" s="368">
        <v>0</v>
      </c>
      <c r="AB701" s="535">
        <v>1</v>
      </c>
      <c r="AC701" s="39" t="s">
        <v>160</v>
      </c>
      <c r="AD701" s="75" t="s">
        <v>355</v>
      </c>
      <c r="AE701" s="95">
        <v>0</v>
      </c>
      <c r="AF701" s="75">
        <v>0</v>
      </c>
      <c r="AG701" s="75">
        <v>0</v>
      </c>
      <c r="AH701" s="75">
        <v>1</v>
      </c>
      <c r="AI701" s="75">
        <v>0</v>
      </c>
      <c r="AJ701" s="75">
        <v>0</v>
      </c>
      <c r="AK701" s="75">
        <v>0</v>
      </c>
      <c r="AL701" s="95">
        <v>0</v>
      </c>
      <c r="AM701" s="92">
        <v>0</v>
      </c>
      <c r="AN701" s="79" t="s">
        <v>80</v>
      </c>
      <c r="AO701" s="75">
        <v>1</v>
      </c>
      <c r="AP701" s="75" t="s">
        <v>84</v>
      </c>
      <c r="AQ701" s="122">
        <v>1</v>
      </c>
      <c r="AR701" s="515" t="s">
        <v>10</v>
      </c>
      <c r="AS701" s="95">
        <v>0</v>
      </c>
      <c r="AT701" s="75">
        <v>0</v>
      </c>
      <c r="AU701" s="75">
        <v>0</v>
      </c>
      <c r="AV701" s="75">
        <v>0</v>
      </c>
      <c r="AW701" s="123">
        <v>0</v>
      </c>
      <c r="AX701" s="516"/>
      <c r="AY701" s="75">
        <v>0</v>
      </c>
      <c r="AZ701" s="77" t="s">
        <v>131</v>
      </c>
      <c r="BA701" s="78" t="s">
        <v>131</v>
      </c>
      <c r="BB701" s="78" t="s">
        <v>131</v>
      </c>
      <c r="BC701" s="78" t="s">
        <v>132</v>
      </c>
      <c r="BD701" s="78" t="s">
        <v>131</v>
      </c>
      <c r="BE701" s="78" t="s">
        <v>131</v>
      </c>
      <c r="BF701" s="78" t="s">
        <v>131</v>
      </c>
      <c r="BG701" s="78" t="s">
        <v>131</v>
      </c>
      <c r="BH701" s="75" t="s">
        <v>5970</v>
      </c>
      <c r="BI701" s="295" t="s">
        <v>2274</v>
      </c>
      <c r="BJ701" s="546">
        <v>1</v>
      </c>
      <c r="BK701" s="294" t="s">
        <v>16</v>
      </c>
      <c r="BL701" s="157" t="s">
        <v>16</v>
      </c>
      <c r="BM701" s="548" t="s">
        <v>1342</v>
      </c>
      <c r="BN701" s="548" t="s">
        <v>1342</v>
      </c>
      <c r="BO701" s="157" t="s">
        <v>4335</v>
      </c>
      <c r="BP701" s="548" t="s">
        <v>2274</v>
      </c>
      <c r="BQ701" s="157" t="s">
        <v>4236</v>
      </c>
      <c r="BR701" s="157"/>
    </row>
    <row r="702" spans="1:70" x14ac:dyDescent="0.25">
      <c r="A702" s="19" t="s">
        <v>3686</v>
      </c>
      <c r="B702" s="37" t="s">
        <v>2556</v>
      </c>
      <c r="C702" s="90">
        <v>45137.574456018519</v>
      </c>
      <c r="D702" s="114">
        <v>45137.324456018519</v>
      </c>
      <c r="E702" s="38">
        <v>45137</v>
      </c>
      <c r="F702" s="91">
        <v>2023</v>
      </c>
      <c r="G702" s="93">
        <v>7</v>
      </c>
      <c r="H702" s="37" t="s">
        <v>2441</v>
      </c>
      <c r="I702" s="37"/>
      <c r="J702" s="103">
        <v>-91.186611499999998</v>
      </c>
      <c r="K702" s="40">
        <v>43.750440400000002</v>
      </c>
      <c r="L702" s="74"/>
      <c r="M702" s="272" t="s">
        <v>2557</v>
      </c>
      <c r="N702" s="74">
        <v>1</v>
      </c>
      <c r="O702" s="94"/>
      <c r="P702" s="118">
        <v>1</v>
      </c>
      <c r="Q702" s="510">
        <v>240</v>
      </c>
      <c r="R702" s="513">
        <v>120</v>
      </c>
      <c r="S702" s="41"/>
      <c r="T702" s="40"/>
      <c r="U702" s="40">
        <v>7.5</v>
      </c>
      <c r="V702" s="119">
        <v>1</v>
      </c>
      <c r="W702" s="40">
        <v>0</v>
      </c>
      <c r="X702" s="119">
        <v>0</v>
      </c>
      <c r="Y702" s="40"/>
      <c r="Z702" s="119">
        <v>1</v>
      </c>
      <c r="AA702" s="368">
        <v>0</v>
      </c>
      <c r="AB702" s="535">
        <v>2</v>
      </c>
      <c r="AC702" s="39" t="s">
        <v>160</v>
      </c>
      <c r="AD702" s="75" t="s">
        <v>8</v>
      </c>
      <c r="AE702" s="95">
        <v>0</v>
      </c>
      <c r="AF702" s="75">
        <v>1</v>
      </c>
      <c r="AG702" s="75">
        <v>0</v>
      </c>
      <c r="AH702" s="75">
        <v>0</v>
      </c>
      <c r="AI702" s="75">
        <v>0</v>
      </c>
      <c r="AJ702" s="75">
        <v>0</v>
      </c>
      <c r="AK702" s="75">
        <v>0</v>
      </c>
      <c r="AL702" s="95">
        <v>0</v>
      </c>
      <c r="AM702" s="92">
        <v>0</v>
      </c>
      <c r="AN702" s="79" t="s">
        <v>81</v>
      </c>
      <c r="AO702" s="75">
        <v>1</v>
      </c>
      <c r="AP702" s="75" t="s">
        <v>83</v>
      </c>
      <c r="AQ702" s="122">
        <v>1</v>
      </c>
      <c r="AR702" s="515" t="s">
        <v>10</v>
      </c>
      <c r="AS702" s="95">
        <v>0</v>
      </c>
      <c r="AT702" s="75">
        <v>0</v>
      </c>
      <c r="AU702" s="75">
        <v>0</v>
      </c>
      <c r="AV702" s="75">
        <v>0</v>
      </c>
      <c r="AW702" s="123">
        <v>0</v>
      </c>
      <c r="AX702" s="516"/>
      <c r="AY702" s="75">
        <v>0</v>
      </c>
      <c r="AZ702" s="77" t="s">
        <v>131</v>
      </c>
      <c r="BA702" s="78" t="s">
        <v>132</v>
      </c>
      <c r="BB702" s="78" t="s">
        <v>131</v>
      </c>
      <c r="BC702" s="78" t="s">
        <v>131</v>
      </c>
      <c r="BD702" s="78" t="s">
        <v>131</v>
      </c>
      <c r="BE702" s="78" t="s">
        <v>131</v>
      </c>
      <c r="BF702" s="78" t="s">
        <v>131</v>
      </c>
      <c r="BG702" s="78" t="s">
        <v>131</v>
      </c>
      <c r="BH702" s="75" t="s">
        <v>5970</v>
      </c>
      <c r="BI702" s="295" t="s">
        <v>2274</v>
      </c>
      <c r="BJ702" s="546">
        <v>1</v>
      </c>
      <c r="BK702" s="294" t="s">
        <v>16</v>
      </c>
      <c r="BL702" s="157" t="s">
        <v>16</v>
      </c>
      <c r="BM702" s="548" t="s">
        <v>1342</v>
      </c>
      <c r="BN702" s="548" t="s">
        <v>1342</v>
      </c>
      <c r="BO702" s="157" t="s">
        <v>4335</v>
      </c>
      <c r="BP702" s="548" t="s">
        <v>2274</v>
      </c>
      <c r="BQ702" s="157" t="s">
        <v>4236</v>
      </c>
      <c r="BR702" s="157"/>
    </row>
    <row r="703" spans="1:70" x14ac:dyDescent="0.25">
      <c r="A703" s="19" t="s">
        <v>3686</v>
      </c>
      <c r="B703" s="37" t="s">
        <v>2558</v>
      </c>
      <c r="C703" s="90">
        <v>45137.478784722225</v>
      </c>
      <c r="D703" s="114">
        <v>45137.228784722225</v>
      </c>
      <c r="E703" s="38">
        <v>45137</v>
      </c>
      <c r="F703" s="91">
        <v>2023</v>
      </c>
      <c r="G703" s="93">
        <v>7</v>
      </c>
      <c r="H703" s="37" t="s">
        <v>2441</v>
      </c>
      <c r="I703" s="37"/>
      <c r="J703" s="103">
        <v>-91.192568399999999</v>
      </c>
      <c r="K703" s="40">
        <v>43.7463555</v>
      </c>
      <c r="L703" s="74"/>
      <c r="M703" s="272" t="s">
        <v>2559</v>
      </c>
      <c r="N703" s="74">
        <v>1</v>
      </c>
      <c r="O703" s="94"/>
      <c r="P703" s="118">
        <v>1</v>
      </c>
      <c r="Q703" s="510">
        <v>180</v>
      </c>
      <c r="R703" s="513">
        <v>180</v>
      </c>
      <c r="S703" s="41"/>
      <c r="T703" s="40"/>
      <c r="U703" s="40">
        <v>7.5</v>
      </c>
      <c r="V703" s="119">
        <v>1</v>
      </c>
      <c r="W703" s="40">
        <v>0</v>
      </c>
      <c r="X703" s="119">
        <v>1</v>
      </c>
      <c r="Y703" s="40">
        <v>0</v>
      </c>
      <c r="Z703" s="119">
        <v>1</v>
      </c>
      <c r="AA703" s="368">
        <v>0</v>
      </c>
      <c r="AB703" s="535">
        <v>2</v>
      </c>
      <c r="AC703" s="39" t="s">
        <v>160</v>
      </c>
      <c r="AD703" s="75" t="s">
        <v>8</v>
      </c>
      <c r="AE703" s="95">
        <v>0</v>
      </c>
      <c r="AF703" s="75">
        <v>1</v>
      </c>
      <c r="AG703" s="75">
        <v>0</v>
      </c>
      <c r="AH703" s="75">
        <v>0</v>
      </c>
      <c r="AI703" s="75">
        <v>0</v>
      </c>
      <c r="AJ703" s="75">
        <v>0</v>
      </c>
      <c r="AK703" s="75">
        <v>0</v>
      </c>
      <c r="AL703" s="95">
        <v>0</v>
      </c>
      <c r="AM703" s="92">
        <v>0</v>
      </c>
      <c r="AN703" s="79" t="s">
        <v>81</v>
      </c>
      <c r="AO703" s="75">
        <v>1</v>
      </c>
      <c r="AP703" s="75" t="s">
        <v>84</v>
      </c>
      <c r="AQ703" s="122">
        <v>1</v>
      </c>
      <c r="AR703" s="515" t="s">
        <v>10</v>
      </c>
      <c r="AS703" s="95">
        <v>0</v>
      </c>
      <c r="AT703" s="75">
        <v>0</v>
      </c>
      <c r="AU703" s="75">
        <v>0</v>
      </c>
      <c r="AV703" s="75">
        <v>0</v>
      </c>
      <c r="AW703" s="123">
        <v>0</v>
      </c>
      <c r="AX703" s="516"/>
      <c r="AY703" s="75">
        <v>0</v>
      </c>
      <c r="AZ703" s="77" t="s">
        <v>131</v>
      </c>
      <c r="BA703" s="78" t="s">
        <v>132</v>
      </c>
      <c r="BB703" s="78" t="s">
        <v>131</v>
      </c>
      <c r="BC703" s="78" t="s">
        <v>131</v>
      </c>
      <c r="BD703" s="78" t="s">
        <v>131</v>
      </c>
      <c r="BE703" s="78" t="s">
        <v>131</v>
      </c>
      <c r="BF703" s="78" t="s">
        <v>131</v>
      </c>
      <c r="BG703" s="78" t="s">
        <v>131</v>
      </c>
      <c r="BH703" s="75" t="s">
        <v>5970</v>
      </c>
      <c r="BI703" s="295" t="s">
        <v>2274</v>
      </c>
      <c r="BJ703" s="546">
        <v>1</v>
      </c>
      <c r="BK703" s="294" t="s">
        <v>16</v>
      </c>
      <c r="BL703" s="157" t="s">
        <v>16</v>
      </c>
      <c r="BM703" s="548" t="s">
        <v>1342</v>
      </c>
      <c r="BN703" s="548" t="s">
        <v>1342</v>
      </c>
      <c r="BO703" s="157" t="s">
        <v>4335</v>
      </c>
      <c r="BP703" s="548" t="s">
        <v>2274</v>
      </c>
      <c r="BQ703" s="157" t="s">
        <v>4236</v>
      </c>
      <c r="BR703" s="157"/>
    </row>
    <row r="704" spans="1:70" x14ac:dyDescent="0.25">
      <c r="A704" s="19" t="s">
        <v>3686</v>
      </c>
      <c r="B704" s="37" t="s">
        <v>2560</v>
      </c>
      <c r="C704" s="90">
        <v>45136.919236111113</v>
      </c>
      <c r="D704" s="114">
        <v>45136.669236111113</v>
      </c>
      <c r="E704" s="38">
        <v>45136</v>
      </c>
      <c r="F704" s="91">
        <v>2023</v>
      </c>
      <c r="G704" s="93">
        <v>7</v>
      </c>
      <c r="H704" s="37" t="s">
        <v>2561</v>
      </c>
      <c r="I704" s="37" t="s">
        <v>16</v>
      </c>
      <c r="J704" s="103">
        <v>-91.647808246766004</v>
      </c>
      <c r="K704" s="40">
        <v>43.457347286664856</v>
      </c>
      <c r="L704" s="74"/>
      <c r="M704" s="272" t="s">
        <v>2562</v>
      </c>
      <c r="N704" s="74">
        <v>1</v>
      </c>
      <c r="O704" s="94"/>
      <c r="P704" s="118">
        <v>0</v>
      </c>
      <c r="Q704" s="510"/>
      <c r="R704" s="513"/>
      <c r="S704" s="41"/>
      <c r="T704" s="40"/>
      <c r="U704" s="40"/>
      <c r="V704" s="119">
        <v>1</v>
      </c>
      <c r="W704" s="40">
        <v>0</v>
      </c>
      <c r="X704" s="119">
        <v>1</v>
      </c>
      <c r="Y704" s="40">
        <v>66</v>
      </c>
      <c r="Z704" s="119">
        <v>0</v>
      </c>
      <c r="AA704" s="368" t="s">
        <v>16</v>
      </c>
      <c r="AB704" s="535" t="s">
        <v>16</v>
      </c>
      <c r="AC704" s="39" t="s">
        <v>160</v>
      </c>
      <c r="AD704" s="75" t="s">
        <v>10</v>
      </c>
      <c r="AE704" s="95">
        <v>0</v>
      </c>
      <c r="AF704" s="75">
        <v>0</v>
      </c>
      <c r="AG704" s="75">
        <v>0</v>
      </c>
      <c r="AH704" s="75">
        <v>0</v>
      </c>
      <c r="AI704" s="75">
        <v>0</v>
      </c>
      <c r="AJ704" s="75">
        <v>0</v>
      </c>
      <c r="AK704" s="75">
        <v>0</v>
      </c>
      <c r="AL704" s="95">
        <v>1</v>
      </c>
      <c r="AM704" s="92">
        <v>0</v>
      </c>
      <c r="AN704" s="79" t="s">
        <v>80</v>
      </c>
      <c r="AO704" s="75">
        <v>1</v>
      </c>
      <c r="AP704" s="75" t="s">
        <v>83</v>
      </c>
      <c r="AQ704" s="122">
        <v>1</v>
      </c>
      <c r="AR704" s="515" t="s">
        <v>10</v>
      </c>
      <c r="AS704" s="95">
        <v>0</v>
      </c>
      <c r="AT704" s="75">
        <v>0</v>
      </c>
      <c r="AU704" s="75">
        <v>0</v>
      </c>
      <c r="AV704" s="75">
        <v>0</v>
      </c>
      <c r="AW704" s="123">
        <v>0</v>
      </c>
      <c r="AX704" s="516" t="s">
        <v>2563</v>
      </c>
      <c r="AY704" s="75">
        <v>1</v>
      </c>
      <c r="AZ704" s="77" t="s">
        <v>131</v>
      </c>
      <c r="BA704" s="78" t="s">
        <v>131</v>
      </c>
      <c r="BB704" s="78" t="s">
        <v>131</v>
      </c>
      <c r="BC704" s="78" t="s">
        <v>131</v>
      </c>
      <c r="BD704" s="78" t="s">
        <v>131</v>
      </c>
      <c r="BE704" s="78" t="s">
        <v>131</v>
      </c>
      <c r="BF704" s="78" t="s">
        <v>131</v>
      </c>
      <c r="BG704" s="78" t="s">
        <v>132</v>
      </c>
      <c r="BH704" s="75" t="s">
        <v>5970</v>
      </c>
      <c r="BI704" s="295">
        <v>0</v>
      </c>
      <c r="BJ704" s="546" t="s">
        <v>16</v>
      </c>
      <c r="BK704" s="294" t="s">
        <v>16</v>
      </c>
      <c r="BL704" s="157" t="s">
        <v>16</v>
      </c>
      <c r="BM704" s="548" t="s">
        <v>1344</v>
      </c>
      <c r="BN704" s="548" t="s">
        <v>1344</v>
      </c>
      <c r="BO704" s="157" t="s">
        <v>4443</v>
      </c>
      <c r="BP704" s="548" t="s">
        <v>4042</v>
      </c>
      <c r="BQ704" s="157" t="s">
        <v>4241</v>
      </c>
      <c r="BR704" s="157"/>
    </row>
    <row r="705" spans="1:70" x14ac:dyDescent="0.25">
      <c r="A705" s="19" t="s">
        <v>3686</v>
      </c>
      <c r="B705" s="37" t="s">
        <v>3949</v>
      </c>
      <c r="C705" s="90">
        <v>45136.87804398148</v>
      </c>
      <c r="D705" s="114">
        <v>45136.62804398148</v>
      </c>
      <c r="E705" s="38">
        <v>45136</v>
      </c>
      <c r="F705" s="91">
        <v>2023</v>
      </c>
      <c r="G705" s="93">
        <v>7</v>
      </c>
      <c r="H705" s="37" t="s">
        <v>3283</v>
      </c>
      <c r="I705" s="37" t="s">
        <v>2277</v>
      </c>
      <c r="J705" s="103">
        <v>-93.384230767307855</v>
      </c>
      <c r="K705" s="40">
        <v>44.779419774080601</v>
      </c>
      <c r="L705" s="74"/>
      <c r="M705" s="272" t="s">
        <v>3950</v>
      </c>
      <c r="N705" s="74">
        <v>1</v>
      </c>
      <c r="O705" s="94"/>
      <c r="P705" s="118">
        <v>1</v>
      </c>
      <c r="Q705" s="510">
        <v>180</v>
      </c>
      <c r="R705" s="513">
        <v>120</v>
      </c>
      <c r="S705" s="41"/>
      <c r="T705" s="40"/>
      <c r="U705" s="40">
        <v>7.5</v>
      </c>
      <c r="V705" s="119">
        <v>0</v>
      </c>
      <c r="W705" s="40"/>
      <c r="X705" s="119">
        <v>0</v>
      </c>
      <c r="Y705" s="40"/>
      <c r="Z705" s="119">
        <v>0</v>
      </c>
      <c r="AA705" s="368" t="s">
        <v>16</v>
      </c>
      <c r="AB705" s="535" t="s">
        <v>16</v>
      </c>
      <c r="AC705" s="39" t="s">
        <v>160</v>
      </c>
      <c r="AD705" s="75" t="s">
        <v>16</v>
      </c>
      <c r="AE705" s="95">
        <v>-1</v>
      </c>
      <c r="AF705" s="75">
        <v>-1</v>
      </c>
      <c r="AG705" s="75">
        <v>-1</v>
      </c>
      <c r="AH705" s="75">
        <v>-1</v>
      </c>
      <c r="AI705" s="75">
        <v>-1</v>
      </c>
      <c r="AJ705" s="75">
        <v>-1</v>
      </c>
      <c r="AK705" s="75">
        <v>-1</v>
      </c>
      <c r="AL705" s="95">
        <v>-1</v>
      </c>
      <c r="AM705" s="92">
        <v>1</v>
      </c>
      <c r="AN705" s="79" t="s">
        <v>16</v>
      </c>
      <c r="AO705" s="75">
        <v>0</v>
      </c>
      <c r="AP705" s="75" t="s">
        <v>83</v>
      </c>
      <c r="AQ705" s="122">
        <v>1</v>
      </c>
      <c r="AR705" s="515" t="s">
        <v>10</v>
      </c>
      <c r="AS705" s="95">
        <v>0</v>
      </c>
      <c r="AT705" s="75">
        <v>0</v>
      </c>
      <c r="AU705" s="75">
        <v>0</v>
      </c>
      <c r="AV705" s="75">
        <v>0</v>
      </c>
      <c r="AW705" s="123">
        <v>0</v>
      </c>
      <c r="AX705" s="516" t="s">
        <v>3951</v>
      </c>
      <c r="AY705" s="75">
        <v>1</v>
      </c>
      <c r="AZ705" s="77" t="s">
        <v>5971</v>
      </c>
      <c r="BA705" s="78" t="s">
        <v>5971</v>
      </c>
      <c r="BB705" s="78" t="s">
        <v>5971</v>
      </c>
      <c r="BC705" s="78" t="s">
        <v>5971</v>
      </c>
      <c r="BD705" s="78" t="s">
        <v>5971</v>
      </c>
      <c r="BE705" s="78" t="s">
        <v>5971</v>
      </c>
      <c r="BF705" s="78" t="s">
        <v>5971</v>
      </c>
      <c r="BG705" s="78" t="s">
        <v>5971</v>
      </c>
      <c r="BH705" s="75" t="s">
        <v>5971</v>
      </c>
      <c r="BI705" s="295" t="s">
        <v>2277</v>
      </c>
      <c r="BJ705" s="546">
        <v>1</v>
      </c>
      <c r="BK705" s="294" t="s">
        <v>16</v>
      </c>
      <c r="BL705" s="157" t="s">
        <v>16</v>
      </c>
      <c r="BM705" s="548" t="s">
        <v>2343</v>
      </c>
      <c r="BN705" s="548" t="s">
        <v>4161</v>
      </c>
      <c r="BO705" s="157" t="s">
        <v>4313</v>
      </c>
      <c r="BP705" s="548" t="s">
        <v>4315</v>
      </c>
      <c r="BQ705" s="157" t="s">
        <v>4312</v>
      </c>
      <c r="BR705" s="157"/>
    </row>
    <row r="706" spans="1:70" x14ac:dyDescent="0.25">
      <c r="A706" s="19" t="s">
        <v>3686</v>
      </c>
      <c r="B706" s="37" t="s">
        <v>2564</v>
      </c>
      <c r="C706" s="90">
        <v>45135.924699074072</v>
      </c>
      <c r="D706" s="114">
        <v>45135.674699074072</v>
      </c>
      <c r="E706" s="38">
        <v>45135</v>
      </c>
      <c r="F706" s="91">
        <v>2023</v>
      </c>
      <c r="G706" s="93">
        <v>7</v>
      </c>
      <c r="H706" s="37" t="s">
        <v>2446</v>
      </c>
      <c r="I706" s="37"/>
      <c r="J706" s="103">
        <v>-91.441414128595483</v>
      </c>
      <c r="K706" s="40">
        <v>44.179971393865515</v>
      </c>
      <c r="L706" s="74"/>
      <c r="M706" s="272" t="s">
        <v>2565</v>
      </c>
      <c r="N706" s="74">
        <v>1</v>
      </c>
      <c r="O706" s="94"/>
      <c r="P706" s="118">
        <v>1</v>
      </c>
      <c r="Q706" s="510">
        <v>0</v>
      </c>
      <c r="R706" s="513">
        <v>30</v>
      </c>
      <c r="S706" s="41"/>
      <c r="T706" s="40"/>
      <c r="U706" s="40">
        <v>7.5</v>
      </c>
      <c r="V706" s="119">
        <v>1</v>
      </c>
      <c r="W706" s="40">
        <v>200</v>
      </c>
      <c r="X706" s="119">
        <v>1</v>
      </c>
      <c r="Y706" s="40">
        <v>67</v>
      </c>
      <c r="Z706" s="119">
        <v>1</v>
      </c>
      <c r="AA706" s="368">
        <v>0</v>
      </c>
      <c r="AB706" s="535">
        <v>0</v>
      </c>
      <c r="AC706" s="39" t="s">
        <v>160</v>
      </c>
      <c r="AD706" s="75" t="s">
        <v>10</v>
      </c>
      <c r="AE706" s="95">
        <v>0</v>
      </c>
      <c r="AF706" s="75">
        <v>0</v>
      </c>
      <c r="AG706" s="75">
        <v>0</v>
      </c>
      <c r="AH706" s="75">
        <v>0</v>
      </c>
      <c r="AI706" s="75">
        <v>0</v>
      </c>
      <c r="AJ706" s="75">
        <v>0</v>
      </c>
      <c r="AK706" s="75">
        <v>0</v>
      </c>
      <c r="AL706" s="95">
        <v>1</v>
      </c>
      <c r="AM706" s="92">
        <v>0</v>
      </c>
      <c r="AN706" s="79" t="s">
        <v>80</v>
      </c>
      <c r="AO706" s="75">
        <v>1</v>
      </c>
      <c r="AP706" s="75" t="s">
        <v>84</v>
      </c>
      <c r="AQ706" s="122">
        <v>1</v>
      </c>
      <c r="AR706" s="515" t="s">
        <v>10</v>
      </c>
      <c r="AS706" s="95">
        <v>0</v>
      </c>
      <c r="AT706" s="75">
        <v>0</v>
      </c>
      <c r="AU706" s="75">
        <v>0</v>
      </c>
      <c r="AV706" s="75">
        <v>0</v>
      </c>
      <c r="AW706" s="123">
        <v>0</v>
      </c>
      <c r="AX706" s="516" t="s">
        <v>2566</v>
      </c>
      <c r="AY706" s="75">
        <v>1</v>
      </c>
      <c r="AZ706" s="77" t="s">
        <v>131</v>
      </c>
      <c r="BA706" s="78" t="s">
        <v>131</v>
      </c>
      <c r="BB706" s="78" t="s">
        <v>131</v>
      </c>
      <c r="BC706" s="78" t="s">
        <v>131</v>
      </c>
      <c r="BD706" s="78" t="s">
        <v>131</v>
      </c>
      <c r="BE706" s="78" t="s">
        <v>131</v>
      </c>
      <c r="BF706" s="78" t="s">
        <v>131</v>
      </c>
      <c r="BG706" s="78" t="s">
        <v>132</v>
      </c>
      <c r="BH706" s="75" t="s">
        <v>5970</v>
      </c>
      <c r="BI706" s="295" t="s">
        <v>3989</v>
      </c>
      <c r="BJ706" s="546">
        <v>1</v>
      </c>
      <c r="BK706" s="294" t="s">
        <v>16</v>
      </c>
      <c r="BL706" s="157" t="s">
        <v>16</v>
      </c>
      <c r="BM706" s="548" t="s">
        <v>1340</v>
      </c>
      <c r="BN706" s="548" t="s">
        <v>4158</v>
      </c>
      <c r="BO706" s="157" t="s">
        <v>4445</v>
      </c>
      <c r="BP706" s="548" t="s">
        <v>3989</v>
      </c>
      <c r="BQ706" s="157" t="s">
        <v>4444</v>
      </c>
      <c r="BR706" s="157"/>
    </row>
    <row r="707" spans="1:70" x14ac:dyDescent="0.25">
      <c r="A707" s="19" t="s">
        <v>3686</v>
      </c>
      <c r="B707" s="37" t="s">
        <v>2567</v>
      </c>
      <c r="C707" s="90">
        <v>45135.798634259256</v>
      </c>
      <c r="D707" s="114">
        <v>45135.548634259256</v>
      </c>
      <c r="E707" s="38">
        <v>45135</v>
      </c>
      <c r="F707" s="91">
        <v>2023</v>
      </c>
      <c r="G707" s="93">
        <v>7</v>
      </c>
      <c r="H707" s="37" t="s">
        <v>2446</v>
      </c>
      <c r="I707" s="37"/>
      <c r="J707" s="103">
        <v>-91.35398285780586</v>
      </c>
      <c r="K707" s="40">
        <v>44.125353924313657</v>
      </c>
      <c r="L707" s="74"/>
      <c r="M707" s="272" t="s">
        <v>2568</v>
      </c>
      <c r="N707" s="74">
        <v>1</v>
      </c>
      <c r="O707" s="94"/>
      <c r="P707" s="118">
        <v>1</v>
      </c>
      <c r="Q707" s="510">
        <v>180</v>
      </c>
      <c r="R707" s="513">
        <v>120</v>
      </c>
      <c r="S707" s="41"/>
      <c r="T707" s="40"/>
      <c r="U707" s="40">
        <v>7.5</v>
      </c>
      <c r="V707" s="119">
        <v>1</v>
      </c>
      <c r="W707" s="40">
        <v>200</v>
      </c>
      <c r="X707" s="119">
        <v>1</v>
      </c>
      <c r="Y707" s="40">
        <v>61</v>
      </c>
      <c r="Z707" s="119">
        <v>0</v>
      </c>
      <c r="AA707" s="368" t="s">
        <v>16</v>
      </c>
      <c r="AB707" s="535" t="s">
        <v>16</v>
      </c>
      <c r="AC707" s="39" t="s">
        <v>160</v>
      </c>
      <c r="AD707" s="75" t="s">
        <v>10</v>
      </c>
      <c r="AE707" s="95">
        <v>0</v>
      </c>
      <c r="AF707" s="75">
        <v>0</v>
      </c>
      <c r="AG707" s="75">
        <v>0</v>
      </c>
      <c r="AH707" s="75">
        <v>0</v>
      </c>
      <c r="AI707" s="75">
        <v>0</v>
      </c>
      <c r="AJ707" s="75">
        <v>0</v>
      </c>
      <c r="AK707" s="75">
        <v>0</v>
      </c>
      <c r="AL707" s="95">
        <v>1</v>
      </c>
      <c r="AM707" s="92">
        <v>0</v>
      </c>
      <c r="AN707" s="79" t="s">
        <v>80</v>
      </c>
      <c r="AO707" s="75">
        <v>1</v>
      </c>
      <c r="AP707" s="75" t="s">
        <v>84</v>
      </c>
      <c r="AQ707" s="122">
        <v>1</v>
      </c>
      <c r="AR707" s="515" t="s">
        <v>10</v>
      </c>
      <c r="AS707" s="95">
        <v>0</v>
      </c>
      <c r="AT707" s="75">
        <v>0</v>
      </c>
      <c r="AU707" s="75">
        <v>0</v>
      </c>
      <c r="AV707" s="75">
        <v>0</v>
      </c>
      <c r="AW707" s="123">
        <v>0</v>
      </c>
      <c r="AX707" s="516" t="s">
        <v>2569</v>
      </c>
      <c r="AY707" s="75">
        <v>1</v>
      </c>
      <c r="AZ707" s="77" t="s">
        <v>131</v>
      </c>
      <c r="BA707" s="78" t="s">
        <v>131</v>
      </c>
      <c r="BB707" s="78" t="s">
        <v>131</v>
      </c>
      <c r="BC707" s="78" t="s">
        <v>131</v>
      </c>
      <c r="BD707" s="78" t="s">
        <v>131</v>
      </c>
      <c r="BE707" s="78" t="s">
        <v>131</v>
      </c>
      <c r="BF707" s="78" t="s">
        <v>131</v>
      </c>
      <c r="BG707" s="78" t="s">
        <v>132</v>
      </c>
      <c r="BH707" s="75" t="s">
        <v>5970</v>
      </c>
      <c r="BI707" s="295">
        <v>0</v>
      </c>
      <c r="BJ707" s="546">
        <v>1</v>
      </c>
      <c r="BK707" s="294" t="s">
        <v>16</v>
      </c>
      <c r="BL707" s="157" t="s">
        <v>16</v>
      </c>
      <c r="BM707" s="548" t="s">
        <v>1342</v>
      </c>
      <c r="BN707" s="548" t="s">
        <v>4158</v>
      </c>
      <c r="BO707" s="157" t="s">
        <v>4448</v>
      </c>
      <c r="BP707" s="548" t="s">
        <v>4450</v>
      </c>
      <c r="BQ707" s="157" t="s">
        <v>4447</v>
      </c>
      <c r="BR707" s="157"/>
    </row>
    <row r="708" spans="1:70" x14ac:dyDescent="0.25">
      <c r="A708" s="19" t="s">
        <v>3686</v>
      </c>
      <c r="B708" s="37" t="s">
        <v>2570</v>
      </c>
      <c r="C708" s="90">
        <v>45135.762372685182</v>
      </c>
      <c r="D708" s="114">
        <v>45135.512372685182</v>
      </c>
      <c r="E708" s="38">
        <v>45135</v>
      </c>
      <c r="F708" s="91">
        <v>2023</v>
      </c>
      <c r="G708" s="93">
        <v>7</v>
      </c>
      <c r="H708" s="37" t="s">
        <v>2446</v>
      </c>
      <c r="I708" s="37"/>
      <c r="J708" s="103">
        <v>-91.322093240105119</v>
      </c>
      <c r="K708" s="40">
        <v>44.108696771754254</v>
      </c>
      <c r="L708" s="74"/>
      <c r="M708" s="272" t="s">
        <v>2571</v>
      </c>
      <c r="N708" s="74">
        <v>1</v>
      </c>
      <c r="O708" s="94"/>
      <c r="P708" s="118">
        <v>1</v>
      </c>
      <c r="Q708" s="510">
        <v>0</v>
      </c>
      <c r="R708" s="513">
        <v>60</v>
      </c>
      <c r="S708" s="41"/>
      <c r="T708" s="40"/>
      <c r="U708" s="40">
        <v>7</v>
      </c>
      <c r="V708" s="119">
        <v>1</v>
      </c>
      <c r="W708" s="40">
        <v>100</v>
      </c>
      <c r="X708" s="119">
        <v>1</v>
      </c>
      <c r="Y708" s="40">
        <v>67</v>
      </c>
      <c r="Z708" s="119">
        <v>1</v>
      </c>
      <c r="AA708" s="368">
        <v>0</v>
      </c>
      <c r="AB708" s="535">
        <v>2</v>
      </c>
      <c r="AC708" s="39" t="s">
        <v>160</v>
      </c>
      <c r="AD708" s="75" t="s">
        <v>551</v>
      </c>
      <c r="AE708" s="95">
        <v>0</v>
      </c>
      <c r="AF708" s="75">
        <v>0</v>
      </c>
      <c r="AG708" s="75">
        <v>0</v>
      </c>
      <c r="AH708" s="75">
        <v>0</v>
      </c>
      <c r="AI708" s="75">
        <v>1</v>
      </c>
      <c r="AJ708" s="75">
        <v>0</v>
      </c>
      <c r="AK708" s="75">
        <v>0</v>
      </c>
      <c r="AL708" s="95">
        <v>0</v>
      </c>
      <c r="AM708" s="92">
        <v>0</v>
      </c>
      <c r="AN708" s="79" t="s">
        <v>80</v>
      </c>
      <c r="AO708" s="75">
        <v>1</v>
      </c>
      <c r="AP708" s="75" t="s">
        <v>83</v>
      </c>
      <c r="AQ708" s="122">
        <v>1</v>
      </c>
      <c r="AR708" s="515" t="s">
        <v>10</v>
      </c>
      <c r="AS708" s="95">
        <v>0</v>
      </c>
      <c r="AT708" s="75">
        <v>0</v>
      </c>
      <c r="AU708" s="75">
        <v>0</v>
      </c>
      <c r="AV708" s="75">
        <v>0</v>
      </c>
      <c r="AW708" s="123">
        <v>0</v>
      </c>
      <c r="AX708" s="516"/>
      <c r="AY708" s="75">
        <v>0</v>
      </c>
      <c r="AZ708" s="77" t="s">
        <v>131</v>
      </c>
      <c r="BA708" s="78" t="s">
        <v>131</v>
      </c>
      <c r="BB708" s="78" t="s">
        <v>131</v>
      </c>
      <c r="BC708" s="78" t="s">
        <v>131</v>
      </c>
      <c r="BD708" s="78" t="s">
        <v>132</v>
      </c>
      <c r="BE708" s="78" t="s">
        <v>131</v>
      </c>
      <c r="BF708" s="78" t="s">
        <v>131</v>
      </c>
      <c r="BG708" s="78" t="s">
        <v>131</v>
      </c>
      <c r="BH708" s="75" t="s">
        <v>5970</v>
      </c>
      <c r="BI708" s="295" t="s">
        <v>4015</v>
      </c>
      <c r="BJ708" s="546">
        <v>1</v>
      </c>
      <c r="BK708" s="294">
        <v>1</v>
      </c>
      <c r="BL708" s="157">
        <v>1</v>
      </c>
      <c r="BM708" s="548" t="s">
        <v>1342</v>
      </c>
      <c r="BN708" s="548" t="s">
        <v>4158</v>
      </c>
      <c r="BO708" s="157" t="s">
        <v>4448</v>
      </c>
      <c r="BP708" s="548" t="s">
        <v>4450</v>
      </c>
      <c r="BQ708" s="157" t="s">
        <v>4447</v>
      </c>
      <c r="BR708" s="157"/>
    </row>
    <row r="709" spans="1:70" x14ac:dyDescent="0.25">
      <c r="A709" s="19" t="s">
        <v>3686</v>
      </c>
      <c r="B709" s="37" t="s">
        <v>2572</v>
      </c>
      <c r="C709" s="90">
        <v>45135.683692129627</v>
      </c>
      <c r="D709" s="114">
        <v>45135.433692129627</v>
      </c>
      <c r="E709" s="38">
        <v>45135</v>
      </c>
      <c r="F709" s="91">
        <v>2023</v>
      </c>
      <c r="G709" s="93">
        <v>7</v>
      </c>
      <c r="H709" s="37" t="s">
        <v>2446</v>
      </c>
      <c r="I709" s="37"/>
      <c r="J709" s="103">
        <v>-91.297735028313596</v>
      </c>
      <c r="K709" s="40">
        <v>44.115683391152629</v>
      </c>
      <c r="L709" s="74"/>
      <c r="M709" s="272" t="s">
        <v>16</v>
      </c>
      <c r="N709" s="74">
        <v>0</v>
      </c>
      <c r="O709" s="94"/>
      <c r="P709" s="118">
        <v>0</v>
      </c>
      <c r="Q709" s="510"/>
      <c r="R709" s="513"/>
      <c r="S709" s="41"/>
      <c r="T709" s="40"/>
      <c r="U709" s="40"/>
      <c r="V709" s="119">
        <v>0</v>
      </c>
      <c r="W709" s="40"/>
      <c r="X709" s="119">
        <v>1</v>
      </c>
      <c r="Y709" s="40">
        <v>67</v>
      </c>
      <c r="Z709" s="119">
        <v>0</v>
      </c>
      <c r="AA709" s="368" t="s">
        <v>16</v>
      </c>
      <c r="AB709" s="535" t="s">
        <v>16</v>
      </c>
      <c r="AC709" s="39" t="s">
        <v>160</v>
      </c>
      <c r="AD709" s="75" t="s">
        <v>10</v>
      </c>
      <c r="AE709" s="95">
        <v>0</v>
      </c>
      <c r="AF709" s="75">
        <v>0</v>
      </c>
      <c r="AG709" s="75">
        <v>0</v>
      </c>
      <c r="AH709" s="75">
        <v>0</v>
      </c>
      <c r="AI709" s="75">
        <v>0</v>
      </c>
      <c r="AJ709" s="75">
        <v>0</v>
      </c>
      <c r="AK709" s="75">
        <v>0</v>
      </c>
      <c r="AL709" s="95">
        <v>1</v>
      </c>
      <c r="AM709" s="92">
        <v>0</v>
      </c>
      <c r="AN709" s="79" t="s">
        <v>80</v>
      </c>
      <c r="AO709" s="75">
        <v>1</v>
      </c>
      <c r="AP709" s="75" t="s">
        <v>84</v>
      </c>
      <c r="AQ709" s="122">
        <v>1</v>
      </c>
      <c r="AR709" s="515" t="s">
        <v>10</v>
      </c>
      <c r="AS709" s="95">
        <v>0</v>
      </c>
      <c r="AT709" s="75">
        <v>0</v>
      </c>
      <c r="AU709" s="75">
        <v>0</v>
      </c>
      <c r="AV709" s="75">
        <v>0</v>
      </c>
      <c r="AW709" s="123">
        <v>0</v>
      </c>
      <c r="AX709" s="516"/>
      <c r="AY709" s="75">
        <v>0</v>
      </c>
      <c r="AZ709" s="77" t="s">
        <v>131</v>
      </c>
      <c r="BA709" s="78" t="s">
        <v>131</v>
      </c>
      <c r="BB709" s="78" t="s">
        <v>131</v>
      </c>
      <c r="BC709" s="78" t="s">
        <v>131</v>
      </c>
      <c r="BD709" s="78" t="s">
        <v>131</v>
      </c>
      <c r="BE709" s="78" t="s">
        <v>131</v>
      </c>
      <c r="BF709" s="78" t="s">
        <v>131</v>
      </c>
      <c r="BG709" s="78" t="s">
        <v>132</v>
      </c>
      <c r="BH709" s="75" t="s">
        <v>5970</v>
      </c>
      <c r="BI709" s="295" t="s">
        <v>4015</v>
      </c>
      <c r="BJ709" s="546">
        <v>1</v>
      </c>
      <c r="BK709" s="294" t="s">
        <v>16</v>
      </c>
      <c r="BL709" s="157" t="s">
        <v>16</v>
      </c>
      <c r="BM709" s="548" t="s">
        <v>1342</v>
      </c>
      <c r="BN709" s="548" t="s">
        <v>4158</v>
      </c>
      <c r="BO709" s="157" t="s">
        <v>4448</v>
      </c>
      <c r="BP709" s="548" t="s">
        <v>4450</v>
      </c>
      <c r="BQ709" s="157" t="s">
        <v>4447</v>
      </c>
      <c r="BR709" s="157"/>
    </row>
    <row r="710" spans="1:70" x14ac:dyDescent="0.25">
      <c r="A710" s="19" t="s">
        <v>3686</v>
      </c>
      <c r="B710" s="37" t="s">
        <v>2573</v>
      </c>
      <c r="C710" s="90">
        <v>45135.675011574072</v>
      </c>
      <c r="D710" s="114">
        <v>45135.425011574072</v>
      </c>
      <c r="E710" s="38">
        <v>45135</v>
      </c>
      <c r="F710" s="91">
        <v>2023</v>
      </c>
      <c r="G710" s="93">
        <v>7</v>
      </c>
      <c r="H710" s="37" t="s">
        <v>606</v>
      </c>
      <c r="I710" s="37" t="s">
        <v>16</v>
      </c>
      <c r="J710" s="103">
        <v>-92.146966787322981</v>
      </c>
      <c r="K710" s="40">
        <v>44.242763272358957</v>
      </c>
      <c r="L710" s="74"/>
      <c r="M710" s="272" t="s">
        <v>2574</v>
      </c>
      <c r="N710" s="74">
        <v>1</v>
      </c>
      <c r="O710" s="94"/>
      <c r="P710" s="118">
        <v>1</v>
      </c>
      <c r="Q710" s="510">
        <v>40</v>
      </c>
      <c r="R710" s="513">
        <v>120</v>
      </c>
      <c r="S710" s="41"/>
      <c r="T710" s="40"/>
      <c r="U710" s="40">
        <v>7</v>
      </c>
      <c r="V710" s="119">
        <v>1</v>
      </c>
      <c r="W710" s="40">
        <v>0</v>
      </c>
      <c r="X710" s="119">
        <v>1</v>
      </c>
      <c r="Y710" s="40">
        <v>62</v>
      </c>
      <c r="Z710" s="119">
        <v>1</v>
      </c>
      <c r="AA710" s="368">
        <v>0</v>
      </c>
      <c r="AB710" s="535">
        <v>2</v>
      </c>
      <c r="AC710" s="39" t="s">
        <v>160</v>
      </c>
      <c r="AD710" s="75" t="s">
        <v>10</v>
      </c>
      <c r="AE710" s="95">
        <v>0</v>
      </c>
      <c r="AF710" s="75">
        <v>0</v>
      </c>
      <c r="AG710" s="75">
        <v>0</v>
      </c>
      <c r="AH710" s="75">
        <v>0</v>
      </c>
      <c r="AI710" s="75">
        <v>0</v>
      </c>
      <c r="AJ710" s="75">
        <v>0</v>
      </c>
      <c r="AK710" s="75">
        <v>0</v>
      </c>
      <c r="AL710" s="95">
        <v>1</v>
      </c>
      <c r="AM710" s="92">
        <v>0</v>
      </c>
      <c r="AN710" s="79" t="s">
        <v>80</v>
      </c>
      <c r="AO710" s="75">
        <v>1</v>
      </c>
      <c r="AP710" s="75" t="s">
        <v>83</v>
      </c>
      <c r="AQ710" s="122">
        <v>1</v>
      </c>
      <c r="AR710" s="515" t="s">
        <v>10</v>
      </c>
      <c r="AS710" s="95">
        <v>0</v>
      </c>
      <c r="AT710" s="75">
        <v>0</v>
      </c>
      <c r="AU710" s="75">
        <v>0</v>
      </c>
      <c r="AV710" s="75">
        <v>0</v>
      </c>
      <c r="AW710" s="123">
        <v>0</v>
      </c>
      <c r="AX710" s="516" t="s">
        <v>2575</v>
      </c>
      <c r="AY710" s="75">
        <v>1</v>
      </c>
      <c r="AZ710" s="77" t="s">
        <v>131</v>
      </c>
      <c r="BA710" s="78" t="s">
        <v>131</v>
      </c>
      <c r="BB710" s="78" t="s">
        <v>131</v>
      </c>
      <c r="BC710" s="78" t="s">
        <v>131</v>
      </c>
      <c r="BD710" s="78" t="s">
        <v>131</v>
      </c>
      <c r="BE710" s="78" t="s">
        <v>131</v>
      </c>
      <c r="BF710" s="78" t="s">
        <v>131</v>
      </c>
      <c r="BG710" s="78" t="s">
        <v>132</v>
      </c>
      <c r="BH710" s="75" t="s">
        <v>5970</v>
      </c>
      <c r="BI710" s="295" t="s">
        <v>317</v>
      </c>
      <c r="BJ710" s="546">
        <v>1</v>
      </c>
      <c r="BK710" s="294">
        <v>1</v>
      </c>
      <c r="BL710" s="157">
        <v>1</v>
      </c>
      <c r="BM710" s="548" t="s">
        <v>1339</v>
      </c>
      <c r="BN710" s="548" t="s">
        <v>1339</v>
      </c>
      <c r="BO710" s="157" t="s">
        <v>4358</v>
      </c>
      <c r="BP710" s="548" t="s">
        <v>317</v>
      </c>
      <c r="BQ710" s="157" t="s">
        <v>4330</v>
      </c>
      <c r="BR710" s="157"/>
    </row>
    <row r="711" spans="1:70" x14ac:dyDescent="0.25">
      <c r="A711" s="19" t="s">
        <v>3686</v>
      </c>
      <c r="B711" s="37" t="s">
        <v>2576</v>
      </c>
      <c r="C711" s="90">
        <v>45135.666134259256</v>
      </c>
      <c r="D711" s="114">
        <v>45135.416134259256</v>
      </c>
      <c r="E711" s="38">
        <v>45135</v>
      </c>
      <c r="F711" s="91">
        <v>2023</v>
      </c>
      <c r="G711" s="93">
        <v>7</v>
      </c>
      <c r="H711" s="37" t="s">
        <v>1364</v>
      </c>
      <c r="I711" s="37" t="s">
        <v>958</v>
      </c>
      <c r="J711" s="103">
        <v>-92.575564999999997</v>
      </c>
      <c r="K711" s="40">
        <v>44.488341699999999</v>
      </c>
      <c r="L711" s="74"/>
      <c r="M711" s="272" t="s">
        <v>2577</v>
      </c>
      <c r="N711" s="74">
        <v>1</v>
      </c>
      <c r="O711" s="94"/>
      <c r="P711" s="118">
        <v>1</v>
      </c>
      <c r="Q711" s="510">
        <v>180</v>
      </c>
      <c r="R711" s="513">
        <v>180</v>
      </c>
      <c r="S711" s="41"/>
      <c r="T711" s="40"/>
      <c r="U711" s="40">
        <v>7.5</v>
      </c>
      <c r="V711" s="119">
        <v>1</v>
      </c>
      <c r="W711" s="40">
        <v>100</v>
      </c>
      <c r="X711" s="119">
        <v>1</v>
      </c>
      <c r="Y711" s="40">
        <v>63</v>
      </c>
      <c r="Z711" s="119">
        <v>1</v>
      </c>
      <c r="AA711" s="368">
        <v>0</v>
      </c>
      <c r="AB711" s="535">
        <v>2</v>
      </c>
      <c r="AC711" s="39" t="s">
        <v>160</v>
      </c>
      <c r="AD711" s="75" t="s">
        <v>10</v>
      </c>
      <c r="AE711" s="95">
        <v>0</v>
      </c>
      <c r="AF711" s="75">
        <v>0</v>
      </c>
      <c r="AG711" s="75">
        <v>0</v>
      </c>
      <c r="AH711" s="75">
        <v>0</v>
      </c>
      <c r="AI711" s="75">
        <v>0</v>
      </c>
      <c r="AJ711" s="75">
        <v>0</v>
      </c>
      <c r="AK711" s="75">
        <v>0</v>
      </c>
      <c r="AL711" s="95">
        <v>1</v>
      </c>
      <c r="AM711" s="92">
        <v>0</v>
      </c>
      <c r="AN711" s="79" t="s">
        <v>81</v>
      </c>
      <c r="AO711" s="75">
        <v>1</v>
      </c>
      <c r="AP711" s="75" t="s">
        <v>83</v>
      </c>
      <c r="AQ711" s="122">
        <v>1</v>
      </c>
      <c r="AR711" s="515" t="s">
        <v>35</v>
      </c>
      <c r="AS711" s="95">
        <v>0</v>
      </c>
      <c r="AT711" s="75">
        <v>1</v>
      </c>
      <c r="AU711" s="75">
        <v>0</v>
      </c>
      <c r="AV711" s="75">
        <v>0</v>
      </c>
      <c r="AW711" s="123">
        <v>0</v>
      </c>
      <c r="AX711" s="516" t="s">
        <v>2578</v>
      </c>
      <c r="AY711" s="75">
        <v>1</v>
      </c>
      <c r="AZ711" s="77" t="s">
        <v>131</v>
      </c>
      <c r="BA711" s="78" t="s">
        <v>131</v>
      </c>
      <c r="BB711" s="78" t="s">
        <v>131</v>
      </c>
      <c r="BC711" s="78" t="s">
        <v>131</v>
      </c>
      <c r="BD711" s="78" t="s">
        <v>131</v>
      </c>
      <c r="BE711" s="78" t="s">
        <v>131</v>
      </c>
      <c r="BF711" s="78" t="s">
        <v>131</v>
      </c>
      <c r="BG711" s="78" t="s">
        <v>132</v>
      </c>
      <c r="BH711" s="75" t="s">
        <v>5970</v>
      </c>
      <c r="BI711" s="295" t="s">
        <v>2238</v>
      </c>
      <c r="BJ711" s="546">
        <v>1</v>
      </c>
      <c r="BK711" s="294" t="s">
        <v>16</v>
      </c>
      <c r="BL711" s="157" t="s">
        <v>16</v>
      </c>
      <c r="BM711" s="548" t="s">
        <v>2343</v>
      </c>
      <c r="BN711" s="548" t="s">
        <v>4161</v>
      </c>
      <c r="BO711" s="157" t="s">
        <v>4308</v>
      </c>
      <c r="BP711" s="548" t="s">
        <v>2238</v>
      </c>
      <c r="BQ711" s="157" t="s">
        <v>4307</v>
      </c>
      <c r="BR711" s="157"/>
    </row>
    <row r="712" spans="1:70" x14ac:dyDescent="0.25">
      <c r="A712" s="19" t="s">
        <v>3686</v>
      </c>
      <c r="B712" s="37" t="s">
        <v>2579</v>
      </c>
      <c r="C712" s="90">
        <v>45135.665439814817</v>
      </c>
      <c r="D712" s="114">
        <v>45135.415439814817</v>
      </c>
      <c r="E712" s="38">
        <v>45135</v>
      </c>
      <c r="F712" s="91">
        <v>2023</v>
      </c>
      <c r="G712" s="93">
        <v>7</v>
      </c>
      <c r="H712" s="37" t="s">
        <v>2446</v>
      </c>
      <c r="I712" s="37"/>
      <c r="J712" s="103">
        <v>-91.292698729825005</v>
      </c>
      <c r="K712" s="40">
        <v>44.12167628416227</v>
      </c>
      <c r="L712" s="74"/>
      <c r="M712" s="272" t="s">
        <v>16</v>
      </c>
      <c r="N712" s="74">
        <v>0</v>
      </c>
      <c r="O712" s="94"/>
      <c r="P712" s="118">
        <v>0</v>
      </c>
      <c r="Q712" s="510"/>
      <c r="R712" s="513"/>
      <c r="S712" s="41"/>
      <c r="T712" s="40"/>
      <c r="U712" s="40"/>
      <c r="V712" s="119">
        <v>0</v>
      </c>
      <c r="W712" s="40"/>
      <c r="X712" s="119">
        <v>1</v>
      </c>
      <c r="Y712" s="40">
        <v>58</v>
      </c>
      <c r="Z712" s="119">
        <v>0</v>
      </c>
      <c r="AA712" s="368" t="s">
        <v>16</v>
      </c>
      <c r="AB712" s="535" t="s">
        <v>16</v>
      </c>
      <c r="AC712" s="39" t="s">
        <v>160</v>
      </c>
      <c r="AD712" s="75" t="s">
        <v>7</v>
      </c>
      <c r="AE712" s="95">
        <v>1</v>
      </c>
      <c r="AF712" s="75">
        <v>0</v>
      </c>
      <c r="AG712" s="75">
        <v>0</v>
      </c>
      <c r="AH712" s="75">
        <v>0</v>
      </c>
      <c r="AI712" s="75">
        <v>0</v>
      </c>
      <c r="AJ712" s="75">
        <v>0</v>
      </c>
      <c r="AK712" s="75">
        <v>0</v>
      </c>
      <c r="AL712" s="95">
        <v>0</v>
      </c>
      <c r="AM712" s="92">
        <v>0</v>
      </c>
      <c r="AN712" s="79" t="s">
        <v>80</v>
      </c>
      <c r="AO712" s="75">
        <v>1</v>
      </c>
      <c r="AP712" s="75" t="s">
        <v>83</v>
      </c>
      <c r="AQ712" s="122">
        <v>1</v>
      </c>
      <c r="AR712" s="515" t="s">
        <v>10</v>
      </c>
      <c r="AS712" s="95">
        <v>0</v>
      </c>
      <c r="AT712" s="75">
        <v>0</v>
      </c>
      <c r="AU712" s="75">
        <v>0</v>
      </c>
      <c r="AV712" s="75">
        <v>0</v>
      </c>
      <c r="AW712" s="123">
        <v>0</v>
      </c>
      <c r="AX712" s="516"/>
      <c r="AY712" s="75">
        <v>0</v>
      </c>
      <c r="AZ712" s="77" t="s">
        <v>132</v>
      </c>
      <c r="BA712" s="78" t="s">
        <v>131</v>
      </c>
      <c r="BB712" s="78" t="s">
        <v>131</v>
      </c>
      <c r="BC712" s="78" t="s">
        <v>131</v>
      </c>
      <c r="BD712" s="78" t="s">
        <v>131</v>
      </c>
      <c r="BE712" s="78" t="s">
        <v>131</v>
      </c>
      <c r="BF712" s="78" t="s">
        <v>131</v>
      </c>
      <c r="BG712" s="78" t="s">
        <v>131</v>
      </c>
      <c r="BH712" s="75" t="s">
        <v>5970</v>
      </c>
      <c r="BI712" s="295" t="s">
        <v>4015</v>
      </c>
      <c r="BJ712" s="546">
        <v>1</v>
      </c>
      <c r="BK712" s="294" t="s">
        <v>16</v>
      </c>
      <c r="BL712" s="157" t="s">
        <v>16</v>
      </c>
      <c r="BM712" s="548" t="s">
        <v>1342</v>
      </c>
      <c r="BN712" s="548" t="s">
        <v>4158</v>
      </c>
      <c r="BO712" s="157" t="s">
        <v>4448</v>
      </c>
      <c r="BP712" s="548" t="s">
        <v>4450</v>
      </c>
      <c r="BQ712" s="157" t="s">
        <v>4447</v>
      </c>
      <c r="BR712" s="157"/>
    </row>
    <row r="713" spans="1:70" x14ac:dyDescent="0.25">
      <c r="A713" s="19" t="s">
        <v>3686</v>
      </c>
      <c r="B713" s="37" t="s">
        <v>2580</v>
      </c>
      <c r="C713" s="90">
        <v>45135.651400462964</v>
      </c>
      <c r="D713" s="114">
        <v>45135.401400462964</v>
      </c>
      <c r="E713" s="38">
        <v>45135</v>
      </c>
      <c r="F713" s="91">
        <v>2023</v>
      </c>
      <c r="G713" s="93">
        <v>7</v>
      </c>
      <c r="H713" s="37" t="s">
        <v>2446</v>
      </c>
      <c r="I713" s="37"/>
      <c r="J713" s="103">
        <v>-91.292662813486075</v>
      </c>
      <c r="K713" s="40">
        <v>44.120671754529056</v>
      </c>
      <c r="L713" s="74"/>
      <c r="M713" s="272" t="s">
        <v>16</v>
      </c>
      <c r="N713" s="74">
        <v>0</v>
      </c>
      <c r="O713" s="94"/>
      <c r="P713" s="118">
        <v>0</v>
      </c>
      <c r="Q713" s="510"/>
      <c r="R713" s="513"/>
      <c r="S713" s="41"/>
      <c r="T713" s="40"/>
      <c r="U713" s="40"/>
      <c r="V713" s="119">
        <v>0</v>
      </c>
      <c r="W713" s="40"/>
      <c r="X713" s="119">
        <v>1</v>
      </c>
      <c r="Y713" s="40">
        <v>58</v>
      </c>
      <c r="Z713" s="119">
        <v>0</v>
      </c>
      <c r="AA713" s="368" t="s">
        <v>16</v>
      </c>
      <c r="AB713" s="535" t="s">
        <v>16</v>
      </c>
      <c r="AC713" s="39" t="s">
        <v>160</v>
      </c>
      <c r="AD713" s="75" t="s">
        <v>10</v>
      </c>
      <c r="AE713" s="95">
        <v>0</v>
      </c>
      <c r="AF713" s="75">
        <v>0</v>
      </c>
      <c r="AG713" s="75">
        <v>0</v>
      </c>
      <c r="AH713" s="75">
        <v>0</v>
      </c>
      <c r="AI713" s="75">
        <v>0</v>
      </c>
      <c r="AJ713" s="75">
        <v>0</v>
      </c>
      <c r="AK713" s="75">
        <v>0</v>
      </c>
      <c r="AL713" s="95">
        <v>1</v>
      </c>
      <c r="AM713" s="92">
        <v>0</v>
      </c>
      <c r="AN713" s="79" t="s">
        <v>80</v>
      </c>
      <c r="AO713" s="75">
        <v>1</v>
      </c>
      <c r="AP713" s="75" t="s">
        <v>83</v>
      </c>
      <c r="AQ713" s="122">
        <v>1</v>
      </c>
      <c r="AR713" s="515" t="s">
        <v>10</v>
      </c>
      <c r="AS713" s="95">
        <v>0</v>
      </c>
      <c r="AT713" s="75">
        <v>0</v>
      </c>
      <c r="AU713" s="75">
        <v>0</v>
      </c>
      <c r="AV713" s="75">
        <v>0</v>
      </c>
      <c r="AW713" s="123">
        <v>0</v>
      </c>
      <c r="AX713" s="516"/>
      <c r="AY713" s="75">
        <v>0</v>
      </c>
      <c r="AZ713" s="77" t="s">
        <v>131</v>
      </c>
      <c r="BA713" s="78" t="s">
        <v>131</v>
      </c>
      <c r="BB713" s="78" t="s">
        <v>131</v>
      </c>
      <c r="BC713" s="78" t="s">
        <v>131</v>
      </c>
      <c r="BD713" s="78" t="s">
        <v>131</v>
      </c>
      <c r="BE713" s="78" t="s">
        <v>131</v>
      </c>
      <c r="BF713" s="78" t="s">
        <v>131</v>
      </c>
      <c r="BG713" s="78" t="s">
        <v>132</v>
      </c>
      <c r="BH713" s="75" t="s">
        <v>5970</v>
      </c>
      <c r="BI713" s="295" t="s">
        <v>4015</v>
      </c>
      <c r="BJ713" s="546">
        <v>1</v>
      </c>
      <c r="BK713" s="294" t="s">
        <v>16</v>
      </c>
      <c r="BL713" s="157" t="s">
        <v>16</v>
      </c>
      <c r="BM713" s="548" t="s">
        <v>1342</v>
      </c>
      <c r="BN713" s="548" t="s">
        <v>4158</v>
      </c>
      <c r="BO713" s="157" t="s">
        <v>4448</v>
      </c>
      <c r="BP713" s="548" t="s">
        <v>4450</v>
      </c>
      <c r="BQ713" s="157" t="s">
        <v>4447</v>
      </c>
      <c r="BR713" s="157"/>
    </row>
    <row r="714" spans="1:70" x14ac:dyDescent="0.25">
      <c r="A714" s="19" t="s">
        <v>3686</v>
      </c>
      <c r="B714" s="37" t="s">
        <v>2581</v>
      </c>
      <c r="C714" s="90">
        <v>45135.640405092592</v>
      </c>
      <c r="D714" s="114">
        <v>45135.390405092592</v>
      </c>
      <c r="E714" s="38">
        <v>45135</v>
      </c>
      <c r="F714" s="91">
        <v>2023</v>
      </c>
      <c r="G714" s="93">
        <v>7</v>
      </c>
      <c r="H714" s="37" t="s">
        <v>1364</v>
      </c>
      <c r="I714" s="37" t="s">
        <v>959</v>
      </c>
      <c r="J714" s="103">
        <v>-92.5970133</v>
      </c>
      <c r="K714" s="40">
        <v>44.472661700000003</v>
      </c>
      <c r="L714" s="74"/>
      <c r="M714" s="272" t="s">
        <v>2582</v>
      </c>
      <c r="N714" s="74">
        <v>1</v>
      </c>
      <c r="O714" s="94"/>
      <c r="P714" s="118">
        <v>1</v>
      </c>
      <c r="Q714" s="510">
        <v>80</v>
      </c>
      <c r="R714" s="513">
        <v>120</v>
      </c>
      <c r="S714" s="41"/>
      <c r="T714" s="40"/>
      <c r="U714" s="40">
        <v>7.5</v>
      </c>
      <c r="V714" s="119">
        <v>1</v>
      </c>
      <c r="W714" s="40">
        <v>100</v>
      </c>
      <c r="X714" s="119">
        <v>1</v>
      </c>
      <c r="Y714" s="40">
        <v>59</v>
      </c>
      <c r="Z714" s="119">
        <v>1</v>
      </c>
      <c r="AA714" s="368">
        <v>0</v>
      </c>
      <c r="AB714" s="535">
        <v>2</v>
      </c>
      <c r="AC714" s="39" t="s">
        <v>160</v>
      </c>
      <c r="AD714" s="75" t="s">
        <v>10</v>
      </c>
      <c r="AE714" s="95">
        <v>0</v>
      </c>
      <c r="AF714" s="75">
        <v>0</v>
      </c>
      <c r="AG714" s="75">
        <v>0</v>
      </c>
      <c r="AH714" s="75">
        <v>0</v>
      </c>
      <c r="AI714" s="75">
        <v>0</v>
      </c>
      <c r="AJ714" s="75">
        <v>0</v>
      </c>
      <c r="AK714" s="75">
        <v>0</v>
      </c>
      <c r="AL714" s="95">
        <v>1</v>
      </c>
      <c r="AM714" s="92">
        <v>0</v>
      </c>
      <c r="AN714" s="79" t="s">
        <v>81</v>
      </c>
      <c r="AO714" s="75">
        <v>1</v>
      </c>
      <c r="AP714" s="75" t="s">
        <v>83</v>
      </c>
      <c r="AQ714" s="122">
        <v>1</v>
      </c>
      <c r="AR714" s="515" t="s">
        <v>35</v>
      </c>
      <c r="AS714" s="95">
        <v>0</v>
      </c>
      <c r="AT714" s="75">
        <v>1</v>
      </c>
      <c r="AU714" s="75">
        <v>0</v>
      </c>
      <c r="AV714" s="75">
        <v>0</v>
      </c>
      <c r="AW714" s="123">
        <v>0</v>
      </c>
      <c r="AX714" s="516" t="s">
        <v>2583</v>
      </c>
      <c r="AY714" s="75">
        <v>1</v>
      </c>
      <c r="AZ714" s="77" t="s">
        <v>131</v>
      </c>
      <c r="BA714" s="78" t="s">
        <v>131</v>
      </c>
      <c r="BB714" s="78" t="s">
        <v>131</v>
      </c>
      <c r="BC714" s="78" t="s">
        <v>131</v>
      </c>
      <c r="BD714" s="78" t="s">
        <v>131</v>
      </c>
      <c r="BE714" s="78" t="s">
        <v>131</v>
      </c>
      <c r="BF714" s="78" t="s">
        <v>131</v>
      </c>
      <c r="BG714" s="78" t="s">
        <v>132</v>
      </c>
      <c r="BH714" s="75" t="s">
        <v>5970</v>
      </c>
      <c r="BI714" s="295" t="s">
        <v>2238</v>
      </c>
      <c r="BJ714" s="546">
        <v>1</v>
      </c>
      <c r="BK714" s="294" t="s">
        <v>16</v>
      </c>
      <c r="BL714" s="157" t="s">
        <v>16</v>
      </c>
      <c r="BM714" s="548" t="s">
        <v>2343</v>
      </c>
      <c r="BN714" s="548" t="s">
        <v>4161</v>
      </c>
      <c r="BO714" s="157" t="s">
        <v>4308</v>
      </c>
      <c r="BP714" s="548" t="s">
        <v>2238</v>
      </c>
      <c r="BQ714" s="157" t="s">
        <v>4307</v>
      </c>
      <c r="BR714" s="157"/>
    </row>
    <row r="715" spans="1:70" x14ac:dyDescent="0.25">
      <c r="A715" s="19" t="s">
        <v>3686</v>
      </c>
      <c r="B715" s="37" t="s">
        <v>2584</v>
      </c>
      <c r="C715" s="90">
        <v>45135.607627314814</v>
      </c>
      <c r="D715" s="114">
        <v>45135.357627314814</v>
      </c>
      <c r="E715" s="38">
        <v>45135</v>
      </c>
      <c r="F715" s="91">
        <v>2023</v>
      </c>
      <c r="G715" s="93">
        <v>7</v>
      </c>
      <c r="H715" s="37" t="s">
        <v>606</v>
      </c>
      <c r="I715" s="37"/>
      <c r="J715" s="103">
        <v>-92.236304695313237</v>
      </c>
      <c r="K715" s="40">
        <v>44.230598354692418</v>
      </c>
      <c r="L715" s="74"/>
      <c r="M715" s="272" t="s">
        <v>2585</v>
      </c>
      <c r="N715" s="74">
        <v>1</v>
      </c>
      <c r="O715" s="94"/>
      <c r="P715" s="118">
        <v>1</v>
      </c>
      <c r="Q715" s="510">
        <v>180</v>
      </c>
      <c r="R715" s="513">
        <v>180</v>
      </c>
      <c r="S715" s="41"/>
      <c r="T715" s="40"/>
      <c r="U715" s="40">
        <v>8</v>
      </c>
      <c r="V715" s="119">
        <v>1</v>
      </c>
      <c r="W715" s="40">
        <v>100</v>
      </c>
      <c r="X715" s="119">
        <v>1</v>
      </c>
      <c r="Y715" s="40">
        <v>62</v>
      </c>
      <c r="Z715" s="119">
        <v>1</v>
      </c>
      <c r="AA715" s="368">
        <v>0</v>
      </c>
      <c r="AB715" s="535">
        <v>2</v>
      </c>
      <c r="AC715" s="39" t="s">
        <v>160</v>
      </c>
      <c r="AD715" s="75" t="s">
        <v>10</v>
      </c>
      <c r="AE715" s="95">
        <v>0</v>
      </c>
      <c r="AF715" s="75">
        <v>0</v>
      </c>
      <c r="AG715" s="75">
        <v>0</v>
      </c>
      <c r="AH715" s="75">
        <v>0</v>
      </c>
      <c r="AI715" s="75">
        <v>0</v>
      </c>
      <c r="AJ715" s="75">
        <v>0</v>
      </c>
      <c r="AK715" s="75">
        <v>0</v>
      </c>
      <c r="AL715" s="95">
        <v>1</v>
      </c>
      <c r="AM715" s="92">
        <v>0</v>
      </c>
      <c r="AN715" s="79" t="s">
        <v>80</v>
      </c>
      <c r="AO715" s="75">
        <v>1</v>
      </c>
      <c r="AP715" s="75" t="s">
        <v>83</v>
      </c>
      <c r="AQ715" s="122">
        <v>1</v>
      </c>
      <c r="AR715" s="515" t="s">
        <v>10</v>
      </c>
      <c r="AS715" s="95">
        <v>0</v>
      </c>
      <c r="AT715" s="75">
        <v>0</v>
      </c>
      <c r="AU715" s="75">
        <v>0</v>
      </c>
      <c r="AV715" s="75">
        <v>0</v>
      </c>
      <c r="AW715" s="123">
        <v>0</v>
      </c>
      <c r="AX715" s="516" t="s">
        <v>2586</v>
      </c>
      <c r="AY715" s="75">
        <v>1</v>
      </c>
      <c r="AZ715" s="77" t="s">
        <v>131</v>
      </c>
      <c r="BA715" s="78" t="s">
        <v>131</v>
      </c>
      <c r="BB715" s="78" t="s">
        <v>131</v>
      </c>
      <c r="BC715" s="78" t="s">
        <v>131</v>
      </c>
      <c r="BD715" s="78" t="s">
        <v>131</v>
      </c>
      <c r="BE715" s="78" t="s">
        <v>131</v>
      </c>
      <c r="BF715" s="78" t="s">
        <v>131</v>
      </c>
      <c r="BG715" s="78" t="s">
        <v>132</v>
      </c>
      <c r="BH715" s="75" t="s">
        <v>5970</v>
      </c>
      <c r="BI715" s="295" t="s">
        <v>3966</v>
      </c>
      <c r="BJ715" s="546">
        <v>1</v>
      </c>
      <c r="BK715" s="294">
        <v>1</v>
      </c>
      <c r="BL715" s="157">
        <v>1</v>
      </c>
      <c r="BM715" s="548" t="s">
        <v>1339</v>
      </c>
      <c r="BN715" s="548" t="s">
        <v>1339</v>
      </c>
      <c r="BO715" s="157" t="s">
        <v>4334</v>
      </c>
      <c r="BP715" s="548" t="s">
        <v>3966</v>
      </c>
      <c r="BQ715" s="157" t="s">
        <v>4330</v>
      </c>
      <c r="BR715" s="157"/>
    </row>
    <row r="716" spans="1:70" x14ac:dyDescent="0.25">
      <c r="A716" s="19" t="s">
        <v>3686</v>
      </c>
      <c r="B716" s="37" t="s">
        <v>2587</v>
      </c>
      <c r="C716" s="90">
        <v>45135.606099537035</v>
      </c>
      <c r="D716" s="114">
        <v>45135.356099537035</v>
      </c>
      <c r="E716" s="38">
        <v>45135</v>
      </c>
      <c r="F716" s="91">
        <v>2023</v>
      </c>
      <c r="G716" s="93">
        <v>7</v>
      </c>
      <c r="H716" s="37" t="s">
        <v>461</v>
      </c>
      <c r="I716" s="37" t="s">
        <v>154</v>
      </c>
      <c r="J716" s="103">
        <v>-92.146943262504223</v>
      </c>
      <c r="K716" s="40">
        <v>44.793199320832677</v>
      </c>
      <c r="L716" s="74"/>
      <c r="M716" s="272" t="s">
        <v>2588</v>
      </c>
      <c r="N716" s="74">
        <v>1</v>
      </c>
      <c r="O716" s="94"/>
      <c r="P716" s="118">
        <v>1</v>
      </c>
      <c r="Q716" s="510">
        <v>120</v>
      </c>
      <c r="R716" s="513">
        <v>120</v>
      </c>
      <c r="S716" s="41"/>
      <c r="T716" s="40"/>
      <c r="U716" s="40">
        <v>7.5</v>
      </c>
      <c r="V716" s="119">
        <v>1</v>
      </c>
      <c r="W716" s="40">
        <v>200</v>
      </c>
      <c r="X716" s="119">
        <v>1</v>
      </c>
      <c r="Y716" s="40">
        <v>64</v>
      </c>
      <c r="Z716" s="119">
        <v>1</v>
      </c>
      <c r="AA716" s="368">
        <v>0</v>
      </c>
      <c r="AB716" s="535">
        <v>2</v>
      </c>
      <c r="AC716" s="39" t="s">
        <v>160</v>
      </c>
      <c r="AD716" s="75" t="s">
        <v>10</v>
      </c>
      <c r="AE716" s="95">
        <v>0</v>
      </c>
      <c r="AF716" s="75">
        <v>0</v>
      </c>
      <c r="AG716" s="75">
        <v>0</v>
      </c>
      <c r="AH716" s="75">
        <v>0</v>
      </c>
      <c r="AI716" s="75">
        <v>0</v>
      </c>
      <c r="AJ716" s="75">
        <v>0</v>
      </c>
      <c r="AK716" s="75">
        <v>0</v>
      </c>
      <c r="AL716" s="95">
        <v>1</v>
      </c>
      <c r="AM716" s="92">
        <v>0</v>
      </c>
      <c r="AN716" s="79" t="s">
        <v>81</v>
      </c>
      <c r="AO716" s="75">
        <v>1</v>
      </c>
      <c r="AP716" s="75" t="s">
        <v>85</v>
      </c>
      <c r="AQ716" s="122">
        <v>1</v>
      </c>
      <c r="AR716" s="515" t="s">
        <v>904</v>
      </c>
      <c r="AS716" s="95">
        <v>1</v>
      </c>
      <c r="AT716" s="75">
        <v>1</v>
      </c>
      <c r="AU716" s="75">
        <v>0</v>
      </c>
      <c r="AV716" s="75">
        <v>0</v>
      </c>
      <c r="AW716" s="123">
        <v>0</v>
      </c>
      <c r="AX716" s="516" t="s">
        <v>2589</v>
      </c>
      <c r="AY716" s="75">
        <v>1</v>
      </c>
      <c r="AZ716" s="77" t="s">
        <v>131</v>
      </c>
      <c r="BA716" s="78" t="s">
        <v>131</v>
      </c>
      <c r="BB716" s="78" t="s">
        <v>131</v>
      </c>
      <c r="BC716" s="78" t="s">
        <v>131</v>
      </c>
      <c r="BD716" s="78" t="s">
        <v>131</v>
      </c>
      <c r="BE716" s="78" t="s">
        <v>131</v>
      </c>
      <c r="BF716" s="78" t="s">
        <v>131</v>
      </c>
      <c r="BG716" s="78" t="s">
        <v>132</v>
      </c>
      <c r="BH716" s="75" t="s">
        <v>5970</v>
      </c>
      <c r="BI716" s="295" t="s">
        <v>2270</v>
      </c>
      <c r="BJ716" s="546">
        <v>1</v>
      </c>
      <c r="BK716" s="294">
        <v>1</v>
      </c>
      <c r="BL716" s="157">
        <v>1</v>
      </c>
      <c r="BM716" s="548" t="s">
        <v>578</v>
      </c>
      <c r="BN716" s="548" t="s">
        <v>578</v>
      </c>
      <c r="BO716" s="157" t="s">
        <v>4317</v>
      </c>
      <c r="BP716" s="548" t="s">
        <v>2270</v>
      </c>
      <c r="BQ716" s="157" t="s">
        <v>4316</v>
      </c>
      <c r="BR716" s="157"/>
    </row>
    <row r="717" spans="1:70" x14ac:dyDescent="0.25">
      <c r="A717" s="19" t="s">
        <v>3686</v>
      </c>
      <c r="B717" s="37" t="s">
        <v>2590</v>
      </c>
      <c r="C717" s="90">
        <v>45134.682083333333</v>
      </c>
      <c r="D717" s="114">
        <v>45134.432083333333</v>
      </c>
      <c r="E717" s="38">
        <v>45134</v>
      </c>
      <c r="F717" s="91">
        <v>2023</v>
      </c>
      <c r="G717" s="93">
        <v>7</v>
      </c>
      <c r="H717" s="37" t="s">
        <v>2446</v>
      </c>
      <c r="I717" s="37"/>
      <c r="J717" s="103">
        <v>-91.001118873214807</v>
      </c>
      <c r="K717" s="40">
        <v>44.089353964334862</v>
      </c>
      <c r="L717" s="74"/>
      <c r="M717" s="272" t="s">
        <v>2591</v>
      </c>
      <c r="N717" s="74">
        <v>1</v>
      </c>
      <c r="O717" s="94"/>
      <c r="P717" s="118">
        <v>0</v>
      </c>
      <c r="Q717" s="510"/>
      <c r="R717" s="513"/>
      <c r="S717" s="41"/>
      <c r="T717" s="40"/>
      <c r="U717" s="40"/>
      <c r="V717" s="119">
        <v>0</v>
      </c>
      <c r="W717" s="40"/>
      <c r="X717" s="119">
        <v>1</v>
      </c>
      <c r="Y717" s="40">
        <v>60</v>
      </c>
      <c r="Z717" s="119">
        <v>0</v>
      </c>
      <c r="AA717" s="368" t="s">
        <v>16</v>
      </c>
      <c r="AB717" s="535" t="s">
        <v>16</v>
      </c>
      <c r="AC717" s="39" t="s">
        <v>160</v>
      </c>
      <c r="AD717" s="75" t="s">
        <v>10</v>
      </c>
      <c r="AE717" s="95">
        <v>0</v>
      </c>
      <c r="AF717" s="75">
        <v>0</v>
      </c>
      <c r="AG717" s="75">
        <v>0</v>
      </c>
      <c r="AH717" s="75">
        <v>0</v>
      </c>
      <c r="AI717" s="75">
        <v>0</v>
      </c>
      <c r="AJ717" s="75">
        <v>0</v>
      </c>
      <c r="AK717" s="75">
        <v>0</v>
      </c>
      <c r="AL717" s="95">
        <v>1</v>
      </c>
      <c r="AM717" s="92">
        <v>0</v>
      </c>
      <c r="AN717" s="79" t="s">
        <v>80</v>
      </c>
      <c r="AO717" s="75">
        <v>1</v>
      </c>
      <c r="AP717" s="75" t="s">
        <v>83</v>
      </c>
      <c r="AQ717" s="122">
        <v>1</v>
      </c>
      <c r="AR717" s="515" t="s">
        <v>10</v>
      </c>
      <c r="AS717" s="95">
        <v>0</v>
      </c>
      <c r="AT717" s="75">
        <v>0</v>
      </c>
      <c r="AU717" s="75">
        <v>0</v>
      </c>
      <c r="AV717" s="75">
        <v>0</v>
      </c>
      <c r="AW717" s="123">
        <v>0</v>
      </c>
      <c r="AX717" s="516" t="s">
        <v>2592</v>
      </c>
      <c r="AY717" s="75">
        <v>1</v>
      </c>
      <c r="AZ717" s="77" t="s">
        <v>131</v>
      </c>
      <c r="BA717" s="78" t="s">
        <v>131</v>
      </c>
      <c r="BB717" s="78" t="s">
        <v>131</v>
      </c>
      <c r="BC717" s="78" t="s">
        <v>131</v>
      </c>
      <c r="BD717" s="78" t="s">
        <v>131</v>
      </c>
      <c r="BE717" s="78" t="s">
        <v>131</v>
      </c>
      <c r="BF717" s="78" t="s">
        <v>131</v>
      </c>
      <c r="BG717" s="78" t="s">
        <v>132</v>
      </c>
      <c r="BH717" s="75" t="s">
        <v>5970</v>
      </c>
      <c r="BI717" s="295" t="s">
        <v>4001</v>
      </c>
      <c r="BJ717" s="546">
        <v>1</v>
      </c>
      <c r="BK717" s="294">
        <v>1</v>
      </c>
      <c r="BL717" s="157">
        <v>1</v>
      </c>
      <c r="BM717" s="548" t="s">
        <v>1342</v>
      </c>
      <c r="BN717" s="548" t="s">
        <v>4158</v>
      </c>
      <c r="BO717" s="157" t="s">
        <v>4451</v>
      </c>
      <c r="BP717" s="548" t="s">
        <v>4001</v>
      </c>
      <c r="BQ717" s="157" t="s">
        <v>4449</v>
      </c>
      <c r="BR717" s="157"/>
    </row>
    <row r="718" spans="1:70" x14ac:dyDescent="0.25">
      <c r="A718" s="19" t="s">
        <v>3686</v>
      </c>
      <c r="B718" s="37" t="s">
        <v>2593</v>
      </c>
      <c r="C718" s="90">
        <v>45134.623252314814</v>
      </c>
      <c r="D718" s="114">
        <v>45134.373252314814</v>
      </c>
      <c r="E718" s="38">
        <v>45134</v>
      </c>
      <c r="F718" s="91">
        <v>2023</v>
      </c>
      <c r="G718" s="93">
        <v>7</v>
      </c>
      <c r="H718" s="37" t="s">
        <v>2446</v>
      </c>
      <c r="I718" s="37"/>
      <c r="J718" s="103">
        <v>-90.943106533847541</v>
      </c>
      <c r="K718" s="40">
        <v>44.057508178195434</v>
      </c>
      <c r="L718" s="74"/>
      <c r="M718" s="272" t="s">
        <v>2594</v>
      </c>
      <c r="N718" s="74">
        <v>1</v>
      </c>
      <c r="O718" s="94"/>
      <c r="P718" s="118">
        <v>1</v>
      </c>
      <c r="Q718" s="510">
        <v>40</v>
      </c>
      <c r="R718" s="513">
        <v>60</v>
      </c>
      <c r="S718" s="41"/>
      <c r="T718" s="40"/>
      <c r="U718" s="40">
        <v>6.5</v>
      </c>
      <c r="V718" s="119">
        <v>1</v>
      </c>
      <c r="W718" s="40">
        <v>300</v>
      </c>
      <c r="X718" s="119">
        <v>1</v>
      </c>
      <c r="Y718" s="40">
        <v>58</v>
      </c>
      <c r="Z718" s="119">
        <v>1</v>
      </c>
      <c r="AA718" s="368">
        <v>0</v>
      </c>
      <c r="AB718" s="535">
        <v>5</v>
      </c>
      <c r="AC718" s="39" t="s">
        <v>160</v>
      </c>
      <c r="AD718" s="75" t="s">
        <v>10</v>
      </c>
      <c r="AE718" s="95">
        <v>0</v>
      </c>
      <c r="AF718" s="75">
        <v>0</v>
      </c>
      <c r="AG718" s="75">
        <v>0</v>
      </c>
      <c r="AH718" s="75">
        <v>0</v>
      </c>
      <c r="AI718" s="75">
        <v>0</v>
      </c>
      <c r="AJ718" s="75">
        <v>0</v>
      </c>
      <c r="AK718" s="75">
        <v>0</v>
      </c>
      <c r="AL718" s="95">
        <v>1</v>
      </c>
      <c r="AM718" s="92">
        <v>0</v>
      </c>
      <c r="AN718" s="79" t="s">
        <v>80</v>
      </c>
      <c r="AO718" s="75">
        <v>1</v>
      </c>
      <c r="AP718" s="75" t="s">
        <v>83</v>
      </c>
      <c r="AQ718" s="122">
        <v>1</v>
      </c>
      <c r="AR718" s="515" t="s">
        <v>35</v>
      </c>
      <c r="AS718" s="95">
        <v>0</v>
      </c>
      <c r="AT718" s="75">
        <v>1</v>
      </c>
      <c r="AU718" s="75">
        <v>0</v>
      </c>
      <c r="AV718" s="75">
        <v>0</v>
      </c>
      <c r="AW718" s="123">
        <v>0</v>
      </c>
      <c r="AX718" s="516" t="s">
        <v>2595</v>
      </c>
      <c r="AY718" s="75">
        <v>1</v>
      </c>
      <c r="AZ718" s="77" t="s">
        <v>131</v>
      </c>
      <c r="BA718" s="78" t="s">
        <v>131</v>
      </c>
      <c r="BB718" s="78" t="s">
        <v>131</v>
      </c>
      <c r="BC718" s="78" t="s">
        <v>131</v>
      </c>
      <c r="BD718" s="78" t="s">
        <v>131</v>
      </c>
      <c r="BE718" s="78" t="s">
        <v>131</v>
      </c>
      <c r="BF718" s="78" t="s">
        <v>131</v>
      </c>
      <c r="BG718" s="78" t="s">
        <v>132</v>
      </c>
      <c r="BH718" s="75" t="s">
        <v>5970</v>
      </c>
      <c r="BI718" s="295" t="s">
        <v>4001</v>
      </c>
      <c r="BJ718" s="546">
        <v>1</v>
      </c>
      <c r="BK718" s="294">
        <v>1</v>
      </c>
      <c r="BL718" s="157">
        <v>1</v>
      </c>
      <c r="BM718" s="548" t="s">
        <v>1342</v>
      </c>
      <c r="BN718" s="548" t="s">
        <v>4158</v>
      </c>
      <c r="BO718" s="157" t="s">
        <v>4451</v>
      </c>
      <c r="BP718" s="548" t="s">
        <v>4001</v>
      </c>
      <c r="BQ718" s="157" t="s">
        <v>4449</v>
      </c>
      <c r="BR718" s="157"/>
    </row>
    <row r="719" spans="1:70" x14ac:dyDescent="0.25">
      <c r="A719" s="19" t="s">
        <v>3686</v>
      </c>
      <c r="B719" s="37" t="s">
        <v>2596</v>
      </c>
      <c r="C719" s="90">
        <v>45134.597962962966</v>
      </c>
      <c r="D719" s="114">
        <v>45134.347962962966</v>
      </c>
      <c r="E719" s="38">
        <v>45134</v>
      </c>
      <c r="F719" s="91">
        <v>2023</v>
      </c>
      <c r="G719" s="93">
        <v>7</v>
      </c>
      <c r="H719" s="37" t="s">
        <v>2548</v>
      </c>
      <c r="I719" s="37"/>
      <c r="J719" s="103">
        <v>-90.664344114139723</v>
      </c>
      <c r="K719" s="40">
        <v>43.340820796204696</v>
      </c>
      <c r="L719" s="74"/>
      <c r="M719" s="272" t="s">
        <v>16</v>
      </c>
      <c r="N719" s="74">
        <v>0</v>
      </c>
      <c r="O719" s="94"/>
      <c r="P719" s="118">
        <v>1</v>
      </c>
      <c r="Q719" s="510">
        <v>180</v>
      </c>
      <c r="R719" s="513">
        <v>180</v>
      </c>
      <c r="S719" s="41"/>
      <c r="T719" s="40"/>
      <c r="U719" s="40">
        <v>7.5</v>
      </c>
      <c r="V719" s="119">
        <v>0</v>
      </c>
      <c r="W719" s="40"/>
      <c r="X719" s="119">
        <v>1</v>
      </c>
      <c r="Y719" s="40">
        <v>62</v>
      </c>
      <c r="Z719" s="119">
        <v>1</v>
      </c>
      <c r="AA719" s="368">
        <v>0</v>
      </c>
      <c r="AB719" s="535">
        <v>2</v>
      </c>
      <c r="AC719" s="39" t="s">
        <v>160</v>
      </c>
      <c r="AD719" s="75" t="s">
        <v>10</v>
      </c>
      <c r="AE719" s="95">
        <v>0</v>
      </c>
      <c r="AF719" s="75">
        <v>0</v>
      </c>
      <c r="AG719" s="75">
        <v>0</v>
      </c>
      <c r="AH719" s="75">
        <v>0</v>
      </c>
      <c r="AI719" s="75">
        <v>0</v>
      </c>
      <c r="AJ719" s="75">
        <v>0</v>
      </c>
      <c r="AK719" s="75">
        <v>0</v>
      </c>
      <c r="AL719" s="95">
        <v>1</v>
      </c>
      <c r="AM719" s="92">
        <v>0</v>
      </c>
      <c r="AN719" s="79" t="s">
        <v>80</v>
      </c>
      <c r="AO719" s="75">
        <v>1</v>
      </c>
      <c r="AP719" s="75" t="s">
        <v>83</v>
      </c>
      <c r="AQ719" s="122">
        <v>1</v>
      </c>
      <c r="AR719" s="515" t="s">
        <v>10</v>
      </c>
      <c r="AS719" s="95">
        <v>0</v>
      </c>
      <c r="AT719" s="75">
        <v>0</v>
      </c>
      <c r="AU719" s="75">
        <v>0</v>
      </c>
      <c r="AV719" s="75">
        <v>0</v>
      </c>
      <c r="AW719" s="123">
        <v>0</v>
      </c>
      <c r="AX719" s="516"/>
      <c r="AY719" s="75">
        <v>0</v>
      </c>
      <c r="AZ719" s="77" t="s">
        <v>131</v>
      </c>
      <c r="BA719" s="78" t="s">
        <v>131</v>
      </c>
      <c r="BB719" s="78" t="s">
        <v>131</v>
      </c>
      <c r="BC719" s="78" t="s">
        <v>131</v>
      </c>
      <c r="BD719" s="78" t="s">
        <v>131</v>
      </c>
      <c r="BE719" s="78" t="s">
        <v>131</v>
      </c>
      <c r="BF719" s="78" t="s">
        <v>131</v>
      </c>
      <c r="BG719" s="78" t="s">
        <v>132</v>
      </c>
      <c r="BH719" s="75" t="s">
        <v>5970</v>
      </c>
      <c r="BI719" s="295" t="s">
        <v>4095</v>
      </c>
      <c r="BJ719" s="546">
        <v>1</v>
      </c>
      <c r="BK719" s="294" t="s">
        <v>16</v>
      </c>
      <c r="BL719" s="157" t="s">
        <v>16</v>
      </c>
      <c r="BM719" s="548" t="s">
        <v>1342</v>
      </c>
      <c r="BN719" s="548" t="s">
        <v>4158</v>
      </c>
      <c r="BO719" s="157" t="s">
        <v>4453</v>
      </c>
      <c r="BP719" s="548" t="s">
        <v>4454</v>
      </c>
      <c r="BQ719" s="157" t="s">
        <v>4427</v>
      </c>
      <c r="BR719" s="157"/>
    </row>
    <row r="720" spans="1:70" x14ac:dyDescent="0.25">
      <c r="A720" s="19" t="s">
        <v>3686</v>
      </c>
      <c r="B720" s="37" t="s">
        <v>2597</v>
      </c>
      <c r="C720" s="90">
        <v>45134.52076388889</v>
      </c>
      <c r="D720" s="114">
        <v>45134.27076388889</v>
      </c>
      <c r="E720" s="38">
        <v>45134</v>
      </c>
      <c r="F720" s="91">
        <v>2023</v>
      </c>
      <c r="G720" s="93">
        <v>7</v>
      </c>
      <c r="H720" s="37" t="s">
        <v>2548</v>
      </c>
      <c r="I720" s="37"/>
      <c r="J720" s="103">
        <v>-90.559654239002285</v>
      </c>
      <c r="K720" s="40">
        <v>43.364109937827124</v>
      </c>
      <c r="L720" s="74"/>
      <c r="M720" s="272" t="s">
        <v>16</v>
      </c>
      <c r="N720" s="74">
        <v>0</v>
      </c>
      <c r="O720" s="94"/>
      <c r="P720" s="118">
        <v>1</v>
      </c>
      <c r="Q720" s="510">
        <v>180</v>
      </c>
      <c r="R720" s="513">
        <v>120</v>
      </c>
      <c r="S720" s="41"/>
      <c r="T720" s="40"/>
      <c r="U720" s="40">
        <v>7</v>
      </c>
      <c r="V720" s="119">
        <v>1</v>
      </c>
      <c r="W720" s="40">
        <v>0</v>
      </c>
      <c r="X720" s="119">
        <v>1</v>
      </c>
      <c r="Y720" s="40">
        <v>55</v>
      </c>
      <c r="Z720" s="119">
        <v>1</v>
      </c>
      <c r="AA720" s="368">
        <v>0</v>
      </c>
      <c r="AB720" s="535">
        <v>1</v>
      </c>
      <c r="AC720" s="39" t="s">
        <v>160</v>
      </c>
      <c r="AD720" s="75" t="s">
        <v>10</v>
      </c>
      <c r="AE720" s="95">
        <v>0</v>
      </c>
      <c r="AF720" s="75">
        <v>0</v>
      </c>
      <c r="AG720" s="75">
        <v>0</v>
      </c>
      <c r="AH720" s="75">
        <v>0</v>
      </c>
      <c r="AI720" s="75">
        <v>0</v>
      </c>
      <c r="AJ720" s="75">
        <v>0</v>
      </c>
      <c r="AK720" s="75">
        <v>0</v>
      </c>
      <c r="AL720" s="95">
        <v>1</v>
      </c>
      <c r="AM720" s="92">
        <v>0</v>
      </c>
      <c r="AN720" s="79" t="s">
        <v>80</v>
      </c>
      <c r="AO720" s="75">
        <v>1</v>
      </c>
      <c r="AP720" s="75" t="s">
        <v>83</v>
      </c>
      <c r="AQ720" s="122">
        <v>1</v>
      </c>
      <c r="AR720" s="515" t="s">
        <v>10</v>
      </c>
      <c r="AS720" s="95">
        <v>0</v>
      </c>
      <c r="AT720" s="75">
        <v>0</v>
      </c>
      <c r="AU720" s="75">
        <v>0</v>
      </c>
      <c r="AV720" s="75">
        <v>0</v>
      </c>
      <c r="AW720" s="123">
        <v>0</v>
      </c>
      <c r="AX720" s="516"/>
      <c r="AY720" s="75">
        <v>0</v>
      </c>
      <c r="AZ720" s="77" t="s">
        <v>131</v>
      </c>
      <c r="BA720" s="78" t="s">
        <v>131</v>
      </c>
      <c r="BB720" s="78" t="s">
        <v>131</v>
      </c>
      <c r="BC720" s="78" t="s">
        <v>131</v>
      </c>
      <c r="BD720" s="78" t="s">
        <v>131</v>
      </c>
      <c r="BE720" s="78" t="s">
        <v>131</v>
      </c>
      <c r="BF720" s="78" t="s">
        <v>131</v>
      </c>
      <c r="BG720" s="78" t="s">
        <v>132</v>
      </c>
      <c r="BH720" s="75" t="s">
        <v>5970</v>
      </c>
      <c r="BI720" s="295" t="s">
        <v>4090</v>
      </c>
      <c r="BJ720" s="546">
        <v>1</v>
      </c>
      <c r="BK720" s="294">
        <v>1</v>
      </c>
      <c r="BL720" s="157">
        <v>1</v>
      </c>
      <c r="BM720" s="548" t="s">
        <v>1342</v>
      </c>
      <c r="BN720" s="548" t="s">
        <v>4158</v>
      </c>
      <c r="BO720" s="157" t="s">
        <v>4298</v>
      </c>
      <c r="BP720" s="548" t="s">
        <v>4302</v>
      </c>
      <c r="BQ720" s="157" t="s">
        <v>4297</v>
      </c>
      <c r="BR720" s="157"/>
    </row>
    <row r="721" spans="1:70" x14ac:dyDescent="0.25">
      <c r="A721" s="19" t="s">
        <v>3686</v>
      </c>
      <c r="B721" s="37" t="s">
        <v>2598</v>
      </c>
      <c r="C721" s="90">
        <v>45133.877743055556</v>
      </c>
      <c r="D721" s="114">
        <v>45133.627743055556</v>
      </c>
      <c r="E721" s="38">
        <v>45133</v>
      </c>
      <c r="F721" s="91">
        <v>2023</v>
      </c>
      <c r="G721" s="93">
        <v>7</v>
      </c>
      <c r="H721" s="37" t="s">
        <v>2446</v>
      </c>
      <c r="I721" s="37"/>
      <c r="J721" s="103">
        <v>-91.568349409713022</v>
      </c>
      <c r="K721" s="40">
        <v>44.213526160203173</v>
      </c>
      <c r="L721" s="74"/>
      <c r="M721" s="272" t="s">
        <v>2599</v>
      </c>
      <c r="N721" s="74">
        <v>1</v>
      </c>
      <c r="O721" s="94"/>
      <c r="P721" s="118">
        <v>1</v>
      </c>
      <c r="Q721" s="510">
        <v>180</v>
      </c>
      <c r="R721" s="513">
        <v>120</v>
      </c>
      <c r="S721" s="41"/>
      <c r="T721" s="40"/>
      <c r="U721" s="40">
        <v>7.5</v>
      </c>
      <c r="V721" s="119">
        <v>1</v>
      </c>
      <c r="W721" s="40">
        <v>200</v>
      </c>
      <c r="X721" s="119">
        <v>1</v>
      </c>
      <c r="Y721" s="40">
        <v>69</v>
      </c>
      <c r="Z721" s="119">
        <v>1</v>
      </c>
      <c r="AA721" s="368">
        <v>0</v>
      </c>
      <c r="AB721" s="535">
        <v>2</v>
      </c>
      <c r="AC721" s="39" t="s">
        <v>160</v>
      </c>
      <c r="AD721" s="75" t="s">
        <v>439</v>
      </c>
      <c r="AE721" s="95">
        <v>0</v>
      </c>
      <c r="AF721" s="75">
        <v>1</v>
      </c>
      <c r="AG721" s="75">
        <v>0</v>
      </c>
      <c r="AH721" s="75">
        <v>0</v>
      </c>
      <c r="AI721" s="75">
        <v>1</v>
      </c>
      <c r="AJ721" s="75">
        <v>0</v>
      </c>
      <c r="AK721" s="75">
        <v>0</v>
      </c>
      <c r="AL721" s="95">
        <v>0</v>
      </c>
      <c r="AM721" s="92">
        <v>0</v>
      </c>
      <c r="AN721" s="79" t="s">
        <v>81</v>
      </c>
      <c r="AO721" s="75">
        <v>1</v>
      </c>
      <c r="AP721" s="75" t="s">
        <v>85</v>
      </c>
      <c r="AQ721" s="122">
        <v>1</v>
      </c>
      <c r="AR721" s="515" t="s">
        <v>35</v>
      </c>
      <c r="AS721" s="95">
        <v>0</v>
      </c>
      <c r="AT721" s="75">
        <v>1</v>
      </c>
      <c r="AU721" s="75">
        <v>0</v>
      </c>
      <c r="AV721" s="75">
        <v>0</v>
      </c>
      <c r="AW721" s="123">
        <v>0</v>
      </c>
      <c r="AX721" s="516" t="s">
        <v>2600</v>
      </c>
      <c r="AY721" s="75">
        <v>1</v>
      </c>
      <c r="AZ721" s="77" t="s">
        <v>131</v>
      </c>
      <c r="BA721" s="78" t="s">
        <v>132</v>
      </c>
      <c r="BB721" s="78" t="s">
        <v>131</v>
      </c>
      <c r="BC721" s="78" t="s">
        <v>131</v>
      </c>
      <c r="BD721" s="78" t="s">
        <v>132</v>
      </c>
      <c r="BE721" s="78" t="s">
        <v>131</v>
      </c>
      <c r="BF721" s="78" t="s">
        <v>131</v>
      </c>
      <c r="BG721" s="78" t="s">
        <v>131</v>
      </c>
      <c r="BH721" s="75" t="s">
        <v>5970</v>
      </c>
      <c r="BI721" s="295" t="s">
        <v>3988</v>
      </c>
      <c r="BJ721" s="546">
        <v>1</v>
      </c>
      <c r="BK721" s="294" t="s">
        <v>16</v>
      </c>
      <c r="BL721" s="157" t="s">
        <v>16</v>
      </c>
      <c r="BM721" s="548" t="s">
        <v>1340</v>
      </c>
      <c r="BN721" s="548" t="s">
        <v>4158</v>
      </c>
      <c r="BO721" s="157" t="s">
        <v>4455</v>
      </c>
      <c r="BP721" s="548" t="s">
        <v>4457</v>
      </c>
      <c r="BQ721" s="157" t="s">
        <v>4444</v>
      </c>
      <c r="BR721" s="157"/>
    </row>
    <row r="722" spans="1:70" x14ac:dyDescent="0.25">
      <c r="A722" s="19" t="s">
        <v>3686</v>
      </c>
      <c r="B722" s="37" t="s">
        <v>2601</v>
      </c>
      <c r="C722" s="90">
        <v>45133.864479166667</v>
      </c>
      <c r="D722" s="114">
        <v>45133.614479166667</v>
      </c>
      <c r="E722" s="38">
        <v>45133</v>
      </c>
      <c r="F722" s="91">
        <v>2023</v>
      </c>
      <c r="G722" s="93">
        <v>7</v>
      </c>
      <c r="H722" s="37" t="s">
        <v>2548</v>
      </c>
      <c r="I722" s="37"/>
      <c r="J722" s="103">
        <v>-90.609765597550464</v>
      </c>
      <c r="K722" s="40">
        <v>43.390554581335159</v>
      </c>
      <c r="L722" s="74"/>
      <c r="M722" s="272" t="s">
        <v>16</v>
      </c>
      <c r="N722" s="74">
        <v>0</v>
      </c>
      <c r="O722" s="94"/>
      <c r="P722" s="118">
        <v>1</v>
      </c>
      <c r="Q722" s="510">
        <v>180</v>
      </c>
      <c r="R722" s="513">
        <v>120</v>
      </c>
      <c r="S722" s="41"/>
      <c r="T722" s="40"/>
      <c r="U722" s="40">
        <v>8</v>
      </c>
      <c r="V722" s="119">
        <v>1</v>
      </c>
      <c r="W722" s="40">
        <v>100</v>
      </c>
      <c r="X722" s="119">
        <v>1</v>
      </c>
      <c r="Y722" s="40">
        <v>71</v>
      </c>
      <c r="Z722" s="119">
        <v>1</v>
      </c>
      <c r="AA722" s="368">
        <v>0</v>
      </c>
      <c r="AB722" s="535">
        <v>0</v>
      </c>
      <c r="AC722" s="39" t="s">
        <v>160</v>
      </c>
      <c r="AD722" s="75" t="s">
        <v>10</v>
      </c>
      <c r="AE722" s="95">
        <v>0</v>
      </c>
      <c r="AF722" s="75">
        <v>0</v>
      </c>
      <c r="AG722" s="75">
        <v>0</v>
      </c>
      <c r="AH722" s="75">
        <v>0</v>
      </c>
      <c r="AI722" s="75">
        <v>0</v>
      </c>
      <c r="AJ722" s="75">
        <v>0</v>
      </c>
      <c r="AK722" s="75">
        <v>0</v>
      </c>
      <c r="AL722" s="95">
        <v>1</v>
      </c>
      <c r="AM722" s="92">
        <v>0</v>
      </c>
      <c r="AN722" s="79" t="s">
        <v>80</v>
      </c>
      <c r="AO722" s="75">
        <v>1</v>
      </c>
      <c r="AP722" s="75" t="s">
        <v>83</v>
      </c>
      <c r="AQ722" s="122">
        <v>1</v>
      </c>
      <c r="AR722" s="515" t="s">
        <v>10</v>
      </c>
      <c r="AS722" s="95">
        <v>0</v>
      </c>
      <c r="AT722" s="75">
        <v>0</v>
      </c>
      <c r="AU722" s="75">
        <v>0</v>
      </c>
      <c r="AV722" s="75">
        <v>0</v>
      </c>
      <c r="AW722" s="123">
        <v>0</v>
      </c>
      <c r="AX722" s="516"/>
      <c r="AY722" s="75">
        <v>0</v>
      </c>
      <c r="AZ722" s="77" t="s">
        <v>131</v>
      </c>
      <c r="BA722" s="78" t="s">
        <v>131</v>
      </c>
      <c r="BB722" s="78" t="s">
        <v>131</v>
      </c>
      <c r="BC722" s="78" t="s">
        <v>131</v>
      </c>
      <c r="BD722" s="78" t="s">
        <v>131</v>
      </c>
      <c r="BE722" s="78" t="s">
        <v>131</v>
      </c>
      <c r="BF722" s="78" t="s">
        <v>131</v>
      </c>
      <c r="BG722" s="78" t="s">
        <v>132</v>
      </c>
      <c r="BH722" s="75" t="s">
        <v>5970</v>
      </c>
      <c r="BI722" s="295" t="s">
        <v>4087</v>
      </c>
      <c r="BJ722" s="546">
        <v>1</v>
      </c>
      <c r="BK722" s="294" t="s">
        <v>16</v>
      </c>
      <c r="BL722" s="157" t="s">
        <v>16</v>
      </c>
      <c r="BM722" s="548" t="s">
        <v>1342</v>
      </c>
      <c r="BN722" s="548" t="s">
        <v>4158</v>
      </c>
      <c r="BO722" s="157" t="s">
        <v>4298</v>
      </c>
      <c r="BP722" s="548" t="s">
        <v>4302</v>
      </c>
      <c r="BQ722" s="157" t="s">
        <v>4297</v>
      </c>
      <c r="BR722" s="157"/>
    </row>
    <row r="723" spans="1:70" x14ac:dyDescent="0.25">
      <c r="A723" s="19" t="s">
        <v>3686</v>
      </c>
      <c r="B723" s="37" t="s">
        <v>2602</v>
      </c>
      <c r="C723" s="90">
        <v>45133.769953703704</v>
      </c>
      <c r="D723" s="114">
        <v>45133.519953703704</v>
      </c>
      <c r="E723" s="38">
        <v>45133</v>
      </c>
      <c r="F723" s="91">
        <v>2023</v>
      </c>
      <c r="G723" s="93">
        <v>7</v>
      </c>
      <c r="H723" s="37" t="s">
        <v>2400</v>
      </c>
      <c r="I723" s="37"/>
      <c r="J723" s="103">
        <v>-90.546493400000003</v>
      </c>
      <c r="K723" s="40">
        <v>43.415717700000002</v>
      </c>
      <c r="L723" s="74"/>
      <c r="M723" s="272" t="s">
        <v>16</v>
      </c>
      <c r="N723" s="74">
        <v>0</v>
      </c>
      <c r="O723" s="94"/>
      <c r="P723" s="118">
        <v>1</v>
      </c>
      <c r="Q723" s="510">
        <v>180</v>
      </c>
      <c r="R723" s="513">
        <v>180</v>
      </c>
      <c r="S723" s="41"/>
      <c r="T723" s="40"/>
      <c r="U723" s="40">
        <v>8</v>
      </c>
      <c r="V723" s="119">
        <v>1</v>
      </c>
      <c r="W723" s="40">
        <v>0</v>
      </c>
      <c r="X723" s="119">
        <v>1</v>
      </c>
      <c r="Y723" s="40">
        <v>63</v>
      </c>
      <c r="Z723" s="119">
        <v>1</v>
      </c>
      <c r="AA723" s="368">
        <v>0</v>
      </c>
      <c r="AB723" s="535">
        <v>0</v>
      </c>
      <c r="AC723" s="39" t="s">
        <v>160</v>
      </c>
      <c r="AD723" s="75" t="s">
        <v>10</v>
      </c>
      <c r="AE723" s="95">
        <v>0</v>
      </c>
      <c r="AF723" s="75">
        <v>0</v>
      </c>
      <c r="AG723" s="75">
        <v>0</v>
      </c>
      <c r="AH723" s="75">
        <v>0</v>
      </c>
      <c r="AI723" s="75">
        <v>0</v>
      </c>
      <c r="AJ723" s="75">
        <v>0</v>
      </c>
      <c r="AK723" s="75">
        <v>0</v>
      </c>
      <c r="AL723" s="95">
        <v>1</v>
      </c>
      <c r="AM723" s="92">
        <v>0</v>
      </c>
      <c r="AN723" s="79" t="s">
        <v>80</v>
      </c>
      <c r="AO723" s="75">
        <v>1</v>
      </c>
      <c r="AP723" s="75" t="s">
        <v>83</v>
      </c>
      <c r="AQ723" s="122">
        <v>1</v>
      </c>
      <c r="AR723" s="515" t="s">
        <v>10</v>
      </c>
      <c r="AS723" s="95">
        <v>0</v>
      </c>
      <c r="AT723" s="75">
        <v>0</v>
      </c>
      <c r="AU723" s="75">
        <v>0</v>
      </c>
      <c r="AV723" s="75">
        <v>0</v>
      </c>
      <c r="AW723" s="123">
        <v>0</v>
      </c>
      <c r="AX723" s="516"/>
      <c r="AY723" s="75">
        <v>0</v>
      </c>
      <c r="AZ723" s="77" t="s">
        <v>131</v>
      </c>
      <c r="BA723" s="78" t="s">
        <v>131</v>
      </c>
      <c r="BB723" s="78" t="s">
        <v>131</v>
      </c>
      <c r="BC723" s="78" t="s">
        <v>131</v>
      </c>
      <c r="BD723" s="78" t="s">
        <v>131</v>
      </c>
      <c r="BE723" s="78" t="s">
        <v>131</v>
      </c>
      <c r="BF723" s="78" t="s">
        <v>131</v>
      </c>
      <c r="BG723" s="78" t="s">
        <v>132</v>
      </c>
      <c r="BH723" s="75" t="s">
        <v>5970</v>
      </c>
      <c r="BI723" s="295" t="s">
        <v>4083</v>
      </c>
      <c r="BJ723" s="546">
        <v>1</v>
      </c>
      <c r="BK723" s="294">
        <v>1</v>
      </c>
      <c r="BL723" s="157">
        <v>1</v>
      </c>
      <c r="BM723" s="548" t="s">
        <v>1342</v>
      </c>
      <c r="BN723" s="548" t="s">
        <v>4158</v>
      </c>
      <c r="BO723" s="157" t="s">
        <v>4298</v>
      </c>
      <c r="BP723" s="548" t="s">
        <v>4302</v>
      </c>
      <c r="BQ723" s="157" t="s">
        <v>4297</v>
      </c>
      <c r="BR723" s="157"/>
    </row>
    <row r="724" spans="1:70" x14ac:dyDescent="0.25">
      <c r="A724" s="19" t="s">
        <v>3686</v>
      </c>
      <c r="B724" s="37" t="s">
        <v>2603</v>
      </c>
      <c r="C724" s="90">
        <v>45133.753344907411</v>
      </c>
      <c r="D724" s="114">
        <v>45133.503344907411</v>
      </c>
      <c r="E724" s="38">
        <v>45133</v>
      </c>
      <c r="F724" s="91">
        <v>2023</v>
      </c>
      <c r="G724" s="93">
        <v>7</v>
      </c>
      <c r="H724" s="37" t="s">
        <v>475</v>
      </c>
      <c r="I724" s="37"/>
      <c r="J724" s="103">
        <v>-92.342601077991716</v>
      </c>
      <c r="K724" s="40">
        <v>43.773780339570393</v>
      </c>
      <c r="L724" s="74"/>
      <c r="M724" s="272" t="s">
        <v>2604</v>
      </c>
      <c r="N724" s="74">
        <v>1</v>
      </c>
      <c r="O724" s="94"/>
      <c r="P724" s="118">
        <v>1</v>
      </c>
      <c r="Q724" s="510">
        <v>180</v>
      </c>
      <c r="R724" s="513">
        <v>0</v>
      </c>
      <c r="S724" s="41"/>
      <c r="T724" s="40"/>
      <c r="U724" s="40">
        <v>8</v>
      </c>
      <c r="V724" s="119">
        <v>1</v>
      </c>
      <c r="W724" s="40">
        <v>0</v>
      </c>
      <c r="X724" s="119">
        <v>1</v>
      </c>
      <c r="Y724" s="40">
        <v>59</v>
      </c>
      <c r="Z724" s="119">
        <v>1</v>
      </c>
      <c r="AA724" s="368">
        <v>0</v>
      </c>
      <c r="AB724" s="535">
        <v>5</v>
      </c>
      <c r="AC724" s="39" t="s">
        <v>160</v>
      </c>
      <c r="AD724" s="75" t="s">
        <v>427</v>
      </c>
      <c r="AE724" s="95">
        <v>0</v>
      </c>
      <c r="AF724" s="75">
        <v>0</v>
      </c>
      <c r="AG724" s="75">
        <v>0</v>
      </c>
      <c r="AH724" s="75">
        <v>0</v>
      </c>
      <c r="AI724" s="75">
        <v>0</v>
      </c>
      <c r="AJ724" s="75">
        <v>1</v>
      </c>
      <c r="AK724" s="75">
        <v>0</v>
      </c>
      <c r="AL724" s="95">
        <v>0</v>
      </c>
      <c r="AM724" s="92">
        <v>0</v>
      </c>
      <c r="AN724" s="79"/>
      <c r="AO724" s="75">
        <v>0</v>
      </c>
      <c r="AP724" s="75" t="s">
        <v>83</v>
      </c>
      <c r="AQ724" s="122">
        <v>1</v>
      </c>
      <c r="AR724" s="515" t="s">
        <v>10</v>
      </c>
      <c r="AS724" s="95">
        <v>0</v>
      </c>
      <c r="AT724" s="75">
        <v>0</v>
      </c>
      <c r="AU724" s="75">
        <v>0</v>
      </c>
      <c r="AV724" s="75">
        <v>0</v>
      </c>
      <c r="AW724" s="123">
        <v>0</v>
      </c>
      <c r="AX724" s="516" t="s">
        <v>2605</v>
      </c>
      <c r="AY724" s="75">
        <v>1</v>
      </c>
      <c r="AZ724" s="77" t="s">
        <v>131</v>
      </c>
      <c r="BA724" s="78" t="s">
        <v>131</v>
      </c>
      <c r="BB724" s="78" t="s">
        <v>131</v>
      </c>
      <c r="BC724" s="78" t="s">
        <v>131</v>
      </c>
      <c r="BD724" s="78" t="s">
        <v>131</v>
      </c>
      <c r="BE724" s="78" t="s">
        <v>132</v>
      </c>
      <c r="BF724" s="78" t="s">
        <v>131</v>
      </c>
      <c r="BG724" s="78" t="s">
        <v>131</v>
      </c>
      <c r="BH724" s="75" t="s">
        <v>5970</v>
      </c>
      <c r="BI724" s="295" t="s">
        <v>2260</v>
      </c>
      <c r="BJ724" s="546">
        <v>1</v>
      </c>
      <c r="BK724" s="294" t="s">
        <v>16</v>
      </c>
      <c r="BL724" s="157" t="s">
        <v>16</v>
      </c>
      <c r="BM724" s="548" t="s">
        <v>1339</v>
      </c>
      <c r="BN724" s="548" t="s">
        <v>1339</v>
      </c>
      <c r="BO724" s="157" t="s">
        <v>4328</v>
      </c>
      <c r="BP724" s="548" t="s">
        <v>2222</v>
      </c>
      <c r="BQ724" s="157" t="s">
        <v>4226</v>
      </c>
      <c r="BR724" s="157"/>
    </row>
    <row r="725" spans="1:70" x14ac:dyDescent="0.25">
      <c r="A725" s="19" t="s">
        <v>3686</v>
      </c>
      <c r="B725" s="37" t="s">
        <v>2606</v>
      </c>
      <c r="C725" s="90">
        <v>45133.720648148148</v>
      </c>
      <c r="D725" s="114">
        <v>45133.470648148148</v>
      </c>
      <c r="E725" s="38">
        <v>45133</v>
      </c>
      <c r="F725" s="91">
        <v>2023</v>
      </c>
      <c r="G725" s="93">
        <v>7</v>
      </c>
      <c r="H725" s="37" t="s">
        <v>475</v>
      </c>
      <c r="I725" s="37"/>
      <c r="J725" s="103">
        <v>-92.278081701690496</v>
      </c>
      <c r="K725" s="40">
        <v>43.793184876136287</v>
      </c>
      <c r="L725" s="74"/>
      <c r="M725" s="272" t="s">
        <v>2607</v>
      </c>
      <c r="N725" s="74">
        <v>1</v>
      </c>
      <c r="O725" s="94"/>
      <c r="P725" s="118">
        <v>1</v>
      </c>
      <c r="Q725" s="510">
        <v>180</v>
      </c>
      <c r="R725" s="513">
        <v>180</v>
      </c>
      <c r="S725" s="41"/>
      <c r="T725" s="40"/>
      <c r="U725" s="40">
        <v>7.5</v>
      </c>
      <c r="V725" s="119">
        <v>1</v>
      </c>
      <c r="W725" s="40">
        <v>0</v>
      </c>
      <c r="X725" s="119">
        <v>1</v>
      </c>
      <c r="Y725" s="40">
        <v>57</v>
      </c>
      <c r="Z725" s="119">
        <v>1</v>
      </c>
      <c r="AA725" s="368">
        <v>0</v>
      </c>
      <c r="AB725" s="535">
        <v>2</v>
      </c>
      <c r="AC725" s="39" t="s">
        <v>160</v>
      </c>
      <c r="AD725" s="75" t="s">
        <v>10</v>
      </c>
      <c r="AE725" s="95">
        <v>0</v>
      </c>
      <c r="AF725" s="75">
        <v>0</v>
      </c>
      <c r="AG725" s="75">
        <v>0</v>
      </c>
      <c r="AH725" s="75">
        <v>0</v>
      </c>
      <c r="AI725" s="75">
        <v>0</v>
      </c>
      <c r="AJ725" s="75">
        <v>0</v>
      </c>
      <c r="AK725" s="75">
        <v>0</v>
      </c>
      <c r="AL725" s="95">
        <v>1</v>
      </c>
      <c r="AM725" s="92">
        <v>0</v>
      </c>
      <c r="AN725" s="79" t="s">
        <v>81</v>
      </c>
      <c r="AO725" s="75">
        <v>1</v>
      </c>
      <c r="AP725" s="75" t="s">
        <v>84</v>
      </c>
      <c r="AQ725" s="122">
        <v>1</v>
      </c>
      <c r="AR725" s="515" t="s">
        <v>10</v>
      </c>
      <c r="AS725" s="95">
        <v>0</v>
      </c>
      <c r="AT725" s="75">
        <v>0</v>
      </c>
      <c r="AU725" s="75">
        <v>0</v>
      </c>
      <c r="AV725" s="75">
        <v>0</v>
      </c>
      <c r="AW725" s="123">
        <v>0</v>
      </c>
      <c r="AX725" s="516" t="s">
        <v>2608</v>
      </c>
      <c r="AY725" s="75">
        <v>1</v>
      </c>
      <c r="AZ725" s="77" t="s">
        <v>131</v>
      </c>
      <c r="BA725" s="78" t="s">
        <v>131</v>
      </c>
      <c r="BB725" s="78" t="s">
        <v>131</v>
      </c>
      <c r="BC725" s="78" t="s">
        <v>131</v>
      </c>
      <c r="BD725" s="78" t="s">
        <v>131</v>
      </c>
      <c r="BE725" s="78" t="s">
        <v>131</v>
      </c>
      <c r="BF725" s="78" t="s">
        <v>131</v>
      </c>
      <c r="BG725" s="78" t="s">
        <v>132</v>
      </c>
      <c r="BH725" s="75" t="s">
        <v>5970</v>
      </c>
      <c r="BI725" s="295" t="s">
        <v>2251</v>
      </c>
      <c r="BJ725" s="546">
        <v>1</v>
      </c>
      <c r="BK725" s="294">
        <v>1</v>
      </c>
      <c r="BL725" s="157">
        <v>1</v>
      </c>
      <c r="BM725" s="548" t="s">
        <v>1339</v>
      </c>
      <c r="BN725" s="548" t="s">
        <v>1339</v>
      </c>
      <c r="BO725" s="157" t="s">
        <v>4329</v>
      </c>
      <c r="BP725" s="548" t="s">
        <v>4228</v>
      </c>
      <c r="BQ725" s="157" t="s">
        <v>4226</v>
      </c>
      <c r="BR725" s="157"/>
    </row>
    <row r="726" spans="1:70" x14ac:dyDescent="0.25">
      <c r="A726" s="19" t="s">
        <v>3686</v>
      </c>
      <c r="B726" s="37" t="s">
        <v>2609</v>
      </c>
      <c r="C726" s="90">
        <v>45133.671539351853</v>
      </c>
      <c r="D726" s="114">
        <v>45133.421539351853</v>
      </c>
      <c r="E726" s="38">
        <v>45133</v>
      </c>
      <c r="F726" s="91">
        <v>2023</v>
      </c>
      <c r="G726" s="93">
        <v>7</v>
      </c>
      <c r="H726" s="37" t="s">
        <v>475</v>
      </c>
      <c r="I726" s="37"/>
      <c r="J726" s="103">
        <v>-92.224510822167659</v>
      </c>
      <c r="K726" s="40">
        <v>43.62225778228693</v>
      </c>
      <c r="L726" s="74"/>
      <c r="M726" s="272" t="s">
        <v>2610</v>
      </c>
      <c r="N726" s="74">
        <v>1</v>
      </c>
      <c r="O726" s="94"/>
      <c r="P726" s="118">
        <v>1</v>
      </c>
      <c r="Q726" s="510">
        <v>180</v>
      </c>
      <c r="R726" s="513">
        <v>60</v>
      </c>
      <c r="S726" s="41"/>
      <c r="T726" s="40"/>
      <c r="U726" s="40">
        <v>8</v>
      </c>
      <c r="V726" s="119">
        <v>1</v>
      </c>
      <c r="W726" s="40">
        <v>0</v>
      </c>
      <c r="X726" s="119">
        <v>1</v>
      </c>
      <c r="Y726" s="40">
        <v>57</v>
      </c>
      <c r="Z726" s="119">
        <v>1</v>
      </c>
      <c r="AA726" s="368">
        <v>0</v>
      </c>
      <c r="AB726" s="535">
        <v>5</v>
      </c>
      <c r="AC726" s="39" t="s">
        <v>160</v>
      </c>
      <c r="AD726" s="75" t="s">
        <v>10</v>
      </c>
      <c r="AE726" s="95">
        <v>0</v>
      </c>
      <c r="AF726" s="75">
        <v>0</v>
      </c>
      <c r="AG726" s="75">
        <v>0</v>
      </c>
      <c r="AH726" s="75">
        <v>0</v>
      </c>
      <c r="AI726" s="75">
        <v>0</v>
      </c>
      <c r="AJ726" s="75">
        <v>0</v>
      </c>
      <c r="AK726" s="75">
        <v>0</v>
      </c>
      <c r="AL726" s="95">
        <v>1</v>
      </c>
      <c r="AM726" s="92">
        <v>0</v>
      </c>
      <c r="AN726" s="79" t="s">
        <v>80</v>
      </c>
      <c r="AO726" s="75">
        <v>1</v>
      </c>
      <c r="AP726" s="75" t="s">
        <v>83</v>
      </c>
      <c r="AQ726" s="122">
        <v>1</v>
      </c>
      <c r="AR726" s="515" t="s">
        <v>10</v>
      </c>
      <c r="AS726" s="95">
        <v>0</v>
      </c>
      <c r="AT726" s="75">
        <v>0</v>
      </c>
      <c r="AU726" s="75">
        <v>0</v>
      </c>
      <c r="AV726" s="75">
        <v>0</v>
      </c>
      <c r="AW726" s="123">
        <v>0</v>
      </c>
      <c r="AX726" s="516" t="s">
        <v>2611</v>
      </c>
      <c r="AY726" s="75">
        <v>1</v>
      </c>
      <c r="AZ726" s="77" t="s">
        <v>131</v>
      </c>
      <c r="BA726" s="78" t="s">
        <v>131</v>
      </c>
      <c r="BB726" s="78" t="s">
        <v>131</v>
      </c>
      <c r="BC726" s="78" t="s">
        <v>131</v>
      </c>
      <c r="BD726" s="78" t="s">
        <v>131</v>
      </c>
      <c r="BE726" s="78" t="s">
        <v>131</v>
      </c>
      <c r="BF726" s="78" t="s">
        <v>131</v>
      </c>
      <c r="BG726" s="78" t="s">
        <v>132</v>
      </c>
      <c r="BH726" s="75" t="s">
        <v>5970</v>
      </c>
      <c r="BI726" s="295" t="s">
        <v>2232</v>
      </c>
      <c r="BJ726" s="546">
        <v>1</v>
      </c>
      <c r="BK726" s="294" t="s">
        <v>16</v>
      </c>
      <c r="BL726" s="157" t="s">
        <v>16</v>
      </c>
      <c r="BM726" s="548" t="s">
        <v>1339</v>
      </c>
      <c r="BN726" s="548" t="s">
        <v>1339</v>
      </c>
      <c r="BO726" s="157" t="s">
        <v>4332</v>
      </c>
      <c r="BP726" s="548" t="s">
        <v>4333</v>
      </c>
      <c r="BQ726" s="157" t="s">
        <v>4229</v>
      </c>
      <c r="BR726" s="157"/>
    </row>
    <row r="727" spans="1:70" x14ac:dyDescent="0.25">
      <c r="A727" s="19" t="s">
        <v>3686</v>
      </c>
      <c r="B727" s="37" t="s">
        <v>2612</v>
      </c>
      <c r="C727" s="90">
        <v>45133.558344907404</v>
      </c>
      <c r="D727" s="114">
        <v>45133.308344907404</v>
      </c>
      <c r="E727" s="38">
        <v>45133</v>
      </c>
      <c r="F727" s="91">
        <v>2023</v>
      </c>
      <c r="G727" s="93">
        <v>7</v>
      </c>
      <c r="H727" s="37" t="s">
        <v>2548</v>
      </c>
      <c r="I727" s="37"/>
      <c r="J727" s="103">
        <v>-90.588360758737707</v>
      </c>
      <c r="K727" s="40">
        <v>43.424537938290584</v>
      </c>
      <c r="L727" s="74"/>
      <c r="M727" s="272" t="s">
        <v>2613</v>
      </c>
      <c r="N727" s="74">
        <v>1</v>
      </c>
      <c r="O727" s="94"/>
      <c r="P727" s="118">
        <v>1</v>
      </c>
      <c r="Q727" s="510">
        <v>180</v>
      </c>
      <c r="R727" s="513">
        <v>120</v>
      </c>
      <c r="S727" s="41"/>
      <c r="T727" s="40"/>
      <c r="U727" s="40">
        <v>7</v>
      </c>
      <c r="V727" s="119">
        <v>1</v>
      </c>
      <c r="W727" s="40">
        <v>0</v>
      </c>
      <c r="X727" s="119">
        <v>1</v>
      </c>
      <c r="Y727" s="40">
        <v>64</v>
      </c>
      <c r="Z727" s="119">
        <v>1</v>
      </c>
      <c r="AA727" s="368">
        <v>0</v>
      </c>
      <c r="AB727" s="535">
        <v>5</v>
      </c>
      <c r="AC727" s="39" t="s">
        <v>160</v>
      </c>
      <c r="AD727" s="75" t="s">
        <v>10</v>
      </c>
      <c r="AE727" s="95">
        <v>0</v>
      </c>
      <c r="AF727" s="75">
        <v>0</v>
      </c>
      <c r="AG727" s="75">
        <v>0</v>
      </c>
      <c r="AH727" s="75">
        <v>0</v>
      </c>
      <c r="AI727" s="75">
        <v>0</v>
      </c>
      <c r="AJ727" s="75">
        <v>0</v>
      </c>
      <c r="AK727" s="75">
        <v>0</v>
      </c>
      <c r="AL727" s="95">
        <v>1</v>
      </c>
      <c r="AM727" s="92">
        <v>0</v>
      </c>
      <c r="AN727" s="79" t="s">
        <v>80</v>
      </c>
      <c r="AO727" s="75">
        <v>1</v>
      </c>
      <c r="AP727" s="75" t="s">
        <v>83</v>
      </c>
      <c r="AQ727" s="122">
        <v>1</v>
      </c>
      <c r="AR727" s="515" t="s">
        <v>10</v>
      </c>
      <c r="AS727" s="95">
        <v>0</v>
      </c>
      <c r="AT727" s="75">
        <v>0</v>
      </c>
      <c r="AU727" s="75">
        <v>0</v>
      </c>
      <c r="AV727" s="75">
        <v>0</v>
      </c>
      <c r="AW727" s="123">
        <v>0</v>
      </c>
      <c r="AX727" s="516"/>
      <c r="AY727" s="75">
        <v>0</v>
      </c>
      <c r="AZ727" s="77" t="s">
        <v>131</v>
      </c>
      <c r="BA727" s="78" t="s">
        <v>131</v>
      </c>
      <c r="BB727" s="78" t="s">
        <v>131</v>
      </c>
      <c r="BC727" s="78" t="s">
        <v>131</v>
      </c>
      <c r="BD727" s="78" t="s">
        <v>131</v>
      </c>
      <c r="BE727" s="78" t="s">
        <v>131</v>
      </c>
      <c r="BF727" s="78" t="s">
        <v>131</v>
      </c>
      <c r="BG727" s="78" t="s">
        <v>132</v>
      </c>
      <c r="BH727" s="75" t="s">
        <v>5970</v>
      </c>
      <c r="BI727" s="295" t="s">
        <v>4082</v>
      </c>
      <c r="BJ727" s="546">
        <v>1</v>
      </c>
      <c r="BK727" s="294" t="s">
        <v>16</v>
      </c>
      <c r="BL727" s="157" t="s">
        <v>16</v>
      </c>
      <c r="BM727" s="548" t="s">
        <v>1342</v>
      </c>
      <c r="BN727" s="548" t="s">
        <v>4158</v>
      </c>
      <c r="BO727" s="157" t="s">
        <v>4298</v>
      </c>
      <c r="BP727" s="548" t="s">
        <v>4302</v>
      </c>
      <c r="BQ727" s="157" t="s">
        <v>4297</v>
      </c>
      <c r="BR727" s="157"/>
    </row>
    <row r="728" spans="1:70" x14ac:dyDescent="0.25">
      <c r="A728" s="19" t="s">
        <v>3686</v>
      </c>
      <c r="B728" s="37" t="s">
        <v>2614</v>
      </c>
      <c r="C728" s="90">
        <v>45132.927175925928</v>
      </c>
      <c r="D728" s="114">
        <v>45132.677175925928</v>
      </c>
      <c r="E728" s="38">
        <v>45132</v>
      </c>
      <c r="F728" s="91">
        <v>2023</v>
      </c>
      <c r="G728" s="93">
        <v>7</v>
      </c>
      <c r="H728" s="37" t="s">
        <v>2446</v>
      </c>
      <c r="I728" s="37"/>
      <c r="J728" s="103">
        <v>-91.191111697647898</v>
      </c>
      <c r="K728" s="40">
        <v>44.436750543347017</v>
      </c>
      <c r="L728" s="74"/>
      <c r="M728" s="272" t="s">
        <v>2615</v>
      </c>
      <c r="N728" s="74">
        <v>1</v>
      </c>
      <c r="O728" s="94"/>
      <c r="P728" s="118">
        <v>1</v>
      </c>
      <c r="Q728" s="510">
        <v>40</v>
      </c>
      <c r="R728" s="513">
        <v>60</v>
      </c>
      <c r="S728" s="41"/>
      <c r="T728" s="40"/>
      <c r="U728" s="40">
        <v>7</v>
      </c>
      <c r="V728" s="119">
        <v>1</v>
      </c>
      <c r="W728" s="40">
        <v>200</v>
      </c>
      <c r="X728" s="119">
        <v>1</v>
      </c>
      <c r="Y728" s="40">
        <v>69</v>
      </c>
      <c r="Z728" s="119">
        <v>1</v>
      </c>
      <c r="AA728" s="368">
        <v>0</v>
      </c>
      <c r="AB728" s="535">
        <v>2</v>
      </c>
      <c r="AC728" s="39" t="s">
        <v>160</v>
      </c>
      <c r="AD728" s="75" t="s">
        <v>10</v>
      </c>
      <c r="AE728" s="95">
        <v>0</v>
      </c>
      <c r="AF728" s="75">
        <v>0</v>
      </c>
      <c r="AG728" s="75">
        <v>0</v>
      </c>
      <c r="AH728" s="75">
        <v>0</v>
      </c>
      <c r="AI728" s="75">
        <v>0</v>
      </c>
      <c r="AJ728" s="75">
        <v>0</v>
      </c>
      <c r="AK728" s="75">
        <v>0</v>
      </c>
      <c r="AL728" s="95">
        <v>1</v>
      </c>
      <c r="AM728" s="92">
        <v>0</v>
      </c>
      <c r="AN728" s="79" t="s">
        <v>80</v>
      </c>
      <c r="AO728" s="75">
        <v>1</v>
      </c>
      <c r="AP728" s="75" t="s">
        <v>84</v>
      </c>
      <c r="AQ728" s="122">
        <v>1</v>
      </c>
      <c r="AR728" s="515" t="s">
        <v>10</v>
      </c>
      <c r="AS728" s="95">
        <v>0</v>
      </c>
      <c r="AT728" s="75">
        <v>0</v>
      </c>
      <c r="AU728" s="75">
        <v>0</v>
      </c>
      <c r="AV728" s="75">
        <v>0</v>
      </c>
      <c r="AW728" s="123">
        <v>0</v>
      </c>
      <c r="AX728" s="516"/>
      <c r="AY728" s="75">
        <v>0</v>
      </c>
      <c r="AZ728" s="77" t="s">
        <v>131</v>
      </c>
      <c r="BA728" s="78" t="s">
        <v>131</v>
      </c>
      <c r="BB728" s="78" t="s">
        <v>131</v>
      </c>
      <c r="BC728" s="78" t="s">
        <v>131</v>
      </c>
      <c r="BD728" s="78" t="s">
        <v>131</v>
      </c>
      <c r="BE728" s="78" t="s">
        <v>131</v>
      </c>
      <c r="BF728" s="78" t="s">
        <v>131</v>
      </c>
      <c r="BG728" s="78" t="s">
        <v>132</v>
      </c>
      <c r="BH728" s="75" t="s">
        <v>5970</v>
      </c>
      <c r="BI728" s="295" t="s">
        <v>3985</v>
      </c>
      <c r="BJ728" s="546">
        <v>1</v>
      </c>
      <c r="BK728" s="294">
        <v>1</v>
      </c>
      <c r="BL728" s="157">
        <v>1</v>
      </c>
      <c r="BM728" s="548" t="s">
        <v>1340</v>
      </c>
      <c r="BN728" s="548" t="s">
        <v>4158</v>
      </c>
      <c r="BO728" s="157" t="s">
        <v>4459</v>
      </c>
      <c r="BP728" s="548" t="s">
        <v>4462</v>
      </c>
      <c r="BQ728" s="157" t="s">
        <v>4458</v>
      </c>
      <c r="BR728" s="157"/>
    </row>
    <row r="729" spans="1:70" x14ac:dyDescent="0.25">
      <c r="A729" s="19" t="s">
        <v>3686</v>
      </c>
      <c r="B729" s="37" t="s">
        <v>2616</v>
      </c>
      <c r="C729" s="90">
        <v>45132.867210648146</v>
      </c>
      <c r="D729" s="114">
        <v>45132.617210648146</v>
      </c>
      <c r="E729" s="38">
        <v>45132</v>
      </c>
      <c r="F729" s="91">
        <v>2023</v>
      </c>
      <c r="G729" s="93">
        <v>7</v>
      </c>
      <c r="H729" s="37" t="s">
        <v>2400</v>
      </c>
      <c r="I729" s="37"/>
      <c r="J729" s="103">
        <v>-90.994556200000005</v>
      </c>
      <c r="K729" s="40">
        <v>43.307122800000002</v>
      </c>
      <c r="L729" s="74"/>
      <c r="M729" s="272" t="s">
        <v>2617</v>
      </c>
      <c r="N729" s="74">
        <v>1</v>
      </c>
      <c r="O729" s="94"/>
      <c r="P729" s="118">
        <v>1</v>
      </c>
      <c r="Q729" s="510">
        <v>120</v>
      </c>
      <c r="R729" s="513">
        <v>180</v>
      </c>
      <c r="S729" s="41"/>
      <c r="T729" s="40"/>
      <c r="U729" s="40">
        <v>8</v>
      </c>
      <c r="V729" s="119">
        <v>1</v>
      </c>
      <c r="W729" s="40">
        <v>0</v>
      </c>
      <c r="X729" s="119">
        <v>1</v>
      </c>
      <c r="Y729" s="40">
        <v>67</v>
      </c>
      <c r="Z729" s="119">
        <v>1</v>
      </c>
      <c r="AA729" s="368">
        <v>0</v>
      </c>
      <c r="AB729" s="535">
        <v>2</v>
      </c>
      <c r="AC729" s="39" t="s">
        <v>160</v>
      </c>
      <c r="AD729" s="75" t="s">
        <v>10</v>
      </c>
      <c r="AE729" s="95">
        <v>0</v>
      </c>
      <c r="AF729" s="75">
        <v>0</v>
      </c>
      <c r="AG729" s="75">
        <v>0</v>
      </c>
      <c r="AH729" s="75">
        <v>0</v>
      </c>
      <c r="AI729" s="75">
        <v>0</v>
      </c>
      <c r="AJ729" s="75">
        <v>0</v>
      </c>
      <c r="AK729" s="75">
        <v>0</v>
      </c>
      <c r="AL729" s="95">
        <v>1</v>
      </c>
      <c r="AM729" s="92">
        <v>0</v>
      </c>
      <c r="AN729" s="79" t="s">
        <v>80</v>
      </c>
      <c r="AO729" s="75">
        <v>1</v>
      </c>
      <c r="AP729" s="75" t="s">
        <v>83</v>
      </c>
      <c r="AQ729" s="122">
        <v>1</v>
      </c>
      <c r="AR729" s="515" t="s">
        <v>10</v>
      </c>
      <c r="AS729" s="95">
        <v>0</v>
      </c>
      <c r="AT729" s="75">
        <v>0</v>
      </c>
      <c r="AU729" s="75">
        <v>0</v>
      </c>
      <c r="AV729" s="75">
        <v>0</v>
      </c>
      <c r="AW729" s="123">
        <v>0</v>
      </c>
      <c r="AX729" s="516"/>
      <c r="AY729" s="75">
        <v>0</v>
      </c>
      <c r="AZ729" s="77" t="s">
        <v>131</v>
      </c>
      <c r="BA729" s="78" t="s">
        <v>131</v>
      </c>
      <c r="BB729" s="78" t="s">
        <v>131</v>
      </c>
      <c r="BC729" s="78" t="s">
        <v>131</v>
      </c>
      <c r="BD729" s="78" t="s">
        <v>131</v>
      </c>
      <c r="BE729" s="78" t="s">
        <v>131</v>
      </c>
      <c r="BF729" s="78" t="s">
        <v>131</v>
      </c>
      <c r="BG729" s="78" t="s">
        <v>132</v>
      </c>
      <c r="BH729" s="75" t="s">
        <v>5970</v>
      </c>
      <c r="BI729" s="295" t="s">
        <v>4023</v>
      </c>
      <c r="BJ729" s="546">
        <v>1</v>
      </c>
      <c r="BK729" s="294">
        <v>1</v>
      </c>
      <c r="BL729" s="157">
        <v>1</v>
      </c>
      <c r="BM729" s="548" t="s">
        <v>1342</v>
      </c>
      <c r="BN729" s="548" t="s">
        <v>4158</v>
      </c>
      <c r="BO729" s="157" t="s">
        <v>4463</v>
      </c>
      <c r="BP729" s="548" t="s">
        <v>4022</v>
      </c>
      <c r="BQ729" s="157" t="s">
        <v>4336</v>
      </c>
      <c r="BR729" s="157"/>
    </row>
    <row r="730" spans="1:70" x14ac:dyDescent="0.25">
      <c r="A730" s="19" t="s">
        <v>3686</v>
      </c>
      <c r="B730" s="37" t="s">
        <v>2618</v>
      </c>
      <c r="C730" s="90">
        <v>45132.84784722222</v>
      </c>
      <c r="D730" s="114">
        <v>45132.59784722222</v>
      </c>
      <c r="E730" s="38">
        <v>45132</v>
      </c>
      <c r="F730" s="91">
        <v>2023</v>
      </c>
      <c r="G730" s="93">
        <v>7</v>
      </c>
      <c r="H730" s="37" t="s">
        <v>2446</v>
      </c>
      <c r="I730" s="37"/>
      <c r="J730" s="103">
        <v>-91.074729282186581</v>
      </c>
      <c r="K730" s="40">
        <v>44.468501772349626</v>
      </c>
      <c r="L730" s="74"/>
      <c r="M730" s="272" t="s">
        <v>16</v>
      </c>
      <c r="N730" s="74">
        <v>0</v>
      </c>
      <c r="O730" s="94"/>
      <c r="P730" s="118">
        <v>0</v>
      </c>
      <c r="Q730" s="510"/>
      <c r="R730" s="513"/>
      <c r="S730" s="41"/>
      <c r="T730" s="40"/>
      <c r="U730" s="40"/>
      <c r="V730" s="119">
        <v>0</v>
      </c>
      <c r="W730" s="40"/>
      <c r="X730" s="119">
        <v>1</v>
      </c>
      <c r="Y730" s="40">
        <v>65</v>
      </c>
      <c r="Z730" s="119">
        <v>0</v>
      </c>
      <c r="AA730" s="368" t="s">
        <v>16</v>
      </c>
      <c r="AB730" s="535" t="s">
        <v>16</v>
      </c>
      <c r="AC730" s="39" t="s">
        <v>160</v>
      </c>
      <c r="AD730" s="75" t="s">
        <v>10</v>
      </c>
      <c r="AE730" s="95">
        <v>0</v>
      </c>
      <c r="AF730" s="75">
        <v>0</v>
      </c>
      <c r="AG730" s="75">
        <v>0</v>
      </c>
      <c r="AH730" s="75">
        <v>0</v>
      </c>
      <c r="AI730" s="75">
        <v>0</v>
      </c>
      <c r="AJ730" s="75">
        <v>0</v>
      </c>
      <c r="AK730" s="75">
        <v>0</v>
      </c>
      <c r="AL730" s="95">
        <v>1</v>
      </c>
      <c r="AM730" s="92">
        <v>0</v>
      </c>
      <c r="AN730" s="79" t="s">
        <v>80</v>
      </c>
      <c r="AO730" s="75">
        <v>1</v>
      </c>
      <c r="AP730" s="75" t="s">
        <v>84</v>
      </c>
      <c r="AQ730" s="122">
        <v>1</v>
      </c>
      <c r="AR730" s="515" t="s">
        <v>10</v>
      </c>
      <c r="AS730" s="95">
        <v>0</v>
      </c>
      <c r="AT730" s="75">
        <v>0</v>
      </c>
      <c r="AU730" s="75">
        <v>0</v>
      </c>
      <c r="AV730" s="75">
        <v>0</v>
      </c>
      <c r="AW730" s="123">
        <v>0</v>
      </c>
      <c r="AX730" s="516"/>
      <c r="AY730" s="75">
        <v>0</v>
      </c>
      <c r="AZ730" s="77" t="s">
        <v>131</v>
      </c>
      <c r="BA730" s="78" t="s">
        <v>131</v>
      </c>
      <c r="BB730" s="78" t="s">
        <v>131</v>
      </c>
      <c r="BC730" s="78" t="s">
        <v>131</v>
      </c>
      <c r="BD730" s="78" t="s">
        <v>131</v>
      </c>
      <c r="BE730" s="78" t="s">
        <v>131</v>
      </c>
      <c r="BF730" s="78" t="s">
        <v>131</v>
      </c>
      <c r="BG730" s="78" t="s">
        <v>132</v>
      </c>
      <c r="BH730" s="75" t="s">
        <v>5970</v>
      </c>
      <c r="BI730" s="295" t="s">
        <v>3981</v>
      </c>
      <c r="BJ730" s="546">
        <v>1</v>
      </c>
      <c r="BK730" s="294">
        <v>1</v>
      </c>
      <c r="BL730" s="157">
        <v>1</v>
      </c>
      <c r="BM730" s="548" t="s">
        <v>1340</v>
      </c>
      <c r="BN730" s="548" t="s">
        <v>4158</v>
      </c>
      <c r="BO730" s="157" t="s">
        <v>4464</v>
      </c>
      <c r="BP730" s="548" t="s">
        <v>4465</v>
      </c>
      <c r="BQ730" s="157" t="s">
        <v>4458</v>
      </c>
      <c r="BR730" s="157"/>
    </row>
    <row r="731" spans="1:70" x14ac:dyDescent="0.25">
      <c r="A731" s="19" t="s">
        <v>3686</v>
      </c>
      <c r="B731" s="37" t="s">
        <v>2619</v>
      </c>
      <c r="C731" s="90">
        <v>45132.80605324074</v>
      </c>
      <c r="D731" s="114">
        <v>45132.55605324074</v>
      </c>
      <c r="E731" s="38">
        <v>45132</v>
      </c>
      <c r="F731" s="91">
        <v>2023</v>
      </c>
      <c r="G731" s="93">
        <v>7</v>
      </c>
      <c r="H731" s="37" t="s">
        <v>2548</v>
      </c>
      <c r="I731" s="37"/>
      <c r="J731" s="103">
        <v>-90.965794677111447</v>
      </c>
      <c r="K731" s="40">
        <v>43.325089937452852</v>
      </c>
      <c r="L731" s="74"/>
      <c r="M731" s="272" t="s">
        <v>16</v>
      </c>
      <c r="N731" s="74">
        <v>0</v>
      </c>
      <c r="O731" s="94"/>
      <c r="P731" s="118">
        <v>1</v>
      </c>
      <c r="Q731" s="510">
        <v>180</v>
      </c>
      <c r="R731" s="513">
        <v>120</v>
      </c>
      <c r="S731" s="41"/>
      <c r="T731" s="40"/>
      <c r="U731" s="40">
        <v>7.5</v>
      </c>
      <c r="V731" s="119">
        <v>1</v>
      </c>
      <c r="W731" s="40">
        <v>0</v>
      </c>
      <c r="X731" s="119">
        <v>1</v>
      </c>
      <c r="Y731" s="40">
        <v>71</v>
      </c>
      <c r="Z731" s="119">
        <v>1</v>
      </c>
      <c r="AA731" s="368">
        <v>0</v>
      </c>
      <c r="AB731" s="535">
        <v>2</v>
      </c>
      <c r="AC731" s="39"/>
      <c r="AD731" s="75" t="s">
        <v>10</v>
      </c>
      <c r="AE731" s="95">
        <v>0</v>
      </c>
      <c r="AF731" s="75">
        <v>0</v>
      </c>
      <c r="AG731" s="75">
        <v>0</v>
      </c>
      <c r="AH731" s="75">
        <v>0</v>
      </c>
      <c r="AI731" s="75">
        <v>0</v>
      </c>
      <c r="AJ731" s="75">
        <v>0</v>
      </c>
      <c r="AK731" s="75">
        <v>0</v>
      </c>
      <c r="AL731" s="95">
        <v>1</v>
      </c>
      <c r="AM731" s="92">
        <v>0</v>
      </c>
      <c r="AN731" s="79" t="s">
        <v>80</v>
      </c>
      <c r="AO731" s="75">
        <v>1</v>
      </c>
      <c r="AP731" s="75" t="s">
        <v>83</v>
      </c>
      <c r="AQ731" s="122">
        <v>1</v>
      </c>
      <c r="AR731" s="515" t="s">
        <v>10</v>
      </c>
      <c r="AS731" s="95">
        <v>0</v>
      </c>
      <c r="AT731" s="75">
        <v>0</v>
      </c>
      <c r="AU731" s="75">
        <v>0</v>
      </c>
      <c r="AV731" s="75">
        <v>0</v>
      </c>
      <c r="AW731" s="123">
        <v>0</v>
      </c>
      <c r="AX731" s="516"/>
      <c r="AY731" s="75">
        <v>0</v>
      </c>
      <c r="AZ731" s="77" t="s">
        <v>131</v>
      </c>
      <c r="BA731" s="78" t="s">
        <v>131</v>
      </c>
      <c r="BB731" s="78" t="s">
        <v>131</v>
      </c>
      <c r="BC731" s="78" t="s">
        <v>131</v>
      </c>
      <c r="BD731" s="78" t="s">
        <v>131</v>
      </c>
      <c r="BE731" s="78" t="s">
        <v>131</v>
      </c>
      <c r="BF731" s="78" t="s">
        <v>131</v>
      </c>
      <c r="BG731" s="78" t="s">
        <v>132</v>
      </c>
      <c r="BH731" s="75" t="s">
        <v>5970</v>
      </c>
      <c r="BI731" s="295" t="s">
        <v>4022</v>
      </c>
      <c r="BJ731" s="546">
        <v>1</v>
      </c>
      <c r="BK731" s="294" t="s">
        <v>16</v>
      </c>
      <c r="BL731" s="157" t="s">
        <v>16</v>
      </c>
      <c r="BM731" s="548" t="s">
        <v>1342</v>
      </c>
      <c r="BN731" s="548" t="s">
        <v>4158</v>
      </c>
      <c r="BO731" s="157" t="s">
        <v>4463</v>
      </c>
      <c r="BP731" s="548" t="s">
        <v>4022</v>
      </c>
      <c r="BQ731" s="157" t="s">
        <v>4336</v>
      </c>
      <c r="BR731" s="157"/>
    </row>
    <row r="732" spans="1:70" x14ac:dyDescent="0.25">
      <c r="A732" s="19" t="s">
        <v>3686</v>
      </c>
      <c r="B732" s="37" t="s">
        <v>2620</v>
      </c>
      <c r="C732" s="90">
        <v>45132.773414351854</v>
      </c>
      <c r="D732" s="114">
        <v>45132.523414351854</v>
      </c>
      <c r="E732" s="38">
        <v>45132</v>
      </c>
      <c r="F732" s="91">
        <v>2023</v>
      </c>
      <c r="G732" s="93">
        <v>7</v>
      </c>
      <c r="H732" s="37" t="s">
        <v>2446</v>
      </c>
      <c r="I732" s="37"/>
      <c r="J732" s="103">
        <v>-91.029851714745078</v>
      </c>
      <c r="K732" s="40">
        <v>44.513783479535789</v>
      </c>
      <c r="L732" s="74"/>
      <c r="M732" s="272" t="s">
        <v>16</v>
      </c>
      <c r="N732" s="74">
        <v>0</v>
      </c>
      <c r="O732" s="94"/>
      <c r="P732" s="118">
        <v>0</v>
      </c>
      <c r="Q732" s="510"/>
      <c r="R732" s="513"/>
      <c r="S732" s="41"/>
      <c r="T732" s="40"/>
      <c r="U732" s="40"/>
      <c r="V732" s="119">
        <v>0</v>
      </c>
      <c r="W732" s="40"/>
      <c r="X732" s="119">
        <v>1</v>
      </c>
      <c r="Y732" s="40">
        <v>59</v>
      </c>
      <c r="Z732" s="119">
        <v>0</v>
      </c>
      <c r="AA732" s="368" t="s">
        <v>16</v>
      </c>
      <c r="AB732" s="535" t="s">
        <v>16</v>
      </c>
      <c r="AC732" s="39" t="s">
        <v>160</v>
      </c>
      <c r="AD732" s="75" t="s">
        <v>7</v>
      </c>
      <c r="AE732" s="95">
        <v>1</v>
      </c>
      <c r="AF732" s="75">
        <v>0</v>
      </c>
      <c r="AG732" s="75">
        <v>0</v>
      </c>
      <c r="AH732" s="75">
        <v>0</v>
      </c>
      <c r="AI732" s="75">
        <v>0</v>
      </c>
      <c r="AJ732" s="75">
        <v>0</v>
      </c>
      <c r="AK732" s="75">
        <v>0</v>
      </c>
      <c r="AL732" s="95">
        <v>0</v>
      </c>
      <c r="AM732" s="92">
        <v>0</v>
      </c>
      <c r="AN732" s="79" t="s">
        <v>80</v>
      </c>
      <c r="AO732" s="75">
        <v>1</v>
      </c>
      <c r="AP732" s="75" t="s">
        <v>83</v>
      </c>
      <c r="AQ732" s="122">
        <v>1</v>
      </c>
      <c r="AR732" s="515" t="s">
        <v>10</v>
      </c>
      <c r="AS732" s="95">
        <v>0</v>
      </c>
      <c r="AT732" s="75">
        <v>0</v>
      </c>
      <c r="AU732" s="75">
        <v>0</v>
      </c>
      <c r="AV732" s="75">
        <v>0</v>
      </c>
      <c r="AW732" s="123">
        <v>0</v>
      </c>
      <c r="AX732" s="516"/>
      <c r="AY732" s="75">
        <v>0</v>
      </c>
      <c r="AZ732" s="77" t="s">
        <v>132</v>
      </c>
      <c r="BA732" s="78" t="s">
        <v>131</v>
      </c>
      <c r="BB732" s="78" t="s">
        <v>131</v>
      </c>
      <c r="BC732" s="78" t="s">
        <v>131</v>
      </c>
      <c r="BD732" s="78" t="s">
        <v>131</v>
      </c>
      <c r="BE732" s="78" t="s">
        <v>131</v>
      </c>
      <c r="BF732" s="78" t="s">
        <v>131</v>
      </c>
      <c r="BG732" s="78" t="s">
        <v>131</v>
      </c>
      <c r="BH732" s="75" t="s">
        <v>5970</v>
      </c>
      <c r="BI732" s="295" t="s">
        <v>3980</v>
      </c>
      <c r="BJ732" s="546">
        <v>1</v>
      </c>
      <c r="BK732" s="294">
        <v>1</v>
      </c>
      <c r="BL732" s="157">
        <v>1</v>
      </c>
      <c r="BM732" s="548" t="s">
        <v>1340</v>
      </c>
      <c r="BN732" s="548" t="s">
        <v>4158</v>
      </c>
      <c r="BO732" s="157" t="s">
        <v>4464</v>
      </c>
      <c r="BP732" s="548" t="s">
        <v>4465</v>
      </c>
      <c r="BQ732" s="157" t="s">
        <v>4458</v>
      </c>
      <c r="BR732" s="157"/>
    </row>
    <row r="733" spans="1:70" x14ac:dyDescent="0.25">
      <c r="A733" s="19" t="s">
        <v>3686</v>
      </c>
      <c r="B733" s="37" t="s">
        <v>2621</v>
      </c>
      <c r="C733" s="90">
        <v>45132.761655092596</v>
      </c>
      <c r="D733" s="114">
        <v>45132.511655092596</v>
      </c>
      <c r="E733" s="38">
        <v>45132</v>
      </c>
      <c r="F733" s="91">
        <v>2023</v>
      </c>
      <c r="G733" s="93">
        <v>7</v>
      </c>
      <c r="H733" s="37" t="s">
        <v>1570</v>
      </c>
      <c r="I733" s="37"/>
      <c r="J733" s="103">
        <v>-93.256608900000003</v>
      </c>
      <c r="K733" s="40">
        <v>44.940777199999999</v>
      </c>
      <c r="L733" s="74"/>
      <c r="M733" s="272" t="s">
        <v>16</v>
      </c>
      <c r="N733" s="74">
        <v>0</v>
      </c>
      <c r="O733" s="94"/>
      <c r="P733" s="118">
        <v>1</v>
      </c>
      <c r="Q733" s="510">
        <v>0</v>
      </c>
      <c r="R733" s="513">
        <v>30</v>
      </c>
      <c r="S733" s="41"/>
      <c r="T733" s="40"/>
      <c r="U733" s="40">
        <v>6.5</v>
      </c>
      <c r="V733" s="119">
        <v>1</v>
      </c>
      <c r="W733" s="40">
        <v>100</v>
      </c>
      <c r="X733" s="119">
        <v>1</v>
      </c>
      <c r="Y733" s="40">
        <v>81</v>
      </c>
      <c r="Z733" s="119">
        <v>1</v>
      </c>
      <c r="AA733" s="368">
        <v>0</v>
      </c>
      <c r="AB733" s="535">
        <v>1</v>
      </c>
      <c r="AC733" s="39" t="s">
        <v>186</v>
      </c>
      <c r="AD733" s="75" t="s">
        <v>16</v>
      </c>
      <c r="AE733" s="95">
        <v>-1</v>
      </c>
      <c r="AF733" s="75">
        <v>-1</v>
      </c>
      <c r="AG733" s="75">
        <v>-1</v>
      </c>
      <c r="AH733" s="75">
        <v>-1</v>
      </c>
      <c r="AI733" s="75">
        <v>-1</v>
      </c>
      <c r="AJ733" s="75">
        <v>-1</v>
      </c>
      <c r="AK733" s="75">
        <v>-1</v>
      </c>
      <c r="AL733" s="95">
        <v>-1</v>
      </c>
      <c r="AM733" s="92">
        <v>1</v>
      </c>
      <c r="AN733" s="79"/>
      <c r="AO733" s="75">
        <v>0</v>
      </c>
      <c r="AP733" s="75"/>
      <c r="AQ733" s="122">
        <v>0</v>
      </c>
      <c r="AR733" s="515" t="s">
        <v>16</v>
      </c>
      <c r="AS733" s="95">
        <v>-1</v>
      </c>
      <c r="AT733" s="75">
        <v>-1</v>
      </c>
      <c r="AU733" s="75">
        <v>-1</v>
      </c>
      <c r="AV733" s="75">
        <v>-1</v>
      </c>
      <c r="AW733" s="123">
        <v>1</v>
      </c>
      <c r="AX733" s="516"/>
      <c r="AY733" s="75">
        <v>0</v>
      </c>
      <c r="AZ733" s="77" t="s">
        <v>5971</v>
      </c>
      <c r="BA733" s="78" t="s">
        <v>5971</v>
      </c>
      <c r="BB733" s="78" t="s">
        <v>5971</v>
      </c>
      <c r="BC733" s="78" t="s">
        <v>5971</v>
      </c>
      <c r="BD733" s="78" t="s">
        <v>5971</v>
      </c>
      <c r="BE733" s="78" t="s">
        <v>5971</v>
      </c>
      <c r="BF733" s="78" t="s">
        <v>5971</v>
      </c>
      <c r="BG733" s="78" t="s">
        <v>5971</v>
      </c>
      <c r="BH733" s="75" t="s">
        <v>5971</v>
      </c>
      <c r="BI733" s="295" t="s">
        <v>16</v>
      </c>
      <c r="BJ733" s="546" t="s">
        <v>16</v>
      </c>
      <c r="BK733" s="294" t="s">
        <v>16</v>
      </c>
      <c r="BL733" s="157" t="s">
        <v>16</v>
      </c>
      <c r="BM733" s="548" t="s">
        <v>2343</v>
      </c>
      <c r="BN733" s="548" t="s">
        <v>544</v>
      </c>
      <c r="BO733" s="157" t="s">
        <v>4467</v>
      </c>
      <c r="BP733" s="548" t="s">
        <v>4468</v>
      </c>
      <c r="BQ733" s="157" t="s">
        <v>4466</v>
      </c>
      <c r="BR733" s="157"/>
    </row>
    <row r="734" spans="1:70" x14ac:dyDescent="0.25">
      <c r="A734" s="19" t="s">
        <v>3686</v>
      </c>
      <c r="B734" s="37" t="s">
        <v>2622</v>
      </c>
      <c r="C734" s="90">
        <v>45132.692557870374</v>
      </c>
      <c r="D734" s="114">
        <v>45132.442557870374</v>
      </c>
      <c r="E734" s="38">
        <v>45132</v>
      </c>
      <c r="F734" s="91">
        <v>2023</v>
      </c>
      <c r="G734" s="93">
        <v>7</v>
      </c>
      <c r="H734" s="37" t="s">
        <v>2400</v>
      </c>
      <c r="I734" s="37"/>
      <c r="J734" s="103">
        <v>-91.081221999999997</v>
      </c>
      <c r="K734" s="40">
        <v>43.339810900000003</v>
      </c>
      <c r="L734" s="74"/>
      <c r="M734" s="272" t="s">
        <v>16</v>
      </c>
      <c r="N734" s="74">
        <v>0</v>
      </c>
      <c r="O734" s="94"/>
      <c r="P734" s="118">
        <v>1</v>
      </c>
      <c r="Q734" s="510">
        <v>180</v>
      </c>
      <c r="R734" s="513">
        <v>180</v>
      </c>
      <c r="S734" s="41"/>
      <c r="T734" s="40"/>
      <c r="U734" s="40">
        <v>7</v>
      </c>
      <c r="V734" s="119">
        <v>1</v>
      </c>
      <c r="W734" s="40">
        <v>0</v>
      </c>
      <c r="X734" s="119">
        <v>1</v>
      </c>
      <c r="Y734" s="40">
        <v>72</v>
      </c>
      <c r="Z734" s="119">
        <v>1</v>
      </c>
      <c r="AA734" s="368">
        <v>0</v>
      </c>
      <c r="AB734" s="535">
        <v>2</v>
      </c>
      <c r="AC734" s="39" t="s">
        <v>160</v>
      </c>
      <c r="AD734" s="75" t="s">
        <v>10</v>
      </c>
      <c r="AE734" s="95">
        <v>0</v>
      </c>
      <c r="AF734" s="75">
        <v>0</v>
      </c>
      <c r="AG734" s="75">
        <v>0</v>
      </c>
      <c r="AH734" s="75">
        <v>0</v>
      </c>
      <c r="AI734" s="75">
        <v>0</v>
      </c>
      <c r="AJ734" s="75">
        <v>0</v>
      </c>
      <c r="AK734" s="75">
        <v>0</v>
      </c>
      <c r="AL734" s="95">
        <v>1</v>
      </c>
      <c r="AM734" s="92">
        <v>0</v>
      </c>
      <c r="AN734" s="79" t="s">
        <v>80</v>
      </c>
      <c r="AO734" s="75">
        <v>1</v>
      </c>
      <c r="AP734" s="75" t="s">
        <v>83</v>
      </c>
      <c r="AQ734" s="122">
        <v>1</v>
      </c>
      <c r="AR734" s="515" t="s">
        <v>10</v>
      </c>
      <c r="AS734" s="95">
        <v>0</v>
      </c>
      <c r="AT734" s="75">
        <v>0</v>
      </c>
      <c r="AU734" s="75">
        <v>0</v>
      </c>
      <c r="AV734" s="75">
        <v>0</v>
      </c>
      <c r="AW734" s="123">
        <v>0</v>
      </c>
      <c r="AX734" s="516"/>
      <c r="AY734" s="75">
        <v>0</v>
      </c>
      <c r="AZ734" s="77" t="s">
        <v>131</v>
      </c>
      <c r="BA734" s="78" t="s">
        <v>131</v>
      </c>
      <c r="BB734" s="78" t="s">
        <v>131</v>
      </c>
      <c r="BC734" s="78" t="s">
        <v>131</v>
      </c>
      <c r="BD734" s="78" t="s">
        <v>131</v>
      </c>
      <c r="BE734" s="78" t="s">
        <v>131</v>
      </c>
      <c r="BF734" s="78" t="s">
        <v>131</v>
      </c>
      <c r="BG734" s="78" t="s">
        <v>132</v>
      </c>
      <c r="BH734" s="75" t="s">
        <v>5970</v>
      </c>
      <c r="BI734" s="295" t="s">
        <v>2239</v>
      </c>
      <c r="BJ734" s="546">
        <v>1</v>
      </c>
      <c r="BK734" s="294" t="s">
        <v>16</v>
      </c>
      <c r="BL734" s="157" t="s">
        <v>16</v>
      </c>
      <c r="BM734" s="548" t="s">
        <v>1342</v>
      </c>
      <c r="BN734" s="548" t="s">
        <v>4158</v>
      </c>
      <c r="BO734" s="157" t="s">
        <v>4437</v>
      </c>
      <c r="BP734" s="548" t="s">
        <v>2239</v>
      </c>
      <c r="BQ734" s="157" t="s">
        <v>4336</v>
      </c>
      <c r="BR734" s="157"/>
    </row>
    <row r="735" spans="1:70" x14ac:dyDescent="0.25">
      <c r="A735" s="19" t="s">
        <v>3686</v>
      </c>
      <c r="B735" s="37" t="s">
        <v>2623</v>
      </c>
      <c r="C735" s="90">
        <v>45132.592465277776</v>
      </c>
      <c r="D735" s="114">
        <v>45132.342465277776</v>
      </c>
      <c r="E735" s="38">
        <v>45132</v>
      </c>
      <c r="F735" s="91">
        <v>2023</v>
      </c>
      <c r="G735" s="93">
        <v>7</v>
      </c>
      <c r="H735" s="37" t="s">
        <v>2548</v>
      </c>
      <c r="I735" s="37"/>
      <c r="J735" s="103">
        <v>-91.000525104834182</v>
      </c>
      <c r="K735" s="40">
        <v>43.37752741204946</v>
      </c>
      <c r="L735" s="74"/>
      <c r="M735" s="272" t="s">
        <v>16</v>
      </c>
      <c r="N735" s="74">
        <v>0</v>
      </c>
      <c r="O735" s="94"/>
      <c r="P735" s="118">
        <v>1</v>
      </c>
      <c r="Q735" s="510">
        <v>180</v>
      </c>
      <c r="R735" s="513">
        <v>120</v>
      </c>
      <c r="S735" s="41"/>
      <c r="T735" s="40"/>
      <c r="U735" s="40">
        <v>7</v>
      </c>
      <c r="V735" s="119">
        <v>1</v>
      </c>
      <c r="W735" s="40">
        <v>0</v>
      </c>
      <c r="X735" s="119">
        <v>1</v>
      </c>
      <c r="Y735" s="40">
        <v>56</v>
      </c>
      <c r="Z735" s="119">
        <v>1</v>
      </c>
      <c r="AA735" s="368">
        <v>0</v>
      </c>
      <c r="AB735" s="535">
        <v>2</v>
      </c>
      <c r="AC735" s="39" t="s">
        <v>160</v>
      </c>
      <c r="AD735" s="75" t="s">
        <v>10</v>
      </c>
      <c r="AE735" s="95">
        <v>0</v>
      </c>
      <c r="AF735" s="75">
        <v>0</v>
      </c>
      <c r="AG735" s="75">
        <v>0</v>
      </c>
      <c r="AH735" s="75">
        <v>0</v>
      </c>
      <c r="AI735" s="75">
        <v>0</v>
      </c>
      <c r="AJ735" s="75">
        <v>0</v>
      </c>
      <c r="AK735" s="75">
        <v>0</v>
      </c>
      <c r="AL735" s="95">
        <v>1</v>
      </c>
      <c r="AM735" s="92">
        <v>0</v>
      </c>
      <c r="AN735" s="79" t="s">
        <v>80</v>
      </c>
      <c r="AO735" s="75">
        <v>1</v>
      </c>
      <c r="AP735" s="75" t="s">
        <v>83</v>
      </c>
      <c r="AQ735" s="122">
        <v>1</v>
      </c>
      <c r="AR735" s="515" t="s">
        <v>10</v>
      </c>
      <c r="AS735" s="95">
        <v>0</v>
      </c>
      <c r="AT735" s="75">
        <v>0</v>
      </c>
      <c r="AU735" s="75">
        <v>0</v>
      </c>
      <c r="AV735" s="75">
        <v>0</v>
      </c>
      <c r="AW735" s="123">
        <v>0</v>
      </c>
      <c r="AX735" s="516"/>
      <c r="AY735" s="75">
        <v>0</v>
      </c>
      <c r="AZ735" s="77" t="s">
        <v>131</v>
      </c>
      <c r="BA735" s="78" t="s">
        <v>131</v>
      </c>
      <c r="BB735" s="78" t="s">
        <v>131</v>
      </c>
      <c r="BC735" s="78" t="s">
        <v>131</v>
      </c>
      <c r="BD735" s="78" t="s">
        <v>131</v>
      </c>
      <c r="BE735" s="78" t="s">
        <v>131</v>
      </c>
      <c r="BF735" s="78" t="s">
        <v>131</v>
      </c>
      <c r="BG735" s="78" t="s">
        <v>132</v>
      </c>
      <c r="BH735" s="75" t="s">
        <v>5970</v>
      </c>
      <c r="BI735" s="295" t="s">
        <v>16</v>
      </c>
      <c r="BJ735" s="546">
        <v>1</v>
      </c>
      <c r="BK735" s="294" t="s">
        <v>16</v>
      </c>
      <c r="BL735" s="157" t="s">
        <v>16</v>
      </c>
      <c r="BM735" s="548" t="s">
        <v>1342</v>
      </c>
      <c r="BN735" s="548" t="s">
        <v>4158</v>
      </c>
      <c r="BO735" s="157" t="s">
        <v>4437</v>
      </c>
      <c r="BP735" s="548" t="s">
        <v>2239</v>
      </c>
      <c r="BQ735" s="157" t="s">
        <v>4336</v>
      </c>
      <c r="BR735" s="157"/>
    </row>
    <row r="736" spans="1:70" x14ac:dyDescent="0.25">
      <c r="A736" s="19" t="s">
        <v>3686</v>
      </c>
      <c r="B736" s="37" t="s">
        <v>2624</v>
      </c>
      <c r="C736" s="90">
        <v>45132.518333333333</v>
      </c>
      <c r="D736" s="114">
        <v>45132.268333333333</v>
      </c>
      <c r="E736" s="38">
        <v>45132</v>
      </c>
      <c r="F736" s="91">
        <v>2023</v>
      </c>
      <c r="G736" s="93">
        <v>7</v>
      </c>
      <c r="H736" s="37" t="s">
        <v>2400</v>
      </c>
      <c r="I736" s="37"/>
      <c r="J736" s="103">
        <v>-90.917148299999994</v>
      </c>
      <c r="K736" s="40">
        <v>43.368523199999998</v>
      </c>
      <c r="L736" s="74"/>
      <c r="M736" s="272" t="s">
        <v>16</v>
      </c>
      <c r="N736" s="74">
        <v>0</v>
      </c>
      <c r="O736" s="94"/>
      <c r="P736" s="118">
        <v>1</v>
      </c>
      <c r="Q736" s="510">
        <v>120</v>
      </c>
      <c r="R736" s="513">
        <v>180</v>
      </c>
      <c r="S736" s="41"/>
      <c r="T736" s="40"/>
      <c r="U736" s="40">
        <v>7.5</v>
      </c>
      <c r="V736" s="119">
        <v>1</v>
      </c>
      <c r="W736" s="40">
        <v>0</v>
      </c>
      <c r="X736" s="119">
        <v>1</v>
      </c>
      <c r="Y736" s="40">
        <v>57</v>
      </c>
      <c r="Z736" s="119">
        <v>1</v>
      </c>
      <c r="AA736" s="368">
        <v>0</v>
      </c>
      <c r="AB736" s="535">
        <v>1</v>
      </c>
      <c r="AC736" s="39" t="s">
        <v>160</v>
      </c>
      <c r="AD736" s="75" t="s">
        <v>10</v>
      </c>
      <c r="AE736" s="95">
        <v>0</v>
      </c>
      <c r="AF736" s="75">
        <v>0</v>
      </c>
      <c r="AG736" s="75">
        <v>0</v>
      </c>
      <c r="AH736" s="75">
        <v>0</v>
      </c>
      <c r="AI736" s="75">
        <v>0</v>
      </c>
      <c r="AJ736" s="75">
        <v>0</v>
      </c>
      <c r="AK736" s="75">
        <v>0</v>
      </c>
      <c r="AL736" s="95">
        <v>1</v>
      </c>
      <c r="AM736" s="92">
        <v>0</v>
      </c>
      <c r="AN736" s="79" t="s">
        <v>80</v>
      </c>
      <c r="AO736" s="75">
        <v>1</v>
      </c>
      <c r="AP736" s="75" t="s">
        <v>83</v>
      </c>
      <c r="AQ736" s="122">
        <v>1</v>
      </c>
      <c r="AR736" s="515" t="s">
        <v>10</v>
      </c>
      <c r="AS736" s="95">
        <v>0</v>
      </c>
      <c r="AT736" s="75">
        <v>0</v>
      </c>
      <c r="AU736" s="75">
        <v>0</v>
      </c>
      <c r="AV736" s="75">
        <v>0</v>
      </c>
      <c r="AW736" s="123">
        <v>0</v>
      </c>
      <c r="AX736" s="516"/>
      <c r="AY736" s="75">
        <v>0</v>
      </c>
      <c r="AZ736" s="77" t="s">
        <v>131</v>
      </c>
      <c r="BA736" s="78" t="s">
        <v>131</v>
      </c>
      <c r="BB736" s="78" t="s">
        <v>131</v>
      </c>
      <c r="BC736" s="78" t="s">
        <v>131</v>
      </c>
      <c r="BD736" s="78" t="s">
        <v>131</v>
      </c>
      <c r="BE736" s="78" t="s">
        <v>131</v>
      </c>
      <c r="BF736" s="78" t="s">
        <v>131</v>
      </c>
      <c r="BG736" s="78" t="s">
        <v>132</v>
      </c>
      <c r="BH736" s="75" t="s">
        <v>5970</v>
      </c>
      <c r="BI736" s="295" t="s">
        <v>4066</v>
      </c>
      <c r="BJ736" s="546">
        <v>1</v>
      </c>
      <c r="BK736" s="294">
        <v>1</v>
      </c>
      <c r="BL736" s="157">
        <v>1</v>
      </c>
      <c r="BM736" s="548" t="s">
        <v>1342</v>
      </c>
      <c r="BN736" s="548" t="s">
        <v>4158</v>
      </c>
      <c r="BO736" s="157" t="s">
        <v>4401</v>
      </c>
      <c r="BP736" s="548" t="s">
        <v>4063</v>
      </c>
      <c r="BQ736" s="157" t="s">
        <v>4303</v>
      </c>
      <c r="BR736" s="157"/>
    </row>
    <row r="737" spans="1:70" x14ac:dyDescent="0.25">
      <c r="A737" s="19" t="s">
        <v>3686</v>
      </c>
      <c r="B737" s="37" t="s">
        <v>2625</v>
      </c>
      <c r="C737" s="90">
        <v>45131.950590277775</v>
      </c>
      <c r="D737" s="114">
        <v>45131.700590277775</v>
      </c>
      <c r="E737" s="38">
        <v>45131</v>
      </c>
      <c r="F737" s="91">
        <v>2023</v>
      </c>
      <c r="G737" s="93">
        <v>7</v>
      </c>
      <c r="H737" s="37" t="s">
        <v>2548</v>
      </c>
      <c r="I737" s="37"/>
      <c r="J737" s="103">
        <v>-90.861436196097074</v>
      </c>
      <c r="K737" s="40">
        <v>43.370395355271683</v>
      </c>
      <c r="L737" s="74"/>
      <c r="M737" s="272" t="s">
        <v>16</v>
      </c>
      <c r="N737" s="74">
        <v>0</v>
      </c>
      <c r="O737" s="94"/>
      <c r="P737" s="118">
        <v>1</v>
      </c>
      <c r="Q737" s="510">
        <v>180</v>
      </c>
      <c r="R737" s="513">
        <v>60</v>
      </c>
      <c r="S737" s="41"/>
      <c r="T737" s="40"/>
      <c r="U737" s="40">
        <v>8</v>
      </c>
      <c r="V737" s="119">
        <v>1</v>
      </c>
      <c r="W737" s="40">
        <v>0</v>
      </c>
      <c r="X737" s="119">
        <v>1</v>
      </c>
      <c r="Y737" s="40">
        <v>75</v>
      </c>
      <c r="Z737" s="119">
        <v>1</v>
      </c>
      <c r="AA737" s="368">
        <v>0</v>
      </c>
      <c r="AB737" s="535">
        <v>2</v>
      </c>
      <c r="AC737" s="39" t="s">
        <v>160</v>
      </c>
      <c r="AD737" s="75" t="s">
        <v>10</v>
      </c>
      <c r="AE737" s="95">
        <v>0</v>
      </c>
      <c r="AF737" s="75">
        <v>0</v>
      </c>
      <c r="AG737" s="75">
        <v>0</v>
      </c>
      <c r="AH737" s="75">
        <v>0</v>
      </c>
      <c r="AI737" s="75">
        <v>0</v>
      </c>
      <c r="AJ737" s="75">
        <v>0</v>
      </c>
      <c r="AK737" s="75">
        <v>0</v>
      </c>
      <c r="AL737" s="95">
        <v>1</v>
      </c>
      <c r="AM737" s="92">
        <v>0</v>
      </c>
      <c r="AN737" s="79" t="s">
        <v>80</v>
      </c>
      <c r="AO737" s="75">
        <v>1</v>
      </c>
      <c r="AP737" s="75" t="s">
        <v>83</v>
      </c>
      <c r="AQ737" s="122">
        <v>1</v>
      </c>
      <c r="AR737" s="515" t="s">
        <v>10</v>
      </c>
      <c r="AS737" s="95">
        <v>0</v>
      </c>
      <c r="AT737" s="75">
        <v>0</v>
      </c>
      <c r="AU737" s="75">
        <v>0</v>
      </c>
      <c r="AV737" s="75">
        <v>0</v>
      </c>
      <c r="AW737" s="123">
        <v>0</v>
      </c>
      <c r="AX737" s="516"/>
      <c r="AY737" s="75">
        <v>0</v>
      </c>
      <c r="AZ737" s="77" t="s">
        <v>131</v>
      </c>
      <c r="BA737" s="78" t="s">
        <v>131</v>
      </c>
      <c r="BB737" s="78" t="s">
        <v>131</v>
      </c>
      <c r="BC737" s="78" t="s">
        <v>131</v>
      </c>
      <c r="BD737" s="78" t="s">
        <v>131</v>
      </c>
      <c r="BE737" s="78" t="s">
        <v>131</v>
      </c>
      <c r="BF737" s="78" t="s">
        <v>131</v>
      </c>
      <c r="BG737" s="78" t="s">
        <v>132</v>
      </c>
      <c r="BH737" s="75" t="s">
        <v>5970</v>
      </c>
      <c r="BI737" s="295" t="s">
        <v>4066</v>
      </c>
      <c r="BJ737" s="546">
        <v>1</v>
      </c>
      <c r="BK737" s="294">
        <v>1</v>
      </c>
      <c r="BL737" s="157">
        <v>1</v>
      </c>
      <c r="BM737" s="548" t="s">
        <v>1342</v>
      </c>
      <c r="BN737" s="548" t="s">
        <v>4158</v>
      </c>
      <c r="BO737" s="157" t="s">
        <v>4401</v>
      </c>
      <c r="BP737" s="548" t="s">
        <v>4063</v>
      </c>
      <c r="BQ737" s="157" t="s">
        <v>4303</v>
      </c>
      <c r="BR737" s="157"/>
    </row>
    <row r="738" spans="1:70" x14ac:dyDescent="0.25">
      <c r="A738" s="19" t="s">
        <v>3686</v>
      </c>
      <c r="B738" s="37" t="s">
        <v>3952</v>
      </c>
      <c r="C738" s="90">
        <v>45131.879513888889</v>
      </c>
      <c r="D738" s="114">
        <v>45131.629513888889</v>
      </c>
      <c r="E738" s="38">
        <v>45131</v>
      </c>
      <c r="F738" s="91">
        <v>2023</v>
      </c>
      <c r="G738" s="93">
        <v>7</v>
      </c>
      <c r="H738" s="37" t="s">
        <v>2761</v>
      </c>
      <c r="I738" s="37" t="s">
        <v>1411</v>
      </c>
      <c r="J738" s="103">
        <v>-93.231273859523839</v>
      </c>
      <c r="K738" s="40">
        <v>44.846724961179945</v>
      </c>
      <c r="L738" s="74"/>
      <c r="M738" s="272" t="s">
        <v>3953</v>
      </c>
      <c r="N738" s="74">
        <v>1</v>
      </c>
      <c r="O738" s="94"/>
      <c r="P738" s="118">
        <v>1</v>
      </c>
      <c r="Q738" s="510">
        <v>180</v>
      </c>
      <c r="R738" s="513">
        <v>60</v>
      </c>
      <c r="S738" s="41"/>
      <c r="T738" s="40"/>
      <c r="U738" s="40">
        <v>7.5</v>
      </c>
      <c r="V738" s="119">
        <v>1</v>
      </c>
      <c r="W738" s="40">
        <v>0</v>
      </c>
      <c r="X738" s="119">
        <v>1</v>
      </c>
      <c r="Y738" s="40">
        <v>57</v>
      </c>
      <c r="Z738" s="119">
        <v>1</v>
      </c>
      <c r="AA738" s="368">
        <v>0</v>
      </c>
      <c r="AB738" s="535">
        <v>0</v>
      </c>
      <c r="AC738" s="39" t="s">
        <v>160</v>
      </c>
      <c r="AD738" s="75" t="s">
        <v>10</v>
      </c>
      <c r="AE738" s="95">
        <v>0</v>
      </c>
      <c r="AF738" s="75">
        <v>0</v>
      </c>
      <c r="AG738" s="75">
        <v>0</v>
      </c>
      <c r="AH738" s="75">
        <v>0</v>
      </c>
      <c r="AI738" s="75">
        <v>0</v>
      </c>
      <c r="AJ738" s="75">
        <v>0</v>
      </c>
      <c r="AK738" s="75">
        <v>0</v>
      </c>
      <c r="AL738" s="95">
        <v>1</v>
      </c>
      <c r="AM738" s="92">
        <v>0</v>
      </c>
      <c r="AN738" s="79" t="s">
        <v>81</v>
      </c>
      <c r="AO738" s="75">
        <v>1</v>
      </c>
      <c r="AP738" s="75" t="s">
        <v>83</v>
      </c>
      <c r="AQ738" s="122">
        <v>1</v>
      </c>
      <c r="AR738" s="515" t="s">
        <v>13</v>
      </c>
      <c r="AS738" s="95">
        <v>1</v>
      </c>
      <c r="AT738" s="75">
        <v>0</v>
      </c>
      <c r="AU738" s="75">
        <v>0</v>
      </c>
      <c r="AV738" s="75">
        <v>0</v>
      </c>
      <c r="AW738" s="123">
        <v>0</v>
      </c>
      <c r="AX738" s="516"/>
      <c r="AY738" s="75">
        <v>0</v>
      </c>
      <c r="AZ738" s="77" t="s">
        <v>131</v>
      </c>
      <c r="BA738" s="78" t="s">
        <v>131</v>
      </c>
      <c r="BB738" s="78" t="s">
        <v>131</v>
      </c>
      <c r="BC738" s="78" t="s">
        <v>131</v>
      </c>
      <c r="BD738" s="78" t="s">
        <v>131</v>
      </c>
      <c r="BE738" s="78" t="s">
        <v>131</v>
      </c>
      <c r="BF738" s="78" t="s">
        <v>131</v>
      </c>
      <c r="BG738" s="78" t="s">
        <v>132</v>
      </c>
      <c r="BH738" s="75" t="s">
        <v>5970</v>
      </c>
      <c r="BI738" s="295" t="s">
        <v>16</v>
      </c>
      <c r="BJ738" s="546" t="s">
        <v>16</v>
      </c>
      <c r="BK738" s="294" t="s">
        <v>16</v>
      </c>
      <c r="BL738" s="157" t="s">
        <v>16</v>
      </c>
      <c r="BM738" s="548" t="s">
        <v>2343</v>
      </c>
      <c r="BN738" s="548" t="s">
        <v>4161</v>
      </c>
      <c r="BO738" s="157" t="s">
        <v>4327</v>
      </c>
      <c r="BP738" s="548" t="s">
        <v>4314</v>
      </c>
      <c r="BQ738" s="157" t="s">
        <v>4312</v>
      </c>
      <c r="BR738" s="157"/>
    </row>
    <row r="739" spans="1:70" x14ac:dyDescent="0.25">
      <c r="A739" s="19" t="s">
        <v>3686</v>
      </c>
      <c r="B739" s="37" t="s">
        <v>2626</v>
      </c>
      <c r="C739" s="90">
        <v>45131.858634259261</v>
      </c>
      <c r="D739" s="114">
        <v>45131.608634259261</v>
      </c>
      <c r="E739" s="38">
        <v>45131</v>
      </c>
      <c r="F739" s="91">
        <v>2023</v>
      </c>
      <c r="G739" s="93">
        <v>7</v>
      </c>
      <c r="H739" s="37" t="s">
        <v>2400</v>
      </c>
      <c r="I739" s="37" t="s">
        <v>16</v>
      </c>
      <c r="J739" s="103">
        <v>-90.892386000000002</v>
      </c>
      <c r="K739" s="40">
        <v>43.413794299999999</v>
      </c>
      <c r="L739" s="74"/>
      <c r="M739" s="272" t="s">
        <v>2627</v>
      </c>
      <c r="N739" s="74">
        <v>1</v>
      </c>
      <c r="O739" s="94"/>
      <c r="P739" s="118">
        <v>1</v>
      </c>
      <c r="Q739" s="510">
        <v>120</v>
      </c>
      <c r="R739" s="513">
        <v>180</v>
      </c>
      <c r="S739" s="41"/>
      <c r="T739" s="40"/>
      <c r="U739" s="40">
        <v>9</v>
      </c>
      <c r="V739" s="119">
        <v>1</v>
      </c>
      <c r="W739" s="40">
        <v>0</v>
      </c>
      <c r="X739" s="119">
        <v>1</v>
      </c>
      <c r="Y739" s="40">
        <v>74</v>
      </c>
      <c r="Z739" s="119">
        <v>1</v>
      </c>
      <c r="AA739" s="368">
        <v>0</v>
      </c>
      <c r="AB739" s="535">
        <v>2</v>
      </c>
      <c r="AC739" s="39" t="s">
        <v>160</v>
      </c>
      <c r="AD739" s="75" t="s">
        <v>10</v>
      </c>
      <c r="AE739" s="95">
        <v>0</v>
      </c>
      <c r="AF739" s="75">
        <v>0</v>
      </c>
      <c r="AG739" s="75">
        <v>0</v>
      </c>
      <c r="AH739" s="75">
        <v>0</v>
      </c>
      <c r="AI739" s="75">
        <v>0</v>
      </c>
      <c r="AJ739" s="75">
        <v>0</v>
      </c>
      <c r="AK739" s="75">
        <v>0</v>
      </c>
      <c r="AL739" s="95">
        <v>1</v>
      </c>
      <c r="AM739" s="92">
        <v>0</v>
      </c>
      <c r="AN739" s="79" t="s">
        <v>80</v>
      </c>
      <c r="AO739" s="75">
        <v>1</v>
      </c>
      <c r="AP739" s="75" t="s">
        <v>83</v>
      </c>
      <c r="AQ739" s="122">
        <v>1</v>
      </c>
      <c r="AR739" s="515" t="s">
        <v>10</v>
      </c>
      <c r="AS739" s="95">
        <v>0</v>
      </c>
      <c r="AT739" s="75">
        <v>0</v>
      </c>
      <c r="AU739" s="75">
        <v>0</v>
      </c>
      <c r="AV739" s="75">
        <v>0</v>
      </c>
      <c r="AW739" s="123">
        <v>0</v>
      </c>
      <c r="AX739" s="516"/>
      <c r="AY739" s="75">
        <v>0</v>
      </c>
      <c r="AZ739" s="77" t="s">
        <v>131</v>
      </c>
      <c r="BA739" s="78" t="s">
        <v>131</v>
      </c>
      <c r="BB739" s="78" t="s">
        <v>131</v>
      </c>
      <c r="BC739" s="78" t="s">
        <v>131</v>
      </c>
      <c r="BD739" s="78" t="s">
        <v>131</v>
      </c>
      <c r="BE739" s="78" t="s">
        <v>131</v>
      </c>
      <c r="BF739" s="78" t="s">
        <v>131</v>
      </c>
      <c r="BG739" s="78" t="s">
        <v>132</v>
      </c>
      <c r="BH739" s="75" t="s">
        <v>5970</v>
      </c>
      <c r="BI739" s="295" t="s">
        <v>4064</v>
      </c>
      <c r="BJ739" s="546">
        <v>1</v>
      </c>
      <c r="BK739" s="294" t="s">
        <v>16</v>
      </c>
      <c r="BL739" s="157" t="s">
        <v>16</v>
      </c>
      <c r="BM739" s="548" t="s">
        <v>1342</v>
      </c>
      <c r="BN739" s="548" t="s">
        <v>4158</v>
      </c>
      <c r="BO739" s="157" t="s">
        <v>4401</v>
      </c>
      <c r="BP739" s="548" t="s">
        <v>4063</v>
      </c>
      <c r="BQ739" s="157" t="s">
        <v>4303</v>
      </c>
      <c r="BR739" s="157"/>
    </row>
    <row r="740" spans="1:70" x14ac:dyDescent="0.25">
      <c r="A740" s="19" t="s">
        <v>3686</v>
      </c>
      <c r="B740" s="37" t="s">
        <v>2628</v>
      </c>
      <c r="C740" s="90">
        <v>45131.789594907408</v>
      </c>
      <c r="D740" s="114">
        <v>45131.539594907408</v>
      </c>
      <c r="E740" s="38">
        <v>45131</v>
      </c>
      <c r="F740" s="91">
        <v>2023</v>
      </c>
      <c r="G740" s="93">
        <v>7</v>
      </c>
      <c r="H740" s="37" t="s">
        <v>2548</v>
      </c>
      <c r="I740" s="37"/>
      <c r="J740" s="103">
        <v>-90.689626768329916</v>
      </c>
      <c r="K740" s="40">
        <v>43.346230509569637</v>
      </c>
      <c r="L740" s="74"/>
      <c r="M740" s="272" t="s">
        <v>16</v>
      </c>
      <c r="N740" s="74">
        <v>0</v>
      </c>
      <c r="O740" s="94"/>
      <c r="P740" s="118">
        <v>1</v>
      </c>
      <c r="Q740" s="510">
        <v>180</v>
      </c>
      <c r="R740" s="513">
        <v>120</v>
      </c>
      <c r="S740" s="41"/>
      <c r="T740" s="40"/>
      <c r="U740" s="40">
        <v>7.5</v>
      </c>
      <c r="V740" s="119">
        <v>1</v>
      </c>
      <c r="W740" s="40">
        <v>0</v>
      </c>
      <c r="X740" s="119">
        <v>1</v>
      </c>
      <c r="Y740" s="40">
        <v>66</v>
      </c>
      <c r="Z740" s="119">
        <v>1</v>
      </c>
      <c r="AA740" s="368">
        <v>0</v>
      </c>
      <c r="AB740" s="535">
        <v>0</v>
      </c>
      <c r="AC740" s="39" t="s">
        <v>160</v>
      </c>
      <c r="AD740" s="75" t="s">
        <v>10</v>
      </c>
      <c r="AE740" s="95">
        <v>0</v>
      </c>
      <c r="AF740" s="75">
        <v>0</v>
      </c>
      <c r="AG740" s="75">
        <v>0</v>
      </c>
      <c r="AH740" s="75">
        <v>0</v>
      </c>
      <c r="AI740" s="75">
        <v>0</v>
      </c>
      <c r="AJ740" s="75">
        <v>0</v>
      </c>
      <c r="AK740" s="75">
        <v>0</v>
      </c>
      <c r="AL740" s="95">
        <v>1</v>
      </c>
      <c r="AM740" s="92">
        <v>0</v>
      </c>
      <c r="AN740" s="79" t="s">
        <v>80</v>
      </c>
      <c r="AO740" s="75">
        <v>1</v>
      </c>
      <c r="AP740" s="75" t="s">
        <v>83</v>
      </c>
      <c r="AQ740" s="122">
        <v>1</v>
      </c>
      <c r="AR740" s="515" t="s">
        <v>10</v>
      </c>
      <c r="AS740" s="95">
        <v>0</v>
      </c>
      <c r="AT740" s="75">
        <v>0</v>
      </c>
      <c r="AU740" s="75">
        <v>0</v>
      </c>
      <c r="AV740" s="75">
        <v>0</v>
      </c>
      <c r="AW740" s="123">
        <v>0</v>
      </c>
      <c r="AX740" s="516"/>
      <c r="AY740" s="75">
        <v>0</v>
      </c>
      <c r="AZ740" s="77" t="s">
        <v>131</v>
      </c>
      <c r="BA740" s="78" t="s">
        <v>131</v>
      </c>
      <c r="BB740" s="78" t="s">
        <v>131</v>
      </c>
      <c r="BC740" s="78" t="s">
        <v>131</v>
      </c>
      <c r="BD740" s="78" t="s">
        <v>131</v>
      </c>
      <c r="BE740" s="78" t="s">
        <v>131</v>
      </c>
      <c r="BF740" s="78" t="s">
        <v>131</v>
      </c>
      <c r="BG740" s="78" t="s">
        <v>132</v>
      </c>
      <c r="BH740" s="75" t="s">
        <v>5970</v>
      </c>
      <c r="BI740" s="295" t="s">
        <v>16</v>
      </c>
      <c r="BJ740" s="546">
        <v>1</v>
      </c>
      <c r="BK740" s="294">
        <v>1</v>
      </c>
      <c r="BL740" s="157">
        <v>1</v>
      </c>
      <c r="BM740" s="548" t="s">
        <v>1342</v>
      </c>
      <c r="BN740" s="548" t="s">
        <v>4158</v>
      </c>
      <c r="BO740" s="157" t="s">
        <v>4453</v>
      </c>
      <c r="BP740" s="548" t="s">
        <v>4454</v>
      </c>
      <c r="BQ740" s="157" t="s">
        <v>4427</v>
      </c>
      <c r="BR740" s="157"/>
    </row>
    <row r="741" spans="1:70" x14ac:dyDescent="0.25">
      <c r="A741" s="19" t="s">
        <v>3686</v>
      </c>
      <c r="B741" s="37" t="s">
        <v>2629</v>
      </c>
      <c r="C741" s="90">
        <v>45131.770486111112</v>
      </c>
      <c r="D741" s="114">
        <v>45131.520486111112</v>
      </c>
      <c r="E741" s="38">
        <v>45131</v>
      </c>
      <c r="F741" s="91">
        <v>2023</v>
      </c>
      <c r="G741" s="93">
        <v>7</v>
      </c>
      <c r="H741" s="37" t="s">
        <v>2400</v>
      </c>
      <c r="I741" s="37"/>
      <c r="J741" s="103">
        <v>-90.670416900000006</v>
      </c>
      <c r="K741" s="40">
        <v>43.353039199999998</v>
      </c>
      <c r="L741" s="74"/>
      <c r="M741" s="272" t="s">
        <v>2630</v>
      </c>
      <c r="N741" s="74">
        <v>1</v>
      </c>
      <c r="O741" s="94"/>
      <c r="P741" s="118">
        <v>1</v>
      </c>
      <c r="Q741" s="510">
        <v>180</v>
      </c>
      <c r="R741" s="513">
        <v>120</v>
      </c>
      <c r="S741" s="41"/>
      <c r="T741" s="40"/>
      <c r="U741" s="40">
        <v>9</v>
      </c>
      <c r="V741" s="119">
        <v>1</v>
      </c>
      <c r="W741" s="40">
        <v>0</v>
      </c>
      <c r="X741" s="119">
        <v>1</v>
      </c>
      <c r="Y741" s="40">
        <v>73</v>
      </c>
      <c r="Z741" s="119">
        <v>1</v>
      </c>
      <c r="AA741" s="368">
        <v>0</v>
      </c>
      <c r="AB741" s="535">
        <v>0</v>
      </c>
      <c r="AC741" s="39" t="s">
        <v>160</v>
      </c>
      <c r="AD741" s="75" t="s">
        <v>10</v>
      </c>
      <c r="AE741" s="95">
        <v>0</v>
      </c>
      <c r="AF741" s="75">
        <v>0</v>
      </c>
      <c r="AG741" s="75">
        <v>0</v>
      </c>
      <c r="AH741" s="75">
        <v>0</v>
      </c>
      <c r="AI741" s="75">
        <v>0</v>
      </c>
      <c r="AJ741" s="75">
        <v>0</v>
      </c>
      <c r="AK741" s="75">
        <v>0</v>
      </c>
      <c r="AL741" s="95">
        <v>1</v>
      </c>
      <c r="AM741" s="92">
        <v>0</v>
      </c>
      <c r="AN741" s="79" t="s">
        <v>80</v>
      </c>
      <c r="AO741" s="75">
        <v>1</v>
      </c>
      <c r="AP741" s="75" t="s">
        <v>83</v>
      </c>
      <c r="AQ741" s="122">
        <v>1</v>
      </c>
      <c r="AR741" s="515" t="s">
        <v>10</v>
      </c>
      <c r="AS741" s="95">
        <v>0</v>
      </c>
      <c r="AT741" s="75">
        <v>0</v>
      </c>
      <c r="AU741" s="75">
        <v>0</v>
      </c>
      <c r="AV741" s="75">
        <v>0</v>
      </c>
      <c r="AW741" s="123">
        <v>0</v>
      </c>
      <c r="AX741" s="516"/>
      <c r="AY741" s="75">
        <v>0</v>
      </c>
      <c r="AZ741" s="77" t="s">
        <v>131</v>
      </c>
      <c r="BA741" s="78" t="s">
        <v>131</v>
      </c>
      <c r="BB741" s="78" t="s">
        <v>131</v>
      </c>
      <c r="BC741" s="78" t="s">
        <v>131</v>
      </c>
      <c r="BD741" s="78" t="s">
        <v>131</v>
      </c>
      <c r="BE741" s="78" t="s">
        <v>131</v>
      </c>
      <c r="BF741" s="78" t="s">
        <v>131</v>
      </c>
      <c r="BG741" s="78" t="s">
        <v>132</v>
      </c>
      <c r="BH741" s="75" t="s">
        <v>5970</v>
      </c>
      <c r="BI741" s="295" t="s">
        <v>4088</v>
      </c>
      <c r="BJ741" s="546">
        <v>1</v>
      </c>
      <c r="BK741" s="294" t="s">
        <v>16</v>
      </c>
      <c r="BL741" s="157" t="s">
        <v>16</v>
      </c>
      <c r="BM741" s="548" t="s">
        <v>1342</v>
      </c>
      <c r="BN741" s="548" t="s">
        <v>4158</v>
      </c>
      <c r="BO741" s="157" t="s">
        <v>4453</v>
      </c>
      <c r="BP741" s="548" t="s">
        <v>4454</v>
      </c>
      <c r="BQ741" s="157" t="s">
        <v>4427</v>
      </c>
      <c r="BR741" s="157"/>
    </row>
    <row r="742" spans="1:70" x14ac:dyDescent="0.25">
      <c r="A742" s="19" t="s">
        <v>3686</v>
      </c>
      <c r="B742" s="37" t="s">
        <v>2631</v>
      </c>
      <c r="C742" s="90">
        <v>45131.742719907408</v>
      </c>
      <c r="D742" s="114">
        <v>45131.492719907408</v>
      </c>
      <c r="E742" s="38">
        <v>45131</v>
      </c>
      <c r="F742" s="91">
        <v>2023</v>
      </c>
      <c r="G742" s="93">
        <v>7</v>
      </c>
      <c r="H742" s="37" t="s">
        <v>1514</v>
      </c>
      <c r="I742" s="37" t="s">
        <v>1772</v>
      </c>
      <c r="J742" s="103">
        <v>-92.189615180857444</v>
      </c>
      <c r="K742" s="40">
        <v>44.632845690676746</v>
      </c>
      <c r="L742" s="74"/>
      <c r="M742" s="272" t="s">
        <v>16</v>
      </c>
      <c r="N742" s="74">
        <v>0</v>
      </c>
      <c r="O742" s="94"/>
      <c r="P742" s="118">
        <v>1</v>
      </c>
      <c r="Q742" s="510">
        <v>120</v>
      </c>
      <c r="R742" s="513">
        <v>120</v>
      </c>
      <c r="S742" s="41"/>
      <c r="T742" s="40"/>
      <c r="U742" s="40">
        <v>8</v>
      </c>
      <c r="V742" s="119">
        <v>1</v>
      </c>
      <c r="W742" s="40">
        <v>0</v>
      </c>
      <c r="X742" s="119">
        <v>0</v>
      </c>
      <c r="Y742" s="40"/>
      <c r="Z742" s="119">
        <v>1</v>
      </c>
      <c r="AA742" s="368">
        <v>0</v>
      </c>
      <c r="AB742" s="535">
        <v>2</v>
      </c>
      <c r="AC742" s="39" t="s">
        <v>160</v>
      </c>
      <c r="AD742" s="75" t="s">
        <v>16</v>
      </c>
      <c r="AE742" s="95">
        <v>-1</v>
      </c>
      <c r="AF742" s="75">
        <v>-1</v>
      </c>
      <c r="AG742" s="75">
        <v>-1</v>
      </c>
      <c r="AH742" s="75">
        <v>-1</v>
      </c>
      <c r="AI742" s="75">
        <v>-1</v>
      </c>
      <c r="AJ742" s="75">
        <v>-1</v>
      </c>
      <c r="AK742" s="75">
        <v>-1</v>
      </c>
      <c r="AL742" s="95">
        <v>-1</v>
      </c>
      <c r="AM742" s="92">
        <v>1</v>
      </c>
      <c r="AN742" s="79" t="s">
        <v>80</v>
      </c>
      <c r="AO742" s="75">
        <v>1</v>
      </c>
      <c r="AP742" s="75" t="s">
        <v>83</v>
      </c>
      <c r="AQ742" s="122">
        <v>1</v>
      </c>
      <c r="AR742" s="515" t="s">
        <v>10</v>
      </c>
      <c r="AS742" s="95">
        <v>0</v>
      </c>
      <c r="AT742" s="75">
        <v>0</v>
      </c>
      <c r="AU742" s="75">
        <v>0</v>
      </c>
      <c r="AV742" s="75">
        <v>0</v>
      </c>
      <c r="AW742" s="123">
        <v>0</v>
      </c>
      <c r="AX742" s="516"/>
      <c r="AY742" s="75">
        <v>0</v>
      </c>
      <c r="AZ742" s="77" t="s">
        <v>5971</v>
      </c>
      <c r="BA742" s="78" t="s">
        <v>5971</v>
      </c>
      <c r="BB742" s="78" t="s">
        <v>5971</v>
      </c>
      <c r="BC742" s="78" t="s">
        <v>5971</v>
      </c>
      <c r="BD742" s="78" t="s">
        <v>5971</v>
      </c>
      <c r="BE742" s="78" t="s">
        <v>5971</v>
      </c>
      <c r="BF742" s="78" t="s">
        <v>5971</v>
      </c>
      <c r="BG742" s="78" t="s">
        <v>5971</v>
      </c>
      <c r="BH742" s="75" t="s">
        <v>5971</v>
      </c>
      <c r="BI742" s="295" t="s">
        <v>2248</v>
      </c>
      <c r="BJ742" s="546">
        <v>1</v>
      </c>
      <c r="BK742" s="294">
        <v>1</v>
      </c>
      <c r="BL742" s="157">
        <v>1</v>
      </c>
      <c r="BM742" s="548" t="s">
        <v>578</v>
      </c>
      <c r="BN742" s="548" t="s">
        <v>578</v>
      </c>
      <c r="BO742" s="157" t="s">
        <v>4218</v>
      </c>
      <c r="BP742" s="548" t="s">
        <v>4221</v>
      </c>
      <c r="BQ742" s="157" t="s">
        <v>4217</v>
      </c>
      <c r="BR742" s="157"/>
    </row>
    <row r="743" spans="1:70" x14ac:dyDescent="0.25">
      <c r="A743" s="19" t="s">
        <v>3686</v>
      </c>
      <c r="B743" s="37" t="s">
        <v>2632</v>
      </c>
      <c r="C743" s="90">
        <v>45131.739849537036</v>
      </c>
      <c r="D743" s="114">
        <v>45131.489849537036</v>
      </c>
      <c r="E743" s="38">
        <v>45131</v>
      </c>
      <c r="F743" s="91">
        <v>2023</v>
      </c>
      <c r="G743" s="93">
        <v>7</v>
      </c>
      <c r="H743" s="37" t="s">
        <v>1514</v>
      </c>
      <c r="I743" s="37" t="s">
        <v>1772</v>
      </c>
      <c r="J743" s="103">
        <v>-92.189611067303119</v>
      </c>
      <c r="K743" s="40">
        <v>44.63283493775149</v>
      </c>
      <c r="L743" s="74"/>
      <c r="M743" s="272" t="s">
        <v>16</v>
      </c>
      <c r="N743" s="74">
        <v>0</v>
      </c>
      <c r="O743" s="94"/>
      <c r="P743" s="118">
        <v>1</v>
      </c>
      <c r="Q743" s="510">
        <v>120</v>
      </c>
      <c r="R743" s="513">
        <v>120</v>
      </c>
      <c r="S743" s="41"/>
      <c r="T743" s="40"/>
      <c r="U743" s="40">
        <v>7.5</v>
      </c>
      <c r="V743" s="119">
        <v>0</v>
      </c>
      <c r="W743" s="40"/>
      <c r="X743" s="119">
        <v>1</v>
      </c>
      <c r="Y743" s="40">
        <v>57</v>
      </c>
      <c r="Z743" s="119">
        <v>0</v>
      </c>
      <c r="AA743" s="368" t="s">
        <v>16</v>
      </c>
      <c r="AB743" s="535" t="s">
        <v>16</v>
      </c>
      <c r="AC743" s="39" t="s">
        <v>160</v>
      </c>
      <c r="AD743" s="75" t="s">
        <v>16</v>
      </c>
      <c r="AE743" s="95">
        <v>-1</v>
      </c>
      <c r="AF743" s="75">
        <v>-1</v>
      </c>
      <c r="AG743" s="75">
        <v>-1</v>
      </c>
      <c r="AH743" s="75">
        <v>-1</v>
      </c>
      <c r="AI743" s="75">
        <v>-1</v>
      </c>
      <c r="AJ743" s="75">
        <v>-1</v>
      </c>
      <c r="AK743" s="75">
        <v>-1</v>
      </c>
      <c r="AL743" s="95">
        <v>-1</v>
      </c>
      <c r="AM743" s="92">
        <v>1</v>
      </c>
      <c r="AN743" s="79"/>
      <c r="AO743" s="75">
        <v>0</v>
      </c>
      <c r="AP743" s="75"/>
      <c r="AQ743" s="122">
        <v>0</v>
      </c>
      <c r="AR743" s="515" t="s">
        <v>16</v>
      </c>
      <c r="AS743" s="95">
        <v>-1</v>
      </c>
      <c r="AT743" s="75">
        <v>-1</v>
      </c>
      <c r="AU743" s="75">
        <v>-1</v>
      </c>
      <c r="AV743" s="75">
        <v>-1</v>
      </c>
      <c r="AW743" s="123">
        <v>1</v>
      </c>
      <c r="AX743" s="516"/>
      <c r="AY743" s="75">
        <v>0</v>
      </c>
      <c r="AZ743" s="77" t="s">
        <v>5971</v>
      </c>
      <c r="BA743" s="78" t="s">
        <v>5971</v>
      </c>
      <c r="BB743" s="78" t="s">
        <v>5971</v>
      </c>
      <c r="BC743" s="78" t="s">
        <v>5971</v>
      </c>
      <c r="BD743" s="78" t="s">
        <v>5971</v>
      </c>
      <c r="BE743" s="78" t="s">
        <v>5971</v>
      </c>
      <c r="BF743" s="78" t="s">
        <v>5971</v>
      </c>
      <c r="BG743" s="78" t="s">
        <v>5971</v>
      </c>
      <c r="BH743" s="75" t="s">
        <v>5971</v>
      </c>
      <c r="BI743" s="295" t="s">
        <v>2248</v>
      </c>
      <c r="BJ743" s="546">
        <v>1</v>
      </c>
      <c r="BK743" s="294">
        <v>1</v>
      </c>
      <c r="BL743" s="157">
        <v>1</v>
      </c>
      <c r="BM743" s="548" t="s">
        <v>578</v>
      </c>
      <c r="BN743" s="548" t="s">
        <v>578</v>
      </c>
      <c r="BO743" s="157" t="s">
        <v>4218</v>
      </c>
      <c r="BP743" s="548" t="s">
        <v>4221</v>
      </c>
      <c r="BQ743" s="157" t="s">
        <v>4217</v>
      </c>
      <c r="BR743" s="157"/>
    </row>
    <row r="744" spans="1:70" x14ac:dyDescent="0.25">
      <c r="A744" s="19" t="s">
        <v>3686</v>
      </c>
      <c r="B744" s="37" t="s">
        <v>2633</v>
      </c>
      <c r="C744" s="90">
        <v>45131.665879629632</v>
      </c>
      <c r="D744" s="114">
        <v>45131.415879629632</v>
      </c>
      <c r="E744" s="38">
        <v>45131</v>
      </c>
      <c r="F744" s="91">
        <v>2023</v>
      </c>
      <c r="G744" s="93">
        <v>7</v>
      </c>
      <c r="H744" s="37" t="s">
        <v>1386</v>
      </c>
      <c r="I744" s="37"/>
      <c r="J744" s="103">
        <v>-92.270834300000004</v>
      </c>
      <c r="K744" s="40">
        <v>43.624995400000003</v>
      </c>
      <c r="L744" s="74"/>
      <c r="M744" s="272" t="s">
        <v>2634</v>
      </c>
      <c r="N744" s="74">
        <v>1</v>
      </c>
      <c r="O744" s="94"/>
      <c r="P744" s="118">
        <v>1</v>
      </c>
      <c r="Q744" s="510">
        <v>80</v>
      </c>
      <c r="R744" s="513">
        <v>180</v>
      </c>
      <c r="S744" s="41"/>
      <c r="T744" s="40"/>
      <c r="U744" s="40">
        <v>7.5</v>
      </c>
      <c r="V744" s="119">
        <v>1</v>
      </c>
      <c r="W744" s="40">
        <v>0</v>
      </c>
      <c r="X744" s="119">
        <v>1</v>
      </c>
      <c r="Y744" s="40">
        <v>68</v>
      </c>
      <c r="Z744" s="119">
        <v>1</v>
      </c>
      <c r="AA744" s="368">
        <v>0</v>
      </c>
      <c r="AB744" s="535">
        <v>5</v>
      </c>
      <c r="AC744" s="39" t="s">
        <v>160</v>
      </c>
      <c r="AD744" s="75" t="s">
        <v>10</v>
      </c>
      <c r="AE744" s="95">
        <v>0</v>
      </c>
      <c r="AF744" s="75">
        <v>0</v>
      </c>
      <c r="AG744" s="75">
        <v>0</v>
      </c>
      <c r="AH744" s="75">
        <v>0</v>
      </c>
      <c r="AI744" s="75">
        <v>0</v>
      </c>
      <c r="AJ744" s="75">
        <v>0</v>
      </c>
      <c r="AK744" s="75">
        <v>0</v>
      </c>
      <c r="AL744" s="95">
        <v>1</v>
      </c>
      <c r="AM744" s="92">
        <v>0</v>
      </c>
      <c r="AN744" s="79" t="s">
        <v>80</v>
      </c>
      <c r="AO744" s="75">
        <v>1</v>
      </c>
      <c r="AP744" s="75" t="s">
        <v>83</v>
      </c>
      <c r="AQ744" s="122">
        <v>1</v>
      </c>
      <c r="AR744" s="515" t="s">
        <v>10</v>
      </c>
      <c r="AS744" s="95">
        <v>0</v>
      </c>
      <c r="AT744" s="75">
        <v>0</v>
      </c>
      <c r="AU744" s="75">
        <v>0</v>
      </c>
      <c r="AV744" s="75">
        <v>0</v>
      </c>
      <c r="AW744" s="123">
        <v>0</v>
      </c>
      <c r="AX744" s="516"/>
      <c r="AY744" s="75">
        <v>0</v>
      </c>
      <c r="AZ744" s="77" t="s">
        <v>131</v>
      </c>
      <c r="BA744" s="78" t="s">
        <v>131</v>
      </c>
      <c r="BB744" s="78" t="s">
        <v>131</v>
      </c>
      <c r="BC744" s="78" t="s">
        <v>131</v>
      </c>
      <c r="BD744" s="78" t="s">
        <v>131</v>
      </c>
      <c r="BE744" s="78" t="s">
        <v>131</v>
      </c>
      <c r="BF744" s="78" t="s">
        <v>131</v>
      </c>
      <c r="BG744" s="78" t="s">
        <v>132</v>
      </c>
      <c r="BH744" s="75" t="s">
        <v>5970</v>
      </c>
      <c r="BI744" s="295" t="s">
        <v>2268</v>
      </c>
      <c r="BJ744" s="546">
        <v>1</v>
      </c>
      <c r="BK744" s="294" t="s">
        <v>16</v>
      </c>
      <c r="BL744" s="157" t="s">
        <v>16</v>
      </c>
      <c r="BM744" s="548" t="s">
        <v>1339</v>
      </c>
      <c r="BN744" s="548" t="s">
        <v>1339</v>
      </c>
      <c r="BO744" s="157" t="s">
        <v>4230</v>
      </c>
      <c r="BP744" s="548" t="s">
        <v>4231</v>
      </c>
      <c r="BQ744" s="157" t="s">
        <v>4229</v>
      </c>
      <c r="BR744" s="157"/>
    </row>
    <row r="745" spans="1:70" x14ac:dyDescent="0.25">
      <c r="A745" s="19" t="s">
        <v>3686</v>
      </c>
      <c r="B745" s="37" t="s">
        <v>2635</v>
      </c>
      <c r="C745" s="90">
        <v>45131.543171296296</v>
      </c>
      <c r="D745" s="114">
        <v>45131.293171296296</v>
      </c>
      <c r="E745" s="38">
        <v>45131</v>
      </c>
      <c r="F745" s="91">
        <v>2023</v>
      </c>
      <c r="G745" s="93">
        <v>7</v>
      </c>
      <c r="H745" s="37" t="s">
        <v>2548</v>
      </c>
      <c r="I745" s="37"/>
      <c r="J745" s="103">
        <v>-90.713773287389557</v>
      </c>
      <c r="K745" s="40">
        <v>43.404960160841306</v>
      </c>
      <c r="L745" s="74"/>
      <c r="M745" s="272" t="s">
        <v>2636</v>
      </c>
      <c r="N745" s="74">
        <v>1</v>
      </c>
      <c r="O745" s="94"/>
      <c r="P745" s="118">
        <v>1</v>
      </c>
      <c r="Q745" s="510">
        <v>180</v>
      </c>
      <c r="R745" s="513">
        <v>180</v>
      </c>
      <c r="S745" s="41"/>
      <c r="T745" s="40"/>
      <c r="U745" s="40">
        <v>7</v>
      </c>
      <c r="V745" s="119">
        <v>1</v>
      </c>
      <c r="W745" s="40">
        <v>0</v>
      </c>
      <c r="X745" s="119">
        <v>1</v>
      </c>
      <c r="Y745" s="40">
        <v>51</v>
      </c>
      <c r="Z745" s="119">
        <v>1</v>
      </c>
      <c r="AA745" s="368">
        <v>0</v>
      </c>
      <c r="AB745" s="535">
        <v>2</v>
      </c>
      <c r="AC745" s="39" t="s">
        <v>160</v>
      </c>
      <c r="AD745" s="75" t="s">
        <v>10</v>
      </c>
      <c r="AE745" s="95">
        <v>0</v>
      </c>
      <c r="AF745" s="75">
        <v>0</v>
      </c>
      <c r="AG745" s="75">
        <v>0</v>
      </c>
      <c r="AH745" s="75">
        <v>0</v>
      </c>
      <c r="AI745" s="75">
        <v>0</v>
      </c>
      <c r="AJ745" s="75">
        <v>0</v>
      </c>
      <c r="AK745" s="75">
        <v>0</v>
      </c>
      <c r="AL745" s="95">
        <v>1</v>
      </c>
      <c r="AM745" s="92">
        <v>0</v>
      </c>
      <c r="AN745" s="79" t="s">
        <v>80</v>
      </c>
      <c r="AO745" s="75">
        <v>1</v>
      </c>
      <c r="AP745" s="75" t="s">
        <v>83</v>
      </c>
      <c r="AQ745" s="122">
        <v>1</v>
      </c>
      <c r="AR745" s="515" t="s">
        <v>10</v>
      </c>
      <c r="AS745" s="95">
        <v>0</v>
      </c>
      <c r="AT745" s="75">
        <v>0</v>
      </c>
      <c r="AU745" s="75">
        <v>0</v>
      </c>
      <c r="AV745" s="75">
        <v>0</v>
      </c>
      <c r="AW745" s="123">
        <v>0</v>
      </c>
      <c r="AX745" s="516"/>
      <c r="AY745" s="75">
        <v>0</v>
      </c>
      <c r="AZ745" s="77" t="s">
        <v>131</v>
      </c>
      <c r="BA745" s="78" t="s">
        <v>131</v>
      </c>
      <c r="BB745" s="78" t="s">
        <v>131</v>
      </c>
      <c r="BC745" s="78" t="s">
        <v>131</v>
      </c>
      <c r="BD745" s="78" t="s">
        <v>131</v>
      </c>
      <c r="BE745" s="78" t="s">
        <v>131</v>
      </c>
      <c r="BF745" s="78" t="s">
        <v>131</v>
      </c>
      <c r="BG745" s="78" t="s">
        <v>132</v>
      </c>
      <c r="BH745" s="75" t="s">
        <v>5970</v>
      </c>
      <c r="BI745" s="295" t="s">
        <v>2254</v>
      </c>
      <c r="BJ745" s="546">
        <v>1</v>
      </c>
      <c r="BK745" s="294" t="s">
        <v>16</v>
      </c>
      <c r="BL745" s="157" t="s">
        <v>16</v>
      </c>
      <c r="BM745" s="548" t="s">
        <v>1342</v>
      </c>
      <c r="BN745" s="548" t="s">
        <v>4158</v>
      </c>
      <c r="BO745" s="157" t="s">
        <v>4306</v>
      </c>
      <c r="BP745" s="548" t="s">
        <v>4469</v>
      </c>
      <c r="BQ745" s="157" t="s">
        <v>4303</v>
      </c>
      <c r="BR745" s="157"/>
    </row>
    <row r="746" spans="1:70" x14ac:dyDescent="0.25">
      <c r="A746" s="19" t="s">
        <v>3686</v>
      </c>
      <c r="B746" s="37" t="s">
        <v>2637</v>
      </c>
      <c r="C746" s="90">
        <v>45131.54078703704</v>
      </c>
      <c r="D746" s="114">
        <v>45131.29078703704</v>
      </c>
      <c r="E746" s="38">
        <v>45131</v>
      </c>
      <c r="F746" s="91">
        <v>2023</v>
      </c>
      <c r="G746" s="93">
        <v>7</v>
      </c>
      <c r="H746" s="37" t="s">
        <v>617</v>
      </c>
      <c r="I746" s="37" t="s">
        <v>2362</v>
      </c>
      <c r="J746" s="103">
        <v>-92.284083468677679</v>
      </c>
      <c r="K746" s="40">
        <v>44.542252244856201</v>
      </c>
      <c r="L746" s="74"/>
      <c r="M746" s="272" t="s">
        <v>16</v>
      </c>
      <c r="N746" s="74">
        <v>0</v>
      </c>
      <c r="O746" s="94"/>
      <c r="P746" s="118">
        <v>1</v>
      </c>
      <c r="Q746" s="510">
        <v>180</v>
      </c>
      <c r="R746" s="513">
        <v>120</v>
      </c>
      <c r="S746" s="41"/>
      <c r="T746" s="40"/>
      <c r="U746" s="40">
        <v>7</v>
      </c>
      <c r="V746" s="119">
        <v>1</v>
      </c>
      <c r="W746" s="40">
        <v>0</v>
      </c>
      <c r="X746" s="119">
        <v>1</v>
      </c>
      <c r="Y746" s="40">
        <v>50</v>
      </c>
      <c r="Z746" s="119">
        <v>1</v>
      </c>
      <c r="AA746" s="368">
        <v>0</v>
      </c>
      <c r="AB746" s="535">
        <v>2</v>
      </c>
      <c r="AC746" s="39" t="s">
        <v>160</v>
      </c>
      <c r="AD746" s="75" t="s">
        <v>10</v>
      </c>
      <c r="AE746" s="95">
        <v>0</v>
      </c>
      <c r="AF746" s="75">
        <v>0</v>
      </c>
      <c r="AG746" s="75">
        <v>0</v>
      </c>
      <c r="AH746" s="75">
        <v>0</v>
      </c>
      <c r="AI746" s="75">
        <v>0</v>
      </c>
      <c r="AJ746" s="75">
        <v>0</v>
      </c>
      <c r="AK746" s="75">
        <v>0</v>
      </c>
      <c r="AL746" s="95">
        <v>1</v>
      </c>
      <c r="AM746" s="92">
        <v>0</v>
      </c>
      <c r="AN746" s="79" t="s">
        <v>80</v>
      </c>
      <c r="AO746" s="75">
        <v>1</v>
      </c>
      <c r="AP746" s="75" t="s">
        <v>83</v>
      </c>
      <c r="AQ746" s="122">
        <v>1</v>
      </c>
      <c r="AR746" s="515" t="s">
        <v>10</v>
      </c>
      <c r="AS746" s="95">
        <v>0</v>
      </c>
      <c r="AT746" s="75">
        <v>0</v>
      </c>
      <c r="AU746" s="75">
        <v>0</v>
      </c>
      <c r="AV746" s="75">
        <v>0</v>
      </c>
      <c r="AW746" s="123">
        <v>0</v>
      </c>
      <c r="AX746" s="516"/>
      <c r="AY746" s="75">
        <v>0</v>
      </c>
      <c r="AZ746" s="77" t="s">
        <v>131</v>
      </c>
      <c r="BA746" s="78" t="s">
        <v>131</v>
      </c>
      <c r="BB746" s="78" t="s">
        <v>131</v>
      </c>
      <c r="BC746" s="78" t="s">
        <v>131</v>
      </c>
      <c r="BD746" s="78" t="s">
        <v>131</v>
      </c>
      <c r="BE746" s="78" t="s">
        <v>131</v>
      </c>
      <c r="BF746" s="78" t="s">
        <v>131</v>
      </c>
      <c r="BG746" s="78" t="s">
        <v>132</v>
      </c>
      <c r="BH746" s="75" t="s">
        <v>5970</v>
      </c>
      <c r="BI746" s="295" t="s">
        <v>2261</v>
      </c>
      <c r="BJ746" s="546">
        <v>1</v>
      </c>
      <c r="BK746" s="294">
        <v>1</v>
      </c>
      <c r="BL746" s="157">
        <v>1</v>
      </c>
      <c r="BM746" s="548" t="s">
        <v>1340</v>
      </c>
      <c r="BN746" s="548" t="s">
        <v>578</v>
      </c>
      <c r="BO746" s="157" t="s">
        <v>4268</v>
      </c>
      <c r="BP746" s="548" t="s">
        <v>2261</v>
      </c>
      <c r="BQ746" s="157" t="s">
        <v>4214</v>
      </c>
      <c r="BR746" s="157"/>
    </row>
    <row r="747" spans="1:70" x14ac:dyDescent="0.25">
      <c r="A747" s="19" t="s">
        <v>3686</v>
      </c>
      <c r="B747" s="37" t="s">
        <v>2638</v>
      </c>
      <c r="C747" s="90">
        <v>45130.912662037037</v>
      </c>
      <c r="D747" s="114">
        <v>45130.662662037037</v>
      </c>
      <c r="E747" s="38">
        <v>45130</v>
      </c>
      <c r="F747" s="91">
        <v>2023</v>
      </c>
      <c r="G747" s="93">
        <v>7</v>
      </c>
      <c r="H747" s="37" t="s">
        <v>2639</v>
      </c>
      <c r="I747" s="37" t="s">
        <v>16</v>
      </c>
      <c r="J747" s="103">
        <v>-91.664757385025155</v>
      </c>
      <c r="K747" s="40">
        <v>43.276457111816562</v>
      </c>
      <c r="L747" s="74"/>
      <c r="M747" s="272" t="s">
        <v>2640</v>
      </c>
      <c r="N747" s="74">
        <v>1</v>
      </c>
      <c r="O747" s="94"/>
      <c r="P747" s="118">
        <v>0</v>
      </c>
      <c r="Q747" s="510"/>
      <c r="R747" s="513"/>
      <c r="S747" s="41"/>
      <c r="T747" s="40"/>
      <c r="U747" s="40"/>
      <c r="V747" s="119">
        <v>1</v>
      </c>
      <c r="W747" s="40">
        <v>100</v>
      </c>
      <c r="X747" s="119">
        <v>0</v>
      </c>
      <c r="Y747" s="40"/>
      <c r="Z747" s="119">
        <v>0</v>
      </c>
      <c r="AA747" s="368" t="s">
        <v>16</v>
      </c>
      <c r="AB747" s="535" t="s">
        <v>16</v>
      </c>
      <c r="AC747" s="39" t="s">
        <v>160</v>
      </c>
      <c r="AD747" s="75" t="s">
        <v>10</v>
      </c>
      <c r="AE747" s="95">
        <v>0</v>
      </c>
      <c r="AF747" s="75">
        <v>0</v>
      </c>
      <c r="AG747" s="75">
        <v>0</v>
      </c>
      <c r="AH747" s="75">
        <v>0</v>
      </c>
      <c r="AI747" s="75">
        <v>0</v>
      </c>
      <c r="AJ747" s="75">
        <v>0</v>
      </c>
      <c r="AK747" s="75">
        <v>0</v>
      </c>
      <c r="AL747" s="95">
        <v>1</v>
      </c>
      <c r="AM747" s="92">
        <v>0</v>
      </c>
      <c r="AN747" s="79" t="s">
        <v>80</v>
      </c>
      <c r="AO747" s="75">
        <v>1</v>
      </c>
      <c r="AP747" s="75" t="s">
        <v>83</v>
      </c>
      <c r="AQ747" s="122">
        <v>1</v>
      </c>
      <c r="AR747" s="515" t="s">
        <v>10</v>
      </c>
      <c r="AS747" s="95">
        <v>0</v>
      </c>
      <c r="AT747" s="75">
        <v>0</v>
      </c>
      <c r="AU747" s="75">
        <v>0</v>
      </c>
      <c r="AV747" s="75">
        <v>0</v>
      </c>
      <c r="AW747" s="123">
        <v>0</v>
      </c>
      <c r="AX747" s="516"/>
      <c r="AY747" s="75">
        <v>0</v>
      </c>
      <c r="AZ747" s="77" t="s">
        <v>131</v>
      </c>
      <c r="BA747" s="78" t="s">
        <v>131</v>
      </c>
      <c r="BB747" s="78" t="s">
        <v>131</v>
      </c>
      <c r="BC747" s="78" t="s">
        <v>131</v>
      </c>
      <c r="BD747" s="78" t="s">
        <v>131</v>
      </c>
      <c r="BE747" s="78" t="s">
        <v>131</v>
      </c>
      <c r="BF747" s="78" t="s">
        <v>131</v>
      </c>
      <c r="BG747" s="78" t="s">
        <v>132</v>
      </c>
      <c r="BH747" s="75" t="s">
        <v>5970</v>
      </c>
      <c r="BI747" s="295" t="s">
        <v>4044</v>
      </c>
      <c r="BJ747" s="546">
        <v>1</v>
      </c>
      <c r="BK747" s="294" t="s">
        <v>16</v>
      </c>
      <c r="BL747" s="157" t="s">
        <v>16</v>
      </c>
      <c r="BM747" s="548" t="s">
        <v>1344</v>
      </c>
      <c r="BN747" s="548" t="s">
        <v>1344</v>
      </c>
      <c r="BO747" s="157" t="s">
        <v>4470</v>
      </c>
      <c r="BP747" s="548" t="s">
        <v>4044</v>
      </c>
      <c r="BQ747" s="157" t="s">
        <v>4377</v>
      </c>
      <c r="BR747" s="157"/>
    </row>
    <row r="748" spans="1:70" x14ac:dyDescent="0.25">
      <c r="A748" s="19" t="s">
        <v>3686</v>
      </c>
      <c r="B748" s="37" t="s">
        <v>2641</v>
      </c>
      <c r="C748" s="90">
        <v>45128.878645833334</v>
      </c>
      <c r="D748" s="114">
        <v>45128.628645833334</v>
      </c>
      <c r="E748" s="38">
        <v>45128</v>
      </c>
      <c r="F748" s="91">
        <v>2023</v>
      </c>
      <c r="G748" s="93">
        <v>7</v>
      </c>
      <c r="H748" s="37" t="s">
        <v>2446</v>
      </c>
      <c r="I748" s="37"/>
      <c r="J748" s="103">
        <v>-90.912767665445799</v>
      </c>
      <c r="K748" s="40">
        <v>44.381928445027327</v>
      </c>
      <c r="L748" s="74"/>
      <c r="M748" s="272" t="s">
        <v>2642</v>
      </c>
      <c r="N748" s="74">
        <v>1</v>
      </c>
      <c r="O748" s="94"/>
      <c r="P748" s="118">
        <v>0</v>
      </c>
      <c r="Q748" s="510"/>
      <c r="R748" s="513"/>
      <c r="S748" s="41"/>
      <c r="T748" s="40"/>
      <c r="U748" s="40"/>
      <c r="V748" s="119">
        <v>0</v>
      </c>
      <c r="W748" s="40"/>
      <c r="X748" s="119">
        <v>1</v>
      </c>
      <c r="Y748" s="40">
        <v>62</v>
      </c>
      <c r="Z748" s="119">
        <v>0</v>
      </c>
      <c r="AA748" s="368" t="s">
        <v>16</v>
      </c>
      <c r="AB748" s="535" t="s">
        <v>16</v>
      </c>
      <c r="AC748" s="39" t="s">
        <v>160</v>
      </c>
      <c r="AD748" s="75" t="s">
        <v>10</v>
      </c>
      <c r="AE748" s="95">
        <v>0</v>
      </c>
      <c r="AF748" s="75">
        <v>0</v>
      </c>
      <c r="AG748" s="75">
        <v>0</v>
      </c>
      <c r="AH748" s="75">
        <v>0</v>
      </c>
      <c r="AI748" s="75">
        <v>0</v>
      </c>
      <c r="AJ748" s="75">
        <v>0</v>
      </c>
      <c r="AK748" s="75">
        <v>0</v>
      </c>
      <c r="AL748" s="95">
        <v>1</v>
      </c>
      <c r="AM748" s="92">
        <v>0</v>
      </c>
      <c r="AN748" s="79" t="s">
        <v>80</v>
      </c>
      <c r="AO748" s="75">
        <v>1</v>
      </c>
      <c r="AP748" s="75" t="s">
        <v>83</v>
      </c>
      <c r="AQ748" s="122">
        <v>1</v>
      </c>
      <c r="AR748" s="515" t="s">
        <v>10</v>
      </c>
      <c r="AS748" s="95">
        <v>0</v>
      </c>
      <c r="AT748" s="75">
        <v>0</v>
      </c>
      <c r="AU748" s="75">
        <v>0</v>
      </c>
      <c r="AV748" s="75">
        <v>0</v>
      </c>
      <c r="AW748" s="123">
        <v>0</v>
      </c>
      <c r="AX748" s="516"/>
      <c r="AY748" s="75">
        <v>0</v>
      </c>
      <c r="AZ748" s="77" t="s">
        <v>131</v>
      </c>
      <c r="BA748" s="78" t="s">
        <v>131</v>
      </c>
      <c r="BB748" s="78" t="s">
        <v>131</v>
      </c>
      <c r="BC748" s="78" t="s">
        <v>131</v>
      </c>
      <c r="BD748" s="78" t="s">
        <v>131</v>
      </c>
      <c r="BE748" s="78" t="s">
        <v>131</v>
      </c>
      <c r="BF748" s="78" t="s">
        <v>131</v>
      </c>
      <c r="BG748" s="78" t="s">
        <v>132</v>
      </c>
      <c r="BH748" s="75" t="s">
        <v>5970</v>
      </c>
      <c r="BI748" s="295" t="s">
        <v>16</v>
      </c>
      <c r="BJ748" s="546">
        <v>1</v>
      </c>
      <c r="BK748" s="294">
        <v>1</v>
      </c>
      <c r="BL748" s="157">
        <v>1</v>
      </c>
      <c r="BM748" s="548" t="s">
        <v>1340</v>
      </c>
      <c r="BN748" s="548" t="s">
        <v>4158</v>
      </c>
      <c r="BO748" s="157" t="s">
        <v>4471</v>
      </c>
      <c r="BP748" s="548" t="s">
        <v>4474</v>
      </c>
      <c r="BQ748" s="157" t="s">
        <v>4460</v>
      </c>
      <c r="BR748" s="157"/>
    </row>
    <row r="749" spans="1:70" x14ac:dyDescent="0.25">
      <c r="A749" s="19" t="s">
        <v>3686</v>
      </c>
      <c r="B749" s="37" t="s">
        <v>2643</v>
      </c>
      <c r="C749" s="90">
        <v>45128.832592592589</v>
      </c>
      <c r="D749" s="114">
        <v>45128.582592592589</v>
      </c>
      <c r="E749" s="38">
        <v>45128</v>
      </c>
      <c r="F749" s="91">
        <v>2023</v>
      </c>
      <c r="G749" s="93">
        <v>7</v>
      </c>
      <c r="H749" s="37" t="s">
        <v>2446</v>
      </c>
      <c r="I749" s="37"/>
      <c r="J749" s="103">
        <v>-90.866371634183125</v>
      </c>
      <c r="K749" s="40">
        <v>44.448641617085634</v>
      </c>
      <c r="L749" s="74"/>
      <c r="M749" s="272" t="s">
        <v>16</v>
      </c>
      <c r="N749" s="74">
        <v>0</v>
      </c>
      <c r="O749" s="94"/>
      <c r="P749" s="118">
        <v>0</v>
      </c>
      <c r="Q749" s="510"/>
      <c r="R749" s="513"/>
      <c r="S749" s="41"/>
      <c r="T749" s="40"/>
      <c r="U749" s="40"/>
      <c r="V749" s="119">
        <v>0</v>
      </c>
      <c r="W749" s="40"/>
      <c r="X749" s="119">
        <v>1</v>
      </c>
      <c r="Y749" s="40">
        <v>66</v>
      </c>
      <c r="Z749" s="119">
        <v>0</v>
      </c>
      <c r="AA749" s="368" t="s">
        <v>16</v>
      </c>
      <c r="AB749" s="535" t="s">
        <v>16</v>
      </c>
      <c r="AC749" s="39" t="s">
        <v>160</v>
      </c>
      <c r="AD749" s="75" t="s">
        <v>7</v>
      </c>
      <c r="AE749" s="95">
        <v>1</v>
      </c>
      <c r="AF749" s="75">
        <v>0</v>
      </c>
      <c r="AG749" s="75">
        <v>0</v>
      </c>
      <c r="AH749" s="75">
        <v>0</v>
      </c>
      <c r="AI749" s="75">
        <v>0</v>
      </c>
      <c r="AJ749" s="75">
        <v>0</v>
      </c>
      <c r="AK749" s="75">
        <v>0</v>
      </c>
      <c r="AL749" s="95">
        <v>0</v>
      </c>
      <c r="AM749" s="92">
        <v>0</v>
      </c>
      <c r="AN749" s="79" t="s">
        <v>80</v>
      </c>
      <c r="AO749" s="75">
        <v>1</v>
      </c>
      <c r="AP749" s="75" t="s">
        <v>83</v>
      </c>
      <c r="AQ749" s="122">
        <v>1</v>
      </c>
      <c r="AR749" s="515" t="s">
        <v>10</v>
      </c>
      <c r="AS749" s="95">
        <v>0</v>
      </c>
      <c r="AT749" s="75">
        <v>0</v>
      </c>
      <c r="AU749" s="75">
        <v>0</v>
      </c>
      <c r="AV749" s="75">
        <v>0</v>
      </c>
      <c r="AW749" s="123">
        <v>0</v>
      </c>
      <c r="AX749" s="516"/>
      <c r="AY749" s="75">
        <v>0</v>
      </c>
      <c r="AZ749" s="77" t="s">
        <v>132</v>
      </c>
      <c r="BA749" s="78" t="s">
        <v>131</v>
      </c>
      <c r="BB749" s="78" t="s">
        <v>131</v>
      </c>
      <c r="BC749" s="78" t="s">
        <v>131</v>
      </c>
      <c r="BD749" s="78" t="s">
        <v>131</v>
      </c>
      <c r="BE749" s="78" t="s">
        <v>131</v>
      </c>
      <c r="BF749" s="78" t="s">
        <v>131</v>
      </c>
      <c r="BG749" s="78" t="s">
        <v>131</v>
      </c>
      <c r="BH749" s="75" t="s">
        <v>5970</v>
      </c>
      <c r="BI749" s="295" t="s">
        <v>3991</v>
      </c>
      <c r="BJ749" s="546">
        <v>1</v>
      </c>
      <c r="BK749" s="294">
        <v>1</v>
      </c>
      <c r="BL749" s="157">
        <v>1</v>
      </c>
      <c r="BM749" s="548" t="s">
        <v>1340</v>
      </c>
      <c r="BN749" s="548" t="s">
        <v>4158</v>
      </c>
      <c r="BO749" s="157" t="s">
        <v>4476</v>
      </c>
      <c r="BP749" s="548" t="s">
        <v>4479</v>
      </c>
      <c r="BQ749" s="157" t="s">
        <v>4475</v>
      </c>
      <c r="BR749" s="157"/>
    </row>
    <row r="750" spans="1:70" x14ac:dyDescent="0.25">
      <c r="A750" s="19" t="s">
        <v>3686</v>
      </c>
      <c r="B750" s="37" t="s">
        <v>2644</v>
      </c>
      <c r="C750" s="90">
        <v>45128.804351851853</v>
      </c>
      <c r="D750" s="114">
        <v>45128.554351851853</v>
      </c>
      <c r="E750" s="38">
        <v>45128</v>
      </c>
      <c r="F750" s="91">
        <v>2023</v>
      </c>
      <c r="G750" s="93">
        <v>7</v>
      </c>
      <c r="H750" s="37" t="s">
        <v>2446</v>
      </c>
      <c r="I750" s="37"/>
      <c r="J750" s="103">
        <v>-90.867720423934443</v>
      </c>
      <c r="K750" s="40">
        <v>44.443722271331509</v>
      </c>
      <c r="L750" s="74"/>
      <c r="M750" s="272" t="s">
        <v>2645</v>
      </c>
      <c r="N750" s="74">
        <v>1</v>
      </c>
      <c r="O750" s="94"/>
      <c r="P750" s="118">
        <v>0</v>
      </c>
      <c r="Q750" s="510"/>
      <c r="R750" s="513"/>
      <c r="S750" s="41"/>
      <c r="T750" s="40"/>
      <c r="U750" s="40"/>
      <c r="V750" s="119">
        <v>0</v>
      </c>
      <c r="W750" s="40"/>
      <c r="X750" s="119">
        <v>1</v>
      </c>
      <c r="Y750" s="40">
        <v>63</v>
      </c>
      <c r="Z750" s="119">
        <v>0</v>
      </c>
      <c r="AA750" s="368" t="s">
        <v>16</v>
      </c>
      <c r="AB750" s="535" t="s">
        <v>16</v>
      </c>
      <c r="AC750" s="39" t="s">
        <v>160</v>
      </c>
      <c r="AD750" s="75" t="s">
        <v>7</v>
      </c>
      <c r="AE750" s="95">
        <v>1</v>
      </c>
      <c r="AF750" s="75">
        <v>0</v>
      </c>
      <c r="AG750" s="75">
        <v>0</v>
      </c>
      <c r="AH750" s="75">
        <v>0</v>
      </c>
      <c r="AI750" s="75">
        <v>0</v>
      </c>
      <c r="AJ750" s="75">
        <v>0</v>
      </c>
      <c r="AK750" s="75">
        <v>0</v>
      </c>
      <c r="AL750" s="95">
        <v>0</v>
      </c>
      <c r="AM750" s="92">
        <v>0</v>
      </c>
      <c r="AN750" s="79" t="s">
        <v>80</v>
      </c>
      <c r="AO750" s="75">
        <v>1</v>
      </c>
      <c r="AP750" s="75" t="s">
        <v>83</v>
      </c>
      <c r="AQ750" s="122">
        <v>1</v>
      </c>
      <c r="AR750" s="515" t="s">
        <v>10</v>
      </c>
      <c r="AS750" s="95">
        <v>0</v>
      </c>
      <c r="AT750" s="75">
        <v>0</v>
      </c>
      <c r="AU750" s="75">
        <v>0</v>
      </c>
      <c r="AV750" s="75">
        <v>0</v>
      </c>
      <c r="AW750" s="123">
        <v>0</v>
      </c>
      <c r="AX750" s="516"/>
      <c r="AY750" s="75">
        <v>0</v>
      </c>
      <c r="AZ750" s="77" t="s">
        <v>132</v>
      </c>
      <c r="BA750" s="78" t="s">
        <v>131</v>
      </c>
      <c r="BB750" s="78" t="s">
        <v>131</v>
      </c>
      <c r="BC750" s="78" t="s">
        <v>131</v>
      </c>
      <c r="BD750" s="78" t="s">
        <v>131</v>
      </c>
      <c r="BE750" s="78" t="s">
        <v>131</v>
      </c>
      <c r="BF750" s="78" t="s">
        <v>131</v>
      </c>
      <c r="BG750" s="78" t="s">
        <v>131</v>
      </c>
      <c r="BH750" s="75" t="s">
        <v>5970</v>
      </c>
      <c r="BI750" s="295" t="s">
        <v>3992</v>
      </c>
      <c r="BJ750" s="546">
        <v>1</v>
      </c>
      <c r="BK750" s="294">
        <v>1</v>
      </c>
      <c r="BL750" s="157">
        <v>1</v>
      </c>
      <c r="BM750" s="548" t="s">
        <v>1340</v>
      </c>
      <c r="BN750" s="548" t="s">
        <v>4158</v>
      </c>
      <c r="BO750" s="157" t="s">
        <v>4476</v>
      </c>
      <c r="BP750" s="548" t="s">
        <v>4479</v>
      </c>
      <c r="BQ750" s="157" t="s">
        <v>4475</v>
      </c>
      <c r="BR750" s="157"/>
    </row>
    <row r="751" spans="1:70" x14ac:dyDescent="0.25">
      <c r="A751" s="19" t="s">
        <v>3686</v>
      </c>
      <c r="B751" s="37" t="s">
        <v>2646</v>
      </c>
      <c r="C751" s="90">
        <v>45128.729525462964</v>
      </c>
      <c r="D751" s="114">
        <v>45128.479525462964</v>
      </c>
      <c r="E751" s="38">
        <v>45128</v>
      </c>
      <c r="F751" s="91">
        <v>2023</v>
      </c>
      <c r="G751" s="93">
        <v>7</v>
      </c>
      <c r="H751" s="37" t="s">
        <v>2446</v>
      </c>
      <c r="I751" s="37"/>
      <c r="J751" s="103">
        <v>-91.088610047947</v>
      </c>
      <c r="K751" s="40">
        <v>44.335388918372523</v>
      </c>
      <c r="L751" s="74"/>
      <c r="M751" s="272" t="s">
        <v>2647</v>
      </c>
      <c r="N751" s="74">
        <v>1</v>
      </c>
      <c r="O751" s="94"/>
      <c r="P751" s="118">
        <v>1</v>
      </c>
      <c r="Q751" s="510">
        <v>80</v>
      </c>
      <c r="R751" s="513">
        <v>30</v>
      </c>
      <c r="S751" s="41"/>
      <c r="T751" s="40"/>
      <c r="U751" s="40">
        <v>6</v>
      </c>
      <c r="V751" s="119">
        <v>1</v>
      </c>
      <c r="W751" s="40">
        <v>200</v>
      </c>
      <c r="X751" s="119">
        <v>1</v>
      </c>
      <c r="Y751" s="40">
        <v>60</v>
      </c>
      <c r="Z751" s="119">
        <v>1</v>
      </c>
      <c r="AA751" s="368">
        <v>0</v>
      </c>
      <c r="AB751" s="535">
        <v>2</v>
      </c>
      <c r="AC751" s="39" t="s">
        <v>160</v>
      </c>
      <c r="AD751" s="75" t="s">
        <v>10</v>
      </c>
      <c r="AE751" s="95">
        <v>0</v>
      </c>
      <c r="AF751" s="75">
        <v>0</v>
      </c>
      <c r="AG751" s="75">
        <v>0</v>
      </c>
      <c r="AH751" s="75">
        <v>0</v>
      </c>
      <c r="AI751" s="75">
        <v>0</v>
      </c>
      <c r="AJ751" s="75">
        <v>0</v>
      </c>
      <c r="AK751" s="75">
        <v>0</v>
      </c>
      <c r="AL751" s="95">
        <v>1</v>
      </c>
      <c r="AM751" s="92">
        <v>0</v>
      </c>
      <c r="AN751" s="79" t="s">
        <v>80</v>
      </c>
      <c r="AO751" s="75">
        <v>1</v>
      </c>
      <c r="AP751" s="75" t="s">
        <v>83</v>
      </c>
      <c r="AQ751" s="122">
        <v>1</v>
      </c>
      <c r="AR751" s="515" t="s">
        <v>10</v>
      </c>
      <c r="AS751" s="95">
        <v>0</v>
      </c>
      <c r="AT751" s="75">
        <v>0</v>
      </c>
      <c r="AU751" s="75">
        <v>0</v>
      </c>
      <c r="AV751" s="75">
        <v>0</v>
      </c>
      <c r="AW751" s="123">
        <v>0</v>
      </c>
      <c r="AX751" s="516"/>
      <c r="AY751" s="75">
        <v>0</v>
      </c>
      <c r="AZ751" s="77" t="s">
        <v>131</v>
      </c>
      <c r="BA751" s="78" t="s">
        <v>131</v>
      </c>
      <c r="BB751" s="78" t="s">
        <v>131</v>
      </c>
      <c r="BC751" s="78" t="s">
        <v>131</v>
      </c>
      <c r="BD751" s="78" t="s">
        <v>131</v>
      </c>
      <c r="BE751" s="78" t="s">
        <v>131</v>
      </c>
      <c r="BF751" s="78" t="s">
        <v>131</v>
      </c>
      <c r="BG751" s="78" t="s">
        <v>132</v>
      </c>
      <c r="BH751" s="75" t="s">
        <v>5970</v>
      </c>
      <c r="BI751" s="295" t="s">
        <v>2261</v>
      </c>
      <c r="BJ751" s="546">
        <v>1</v>
      </c>
      <c r="BK751" s="294">
        <v>1</v>
      </c>
      <c r="BL751" s="157">
        <v>1</v>
      </c>
      <c r="BM751" s="548" t="s">
        <v>1340</v>
      </c>
      <c r="BN751" s="548" t="s">
        <v>4158</v>
      </c>
      <c r="BO751" s="157" t="s">
        <v>4480</v>
      </c>
      <c r="BP751" s="548" t="s">
        <v>4482</v>
      </c>
      <c r="BQ751" s="157" t="s">
        <v>4460</v>
      </c>
      <c r="BR751" s="157"/>
    </row>
    <row r="752" spans="1:70" x14ac:dyDescent="0.25">
      <c r="A752" s="19" t="s">
        <v>3686</v>
      </c>
      <c r="B752" s="37" t="s">
        <v>2648</v>
      </c>
      <c r="C752" s="90">
        <v>45128.634664351855</v>
      </c>
      <c r="D752" s="114">
        <v>45128.384664351855</v>
      </c>
      <c r="E752" s="38">
        <v>45128</v>
      </c>
      <c r="F752" s="91">
        <v>2023</v>
      </c>
      <c r="G752" s="93">
        <v>7</v>
      </c>
      <c r="H752" s="37" t="s">
        <v>2446</v>
      </c>
      <c r="I752" s="37"/>
      <c r="J752" s="103">
        <v>-90.983790914054183</v>
      </c>
      <c r="K752" s="40">
        <v>44.371563712850318</v>
      </c>
      <c r="L752" s="74"/>
      <c r="M752" s="272" t="s">
        <v>2649</v>
      </c>
      <c r="N752" s="74">
        <v>1</v>
      </c>
      <c r="O752" s="94"/>
      <c r="P752" s="118">
        <v>1</v>
      </c>
      <c r="Q752" s="510">
        <v>40</v>
      </c>
      <c r="R752" s="513">
        <v>0</v>
      </c>
      <c r="S752" s="41"/>
      <c r="T752" s="40"/>
      <c r="U752" s="40">
        <v>6</v>
      </c>
      <c r="V752" s="119">
        <v>1</v>
      </c>
      <c r="W752" s="40">
        <v>100</v>
      </c>
      <c r="X752" s="119">
        <v>1</v>
      </c>
      <c r="Y752" s="40">
        <v>55</v>
      </c>
      <c r="Z752" s="119">
        <v>1</v>
      </c>
      <c r="AA752" s="368">
        <v>0</v>
      </c>
      <c r="AB752" s="535">
        <v>2</v>
      </c>
      <c r="AC752" s="39" t="s">
        <v>160</v>
      </c>
      <c r="AD752" s="75" t="s">
        <v>10</v>
      </c>
      <c r="AE752" s="95">
        <v>0</v>
      </c>
      <c r="AF752" s="75">
        <v>0</v>
      </c>
      <c r="AG752" s="75">
        <v>0</v>
      </c>
      <c r="AH752" s="75">
        <v>0</v>
      </c>
      <c r="AI752" s="75">
        <v>0</v>
      </c>
      <c r="AJ752" s="75">
        <v>0</v>
      </c>
      <c r="AK752" s="75">
        <v>0</v>
      </c>
      <c r="AL752" s="95">
        <v>1</v>
      </c>
      <c r="AM752" s="92">
        <v>0</v>
      </c>
      <c r="AN752" s="79" t="s">
        <v>80</v>
      </c>
      <c r="AO752" s="75">
        <v>1</v>
      </c>
      <c r="AP752" s="75" t="s">
        <v>83</v>
      </c>
      <c r="AQ752" s="122">
        <v>1</v>
      </c>
      <c r="AR752" s="515" t="s">
        <v>10</v>
      </c>
      <c r="AS752" s="95">
        <v>0</v>
      </c>
      <c r="AT752" s="75">
        <v>0</v>
      </c>
      <c r="AU752" s="75">
        <v>0</v>
      </c>
      <c r="AV752" s="75">
        <v>0</v>
      </c>
      <c r="AW752" s="123">
        <v>0</v>
      </c>
      <c r="AX752" s="516"/>
      <c r="AY752" s="75">
        <v>0</v>
      </c>
      <c r="AZ752" s="77" t="s">
        <v>131</v>
      </c>
      <c r="BA752" s="78" t="s">
        <v>131</v>
      </c>
      <c r="BB752" s="78" t="s">
        <v>131</v>
      </c>
      <c r="BC752" s="78" t="s">
        <v>131</v>
      </c>
      <c r="BD752" s="78" t="s">
        <v>131</v>
      </c>
      <c r="BE752" s="78" t="s">
        <v>131</v>
      </c>
      <c r="BF752" s="78" t="s">
        <v>131</v>
      </c>
      <c r="BG752" s="78" t="s">
        <v>132</v>
      </c>
      <c r="BH752" s="75" t="s">
        <v>5970</v>
      </c>
      <c r="BI752" s="295" t="s">
        <v>3979</v>
      </c>
      <c r="BJ752" s="546">
        <v>1</v>
      </c>
      <c r="BK752" s="294">
        <v>1</v>
      </c>
      <c r="BL752" s="157">
        <v>1</v>
      </c>
      <c r="BM752" s="548" t="s">
        <v>1340</v>
      </c>
      <c r="BN752" s="548" t="s">
        <v>4158</v>
      </c>
      <c r="BO752" s="157" t="s">
        <v>4473</v>
      </c>
      <c r="BP752" s="548" t="s">
        <v>4484</v>
      </c>
      <c r="BQ752" s="157" t="s">
        <v>4460</v>
      </c>
      <c r="BR752" s="157"/>
    </row>
    <row r="753" spans="1:70" x14ac:dyDescent="0.25">
      <c r="A753" s="19" t="s">
        <v>3686</v>
      </c>
      <c r="B753" s="37" t="s">
        <v>2650</v>
      </c>
      <c r="C753" s="90">
        <v>45128.616840277777</v>
      </c>
      <c r="D753" s="114">
        <v>45128.366840277777</v>
      </c>
      <c r="E753" s="38">
        <v>45128</v>
      </c>
      <c r="F753" s="91">
        <v>2023</v>
      </c>
      <c r="G753" s="93">
        <v>7</v>
      </c>
      <c r="H753" s="37" t="s">
        <v>2446</v>
      </c>
      <c r="I753" s="37"/>
      <c r="J753" s="103">
        <v>-90.9705807854412</v>
      </c>
      <c r="K753" s="40">
        <v>44.362562888412363</v>
      </c>
      <c r="L753" s="74"/>
      <c r="M753" s="272" t="s">
        <v>16</v>
      </c>
      <c r="N753" s="74">
        <v>0</v>
      </c>
      <c r="O753" s="94"/>
      <c r="P753" s="118">
        <v>0</v>
      </c>
      <c r="Q753" s="510"/>
      <c r="R753" s="513"/>
      <c r="S753" s="41"/>
      <c r="T753" s="40"/>
      <c r="U753" s="40"/>
      <c r="V753" s="119">
        <v>0</v>
      </c>
      <c r="W753" s="40"/>
      <c r="X753" s="119">
        <v>1</v>
      </c>
      <c r="Y753" s="40">
        <v>59</v>
      </c>
      <c r="Z753" s="119">
        <v>0</v>
      </c>
      <c r="AA753" s="368" t="s">
        <v>16</v>
      </c>
      <c r="AB753" s="535" t="s">
        <v>16</v>
      </c>
      <c r="AC753" s="39" t="s">
        <v>160</v>
      </c>
      <c r="AD753" s="75" t="s">
        <v>10</v>
      </c>
      <c r="AE753" s="95">
        <v>0</v>
      </c>
      <c r="AF753" s="75">
        <v>0</v>
      </c>
      <c r="AG753" s="75">
        <v>0</v>
      </c>
      <c r="AH753" s="75">
        <v>0</v>
      </c>
      <c r="AI753" s="75">
        <v>0</v>
      </c>
      <c r="AJ753" s="75">
        <v>0</v>
      </c>
      <c r="AK753" s="75">
        <v>0</v>
      </c>
      <c r="AL753" s="95">
        <v>1</v>
      </c>
      <c r="AM753" s="92">
        <v>0</v>
      </c>
      <c r="AN753" s="79" t="s">
        <v>80</v>
      </c>
      <c r="AO753" s="75">
        <v>1</v>
      </c>
      <c r="AP753" s="75" t="s">
        <v>83</v>
      </c>
      <c r="AQ753" s="122">
        <v>1</v>
      </c>
      <c r="AR753" s="515" t="s">
        <v>10</v>
      </c>
      <c r="AS753" s="95">
        <v>0</v>
      </c>
      <c r="AT753" s="75">
        <v>0</v>
      </c>
      <c r="AU753" s="75">
        <v>0</v>
      </c>
      <c r="AV753" s="75">
        <v>0</v>
      </c>
      <c r="AW753" s="123">
        <v>0</v>
      </c>
      <c r="AX753" s="516" t="s">
        <v>2651</v>
      </c>
      <c r="AY753" s="75">
        <v>1</v>
      </c>
      <c r="AZ753" s="77" t="s">
        <v>131</v>
      </c>
      <c r="BA753" s="78" t="s">
        <v>131</v>
      </c>
      <c r="BB753" s="78" t="s">
        <v>131</v>
      </c>
      <c r="BC753" s="78" t="s">
        <v>131</v>
      </c>
      <c r="BD753" s="78" t="s">
        <v>131</v>
      </c>
      <c r="BE753" s="78" t="s">
        <v>131</v>
      </c>
      <c r="BF753" s="78" t="s">
        <v>131</v>
      </c>
      <c r="BG753" s="78" t="s">
        <v>132</v>
      </c>
      <c r="BH753" s="75" t="s">
        <v>5970</v>
      </c>
      <c r="BI753" s="295" t="s">
        <v>3979</v>
      </c>
      <c r="BJ753" s="546">
        <v>1</v>
      </c>
      <c r="BK753" s="294">
        <v>1</v>
      </c>
      <c r="BL753" s="157">
        <v>1</v>
      </c>
      <c r="BM753" s="548" t="s">
        <v>1340</v>
      </c>
      <c r="BN753" s="548" t="s">
        <v>4158</v>
      </c>
      <c r="BO753" s="157" t="s">
        <v>4473</v>
      </c>
      <c r="BP753" s="548" t="s">
        <v>4484</v>
      </c>
      <c r="BQ753" s="157" t="s">
        <v>4460</v>
      </c>
      <c r="BR753" s="157"/>
    </row>
    <row r="754" spans="1:70" x14ac:dyDescent="0.25">
      <c r="A754" s="19" t="s">
        <v>3686</v>
      </c>
      <c r="B754" s="37" t="s">
        <v>2652</v>
      </c>
      <c r="C754" s="90">
        <v>45128.582384259258</v>
      </c>
      <c r="D754" s="114">
        <v>45128.332384259258</v>
      </c>
      <c r="E754" s="38">
        <v>45128</v>
      </c>
      <c r="F754" s="91">
        <v>2023</v>
      </c>
      <c r="G754" s="93">
        <v>7</v>
      </c>
      <c r="H754" s="37" t="s">
        <v>2446</v>
      </c>
      <c r="I754" s="37"/>
      <c r="J754" s="103">
        <v>-90.960865879987637</v>
      </c>
      <c r="K754" s="40">
        <v>44.357181346600818</v>
      </c>
      <c r="L754" s="74"/>
      <c r="M754" s="272" t="s">
        <v>16</v>
      </c>
      <c r="N754" s="74">
        <v>0</v>
      </c>
      <c r="O754" s="94"/>
      <c r="P754" s="118">
        <v>0</v>
      </c>
      <c r="Q754" s="510"/>
      <c r="R754" s="513"/>
      <c r="S754" s="41"/>
      <c r="T754" s="40"/>
      <c r="U754" s="40"/>
      <c r="V754" s="119">
        <v>0</v>
      </c>
      <c r="W754" s="40"/>
      <c r="X754" s="119">
        <v>1</v>
      </c>
      <c r="Y754" s="40">
        <v>54</v>
      </c>
      <c r="Z754" s="119">
        <v>0</v>
      </c>
      <c r="AA754" s="368" t="s">
        <v>16</v>
      </c>
      <c r="AB754" s="535" t="s">
        <v>16</v>
      </c>
      <c r="AC754" s="39" t="s">
        <v>160</v>
      </c>
      <c r="AD754" s="75" t="s">
        <v>10</v>
      </c>
      <c r="AE754" s="95">
        <v>0</v>
      </c>
      <c r="AF754" s="75">
        <v>0</v>
      </c>
      <c r="AG754" s="75">
        <v>0</v>
      </c>
      <c r="AH754" s="75">
        <v>0</v>
      </c>
      <c r="AI754" s="75">
        <v>0</v>
      </c>
      <c r="AJ754" s="75">
        <v>0</v>
      </c>
      <c r="AK754" s="75">
        <v>0</v>
      </c>
      <c r="AL754" s="95">
        <v>1</v>
      </c>
      <c r="AM754" s="92">
        <v>0</v>
      </c>
      <c r="AN754" s="79" t="s">
        <v>80</v>
      </c>
      <c r="AO754" s="75">
        <v>1</v>
      </c>
      <c r="AP754" s="75" t="s">
        <v>83</v>
      </c>
      <c r="AQ754" s="122">
        <v>1</v>
      </c>
      <c r="AR754" s="515" t="s">
        <v>10</v>
      </c>
      <c r="AS754" s="95">
        <v>0</v>
      </c>
      <c r="AT754" s="75">
        <v>0</v>
      </c>
      <c r="AU754" s="75">
        <v>0</v>
      </c>
      <c r="AV754" s="75">
        <v>0</v>
      </c>
      <c r="AW754" s="123">
        <v>0</v>
      </c>
      <c r="AX754" s="516"/>
      <c r="AY754" s="75">
        <v>0</v>
      </c>
      <c r="AZ754" s="77" t="s">
        <v>131</v>
      </c>
      <c r="BA754" s="78" t="s">
        <v>131</v>
      </c>
      <c r="BB754" s="78" t="s">
        <v>131</v>
      </c>
      <c r="BC754" s="78" t="s">
        <v>131</v>
      </c>
      <c r="BD754" s="78" t="s">
        <v>131</v>
      </c>
      <c r="BE754" s="78" t="s">
        <v>131</v>
      </c>
      <c r="BF754" s="78" t="s">
        <v>131</v>
      </c>
      <c r="BG754" s="78" t="s">
        <v>132</v>
      </c>
      <c r="BH754" s="75" t="s">
        <v>5970</v>
      </c>
      <c r="BI754" s="295" t="s">
        <v>3979</v>
      </c>
      <c r="BJ754" s="546">
        <v>1</v>
      </c>
      <c r="BK754" s="294">
        <v>1</v>
      </c>
      <c r="BL754" s="157">
        <v>1</v>
      </c>
      <c r="BM754" s="548" t="s">
        <v>1340</v>
      </c>
      <c r="BN754" s="548" t="s">
        <v>4158</v>
      </c>
      <c r="BO754" s="157" t="s">
        <v>4473</v>
      </c>
      <c r="BP754" s="548" t="s">
        <v>4484</v>
      </c>
      <c r="BQ754" s="157" t="s">
        <v>4460</v>
      </c>
      <c r="BR754" s="157"/>
    </row>
    <row r="755" spans="1:70" x14ac:dyDescent="0.25">
      <c r="A755" s="19" t="s">
        <v>3686</v>
      </c>
      <c r="B755" s="37" t="s">
        <v>2653</v>
      </c>
      <c r="C755" s="90">
        <v>45127.941620370373</v>
      </c>
      <c r="D755" s="114">
        <v>45127.691620370373</v>
      </c>
      <c r="E755" s="38">
        <v>45127</v>
      </c>
      <c r="F755" s="91">
        <v>2023</v>
      </c>
      <c r="G755" s="93">
        <v>7</v>
      </c>
      <c r="H755" s="37" t="s">
        <v>2654</v>
      </c>
      <c r="I755" s="37"/>
      <c r="J755" s="103">
        <v>-91.448231199999995</v>
      </c>
      <c r="K755" s="40">
        <v>44.409359000000002</v>
      </c>
      <c r="L755" s="74"/>
      <c r="M755" s="272" t="s">
        <v>16</v>
      </c>
      <c r="N755" s="74">
        <v>0</v>
      </c>
      <c r="O755" s="94"/>
      <c r="P755" s="118">
        <v>1</v>
      </c>
      <c r="Q755" s="510">
        <v>80</v>
      </c>
      <c r="R755" s="513">
        <v>120</v>
      </c>
      <c r="S755" s="41"/>
      <c r="T755" s="40"/>
      <c r="U755" s="40">
        <v>7.5</v>
      </c>
      <c r="V755" s="119">
        <v>1</v>
      </c>
      <c r="W755" s="40">
        <v>100</v>
      </c>
      <c r="X755" s="119">
        <v>1</v>
      </c>
      <c r="Y755" s="40">
        <v>64</v>
      </c>
      <c r="Z755" s="119">
        <v>1</v>
      </c>
      <c r="AA755" s="368">
        <v>0</v>
      </c>
      <c r="AB755" s="535">
        <v>0</v>
      </c>
      <c r="AC755" s="39" t="s">
        <v>160</v>
      </c>
      <c r="AD755" s="75" t="s">
        <v>10</v>
      </c>
      <c r="AE755" s="95">
        <v>0</v>
      </c>
      <c r="AF755" s="75">
        <v>0</v>
      </c>
      <c r="AG755" s="75">
        <v>0</v>
      </c>
      <c r="AH755" s="75">
        <v>0</v>
      </c>
      <c r="AI755" s="75">
        <v>0</v>
      </c>
      <c r="AJ755" s="75">
        <v>0</v>
      </c>
      <c r="AK755" s="75">
        <v>0</v>
      </c>
      <c r="AL755" s="95">
        <v>1</v>
      </c>
      <c r="AM755" s="92">
        <v>0</v>
      </c>
      <c r="AN755" s="79" t="s">
        <v>80</v>
      </c>
      <c r="AO755" s="75">
        <v>1</v>
      </c>
      <c r="AP755" s="75" t="s">
        <v>84</v>
      </c>
      <c r="AQ755" s="122">
        <v>1</v>
      </c>
      <c r="AR755" s="515" t="s">
        <v>35</v>
      </c>
      <c r="AS755" s="95">
        <v>0</v>
      </c>
      <c r="AT755" s="75">
        <v>1</v>
      </c>
      <c r="AU755" s="75">
        <v>0</v>
      </c>
      <c r="AV755" s="75">
        <v>0</v>
      </c>
      <c r="AW755" s="123">
        <v>0</v>
      </c>
      <c r="AX755" s="516"/>
      <c r="AY755" s="75">
        <v>0</v>
      </c>
      <c r="AZ755" s="77" t="s">
        <v>131</v>
      </c>
      <c r="BA755" s="78" t="s">
        <v>131</v>
      </c>
      <c r="BB755" s="78" t="s">
        <v>131</v>
      </c>
      <c r="BC755" s="78" t="s">
        <v>131</v>
      </c>
      <c r="BD755" s="78" t="s">
        <v>131</v>
      </c>
      <c r="BE755" s="78" t="s">
        <v>131</v>
      </c>
      <c r="BF755" s="78" t="s">
        <v>131</v>
      </c>
      <c r="BG755" s="78" t="s">
        <v>132</v>
      </c>
      <c r="BH755" s="75" t="s">
        <v>5970</v>
      </c>
      <c r="BI755" s="295" t="s">
        <v>3982</v>
      </c>
      <c r="BJ755" s="546">
        <v>1</v>
      </c>
      <c r="BK755" s="294">
        <v>1</v>
      </c>
      <c r="BL755" s="157">
        <v>1</v>
      </c>
      <c r="BM755" s="548" t="s">
        <v>1340</v>
      </c>
      <c r="BN755" s="548" t="s">
        <v>4158</v>
      </c>
      <c r="BO755" s="157" t="s">
        <v>4486</v>
      </c>
      <c r="BP755" s="548" t="s">
        <v>3982</v>
      </c>
      <c r="BQ755" s="157" t="s">
        <v>4485</v>
      </c>
      <c r="BR755" s="157"/>
    </row>
    <row r="756" spans="1:70" x14ac:dyDescent="0.25">
      <c r="A756" s="19" t="s">
        <v>3686</v>
      </c>
      <c r="B756" s="37" t="s">
        <v>2655</v>
      </c>
      <c r="C756" s="90">
        <v>45127.883958333332</v>
      </c>
      <c r="D756" s="114">
        <v>45127.633958333332</v>
      </c>
      <c r="E756" s="38">
        <v>45127</v>
      </c>
      <c r="F756" s="91">
        <v>2023</v>
      </c>
      <c r="G756" s="93">
        <v>7</v>
      </c>
      <c r="H756" s="37" t="s">
        <v>2446</v>
      </c>
      <c r="I756" s="37"/>
      <c r="J756" s="103">
        <v>-91.483542080643247</v>
      </c>
      <c r="K756" s="40">
        <v>44.457730017089055</v>
      </c>
      <c r="L756" s="74"/>
      <c r="M756" s="272" t="s">
        <v>16</v>
      </c>
      <c r="N756" s="74">
        <v>0</v>
      </c>
      <c r="O756" s="94"/>
      <c r="P756" s="118">
        <v>0</v>
      </c>
      <c r="Q756" s="510"/>
      <c r="R756" s="513"/>
      <c r="S756" s="41"/>
      <c r="T756" s="40"/>
      <c r="U756" s="40"/>
      <c r="V756" s="119">
        <v>0</v>
      </c>
      <c r="W756" s="40"/>
      <c r="X756" s="119">
        <v>1</v>
      </c>
      <c r="Y756" s="40">
        <v>57</v>
      </c>
      <c r="Z756" s="119">
        <v>0</v>
      </c>
      <c r="AA756" s="368" t="s">
        <v>16</v>
      </c>
      <c r="AB756" s="535" t="s">
        <v>16</v>
      </c>
      <c r="AC756" s="39" t="s">
        <v>160</v>
      </c>
      <c r="AD756" s="75" t="s">
        <v>16</v>
      </c>
      <c r="AE756" s="95">
        <v>-1</v>
      </c>
      <c r="AF756" s="75">
        <v>-1</v>
      </c>
      <c r="AG756" s="75">
        <v>-1</v>
      </c>
      <c r="AH756" s="75">
        <v>-1</v>
      </c>
      <c r="AI756" s="75">
        <v>-1</v>
      </c>
      <c r="AJ756" s="75">
        <v>-1</v>
      </c>
      <c r="AK756" s="75">
        <v>-1</v>
      </c>
      <c r="AL756" s="95">
        <v>-1</v>
      </c>
      <c r="AM756" s="92">
        <v>1</v>
      </c>
      <c r="AN756" s="79" t="s">
        <v>80</v>
      </c>
      <c r="AO756" s="75">
        <v>1</v>
      </c>
      <c r="AP756" s="75" t="s">
        <v>83</v>
      </c>
      <c r="AQ756" s="122">
        <v>1</v>
      </c>
      <c r="AR756" s="515" t="s">
        <v>35</v>
      </c>
      <c r="AS756" s="95">
        <v>0</v>
      </c>
      <c r="AT756" s="75">
        <v>1</v>
      </c>
      <c r="AU756" s="75">
        <v>0</v>
      </c>
      <c r="AV756" s="75">
        <v>0</v>
      </c>
      <c r="AW756" s="123">
        <v>0</v>
      </c>
      <c r="AX756" s="516"/>
      <c r="AY756" s="75">
        <v>0</v>
      </c>
      <c r="AZ756" s="77" t="s">
        <v>5971</v>
      </c>
      <c r="BA756" s="78" t="s">
        <v>5971</v>
      </c>
      <c r="BB756" s="78" t="s">
        <v>5971</v>
      </c>
      <c r="BC756" s="78" t="s">
        <v>5971</v>
      </c>
      <c r="BD756" s="78" t="s">
        <v>5971</v>
      </c>
      <c r="BE756" s="78" t="s">
        <v>5971</v>
      </c>
      <c r="BF756" s="78" t="s">
        <v>5971</v>
      </c>
      <c r="BG756" s="78" t="s">
        <v>5971</v>
      </c>
      <c r="BH756" s="75" t="s">
        <v>5971</v>
      </c>
      <c r="BI756" s="295" t="s">
        <v>3982</v>
      </c>
      <c r="BJ756" s="546">
        <v>1</v>
      </c>
      <c r="BK756" s="294" t="s">
        <v>16</v>
      </c>
      <c r="BL756" s="157" t="s">
        <v>16</v>
      </c>
      <c r="BM756" s="548" t="s">
        <v>1340</v>
      </c>
      <c r="BN756" s="548" t="s">
        <v>4158</v>
      </c>
      <c r="BO756" s="157" t="s">
        <v>4486</v>
      </c>
      <c r="BP756" s="548" t="s">
        <v>3982</v>
      </c>
      <c r="BQ756" s="157" t="s">
        <v>4485</v>
      </c>
      <c r="BR756" s="157"/>
    </row>
    <row r="757" spans="1:70" x14ac:dyDescent="0.25">
      <c r="A757" s="19" t="s">
        <v>3686</v>
      </c>
      <c r="B757" s="37" t="s">
        <v>2656</v>
      </c>
      <c r="C757" s="90">
        <v>45127.767442129632</v>
      </c>
      <c r="D757" s="114">
        <v>45127.517442129632</v>
      </c>
      <c r="E757" s="38">
        <v>45127</v>
      </c>
      <c r="F757" s="91">
        <v>2023</v>
      </c>
      <c r="G757" s="93">
        <v>7</v>
      </c>
      <c r="H757" s="37" t="s">
        <v>1386</v>
      </c>
      <c r="I757" s="37"/>
      <c r="J757" s="103">
        <v>-91.581095500000004</v>
      </c>
      <c r="K757" s="40">
        <v>43.641490500000003</v>
      </c>
      <c r="L757" s="74"/>
      <c r="M757" s="272" t="s">
        <v>16</v>
      </c>
      <c r="N757" s="74">
        <v>0</v>
      </c>
      <c r="O757" s="94"/>
      <c r="P757" s="118">
        <v>1</v>
      </c>
      <c r="Q757" s="510">
        <v>180</v>
      </c>
      <c r="R757" s="513">
        <v>180</v>
      </c>
      <c r="S757" s="41"/>
      <c r="T757" s="40"/>
      <c r="U757" s="40">
        <v>7.5</v>
      </c>
      <c r="V757" s="119">
        <v>1</v>
      </c>
      <c r="W757" s="40">
        <v>0</v>
      </c>
      <c r="X757" s="119">
        <v>1</v>
      </c>
      <c r="Y757" s="40">
        <v>51</v>
      </c>
      <c r="Z757" s="119">
        <v>1</v>
      </c>
      <c r="AA757" s="368">
        <v>0</v>
      </c>
      <c r="AB757" s="535">
        <v>5</v>
      </c>
      <c r="AC757" s="39" t="s">
        <v>160</v>
      </c>
      <c r="AD757" s="75" t="s">
        <v>10</v>
      </c>
      <c r="AE757" s="95">
        <v>0</v>
      </c>
      <c r="AF757" s="75">
        <v>0</v>
      </c>
      <c r="AG757" s="75">
        <v>0</v>
      </c>
      <c r="AH757" s="75">
        <v>0</v>
      </c>
      <c r="AI757" s="75">
        <v>0</v>
      </c>
      <c r="AJ757" s="75">
        <v>0</v>
      </c>
      <c r="AK757" s="75">
        <v>0</v>
      </c>
      <c r="AL757" s="95">
        <v>1</v>
      </c>
      <c r="AM757" s="92">
        <v>0</v>
      </c>
      <c r="AN757" s="79" t="s">
        <v>80</v>
      </c>
      <c r="AO757" s="75">
        <v>1</v>
      </c>
      <c r="AP757" s="75" t="s">
        <v>83</v>
      </c>
      <c r="AQ757" s="122">
        <v>1</v>
      </c>
      <c r="AR757" s="515" t="s">
        <v>10</v>
      </c>
      <c r="AS757" s="95">
        <v>0</v>
      </c>
      <c r="AT757" s="75">
        <v>0</v>
      </c>
      <c r="AU757" s="75">
        <v>0</v>
      </c>
      <c r="AV757" s="75">
        <v>0</v>
      </c>
      <c r="AW757" s="123">
        <v>0</v>
      </c>
      <c r="AX757" s="516"/>
      <c r="AY757" s="75">
        <v>0</v>
      </c>
      <c r="AZ757" s="77" t="s">
        <v>131</v>
      </c>
      <c r="BA757" s="78" t="s">
        <v>131</v>
      </c>
      <c r="BB757" s="78" t="s">
        <v>131</v>
      </c>
      <c r="BC757" s="78" t="s">
        <v>131</v>
      </c>
      <c r="BD757" s="78" t="s">
        <v>131</v>
      </c>
      <c r="BE757" s="78" t="s">
        <v>131</v>
      </c>
      <c r="BF757" s="78" t="s">
        <v>131</v>
      </c>
      <c r="BG757" s="78" t="s">
        <v>132</v>
      </c>
      <c r="BH757" s="75" t="s">
        <v>5970</v>
      </c>
      <c r="BI757" s="295" t="s">
        <v>2259</v>
      </c>
      <c r="BJ757" s="546">
        <v>1</v>
      </c>
      <c r="BK757" s="294" t="s">
        <v>16</v>
      </c>
      <c r="BL757" s="157" t="s">
        <v>16</v>
      </c>
      <c r="BM757" s="548" t="s">
        <v>1341</v>
      </c>
      <c r="BN757" s="548" t="s">
        <v>1339</v>
      </c>
      <c r="BO757" s="157" t="s">
        <v>4233</v>
      </c>
      <c r="BP757" s="548" t="s">
        <v>307</v>
      </c>
      <c r="BQ757" s="157" t="s">
        <v>4232</v>
      </c>
      <c r="BR757" s="157"/>
    </row>
    <row r="758" spans="1:70" x14ac:dyDescent="0.25">
      <c r="A758" s="19" t="s">
        <v>3686</v>
      </c>
      <c r="B758" s="37" t="s">
        <v>2657</v>
      </c>
      <c r="C758" s="90">
        <v>45127.743171296293</v>
      </c>
      <c r="D758" s="114">
        <v>45127.493171296293</v>
      </c>
      <c r="E758" s="38">
        <v>45127</v>
      </c>
      <c r="F758" s="91">
        <v>2023</v>
      </c>
      <c r="G758" s="93">
        <v>7</v>
      </c>
      <c r="H758" s="37" t="s">
        <v>1386</v>
      </c>
      <c r="I758" s="37"/>
      <c r="J758" s="103">
        <v>-91.373385799999994</v>
      </c>
      <c r="K758" s="40">
        <v>43.603564400000003</v>
      </c>
      <c r="L758" s="74"/>
      <c r="M758" s="272" t="s">
        <v>16</v>
      </c>
      <c r="N758" s="74">
        <v>0</v>
      </c>
      <c r="O758" s="94"/>
      <c r="P758" s="118">
        <v>1</v>
      </c>
      <c r="Q758" s="510">
        <v>40</v>
      </c>
      <c r="R758" s="513">
        <v>0</v>
      </c>
      <c r="S758" s="41"/>
      <c r="T758" s="40"/>
      <c r="U758" s="40">
        <v>7</v>
      </c>
      <c r="V758" s="119">
        <v>1</v>
      </c>
      <c r="W758" s="40">
        <v>0</v>
      </c>
      <c r="X758" s="119">
        <v>1</v>
      </c>
      <c r="Y758" s="40">
        <v>67</v>
      </c>
      <c r="Z758" s="119">
        <v>1</v>
      </c>
      <c r="AA758" s="368">
        <v>0</v>
      </c>
      <c r="AB758" s="535">
        <v>2</v>
      </c>
      <c r="AC758" s="39" t="s">
        <v>160</v>
      </c>
      <c r="AD758" s="75" t="s">
        <v>10</v>
      </c>
      <c r="AE758" s="95">
        <v>0</v>
      </c>
      <c r="AF758" s="75">
        <v>0</v>
      </c>
      <c r="AG758" s="75">
        <v>0</v>
      </c>
      <c r="AH758" s="75">
        <v>0</v>
      </c>
      <c r="AI758" s="75">
        <v>0</v>
      </c>
      <c r="AJ758" s="75">
        <v>0</v>
      </c>
      <c r="AK758" s="75">
        <v>0</v>
      </c>
      <c r="AL758" s="95">
        <v>1</v>
      </c>
      <c r="AM758" s="92">
        <v>0</v>
      </c>
      <c r="AN758" s="79" t="s">
        <v>80</v>
      </c>
      <c r="AO758" s="75">
        <v>1</v>
      </c>
      <c r="AP758" s="75" t="s">
        <v>83</v>
      </c>
      <c r="AQ758" s="122">
        <v>1</v>
      </c>
      <c r="AR758" s="515" t="s">
        <v>10</v>
      </c>
      <c r="AS758" s="95">
        <v>0</v>
      </c>
      <c r="AT758" s="75">
        <v>0</v>
      </c>
      <c r="AU758" s="75">
        <v>0</v>
      </c>
      <c r="AV758" s="75">
        <v>0</v>
      </c>
      <c r="AW758" s="123">
        <v>0</v>
      </c>
      <c r="AX758" s="516"/>
      <c r="AY758" s="75">
        <v>0</v>
      </c>
      <c r="AZ758" s="77" t="s">
        <v>131</v>
      </c>
      <c r="BA758" s="78" t="s">
        <v>131</v>
      </c>
      <c r="BB758" s="78" t="s">
        <v>131</v>
      </c>
      <c r="BC758" s="78" t="s">
        <v>131</v>
      </c>
      <c r="BD758" s="78" t="s">
        <v>131</v>
      </c>
      <c r="BE758" s="78" t="s">
        <v>131</v>
      </c>
      <c r="BF758" s="78" t="s">
        <v>131</v>
      </c>
      <c r="BG758" s="78" t="s">
        <v>132</v>
      </c>
      <c r="BH758" s="75" t="s">
        <v>5970</v>
      </c>
      <c r="BI758" s="295" t="s">
        <v>16</v>
      </c>
      <c r="BJ758" s="546">
        <v>1</v>
      </c>
      <c r="BK758" s="294" t="s">
        <v>16</v>
      </c>
      <c r="BL758" s="157" t="s">
        <v>16</v>
      </c>
      <c r="BM758" s="548" t="s">
        <v>1341</v>
      </c>
      <c r="BN758" s="548" t="s">
        <v>1339</v>
      </c>
      <c r="BO758" s="157" t="s">
        <v>4235</v>
      </c>
      <c r="BP758" s="548" t="s">
        <v>4237</v>
      </c>
      <c r="BQ758" s="157" t="s">
        <v>4234</v>
      </c>
      <c r="BR758" s="157"/>
    </row>
    <row r="759" spans="1:70" x14ac:dyDescent="0.25">
      <c r="A759" s="19" t="s">
        <v>3686</v>
      </c>
      <c r="B759" s="37" t="s">
        <v>2658</v>
      </c>
      <c r="C759" s="90">
        <v>45127.723252314812</v>
      </c>
      <c r="D759" s="114">
        <v>45127.473252314812</v>
      </c>
      <c r="E759" s="38">
        <v>45127</v>
      </c>
      <c r="F759" s="91">
        <v>2023</v>
      </c>
      <c r="G759" s="93">
        <v>7</v>
      </c>
      <c r="H759" s="37" t="s">
        <v>1386</v>
      </c>
      <c r="I759" s="37"/>
      <c r="J759" s="103">
        <v>-91.413060900000005</v>
      </c>
      <c r="K759" s="40">
        <v>43.540548100000002</v>
      </c>
      <c r="L759" s="74"/>
      <c r="M759" s="272" t="s">
        <v>16</v>
      </c>
      <c r="N759" s="74">
        <v>0</v>
      </c>
      <c r="O759" s="94"/>
      <c r="P759" s="118">
        <v>1</v>
      </c>
      <c r="Q759" s="510">
        <v>120</v>
      </c>
      <c r="R759" s="513">
        <v>120</v>
      </c>
      <c r="S759" s="41"/>
      <c r="T759" s="40"/>
      <c r="U759" s="40">
        <v>8</v>
      </c>
      <c r="V759" s="119">
        <v>1</v>
      </c>
      <c r="W759" s="40">
        <v>0</v>
      </c>
      <c r="X759" s="119">
        <v>1</v>
      </c>
      <c r="Y759" s="40">
        <v>62</v>
      </c>
      <c r="Z759" s="119">
        <v>1</v>
      </c>
      <c r="AA759" s="368">
        <v>0</v>
      </c>
      <c r="AB759" s="535">
        <v>5</v>
      </c>
      <c r="AC759" s="39" t="s">
        <v>160</v>
      </c>
      <c r="AD759" s="75" t="s">
        <v>10</v>
      </c>
      <c r="AE759" s="95">
        <v>0</v>
      </c>
      <c r="AF759" s="75">
        <v>0</v>
      </c>
      <c r="AG759" s="75">
        <v>0</v>
      </c>
      <c r="AH759" s="75">
        <v>0</v>
      </c>
      <c r="AI759" s="75">
        <v>0</v>
      </c>
      <c r="AJ759" s="75">
        <v>0</v>
      </c>
      <c r="AK759" s="75">
        <v>0</v>
      </c>
      <c r="AL759" s="95">
        <v>1</v>
      </c>
      <c r="AM759" s="92">
        <v>0</v>
      </c>
      <c r="AN759" s="79" t="s">
        <v>80</v>
      </c>
      <c r="AO759" s="75">
        <v>1</v>
      </c>
      <c r="AP759" s="75" t="s">
        <v>83</v>
      </c>
      <c r="AQ759" s="122">
        <v>1</v>
      </c>
      <c r="AR759" s="515" t="s">
        <v>10</v>
      </c>
      <c r="AS759" s="95">
        <v>0</v>
      </c>
      <c r="AT759" s="75">
        <v>0</v>
      </c>
      <c r="AU759" s="75">
        <v>0</v>
      </c>
      <c r="AV759" s="75">
        <v>0</v>
      </c>
      <c r="AW759" s="123">
        <v>0</v>
      </c>
      <c r="AX759" s="516"/>
      <c r="AY759" s="75">
        <v>0</v>
      </c>
      <c r="AZ759" s="77" t="s">
        <v>131</v>
      </c>
      <c r="BA759" s="78" t="s">
        <v>131</v>
      </c>
      <c r="BB759" s="78" t="s">
        <v>131</v>
      </c>
      <c r="BC759" s="78" t="s">
        <v>131</v>
      </c>
      <c r="BD759" s="78" t="s">
        <v>131</v>
      </c>
      <c r="BE759" s="78" t="s">
        <v>131</v>
      </c>
      <c r="BF759" s="78" t="s">
        <v>131</v>
      </c>
      <c r="BG759" s="78" t="s">
        <v>132</v>
      </c>
      <c r="BH759" s="75" t="s">
        <v>5970</v>
      </c>
      <c r="BI759" s="295" t="s">
        <v>4020</v>
      </c>
      <c r="BJ759" s="546">
        <v>1</v>
      </c>
      <c r="BK759" s="294">
        <v>1</v>
      </c>
      <c r="BL759" s="157">
        <v>1</v>
      </c>
      <c r="BM759" s="548" t="s">
        <v>1341</v>
      </c>
      <c r="BN759" s="548" t="s">
        <v>1339</v>
      </c>
      <c r="BO759" s="157" t="s">
        <v>4239</v>
      </c>
      <c r="BP759" s="548" t="s">
        <v>4240</v>
      </c>
      <c r="BQ759" s="157" t="s">
        <v>4238</v>
      </c>
      <c r="BR759" s="157"/>
    </row>
    <row r="760" spans="1:70" x14ac:dyDescent="0.25">
      <c r="A760" s="19" t="s">
        <v>3686</v>
      </c>
      <c r="B760" s="37" t="s">
        <v>2659</v>
      </c>
      <c r="C760" s="90">
        <v>45127.680752314816</v>
      </c>
      <c r="D760" s="114">
        <v>45127.430752314816</v>
      </c>
      <c r="E760" s="38">
        <v>45127</v>
      </c>
      <c r="F760" s="91">
        <v>2023</v>
      </c>
      <c r="G760" s="93">
        <v>7</v>
      </c>
      <c r="H760" s="37" t="s">
        <v>2548</v>
      </c>
      <c r="I760" s="37"/>
      <c r="J760" s="103">
        <v>-90.428125292962861</v>
      </c>
      <c r="K760" s="40">
        <v>43.426880690219846</v>
      </c>
      <c r="L760" s="74"/>
      <c r="M760" s="272" t="s">
        <v>2660</v>
      </c>
      <c r="N760" s="74">
        <v>1</v>
      </c>
      <c r="O760" s="94"/>
      <c r="P760" s="118">
        <v>1</v>
      </c>
      <c r="Q760" s="510">
        <v>180</v>
      </c>
      <c r="R760" s="513">
        <v>180</v>
      </c>
      <c r="S760" s="41"/>
      <c r="T760" s="40"/>
      <c r="U760" s="40">
        <v>7.5</v>
      </c>
      <c r="V760" s="119">
        <v>1</v>
      </c>
      <c r="W760" s="40">
        <v>100</v>
      </c>
      <c r="X760" s="119">
        <v>1</v>
      </c>
      <c r="Y760" s="40">
        <v>61</v>
      </c>
      <c r="Z760" s="119">
        <v>1</v>
      </c>
      <c r="AA760" s="368">
        <v>0</v>
      </c>
      <c r="AB760" s="535">
        <v>0</v>
      </c>
      <c r="AC760" s="39" t="s">
        <v>160</v>
      </c>
      <c r="AD760" s="75" t="s">
        <v>10</v>
      </c>
      <c r="AE760" s="95">
        <v>0</v>
      </c>
      <c r="AF760" s="75">
        <v>0</v>
      </c>
      <c r="AG760" s="75">
        <v>0</v>
      </c>
      <c r="AH760" s="75">
        <v>0</v>
      </c>
      <c r="AI760" s="75">
        <v>0</v>
      </c>
      <c r="AJ760" s="75">
        <v>0</v>
      </c>
      <c r="AK760" s="75">
        <v>0</v>
      </c>
      <c r="AL760" s="95">
        <v>1</v>
      </c>
      <c r="AM760" s="92">
        <v>0</v>
      </c>
      <c r="AN760" s="79" t="s">
        <v>80</v>
      </c>
      <c r="AO760" s="75">
        <v>1</v>
      </c>
      <c r="AP760" s="75" t="s">
        <v>83</v>
      </c>
      <c r="AQ760" s="122">
        <v>1</v>
      </c>
      <c r="AR760" s="515" t="s">
        <v>10</v>
      </c>
      <c r="AS760" s="95">
        <v>0</v>
      </c>
      <c r="AT760" s="75">
        <v>0</v>
      </c>
      <c r="AU760" s="75">
        <v>0</v>
      </c>
      <c r="AV760" s="75">
        <v>0</v>
      </c>
      <c r="AW760" s="123">
        <v>0</v>
      </c>
      <c r="AX760" s="516"/>
      <c r="AY760" s="75">
        <v>0</v>
      </c>
      <c r="AZ760" s="77" t="s">
        <v>131</v>
      </c>
      <c r="BA760" s="78" t="s">
        <v>131</v>
      </c>
      <c r="BB760" s="78" t="s">
        <v>131</v>
      </c>
      <c r="BC760" s="78" t="s">
        <v>131</v>
      </c>
      <c r="BD760" s="78" t="s">
        <v>131</v>
      </c>
      <c r="BE760" s="78" t="s">
        <v>131</v>
      </c>
      <c r="BF760" s="78" t="s">
        <v>131</v>
      </c>
      <c r="BG760" s="78" t="s">
        <v>132</v>
      </c>
      <c r="BH760" s="75" t="s">
        <v>5970</v>
      </c>
      <c r="BI760" s="295">
        <v>0</v>
      </c>
      <c r="BJ760" s="546">
        <v>1</v>
      </c>
      <c r="BK760" s="294" t="s">
        <v>16</v>
      </c>
      <c r="BL760" s="157" t="s">
        <v>16</v>
      </c>
      <c r="BM760" s="548" t="s">
        <v>1342</v>
      </c>
      <c r="BN760" s="548" t="s">
        <v>4158</v>
      </c>
      <c r="BO760" s="157" t="s">
        <v>4487</v>
      </c>
      <c r="BP760" s="548" t="s">
        <v>4488</v>
      </c>
      <c r="BQ760" s="157" t="s">
        <v>4392</v>
      </c>
      <c r="BR760" s="157"/>
    </row>
    <row r="761" spans="1:70" x14ac:dyDescent="0.25">
      <c r="A761" s="19" t="s">
        <v>3686</v>
      </c>
      <c r="B761" s="37" t="s">
        <v>2661</v>
      </c>
      <c r="C761" s="90">
        <v>45127.678946759261</v>
      </c>
      <c r="D761" s="114">
        <v>45127.428946759261</v>
      </c>
      <c r="E761" s="38">
        <v>45127</v>
      </c>
      <c r="F761" s="91">
        <v>2023</v>
      </c>
      <c r="G761" s="93">
        <v>7</v>
      </c>
      <c r="H761" s="37" t="s">
        <v>1386</v>
      </c>
      <c r="I761" s="37"/>
      <c r="J761" s="103">
        <v>-91.569771299999999</v>
      </c>
      <c r="K761" s="40">
        <v>43.502250799999999</v>
      </c>
      <c r="L761" s="74"/>
      <c r="M761" s="272" t="s">
        <v>16</v>
      </c>
      <c r="N761" s="74">
        <v>0</v>
      </c>
      <c r="O761" s="94"/>
      <c r="P761" s="118">
        <v>1</v>
      </c>
      <c r="Q761" s="510">
        <v>40</v>
      </c>
      <c r="R761" s="513">
        <v>120</v>
      </c>
      <c r="S761" s="41"/>
      <c r="T761" s="40"/>
      <c r="U761" s="40">
        <v>7</v>
      </c>
      <c r="V761" s="119">
        <v>1</v>
      </c>
      <c r="W761" s="40">
        <v>0</v>
      </c>
      <c r="X761" s="119">
        <v>1</v>
      </c>
      <c r="Y761" s="40">
        <v>54</v>
      </c>
      <c r="Z761" s="119">
        <v>1</v>
      </c>
      <c r="AA761" s="368">
        <v>0</v>
      </c>
      <c r="AB761" s="535">
        <v>5</v>
      </c>
      <c r="AC761" s="39" t="s">
        <v>160</v>
      </c>
      <c r="AD761" s="75" t="s">
        <v>10</v>
      </c>
      <c r="AE761" s="95">
        <v>0</v>
      </c>
      <c r="AF761" s="75">
        <v>0</v>
      </c>
      <c r="AG761" s="75">
        <v>0</v>
      </c>
      <c r="AH761" s="75">
        <v>0</v>
      </c>
      <c r="AI761" s="75">
        <v>0</v>
      </c>
      <c r="AJ761" s="75">
        <v>0</v>
      </c>
      <c r="AK761" s="75">
        <v>0</v>
      </c>
      <c r="AL761" s="95">
        <v>1</v>
      </c>
      <c r="AM761" s="92">
        <v>0</v>
      </c>
      <c r="AN761" s="79" t="s">
        <v>80</v>
      </c>
      <c r="AO761" s="75">
        <v>1</v>
      </c>
      <c r="AP761" s="75" t="s">
        <v>83</v>
      </c>
      <c r="AQ761" s="122">
        <v>1</v>
      </c>
      <c r="AR761" s="515" t="s">
        <v>10</v>
      </c>
      <c r="AS761" s="95">
        <v>0</v>
      </c>
      <c r="AT761" s="75">
        <v>0</v>
      </c>
      <c r="AU761" s="75">
        <v>0</v>
      </c>
      <c r="AV761" s="75">
        <v>0</v>
      </c>
      <c r="AW761" s="123">
        <v>0</v>
      </c>
      <c r="AX761" s="516"/>
      <c r="AY761" s="75">
        <v>0</v>
      </c>
      <c r="AZ761" s="77" t="s">
        <v>131</v>
      </c>
      <c r="BA761" s="78" t="s">
        <v>131</v>
      </c>
      <c r="BB761" s="78" t="s">
        <v>131</v>
      </c>
      <c r="BC761" s="78" t="s">
        <v>131</v>
      </c>
      <c r="BD761" s="78" t="s">
        <v>131</v>
      </c>
      <c r="BE761" s="78" t="s">
        <v>131</v>
      </c>
      <c r="BF761" s="78" t="s">
        <v>131</v>
      </c>
      <c r="BG761" s="78" t="s">
        <v>132</v>
      </c>
      <c r="BH761" s="75" t="s">
        <v>5970</v>
      </c>
      <c r="BI761" s="295" t="s">
        <v>2265</v>
      </c>
      <c r="BJ761" s="546">
        <v>1</v>
      </c>
      <c r="BK761" s="294">
        <v>1</v>
      </c>
      <c r="BL761" s="157">
        <v>1</v>
      </c>
      <c r="BM761" s="548" t="s">
        <v>1341</v>
      </c>
      <c r="BN761" s="548" t="s">
        <v>1339</v>
      </c>
      <c r="BO761" s="157" t="s">
        <v>4242</v>
      </c>
      <c r="BP761" s="548" t="s">
        <v>4041</v>
      </c>
      <c r="BQ761" s="157" t="s">
        <v>4241</v>
      </c>
      <c r="BR761" s="157"/>
    </row>
    <row r="762" spans="1:70" x14ac:dyDescent="0.25">
      <c r="A762" s="19" t="s">
        <v>3686</v>
      </c>
      <c r="B762" s="37" t="s">
        <v>2662</v>
      </c>
      <c r="C762" s="90">
        <v>45127.648321759261</v>
      </c>
      <c r="D762" s="114">
        <v>45127.398321759261</v>
      </c>
      <c r="E762" s="38">
        <v>45127</v>
      </c>
      <c r="F762" s="91">
        <v>2023</v>
      </c>
      <c r="G762" s="93">
        <v>7</v>
      </c>
      <c r="H762" s="37" t="s">
        <v>1386</v>
      </c>
      <c r="I762" s="37"/>
      <c r="J762" s="103">
        <v>-91.813342599999999</v>
      </c>
      <c r="K762" s="40">
        <v>43.597614499999999</v>
      </c>
      <c r="L762" s="74"/>
      <c r="M762" s="272" t="s">
        <v>16</v>
      </c>
      <c r="N762" s="74">
        <v>0</v>
      </c>
      <c r="O762" s="94"/>
      <c r="P762" s="118">
        <v>1</v>
      </c>
      <c r="Q762" s="510">
        <v>0</v>
      </c>
      <c r="R762" s="513">
        <v>120</v>
      </c>
      <c r="S762" s="41"/>
      <c r="T762" s="40"/>
      <c r="U762" s="40">
        <v>7</v>
      </c>
      <c r="V762" s="119">
        <v>1</v>
      </c>
      <c r="W762" s="40">
        <v>0</v>
      </c>
      <c r="X762" s="119">
        <v>1</v>
      </c>
      <c r="Y762" s="40">
        <v>58</v>
      </c>
      <c r="Z762" s="119">
        <v>1</v>
      </c>
      <c r="AA762" s="368">
        <v>0</v>
      </c>
      <c r="AB762" s="535">
        <v>5</v>
      </c>
      <c r="AC762" s="39" t="s">
        <v>160</v>
      </c>
      <c r="AD762" s="75" t="s">
        <v>10</v>
      </c>
      <c r="AE762" s="95">
        <v>0</v>
      </c>
      <c r="AF762" s="75">
        <v>0</v>
      </c>
      <c r="AG762" s="75">
        <v>0</v>
      </c>
      <c r="AH762" s="75">
        <v>0</v>
      </c>
      <c r="AI762" s="75">
        <v>0</v>
      </c>
      <c r="AJ762" s="75">
        <v>0</v>
      </c>
      <c r="AK762" s="75">
        <v>0</v>
      </c>
      <c r="AL762" s="95">
        <v>1</v>
      </c>
      <c r="AM762" s="92">
        <v>0</v>
      </c>
      <c r="AN762" s="79" t="s">
        <v>80</v>
      </c>
      <c r="AO762" s="75">
        <v>1</v>
      </c>
      <c r="AP762" s="75" t="s">
        <v>83</v>
      </c>
      <c r="AQ762" s="122">
        <v>1</v>
      </c>
      <c r="AR762" s="515" t="s">
        <v>10</v>
      </c>
      <c r="AS762" s="95">
        <v>0</v>
      </c>
      <c r="AT762" s="75">
        <v>0</v>
      </c>
      <c r="AU762" s="75">
        <v>0</v>
      </c>
      <c r="AV762" s="75">
        <v>0</v>
      </c>
      <c r="AW762" s="123">
        <v>0</v>
      </c>
      <c r="AX762" s="516"/>
      <c r="AY762" s="75">
        <v>0</v>
      </c>
      <c r="AZ762" s="77" t="s">
        <v>131</v>
      </c>
      <c r="BA762" s="78" t="s">
        <v>131</v>
      </c>
      <c r="BB762" s="78" t="s">
        <v>131</v>
      </c>
      <c r="BC762" s="78" t="s">
        <v>131</v>
      </c>
      <c r="BD762" s="78" t="s">
        <v>131</v>
      </c>
      <c r="BE762" s="78" t="s">
        <v>131</v>
      </c>
      <c r="BF762" s="78" t="s">
        <v>131</v>
      </c>
      <c r="BG762" s="78" t="s">
        <v>132</v>
      </c>
      <c r="BH762" s="75" t="s">
        <v>5970</v>
      </c>
      <c r="BI762" s="295" t="s">
        <v>2271</v>
      </c>
      <c r="BJ762" s="546">
        <v>1</v>
      </c>
      <c r="BK762" s="294">
        <v>1</v>
      </c>
      <c r="BL762" s="157">
        <v>1</v>
      </c>
      <c r="BM762" s="548" t="s">
        <v>1341</v>
      </c>
      <c r="BN762" s="548" t="s">
        <v>1339</v>
      </c>
      <c r="BO762" s="157" t="s">
        <v>4245</v>
      </c>
      <c r="BP762" s="548" t="s">
        <v>2271</v>
      </c>
      <c r="BQ762" s="157" t="s">
        <v>4232</v>
      </c>
      <c r="BR762" s="157"/>
    </row>
    <row r="763" spans="1:70" x14ac:dyDescent="0.25">
      <c r="A763" s="19" t="s">
        <v>3686</v>
      </c>
      <c r="B763" s="37" t="s">
        <v>2663</v>
      </c>
      <c r="C763" s="90">
        <v>45127.633055555554</v>
      </c>
      <c r="D763" s="114">
        <v>45127.383055555554</v>
      </c>
      <c r="E763" s="38">
        <v>45127</v>
      </c>
      <c r="F763" s="91">
        <v>2023</v>
      </c>
      <c r="G763" s="93">
        <v>7</v>
      </c>
      <c r="H763" s="37" t="s">
        <v>2548</v>
      </c>
      <c r="I763" s="37"/>
      <c r="J763" s="103">
        <v>-90.466267514373754</v>
      </c>
      <c r="K763" s="40">
        <v>43.426660804926058</v>
      </c>
      <c r="L763" s="74"/>
      <c r="M763" s="272" t="s">
        <v>2664</v>
      </c>
      <c r="N763" s="74">
        <v>1</v>
      </c>
      <c r="O763" s="94"/>
      <c r="P763" s="118">
        <v>1</v>
      </c>
      <c r="Q763" s="510">
        <v>180</v>
      </c>
      <c r="R763" s="513">
        <v>120</v>
      </c>
      <c r="S763" s="41"/>
      <c r="T763" s="40"/>
      <c r="U763" s="40">
        <v>7.5</v>
      </c>
      <c r="V763" s="119">
        <v>1</v>
      </c>
      <c r="W763" s="40">
        <v>0</v>
      </c>
      <c r="X763" s="119">
        <v>1</v>
      </c>
      <c r="Y763" s="40">
        <v>61</v>
      </c>
      <c r="Z763" s="119">
        <v>1</v>
      </c>
      <c r="AA763" s="368">
        <v>0</v>
      </c>
      <c r="AB763" s="535">
        <v>2</v>
      </c>
      <c r="AC763" s="39" t="s">
        <v>160</v>
      </c>
      <c r="AD763" s="75" t="s">
        <v>10</v>
      </c>
      <c r="AE763" s="95">
        <v>0</v>
      </c>
      <c r="AF763" s="75">
        <v>0</v>
      </c>
      <c r="AG763" s="75">
        <v>0</v>
      </c>
      <c r="AH763" s="75">
        <v>0</v>
      </c>
      <c r="AI763" s="75">
        <v>0</v>
      </c>
      <c r="AJ763" s="75">
        <v>0</v>
      </c>
      <c r="AK763" s="75">
        <v>0</v>
      </c>
      <c r="AL763" s="95">
        <v>1</v>
      </c>
      <c r="AM763" s="92">
        <v>0</v>
      </c>
      <c r="AN763" s="79" t="s">
        <v>80</v>
      </c>
      <c r="AO763" s="75">
        <v>1</v>
      </c>
      <c r="AP763" s="75" t="s">
        <v>84</v>
      </c>
      <c r="AQ763" s="122">
        <v>1</v>
      </c>
      <c r="AR763" s="515" t="s">
        <v>10</v>
      </c>
      <c r="AS763" s="95">
        <v>0</v>
      </c>
      <c r="AT763" s="75">
        <v>0</v>
      </c>
      <c r="AU763" s="75">
        <v>0</v>
      </c>
      <c r="AV763" s="75">
        <v>0</v>
      </c>
      <c r="AW763" s="123">
        <v>0</v>
      </c>
      <c r="AX763" s="516"/>
      <c r="AY763" s="75">
        <v>0</v>
      </c>
      <c r="AZ763" s="77" t="s">
        <v>131</v>
      </c>
      <c r="BA763" s="78" t="s">
        <v>131</v>
      </c>
      <c r="BB763" s="78" t="s">
        <v>131</v>
      </c>
      <c r="BC763" s="78" t="s">
        <v>131</v>
      </c>
      <c r="BD763" s="78" t="s">
        <v>131</v>
      </c>
      <c r="BE763" s="78" t="s">
        <v>131</v>
      </c>
      <c r="BF763" s="78" t="s">
        <v>131</v>
      </c>
      <c r="BG763" s="78" t="s">
        <v>132</v>
      </c>
      <c r="BH763" s="75" t="s">
        <v>5970</v>
      </c>
      <c r="BI763" s="295" t="s">
        <v>4081</v>
      </c>
      <c r="BJ763" s="546">
        <v>1</v>
      </c>
      <c r="BK763" s="294">
        <v>1</v>
      </c>
      <c r="BL763" s="157">
        <v>1</v>
      </c>
      <c r="BM763" s="548" t="s">
        <v>1342</v>
      </c>
      <c r="BN763" s="548" t="s">
        <v>4158</v>
      </c>
      <c r="BO763" s="157" t="s">
        <v>4487</v>
      </c>
      <c r="BP763" s="548" t="s">
        <v>4488</v>
      </c>
      <c r="BQ763" s="157" t="s">
        <v>4392</v>
      </c>
      <c r="BR763" s="157"/>
    </row>
    <row r="764" spans="1:70" x14ac:dyDescent="0.25">
      <c r="A764" s="19" t="s">
        <v>3686</v>
      </c>
      <c r="B764" s="37" t="s">
        <v>2665</v>
      </c>
      <c r="C764" s="90">
        <v>45127.536365740743</v>
      </c>
      <c r="D764" s="114">
        <v>45127.286365740743</v>
      </c>
      <c r="E764" s="38">
        <v>45127</v>
      </c>
      <c r="F764" s="91">
        <v>2023</v>
      </c>
      <c r="G764" s="93">
        <v>7</v>
      </c>
      <c r="H764" s="37" t="s">
        <v>2548</v>
      </c>
      <c r="I764" s="37"/>
      <c r="J764" s="103">
        <v>-90.492888619874861</v>
      </c>
      <c r="K764" s="40">
        <v>43.415297349165456</v>
      </c>
      <c r="L764" s="74"/>
      <c r="M764" s="272" t="s">
        <v>2666</v>
      </c>
      <c r="N764" s="74">
        <v>1</v>
      </c>
      <c r="O764" s="94"/>
      <c r="P764" s="118">
        <v>1</v>
      </c>
      <c r="Q764" s="510">
        <v>180</v>
      </c>
      <c r="R764" s="513">
        <v>120</v>
      </c>
      <c r="S764" s="41"/>
      <c r="T764" s="40"/>
      <c r="U764" s="40">
        <v>7</v>
      </c>
      <c r="V764" s="119">
        <v>1</v>
      </c>
      <c r="W764" s="40">
        <v>0</v>
      </c>
      <c r="X764" s="119">
        <v>1</v>
      </c>
      <c r="Y764" s="40">
        <v>53</v>
      </c>
      <c r="Z764" s="119">
        <v>1</v>
      </c>
      <c r="AA764" s="368">
        <v>0</v>
      </c>
      <c r="AB764" s="535">
        <v>2</v>
      </c>
      <c r="AC764" s="39" t="s">
        <v>160</v>
      </c>
      <c r="AD764" s="75" t="s">
        <v>10</v>
      </c>
      <c r="AE764" s="95">
        <v>0</v>
      </c>
      <c r="AF764" s="75">
        <v>0</v>
      </c>
      <c r="AG764" s="75">
        <v>0</v>
      </c>
      <c r="AH764" s="75">
        <v>0</v>
      </c>
      <c r="AI764" s="75">
        <v>0</v>
      </c>
      <c r="AJ764" s="75">
        <v>0</v>
      </c>
      <c r="AK764" s="75">
        <v>0</v>
      </c>
      <c r="AL764" s="95">
        <v>1</v>
      </c>
      <c r="AM764" s="92">
        <v>0</v>
      </c>
      <c r="AN764" s="79" t="s">
        <v>80</v>
      </c>
      <c r="AO764" s="75">
        <v>1</v>
      </c>
      <c r="AP764" s="75" t="s">
        <v>83</v>
      </c>
      <c r="AQ764" s="122">
        <v>1</v>
      </c>
      <c r="AR764" s="515" t="s">
        <v>10</v>
      </c>
      <c r="AS764" s="95">
        <v>0</v>
      </c>
      <c r="AT764" s="75">
        <v>0</v>
      </c>
      <c r="AU764" s="75">
        <v>0</v>
      </c>
      <c r="AV764" s="75">
        <v>0</v>
      </c>
      <c r="AW764" s="123">
        <v>0</v>
      </c>
      <c r="AX764" s="516"/>
      <c r="AY764" s="75">
        <v>0</v>
      </c>
      <c r="AZ764" s="77" t="s">
        <v>131</v>
      </c>
      <c r="BA764" s="78" t="s">
        <v>131</v>
      </c>
      <c r="BB764" s="78" t="s">
        <v>131</v>
      </c>
      <c r="BC764" s="78" t="s">
        <v>131</v>
      </c>
      <c r="BD764" s="78" t="s">
        <v>131</v>
      </c>
      <c r="BE764" s="78" t="s">
        <v>131</v>
      </c>
      <c r="BF764" s="78" t="s">
        <v>131</v>
      </c>
      <c r="BG764" s="78" t="s">
        <v>132</v>
      </c>
      <c r="BH764" s="75" t="s">
        <v>5970</v>
      </c>
      <c r="BI764" s="295" t="s">
        <v>4081</v>
      </c>
      <c r="BJ764" s="546">
        <v>1</v>
      </c>
      <c r="BK764" s="294">
        <v>1</v>
      </c>
      <c r="BL764" s="157">
        <v>1</v>
      </c>
      <c r="BM764" s="548" t="s">
        <v>1342</v>
      </c>
      <c r="BN764" s="548" t="s">
        <v>4158</v>
      </c>
      <c r="BO764" s="157" t="s">
        <v>4487</v>
      </c>
      <c r="BP764" s="548" t="s">
        <v>4488</v>
      </c>
      <c r="BQ764" s="157" t="s">
        <v>4392</v>
      </c>
      <c r="BR764" s="157"/>
    </row>
    <row r="765" spans="1:70" x14ac:dyDescent="0.25">
      <c r="A765" s="19" t="s">
        <v>3686</v>
      </c>
      <c r="B765" s="37" t="s">
        <v>2667</v>
      </c>
      <c r="C765" s="90">
        <v>45126.939988425926</v>
      </c>
      <c r="D765" s="114">
        <v>45126.689988425926</v>
      </c>
      <c r="E765" s="38">
        <v>45126</v>
      </c>
      <c r="F765" s="91">
        <v>2023</v>
      </c>
      <c r="G765" s="93">
        <v>7</v>
      </c>
      <c r="H765" s="37" t="s">
        <v>2548</v>
      </c>
      <c r="I765" s="37"/>
      <c r="J765" s="103">
        <v>-90.51002646793448</v>
      </c>
      <c r="K765" s="40">
        <v>43.440306155214472</v>
      </c>
      <c r="L765" s="74"/>
      <c r="M765" s="272" t="s">
        <v>2668</v>
      </c>
      <c r="N765" s="74">
        <v>1</v>
      </c>
      <c r="O765" s="94"/>
      <c r="P765" s="118">
        <v>1</v>
      </c>
      <c r="Q765" s="510">
        <v>180</v>
      </c>
      <c r="R765" s="513">
        <v>180</v>
      </c>
      <c r="S765" s="41"/>
      <c r="T765" s="40"/>
      <c r="U765" s="40">
        <v>7</v>
      </c>
      <c r="V765" s="119">
        <v>1</v>
      </c>
      <c r="W765" s="40">
        <v>0</v>
      </c>
      <c r="X765" s="119">
        <v>1</v>
      </c>
      <c r="Y765" s="40">
        <v>60</v>
      </c>
      <c r="Z765" s="119">
        <v>1</v>
      </c>
      <c r="AA765" s="368">
        <v>0</v>
      </c>
      <c r="AB765" s="535">
        <v>0</v>
      </c>
      <c r="AC765" s="39" t="s">
        <v>160</v>
      </c>
      <c r="AD765" s="75" t="s">
        <v>10</v>
      </c>
      <c r="AE765" s="95">
        <v>0</v>
      </c>
      <c r="AF765" s="75">
        <v>0</v>
      </c>
      <c r="AG765" s="75">
        <v>0</v>
      </c>
      <c r="AH765" s="75">
        <v>0</v>
      </c>
      <c r="AI765" s="75">
        <v>0</v>
      </c>
      <c r="AJ765" s="75">
        <v>0</v>
      </c>
      <c r="AK765" s="75">
        <v>0</v>
      </c>
      <c r="AL765" s="95">
        <v>1</v>
      </c>
      <c r="AM765" s="92">
        <v>0</v>
      </c>
      <c r="AN765" s="79" t="s">
        <v>80</v>
      </c>
      <c r="AO765" s="75">
        <v>1</v>
      </c>
      <c r="AP765" s="75" t="s">
        <v>83</v>
      </c>
      <c r="AQ765" s="122">
        <v>1</v>
      </c>
      <c r="AR765" s="515" t="s">
        <v>10</v>
      </c>
      <c r="AS765" s="95">
        <v>0</v>
      </c>
      <c r="AT765" s="75">
        <v>0</v>
      </c>
      <c r="AU765" s="75">
        <v>0</v>
      </c>
      <c r="AV765" s="75">
        <v>0</v>
      </c>
      <c r="AW765" s="123">
        <v>0</v>
      </c>
      <c r="AX765" s="516"/>
      <c r="AY765" s="75">
        <v>0</v>
      </c>
      <c r="AZ765" s="77" t="s">
        <v>131</v>
      </c>
      <c r="BA765" s="78" t="s">
        <v>131</v>
      </c>
      <c r="BB765" s="78" t="s">
        <v>131</v>
      </c>
      <c r="BC765" s="78" t="s">
        <v>131</v>
      </c>
      <c r="BD765" s="78" t="s">
        <v>131</v>
      </c>
      <c r="BE765" s="78" t="s">
        <v>131</v>
      </c>
      <c r="BF765" s="78" t="s">
        <v>131</v>
      </c>
      <c r="BG765" s="78" t="s">
        <v>132</v>
      </c>
      <c r="BH765" s="75" t="s">
        <v>5970</v>
      </c>
      <c r="BI765" s="295" t="s">
        <v>16</v>
      </c>
      <c r="BJ765" s="546">
        <v>1</v>
      </c>
      <c r="BK765" s="294">
        <v>1</v>
      </c>
      <c r="BL765" s="157">
        <v>1</v>
      </c>
      <c r="BM765" s="548" t="s">
        <v>1342</v>
      </c>
      <c r="BN765" s="548" t="s">
        <v>4158</v>
      </c>
      <c r="BO765" s="157" t="s">
        <v>4487</v>
      </c>
      <c r="BP765" s="548" t="s">
        <v>4488</v>
      </c>
      <c r="BQ765" s="157" t="s">
        <v>4392</v>
      </c>
      <c r="BR765" s="157"/>
    </row>
    <row r="766" spans="1:70" x14ac:dyDescent="0.25">
      <c r="A766" s="19" t="s">
        <v>3686</v>
      </c>
      <c r="B766" s="37" t="s">
        <v>2669</v>
      </c>
      <c r="C766" s="90">
        <v>45126.926469907405</v>
      </c>
      <c r="D766" s="114">
        <v>45126.676469907405</v>
      </c>
      <c r="E766" s="38">
        <v>45126</v>
      </c>
      <c r="F766" s="91">
        <v>2023</v>
      </c>
      <c r="G766" s="93">
        <v>7</v>
      </c>
      <c r="H766" s="37" t="s">
        <v>2446</v>
      </c>
      <c r="I766" s="37"/>
      <c r="J766" s="103">
        <v>-91.361444268087396</v>
      </c>
      <c r="K766" s="40">
        <v>44.434491113664706</v>
      </c>
      <c r="L766" s="74"/>
      <c r="M766" s="272" t="s">
        <v>2670</v>
      </c>
      <c r="N766" s="74">
        <v>1</v>
      </c>
      <c r="O766" s="94"/>
      <c r="P766" s="118">
        <v>1</v>
      </c>
      <c r="Q766" s="510">
        <v>80</v>
      </c>
      <c r="R766" s="513">
        <v>0</v>
      </c>
      <c r="S766" s="41"/>
      <c r="T766" s="40"/>
      <c r="U766" s="40">
        <v>7</v>
      </c>
      <c r="V766" s="119">
        <v>1</v>
      </c>
      <c r="W766" s="40">
        <v>300</v>
      </c>
      <c r="X766" s="119">
        <v>1</v>
      </c>
      <c r="Y766" s="40">
        <v>62</v>
      </c>
      <c r="Z766" s="119">
        <v>1</v>
      </c>
      <c r="AA766" s="368">
        <v>0</v>
      </c>
      <c r="AB766" s="535">
        <v>2</v>
      </c>
      <c r="AC766" s="39" t="s">
        <v>160</v>
      </c>
      <c r="AD766" s="75" t="s">
        <v>10</v>
      </c>
      <c r="AE766" s="95">
        <v>0</v>
      </c>
      <c r="AF766" s="75">
        <v>0</v>
      </c>
      <c r="AG766" s="75">
        <v>0</v>
      </c>
      <c r="AH766" s="75">
        <v>0</v>
      </c>
      <c r="AI766" s="75">
        <v>0</v>
      </c>
      <c r="AJ766" s="75">
        <v>0</v>
      </c>
      <c r="AK766" s="75">
        <v>0</v>
      </c>
      <c r="AL766" s="95">
        <v>1</v>
      </c>
      <c r="AM766" s="92">
        <v>0</v>
      </c>
      <c r="AN766" s="79" t="s">
        <v>80</v>
      </c>
      <c r="AO766" s="75">
        <v>1</v>
      </c>
      <c r="AP766" s="75" t="s">
        <v>83</v>
      </c>
      <c r="AQ766" s="122">
        <v>1</v>
      </c>
      <c r="AR766" s="515" t="s">
        <v>10</v>
      </c>
      <c r="AS766" s="95">
        <v>0</v>
      </c>
      <c r="AT766" s="75">
        <v>0</v>
      </c>
      <c r="AU766" s="75">
        <v>0</v>
      </c>
      <c r="AV766" s="75">
        <v>0</v>
      </c>
      <c r="AW766" s="123">
        <v>0</v>
      </c>
      <c r="AX766" s="516"/>
      <c r="AY766" s="75">
        <v>0</v>
      </c>
      <c r="AZ766" s="77" t="s">
        <v>131</v>
      </c>
      <c r="BA766" s="78" t="s">
        <v>131</v>
      </c>
      <c r="BB766" s="78" t="s">
        <v>131</v>
      </c>
      <c r="BC766" s="78" t="s">
        <v>131</v>
      </c>
      <c r="BD766" s="78" t="s">
        <v>131</v>
      </c>
      <c r="BE766" s="78" t="s">
        <v>131</v>
      </c>
      <c r="BF766" s="78" t="s">
        <v>131</v>
      </c>
      <c r="BG766" s="78" t="s">
        <v>132</v>
      </c>
      <c r="BH766" s="75" t="s">
        <v>5970</v>
      </c>
      <c r="BI766" s="295" t="s">
        <v>3984</v>
      </c>
      <c r="BJ766" s="546">
        <v>1</v>
      </c>
      <c r="BK766" s="294">
        <v>1</v>
      </c>
      <c r="BL766" s="157">
        <v>1</v>
      </c>
      <c r="BM766" s="548" t="s">
        <v>1340</v>
      </c>
      <c r="BN766" s="548" t="s">
        <v>4158</v>
      </c>
      <c r="BO766" s="157" t="s">
        <v>4489</v>
      </c>
      <c r="BP766" s="548" t="s">
        <v>4490</v>
      </c>
      <c r="BQ766" s="157" t="s">
        <v>4485</v>
      </c>
      <c r="BR766" s="157"/>
    </row>
    <row r="767" spans="1:70" x14ac:dyDescent="0.25">
      <c r="A767" s="19" t="s">
        <v>3686</v>
      </c>
      <c r="B767" s="37" t="s">
        <v>2671</v>
      </c>
      <c r="C767" s="90">
        <v>45126.901446759257</v>
      </c>
      <c r="D767" s="114">
        <v>45126.651446759257</v>
      </c>
      <c r="E767" s="38">
        <v>45126</v>
      </c>
      <c r="F767" s="91">
        <v>2023</v>
      </c>
      <c r="G767" s="93">
        <v>7</v>
      </c>
      <c r="H767" s="37" t="s">
        <v>2548</v>
      </c>
      <c r="I767" s="37"/>
      <c r="J767" s="103">
        <v>-90.457157307224719</v>
      </c>
      <c r="K767" s="40">
        <v>43.431928821607919</v>
      </c>
      <c r="L767" s="74"/>
      <c r="M767" s="272" t="s">
        <v>2672</v>
      </c>
      <c r="N767" s="74">
        <v>1</v>
      </c>
      <c r="O767" s="94"/>
      <c r="P767" s="118">
        <v>1</v>
      </c>
      <c r="Q767" s="510">
        <v>180</v>
      </c>
      <c r="R767" s="513">
        <v>120</v>
      </c>
      <c r="S767" s="41"/>
      <c r="T767" s="40"/>
      <c r="U767" s="40">
        <v>7</v>
      </c>
      <c r="V767" s="119">
        <v>1</v>
      </c>
      <c r="W767" s="40">
        <v>0</v>
      </c>
      <c r="X767" s="119">
        <v>1</v>
      </c>
      <c r="Y767" s="40">
        <v>70</v>
      </c>
      <c r="Z767" s="119">
        <v>1</v>
      </c>
      <c r="AA767" s="368">
        <v>0</v>
      </c>
      <c r="AB767" s="535">
        <v>2</v>
      </c>
      <c r="AC767" s="39" t="s">
        <v>160</v>
      </c>
      <c r="AD767" s="75" t="s">
        <v>10</v>
      </c>
      <c r="AE767" s="95">
        <v>0</v>
      </c>
      <c r="AF767" s="75">
        <v>0</v>
      </c>
      <c r="AG767" s="75">
        <v>0</v>
      </c>
      <c r="AH767" s="75">
        <v>0</v>
      </c>
      <c r="AI767" s="75">
        <v>0</v>
      </c>
      <c r="AJ767" s="75">
        <v>0</v>
      </c>
      <c r="AK767" s="75">
        <v>0</v>
      </c>
      <c r="AL767" s="95">
        <v>1</v>
      </c>
      <c r="AM767" s="92">
        <v>0</v>
      </c>
      <c r="AN767" s="79" t="s">
        <v>80</v>
      </c>
      <c r="AO767" s="75">
        <v>1</v>
      </c>
      <c r="AP767" s="75" t="s">
        <v>83</v>
      </c>
      <c r="AQ767" s="122">
        <v>1</v>
      </c>
      <c r="AR767" s="515" t="s">
        <v>10</v>
      </c>
      <c r="AS767" s="95">
        <v>0</v>
      </c>
      <c r="AT767" s="75">
        <v>0</v>
      </c>
      <c r="AU767" s="75">
        <v>0</v>
      </c>
      <c r="AV767" s="75">
        <v>0</v>
      </c>
      <c r="AW767" s="123">
        <v>0</v>
      </c>
      <c r="AX767" s="516"/>
      <c r="AY767" s="75">
        <v>0</v>
      </c>
      <c r="AZ767" s="77" t="s">
        <v>131</v>
      </c>
      <c r="BA767" s="78" t="s">
        <v>131</v>
      </c>
      <c r="BB767" s="78" t="s">
        <v>131</v>
      </c>
      <c r="BC767" s="78" t="s">
        <v>131</v>
      </c>
      <c r="BD767" s="78" t="s">
        <v>131</v>
      </c>
      <c r="BE767" s="78" t="s">
        <v>131</v>
      </c>
      <c r="BF767" s="78" t="s">
        <v>131</v>
      </c>
      <c r="BG767" s="78" t="s">
        <v>132</v>
      </c>
      <c r="BH767" s="75" t="s">
        <v>5970</v>
      </c>
      <c r="BI767" s="295" t="s">
        <v>4080</v>
      </c>
      <c r="BJ767" s="546">
        <v>1</v>
      </c>
      <c r="BK767" s="294">
        <v>1</v>
      </c>
      <c r="BL767" s="157">
        <v>1</v>
      </c>
      <c r="BM767" s="548" t="s">
        <v>1342</v>
      </c>
      <c r="BN767" s="548" t="s">
        <v>4158</v>
      </c>
      <c r="BO767" s="157" t="s">
        <v>4487</v>
      </c>
      <c r="BP767" s="548" t="s">
        <v>4488</v>
      </c>
      <c r="BQ767" s="157" t="s">
        <v>4392</v>
      </c>
      <c r="BR767" s="157"/>
    </row>
    <row r="768" spans="1:70" x14ac:dyDescent="0.25">
      <c r="A768" s="19" t="s">
        <v>3686</v>
      </c>
      <c r="B768" s="37" t="s">
        <v>2673</v>
      </c>
      <c r="C768" s="90">
        <v>45126.788865740738</v>
      </c>
      <c r="D768" s="114">
        <v>45126.538865740738</v>
      </c>
      <c r="E768" s="38">
        <v>45126</v>
      </c>
      <c r="F768" s="91">
        <v>2023</v>
      </c>
      <c r="G768" s="93">
        <v>7</v>
      </c>
      <c r="H768" s="37" t="s">
        <v>2548</v>
      </c>
      <c r="I768" s="37"/>
      <c r="J768" s="103">
        <v>-90.499863887148464</v>
      </c>
      <c r="K768" s="40">
        <v>43.457378451647941</v>
      </c>
      <c r="L768" s="74"/>
      <c r="M768" s="272" t="s">
        <v>2674</v>
      </c>
      <c r="N768" s="74">
        <v>1</v>
      </c>
      <c r="O768" s="94"/>
      <c r="P768" s="118">
        <v>1</v>
      </c>
      <c r="Q768" s="510">
        <v>40</v>
      </c>
      <c r="R768" s="513">
        <v>180</v>
      </c>
      <c r="S768" s="41"/>
      <c r="T768" s="40"/>
      <c r="U768" s="40">
        <v>9</v>
      </c>
      <c r="V768" s="119">
        <v>1</v>
      </c>
      <c r="W768" s="40">
        <v>0</v>
      </c>
      <c r="X768" s="119">
        <v>1</v>
      </c>
      <c r="Y768" s="40">
        <v>58</v>
      </c>
      <c r="Z768" s="119">
        <v>1</v>
      </c>
      <c r="AA768" s="368">
        <v>0</v>
      </c>
      <c r="AB768" s="535">
        <v>2</v>
      </c>
      <c r="AC768" s="39" t="s">
        <v>160</v>
      </c>
      <c r="AD768" s="75" t="s">
        <v>10</v>
      </c>
      <c r="AE768" s="95">
        <v>0</v>
      </c>
      <c r="AF768" s="75">
        <v>0</v>
      </c>
      <c r="AG768" s="75">
        <v>0</v>
      </c>
      <c r="AH768" s="75">
        <v>0</v>
      </c>
      <c r="AI768" s="75">
        <v>0</v>
      </c>
      <c r="AJ768" s="75">
        <v>0</v>
      </c>
      <c r="AK768" s="75">
        <v>0</v>
      </c>
      <c r="AL768" s="95">
        <v>1</v>
      </c>
      <c r="AM768" s="92">
        <v>0</v>
      </c>
      <c r="AN768" s="79" t="s">
        <v>80</v>
      </c>
      <c r="AO768" s="75">
        <v>1</v>
      </c>
      <c r="AP768" s="75" t="s">
        <v>83</v>
      </c>
      <c r="AQ768" s="122">
        <v>1</v>
      </c>
      <c r="AR768" s="515" t="s">
        <v>10</v>
      </c>
      <c r="AS768" s="95">
        <v>0</v>
      </c>
      <c r="AT768" s="75">
        <v>0</v>
      </c>
      <c r="AU768" s="75">
        <v>0</v>
      </c>
      <c r="AV768" s="75">
        <v>0</v>
      </c>
      <c r="AW768" s="123">
        <v>0</v>
      </c>
      <c r="AX768" s="516"/>
      <c r="AY768" s="75">
        <v>0</v>
      </c>
      <c r="AZ768" s="77" t="s">
        <v>131</v>
      </c>
      <c r="BA768" s="78" t="s">
        <v>131</v>
      </c>
      <c r="BB768" s="78" t="s">
        <v>131</v>
      </c>
      <c r="BC768" s="78" t="s">
        <v>131</v>
      </c>
      <c r="BD768" s="78" t="s">
        <v>131</v>
      </c>
      <c r="BE768" s="78" t="s">
        <v>131</v>
      </c>
      <c r="BF768" s="78" t="s">
        <v>131</v>
      </c>
      <c r="BG768" s="78" t="s">
        <v>132</v>
      </c>
      <c r="BH768" s="75" t="s">
        <v>5970</v>
      </c>
      <c r="BI768" s="295" t="s">
        <v>4080</v>
      </c>
      <c r="BJ768" s="546">
        <v>1</v>
      </c>
      <c r="BK768" s="294">
        <v>1</v>
      </c>
      <c r="BL768" s="157">
        <v>1</v>
      </c>
      <c r="BM768" s="548" t="s">
        <v>1342</v>
      </c>
      <c r="BN768" s="548" t="s">
        <v>4158</v>
      </c>
      <c r="BO768" s="157" t="s">
        <v>4487</v>
      </c>
      <c r="BP768" s="548" t="s">
        <v>4488</v>
      </c>
      <c r="BQ768" s="157" t="s">
        <v>4392</v>
      </c>
      <c r="BR768" s="157"/>
    </row>
    <row r="769" spans="1:70" x14ac:dyDescent="0.25">
      <c r="A769" s="19" t="s">
        <v>3686</v>
      </c>
      <c r="B769" s="37" t="s">
        <v>2675</v>
      </c>
      <c r="C769" s="90">
        <v>45126.770624999997</v>
      </c>
      <c r="D769" s="114">
        <v>45126.520624999997</v>
      </c>
      <c r="E769" s="38">
        <v>45126</v>
      </c>
      <c r="F769" s="91">
        <v>2023</v>
      </c>
      <c r="G769" s="93">
        <v>7</v>
      </c>
      <c r="H769" s="37" t="s">
        <v>2548</v>
      </c>
      <c r="I769" s="37"/>
      <c r="J769" s="103">
        <v>-90.504704258674622</v>
      </c>
      <c r="K769" s="40">
        <v>43.457271754558818</v>
      </c>
      <c r="L769" s="74"/>
      <c r="M769" s="272" t="s">
        <v>2676</v>
      </c>
      <c r="N769" s="74">
        <v>1</v>
      </c>
      <c r="O769" s="94"/>
      <c r="P769" s="118">
        <v>1</v>
      </c>
      <c r="Q769" s="510">
        <v>180</v>
      </c>
      <c r="R769" s="513">
        <v>180</v>
      </c>
      <c r="S769" s="41"/>
      <c r="T769" s="40"/>
      <c r="U769" s="40">
        <v>7.5</v>
      </c>
      <c r="V769" s="119">
        <v>1</v>
      </c>
      <c r="W769" s="40">
        <v>0</v>
      </c>
      <c r="X769" s="119">
        <v>1</v>
      </c>
      <c r="Y769" s="40">
        <v>54</v>
      </c>
      <c r="Z769" s="119">
        <v>1</v>
      </c>
      <c r="AA769" s="368">
        <v>0</v>
      </c>
      <c r="AB769" s="535">
        <v>5</v>
      </c>
      <c r="AC769" s="39" t="s">
        <v>160</v>
      </c>
      <c r="AD769" s="75" t="s">
        <v>10</v>
      </c>
      <c r="AE769" s="95">
        <v>0</v>
      </c>
      <c r="AF769" s="75">
        <v>0</v>
      </c>
      <c r="AG769" s="75">
        <v>0</v>
      </c>
      <c r="AH769" s="75">
        <v>0</v>
      </c>
      <c r="AI769" s="75">
        <v>0</v>
      </c>
      <c r="AJ769" s="75">
        <v>0</v>
      </c>
      <c r="AK769" s="75">
        <v>0</v>
      </c>
      <c r="AL769" s="95">
        <v>1</v>
      </c>
      <c r="AM769" s="92">
        <v>0</v>
      </c>
      <c r="AN769" s="79" t="s">
        <v>80</v>
      </c>
      <c r="AO769" s="75">
        <v>1</v>
      </c>
      <c r="AP769" s="75" t="s">
        <v>83</v>
      </c>
      <c r="AQ769" s="122">
        <v>1</v>
      </c>
      <c r="AR769" s="515" t="s">
        <v>10</v>
      </c>
      <c r="AS769" s="95">
        <v>0</v>
      </c>
      <c r="AT769" s="75">
        <v>0</v>
      </c>
      <c r="AU769" s="75">
        <v>0</v>
      </c>
      <c r="AV769" s="75">
        <v>0</v>
      </c>
      <c r="AW769" s="123">
        <v>0</v>
      </c>
      <c r="AX769" s="516"/>
      <c r="AY769" s="75">
        <v>0</v>
      </c>
      <c r="AZ769" s="77" t="s">
        <v>131</v>
      </c>
      <c r="BA769" s="78" t="s">
        <v>131</v>
      </c>
      <c r="BB769" s="78" t="s">
        <v>131</v>
      </c>
      <c r="BC769" s="78" t="s">
        <v>131</v>
      </c>
      <c r="BD769" s="78" t="s">
        <v>131</v>
      </c>
      <c r="BE769" s="78" t="s">
        <v>131</v>
      </c>
      <c r="BF769" s="78" t="s">
        <v>131</v>
      </c>
      <c r="BG769" s="78" t="s">
        <v>132</v>
      </c>
      <c r="BH769" s="75" t="s">
        <v>5970</v>
      </c>
      <c r="BI769" s="295" t="s">
        <v>4080</v>
      </c>
      <c r="BJ769" s="546">
        <v>1</v>
      </c>
      <c r="BK769" s="294">
        <v>1</v>
      </c>
      <c r="BL769" s="157">
        <v>1</v>
      </c>
      <c r="BM769" s="548" t="s">
        <v>1342</v>
      </c>
      <c r="BN769" s="548" t="s">
        <v>4158</v>
      </c>
      <c r="BO769" s="157" t="s">
        <v>4487</v>
      </c>
      <c r="BP769" s="548" t="s">
        <v>4488</v>
      </c>
      <c r="BQ769" s="157" t="s">
        <v>4392</v>
      </c>
      <c r="BR769" s="157"/>
    </row>
    <row r="770" spans="1:70" x14ac:dyDescent="0.25">
      <c r="A770" s="19" t="s">
        <v>3686</v>
      </c>
      <c r="B770" s="37" t="s">
        <v>2677</v>
      </c>
      <c r="C770" s="90">
        <v>45126.731747685182</v>
      </c>
      <c r="D770" s="114">
        <v>45126.481747685182</v>
      </c>
      <c r="E770" s="38">
        <v>45126</v>
      </c>
      <c r="F770" s="91">
        <v>2023</v>
      </c>
      <c r="G770" s="93">
        <v>7</v>
      </c>
      <c r="H770" s="37" t="s">
        <v>2548</v>
      </c>
      <c r="I770" s="37" t="s">
        <v>16</v>
      </c>
      <c r="J770" s="103">
        <v>-90.521287485529882</v>
      </c>
      <c r="K770" s="40">
        <v>43.460853633173663</v>
      </c>
      <c r="L770" s="74"/>
      <c r="M770" s="272" t="s">
        <v>16</v>
      </c>
      <c r="N770" s="74">
        <v>0</v>
      </c>
      <c r="O770" s="94"/>
      <c r="P770" s="118">
        <v>1</v>
      </c>
      <c r="Q770" s="510">
        <v>80</v>
      </c>
      <c r="R770" s="513">
        <v>120</v>
      </c>
      <c r="S770" s="41"/>
      <c r="T770" s="40"/>
      <c r="U770" s="40">
        <v>7.5</v>
      </c>
      <c r="V770" s="119">
        <v>1</v>
      </c>
      <c r="W770" s="40">
        <v>0</v>
      </c>
      <c r="X770" s="119">
        <v>1</v>
      </c>
      <c r="Y770" s="40">
        <v>70</v>
      </c>
      <c r="Z770" s="119">
        <v>1</v>
      </c>
      <c r="AA770" s="368">
        <v>0</v>
      </c>
      <c r="AB770" s="535">
        <v>0</v>
      </c>
      <c r="AC770" s="39" t="s">
        <v>160</v>
      </c>
      <c r="AD770" s="75" t="s">
        <v>10</v>
      </c>
      <c r="AE770" s="95">
        <v>0</v>
      </c>
      <c r="AF770" s="75">
        <v>0</v>
      </c>
      <c r="AG770" s="75">
        <v>0</v>
      </c>
      <c r="AH770" s="75">
        <v>0</v>
      </c>
      <c r="AI770" s="75">
        <v>0</v>
      </c>
      <c r="AJ770" s="75">
        <v>0</v>
      </c>
      <c r="AK770" s="75">
        <v>0</v>
      </c>
      <c r="AL770" s="95">
        <v>1</v>
      </c>
      <c r="AM770" s="92">
        <v>0</v>
      </c>
      <c r="AN770" s="79" t="s">
        <v>80</v>
      </c>
      <c r="AO770" s="75">
        <v>1</v>
      </c>
      <c r="AP770" s="75" t="s">
        <v>83</v>
      </c>
      <c r="AQ770" s="122">
        <v>1</v>
      </c>
      <c r="AR770" s="515" t="s">
        <v>10</v>
      </c>
      <c r="AS770" s="95">
        <v>0</v>
      </c>
      <c r="AT770" s="75">
        <v>0</v>
      </c>
      <c r="AU770" s="75">
        <v>0</v>
      </c>
      <c r="AV770" s="75">
        <v>0</v>
      </c>
      <c r="AW770" s="123">
        <v>0</v>
      </c>
      <c r="AX770" s="516"/>
      <c r="AY770" s="75">
        <v>0</v>
      </c>
      <c r="AZ770" s="77" t="s">
        <v>131</v>
      </c>
      <c r="BA770" s="78" t="s">
        <v>131</v>
      </c>
      <c r="BB770" s="78" t="s">
        <v>131</v>
      </c>
      <c r="BC770" s="78" t="s">
        <v>131</v>
      </c>
      <c r="BD770" s="78" t="s">
        <v>131</v>
      </c>
      <c r="BE770" s="78" t="s">
        <v>131</v>
      </c>
      <c r="BF770" s="78" t="s">
        <v>131</v>
      </c>
      <c r="BG770" s="78" t="s">
        <v>132</v>
      </c>
      <c r="BH770" s="75" t="s">
        <v>5970</v>
      </c>
      <c r="BI770" s="295">
        <v>0</v>
      </c>
      <c r="BJ770" s="546">
        <v>1</v>
      </c>
      <c r="BK770" s="294" t="s">
        <v>16</v>
      </c>
      <c r="BL770" s="157" t="s">
        <v>16</v>
      </c>
      <c r="BM770" s="548" t="s">
        <v>1342</v>
      </c>
      <c r="BN770" s="548" t="s">
        <v>4158</v>
      </c>
      <c r="BO770" s="157" t="s">
        <v>4487</v>
      </c>
      <c r="BP770" s="548" t="s">
        <v>4488</v>
      </c>
      <c r="BQ770" s="157" t="s">
        <v>4392</v>
      </c>
      <c r="BR770" s="157"/>
    </row>
    <row r="771" spans="1:70" x14ac:dyDescent="0.25">
      <c r="A771" s="19" t="s">
        <v>3686</v>
      </c>
      <c r="B771" s="37" t="s">
        <v>2678</v>
      </c>
      <c r="C771" s="90">
        <v>45126.727893518517</v>
      </c>
      <c r="D771" s="114">
        <v>45126.477893518517</v>
      </c>
      <c r="E771" s="38">
        <v>45126</v>
      </c>
      <c r="F771" s="91">
        <v>2023</v>
      </c>
      <c r="G771" s="93">
        <v>7</v>
      </c>
      <c r="H771" s="37" t="s">
        <v>2548</v>
      </c>
      <c r="I771" s="37"/>
      <c r="J771" s="103">
        <v>-90.521408538816104</v>
      </c>
      <c r="K771" s="40">
        <v>43.460913664791299</v>
      </c>
      <c r="L771" s="74"/>
      <c r="M771" s="272" t="s">
        <v>2679</v>
      </c>
      <c r="N771" s="74">
        <v>1</v>
      </c>
      <c r="O771" s="94"/>
      <c r="P771" s="118">
        <v>1</v>
      </c>
      <c r="Q771" s="510">
        <v>120</v>
      </c>
      <c r="R771" s="513">
        <v>180</v>
      </c>
      <c r="S771" s="41"/>
      <c r="T771" s="40"/>
      <c r="U771" s="40">
        <v>8</v>
      </c>
      <c r="V771" s="119">
        <v>1</v>
      </c>
      <c r="W771" s="40">
        <v>100</v>
      </c>
      <c r="X771" s="119">
        <v>1</v>
      </c>
      <c r="Y771" s="40">
        <v>62</v>
      </c>
      <c r="Z771" s="119">
        <v>1</v>
      </c>
      <c r="AA771" s="368">
        <v>0</v>
      </c>
      <c r="AB771" s="535">
        <v>2</v>
      </c>
      <c r="AC771" s="39" t="s">
        <v>160</v>
      </c>
      <c r="AD771" s="75" t="s">
        <v>10</v>
      </c>
      <c r="AE771" s="95">
        <v>0</v>
      </c>
      <c r="AF771" s="75">
        <v>0</v>
      </c>
      <c r="AG771" s="75">
        <v>0</v>
      </c>
      <c r="AH771" s="75">
        <v>0</v>
      </c>
      <c r="AI771" s="75">
        <v>0</v>
      </c>
      <c r="AJ771" s="75">
        <v>0</v>
      </c>
      <c r="AK771" s="75">
        <v>0</v>
      </c>
      <c r="AL771" s="95">
        <v>1</v>
      </c>
      <c r="AM771" s="92">
        <v>0</v>
      </c>
      <c r="AN771" s="79" t="s">
        <v>80</v>
      </c>
      <c r="AO771" s="75">
        <v>1</v>
      </c>
      <c r="AP771" s="75" t="s">
        <v>85</v>
      </c>
      <c r="AQ771" s="122">
        <v>1</v>
      </c>
      <c r="AR771" s="515" t="s">
        <v>10</v>
      </c>
      <c r="AS771" s="95">
        <v>0</v>
      </c>
      <c r="AT771" s="75">
        <v>0</v>
      </c>
      <c r="AU771" s="75">
        <v>0</v>
      </c>
      <c r="AV771" s="75">
        <v>0</v>
      </c>
      <c r="AW771" s="123">
        <v>0</v>
      </c>
      <c r="AX771" s="516"/>
      <c r="AY771" s="75">
        <v>0</v>
      </c>
      <c r="AZ771" s="77" t="s">
        <v>131</v>
      </c>
      <c r="BA771" s="78" t="s">
        <v>131</v>
      </c>
      <c r="BB771" s="78" t="s">
        <v>131</v>
      </c>
      <c r="BC771" s="78" t="s">
        <v>131</v>
      </c>
      <c r="BD771" s="78" t="s">
        <v>131</v>
      </c>
      <c r="BE771" s="78" t="s">
        <v>131</v>
      </c>
      <c r="BF771" s="78" t="s">
        <v>131</v>
      </c>
      <c r="BG771" s="78" t="s">
        <v>132</v>
      </c>
      <c r="BH771" s="75" t="s">
        <v>5970</v>
      </c>
      <c r="BI771" s="295">
        <v>0</v>
      </c>
      <c r="BJ771" s="546">
        <v>1</v>
      </c>
      <c r="BK771" s="294" t="s">
        <v>16</v>
      </c>
      <c r="BL771" s="157" t="s">
        <v>16</v>
      </c>
      <c r="BM771" s="548" t="s">
        <v>1342</v>
      </c>
      <c r="BN771" s="548" t="s">
        <v>4158</v>
      </c>
      <c r="BO771" s="157" t="s">
        <v>4487</v>
      </c>
      <c r="BP771" s="548" t="s">
        <v>4488</v>
      </c>
      <c r="BQ771" s="157" t="s">
        <v>4392</v>
      </c>
      <c r="BR771" s="157"/>
    </row>
    <row r="772" spans="1:70" x14ac:dyDescent="0.25">
      <c r="A772" s="19" t="s">
        <v>3686</v>
      </c>
      <c r="B772" s="37" t="s">
        <v>2680</v>
      </c>
      <c r="C772" s="90">
        <v>45126.687326388892</v>
      </c>
      <c r="D772" s="114">
        <v>45126.437326388892</v>
      </c>
      <c r="E772" s="38">
        <v>45126</v>
      </c>
      <c r="F772" s="91">
        <v>2023</v>
      </c>
      <c r="G772" s="93">
        <v>7</v>
      </c>
      <c r="H772" s="37" t="s">
        <v>2639</v>
      </c>
      <c r="I772" s="37" t="s">
        <v>146</v>
      </c>
      <c r="J772" s="103">
        <v>-91.758735116621523</v>
      </c>
      <c r="K772" s="40">
        <v>43.290327864331381</v>
      </c>
      <c r="L772" s="74"/>
      <c r="M772" s="272" t="s">
        <v>2681</v>
      </c>
      <c r="N772" s="74">
        <v>1</v>
      </c>
      <c r="O772" s="94"/>
      <c r="P772" s="118">
        <v>0</v>
      </c>
      <c r="Q772" s="510"/>
      <c r="R772" s="513"/>
      <c r="S772" s="41"/>
      <c r="T772" s="40"/>
      <c r="U772" s="40"/>
      <c r="V772" s="119">
        <v>1</v>
      </c>
      <c r="W772" s="40">
        <v>100</v>
      </c>
      <c r="X772" s="119">
        <v>1</v>
      </c>
      <c r="Y772" s="40">
        <v>0</v>
      </c>
      <c r="Z772" s="119">
        <v>0</v>
      </c>
      <c r="AA772" s="368" t="s">
        <v>16</v>
      </c>
      <c r="AB772" s="535" t="s">
        <v>16</v>
      </c>
      <c r="AC772" s="39" t="s">
        <v>160</v>
      </c>
      <c r="AD772" s="75" t="s">
        <v>10</v>
      </c>
      <c r="AE772" s="95">
        <v>0</v>
      </c>
      <c r="AF772" s="75">
        <v>0</v>
      </c>
      <c r="AG772" s="75">
        <v>0</v>
      </c>
      <c r="AH772" s="75">
        <v>0</v>
      </c>
      <c r="AI772" s="75">
        <v>0</v>
      </c>
      <c r="AJ772" s="75">
        <v>0</v>
      </c>
      <c r="AK772" s="75">
        <v>0</v>
      </c>
      <c r="AL772" s="95">
        <v>1</v>
      </c>
      <c r="AM772" s="92">
        <v>0</v>
      </c>
      <c r="AN772" s="79" t="s">
        <v>80</v>
      </c>
      <c r="AO772" s="75">
        <v>1</v>
      </c>
      <c r="AP772" s="75" t="s">
        <v>83</v>
      </c>
      <c r="AQ772" s="122">
        <v>1</v>
      </c>
      <c r="AR772" s="515" t="s">
        <v>10</v>
      </c>
      <c r="AS772" s="95">
        <v>0</v>
      </c>
      <c r="AT772" s="75">
        <v>0</v>
      </c>
      <c r="AU772" s="75">
        <v>0</v>
      </c>
      <c r="AV772" s="75">
        <v>0</v>
      </c>
      <c r="AW772" s="123">
        <v>0</v>
      </c>
      <c r="AX772" s="516" t="s">
        <v>2682</v>
      </c>
      <c r="AY772" s="75">
        <v>1</v>
      </c>
      <c r="AZ772" s="77" t="s">
        <v>131</v>
      </c>
      <c r="BA772" s="78" t="s">
        <v>131</v>
      </c>
      <c r="BB772" s="78" t="s">
        <v>131</v>
      </c>
      <c r="BC772" s="78" t="s">
        <v>131</v>
      </c>
      <c r="BD772" s="78" t="s">
        <v>131</v>
      </c>
      <c r="BE772" s="78" t="s">
        <v>131</v>
      </c>
      <c r="BF772" s="78" t="s">
        <v>131</v>
      </c>
      <c r="BG772" s="78" t="s">
        <v>132</v>
      </c>
      <c r="BH772" s="75" t="s">
        <v>5970</v>
      </c>
      <c r="BI772" s="295" t="s">
        <v>2235</v>
      </c>
      <c r="BJ772" s="546">
        <v>1</v>
      </c>
      <c r="BK772" s="294" t="s">
        <v>16</v>
      </c>
      <c r="BL772" s="157" t="s">
        <v>16</v>
      </c>
      <c r="BM772" s="548" t="s">
        <v>1344</v>
      </c>
      <c r="BN772" s="548" t="s">
        <v>1344</v>
      </c>
      <c r="BO772" s="157" t="s">
        <v>4491</v>
      </c>
      <c r="BP772" s="548" t="s">
        <v>2254</v>
      </c>
      <c r="BQ772" s="157" t="s">
        <v>4377</v>
      </c>
      <c r="BR772" s="157"/>
    </row>
    <row r="773" spans="1:70" x14ac:dyDescent="0.25">
      <c r="A773" s="19" t="s">
        <v>3686</v>
      </c>
      <c r="B773" s="37" t="s">
        <v>2683</v>
      </c>
      <c r="C773" s="90">
        <v>45126.581828703704</v>
      </c>
      <c r="D773" s="114">
        <v>45126.331828703704</v>
      </c>
      <c r="E773" s="38">
        <v>45126</v>
      </c>
      <c r="F773" s="91">
        <v>2023</v>
      </c>
      <c r="G773" s="93">
        <v>7</v>
      </c>
      <c r="H773" s="37" t="s">
        <v>2548</v>
      </c>
      <c r="I773" s="37"/>
      <c r="J773" s="103">
        <v>-90.279933909145143</v>
      </c>
      <c r="K773" s="40">
        <v>43.347642335599126</v>
      </c>
      <c r="L773" s="74"/>
      <c r="M773" s="272" t="s">
        <v>2684</v>
      </c>
      <c r="N773" s="74">
        <v>1</v>
      </c>
      <c r="O773" s="94"/>
      <c r="P773" s="118">
        <v>1</v>
      </c>
      <c r="Q773" s="510">
        <v>180</v>
      </c>
      <c r="R773" s="513">
        <v>180</v>
      </c>
      <c r="S773" s="41"/>
      <c r="T773" s="40"/>
      <c r="U773" s="40">
        <v>8</v>
      </c>
      <c r="V773" s="119">
        <v>1</v>
      </c>
      <c r="W773" s="40">
        <v>100</v>
      </c>
      <c r="X773" s="119">
        <v>1</v>
      </c>
      <c r="Y773" s="40">
        <v>56</v>
      </c>
      <c r="Z773" s="119">
        <v>1</v>
      </c>
      <c r="AA773" s="368">
        <v>0</v>
      </c>
      <c r="AB773" s="535">
        <v>2</v>
      </c>
      <c r="AC773" s="39" t="s">
        <v>160</v>
      </c>
      <c r="AD773" s="75" t="s">
        <v>10</v>
      </c>
      <c r="AE773" s="95">
        <v>0</v>
      </c>
      <c r="AF773" s="75">
        <v>0</v>
      </c>
      <c r="AG773" s="75">
        <v>0</v>
      </c>
      <c r="AH773" s="75">
        <v>0</v>
      </c>
      <c r="AI773" s="75">
        <v>0</v>
      </c>
      <c r="AJ773" s="75">
        <v>0</v>
      </c>
      <c r="AK773" s="75">
        <v>0</v>
      </c>
      <c r="AL773" s="95">
        <v>1</v>
      </c>
      <c r="AM773" s="92">
        <v>0</v>
      </c>
      <c r="AN773" s="79" t="s">
        <v>80</v>
      </c>
      <c r="AO773" s="75">
        <v>1</v>
      </c>
      <c r="AP773" s="75" t="s">
        <v>83</v>
      </c>
      <c r="AQ773" s="122">
        <v>1</v>
      </c>
      <c r="AR773" s="515" t="s">
        <v>10</v>
      </c>
      <c r="AS773" s="95">
        <v>0</v>
      </c>
      <c r="AT773" s="75">
        <v>0</v>
      </c>
      <c r="AU773" s="75">
        <v>0</v>
      </c>
      <c r="AV773" s="75">
        <v>0</v>
      </c>
      <c r="AW773" s="123">
        <v>0</v>
      </c>
      <c r="AX773" s="516"/>
      <c r="AY773" s="75">
        <v>0</v>
      </c>
      <c r="AZ773" s="77" t="s">
        <v>131</v>
      </c>
      <c r="BA773" s="78" t="s">
        <v>131</v>
      </c>
      <c r="BB773" s="78" t="s">
        <v>131</v>
      </c>
      <c r="BC773" s="78" t="s">
        <v>131</v>
      </c>
      <c r="BD773" s="78" t="s">
        <v>131</v>
      </c>
      <c r="BE773" s="78" t="s">
        <v>131</v>
      </c>
      <c r="BF773" s="78" t="s">
        <v>131</v>
      </c>
      <c r="BG773" s="78" t="s">
        <v>132</v>
      </c>
      <c r="BH773" s="75" t="s">
        <v>5970</v>
      </c>
      <c r="BI773" s="295" t="s">
        <v>4093</v>
      </c>
      <c r="BJ773" s="546">
        <v>1</v>
      </c>
      <c r="BK773" s="294" t="s">
        <v>16</v>
      </c>
      <c r="BL773" s="157" t="s">
        <v>16</v>
      </c>
      <c r="BM773" s="548" t="s">
        <v>1342</v>
      </c>
      <c r="BN773" s="548" t="s">
        <v>4158</v>
      </c>
      <c r="BO773" s="157" t="s">
        <v>4411</v>
      </c>
      <c r="BP773" s="548" t="s">
        <v>4412</v>
      </c>
      <c r="BQ773" s="157" t="s">
        <v>4410</v>
      </c>
      <c r="BR773" s="157"/>
    </row>
    <row r="774" spans="1:70" x14ac:dyDescent="0.25">
      <c r="A774" s="19" t="s">
        <v>3686</v>
      </c>
      <c r="B774" s="37" t="s">
        <v>2685</v>
      </c>
      <c r="C774" s="90">
        <v>45125.95244212963</v>
      </c>
      <c r="D774" s="114">
        <v>45125.70244212963</v>
      </c>
      <c r="E774" s="38">
        <v>45125</v>
      </c>
      <c r="F774" s="91">
        <v>2023</v>
      </c>
      <c r="G774" s="93">
        <v>7</v>
      </c>
      <c r="H774" s="37" t="s">
        <v>2548</v>
      </c>
      <c r="I774" s="37"/>
      <c r="J774" s="103">
        <v>-90.238346874083916</v>
      </c>
      <c r="K774" s="40">
        <v>43.402148287850629</v>
      </c>
      <c r="L774" s="74"/>
      <c r="M774" s="272" t="s">
        <v>16</v>
      </c>
      <c r="N774" s="74">
        <v>0</v>
      </c>
      <c r="O774" s="94"/>
      <c r="P774" s="118">
        <v>1</v>
      </c>
      <c r="Q774" s="510">
        <v>120</v>
      </c>
      <c r="R774" s="513">
        <v>120</v>
      </c>
      <c r="S774" s="41"/>
      <c r="T774" s="40"/>
      <c r="U774" s="40">
        <v>8</v>
      </c>
      <c r="V774" s="119">
        <v>1</v>
      </c>
      <c r="W774" s="40">
        <v>100</v>
      </c>
      <c r="X774" s="119">
        <v>1</v>
      </c>
      <c r="Y774" s="40">
        <v>66</v>
      </c>
      <c r="Z774" s="119">
        <v>1</v>
      </c>
      <c r="AA774" s="368">
        <v>0</v>
      </c>
      <c r="AB774" s="535">
        <v>0</v>
      </c>
      <c r="AC774" s="39" t="s">
        <v>16</v>
      </c>
      <c r="AD774" s="75" t="s">
        <v>10</v>
      </c>
      <c r="AE774" s="95">
        <v>0</v>
      </c>
      <c r="AF774" s="75">
        <v>0</v>
      </c>
      <c r="AG774" s="75">
        <v>0</v>
      </c>
      <c r="AH774" s="75">
        <v>0</v>
      </c>
      <c r="AI774" s="75">
        <v>0</v>
      </c>
      <c r="AJ774" s="75">
        <v>0</v>
      </c>
      <c r="AK774" s="75">
        <v>0</v>
      </c>
      <c r="AL774" s="95">
        <v>1</v>
      </c>
      <c r="AM774" s="92">
        <v>0</v>
      </c>
      <c r="AN774" s="79" t="s">
        <v>80</v>
      </c>
      <c r="AO774" s="75">
        <v>1</v>
      </c>
      <c r="AP774" s="75" t="s">
        <v>83</v>
      </c>
      <c r="AQ774" s="122">
        <v>1</v>
      </c>
      <c r="AR774" s="515" t="s">
        <v>10</v>
      </c>
      <c r="AS774" s="95">
        <v>0</v>
      </c>
      <c r="AT774" s="75">
        <v>0</v>
      </c>
      <c r="AU774" s="75">
        <v>0</v>
      </c>
      <c r="AV774" s="75">
        <v>0</v>
      </c>
      <c r="AW774" s="123">
        <v>0</v>
      </c>
      <c r="AX774" s="516"/>
      <c r="AY774" s="75">
        <v>0</v>
      </c>
      <c r="AZ774" s="77" t="s">
        <v>131</v>
      </c>
      <c r="BA774" s="78" t="s">
        <v>131</v>
      </c>
      <c r="BB774" s="78" t="s">
        <v>131</v>
      </c>
      <c r="BC774" s="78" t="s">
        <v>131</v>
      </c>
      <c r="BD774" s="78" t="s">
        <v>131</v>
      </c>
      <c r="BE774" s="78" t="s">
        <v>131</v>
      </c>
      <c r="BF774" s="78" t="s">
        <v>131</v>
      </c>
      <c r="BG774" s="78" t="s">
        <v>132</v>
      </c>
      <c r="BH774" s="75" t="s">
        <v>5970</v>
      </c>
      <c r="BI774" s="295" t="s">
        <v>4085</v>
      </c>
      <c r="BJ774" s="546">
        <v>1</v>
      </c>
      <c r="BK774" s="294" t="s">
        <v>16</v>
      </c>
      <c r="BL774" s="157" t="s">
        <v>16</v>
      </c>
      <c r="BM774" s="548" t="s">
        <v>1342</v>
      </c>
      <c r="BN774" s="548" t="s">
        <v>4158</v>
      </c>
      <c r="BO774" s="157" t="s">
        <v>4411</v>
      </c>
      <c r="BP774" s="548" t="s">
        <v>4412</v>
      </c>
      <c r="BQ774" s="157" t="s">
        <v>4410</v>
      </c>
      <c r="BR774" s="157"/>
    </row>
    <row r="775" spans="1:70" x14ac:dyDescent="0.25">
      <c r="A775" s="19" t="s">
        <v>3686</v>
      </c>
      <c r="B775" s="37" t="s">
        <v>2686</v>
      </c>
      <c r="C775" s="90">
        <v>45125.942187499997</v>
      </c>
      <c r="D775" s="114">
        <v>45125.692187499997</v>
      </c>
      <c r="E775" s="38">
        <v>45125</v>
      </c>
      <c r="F775" s="91">
        <v>2023</v>
      </c>
      <c r="G775" s="93">
        <v>7</v>
      </c>
      <c r="H775" s="37" t="s">
        <v>2654</v>
      </c>
      <c r="I775" s="37"/>
      <c r="J775" s="103">
        <v>-91.267594900000006</v>
      </c>
      <c r="K775" s="40">
        <v>44.5724071</v>
      </c>
      <c r="L775" s="74"/>
      <c r="M775" s="272" t="s">
        <v>2687</v>
      </c>
      <c r="N775" s="74">
        <v>1</v>
      </c>
      <c r="O775" s="94"/>
      <c r="P775" s="118">
        <v>1</v>
      </c>
      <c r="Q775" s="510">
        <v>40</v>
      </c>
      <c r="R775" s="513">
        <v>30</v>
      </c>
      <c r="S775" s="41"/>
      <c r="T775" s="40"/>
      <c r="U775" s="40">
        <v>6</v>
      </c>
      <c r="V775" s="119">
        <v>1</v>
      </c>
      <c r="W775" s="40">
        <v>100</v>
      </c>
      <c r="X775" s="119">
        <v>1</v>
      </c>
      <c r="Y775" s="40">
        <v>63</v>
      </c>
      <c r="Z775" s="119">
        <v>1</v>
      </c>
      <c r="AA775" s="368">
        <v>0</v>
      </c>
      <c r="AB775" s="535">
        <v>5</v>
      </c>
      <c r="AC775" s="39" t="s">
        <v>160</v>
      </c>
      <c r="AD775" s="75" t="s">
        <v>10</v>
      </c>
      <c r="AE775" s="95">
        <v>0</v>
      </c>
      <c r="AF775" s="75">
        <v>0</v>
      </c>
      <c r="AG775" s="75">
        <v>0</v>
      </c>
      <c r="AH775" s="75">
        <v>0</v>
      </c>
      <c r="AI775" s="75">
        <v>0</v>
      </c>
      <c r="AJ775" s="75">
        <v>0</v>
      </c>
      <c r="AK775" s="75">
        <v>0</v>
      </c>
      <c r="AL775" s="95">
        <v>1</v>
      </c>
      <c r="AM775" s="92">
        <v>0</v>
      </c>
      <c r="AN775" s="79" t="s">
        <v>80</v>
      </c>
      <c r="AO775" s="75">
        <v>1</v>
      </c>
      <c r="AP775" s="75" t="s">
        <v>83</v>
      </c>
      <c r="AQ775" s="122">
        <v>1</v>
      </c>
      <c r="AR775" s="515" t="s">
        <v>10</v>
      </c>
      <c r="AS775" s="95">
        <v>0</v>
      </c>
      <c r="AT775" s="75">
        <v>0</v>
      </c>
      <c r="AU775" s="75">
        <v>0</v>
      </c>
      <c r="AV775" s="75">
        <v>0</v>
      </c>
      <c r="AW775" s="123">
        <v>0</v>
      </c>
      <c r="AX775" s="516"/>
      <c r="AY775" s="75">
        <v>0</v>
      </c>
      <c r="AZ775" s="77" t="s">
        <v>131</v>
      </c>
      <c r="BA775" s="78" t="s">
        <v>131</v>
      </c>
      <c r="BB775" s="78" t="s">
        <v>131</v>
      </c>
      <c r="BC775" s="78" t="s">
        <v>131</v>
      </c>
      <c r="BD775" s="78" t="s">
        <v>131</v>
      </c>
      <c r="BE775" s="78" t="s">
        <v>131</v>
      </c>
      <c r="BF775" s="78" t="s">
        <v>131</v>
      </c>
      <c r="BG775" s="78" t="s">
        <v>132</v>
      </c>
      <c r="BH775" s="75" t="s">
        <v>5970</v>
      </c>
      <c r="BI775" s="295" t="s">
        <v>2242</v>
      </c>
      <c r="BJ775" s="546">
        <v>1</v>
      </c>
      <c r="BK775" s="294">
        <v>1</v>
      </c>
      <c r="BL775" s="157">
        <v>1</v>
      </c>
      <c r="BM775" s="548" t="s">
        <v>1340</v>
      </c>
      <c r="BN775" s="548" t="s">
        <v>4158</v>
      </c>
      <c r="BO775" s="157" t="s">
        <v>4493</v>
      </c>
      <c r="BP775" s="548" t="s">
        <v>4496</v>
      </c>
      <c r="BQ775" s="157" t="s">
        <v>4492</v>
      </c>
      <c r="BR775" s="157"/>
    </row>
    <row r="776" spans="1:70" x14ac:dyDescent="0.25">
      <c r="A776" s="19" t="s">
        <v>3686</v>
      </c>
      <c r="B776" s="37" t="s">
        <v>2688</v>
      </c>
      <c r="C776" s="90">
        <v>45125.93855324074</v>
      </c>
      <c r="D776" s="114">
        <v>45125.68855324074</v>
      </c>
      <c r="E776" s="38">
        <v>45125</v>
      </c>
      <c r="F776" s="91">
        <v>2023</v>
      </c>
      <c r="G776" s="93">
        <v>7</v>
      </c>
      <c r="H776" s="37" t="s">
        <v>2548</v>
      </c>
      <c r="I776" s="37"/>
      <c r="J776" s="103">
        <v>-90.226777061821366</v>
      </c>
      <c r="K776" s="40">
        <v>43.398288542690331</v>
      </c>
      <c r="L776" s="74"/>
      <c r="M776" s="272" t="s">
        <v>16</v>
      </c>
      <c r="N776" s="74">
        <v>0</v>
      </c>
      <c r="O776" s="94"/>
      <c r="P776" s="118">
        <v>1</v>
      </c>
      <c r="Q776" s="510">
        <v>180</v>
      </c>
      <c r="R776" s="513">
        <v>180</v>
      </c>
      <c r="S776" s="41"/>
      <c r="T776" s="40"/>
      <c r="U776" s="40">
        <v>8</v>
      </c>
      <c r="V776" s="119">
        <v>1</v>
      </c>
      <c r="W776" s="40">
        <v>0</v>
      </c>
      <c r="X776" s="119">
        <v>1</v>
      </c>
      <c r="Y776" s="40">
        <v>72</v>
      </c>
      <c r="Z776" s="119">
        <v>1</v>
      </c>
      <c r="AA776" s="368">
        <v>0</v>
      </c>
      <c r="AB776" s="535">
        <v>2</v>
      </c>
      <c r="AC776" s="39" t="s">
        <v>160</v>
      </c>
      <c r="AD776" s="75" t="s">
        <v>10</v>
      </c>
      <c r="AE776" s="95">
        <v>0</v>
      </c>
      <c r="AF776" s="75">
        <v>0</v>
      </c>
      <c r="AG776" s="75">
        <v>0</v>
      </c>
      <c r="AH776" s="75">
        <v>0</v>
      </c>
      <c r="AI776" s="75">
        <v>0</v>
      </c>
      <c r="AJ776" s="75">
        <v>0</v>
      </c>
      <c r="AK776" s="75">
        <v>0</v>
      </c>
      <c r="AL776" s="95">
        <v>1</v>
      </c>
      <c r="AM776" s="92">
        <v>0</v>
      </c>
      <c r="AN776" s="79" t="s">
        <v>80</v>
      </c>
      <c r="AO776" s="75">
        <v>1</v>
      </c>
      <c r="AP776" s="75" t="s">
        <v>83</v>
      </c>
      <c r="AQ776" s="122">
        <v>1</v>
      </c>
      <c r="AR776" s="515" t="s">
        <v>10</v>
      </c>
      <c r="AS776" s="95">
        <v>0</v>
      </c>
      <c r="AT776" s="75">
        <v>0</v>
      </c>
      <c r="AU776" s="75">
        <v>0</v>
      </c>
      <c r="AV776" s="75">
        <v>0</v>
      </c>
      <c r="AW776" s="123">
        <v>0</v>
      </c>
      <c r="AX776" s="516"/>
      <c r="AY776" s="75">
        <v>0</v>
      </c>
      <c r="AZ776" s="77" t="s">
        <v>131</v>
      </c>
      <c r="BA776" s="78" t="s">
        <v>131</v>
      </c>
      <c r="BB776" s="78" t="s">
        <v>131</v>
      </c>
      <c r="BC776" s="78" t="s">
        <v>131</v>
      </c>
      <c r="BD776" s="78" t="s">
        <v>131</v>
      </c>
      <c r="BE776" s="78" t="s">
        <v>131</v>
      </c>
      <c r="BF776" s="78" t="s">
        <v>131</v>
      </c>
      <c r="BG776" s="78" t="s">
        <v>132</v>
      </c>
      <c r="BH776" s="75" t="s">
        <v>5970</v>
      </c>
      <c r="BI776" s="295" t="s">
        <v>4085</v>
      </c>
      <c r="BJ776" s="546">
        <v>1</v>
      </c>
      <c r="BK776" s="294" t="s">
        <v>16</v>
      </c>
      <c r="BL776" s="157" t="s">
        <v>16</v>
      </c>
      <c r="BM776" s="548" t="s">
        <v>1342</v>
      </c>
      <c r="BN776" s="548" t="s">
        <v>4158</v>
      </c>
      <c r="BO776" s="157" t="s">
        <v>4411</v>
      </c>
      <c r="BP776" s="548" t="s">
        <v>4412</v>
      </c>
      <c r="BQ776" s="157" t="s">
        <v>4410</v>
      </c>
      <c r="BR776" s="157"/>
    </row>
    <row r="777" spans="1:70" x14ac:dyDescent="0.25">
      <c r="A777" s="19" t="s">
        <v>3686</v>
      </c>
      <c r="B777" s="37" t="s">
        <v>2689</v>
      </c>
      <c r="C777" s="90">
        <v>45125.842430555553</v>
      </c>
      <c r="D777" s="114">
        <v>45125.592430555553</v>
      </c>
      <c r="E777" s="38">
        <v>45125</v>
      </c>
      <c r="F777" s="91">
        <v>2023</v>
      </c>
      <c r="G777" s="93">
        <v>7</v>
      </c>
      <c r="H777" s="37" t="s">
        <v>2654</v>
      </c>
      <c r="I777" s="37"/>
      <c r="J777" s="103">
        <v>-91.246929600000001</v>
      </c>
      <c r="K777" s="40">
        <v>44.577975100000003</v>
      </c>
      <c r="L777" s="74"/>
      <c r="M777" s="272" t="s">
        <v>2690</v>
      </c>
      <c r="N777" s="74">
        <v>1</v>
      </c>
      <c r="O777" s="94"/>
      <c r="P777" s="118">
        <v>1</v>
      </c>
      <c r="Q777" s="510">
        <v>40</v>
      </c>
      <c r="R777" s="513">
        <v>60</v>
      </c>
      <c r="S777" s="41"/>
      <c r="T777" s="40"/>
      <c r="U777" s="40">
        <v>6.5</v>
      </c>
      <c r="V777" s="119">
        <v>1</v>
      </c>
      <c r="W777" s="40">
        <v>100</v>
      </c>
      <c r="X777" s="119">
        <v>1</v>
      </c>
      <c r="Y777" s="40">
        <v>65</v>
      </c>
      <c r="Z777" s="119">
        <v>1</v>
      </c>
      <c r="AA777" s="368">
        <v>0</v>
      </c>
      <c r="AB777" s="535">
        <v>2</v>
      </c>
      <c r="AC777" s="39" t="s">
        <v>160</v>
      </c>
      <c r="AD777" s="75" t="s">
        <v>8</v>
      </c>
      <c r="AE777" s="95">
        <v>0</v>
      </c>
      <c r="AF777" s="75">
        <v>1</v>
      </c>
      <c r="AG777" s="75">
        <v>0</v>
      </c>
      <c r="AH777" s="75">
        <v>0</v>
      </c>
      <c r="AI777" s="75">
        <v>0</v>
      </c>
      <c r="AJ777" s="75">
        <v>0</v>
      </c>
      <c r="AK777" s="75">
        <v>0</v>
      </c>
      <c r="AL777" s="95">
        <v>0</v>
      </c>
      <c r="AM777" s="92">
        <v>0</v>
      </c>
      <c r="AN777" s="79" t="s">
        <v>80</v>
      </c>
      <c r="AO777" s="75">
        <v>1</v>
      </c>
      <c r="AP777" s="75" t="s">
        <v>83</v>
      </c>
      <c r="AQ777" s="122">
        <v>1</v>
      </c>
      <c r="AR777" s="515" t="s">
        <v>10</v>
      </c>
      <c r="AS777" s="95">
        <v>0</v>
      </c>
      <c r="AT777" s="75">
        <v>0</v>
      </c>
      <c r="AU777" s="75">
        <v>0</v>
      </c>
      <c r="AV777" s="75">
        <v>0</v>
      </c>
      <c r="AW777" s="123">
        <v>0</v>
      </c>
      <c r="AX777" s="516"/>
      <c r="AY777" s="75">
        <v>0</v>
      </c>
      <c r="AZ777" s="77" t="s">
        <v>131</v>
      </c>
      <c r="BA777" s="78" t="s">
        <v>132</v>
      </c>
      <c r="BB777" s="78" t="s">
        <v>131</v>
      </c>
      <c r="BC777" s="78" t="s">
        <v>131</v>
      </c>
      <c r="BD777" s="78" t="s">
        <v>131</v>
      </c>
      <c r="BE777" s="78" t="s">
        <v>131</v>
      </c>
      <c r="BF777" s="78" t="s">
        <v>131</v>
      </c>
      <c r="BG777" s="78" t="s">
        <v>131</v>
      </c>
      <c r="BH777" s="75" t="s">
        <v>5970</v>
      </c>
      <c r="BI777" s="295" t="s">
        <v>2242</v>
      </c>
      <c r="BJ777" s="546">
        <v>1</v>
      </c>
      <c r="BK777" s="294" t="s">
        <v>16</v>
      </c>
      <c r="BL777" s="157" t="s">
        <v>16</v>
      </c>
      <c r="BM777" s="548" t="s">
        <v>1340</v>
      </c>
      <c r="BN777" s="548" t="s">
        <v>4158</v>
      </c>
      <c r="BO777" s="157" t="s">
        <v>4493</v>
      </c>
      <c r="BP777" s="548" t="s">
        <v>4496</v>
      </c>
      <c r="BQ777" s="157" t="s">
        <v>4492</v>
      </c>
      <c r="BR777" s="157"/>
    </row>
    <row r="778" spans="1:70" x14ac:dyDescent="0.25">
      <c r="A778" s="19" t="s">
        <v>3686</v>
      </c>
      <c r="B778" s="37" t="s">
        <v>2691</v>
      </c>
      <c r="C778" s="90">
        <v>45125.814976851849</v>
      </c>
      <c r="D778" s="114">
        <v>45125.564976851849</v>
      </c>
      <c r="E778" s="38">
        <v>45125</v>
      </c>
      <c r="F778" s="91">
        <v>2023</v>
      </c>
      <c r="G778" s="93">
        <v>7</v>
      </c>
      <c r="H778" s="37" t="s">
        <v>2654</v>
      </c>
      <c r="I778" s="37"/>
      <c r="J778" s="103">
        <v>-91.221721900000006</v>
      </c>
      <c r="K778" s="40">
        <v>44.582684399999998</v>
      </c>
      <c r="L778" s="74"/>
      <c r="M778" s="272" t="s">
        <v>2692</v>
      </c>
      <c r="N778" s="74">
        <v>1</v>
      </c>
      <c r="O778" s="94"/>
      <c r="P778" s="118">
        <v>1</v>
      </c>
      <c r="Q778" s="510">
        <v>40</v>
      </c>
      <c r="R778" s="513">
        <v>60</v>
      </c>
      <c r="S778" s="41"/>
      <c r="T778" s="40"/>
      <c r="U778" s="40">
        <v>7</v>
      </c>
      <c r="V778" s="119">
        <v>1</v>
      </c>
      <c r="W778" s="40">
        <v>100</v>
      </c>
      <c r="X778" s="119">
        <v>1</v>
      </c>
      <c r="Y778" s="40">
        <v>61</v>
      </c>
      <c r="Z778" s="119">
        <v>0</v>
      </c>
      <c r="AA778" s="368" t="s">
        <v>16</v>
      </c>
      <c r="AB778" s="535" t="s">
        <v>16</v>
      </c>
      <c r="AC778" s="39" t="s">
        <v>160</v>
      </c>
      <c r="AD778" s="75" t="s">
        <v>10</v>
      </c>
      <c r="AE778" s="95">
        <v>0</v>
      </c>
      <c r="AF778" s="75">
        <v>0</v>
      </c>
      <c r="AG778" s="75">
        <v>0</v>
      </c>
      <c r="AH778" s="75">
        <v>0</v>
      </c>
      <c r="AI778" s="75">
        <v>0</v>
      </c>
      <c r="AJ778" s="75">
        <v>0</v>
      </c>
      <c r="AK778" s="75">
        <v>0</v>
      </c>
      <c r="AL778" s="95">
        <v>1</v>
      </c>
      <c r="AM778" s="92">
        <v>0</v>
      </c>
      <c r="AN778" s="79" t="s">
        <v>80</v>
      </c>
      <c r="AO778" s="75">
        <v>1</v>
      </c>
      <c r="AP778" s="75" t="s">
        <v>83</v>
      </c>
      <c r="AQ778" s="122">
        <v>1</v>
      </c>
      <c r="AR778" s="515" t="s">
        <v>10</v>
      </c>
      <c r="AS778" s="95">
        <v>0</v>
      </c>
      <c r="AT778" s="75">
        <v>0</v>
      </c>
      <c r="AU778" s="75">
        <v>0</v>
      </c>
      <c r="AV778" s="75">
        <v>0</v>
      </c>
      <c r="AW778" s="123">
        <v>0</v>
      </c>
      <c r="AX778" s="516"/>
      <c r="AY778" s="75">
        <v>0</v>
      </c>
      <c r="AZ778" s="77" t="s">
        <v>131</v>
      </c>
      <c r="BA778" s="78" t="s">
        <v>131</v>
      </c>
      <c r="BB778" s="78" t="s">
        <v>131</v>
      </c>
      <c r="BC778" s="78" t="s">
        <v>131</v>
      </c>
      <c r="BD778" s="78" t="s">
        <v>131</v>
      </c>
      <c r="BE778" s="78" t="s">
        <v>131</v>
      </c>
      <c r="BF778" s="78" t="s">
        <v>131</v>
      </c>
      <c r="BG778" s="78" t="s">
        <v>132</v>
      </c>
      <c r="BH778" s="75" t="s">
        <v>5970</v>
      </c>
      <c r="BI778" s="295" t="s">
        <v>2282</v>
      </c>
      <c r="BJ778" s="546">
        <v>1</v>
      </c>
      <c r="BK778" s="294">
        <v>1</v>
      </c>
      <c r="BL778" s="157">
        <v>1</v>
      </c>
      <c r="BM778" s="548" t="s">
        <v>1340</v>
      </c>
      <c r="BN778" s="548" t="s">
        <v>4158</v>
      </c>
      <c r="BO778" s="157" t="s">
        <v>4497</v>
      </c>
      <c r="BP778" s="548" t="s">
        <v>4499</v>
      </c>
      <c r="BQ778" s="157" t="s">
        <v>4492</v>
      </c>
      <c r="BR778" s="157"/>
    </row>
    <row r="779" spans="1:70" x14ac:dyDescent="0.25">
      <c r="A779" s="19" t="s">
        <v>3686</v>
      </c>
      <c r="B779" s="37" t="s">
        <v>2693</v>
      </c>
      <c r="C779" s="90">
        <v>45125.808981481481</v>
      </c>
      <c r="D779" s="114">
        <v>45125.558981481481</v>
      </c>
      <c r="E779" s="38">
        <v>45125</v>
      </c>
      <c r="F779" s="91">
        <v>2023</v>
      </c>
      <c r="G779" s="93">
        <v>7</v>
      </c>
      <c r="H779" s="37" t="s">
        <v>2548</v>
      </c>
      <c r="I779" s="37"/>
      <c r="J779" s="103">
        <v>-90.22762863823236</v>
      </c>
      <c r="K779" s="40">
        <v>43.412646946447914</v>
      </c>
      <c r="L779" s="74"/>
      <c r="M779" s="272" t="s">
        <v>16</v>
      </c>
      <c r="N779" s="74">
        <v>0</v>
      </c>
      <c r="O779" s="94"/>
      <c r="P779" s="118">
        <v>1</v>
      </c>
      <c r="Q779" s="510">
        <v>120</v>
      </c>
      <c r="R779" s="513">
        <v>120</v>
      </c>
      <c r="S779" s="41"/>
      <c r="T779" s="40"/>
      <c r="U779" s="40">
        <v>8</v>
      </c>
      <c r="V779" s="119">
        <v>1</v>
      </c>
      <c r="W779" s="40">
        <v>200</v>
      </c>
      <c r="X779" s="119">
        <v>1</v>
      </c>
      <c r="Y779" s="40">
        <v>65</v>
      </c>
      <c r="Z779" s="119">
        <v>1</v>
      </c>
      <c r="AA779" s="368">
        <v>0</v>
      </c>
      <c r="AB779" s="535">
        <v>0</v>
      </c>
      <c r="AC779" s="39" t="s">
        <v>160</v>
      </c>
      <c r="AD779" s="75" t="s">
        <v>10</v>
      </c>
      <c r="AE779" s="95">
        <v>0</v>
      </c>
      <c r="AF779" s="75">
        <v>0</v>
      </c>
      <c r="AG779" s="75">
        <v>0</v>
      </c>
      <c r="AH779" s="75">
        <v>0</v>
      </c>
      <c r="AI779" s="75">
        <v>0</v>
      </c>
      <c r="AJ779" s="75">
        <v>0</v>
      </c>
      <c r="AK779" s="75">
        <v>0</v>
      </c>
      <c r="AL779" s="95">
        <v>1</v>
      </c>
      <c r="AM779" s="92">
        <v>0</v>
      </c>
      <c r="AN779" s="79" t="s">
        <v>80</v>
      </c>
      <c r="AO779" s="75">
        <v>1</v>
      </c>
      <c r="AP779" s="75" t="s">
        <v>83</v>
      </c>
      <c r="AQ779" s="122">
        <v>1</v>
      </c>
      <c r="AR779" s="515" t="s">
        <v>10</v>
      </c>
      <c r="AS779" s="95">
        <v>0</v>
      </c>
      <c r="AT779" s="75">
        <v>0</v>
      </c>
      <c r="AU779" s="75">
        <v>0</v>
      </c>
      <c r="AV779" s="75">
        <v>0</v>
      </c>
      <c r="AW779" s="123">
        <v>0</v>
      </c>
      <c r="AX779" s="516"/>
      <c r="AY779" s="75">
        <v>0</v>
      </c>
      <c r="AZ779" s="77" t="s">
        <v>131</v>
      </c>
      <c r="BA779" s="78" t="s">
        <v>131</v>
      </c>
      <c r="BB779" s="78" t="s">
        <v>131</v>
      </c>
      <c r="BC779" s="78" t="s">
        <v>131</v>
      </c>
      <c r="BD779" s="78" t="s">
        <v>131</v>
      </c>
      <c r="BE779" s="78" t="s">
        <v>131</v>
      </c>
      <c r="BF779" s="78" t="s">
        <v>131</v>
      </c>
      <c r="BG779" s="78" t="s">
        <v>132</v>
      </c>
      <c r="BH779" s="75" t="s">
        <v>5970</v>
      </c>
      <c r="BI779" s="295" t="s">
        <v>4084</v>
      </c>
      <c r="BJ779" s="546">
        <v>1</v>
      </c>
      <c r="BK779" s="294" t="s">
        <v>16</v>
      </c>
      <c r="BL779" s="157" t="s">
        <v>16</v>
      </c>
      <c r="BM779" s="548" t="s">
        <v>1342</v>
      </c>
      <c r="BN779" s="548" t="s">
        <v>4158</v>
      </c>
      <c r="BO779" s="157" t="s">
        <v>4500</v>
      </c>
      <c r="BP779" s="548" t="s">
        <v>4501</v>
      </c>
      <c r="BQ779" s="157" t="s">
        <v>4410</v>
      </c>
      <c r="BR779" s="157"/>
    </row>
    <row r="780" spans="1:70" x14ac:dyDescent="0.25">
      <c r="A780" s="19" t="s">
        <v>3686</v>
      </c>
      <c r="B780" s="37" t="s">
        <v>2694</v>
      </c>
      <c r="C780" s="90">
        <v>45125.696736111109</v>
      </c>
      <c r="D780" s="114">
        <v>45125.446736111109</v>
      </c>
      <c r="E780" s="38">
        <v>45125</v>
      </c>
      <c r="F780" s="91">
        <v>2023</v>
      </c>
      <c r="G780" s="93">
        <v>7</v>
      </c>
      <c r="H780" s="37" t="s">
        <v>2695</v>
      </c>
      <c r="I780" s="37" t="s">
        <v>16</v>
      </c>
      <c r="J780" s="103">
        <v>-91.218388109060044</v>
      </c>
      <c r="K780" s="40">
        <v>43.039674579822822</v>
      </c>
      <c r="L780" s="74"/>
      <c r="M780" s="272" t="s">
        <v>2696</v>
      </c>
      <c r="N780" s="74">
        <v>1</v>
      </c>
      <c r="O780" s="94"/>
      <c r="P780" s="118">
        <v>1</v>
      </c>
      <c r="Q780" s="510">
        <v>40</v>
      </c>
      <c r="R780" s="513">
        <v>0</v>
      </c>
      <c r="S780" s="41"/>
      <c r="T780" s="40"/>
      <c r="U780" s="40">
        <v>7</v>
      </c>
      <c r="V780" s="119">
        <v>1</v>
      </c>
      <c r="W780" s="40">
        <v>0</v>
      </c>
      <c r="X780" s="119">
        <v>1</v>
      </c>
      <c r="Y780" s="40">
        <v>52</v>
      </c>
      <c r="Z780" s="119">
        <v>1</v>
      </c>
      <c r="AA780" s="368">
        <v>0</v>
      </c>
      <c r="AB780" s="535">
        <v>5</v>
      </c>
      <c r="AC780" s="39" t="s">
        <v>160</v>
      </c>
      <c r="AD780" s="75" t="s">
        <v>16</v>
      </c>
      <c r="AE780" s="95">
        <v>-1</v>
      </c>
      <c r="AF780" s="75">
        <v>-1</v>
      </c>
      <c r="AG780" s="75">
        <v>-1</v>
      </c>
      <c r="AH780" s="75">
        <v>-1</v>
      </c>
      <c r="AI780" s="75">
        <v>-1</v>
      </c>
      <c r="AJ780" s="75">
        <v>-1</v>
      </c>
      <c r="AK780" s="75">
        <v>-1</v>
      </c>
      <c r="AL780" s="95">
        <v>-1</v>
      </c>
      <c r="AM780" s="92">
        <v>1</v>
      </c>
      <c r="AN780" s="79"/>
      <c r="AO780" s="75">
        <v>0</v>
      </c>
      <c r="AP780" s="75"/>
      <c r="AQ780" s="122">
        <v>0</v>
      </c>
      <c r="AR780" s="515" t="s">
        <v>16</v>
      </c>
      <c r="AS780" s="95">
        <v>-1</v>
      </c>
      <c r="AT780" s="75">
        <v>-1</v>
      </c>
      <c r="AU780" s="75">
        <v>-1</v>
      </c>
      <c r="AV780" s="75">
        <v>-1</v>
      </c>
      <c r="AW780" s="123">
        <v>1</v>
      </c>
      <c r="AX780" s="516"/>
      <c r="AY780" s="75">
        <v>0</v>
      </c>
      <c r="AZ780" s="77" t="s">
        <v>5971</v>
      </c>
      <c r="BA780" s="78" t="s">
        <v>5971</v>
      </c>
      <c r="BB780" s="78" t="s">
        <v>5971</v>
      </c>
      <c r="BC780" s="78" t="s">
        <v>5971</v>
      </c>
      <c r="BD780" s="78" t="s">
        <v>5971</v>
      </c>
      <c r="BE780" s="78" t="s">
        <v>5971</v>
      </c>
      <c r="BF780" s="78" t="s">
        <v>5971</v>
      </c>
      <c r="BG780" s="78" t="s">
        <v>5971</v>
      </c>
      <c r="BH780" s="75" t="s">
        <v>5971</v>
      </c>
      <c r="BI780" s="295" t="s">
        <v>4027</v>
      </c>
      <c r="BJ780" s="546">
        <v>1</v>
      </c>
      <c r="BK780" s="294" t="s">
        <v>16</v>
      </c>
      <c r="BL780" s="157" t="s">
        <v>16</v>
      </c>
      <c r="BM780" s="548" t="s">
        <v>1347</v>
      </c>
      <c r="BN780" s="548" t="s">
        <v>544</v>
      </c>
      <c r="BO780" s="157" t="s">
        <v>4502</v>
      </c>
      <c r="BP780" s="548" t="s">
        <v>4027</v>
      </c>
      <c r="BQ780" s="157" t="s">
        <v>4373</v>
      </c>
      <c r="BR780" s="157"/>
    </row>
    <row r="781" spans="1:70" x14ac:dyDescent="0.25">
      <c r="A781" s="19" t="s">
        <v>3686</v>
      </c>
      <c r="B781" s="37" t="s">
        <v>2697</v>
      </c>
      <c r="C781" s="90">
        <v>45125.671701388892</v>
      </c>
      <c r="D781" s="114">
        <v>45125.421701388892</v>
      </c>
      <c r="E781" s="38">
        <v>45125</v>
      </c>
      <c r="F781" s="91">
        <v>2023</v>
      </c>
      <c r="G781" s="93">
        <v>7</v>
      </c>
      <c r="H781" s="37" t="s">
        <v>2548</v>
      </c>
      <c r="I781" s="37"/>
      <c r="J781" s="103">
        <v>-90.211530099177963</v>
      </c>
      <c r="K781" s="40">
        <v>43.427399262306352</v>
      </c>
      <c r="L781" s="74"/>
      <c r="M781" s="272" t="s">
        <v>2698</v>
      </c>
      <c r="N781" s="74">
        <v>1</v>
      </c>
      <c r="O781" s="94"/>
      <c r="P781" s="118">
        <v>1</v>
      </c>
      <c r="Q781" s="510">
        <v>180</v>
      </c>
      <c r="R781" s="513">
        <v>120</v>
      </c>
      <c r="S781" s="41"/>
      <c r="T781" s="40"/>
      <c r="U781" s="40">
        <v>7</v>
      </c>
      <c r="V781" s="119">
        <v>1</v>
      </c>
      <c r="W781" s="40">
        <v>100</v>
      </c>
      <c r="X781" s="119">
        <v>1</v>
      </c>
      <c r="Y781" s="40">
        <v>59</v>
      </c>
      <c r="Z781" s="119">
        <v>1</v>
      </c>
      <c r="AA781" s="368">
        <v>0</v>
      </c>
      <c r="AB781" s="535">
        <v>2</v>
      </c>
      <c r="AC781" s="39" t="s">
        <v>160</v>
      </c>
      <c r="AD781" s="75" t="s">
        <v>10</v>
      </c>
      <c r="AE781" s="95">
        <v>0</v>
      </c>
      <c r="AF781" s="75">
        <v>0</v>
      </c>
      <c r="AG781" s="75">
        <v>0</v>
      </c>
      <c r="AH781" s="75">
        <v>0</v>
      </c>
      <c r="AI781" s="75">
        <v>0</v>
      </c>
      <c r="AJ781" s="75">
        <v>0</v>
      </c>
      <c r="AK781" s="75">
        <v>0</v>
      </c>
      <c r="AL781" s="95">
        <v>1</v>
      </c>
      <c r="AM781" s="92">
        <v>0</v>
      </c>
      <c r="AN781" s="79" t="s">
        <v>80</v>
      </c>
      <c r="AO781" s="75">
        <v>1</v>
      </c>
      <c r="AP781" s="75" t="s">
        <v>83</v>
      </c>
      <c r="AQ781" s="122">
        <v>1</v>
      </c>
      <c r="AR781" s="515" t="s">
        <v>10</v>
      </c>
      <c r="AS781" s="95">
        <v>0</v>
      </c>
      <c r="AT781" s="75">
        <v>0</v>
      </c>
      <c r="AU781" s="75">
        <v>0</v>
      </c>
      <c r="AV781" s="75">
        <v>0</v>
      </c>
      <c r="AW781" s="123">
        <v>0</v>
      </c>
      <c r="AX781" s="516"/>
      <c r="AY781" s="75">
        <v>0</v>
      </c>
      <c r="AZ781" s="77" t="s">
        <v>131</v>
      </c>
      <c r="BA781" s="78" t="s">
        <v>131</v>
      </c>
      <c r="BB781" s="78" t="s">
        <v>131</v>
      </c>
      <c r="BC781" s="78" t="s">
        <v>131</v>
      </c>
      <c r="BD781" s="78" t="s">
        <v>131</v>
      </c>
      <c r="BE781" s="78" t="s">
        <v>131</v>
      </c>
      <c r="BF781" s="78" t="s">
        <v>131</v>
      </c>
      <c r="BG781" s="78" t="s">
        <v>132</v>
      </c>
      <c r="BH781" s="75" t="s">
        <v>5970</v>
      </c>
      <c r="BI781" s="295" t="s">
        <v>16</v>
      </c>
      <c r="BJ781" s="546">
        <v>1</v>
      </c>
      <c r="BK781" s="294" t="s">
        <v>16</v>
      </c>
      <c r="BL781" s="157" t="s">
        <v>16</v>
      </c>
      <c r="BM781" s="548" t="s">
        <v>1346</v>
      </c>
      <c r="BN781" s="548" t="s">
        <v>4158</v>
      </c>
      <c r="BO781" s="157" t="s">
        <v>4500</v>
      </c>
      <c r="BP781" s="548" t="s">
        <v>4501</v>
      </c>
      <c r="BQ781" s="157" t="s">
        <v>4410</v>
      </c>
      <c r="BR781" s="157"/>
    </row>
    <row r="782" spans="1:70" x14ac:dyDescent="0.25">
      <c r="A782" s="19" t="s">
        <v>3686</v>
      </c>
      <c r="B782" s="37" t="s">
        <v>2699</v>
      </c>
      <c r="C782" s="90">
        <v>45125.002025462964</v>
      </c>
      <c r="D782" s="114">
        <v>45124.752025462964</v>
      </c>
      <c r="E782" s="38">
        <v>45124</v>
      </c>
      <c r="F782" s="91">
        <v>2023</v>
      </c>
      <c r="G782" s="93">
        <v>7</v>
      </c>
      <c r="H782" s="37" t="s">
        <v>621</v>
      </c>
      <c r="I782" s="37" t="s">
        <v>960</v>
      </c>
      <c r="J782" s="103">
        <v>-93.008974324998434</v>
      </c>
      <c r="K782" s="40">
        <v>44.657278438140317</v>
      </c>
      <c r="L782" s="74"/>
      <c r="M782" s="272" t="s">
        <v>16</v>
      </c>
      <c r="N782" s="74">
        <v>0</v>
      </c>
      <c r="O782" s="94"/>
      <c r="P782" s="118">
        <v>1</v>
      </c>
      <c r="Q782" s="510">
        <v>180</v>
      </c>
      <c r="R782" s="513">
        <v>180</v>
      </c>
      <c r="S782" s="41"/>
      <c r="T782" s="40"/>
      <c r="U782" s="40">
        <v>8</v>
      </c>
      <c r="V782" s="119">
        <v>1</v>
      </c>
      <c r="W782" s="40">
        <v>0</v>
      </c>
      <c r="X782" s="119">
        <v>1</v>
      </c>
      <c r="Y782" s="40">
        <v>61</v>
      </c>
      <c r="Z782" s="119">
        <v>1</v>
      </c>
      <c r="AA782" s="368">
        <v>0</v>
      </c>
      <c r="AB782" s="535">
        <v>5</v>
      </c>
      <c r="AC782" s="39" t="s">
        <v>160</v>
      </c>
      <c r="AD782" s="75" t="s">
        <v>10</v>
      </c>
      <c r="AE782" s="95">
        <v>0</v>
      </c>
      <c r="AF782" s="75">
        <v>0</v>
      </c>
      <c r="AG782" s="75">
        <v>0</v>
      </c>
      <c r="AH782" s="75">
        <v>0</v>
      </c>
      <c r="AI782" s="75">
        <v>0</v>
      </c>
      <c r="AJ782" s="75">
        <v>0</v>
      </c>
      <c r="AK782" s="75">
        <v>0</v>
      </c>
      <c r="AL782" s="95">
        <v>1</v>
      </c>
      <c r="AM782" s="92">
        <v>0</v>
      </c>
      <c r="AN782" s="79" t="s">
        <v>80</v>
      </c>
      <c r="AO782" s="75">
        <v>1</v>
      </c>
      <c r="AP782" s="75" t="s">
        <v>83</v>
      </c>
      <c r="AQ782" s="122">
        <v>1</v>
      </c>
      <c r="AR782" s="515" t="s">
        <v>10</v>
      </c>
      <c r="AS782" s="95">
        <v>0</v>
      </c>
      <c r="AT782" s="75">
        <v>0</v>
      </c>
      <c r="AU782" s="75">
        <v>0</v>
      </c>
      <c r="AV782" s="75">
        <v>0</v>
      </c>
      <c r="AW782" s="123">
        <v>0</v>
      </c>
      <c r="AX782" s="516"/>
      <c r="AY782" s="75">
        <v>0</v>
      </c>
      <c r="AZ782" s="77" t="s">
        <v>131</v>
      </c>
      <c r="BA782" s="78" t="s">
        <v>131</v>
      </c>
      <c r="BB782" s="78" t="s">
        <v>131</v>
      </c>
      <c r="BC782" s="78" t="s">
        <v>131</v>
      </c>
      <c r="BD782" s="78" t="s">
        <v>131</v>
      </c>
      <c r="BE782" s="78" t="s">
        <v>131</v>
      </c>
      <c r="BF782" s="78" t="s">
        <v>131</v>
      </c>
      <c r="BG782" s="78" t="s">
        <v>132</v>
      </c>
      <c r="BH782" s="75" t="s">
        <v>5970</v>
      </c>
      <c r="BI782" s="295" t="s">
        <v>2225</v>
      </c>
      <c r="BJ782" s="546">
        <v>1</v>
      </c>
      <c r="BK782" s="294" t="s">
        <v>16</v>
      </c>
      <c r="BL782" s="157" t="s">
        <v>16</v>
      </c>
      <c r="BM782" s="548" t="s">
        <v>2343</v>
      </c>
      <c r="BN782" s="548" t="s">
        <v>4161</v>
      </c>
      <c r="BO782" s="157" t="s">
        <v>4293</v>
      </c>
      <c r="BP782" s="548" t="s">
        <v>2225</v>
      </c>
      <c r="BQ782" s="157" t="s">
        <v>4292</v>
      </c>
      <c r="BR782" s="157"/>
    </row>
    <row r="783" spans="1:70" x14ac:dyDescent="0.25">
      <c r="A783" s="19" t="s">
        <v>3686</v>
      </c>
      <c r="B783" s="37" t="s">
        <v>2700</v>
      </c>
      <c r="C783" s="90">
        <v>45124.835104166668</v>
      </c>
      <c r="D783" s="114">
        <v>45124.585104166668</v>
      </c>
      <c r="E783" s="38">
        <v>45124</v>
      </c>
      <c r="F783" s="91">
        <v>2023</v>
      </c>
      <c r="G783" s="93">
        <v>7</v>
      </c>
      <c r="H783" s="37" t="s">
        <v>599</v>
      </c>
      <c r="I783" s="37" t="s">
        <v>2361</v>
      </c>
      <c r="J783" s="103">
        <v>-92.442923811049482</v>
      </c>
      <c r="K783" s="40">
        <v>44.621394416972677</v>
      </c>
      <c r="L783" s="74"/>
      <c r="M783" s="272" t="s">
        <v>16</v>
      </c>
      <c r="N783" s="74">
        <v>0</v>
      </c>
      <c r="O783" s="94"/>
      <c r="P783" s="118">
        <v>1</v>
      </c>
      <c r="Q783" s="510">
        <v>120</v>
      </c>
      <c r="R783" s="513">
        <v>180</v>
      </c>
      <c r="S783" s="41"/>
      <c r="T783" s="40"/>
      <c r="U783" s="40">
        <v>8</v>
      </c>
      <c r="V783" s="119">
        <v>1</v>
      </c>
      <c r="W783" s="40">
        <v>100</v>
      </c>
      <c r="X783" s="119">
        <v>1</v>
      </c>
      <c r="Y783" s="40">
        <v>58</v>
      </c>
      <c r="Z783" s="119">
        <v>1</v>
      </c>
      <c r="AA783" s="368">
        <v>0</v>
      </c>
      <c r="AB783" s="535">
        <v>5</v>
      </c>
      <c r="AC783" s="39" t="s">
        <v>160</v>
      </c>
      <c r="AD783" s="75" t="s">
        <v>10</v>
      </c>
      <c r="AE783" s="95">
        <v>0</v>
      </c>
      <c r="AF783" s="75">
        <v>0</v>
      </c>
      <c r="AG783" s="75">
        <v>0</v>
      </c>
      <c r="AH783" s="75">
        <v>0</v>
      </c>
      <c r="AI783" s="75">
        <v>0</v>
      </c>
      <c r="AJ783" s="75">
        <v>0</v>
      </c>
      <c r="AK783" s="75">
        <v>0</v>
      </c>
      <c r="AL783" s="95">
        <v>1</v>
      </c>
      <c r="AM783" s="92">
        <v>0</v>
      </c>
      <c r="AN783" s="79" t="s">
        <v>80</v>
      </c>
      <c r="AO783" s="75">
        <v>1</v>
      </c>
      <c r="AP783" s="75" t="s">
        <v>83</v>
      </c>
      <c r="AQ783" s="122">
        <v>1</v>
      </c>
      <c r="AR783" s="515" t="s">
        <v>10</v>
      </c>
      <c r="AS783" s="95">
        <v>0</v>
      </c>
      <c r="AT783" s="75">
        <v>0</v>
      </c>
      <c r="AU783" s="75">
        <v>0</v>
      </c>
      <c r="AV783" s="75">
        <v>0</v>
      </c>
      <c r="AW783" s="123">
        <v>0</v>
      </c>
      <c r="AX783" s="516"/>
      <c r="AY783" s="75">
        <v>0</v>
      </c>
      <c r="AZ783" s="77" t="s">
        <v>131</v>
      </c>
      <c r="BA783" s="78" t="s">
        <v>131</v>
      </c>
      <c r="BB783" s="78" t="s">
        <v>131</v>
      </c>
      <c r="BC783" s="78" t="s">
        <v>131</v>
      </c>
      <c r="BD783" s="78" t="s">
        <v>131</v>
      </c>
      <c r="BE783" s="78" t="s">
        <v>131</v>
      </c>
      <c r="BF783" s="78" t="s">
        <v>131</v>
      </c>
      <c r="BG783" s="78" t="s">
        <v>132</v>
      </c>
      <c r="BH783" s="75" t="s">
        <v>5970</v>
      </c>
      <c r="BI783" s="295" t="s">
        <v>2289</v>
      </c>
      <c r="BJ783" s="546">
        <v>1</v>
      </c>
      <c r="BK783" s="294" t="s">
        <v>16</v>
      </c>
      <c r="BL783" s="157" t="s">
        <v>16</v>
      </c>
      <c r="BM783" s="548" t="s">
        <v>578</v>
      </c>
      <c r="BN783" s="548" t="s">
        <v>544</v>
      </c>
      <c r="BO783" s="157" t="s">
        <v>4283</v>
      </c>
      <c r="BP783" s="548" t="s">
        <v>2289</v>
      </c>
      <c r="BQ783" s="157" t="s">
        <v>4214</v>
      </c>
      <c r="BR783" s="157"/>
    </row>
    <row r="784" spans="1:70" x14ac:dyDescent="0.25">
      <c r="A784" s="19" t="s">
        <v>3686</v>
      </c>
      <c r="B784" s="37" t="s">
        <v>2701</v>
      </c>
      <c r="C784" s="90">
        <v>45124.769537037035</v>
      </c>
      <c r="D784" s="114">
        <v>45124.519537037035</v>
      </c>
      <c r="E784" s="38">
        <v>45124</v>
      </c>
      <c r="F784" s="91">
        <v>2023</v>
      </c>
      <c r="G784" s="93">
        <v>7</v>
      </c>
      <c r="H784" s="37" t="s">
        <v>2548</v>
      </c>
      <c r="I784" s="37"/>
      <c r="J784" s="103">
        <v>-90.216357678335342</v>
      </c>
      <c r="K784" s="40">
        <v>43.457145520238683</v>
      </c>
      <c r="L784" s="74"/>
      <c r="M784" s="272" t="s">
        <v>2702</v>
      </c>
      <c r="N784" s="74">
        <v>1</v>
      </c>
      <c r="O784" s="94"/>
      <c r="P784" s="118">
        <v>1</v>
      </c>
      <c r="Q784" s="510">
        <v>180</v>
      </c>
      <c r="R784" s="513">
        <v>120</v>
      </c>
      <c r="S784" s="41"/>
      <c r="T784" s="40"/>
      <c r="U784" s="40">
        <v>8</v>
      </c>
      <c r="V784" s="119">
        <v>1</v>
      </c>
      <c r="W784" s="40">
        <v>100</v>
      </c>
      <c r="X784" s="119">
        <v>1</v>
      </c>
      <c r="Y784" s="40">
        <v>64</v>
      </c>
      <c r="Z784" s="119">
        <v>1</v>
      </c>
      <c r="AA784" s="368">
        <v>0</v>
      </c>
      <c r="AB784" s="535">
        <v>0</v>
      </c>
      <c r="AC784" s="39" t="s">
        <v>160</v>
      </c>
      <c r="AD784" s="75" t="s">
        <v>10</v>
      </c>
      <c r="AE784" s="95">
        <v>0</v>
      </c>
      <c r="AF784" s="75">
        <v>0</v>
      </c>
      <c r="AG784" s="75">
        <v>0</v>
      </c>
      <c r="AH784" s="75">
        <v>0</v>
      </c>
      <c r="AI784" s="75">
        <v>0</v>
      </c>
      <c r="AJ784" s="75">
        <v>0</v>
      </c>
      <c r="AK784" s="75">
        <v>0</v>
      </c>
      <c r="AL784" s="95">
        <v>1</v>
      </c>
      <c r="AM784" s="92">
        <v>0</v>
      </c>
      <c r="AN784" s="79" t="s">
        <v>80</v>
      </c>
      <c r="AO784" s="75">
        <v>1</v>
      </c>
      <c r="AP784" s="75" t="s">
        <v>83</v>
      </c>
      <c r="AQ784" s="122">
        <v>1</v>
      </c>
      <c r="AR784" s="515" t="s">
        <v>10</v>
      </c>
      <c r="AS784" s="95">
        <v>0</v>
      </c>
      <c r="AT784" s="75">
        <v>0</v>
      </c>
      <c r="AU784" s="75">
        <v>0</v>
      </c>
      <c r="AV784" s="75">
        <v>0</v>
      </c>
      <c r="AW784" s="123">
        <v>0</v>
      </c>
      <c r="AX784" s="516"/>
      <c r="AY784" s="75">
        <v>0</v>
      </c>
      <c r="AZ784" s="77" t="s">
        <v>131</v>
      </c>
      <c r="BA784" s="78" t="s">
        <v>131</v>
      </c>
      <c r="BB784" s="78" t="s">
        <v>131</v>
      </c>
      <c r="BC784" s="78" t="s">
        <v>131</v>
      </c>
      <c r="BD784" s="78" t="s">
        <v>131</v>
      </c>
      <c r="BE784" s="78" t="s">
        <v>131</v>
      </c>
      <c r="BF784" s="78" t="s">
        <v>131</v>
      </c>
      <c r="BG784" s="78" t="s">
        <v>132</v>
      </c>
      <c r="BH784" s="75" t="s">
        <v>5970</v>
      </c>
      <c r="BI784" s="295" t="s">
        <v>4079</v>
      </c>
      <c r="BJ784" s="546">
        <v>1</v>
      </c>
      <c r="BK784" s="294" t="s">
        <v>16</v>
      </c>
      <c r="BL784" s="157" t="s">
        <v>16</v>
      </c>
      <c r="BM784" s="548" t="s">
        <v>1342</v>
      </c>
      <c r="BN784" s="548" t="s">
        <v>4158</v>
      </c>
      <c r="BO784" s="157" t="s">
        <v>4500</v>
      </c>
      <c r="BP784" s="548" t="s">
        <v>4501</v>
      </c>
      <c r="BQ784" s="157" t="s">
        <v>4410</v>
      </c>
      <c r="BR784" s="157"/>
    </row>
    <row r="785" spans="1:70" x14ac:dyDescent="0.25">
      <c r="A785" s="19" t="s">
        <v>3686</v>
      </c>
      <c r="B785" s="37" t="s">
        <v>2703</v>
      </c>
      <c r="C785" s="90">
        <v>45124.701805555553</v>
      </c>
      <c r="D785" s="114">
        <v>45124.451805555553</v>
      </c>
      <c r="E785" s="38">
        <v>45124</v>
      </c>
      <c r="F785" s="91">
        <v>2023</v>
      </c>
      <c r="G785" s="93">
        <v>7</v>
      </c>
      <c r="H785" s="37" t="s">
        <v>192</v>
      </c>
      <c r="I785" s="37" t="s">
        <v>16</v>
      </c>
      <c r="J785" s="103">
        <v>-91.814488079484377</v>
      </c>
      <c r="K785" s="40">
        <v>43.298049783374459</v>
      </c>
      <c r="L785" s="74"/>
      <c r="M785" s="272" t="s">
        <v>16</v>
      </c>
      <c r="N785" s="74">
        <v>0</v>
      </c>
      <c r="O785" s="94"/>
      <c r="P785" s="118">
        <v>1</v>
      </c>
      <c r="Q785" s="510">
        <v>40</v>
      </c>
      <c r="R785" s="513">
        <v>180</v>
      </c>
      <c r="S785" s="41"/>
      <c r="T785" s="40"/>
      <c r="U785" s="40">
        <v>6.5</v>
      </c>
      <c r="V785" s="119">
        <v>0</v>
      </c>
      <c r="W785" s="40"/>
      <c r="X785" s="119">
        <v>1</v>
      </c>
      <c r="Y785" s="40">
        <v>53</v>
      </c>
      <c r="Z785" s="119">
        <v>1</v>
      </c>
      <c r="AA785" s="368">
        <v>0</v>
      </c>
      <c r="AB785" s="535">
        <v>2</v>
      </c>
      <c r="AC785" s="39" t="s">
        <v>160</v>
      </c>
      <c r="AD785" s="75" t="s">
        <v>10</v>
      </c>
      <c r="AE785" s="95">
        <v>0</v>
      </c>
      <c r="AF785" s="75">
        <v>0</v>
      </c>
      <c r="AG785" s="75">
        <v>0</v>
      </c>
      <c r="AH785" s="75">
        <v>0</v>
      </c>
      <c r="AI785" s="75">
        <v>0</v>
      </c>
      <c r="AJ785" s="75">
        <v>0</v>
      </c>
      <c r="AK785" s="75">
        <v>0</v>
      </c>
      <c r="AL785" s="95">
        <v>1</v>
      </c>
      <c r="AM785" s="92">
        <v>0</v>
      </c>
      <c r="AN785" s="79" t="s">
        <v>80</v>
      </c>
      <c r="AO785" s="75">
        <v>1</v>
      </c>
      <c r="AP785" s="75" t="s">
        <v>83</v>
      </c>
      <c r="AQ785" s="122">
        <v>1</v>
      </c>
      <c r="AR785" s="515" t="s">
        <v>10</v>
      </c>
      <c r="AS785" s="95">
        <v>0</v>
      </c>
      <c r="AT785" s="75">
        <v>0</v>
      </c>
      <c r="AU785" s="75">
        <v>0</v>
      </c>
      <c r="AV785" s="75">
        <v>0</v>
      </c>
      <c r="AW785" s="123">
        <v>0</v>
      </c>
      <c r="AX785" s="516"/>
      <c r="AY785" s="75">
        <v>0</v>
      </c>
      <c r="AZ785" s="77" t="s">
        <v>131</v>
      </c>
      <c r="BA785" s="78" t="s">
        <v>131</v>
      </c>
      <c r="BB785" s="78" t="s">
        <v>131</v>
      </c>
      <c r="BC785" s="78" t="s">
        <v>131</v>
      </c>
      <c r="BD785" s="78" t="s">
        <v>131</v>
      </c>
      <c r="BE785" s="78" t="s">
        <v>131</v>
      </c>
      <c r="BF785" s="78" t="s">
        <v>131</v>
      </c>
      <c r="BG785" s="78" t="s">
        <v>132</v>
      </c>
      <c r="BH785" s="75" t="s">
        <v>5970</v>
      </c>
      <c r="BI785" s="295">
        <v>0</v>
      </c>
      <c r="BJ785" s="546">
        <v>1</v>
      </c>
      <c r="BK785" s="294" t="s">
        <v>16</v>
      </c>
      <c r="BL785" s="157" t="s">
        <v>16</v>
      </c>
      <c r="BM785" s="548" t="s">
        <v>1344</v>
      </c>
      <c r="BN785" s="548" t="s">
        <v>1344</v>
      </c>
      <c r="BO785" s="157" t="s">
        <v>4505</v>
      </c>
      <c r="BP785" s="548" t="s">
        <v>4506</v>
      </c>
      <c r="BQ785" s="157" t="s">
        <v>4377</v>
      </c>
      <c r="BR785" s="157"/>
    </row>
    <row r="786" spans="1:70" x14ac:dyDescent="0.25">
      <c r="A786" s="19" t="s">
        <v>3686</v>
      </c>
      <c r="B786" s="37" t="s">
        <v>2704</v>
      </c>
      <c r="C786" s="90">
        <v>45124.644976851851</v>
      </c>
      <c r="D786" s="114">
        <v>45124.394976851851</v>
      </c>
      <c r="E786" s="38">
        <v>45124</v>
      </c>
      <c r="F786" s="91">
        <v>2023</v>
      </c>
      <c r="G786" s="93">
        <v>7</v>
      </c>
      <c r="H786" s="37" t="s">
        <v>2548</v>
      </c>
      <c r="I786" s="37"/>
      <c r="J786" s="103">
        <v>-90.213681138339822</v>
      </c>
      <c r="K786" s="40">
        <v>43.458457691173372</v>
      </c>
      <c r="L786" s="74"/>
      <c r="M786" s="272" t="s">
        <v>16</v>
      </c>
      <c r="N786" s="74">
        <v>0</v>
      </c>
      <c r="O786" s="94"/>
      <c r="P786" s="118">
        <v>1</v>
      </c>
      <c r="Q786" s="510">
        <v>180</v>
      </c>
      <c r="R786" s="513">
        <v>180</v>
      </c>
      <c r="S786" s="41"/>
      <c r="T786" s="40"/>
      <c r="U786" s="40">
        <v>8</v>
      </c>
      <c r="V786" s="119">
        <v>1</v>
      </c>
      <c r="W786" s="40">
        <v>0</v>
      </c>
      <c r="X786" s="119">
        <v>1</v>
      </c>
      <c r="Y786" s="40">
        <v>64</v>
      </c>
      <c r="Z786" s="119">
        <v>1</v>
      </c>
      <c r="AA786" s="368">
        <v>0</v>
      </c>
      <c r="AB786" s="535">
        <v>2</v>
      </c>
      <c r="AC786" s="39" t="s">
        <v>160</v>
      </c>
      <c r="AD786" s="75" t="s">
        <v>10</v>
      </c>
      <c r="AE786" s="95">
        <v>0</v>
      </c>
      <c r="AF786" s="75">
        <v>0</v>
      </c>
      <c r="AG786" s="75">
        <v>0</v>
      </c>
      <c r="AH786" s="75">
        <v>0</v>
      </c>
      <c r="AI786" s="75">
        <v>0</v>
      </c>
      <c r="AJ786" s="75">
        <v>0</v>
      </c>
      <c r="AK786" s="75">
        <v>0</v>
      </c>
      <c r="AL786" s="95">
        <v>1</v>
      </c>
      <c r="AM786" s="92">
        <v>0</v>
      </c>
      <c r="AN786" s="79" t="s">
        <v>80</v>
      </c>
      <c r="AO786" s="75">
        <v>1</v>
      </c>
      <c r="AP786" s="75" t="s">
        <v>83</v>
      </c>
      <c r="AQ786" s="122">
        <v>1</v>
      </c>
      <c r="AR786" s="515" t="s">
        <v>10</v>
      </c>
      <c r="AS786" s="95">
        <v>0</v>
      </c>
      <c r="AT786" s="75">
        <v>0</v>
      </c>
      <c r="AU786" s="75">
        <v>0</v>
      </c>
      <c r="AV786" s="75">
        <v>0</v>
      </c>
      <c r="AW786" s="123">
        <v>0</v>
      </c>
      <c r="AX786" s="516"/>
      <c r="AY786" s="75">
        <v>0</v>
      </c>
      <c r="AZ786" s="77" t="s">
        <v>131</v>
      </c>
      <c r="BA786" s="78" t="s">
        <v>131</v>
      </c>
      <c r="BB786" s="78" t="s">
        <v>131</v>
      </c>
      <c r="BC786" s="78" t="s">
        <v>131</v>
      </c>
      <c r="BD786" s="78" t="s">
        <v>131</v>
      </c>
      <c r="BE786" s="78" t="s">
        <v>131</v>
      </c>
      <c r="BF786" s="78" t="s">
        <v>131</v>
      </c>
      <c r="BG786" s="78" t="s">
        <v>132</v>
      </c>
      <c r="BH786" s="75" t="s">
        <v>5970</v>
      </c>
      <c r="BI786" s="295" t="s">
        <v>4079</v>
      </c>
      <c r="BJ786" s="546">
        <v>1</v>
      </c>
      <c r="BK786" s="294" t="s">
        <v>16</v>
      </c>
      <c r="BL786" s="157" t="s">
        <v>16</v>
      </c>
      <c r="BM786" s="548" t="s">
        <v>1342</v>
      </c>
      <c r="BN786" s="548" t="s">
        <v>4158</v>
      </c>
      <c r="BO786" s="157" t="s">
        <v>4500</v>
      </c>
      <c r="BP786" s="548" t="s">
        <v>4501</v>
      </c>
      <c r="BQ786" s="157" t="s">
        <v>4410</v>
      </c>
      <c r="BR786" s="157"/>
    </row>
    <row r="787" spans="1:70" x14ac:dyDescent="0.25">
      <c r="A787" s="19" t="s">
        <v>3686</v>
      </c>
      <c r="B787" s="37" t="s">
        <v>2705</v>
      </c>
      <c r="C787" s="90">
        <v>45123.753483796296</v>
      </c>
      <c r="D787" s="114">
        <v>45123.503483796296</v>
      </c>
      <c r="E787" s="38">
        <v>45123</v>
      </c>
      <c r="F787" s="91">
        <v>2023</v>
      </c>
      <c r="G787" s="93">
        <v>7</v>
      </c>
      <c r="H787" s="37" t="s">
        <v>2706</v>
      </c>
      <c r="I787" s="37" t="s">
        <v>16</v>
      </c>
      <c r="J787" s="103">
        <v>-92.9298924</v>
      </c>
      <c r="K787" s="40">
        <v>44.370308299999998</v>
      </c>
      <c r="L787" s="74"/>
      <c r="M787" s="272" t="s">
        <v>2707</v>
      </c>
      <c r="N787" s="74">
        <v>1</v>
      </c>
      <c r="O787" s="94"/>
      <c r="P787" s="118">
        <v>1</v>
      </c>
      <c r="Q787" s="510">
        <v>80</v>
      </c>
      <c r="R787" s="513">
        <v>0</v>
      </c>
      <c r="S787" s="41"/>
      <c r="T787" s="40"/>
      <c r="U787" s="40">
        <v>7</v>
      </c>
      <c r="V787" s="119">
        <v>1</v>
      </c>
      <c r="W787" s="40">
        <v>100</v>
      </c>
      <c r="X787" s="119">
        <v>1</v>
      </c>
      <c r="Y787" s="40">
        <v>68</v>
      </c>
      <c r="Z787" s="119">
        <v>1</v>
      </c>
      <c r="AA787" s="368">
        <v>0</v>
      </c>
      <c r="AB787" s="535">
        <v>2</v>
      </c>
      <c r="AC787" s="39" t="s">
        <v>160</v>
      </c>
      <c r="AD787" s="75" t="s">
        <v>10</v>
      </c>
      <c r="AE787" s="95">
        <v>0</v>
      </c>
      <c r="AF787" s="75">
        <v>0</v>
      </c>
      <c r="AG787" s="75">
        <v>0</v>
      </c>
      <c r="AH787" s="75">
        <v>0</v>
      </c>
      <c r="AI787" s="75">
        <v>0</v>
      </c>
      <c r="AJ787" s="75">
        <v>0</v>
      </c>
      <c r="AK787" s="75">
        <v>0</v>
      </c>
      <c r="AL787" s="95">
        <v>1</v>
      </c>
      <c r="AM787" s="92">
        <v>0</v>
      </c>
      <c r="AN787" s="79" t="s">
        <v>81</v>
      </c>
      <c r="AO787" s="75">
        <v>1</v>
      </c>
      <c r="AP787" s="75" t="s">
        <v>83</v>
      </c>
      <c r="AQ787" s="122">
        <v>1</v>
      </c>
      <c r="AR787" s="515" t="s">
        <v>10</v>
      </c>
      <c r="AS787" s="95">
        <v>0</v>
      </c>
      <c r="AT787" s="75">
        <v>0</v>
      </c>
      <c r="AU787" s="75">
        <v>0</v>
      </c>
      <c r="AV787" s="75">
        <v>0</v>
      </c>
      <c r="AW787" s="123">
        <v>0</v>
      </c>
      <c r="AX787" s="516" t="s">
        <v>2708</v>
      </c>
      <c r="AY787" s="75">
        <v>1</v>
      </c>
      <c r="AZ787" s="77" t="s">
        <v>131</v>
      </c>
      <c r="BA787" s="78" t="s">
        <v>131</v>
      </c>
      <c r="BB787" s="78" t="s">
        <v>131</v>
      </c>
      <c r="BC787" s="78" t="s">
        <v>131</v>
      </c>
      <c r="BD787" s="78" t="s">
        <v>131</v>
      </c>
      <c r="BE787" s="78" t="s">
        <v>131</v>
      </c>
      <c r="BF787" s="78" t="s">
        <v>131</v>
      </c>
      <c r="BG787" s="78" t="s">
        <v>132</v>
      </c>
      <c r="BH787" s="75" t="s">
        <v>5970</v>
      </c>
      <c r="BI787" s="295" t="s">
        <v>2253</v>
      </c>
      <c r="BJ787" s="546">
        <v>1</v>
      </c>
      <c r="BK787" s="294" t="s">
        <v>16</v>
      </c>
      <c r="BL787" s="157" t="s">
        <v>16</v>
      </c>
      <c r="BM787" s="548" t="s">
        <v>1339</v>
      </c>
      <c r="BN787" s="548" t="s">
        <v>4161</v>
      </c>
      <c r="BO787" s="157" t="s">
        <v>4295</v>
      </c>
      <c r="BP787" s="548" t="s">
        <v>4296</v>
      </c>
      <c r="BQ787" s="157" t="s">
        <v>4294</v>
      </c>
      <c r="BR787" s="157"/>
    </row>
    <row r="788" spans="1:70" x14ac:dyDescent="0.25">
      <c r="A788" s="19" t="s">
        <v>3686</v>
      </c>
      <c r="B788" s="37" t="s">
        <v>2709</v>
      </c>
      <c r="C788" s="90">
        <v>45123.704872685186</v>
      </c>
      <c r="D788" s="114">
        <v>45123.454872685186</v>
      </c>
      <c r="E788" s="38">
        <v>45123</v>
      </c>
      <c r="F788" s="91">
        <v>2023</v>
      </c>
      <c r="G788" s="93">
        <v>7</v>
      </c>
      <c r="H788" s="37" t="s">
        <v>201</v>
      </c>
      <c r="I788" s="37"/>
      <c r="J788" s="103">
        <v>-92.732126003955841</v>
      </c>
      <c r="K788" s="40">
        <v>44.831194423014011</v>
      </c>
      <c r="L788" s="74"/>
      <c r="M788" s="272" t="s">
        <v>16</v>
      </c>
      <c r="N788" s="74">
        <v>0</v>
      </c>
      <c r="O788" s="94"/>
      <c r="P788" s="118">
        <v>0</v>
      </c>
      <c r="Q788" s="510"/>
      <c r="R788" s="513"/>
      <c r="S788" s="41"/>
      <c r="T788" s="40"/>
      <c r="U788" s="40"/>
      <c r="V788" s="119">
        <v>0</v>
      </c>
      <c r="W788" s="40"/>
      <c r="X788" s="119">
        <v>0</v>
      </c>
      <c r="Y788" s="40"/>
      <c r="Z788" s="119">
        <v>1</v>
      </c>
      <c r="AA788" s="368">
        <v>0</v>
      </c>
      <c r="AB788" s="535">
        <v>5</v>
      </c>
      <c r="AC788" s="39" t="s">
        <v>160</v>
      </c>
      <c r="AD788" s="75" t="s">
        <v>16</v>
      </c>
      <c r="AE788" s="95">
        <v>-1</v>
      </c>
      <c r="AF788" s="75">
        <v>-1</v>
      </c>
      <c r="AG788" s="75">
        <v>-1</v>
      </c>
      <c r="AH788" s="75">
        <v>-1</v>
      </c>
      <c r="AI788" s="75">
        <v>-1</v>
      </c>
      <c r="AJ788" s="75">
        <v>-1</v>
      </c>
      <c r="AK788" s="75">
        <v>-1</v>
      </c>
      <c r="AL788" s="95">
        <v>-1</v>
      </c>
      <c r="AM788" s="92">
        <v>1</v>
      </c>
      <c r="AN788" s="79"/>
      <c r="AO788" s="75">
        <v>0</v>
      </c>
      <c r="AP788" s="75"/>
      <c r="AQ788" s="122">
        <v>0</v>
      </c>
      <c r="AR788" s="515" t="s">
        <v>16</v>
      </c>
      <c r="AS788" s="95">
        <v>-1</v>
      </c>
      <c r="AT788" s="75">
        <v>-1</v>
      </c>
      <c r="AU788" s="75">
        <v>-1</v>
      </c>
      <c r="AV788" s="75">
        <v>-1</v>
      </c>
      <c r="AW788" s="123">
        <v>1</v>
      </c>
      <c r="AX788" s="516"/>
      <c r="AY788" s="75">
        <v>0</v>
      </c>
      <c r="AZ788" s="77" t="s">
        <v>5971</v>
      </c>
      <c r="BA788" s="78" t="s">
        <v>5971</v>
      </c>
      <c r="BB788" s="78" t="s">
        <v>5971</v>
      </c>
      <c r="BC788" s="78" t="s">
        <v>5971</v>
      </c>
      <c r="BD788" s="78" t="s">
        <v>5971</v>
      </c>
      <c r="BE788" s="78" t="s">
        <v>5971</v>
      </c>
      <c r="BF788" s="78" t="s">
        <v>5971</v>
      </c>
      <c r="BG788" s="78" t="s">
        <v>5971</v>
      </c>
      <c r="BH788" s="75" t="s">
        <v>5971</v>
      </c>
      <c r="BI788" s="295" t="s">
        <v>2227</v>
      </c>
      <c r="BJ788" s="546">
        <v>1</v>
      </c>
      <c r="BK788" s="294" t="s">
        <v>16</v>
      </c>
      <c r="BL788" s="157" t="s">
        <v>16</v>
      </c>
      <c r="BM788" s="548" t="s">
        <v>578</v>
      </c>
      <c r="BN788" s="548" t="s">
        <v>578</v>
      </c>
      <c r="BO788" s="157" t="s">
        <v>4341</v>
      </c>
      <c r="BP788" s="548" t="s">
        <v>4343</v>
      </c>
      <c r="BQ788" s="157" t="s">
        <v>4309</v>
      </c>
      <c r="BR788" s="157"/>
    </row>
    <row r="789" spans="1:70" x14ac:dyDescent="0.25">
      <c r="A789" s="19" t="s">
        <v>3686</v>
      </c>
      <c r="B789" s="37" t="s">
        <v>2710</v>
      </c>
      <c r="C789" s="90">
        <v>45123.698182870372</v>
      </c>
      <c r="D789" s="114">
        <v>45123.448182870372</v>
      </c>
      <c r="E789" s="38">
        <v>45123</v>
      </c>
      <c r="F789" s="91">
        <v>2023</v>
      </c>
      <c r="G789" s="93">
        <v>7</v>
      </c>
      <c r="H789" s="37" t="s">
        <v>201</v>
      </c>
      <c r="I789" s="37"/>
      <c r="J789" s="103">
        <v>-92.732262148216861</v>
      </c>
      <c r="K789" s="40">
        <v>44.831099649758492</v>
      </c>
      <c r="L789" s="74"/>
      <c r="M789" s="272" t="s">
        <v>16</v>
      </c>
      <c r="N789" s="74">
        <v>0</v>
      </c>
      <c r="O789" s="94"/>
      <c r="P789" s="118">
        <v>0</v>
      </c>
      <c r="Q789" s="510"/>
      <c r="R789" s="513"/>
      <c r="S789" s="41"/>
      <c r="T789" s="40"/>
      <c r="U789" s="40"/>
      <c r="V789" s="119">
        <v>1</v>
      </c>
      <c r="W789" s="40">
        <v>0</v>
      </c>
      <c r="X789" s="119">
        <v>1</v>
      </c>
      <c r="Y789" s="40">
        <v>61</v>
      </c>
      <c r="Z789" s="119">
        <v>0</v>
      </c>
      <c r="AA789" s="368" t="s">
        <v>16</v>
      </c>
      <c r="AB789" s="535" t="s">
        <v>16</v>
      </c>
      <c r="AC789" s="39" t="s">
        <v>160</v>
      </c>
      <c r="AD789" s="75" t="s">
        <v>8</v>
      </c>
      <c r="AE789" s="95">
        <v>0</v>
      </c>
      <c r="AF789" s="75">
        <v>1</v>
      </c>
      <c r="AG789" s="75">
        <v>0</v>
      </c>
      <c r="AH789" s="75">
        <v>0</v>
      </c>
      <c r="AI789" s="75">
        <v>0</v>
      </c>
      <c r="AJ789" s="75">
        <v>0</v>
      </c>
      <c r="AK789" s="75">
        <v>0</v>
      </c>
      <c r="AL789" s="95">
        <v>0</v>
      </c>
      <c r="AM789" s="92">
        <v>0</v>
      </c>
      <c r="AN789" s="79" t="s">
        <v>80</v>
      </c>
      <c r="AO789" s="75">
        <v>1</v>
      </c>
      <c r="AP789" s="75" t="s">
        <v>83</v>
      </c>
      <c r="AQ789" s="122">
        <v>1</v>
      </c>
      <c r="AR789" s="515" t="s">
        <v>10</v>
      </c>
      <c r="AS789" s="95">
        <v>0</v>
      </c>
      <c r="AT789" s="75">
        <v>0</v>
      </c>
      <c r="AU789" s="75">
        <v>0</v>
      </c>
      <c r="AV789" s="75">
        <v>0</v>
      </c>
      <c r="AW789" s="123">
        <v>0</v>
      </c>
      <c r="AX789" s="516" t="s">
        <v>1537</v>
      </c>
      <c r="AY789" s="75">
        <v>1</v>
      </c>
      <c r="AZ789" s="77" t="s">
        <v>131</v>
      </c>
      <c r="BA789" s="78" t="s">
        <v>132</v>
      </c>
      <c r="BB789" s="78" t="s">
        <v>131</v>
      </c>
      <c r="BC789" s="78" t="s">
        <v>131</v>
      </c>
      <c r="BD789" s="78" t="s">
        <v>131</v>
      </c>
      <c r="BE789" s="78" t="s">
        <v>131</v>
      </c>
      <c r="BF789" s="78" t="s">
        <v>131</v>
      </c>
      <c r="BG789" s="78" t="s">
        <v>131</v>
      </c>
      <c r="BH789" s="75" t="s">
        <v>5970</v>
      </c>
      <c r="BI789" s="295" t="s">
        <v>2227</v>
      </c>
      <c r="BJ789" s="546">
        <v>1</v>
      </c>
      <c r="BK789" s="294" t="s">
        <v>16</v>
      </c>
      <c r="BL789" s="157" t="s">
        <v>16</v>
      </c>
      <c r="BM789" s="548" t="s">
        <v>578</v>
      </c>
      <c r="BN789" s="548" t="s">
        <v>578</v>
      </c>
      <c r="BO789" s="157" t="s">
        <v>4341</v>
      </c>
      <c r="BP789" s="548" t="s">
        <v>4343</v>
      </c>
      <c r="BQ789" s="157" t="s">
        <v>4309</v>
      </c>
      <c r="BR789" s="157"/>
    </row>
    <row r="790" spans="1:70" x14ac:dyDescent="0.25">
      <c r="A790" s="19" t="s">
        <v>3686</v>
      </c>
      <c r="B790" s="37" t="s">
        <v>2711</v>
      </c>
      <c r="C790" s="90">
        <v>45120.929699074077</v>
      </c>
      <c r="D790" s="114">
        <v>45120.679699074077</v>
      </c>
      <c r="E790" s="38">
        <v>45120</v>
      </c>
      <c r="F790" s="91">
        <v>2023</v>
      </c>
      <c r="G790" s="93">
        <v>7</v>
      </c>
      <c r="H790" s="37" t="s">
        <v>2446</v>
      </c>
      <c r="I790" s="37"/>
      <c r="J790" s="103">
        <v>-91.175552060779523</v>
      </c>
      <c r="K790" s="40">
        <v>44.594180897716299</v>
      </c>
      <c r="L790" s="74"/>
      <c r="M790" s="272" t="s">
        <v>2712</v>
      </c>
      <c r="N790" s="74">
        <v>1</v>
      </c>
      <c r="O790" s="94"/>
      <c r="P790" s="118">
        <v>1</v>
      </c>
      <c r="Q790" s="510">
        <v>40</v>
      </c>
      <c r="R790" s="513">
        <v>30</v>
      </c>
      <c r="S790" s="41"/>
      <c r="T790" s="40"/>
      <c r="U790" s="40">
        <v>6</v>
      </c>
      <c r="V790" s="119">
        <v>1</v>
      </c>
      <c r="W790" s="40">
        <v>100</v>
      </c>
      <c r="X790" s="119">
        <v>1</v>
      </c>
      <c r="Y790" s="40">
        <v>61</v>
      </c>
      <c r="Z790" s="119">
        <v>1</v>
      </c>
      <c r="AA790" s="368">
        <v>0</v>
      </c>
      <c r="AB790" s="535">
        <v>2</v>
      </c>
      <c r="AC790" s="39" t="s">
        <v>160</v>
      </c>
      <c r="AD790" s="75" t="s">
        <v>10</v>
      </c>
      <c r="AE790" s="95">
        <v>0</v>
      </c>
      <c r="AF790" s="75">
        <v>0</v>
      </c>
      <c r="AG790" s="75">
        <v>0</v>
      </c>
      <c r="AH790" s="75">
        <v>0</v>
      </c>
      <c r="AI790" s="75">
        <v>0</v>
      </c>
      <c r="AJ790" s="75">
        <v>0</v>
      </c>
      <c r="AK790" s="75">
        <v>0</v>
      </c>
      <c r="AL790" s="95">
        <v>1</v>
      </c>
      <c r="AM790" s="92">
        <v>0</v>
      </c>
      <c r="AN790" s="79" t="s">
        <v>80</v>
      </c>
      <c r="AO790" s="75">
        <v>1</v>
      </c>
      <c r="AP790" s="75" t="s">
        <v>84</v>
      </c>
      <c r="AQ790" s="122">
        <v>1</v>
      </c>
      <c r="AR790" s="515" t="s">
        <v>10</v>
      </c>
      <c r="AS790" s="95">
        <v>0</v>
      </c>
      <c r="AT790" s="75">
        <v>0</v>
      </c>
      <c r="AU790" s="75">
        <v>0</v>
      </c>
      <c r="AV790" s="75">
        <v>0</v>
      </c>
      <c r="AW790" s="123">
        <v>0</v>
      </c>
      <c r="AX790" s="516"/>
      <c r="AY790" s="75">
        <v>0</v>
      </c>
      <c r="AZ790" s="77" t="s">
        <v>131</v>
      </c>
      <c r="BA790" s="78" t="s">
        <v>131</v>
      </c>
      <c r="BB790" s="78" t="s">
        <v>131</v>
      </c>
      <c r="BC790" s="78" t="s">
        <v>131</v>
      </c>
      <c r="BD790" s="78" t="s">
        <v>131</v>
      </c>
      <c r="BE790" s="78" t="s">
        <v>131</v>
      </c>
      <c r="BF790" s="78" t="s">
        <v>131</v>
      </c>
      <c r="BG790" s="78" t="s">
        <v>132</v>
      </c>
      <c r="BH790" s="75" t="s">
        <v>5970</v>
      </c>
      <c r="BI790" s="295" t="s">
        <v>2282</v>
      </c>
      <c r="BJ790" s="546">
        <v>1</v>
      </c>
      <c r="BK790" s="294">
        <v>1</v>
      </c>
      <c r="BL790" s="157">
        <v>1</v>
      </c>
      <c r="BM790" s="548" t="s">
        <v>1340</v>
      </c>
      <c r="BN790" s="548" t="s">
        <v>4158</v>
      </c>
      <c r="BO790" s="157" t="s">
        <v>4497</v>
      </c>
      <c r="BP790" s="548" t="s">
        <v>4499</v>
      </c>
      <c r="BQ790" s="157" t="s">
        <v>4492</v>
      </c>
      <c r="BR790" s="157"/>
    </row>
    <row r="791" spans="1:70" x14ac:dyDescent="0.25">
      <c r="A791" s="19" t="s">
        <v>3686</v>
      </c>
      <c r="B791" s="37" t="s">
        <v>2713</v>
      </c>
      <c r="C791" s="90">
        <v>45120.842268518521</v>
      </c>
      <c r="D791" s="114">
        <v>45120.592268518521</v>
      </c>
      <c r="E791" s="38">
        <v>45120</v>
      </c>
      <c r="F791" s="91">
        <v>2023</v>
      </c>
      <c r="G791" s="93">
        <v>7</v>
      </c>
      <c r="H791" s="37" t="s">
        <v>302</v>
      </c>
      <c r="I791" s="37"/>
      <c r="J791" s="103">
        <v>-92.026640358788114</v>
      </c>
      <c r="K791" s="40">
        <v>44.215611466065525</v>
      </c>
      <c r="L791" s="74"/>
      <c r="M791" s="272" t="s">
        <v>16</v>
      </c>
      <c r="N791" s="74">
        <v>0</v>
      </c>
      <c r="O791" s="94"/>
      <c r="P791" s="118">
        <v>1</v>
      </c>
      <c r="Q791" s="510">
        <v>80</v>
      </c>
      <c r="R791" s="513">
        <v>120</v>
      </c>
      <c r="S791" s="41"/>
      <c r="T791" s="40"/>
      <c r="U791" s="40">
        <v>7</v>
      </c>
      <c r="V791" s="119">
        <v>1</v>
      </c>
      <c r="W791" s="40">
        <v>200</v>
      </c>
      <c r="X791" s="119">
        <v>1</v>
      </c>
      <c r="Y791" s="40">
        <v>61</v>
      </c>
      <c r="Z791" s="119">
        <v>1</v>
      </c>
      <c r="AA791" s="368">
        <v>0</v>
      </c>
      <c r="AB791" s="535">
        <v>5</v>
      </c>
      <c r="AC791" s="39" t="s">
        <v>160</v>
      </c>
      <c r="AD791" s="75" t="s">
        <v>8</v>
      </c>
      <c r="AE791" s="95">
        <v>0</v>
      </c>
      <c r="AF791" s="75">
        <v>1</v>
      </c>
      <c r="AG791" s="75">
        <v>0</v>
      </c>
      <c r="AH791" s="75">
        <v>0</v>
      </c>
      <c r="AI791" s="75">
        <v>0</v>
      </c>
      <c r="AJ791" s="75">
        <v>0</v>
      </c>
      <c r="AK791" s="75">
        <v>0</v>
      </c>
      <c r="AL791" s="95">
        <v>0</v>
      </c>
      <c r="AM791" s="92">
        <v>0</v>
      </c>
      <c r="AN791" s="79" t="s">
        <v>80</v>
      </c>
      <c r="AO791" s="75">
        <v>1</v>
      </c>
      <c r="AP791" s="75" t="s">
        <v>83</v>
      </c>
      <c r="AQ791" s="122">
        <v>1</v>
      </c>
      <c r="AR791" s="515" t="s">
        <v>10</v>
      </c>
      <c r="AS791" s="95">
        <v>0</v>
      </c>
      <c r="AT791" s="75">
        <v>0</v>
      </c>
      <c r="AU791" s="75">
        <v>0</v>
      </c>
      <c r="AV791" s="75">
        <v>0</v>
      </c>
      <c r="AW791" s="123">
        <v>0</v>
      </c>
      <c r="AX791" s="516" t="s">
        <v>2714</v>
      </c>
      <c r="AY791" s="75">
        <v>1</v>
      </c>
      <c r="AZ791" s="77" t="s">
        <v>131</v>
      </c>
      <c r="BA791" s="78" t="s">
        <v>132</v>
      </c>
      <c r="BB791" s="78" t="s">
        <v>131</v>
      </c>
      <c r="BC791" s="78" t="s">
        <v>131</v>
      </c>
      <c r="BD791" s="78" t="s">
        <v>131</v>
      </c>
      <c r="BE791" s="78" t="s">
        <v>131</v>
      </c>
      <c r="BF791" s="78" t="s">
        <v>131</v>
      </c>
      <c r="BG791" s="78" t="s">
        <v>131</v>
      </c>
      <c r="BH791" s="75" t="s">
        <v>5970</v>
      </c>
      <c r="BI791" s="295" t="s">
        <v>2256</v>
      </c>
      <c r="BJ791" s="546">
        <v>1</v>
      </c>
      <c r="BK791" s="294">
        <v>1</v>
      </c>
      <c r="BL791" s="157">
        <v>1</v>
      </c>
      <c r="BM791" s="548" t="s">
        <v>1341</v>
      </c>
      <c r="BN791" s="548" t="s">
        <v>4160</v>
      </c>
      <c r="BO791" s="157" t="s">
        <v>4507</v>
      </c>
      <c r="BP791" s="548" t="s">
        <v>2256</v>
      </c>
      <c r="BQ791" s="157" t="s">
        <v>4269</v>
      </c>
      <c r="BR791" s="157"/>
    </row>
    <row r="792" spans="1:70" x14ac:dyDescent="0.25">
      <c r="A792" s="19" t="s">
        <v>3686</v>
      </c>
      <c r="B792" s="37" t="s">
        <v>2715</v>
      </c>
      <c r="C792" s="90">
        <v>45120.815300925926</v>
      </c>
      <c r="D792" s="114">
        <v>45120.565300925926</v>
      </c>
      <c r="E792" s="38">
        <v>45120</v>
      </c>
      <c r="F792" s="91">
        <v>2023</v>
      </c>
      <c r="G792" s="93">
        <v>7</v>
      </c>
      <c r="H792" s="37" t="s">
        <v>2381</v>
      </c>
      <c r="I792" s="37" t="s">
        <v>16</v>
      </c>
      <c r="J792" s="103">
        <v>-89.887541799999994</v>
      </c>
      <c r="K792" s="40">
        <v>43.286989300000002</v>
      </c>
      <c r="L792" s="74"/>
      <c r="M792" s="272" t="s">
        <v>16</v>
      </c>
      <c r="N792" s="74">
        <v>0</v>
      </c>
      <c r="O792" s="94"/>
      <c r="P792" s="118">
        <v>1</v>
      </c>
      <c r="Q792" s="510">
        <v>80</v>
      </c>
      <c r="R792" s="513">
        <v>120</v>
      </c>
      <c r="S792" s="41"/>
      <c r="T792" s="40"/>
      <c r="U792" s="40">
        <v>7.5</v>
      </c>
      <c r="V792" s="119">
        <v>1</v>
      </c>
      <c r="W792" s="40">
        <v>500</v>
      </c>
      <c r="X792" s="119">
        <v>1</v>
      </c>
      <c r="Y792" s="40">
        <v>67</v>
      </c>
      <c r="Z792" s="119">
        <v>1</v>
      </c>
      <c r="AA792" s="368">
        <v>0</v>
      </c>
      <c r="AB792" s="535">
        <v>2</v>
      </c>
      <c r="AC792" s="39"/>
      <c r="AD792" s="75" t="s">
        <v>16</v>
      </c>
      <c r="AE792" s="95">
        <v>-1</v>
      </c>
      <c r="AF792" s="75">
        <v>-1</v>
      </c>
      <c r="AG792" s="75">
        <v>-1</v>
      </c>
      <c r="AH792" s="75">
        <v>-1</v>
      </c>
      <c r="AI792" s="75">
        <v>-1</v>
      </c>
      <c r="AJ792" s="75">
        <v>-1</v>
      </c>
      <c r="AK792" s="75">
        <v>-1</v>
      </c>
      <c r="AL792" s="95">
        <v>-1</v>
      </c>
      <c r="AM792" s="92">
        <v>1</v>
      </c>
      <c r="AN792" s="79"/>
      <c r="AO792" s="75">
        <v>0</v>
      </c>
      <c r="AP792" s="75" t="s">
        <v>85</v>
      </c>
      <c r="AQ792" s="122">
        <v>1</v>
      </c>
      <c r="AR792" s="515" t="s">
        <v>16</v>
      </c>
      <c r="AS792" s="95">
        <v>-1</v>
      </c>
      <c r="AT792" s="75">
        <v>-1</v>
      </c>
      <c r="AU792" s="75">
        <v>-1</v>
      </c>
      <c r="AV792" s="75">
        <v>-1</v>
      </c>
      <c r="AW792" s="123">
        <v>1</v>
      </c>
      <c r="AX792" s="516" t="s">
        <v>2716</v>
      </c>
      <c r="AY792" s="75">
        <v>1</v>
      </c>
      <c r="AZ792" s="77" t="s">
        <v>5971</v>
      </c>
      <c r="BA792" s="78" t="s">
        <v>5971</v>
      </c>
      <c r="BB792" s="78" t="s">
        <v>5971</v>
      </c>
      <c r="BC792" s="78" t="s">
        <v>5971</v>
      </c>
      <c r="BD792" s="78" t="s">
        <v>5971</v>
      </c>
      <c r="BE792" s="78" t="s">
        <v>5971</v>
      </c>
      <c r="BF792" s="78" t="s">
        <v>5971</v>
      </c>
      <c r="BG792" s="78" t="s">
        <v>5971</v>
      </c>
      <c r="BH792" s="75" t="s">
        <v>5971</v>
      </c>
      <c r="BI792" s="295" t="s">
        <v>4037</v>
      </c>
      <c r="BJ792" s="546" t="s">
        <v>16</v>
      </c>
      <c r="BK792" s="294" t="s">
        <v>16</v>
      </c>
      <c r="BL792" s="157" t="s">
        <v>16</v>
      </c>
      <c r="BM792" s="548" t="s">
        <v>1346</v>
      </c>
      <c r="BN792" s="548" t="s">
        <v>4160</v>
      </c>
      <c r="BO792" s="157" t="s">
        <v>4323</v>
      </c>
      <c r="BP792" s="548" t="s">
        <v>4324</v>
      </c>
      <c r="BQ792" s="157" t="s">
        <v>4322</v>
      </c>
      <c r="BR792" s="157"/>
    </row>
    <row r="793" spans="1:70" x14ac:dyDescent="0.25">
      <c r="A793" s="19" t="s">
        <v>3686</v>
      </c>
      <c r="B793" s="37" t="s">
        <v>2717</v>
      </c>
      <c r="C793" s="90">
        <v>45120.748414351852</v>
      </c>
      <c r="D793" s="114">
        <v>45120.498414351852</v>
      </c>
      <c r="E793" s="38">
        <v>45120</v>
      </c>
      <c r="F793" s="91">
        <v>2023</v>
      </c>
      <c r="G793" s="93">
        <v>7</v>
      </c>
      <c r="H793" s="37" t="s">
        <v>2446</v>
      </c>
      <c r="I793" s="37"/>
      <c r="J793" s="103">
        <v>-91.065177486074603</v>
      </c>
      <c r="K793" s="40">
        <v>44.578610088005682</v>
      </c>
      <c r="L793" s="74"/>
      <c r="M793" s="272" t="s">
        <v>2718</v>
      </c>
      <c r="N793" s="74">
        <v>1</v>
      </c>
      <c r="O793" s="94"/>
      <c r="P793" s="118">
        <v>1</v>
      </c>
      <c r="Q793" s="510">
        <v>0</v>
      </c>
      <c r="R793" s="513">
        <v>30</v>
      </c>
      <c r="S793" s="41"/>
      <c r="T793" s="40"/>
      <c r="U793" s="40">
        <v>7</v>
      </c>
      <c r="V793" s="119">
        <v>1</v>
      </c>
      <c r="W793" s="40">
        <v>100</v>
      </c>
      <c r="X793" s="119">
        <v>1</v>
      </c>
      <c r="Y793" s="40">
        <v>58</v>
      </c>
      <c r="Z793" s="119">
        <v>1</v>
      </c>
      <c r="AA793" s="368">
        <v>0</v>
      </c>
      <c r="AB793" s="535">
        <v>5</v>
      </c>
      <c r="AC793" s="39" t="s">
        <v>160</v>
      </c>
      <c r="AD793" s="75" t="s">
        <v>10</v>
      </c>
      <c r="AE793" s="95">
        <v>0</v>
      </c>
      <c r="AF793" s="75">
        <v>0</v>
      </c>
      <c r="AG793" s="75">
        <v>0</v>
      </c>
      <c r="AH793" s="75">
        <v>0</v>
      </c>
      <c r="AI793" s="75">
        <v>0</v>
      </c>
      <c r="AJ793" s="75">
        <v>0</v>
      </c>
      <c r="AK793" s="75">
        <v>0</v>
      </c>
      <c r="AL793" s="95">
        <v>1</v>
      </c>
      <c r="AM793" s="92">
        <v>0</v>
      </c>
      <c r="AN793" s="79" t="s">
        <v>80</v>
      </c>
      <c r="AO793" s="75">
        <v>1</v>
      </c>
      <c r="AP793" s="75" t="s">
        <v>83</v>
      </c>
      <c r="AQ793" s="122">
        <v>1</v>
      </c>
      <c r="AR793" s="515" t="s">
        <v>10</v>
      </c>
      <c r="AS793" s="95">
        <v>0</v>
      </c>
      <c r="AT793" s="75">
        <v>0</v>
      </c>
      <c r="AU793" s="75">
        <v>0</v>
      </c>
      <c r="AV793" s="75">
        <v>0</v>
      </c>
      <c r="AW793" s="123">
        <v>0</v>
      </c>
      <c r="AX793" s="516"/>
      <c r="AY793" s="75">
        <v>0</v>
      </c>
      <c r="AZ793" s="77" t="s">
        <v>131</v>
      </c>
      <c r="BA793" s="78" t="s">
        <v>131</v>
      </c>
      <c r="BB793" s="78" t="s">
        <v>131</v>
      </c>
      <c r="BC793" s="78" t="s">
        <v>131</v>
      </c>
      <c r="BD793" s="78" t="s">
        <v>131</v>
      </c>
      <c r="BE793" s="78" t="s">
        <v>131</v>
      </c>
      <c r="BF793" s="78" t="s">
        <v>131</v>
      </c>
      <c r="BG793" s="78" t="s">
        <v>132</v>
      </c>
      <c r="BH793" s="75" t="s">
        <v>5970</v>
      </c>
      <c r="BI793" s="295" t="s">
        <v>2282</v>
      </c>
      <c r="BJ793" s="546">
        <v>1</v>
      </c>
      <c r="BK793" s="294">
        <v>1</v>
      </c>
      <c r="BL793" s="157">
        <v>1</v>
      </c>
      <c r="BM793" s="548" t="s">
        <v>1340</v>
      </c>
      <c r="BN793" s="548" t="s">
        <v>4158</v>
      </c>
      <c r="BO793" s="157" t="s">
        <v>4497</v>
      </c>
      <c r="BP793" s="548" t="s">
        <v>4499</v>
      </c>
      <c r="BQ793" s="157" t="s">
        <v>4492</v>
      </c>
      <c r="BR793" s="157"/>
    </row>
    <row r="794" spans="1:70" x14ac:dyDescent="0.25">
      <c r="A794" s="19" t="s">
        <v>3686</v>
      </c>
      <c r="B794" s="37" t="s">
        <v>2719</v>
      </c>
      <c r="C794" s="90">
        <v>45120.746747685182</v>
      </c>
      <c r="D794" s="114">
        <v>45120.496747685182</v>
      </c>
      <c r="E794" s="38">
        <v>45120</v>
      </c>
      <c r="F794" s="91">
        <v>2023</v>
      </c>
      <c r="G794" s="93">
        <v>7</v>
      </c>
      <c r="H794" s="37" t="s">
        <v>2381</v>
      </c>
      <c r="I794" s="37"/>
      <c r="J794" s="103">
        <v>-90.044126899999995</v>
      </c>
      <c r="K794" s="40">
        <v>43.281514799999997</v>
      </c>
      <c r="L794" s="74"/>
      <c r="M794" s="272" t="s">
        <v>16</v>
      </c>
      <c r="N794" s="74">
        <v>0</v>
      </c>
      <c r="O794" s="94"/>
      <c r="P794" s="118">
        <v>1</v>
      </c>
      <c r="Q794" s="510">
        <v>40</v>
      </c>
      <c r="R794" s="513">
        <v>120</v>
      </c>
      <c r="S794" s="41"/>
      <c r="T794" s="40"/>
      <c r="U794" s="40">
        <v>7</v>
      </c>
      <c r="V794" s="119">
        <v>1</v>
      </c>
      <c r="W794" s="40">
        <v>300</v>
      </c>
      <c r="X794" s="119">
        <v>1</v>
      </c>
      <c r="Y794" s="40">
        <v>62</v>
      </c>
      <c r="Z794" s="119">
        <v>1</v>
      </c>
      <c r="AA794" s="368">
        <v>0</v>
      </c>
      <c r="AB794" s="535">
        <v>2</v>
      </c>
      <c r="AC794" s="39"/>
      <c r="AD794" s="75" t="s">
        <v>16</v>
      </c>
      <c r="AE794" s="95">
        <v>-1</v>
      </c>
      <c r="AF794" s="75">
        <v>-1</v>
      </c>
      <c r="AG794" s="75">
        <v>-1</v>
      </c>
      <c r="AH794" s="75">
        <v>-1</v>
      </c>
      <c r="AI794" s="75">
        <v>-1</v>
      </c>
      <c r="AJ794" s="75">
        <v>-1</v>
      </c>
      <c r="AK794" s="75">
        <v>-1</v>
      </c>
      <c r="AL794" s="95">
        <v>-1</v>
      </c>
      <c r="AM794" s="92">
        <v>1</v>
      </c>
      <c r="AN794" s="79"/>
      <c r="AO794" s="75">
        <v>0</v>
      </c>
      <c r="AP794" s="75" t="s">
        <v>83</v>
      </c>
      <c r="AQ794" s="122">
        <v>1</v>
      </c>
      <c r="AR794" s="515" t="s">
        <v>16</v>
      </c>
      <c r="AS794" s="95">
        <v>-1</v>
      </c>
      <c r="AT794" s="75">
        <v>-1</v>
      </c>
      <c r="AU794" s="75">
        <v>-1</v>
      </c>
      <c r="AV794" s="75">
        <v>-1</v>
      </c>
      <c r="AW794" s="123">
        <v>1</v>
      </c>
      <c r="AX794" s="516" t="s">
        <v>2720</v>
      </c>
      <c r="AY794" s="75">
        <v>1</v>
      </c>
      <c r="AZ794" s="77" t="s">
        <v>5971</v>
      </c>
      <c r="BA794" s="78" t="s">
        <v>5971</v>
      </c>
      <c r="BB794" s="78" t="s">
        <v>5971</v>
      </c>
      <c r="BC794" s="78" t="s">
        <v>5971</v>
      </c>
      <c r="BD794" s="78" t="s">
        <v>5971</v>
      </c>
      <c r="BE794" s="78" t="s">
        <v>5971</v>
      </c>
      <c r="BF794" s="78" t="s">
        <v>5971</v>
      </c>
      <c r="BG794" s="78" t="s">
        <v>5971</v>
      </c>
      <c r="BH794" s="75" t="s">
        <v>5971</v>
      </c>
      <c r="BI794" s="295">
        <v>0</v>
      </c>
      <c r="BJ794" s="546" t="s">
        <v>16</v>
      </c>
      <c r="BK794" s="294" t="s">
        <v>16</v>
      </c>
      <c r="BL794" s="157" t="s">
        <v>16</v>
      </c>
      <c r="BM794" s="548" t="s">
        <v>1345</v>
      </c>
      <c r="BN794" s="548" t="s">
        <v>4160</v>
      </c>
      <c r="BO794" s="157" t="s">
        <v>4323</v>
      </c>
      <c r="BP794" s="548" t="s">
        <v>4324</v>
      </c>
      <c r="BQ794" s="157" t="s">
        <v>4322</v>
      </c>
      <c r="BR794" s="157"/>
    </row>
    <row r="795" spans="1:70" x14ac:dyDescent="0.25">
      <c r="A795" s="19" t="s">
        <v>3686</v>
      </c>
      <c r="B795" s="37" t="s">
        <v>2721</v>
      </c>
      <c r="C795" s="90">
        <v>45120.733229166668</v>
      </c>
      <c r="D795" s="114">
        <v>45120.483229166668</v>
      </c>
      <c r="E795" s="38">
        <v>45120</v>
      </c>
      <c r="F795" s="91">
        <v>2023</v>
      </c>
      <c r="G795" s="93">
        <v>7</v>
      </c>
      <c r="H795" s="37" t="s">
        <v>2381</v>
      </c>
      <c r="I795" s="37" t="s">
        <v>16</v>
      </c>
      <c r="J795" s="103">
        <v>-90.044301200000007</v>
      </c>
      <c r="K795" s="40">
        <v>43.291775800000003</v>
      </c>
      <c r="L795" s="74"/>
      <c r="M795" s="272" t="s">
        <v>16</v>
      </c>
      <c r="N795" s="74">
        <v>0</v>
      </c>
      <c r="O795" s="94"/>
      <c r="P795" s="118">
        <v>1</v>
      </c>
      <c r="Q795" s="510">
        <v>120</v>
      </c>
      <c r="R795" s="513">
        <v>180</v>
      </c>
      <c r="S795" s="41"/>
      <c r="T795" s="40"/>
      <c r="U795" s="40">
        <v>8</v>
      </c>
      <c r="V795" s="119">
        <v>1</v>
      </c>
      <c r="W795" s="40">
        <v>200</v>
      </c>
      <c r="X795" s="119">
        <v>1</v>
      </c>
      <c r="Y795" s="40">
        <v>60</v>
      </c>
      <c r="Z795" s="119">
        <v>1</v>
      </c>
      <c r="AA795" s="368">
        <v>0</v>
      </c>
      <c r="AB795" s="535">
        <v>2</v>
      </c>
      <c r="AC795" s="39"/>
      <c r="AD795" s="75" t="s">
        <v>16</v>
      </c>
      <c r="AE795" s="95">
        <v>-1</v>
      </c>
      <c r="AF795" s="75">
        <v>-1</v>
      </c>
      <c r="AG795" s="75">
        <v>-1</v>
      </c>
      <c r="AH795" s="75">
        <v>-1</v>
      </c>
      <c r="AI795" s="75">
        <v>-1</v>
      </c>
      <c r="AJ795" s="75">
        <v>-1</v>
      </c>
      <c r="AK795" s="75">
        <v>-1</v>
      </c>
      <c r="AL795" s="95">
        <v>-1</v>
      </c>
      <c r="AM795" s="92">
        <v>1</v>
      </c>
      <c r="AN795" s="79"/>
      <c r="AO795" s="75">
        <v>0</v>
      </c>
      <c r="AP795" s="75" t="s">
        <v>83</v>
      </c>
      <c r="AQ795" s="122">
        <v>1</v>
      </c>
      <c r="AR795" s="515" t="s">
        <v>16</v>
      </c>
      <c r="AS795" s="95">
        <v>-1</v>
      </c>
      <c r="AT795" s="75">
        <v>-1</v>
      </c>
      <c r="AU795" s="75">
        <v>-1</v>
      </c>
      <c r="AV795" s="75">
        <v>-1</v>
      </c>
      <c r="AW795" s="123">
        <v>1</v>
      </c>
      <c r="AX795" s="516" t="s">
        <v>2722</v>
      </c>
      <c r="AY795" s="75">
        <v>1</v>
      </c>
      <c r="AZ795" s="77" t="s">
        <v>5971</v>
      </c>
      <c r="BA795" s="78" t="s">
        <v>5971</v>
      </c>
      <c r="BB795" s="78" t="s">
        <v>5971</v>
      </c>
      <c r="BC795" s="78" t="s">
        <v>5971</v>
      </c>
      <c r="BD795" s="78" t="s">
        <v>5971</v>
      </c>
      <c r="BE795" s="78" t="s">
        <v>5971</v>
      </c>
      <c r="BF795" s="78" t="s">
        <v>5971</v>
      </c>
      <c r="BG795" s="78" t="s">
        <v>5971</v>
      </c>
      <c r="BH795" s="75" t="s">
        <v>5971</v>
      </c>
      <c r="BI795" s="295" t="s">
        <v>4107</v>
      </c>
      <c r="BJ795" s="546" t="s">
        <v>16</v>
      </c>
      <c r="BK795" s="294" t="s">
        <v>16</v>
      </c>
      <c r="BL795" s="157" t="s">
        <v>16</v>
      </c>
      <c r="BM795" s="548" t="s">
        <v>1345</v>
      </c>
      <c r="BN795" s="548" t="s">
        <v>4160</v>
      </c>
      <c r="BO795" s="157" t="s">
        <v>4325</v>
      </c>
      <c r="BP795" s="548" t="s">
        <v>4326</v>
      </c>
      <c r="BQ795" s="157" t="s">
        <v>4322</v>
      </c>
      <c r="BR795" s="157"/>
    </row>
    <row r="796" spans="1:70" x14ac:dyDescent="0.25">
      <c r="A796" s="19" t="s">
        <v>3686</v>
      </c>
      <c r="B796" s="37" t="s">
        <v>2723</v>
      </c>
      <c r="C796" s="90">
        <v>45120.72583333333</v>
      </c>
      <c r="D796" s="114">
        <v>45120.47583333333</v>
      </c>
      <c r="E796" s="38">
        <v>45120</v>
      </c>
      <c r="F796" s="91">
        <v>2023</v>
      </c>
      <c r="G796" s="93">
        <v>7</v>
      </c>
      <c r="H796" s="37" t="s">
        <v>2548</v>
      </c>
      <c r="I796" s="37"/>
      <c r="J796" s="103">
        <v>-90.246293585424525</v>
      </c>
      <c r="K796" s="40">
        <v>43.534415584735022</v>
      </c>
      <c r="L796" s="74"/>
      <c r="M796" s="272" t="s">
        <v>2724</v>
      </c>
      <c r="N796" s="74">
        <v>1</v>
      </c>
      <c r="O796" s="94"/>
      <c r="P796" s="118">
        <v>1</v>
      </c>
      <c r="Q796" s="510">
        <v>180</v>
      </c>
      <c r="R796" s="513">
        <v>120</v>
      </c>
      <c r="S796" s="41"/>
      <c r="T796" s="40"/>
      <c r="U796" s="40">
        <v>8</v>
      </c>
      <c r="V796" s="119">
        <v>1</v>
      </c>
      <c r="W796" s="40">
        <v>0</v>
      </c>
      <c r="X796" s="119">
        <v>1</v>
      </c>
      <c r="Y796" s="40">
        <v>59</v>
      </c>
      <c r="Z796" s="119">
        <v>1</v>
      </c>
      <c r="AA796" s="368">
        <v>0</v>
      </c>
      <c r="AB796" s="535">
        <v>0</v>
      </c>
      <c r="AC796" s="39" t="s">
        <v>160</v>
      </c>
      <c r="AD796" s="75" t="s">
        <v>10</v>
      </c>
      <c r="AE796" s="95">
        <v>0</v>
      </c>
      <c r="AF796" s="75">
        <v>0</v>
      </c>
      <c r="AG796" s="75">
        <v>0</v>
      </c>
      <c r="AH796" s="75">
        <v>0</v>
      </c>
      <c r="AI796" s="75">
        <v>0</v>
      </c>
      <c r="AJ796" s="75">
        <v>0</v>
      </c>
      <c r="AK796" s="75">
        <v>0</v>
      </c>
      <c r="AL796" s="95">
        <v>1</v>
      </c>
      <c r="AM796" s="92">
        <v>0</v>
      </c>
      <c r="AN796" s="79" t="s">
        <v>80</v>
      </c>
      <c r="AO796" s="75">
        <v>1</v>
      </c>
      <c r="AP796" s="75" t="s">
        <v>84</v>
      </c>
      <c r="AQ796" s="122">
        <v>1</v>
      </c>
      <c r="AR796" s="515" t="s">
        <v>10</v>
      </c>
      <c r="AS796" s="95">
        <v>0</v>
      </c>
      <c r="AT796" s="75">
        <v>0</v>
      </c>
      <c r="AU796" s="75">
        <v>0</v>
      </c>
      <c r="AV796" s="75">
        <v>0</v>
      </c>
      <c r="AW796" s="123">
        <v>0</v>
      </c>
      <c r="AX796" s="516"/>
      <c r="AY796" s="75">
        <v>0</v>
      </c>
      <c r="AZ796" s="77" t="s">
        <v>131</v>
      </c>
      <c r="BA796" s="78" t="s">
        <v>131</v>
      </c>
      <c r="BB796" s="78" t="s">
        <v>131</v>
      </c>
      <c r="BC796" s="78" t="s">
        <v>131</v>
      </c>
      <c r="BD796" s="78" t="s">
        <v>131</v>
      </c>
      <c r="BE796" s="78" t="s">
        <v>131</v>
      </c>
      <c r="BF796" s="78" t="s">
        <v>131</v>
      </c>
      <c r="BG796" s="78" t="s">
        <v>132</v>
      </c>
      <c r="BH796" s="75" t="s">
        <v>5970</v>
      </c>
      <c r="BI796" s="295" t="s">
        <v>4109</v>
      </c>
      <c r="BJ796" s="546">
        <v>1</v>
      </c>
      <c r="BK796" s="294">
        <v>1</v>
      </c>
      <c r="BL796" s="157">
        <v>1</v>
      </c>
      <c r="BM796" s="548" t="s">
        <v>1342</v>
      </c>
      <c r="BN796" s="548" t="s">
        <v>4158</v>
      </c>
      <c r="BO796" s="157" t="s">
        <v>4409</v>
      </c>
      <c r="BP796" s="548" t="s">
        <v>4109</v>
      </c>
      <c r="BQ796" s="157" t="s">
        <v>4408</v>
      </c>
      <c r="BR796" s="157"/>
    </row>
    <row r="797" spans="1:70" x14ac:dyDescent="0.25">
      <c r="A797" s="19" t="s">
        <v>3686</v>
      </c>
      <c r="B797" s="37" t="s">
        <v>2725</v>
      </c>
      <c r="C797" s="90">
        <v>45120.720416666663</v>
      </c>
      <c r="D797" s="114">
        <v>45120.470416666663</v>
      </c>
      <c r="E797" s="38">
        <v>45120</v>
      </c>
      <c r="F797" s="91">
        <v>2023</v>
      </c>
      <c r="G797" s="93">
        <v>7</v>
      </c>
      <c r="H797" s="37" t="s">
        <v>2381</v>
      </c>
      <c r="I797" s="37"/>
      <c r="J797" s="103">
        <v>-90.037353699999997</v>
      </c>
      <c r="K797" s="40">
        <v>43.2932177</v>
      </c>
      <c r="L797" s="74"/>
      <c r="M797" s="272" t="s">
        <v>16</v>
      </c>
      <c r="N797" s="74">
        <v>0</v>
      </c>
      <c r="O797" s="94"/>
      <c r="P797" s="118">
        <v>1</v>
      </c>
      <c r="Q797" s="510">
        <v>120</v>
      </c>
      <c r="R797" s="513">
        <v>180</v>
      </c>
      <c r="S797" s="41"/>
      <c r="T797" s="40"/>
      <c r="U797" s="40">
        <v>7.5</v>
      </c>
      <c r="V797" s="119">
        <v>1</v>
      </c>
      <c r="W797" s="40">
        <v>200</v>
      </c>
      <c r="X797" s="119">
        <v>0</v>
      </c>
      <c r="Y797" s="40"/>
      <c r="Z797" s="119">
        <v>1</v>
      </c>
      <c r="AA797" s="368">
        <v>0</v>
      </c>
      <c r="AB797" s="535">
        <v>2</v>
      </c>
      <c r="AC797" s="39"/>
      <c r="AD797" s="75" t="s">
        <v>551</v>
      </c>
      <c r="AE797" s="95">
        <v>0</v>
      </c>
      <c r="AF797" s="75">
        <v>0</v>
      </c>
      <c r="AG797" s="75">
        <v>0</v>
      </c>
      <c r="AH797" s="75">
        <v>0</v>
      </c>
      <c r="AI797" s="75">
        <v>1</v>
      </c>
      <c r="AJ797" s="75">
        <v>0</v>
      </c>
      <c r="AK797" s="75">
        <v>0</v>
      </c>
      <c r="AL797" s="95">
        <v>0</v>
      </c>
      <c r="AM797" s="92">
        <v>0</v>
      </c>
      <c r="AN797" s="79"/>
      <c r="AO797" s="75">
        <v>0</v>
      </c>
      <c r="AP797" s="75" t="s">
        <v>85</v>
      </c>
      <c r="AQ797" s="122">
        <v>1</v>
      </c>
      <c r="AR797" s="515" t="s">
        <v>16</v>
      </c>
      <c r="AS797" s="95">
        <v>-1</v>
      </c>
      <c r="AT797" s="75">
        <v>-1</v>
      </c>
      <c r="AU797" s="75">
        <v>-1</v>
      </c>
      <c r="AV797" s="75">
        <v>-1</v>
      </c>
      <c r="AW797" s="123">
        <v>1</v>
      </c>
      <c r="AX797" s="516" t="s">
        <v>2726</v>
      </c>
      <c r="AY797" s="75">
        <v>1</v>
      </c>
      <c r="AZ797" s="77" t="s">
        <v>131</v>
      </c>
      <c r="BA797" s="78" t="s">
        <v>131</v>
      </c>
      <c r="BB797" s="78" t="s">
        <v>131</v>
      </c>
      <c r="BC797" s="78" t="s">
        <v>131</v>
      </c>
      <c r="BD797" s="78" t="s">
        <v>132</v>
      </c>
      <c r="BE797" s="78" t="s">
        <v>131</v>
      </c>
      <c r="BF797" s="78" t="s">
        <v>131</v>
      </c>
      <c r="BG797" s="78" t="s">
        <v>131</v>
      </c>
      <c r="BH797" s="75" t="s">
        <v>5970</v>
      </c>
      <c r="BI797" s="295" t="s">
        <v>4037</v>
      </c>
      <c r="BJ797" s="546">
        <v>1</v>
      </c>
      <c r="BK797" s="294" t="s">
        <v>16</v>
      </c>
      <c r="BL797" s="157" t="s">
        <v>16</v>
      </c>
      <c r="BM797" s="548" t="s">
        <v>1345</v>
      </c>
      <c r="BN797" s="548" t="s">
        <v>4160</v>
      </c>
      <c r="BO797" s="157" t="s">
        <v>4325</v>
      </c>
      <c r="BP797" s="548" t="s">
        <v>4326</v>
      </c>
      <c r="BQ797" s="157" t="s">
        <v>4322</v>
      </c>
      <c r="BR797" s="157"/>
    </row>
    <row r="798" spans="1:70" x14ac:dyDescent="0.25">
      <c r="A798" s="19" t="s">
        <v>3686</v>
      </c>
      <c r="B798" s="37" t="s">
        <v>2727</v>
      </c>
      <c r="C798" s="90">
        <v>45120.70590277778</v>
      </c>
      <c r="D798" s="114">
        <v>45120.45590277778</v>
      </c>
      <c r="E798" s="38">
        <v>45120</v>
      </c>
      <c r="F798" s="91">
        <v>2023</v>
      </c>
      <c r="G798" s="93">
        <v>7</v>
      </c>
      <c r="H798" s="37" t="s">
        <v>2446</v>
      </c>
      <c r="I798" s="37"/>
      <c r="J798" s="103">
        <v>-91.065252858452965</v>
      </c>
      <c r="K798" s="40">
        <v>44.582333648271742</v>
      </c>
      <c r="L798" s="74"/>
      <c r="M798" s="272" t="s">
        <v>2728</v>
      </c>
      <c r="N798" s="74">
        <v>1</v>
      </c>
      <c r="O798" s="94"/>
      <c r="P798" s="118">
        <v>1</v>
      </c>
      <c r="Q798" s="510">
        <v>40</v>
      </c>
      <c r="R798" s="513">
        <v>0</v>
      </c>
      <c r="S798" s="41"/>
      <c r="T798" s="40"/>
      <c r="U798" s="40">
        <v>6</v>
      </c>
      <c r="V798" s="119">
        <v>1</v>
      </c>
      <c r="W798" s="40">
        <v>0</v>
      </c>
      <c r="X798" s="119">
        <v>1</v>
      </c>
      <c r="Y798" s="40">
        <v>57</v>
      </c>
      <c r="Z798" s="119">
        <v>1</v>
      </c>
      <c r="AA798" s="368">
        <v>0</v>
      </c>
      <c r="AB798" s="535">
        <v>2</v>
      </c>
      <c r="AC798" s="39" t="s">
        <v>160</v>
      </c>
      <c r="AD798" s="75" t="s">
        <v>7</v>
      </c>
      <c r="AE798" s="95">
        <v>1</v>
      </c>
      <c r="AF798" s="75">
        <v>0</v>
      </c>
      <c r="AG798" s="75">
        <v>0</v>
      </c>
      <c r="AH798" s="75">
        <v>0</v>
      </c>
      <c r="AI798" s="75">
        <v>0</v>
      </c>
      <c r="AJ798" s="75">
        <v>0</v>
      </c>
      <c r="AK798" s="75">
        <v>0</v>
      </c>
      <c r="AL798" s="95">
        <v>0</v>
      </c>
      <c r="AM798" s="92">
        <v>0</v>
      </c>
      <c r="AN798" s="79" t="s">
        <v>80</v>
      </c>
      <c r="AO798" s="75">
        <v>1</v>
      </c>
      <c r="AP798" s="75" t="s">
        <v>83</v>
      </c>
      <c r="AQ798" s="122">
        <v>1</v>
      </c>
      <c r="AR798" s="515" t="s">
        <v>10</v>
      </c>
      <c r="AS798" s="95">
        <v>0</v>
      </c>
      <c r="AT798" s="75">
        <v>0</v>
      </c>
      <c r="AU798" s="75">
        <v>0</v>
      </c>
      <c r="AV798" s="75">
        <v>0</v>
      </c>
      <c r="AW798" s="123">
        <v>0</v>
      </c>
      <c r="AX798" s="516" t="s">
        <v>2729</v>
      </c>
      <c r="AY798" s="75">
        <v>1</v>
      </c>
      <c r="AZ798" s="77" t="s">
        <v>132</v>
      </c>
      <c r="BA798" s="78" t="s">
        <v>131</v>
      </c>
      <c r="BB798" s="78" t="s">
        <v>131</v>
      </c>
      <c r="BC798" s="78" t="s">
        <v>131</v>
      </c>
      <c r="BD798" s="78" t="s">
        <v>131</v>
      </c>
      <c r="BE798" s="78" t="s">
        <v>131</v>
      </c>
      <c r="BF798" s="78" t="s">
        <v>131</v>
      </c>
      <c r="BG798" s="78" t="s">
        <v>131</v>
      </c>
      <c r="BH798" s="75" t="s">
        <v>5970</v>
      </c>
      <c r="BI798" s="295" t="s">
        <v>2282</v>
      </c>
      <c r="BJ798" s="546">
        <v>1</v>
      </c>
      <c r="BK798" s="294">
        <v>1</v>
      </c>
      <c r="BL798" s="157">
        <v>1</v>
      </c>
      <c r="BM798" s="548" t="s">
        <v>1340</v>
      </c>
      <c r="BN798" s="548" t="s">
        <v>4158</v>
      </c>
      <c r="BO798" s="157" t="s">
        <v>4497</v>
      </c>
      <c r="BP798" s="548" t="s">
        <v>4499</v>
      </c>
      <c r="BQ798" s="157" t="s">
        <v>4492</v>
      </c>
      <c r="BR798" s="157"/>
    </row>
    <row r="799" spans="1:70" x14ac:dyDescent="0.25">
      <c r="A799" s="19" t="s">
        <v>3686</v>
      </c>
      <c r="B799" s="37" t="s">
        <v>2730</v>
      </c>
      <c r="C799" s="90">
        <v>45120.703032407408</v>
      </c>
      <c r="D799" s="114">
        <v>45120.453032407408</v>
      </c>
      <c r="E799" s="38">
        <v>45120</v>
      </c>
      <c r="F799" s="91">
        <v>2023</v>
      </c>
      <c r="G799" s="93">
        <v>7</v>
      </c>
      <c r="H799" s="37" t="s">
        <v>2381</v>
      </c>
      <c r="I799" s="37" t="s">
        <v>16</v>
      </c>
      <c r="J799" s="103">
        <v>-90.070437900000002</v>
      </c>
      <c r="K799" s="40">
        <v>43.351128699999997</v>
      </c>
      <c r="L799" s="74"/>
      <c r="M799" s="272" t="s">
        <v>16</v>
      </c>
      <c r="N799" s="74">
        <v>0</v>
      </c>
      <c r="O799" s="94"/>
      <c r="P799" s="118">
        <v>1</v>
      </c>
      <c r="Q799" s="510">
        <v>80</v>
      </c>
      <c r="R799" s="513">
        <v>180</v>
      </c>
      <c r="S799" s="41"/>
      <c r="T799" s="40"/>
      <c r="U799" s="40">
        <v>7.5</v>
      </c>
      <c r="V799" s="119">
        <v>1</v>
      </c>
      <c r="W799" s="40">
        <v>300</v>
      </c>
      <c r="X799" s="119">
        <v>1</v>
      </c>
      <c r="Y799" s="40">
        <v>57</v>
      </c>
      <c r="Z799" s="119">
        <v>1</v>
      </c>
      <c r="AA799" s="368">
        <v>0</v>
      </c>
      <c r="AB799" s="535">
        <v>5</v>
      </c>
      <c r="AC799" s="39"/>
      <c r="AD799" s="75" t="s">
        <v>16</v>
      </c>
      <c r="AE799" s="95">
        <v>-1</v>
      </c>
      <c r="AF799" s="75">
        <v>-1</v>
      </c>
      <c r="AG799" s="75">
        <v>-1</v>
      </c>
      <c r="AH799" s="75">
        <v>-1</v>
      </c>
      <c r="AI799" s="75">
        <v>-1</v>
      </c>
      <c r="AJ799" s="75">
        <v>-1</v>
      </c>
      <c r="AK799" s="75">
        <v>-1</v>
      </c>
      <c r="AL799" s="95">
        <v>-1</v>
      </c>
      <c r="AM799" s="92">
        <v>1</v>
      </c>
      <c r="AN799" s="79"/>
      <c r="AO799" s="75">
        <v>0</v>
      </c>
      <c r="AP799" s="75" t="s">
        <v>83</v>
      </c>
      <c r="AQ799" s="122">
        <v>1</v>
      </c>
      <c r="AR799" s="515" t="s">
        <v>16</v>
      </c>
      <c r="AS799" s="95">
        <v>-1</v>
      </c>
      <c r="AT799" s="75">
        <v>-1</v>
      </c>
      <c r="AU799" s="75">
        <v>-1</v>
      </c>
      <c r="AV799" s="75">
        <v>-1</v>
      </c>
      <c r="AW799" s="123">
        <v>1</v>
      </c>
      <c r="AX799" s="516" t="s">
        <v>2731</v>
      </c>
      <c r="AY799" s="75">
        <v>1</v>
      </c>
      <c r="AZ799" s="77" t="s">
        <v>5971</v>
      </c>
      <c r="BA799" s="78" t="s">
        <v>5971</v>
      </c>
      <c r="BB799" s="78" t="s">
        <v>5971</v>
      </c>
      <c r="BC799" s="78" t="s">
        <v>5971</v>
      </c>
      <c r="BD799" s="78" t="s">
        <v>5971</v>
      </c>
      <c r="BE799" s="78" t="s">
        <v>5971</v>
      </c>
      <c r="BF799" s="78" t="s">
        <v>5971</v>
      </c>
      <c r="BG799" s="78" t="s">
        <v>5971</v>
      </c>
      <c r="BH799" s="75" t="s">
        <v>5971</v>
      </c>
      <c r="BI799" s="295" t="s">
        <v>4037</v>
      </c>
      <c r="BJ799" s="546">
        <v>1</v>
      </c>
      <c r="BK799" s="294" t="s">
        <v>16</v>
      </c>
      <c r="BL799" s="157" t="s">
        <v>16</v>
      </c>
      <c r="BM799" s="548" t="s">
        <v>1346</v>
      </c>
      <c r="BN799" s="548" t="s">
        <v>4160</v>
      </c>
      <c r="BO799" s="157" t="s">
        <v>4325</v>
      </c>
      <c r="BP799" s="548" t="s">
        <v>4326</v>
      </c>
      <c r="BQ799" s="157" t="s">
        <v>4322</v>
      </c>
      <c r="BR799" s="157"/>
    </row>
    <row r="800" spans="1:70" x14ac:dyDescent="0.25">
      <c r="A800" s="19" t="s">
        <v>3686</v>
      </c>
      <c r="B800" s="37" t="s">
        <v>2732</v>
      </c>
      <c r="C800" s="90">
        <v>45120.694571759261</v>
      </c>
      <c r="D800" s="114">
        <v>45120.444571759261</v>
      </c>
      <c r="E800" s="38">
        <v>45120</v>
      </c>
      <c r="F800" s="91">
        <v>2023</v>
      </c>
      <c r="G800" s="93">
        <v>7</v>
      </c>
      <c r="H800" s="37" t="s">
        <v>2381</v>
      </c>
      <c r="I800" s="37" t="s">
        <v>16</v>
      </c>
      <c r="J800" s="103">
        <v>-90.077844600000006</v>
      </c>
      <c r="K800" s="40">
        <v>43.350893200000002</v>
      </c>
      <c r="L800" s="74"/>
      <c r="M800" s="272" t="s">
        <v>16</v>
      </c>
      <c r="N800" s="74">
        <v>0</v>
      </c>
      <c r="O800" s="94"/>
      <c r="P800" s="118">
        <v>1</v>
      </c>
      <c r="Q800" s="510">
        <v>0</v>
      </c>
      <c r="R800" s="513">
        <v>60</v>
      </c>
      <c r="S800" s="41"/>
      <c r="T800" s="40"/>
      <c r="U800" s="40">
        <v>7</v>
      </c>
      <c r="V800" s="119">
        <v>1</v>
      </c>
      <c r="W800" s="40">
        <v>100</v>
      </c>
      <c r="X800" s="119">
        <v>1</v>
      </c>
      <c r="Y800" s="40">
        <v>71</v>
      </c>
      <c r="Z800" s="119">
        <v>1</v>
      </c>
      <c r="AA800" s="368">
        <v>0</v>
      </c>
      <c r="AB800" s="535">
        <v>1</v>
      </c>
      <c r="AC800" s="39"/>
      <c r="AD800" s="75" t="s">
        <v>16</v>
      </c>
      <c r="AE800" s="95">
        <v>-1</v>
      </c>
      <c r="AF800" s="75">
        <v>-1</v>
      </c>
      <c r="AG800" s="75">
        <v>-1</v>
      </c>
      <c r="AH800" s="75">
        <v>-1</v>
      </c>
      <c r="AI800" s="75">
        <v>-1</v>
      </c>
      <c r="AJ800" s="75">
        <v>-1</v>
      </c>
      <c r="AK800" s="75">
        <v>-1</v>
      </c>
      <c r="AL800" s="95">
        <v>-1</v>
      </c>
      <c r="AM800" s="92">
        <v>1</v>
      </c>
      <c r="AN800" s="79"/>
      <c r="AO800" s="75">
        <v>0</v>
      </c>
      <c r="AP800" s="75" t="s">
        <v>83</v>
      </c>
      <c r="AQ800" s="122">
        <v>1</v>
      </c>
      <c r="AR800" s="515" t="s">
        <v>16</v>
      </c>
      <c r="AS800" s="95">
        <v>-1</v>
      </c>
      <c r="AT800" s="75">
        <v>-1</v>
      </c>
      <c r="AU800" s="75">
        <v>-1</v>
      </c>
      <c r="AV800" s="75">
        <v>-1</v>
      </c>
      <c r="AW800" s="123">
        <v>1</v>
      </c>
      <c r="AX800" s="516" t="s">
        <v>2733</v>
      </c>
      <c r="AY800" s="75">
        <v>1</v>
      </c>
      <c r="AZ800" s="77" t="s">
        <v>5971</v>
      </c>
      <c r="BA800" s="78" t="s">
        <v>5971</v>
      </c>
      <c r="BB800" s="78" t="s">
        <v>5971</v>
      </c>
      <c r="BC800" s="78" t="s">
        <v>5971</v>
      </c>
      <c r="BD800" s="78" t="s">
        <v>5971</v>
      </c>
      <c r="BE800" s="78" t="s">
        <v>5971</v>
      </c>
      <c r="BF800" s="78" t="s">
        <v>5971</v>
      </c>
      <c r="BG800" s="78" t="s">
        <v>5971</v>
      </c>
      <c r="BH800" s="75" t="s">
        <v>5971</v>
      </c>
      <c r="BI800" s="295">
        <v>0</v>
      </c>
      <c r="BJ800" s="546" t="s">
        <v>16</v>
      </c>
      <c r="BK800" s="294" t="s">
        <v>16</v>
      </c>
      <c r="BL800" s="157" t="s">
        <v>16</v>
      </c>
      <c r="BM800" s="548" t="s">
        <v>1346</v>
      </c>
      <c r="BN800" s="548" t="s">
        <v>4160</v>
      </c>
      <c r="BO800" s="157" t="s">
        <v>4325</v>
      </c>
      <c r="BP800" s="548" t="s">
        <v>4326</v>
      </c>
      <c r="BQ800" s="157" t="s">
        <v>4322</v>
      </c>
      <c r="BR800" s="157"/>
    </row>
    <row r="801" spans="1:70" x14ac:dyDescent="0.25">
      <c r="A801" s="19" t="s">
        <v>3686</v>
      </c>
      <c r="B801" s="37" t="s">
        <v>2734</v>
      </c>
      <c r="C801" s="90">
        <v>45120.67359953704</v>
      </c>
      <c r="D801" s="114">
        <v>45120.42359953704</v>
      </c>
      <c r="E801" s="38">
        <v>45120</v>
      </c>
      <c r="F801" s="91">
        <v>2023</v>
      </c>
      <c r="G801" s="93">
        <v>7</v>
      </c>
      <c r="H801" s="37" t="s">
        <v>2381</v>
      </c>
      <c r="I801" s="37"/>
      <c r="J801" s="103">
        <v>-90.093850799999998</v>
      </c>
      <c r="K801" s="40">
        <v>43.372652899999999</v>
      </c>
      <c r="L801" s="74"/>
      <c r="M801" s="272" t="s">
        <v>16</v>
      </c>
      <c r="N801" s="74">
        <v>0</v>
      </c>
      <c r="O801" s="94"/>
      <c r="P801" s="118">
        <v>0</v>
      </c>
      <c r="Q801" s="510"/>
      <c r="R801" s="513"/>
      <c r="S801" s="41"/>
      <c r="T801" s="40"/>
      <c r="U801" s="40"/>
      <c r="V801" s="119">
        <v>1</v>
      </c>
      <c r="W801" s="40">
        <v>300</v>
      </c>
      <c r="X801" s="119">
        <v>1</v>
      </c>
      <c r="Y801" s="40">
        <v>61</v>
      </c>
      <c r="Z801" s="119">
        <v>0</v>
      </c>
      <c r="AA801" s="368" t="s">
        <v>16</v>
      </c>
      <c r="AB801" s="535" t="s">
        <v>16</v>
      </c>
      <c r="AC801" s="39"/>
      <c r="AD801" s="75" t="s">
        <v>16</v>
      </c>
      <c r="AE801" s="95">
        <v>-1</v>
      </c>
      <c r="AF801" s="75">
        <v>-1</v>
      </c>
      <c r="AG801" s="75">
        <v>-1</v>
      </c>
      <c r="AH801" s="75">
        <v>-1</v>
      </c>
      <c r="AI801" s="75">
        <v>-1</v>
      </c>
      <c r="AJ801" s="75">
        <v>-1</v>
      </c>
      <c r="AK801" s="75">
        <v>-1</v>
      </c>
      <c r="AL801" s="95">
        <v>-1</v>
      </c>
      <c r="AM801" s="92">
        <v>1</v>
      </c>
      <c r="AN801" s="79" t="s">
        <v>16</v>
      </c>
      <c r="AO801" s="75">
        <v>0</v>
      </c>
      <c r="AP801" s="75" t="s">
        <v>83</v>
      </c>
      <c r="AQ801" s="122">
        <v>1</v>
      </c>
      <c r="AR801" s="515" t="s">
        <v>16</v>
      </c>
      <c r="AS801" s="95">
        <v>-1</v>
      </c>
      <c r="AT801" s="75">
        <v>-1</v>
      </c>
      <c r="AU801" s="75">
        <v>-1</v>
      </c>
      <c r="AV801" s="75">
        <v>-1</v>
      </c>
      <c r="AW801" s="123">
        <v>1</v>
      </c>
      <c r="AX801" s="516" t="s">
        <v>2735</v>
      </c>
      <c r="AY801" s="75">
        <v>1</v>
      </c>
      <c r="AZ801" s="77" t="s">
        <v>5971</v>
      </c>
      <c r="BA801" s="78" t="s">
        <v>5971</v>
      </c>
      <c r="BB801" s="78" t="s">
        <v>5971</v>
      </c>
      <c r="BC801" s="78" t="s">
        <v>5971</v>
      </c>
      <c r="BD801" s="78" t="s">
        <v>5971</v>
      </c>
      <c r="BE801" s="78" t="s">
        <v>5971</v>
      </c>
      <c r="BF801" s="78" t="s">
        <v>5971</v>
      </c>
      <c r="BG801" s="78" t="s">
        <v>5971</v>
      </c>
      <c r="BH801" s="75" t="s">
        <v>5971</v>
      </c>
      <c r="BI801" s="295">
        <v>0</v>
      </c>
      <c r="BJ801" s="546" t="s">
        <v>16</v>
      </c>
      <c r="BK801" s="294" t="s">
        <v>16</v>
      </c>
      <c r="BL801" s="157" t="s">
        <v>16</v>
      </c>
      <c r="BM801" s="548" t="s">
        <v>1346</v>
      </c>
      <c r="BN801" s="548" t="s">
        <v>4160</v>
      </c>
      <c r="BO801" s="157" t="s">
        <v>4325</v>
      </c>
      <c r="BP801" s="548" t="s">
        <v>4326</v>
      </c>
      <c r="BQ801" s="157" t="s">
        <v>4322</v>
      </c>
      <c r="BR801" s="157"/>
    </row>
    <row r="802" spans="1:70" x14ac:dyDescent="0.25">
      <c r="A802" s="19" t="s">
        <v>3686</v>
      </c>
      <c r="B802" s="37" t="s">
        <v>2736</v>
      </c>
      <c r="C802" s="90">
        <v>45120.646157407406</v>
      </c>
      <c r="D802" s="114">
        <v>45120.396157407406</v>
      </c>
      <c r="E802" s="38">
        <v>45120</v>
      </c>
      <c r="F802" s="91">
        <v>2023</v>
      </c>
      <c r="G802" s="93">
        <v>7</v>
      </c>
      <c r="H802" s="37" t="s">
        <v>1447</v>
      </c>
      <c r="I802" s="37"/>
      <c r="J802" s="103">
        <v>-92.802102835935358</v>
      </c>
      <c r="K802" s="40">
        <v>44.543072995771226</v>
      </c>
      <c r="L802" s="74"/>
      <c r="M802" s="272" t="s">
        <v>16</v>
      </c>
      <c r="N802" s="74">
        <v>0</v>
      </c>
      <c r="O802" s="94"/>
      <c r="P802" s="118">
        <v>1</v>
      </c>
      <c r="Q802" s="510">
        <v>180</v>
      </c>
      <c r="R802" s="513">
        <v>120</v>
      </c>
      <c r="S802" s="41"/>
      <c r="T802" s="40"/>
      <c r="U802" s="40">
        <v>8</v>
      </c>
      <c r="V802" s="119">
        <v>1</v>
      </c>
      <c r="W802" s="40">
        <v>100</v>
      </c>
      <c r="X802" s="119">
        <v>1</v>
      </c>
      <c r="Y802" s="40">
        <v>56</v>
      </c>
      <c r="Z802" s="119">
        <v>1</v>
      </c>
      <c r="AA802" s="368">
        <v>0</v>
      </c>
      <c r="AB802" s="535">
        <v>10</v>
      </c>
      <c r="AC802" s="39" t="s">
        <v>160</v>
      </c>
      <c r="AD802" s="75" t="s">
        <v>16</v>
      </c>
      <c r="AE802" s="95">
        <v>-1</v>
      </c>
      <c r="AF802" s="75">
        <v>-1</v>
      </c>
      <c r="AG802" s="75">
        <v>-1</v>
      </c>
      <c r="AH802" s="75">
        <v>-1</v>
      </c>
      <c r="AI802" s="75">
        <v>-1</v>
      </c>
      <c r="AJ802" s="75">
        <v>-1</v>
      </c>
      <c r="AK802" s="75">
        <v>-1</v>
      </c>
      <c r="AL802" s="95">
        <v>-1</v>
      </c>
      <c r="AM802" s="92">
        <v>1</v>
      </c>
      <c r="AN802" s="79" t="s">
        <v>80</v>
      </c>
      <c r="AO802" s="75">
        <v>1</v>
      </c>
      <c r="AP802" s="75" t="s">
        <v>83</v>
      </c>
      <c r="AQ802" s="122">
        <v>1</v>
      </c>
      <c r="AR802" s="515" t="s">
        <v>10</v>
      </c>
      <c r="AS802" s="95">
        <v>0</v>
      </c>
      <c r="AT802" s="75">
        <v>0</v>
      </c>
      <c r="AU802" s="75">
        <v>0</v>
      </c>
      <c r="AV802" s="75">
        <v>0</v>
      </c>
      <c r="AW802" s="123">
        <v>0</v>
      </c>
      <c r="AX802" s="516"/>
      <c r="AY802" s="75">
        <v>0</v>
      </c>
      <c r="AZ802" s="77" t="s">
        <v>5971</v>
      </c>
      <c r="BA802" s="78" t="s">
        <v>5971</v>
      </c>
      <c r="BB802" s="78" t="s">
        <v>5971</v>
      </c>
      <c r="BC802" s="78" t="s">
        <v>5971</v>
      </c>
      <c r="BD802" s="78" t="s">
        <v>5971</v>
      </c>
      <c r="BE802" s="78" t="s">
        <v>5971</v>
      </c>
      <c r="BF802" s="78" t="s">
        <v>5971</v>
      </c>
      <c r="BG802" s="78" t="s">
        <v>5971</v>
      </c>
      <c r="BH802" s="75" t="s">
        <v>5971</v>
      </c>
      <c r="BI802" s="295" t="s">
        <v>2224</v>
      </c>
      <c r="BJ802" s="546">
        <v>1</v>
      </c>
      <c r="BK802" s="294">
        <v>1</v>
      </c>
      <c r="BL802" s="157">
        <v>1</v>
      </c>
      <c r="BM802" s="548" t="s">
        <v>2343</v>
      </c>
      <c r="BN802" s="548" t="s">
        <v>4161</v>
      </c>
      <c r="BO802" s="157" t="s">
        <v>4510</v>
      </c>
      <c r="BP802" s="548" t="s">
        <v>753</v>
      </c>
      <c r="BQ802" s="157" t="s">
        <v>4389</v>
      </c>
      <c r="BR802" s="157"/>
    </row>
    <row r="803" spans="1:70" x14ac:dyDescent="0.25">
      <c r="A803" s="19" t="s">
        <v>3686</v>
      </c>
      <c r="B803" s="37" t="s">
        <v>2737</v>
      </c>
      <c r="C803" s="90">
        <v>45120.570648148147</v>
      </c>
      <c r="D803" s="114">
        <v>45120.320648148147</v>
      </c>
      <c r="E803" s="38">
        <v>45120</v>
      </c>
      <c r="F803" s="91">
        <v>2023</v>
      </c>
      <c r="G803" s="93">
        <v>7</v>
      </c>
      <c r="H803" s="37" t="s">
        <v>2400</v>
      </c>
      <c r="I803" s="37"/>
      <c r="J803" s="103">
        <v>-90.603819799999997</v>
      </c>
      <c r="K803" s="40">
        <v>43.497918300000002</v>
      </c>
      <c r="L803" s="74"/>
      <c r="M803" s="272" t="s">
        <v>16</v>
      </c>
      <c r="N803" s="74">
        <v>0</v>
      </c>
      <c r="O803" s="94"/>
      <c r="P803" s="118">
        <v>1</v>
      </c>
      <c r="Q803" s="510">
        <v>120</v>
      </c>
      <c r="R803" s="513">
        <v>180</v>
      </c>
      <c r="S803" s="41"/>
      <c r="T803" s="40"/>
      <c r="U803" s="40">
        <v>7.5</v>
      </c>
      <c r="V803" s="119">
        <v>1</v>
      </c>
      <c r="W803" s="40">
        <v>0</v>
      </c>
      <c r="X803" s="119">
        <v>1</v>
      </c>
      <c r="Y803" s="40">
        <v>54</v>
      </c>
      <c r="Z803" s="119">
        <v>1</v>
      </c>
      <c r="AA803" s="368">
        <v>0</v>
      </c>
      <c r="AB803" s="535">
        <v>0</v>
      </c>
      <c r="AC803" s="39" t="s">
        <v>160</v>
      </c>
      <c r="AD803" s="75" t="s">
        <v>10</v>
      </c>
      <c r="AE803" s="95">
        <v>0</v>
      </c>
      <c r="AF803" s="75">
        <v>0</v>
      </c>
      <c r="AG803" s="75">
        <v>0</v>
      </c>
      <c r="AH803" s="75">
        <v>0</v>
      </c>
      <c r="AI803" s="75">
        <v>0</v>
      </c>
      <c r="AJ803" s="75">
        <v>0</v>
      </c>
      <c r="AK803" s="75">
        <v>0</v>
      </c>
      <c r="AL803" s="95">
        <v>1</v>
      </c>
      <c r="AM803" s="92">
        <v>0</v>
      </c>
      <c r="AN803" s="79" t="s">
        <v>81</v>
      </c>
      <c r="AO803" s="75">
        <v>1</v>
      </c>
      <c r="AP803" s="75" t="s">
        <v>83</v>
      </c>
      <c r="AQ803" s="122">
        <v>1</v>
      </c>
      <c r="AR803" s="515" t="s">
        <v>10</v>
      </c>
      <c r="AS803" s="95">
        <v>0</v>
      </c>
      <c r="AT803" s="75">
        <v>0</v>
      </c>
      <c r="AU803" s="75">
        <v>0</v>
      </c>
      <c r="AV803" s="75">
        <v>0</v>
      </c>
      <c r="AW803" s="123">
        <v>0</v>
      </c>
      <c r="AX803" s="516"/>
      <c r="AY803" s="75">
        <v>0</v>
      </c>
      <c r="AZ803" s="77" t="s">
        <v>131</v>
      </c>
      <c r="BA803" s="78" t="s">
        <v>131</v>
      </c>
      <c r="BB803" s="78" t="s">
        <v>131</v>
      </c>
      <c r="BC803" s="78" t="s">
        <v>131</v>
      </c>
      <c r="BD803" s="78" t="s">
        <v>131</v>
      </c>
      <c r="BE803" s="78" t="s">
        <v>131</v>
      </c>
      <c r="BF803" s="78" t="s">
        <v>131</v>
      </c>
      <c r="BG803" s="78" t="s">
        <v>132</v>
      </c>
      <c r="BH803" s="75" t="s">
        <v>5970</v>
      </c>
      <c r="BI803" s="295" t="s">
        <v>2269</v>
      </c>
      <c r="BJ803" s="546">
        <v>1</v>
      </c>
      <c r="BK803" s="294" t="s">
        <v>16</v>
      </c>
      <c r="BL803" s="157" t="s">
        <v>16</v>
      </c>
      <c r="BM803" s="548" t="s">
        <v>1342</v>
      </c>
      <c r="BN803" s="548" t="s">
        <v>4158</v>
      </c>
      <c r="BO803" s="157" t="s">
        <v>4511</v>
      </c>
      <c r="BP803" s="548" t="s">
        <v>2269</v>
      </c>
      <c r="BQ803" s="157" t="s">
        <v>4274</v>
      </c>
      <c r="BR803" s="157"/>
    </row>
    <row r="804" spans="1:70" x14ac:dyDescent="0.25">
      <c r="A804" s="19" t="s">
        <v>3686</v>
      </c>
      <c r="B804" s="37" t="s">
        <v>2738</v>
      </c>
      <c r="C804" s="90">
        <v>45119.946435185186</v>
      </c>
      <c r="D804" s="114">
        <v>45119.696435185186</v>
      </c>
      <c r="E804" s="38">
        <v>45119</v>
      </c>
      <c r="F804" s="91">
        <v>2023</v>
      </c>
      <c r="G804" s="93">
        <v>7</v>
      </c>
      <c r="H804" s="37" t="s">
        <v>2400</v>
      </c>
      <c r="I804" s="37"/>
      <c r="J804" s="103">
        <v>-90.518549500000006</v>
      </c>
      <c r="K804" s="40">
        <v>43.299202299999997</v>
      </c>
      <c r="L804" s="74"/>
      <c r="M804" s="272" t="s">
        <v>16</v>
      </c>
      <c r="N804" s="74">
        <v>0</v>
      </c>
      <c r="O804" s="94"/>
      <c r="P804" s="118">
        <v>1</v>
      </c>
      <c r="Q804" s="510">
        <v>80</v>
      </c>
      <c r="R804" s="513">
        <v>180</v>
      </c>
      <c r="S804" s="41"/>
      <c r="T804" s="40"/>
      <c r="U804" s="40">
        <v>8</v>
      </c>
      <c r="V804" s="119">
        <v>1</v>
      </c>
      <c r="W804" s="40">
        <v>200</v>
      </c>
      <c r="X804" s="119">
        <v>1</v>
      </c>
      <c r="Y804" s="40">
        <v>61</v>
      </c>
      <c r="Z804" s="119">
        <v>1</v>
      </c>
      <c r="AA804" s="368">
        <v>0</v>
      </c>
      <c r="AB804" s="535">
        <v>1</v>
      </c>
      <c r="AC804" s="39" t="s">
        <v>160</v>
      </c>
      <c r="AD804" s="75" t="s">
        <v>16</v>
      </c>
      <c r="AE804" s="95">
        <v>-1</v>
      </c>
      <c r="AF804" s="75">
        <v>-1</v>
      </c>
      <c r="AG804" s="75">
        <v>-1</v>
      </c>
      <c r="AH804" s="75">
        <v>-1</v>
      </c>
      <c r="AI804" s="75">
        <v>-1</v>
      </c>
      <c r="AJ804" s="75">
        <v>-1</v>
      </c>
      <c r="AK804" s="75">
        <v>-1</v>
      </c>
      <c r="AL804" s="95">
        <v>-1</v>
      </c>
      <c r="AM804" s="92">
        <v>1</v>
      </c>
      <c r="AN804" s="79" t="s">
        <v>195</v>
      </c>
      <c r="AO804" s="75">
        <v>1</v>
      </c>
      <c r="AP804" s="75" t="s">
        <v>85</v>
      </c>
      <c r="AQ804" s="122">
        <v>1</v>
      </c>
      <c r="AR804" s="515" t="s">
        <v>35</v>
      </c>
      <c r="AS804" s="95">
        <v>0</v>
      </c>
      <c r="AT804" s="75">
        <v>1</v>
      </c>
      <c r="AU804" s="75">
        <v>0</v>
      </c>
      <c r="AV804" s="75">
        <v>0</v>
      </c>
      <c r="AW804" s="123">
        <v>0</v>
      </c>
      <c r="AX804" s="516"/>
      <c r="AY804" s="75">
        <v>0</v>
      </c>
      <c r="AZ804" s="77" t="s">
        <v>5971</v>
      </c>
      <c r="BA804" s="78" t="s">
        <v>5971</v>
      </c>
      <c r="BB804" s="78" t="s">
        <v>5971</v>
      </c>
      <c r="BC804" s="78" t="s">
        <v>5971</v>
      </c>
      <c r="BD804" s="78" t="s">
        <v>5971</v>
      </c>
      <c r="BE804" s="78" t="s">
        <v>5971</v>
      </c>
      <c r="BF804" s="78" t="s">
        <v>5971</v>
      </c>
      <c r="BG804" s="78" t="s">
        <v>5971</v>
      </c>
      <c r="BH804" s="75" t="s">
        <v>5971</v>
      </c>
      <c r="BI804" s="295" t="s">
        <v>4098</v>
      </c>
      <c r="BJ804" s="546">
        <v>1</v>
      </c>
      <c r="BK804" s="294" t="s">
        <v>16</v>
      </c>
      <c r="BL804" s="157" t="s">
        <v>16</v>
      </c>
      <c r="BM804" s="548" t="s">
        <v>1345</v>
      </c>
      <c r="BN804" s="548" t="s">
        <v>4158</v>
      </c>
      <c r="BO804" s="157" t="s">
        <v>4301</v>
      </c>
      <c r="BP804" s="548" t="s">
        <v>4404</v>
      </c>
      <c r="BQ804" s="157" t="s">
        <v>4297</v>
      </c>
      <c r="BR804" s="157"/>
    </row>
    <row r="805" spans="1:70" x14ac:dyDescent="0.25">
      <c r="A805" s="19" t="s">
        <v>3686</v>
      </c>
      <c r="B805" s="37" t="s">
        <v>2739</v>
      </c>
      <c r="C805" s="90">
        <v>45119.90552083333</v>
      </c>
      <c r="D805" s="114">
        <v>45119.65552083333</v>
      </c>
      <c r="E805" s="38">
        <v>45119</v>
      </c>
      <c r="F805" s="91">
        <v>2023</v>
      </c>
      <c r="G805" s="93">
        <v>7</v>
      </c>
      <c r="H805" s="37" t="s">
        <v>2446</v>
      </c>
      <c r="I805" s="37"/>
      <c r="J805" s="103">
        <v>-91.145595724045904</v>
      </c>
      <c r="K805" s="40">
        <v>44.537896551856889</v>
      </c>
      <c r="L805" s="74"/>
      <c r="M805" s="272" t="s">
        <v>2740</v>
      </c>
      <c r="N805" s="74">
        <v>1</v>
      </c>
      <c r="O805" s="94"/>
      <c r="P805" s="118">
        <v>1</v>
      </c>
      <c r="Q805" s="510">
        <v>40</v>
      </c>
      <c r="R805" s="513">
        <v>30</v>
      </c>
      <c r="S805" s="41"/>
      <c r="T805" s="40"/>
      <c r="U805" s="40">
        <v>7</v>
      </c>
      <c r="V805" s="119">
        <v>1</v>
      </c>
      <c r="W805" s="40">
        <v>100</v>
      </c>
      <c r="X805" s="119">
        <v>1</v>
      </c>
      <c r="Y805" s="40">
        <v>59</v>
      </c>
      <c r="Z805" s="119">
        <v>1</v>
      </c>
      <c r="AA805" s="368">
        <v>0</v>
      </c>
      <c r="AB805" s="535">
        <v>1</v>
      </c>
      <c r="AC805" s="39" t="s">
        <v>160</v>
      </c>
      <c r="AD805" s="75" t="s">
        <v>10</v>
      </c>
      <c r="AE805" s="95">
        <v>0</v>
      </c>
      <c r="AF805" s="75">
        <v>0</v>
      </c>
      <c r="AG805" s="75">
        <v>0</v>
      </c>
      <c r="AH805" s="75">
        <v>0</v>
      </c>
      <c r="AI805" s="75">
        <v>0</v>
      </c>
      <c r="AJ805" s="75">
        <v>0</v>
      </c>
      <c r="AK805" s="75">
        <v>0</v>
      </c>
      <c r="AL805" s="95">
        <v>1</v>
      </c>
      <c r="AM805" s="92">
        <v>0</v>
      </c>
      <c r="AN805" s="79" t="s">
        <v>80</v>
      </c>
      <c r="AO805" s="75">
        <v>1</v>
      </c>
      <c r="AP805" s="75" t="s">
        <v>83</v>
      </c>
      <c r="AQ805" s="122">
        <v>1</v>
      </c>
      <c r="AR805" s="515" t="s">
        <v>10</v>
      </c>
      <c r="AS805" s="95">
        <v>0</v>
      </c>
      <c r="AT805" s="75">
        <v>0</v>
      </c>
      <c r="AU805" s="75">
        <v>0</v>
      </c>
      <c r="AV805" s="75">
        <v>0</v>
      </c>
      <c r="AW805" s="123">
        <v>0</v>
      </c>
      <c r="AX805" s="516"/>
      <c r="AY805" s="75">
        <v>0</v>
      </c>
      <c r="AZ805" s="77" t="s">
        <v>131</v>
      </c>
      <c r="BA805" s="78" t="s">
        <v>131</v>
      </c>
      <c r="BB805" s="78" t="s">
        <v>131</v>
      </c>
      <c r="BC805" s="78" t="s">
        <v>131</v>
      </c>
      <c r="BD805" s="78" t="s">
        <v>131</v>
      </c>
      <c r="BE805" s="78" t="s">
        <v>131</v>
      </c>
      <c r="BF805" s="78" t="s">
        <v>131</v>
      </c>
      <c r="BG805" s="78" t="s">
        <v>132</v>
      </c>
      <c r="BH805" s="75" t="s">
        <v>5970</v>
      </c>
      <c r="BI805" s="295" t="s">
        <v>16</v>
      </c>
      <c r="BJ805" s="546">
        <v>1</v>
      </c>
      <c r="BK805" s="294">
        <v>1</v>
      </c>
      <c r="BL805" s="157">
        <v>1</v>
      </c>
      <c r="BM805" s="548" t="s">
        <v>1340</v>
      </c>
      <c r="BN805" s="548" t="s">
        <v>4158</v>
      </c>
      <c r="BO805" s="157" t="s">
        <v>4498</v>
      </c>
      <c r="BP805" s="548" t="s">
        <v>4512</v>
      </c>
      <c r="BQ805" s="157" t="s">
        <v>4492</v>
      </c>
      <c r="BR805" s="157"/>
    </row>
    <row r="806" spans="1:70" x14ac:dyDescent="0.25">
      <c r="A806" s="19" t="s">
        <v>3686</v>
      </c>
      <c r="B806" s="37" t="s">
        <v>2741</v>
      </c>
      <c r="C806" s="90">
        <v>45119.675856481481</v>
      </c>
      <c r="D806" s="114">
        <v>45119.425856481481</v>
      </c>
      <c r="E806" s="38">
        <v>45119</v>
      </c>
      <c r="F806" s="91">
        <v>2023</v>
      </c>
      <c r="G806" s="93">
        <v>7</v>
      </c>
      <c r="H806" s="37" t="s">
        <v>2654</v>
      </c>
      <c r="I806" s="37"/>
      <c r="J806" s="103">
        <v>-91.166285900000005</v>
      </c>
      <c r="K806" s="40">
        <v>44.545716499999997</v>
      </c>
      <c r="L806" s="74"/>
      <c r="M806" s="272" t="s">
        <v>2742</v>
      </c>
      <c r="N806" s="74">
        <v>1</v>
      </c>
      <c r="O806" s="94"/>
      <c r="P806" s="118">
        <v>1</v>
      </c>
      <c r="Q806" s="510">
        <v>40</v>
      </c>
      <c r="R806" s="513">
        <v>60</v>
      </c>
      <c r="S806" s="41"/>
      <c r="T806" s="40"/>
      <c r="U806" s="40">
        <v>6</v>
      </c>
      <c r="V806" s="119">
        <v>1</v>
      </c>
      <c r="W806" s="40">
        <v>0</v>
      </c>
      <c r="X806" s="119">
        <v>1</v>
      </c>
      <c r="Y806" s="40">
        <v>59</v>
      </c>
      <c r="Z806" s="119">
        <v>1</v>
      </c>
      <c r="AA806" s="368">
        <v>0</v>
      </c>
      <c r="AB806" s="535">
        <v>5</v>
      </c>
      <c r="AC806" s="39" t="s">
        <v>160</v>
      </c>
      <c r="AD806" s="75" t="s">
        <v>10</v>
      </c>
      <c r="AE806" s="95">
        <v>0</v>
      </c>
      <c r="AF806" s="75">
        <v>0</v>
      </c>
      <c r="AG806" s="75">
        <v>0</v>
      </c>
      <c r="AH806" s="75">
        <v>0</v>
      </c>
      <c r="AI806" s="75">
        <v>0</v>
      </c>
      <c r="AJ806" s="75">
        <v>0</v>
      </c>
      <c r="AK806" s="75">
        <v>0</v>
      </c>
      <c r="AL806" s="95">
        <v>1</v>
      </c>
      <c r="AM806" s="92">
        <v>0</v>
      </c>
      <c r="AN806" s="79" t="s">
        <v>80</v>
      </c>
      <c r="AO806" s="75">
        <v>1</v>
      </c>
      <c r="AP806" s="75" t="s">
        <v>83</v>
      </c>
      <c r="AQ806" s="122">
        <v>1</v>
      </c>
      <c r="AR806" s="515" t="s">
        <v>10</v>
      </c>
      <c r="AS806" s="95">
        <v>0</v>
      </c>
      <c r="AT806" s="75">
        <v>0</v>
      </c>
      <c r="AU806" s="75">
        <v>0</v>
      </c>
      <c r="AV806" s="75">
        <v>0</v>
      </c>
      <c r="AW806" s="123">
        <v>0</v>
      </c>
      <c r="AX806" s="516"/>
      <c r="AY806" s="75">
        <v>0</v>
      </c>
      <c r="AZ806" s="77" t="s">
        <v>131</v>
      </c>
      <c r="BA806" s="78" t="s">
        <v>131</v>
      </c>
      <c r="BB806" s="78" t="s">
        <v>131</v>
      </c>
      <c r="BC806" s="78" t="s">
        <v>131</v>
      </c>
      <c r="BD806" s="78" t="s">
        <v>131</v>
      </c>
      <c r="BE806" s="78" t="s">
        <v>131</v>
      </c>
      <c r="BF806" s="78" t="s">
        <v>131</v>
      </c>
      <c r="BG806" s="78" t="s">
        <v>132</v>
      </c>
      <c r="BH806" s="75" t="s">
        <v>5970</v>
      </c>
      <c r="BI806" s="295" t="s">
        <v>2312</v>
      </c>
      <c r="BJ806" s="546">
        <v>1</v>
      </c>
      <c r="BK806" s="294">
        <v>1</v>
      </c>
      <c r="BL806" s="157">
        <v>1</v>
      </c>
      <c r="BM806" s="548" t="s">
        <v>1340</v>
      </c>
      <c r="BN806" s="548" t="s">
        <v>4158</v>
      </c>
      <c r="BO806" s="157" t="s">
        <v>4498</v>
      </c>
      <c r="BP806" s="548" t="s">
        <v>4512</v>
      </c>
      <c r="BQ806" s="157" t="s">
        <v>4492</v>
      </c>
      <c r="BR806" s="157"/>
    </row>
    <row r="807" spans="1:70" x14ac:dyDescent="0.25">
      <c r="A807" s="19" t="s">
        <v>3686</v>
      </c>
      <c r="B807" s="37" t="s">
        <v>2743</v>
      </c>
      <c r="C807" s="90">
        <v>45119.587141203701</v>
      </c>
      <c r="D807" s="114">
        <v>45119.337141203701</v>
      </c>
      <c r="E807" s="38">
        <v>45119</v>
      </c>
      <c r="F807" s="91">
        <v>2023</v>
      </c>
      <c r="G807" s="93">
        <v>7</v>
      </c>
      <c r="H807" s="37" t="s">
        <v>2654</v>
      </c>
      <c r="I807" s="37"/>
      <c r="J807" s="103">
        <v>-91.206094300000004</v>
      </c>
      <c r="K807" s="40">
        <v>44.571172300000001</v>
      </c>
      <c r="L807" s="74"/>
      <c r="M807" s="272" t="s">
        <v>2744</v>
      </c>
      <c r="N807" s="74">
        <v>1</v>
      </c>
      <c r="O807" s="94"/>
      <c r="P807" s="118">
        <v>1</v>
      </c>
      <c r="Q807" s="510">
        <v>40</v>
      </c>
      <c r="R807" s="513">
        <v>30</v>
      </c>
      <c r="S807" s="41"/>
      <c r="T807" s="40"/>
      <c r="U807" s="40">
        <v>6</v>
      </c>
      <c r="V807" s="119">
        <v>0</v>
      </c>
      <c r="W807" s="40"/>
      <c r="X807" s="119">
        <v>0</v>
      </c>
      <c r="Y807" s="40"/>
      <c r="Z807" s="119">
        <v>1</v>
      </c>
      <c r="AA807" s="368">
        <v>0</v>
      </c>
      <c r="AB807" s="535">
        <v>2</v>
      </c>
      <c r="AC807" s="39" t="s">
        <v>160</v>
      </c>
      <c r="AD807" s="75" t="s">
        <v>10</v>
      </c>
      <c r="AE807" s="95">
        <v>0</v>
      </c>
      <c r="AF807" s="75">
        <v>0</v>
      </c>
      <c r="AG807" s="75">
        <v>0</v>
      </c>
      <c r="AH807" s="75">
        <v>0</v>
      </c>
      <c r="AI807" s="75">
        <v>0</v>
      </c>
      <c r="AJ807" s="75">
        <v>0</v>
      </c>
      <c r="AK807" s="75">
        <v>0</v>
      </c>
      <c r="AL807" s="95">
        <v>1</v>
      </c>
      <c r="AM807" s="92">
        <v>0</v>
      </c>
      <c r="AN807" s="79" t="s">
        <v>80</v>
      </c>
      <c r="AO807" s="75">
        <v>1</v>
      </c>
      <c r="AP807" s="75" t="s">
        <v>84</v>
      </c>
      <c r="AQ807" s="122">
        <v>1</v>
      </c>
      <c r="AR807" s="515" t="s">
        <v>10</v>
      </c>
      <c r="AS807" s="95">
        <v>0</v>
      </c>
      <c r="AT807" s="75">
        <v>0</v>
      </c>
      <c r="AU807" s="75">
        <v>0</v>
      </c>
      <c r="AV807" s="75">
        <v>0</v>
      </c>
      <c r="AW807" s="123">
        <v>0</v>
      </c>
      <c r="AX807" s="516"/>
      <c r="AY807" s="75">
        <v>0</v>
      </c>
      <c r="AZ807" s="77" t="s">
        <v>131</v>
      </c>
      <c r="BA807" s="78" t="s">
        <v>131</v>
      </c>
      <c r="BB807" s="78" t="s">
        <v>131</v>
      </c>
      <c r="BC807" s="78" t="s">
        <v>131</v>
      </c>
      <c r="BD807" s="78" t="s">
        <v>131</v>
      </c>
      <c r="BE807" s="78" t="s">
        <v>131</v>
      </c>
      <c r="BF807" s="78" t="s">
        <v>131</v>
      </c>
      <c r="BG807" s="78" t="s">
        <v>132</v>
      </c>
      <c r="BH807" s="75" t="s">
        <v>5970</v>
      </c>
      <c r="BI807" s="295" t="s">
        <v>2312</v>
      </c>
      <c r="BJ807" s="546">
        <v>1</v>
      </c>
      <c r="BK807" s="294">
        <v>1</v>
      </c>
      <c r="BL807" s="157">
        <v>1</v>
      </c>
      <c r="BM807" s="548" t="s">
        <v>1340</v>
      </c>
      <c r="BN807" s="548" t="s">
        <v>4158</v>
      </c>
      <c r="BO807" s="157" t="s">
        <v>4498</v>
      </c>
      <c r="BP807" s="548" t="s">
        <v>4512</v>
      </c>
      <c r="BQ807" s="157" t="s">
        <v>4492</v>
      </c>
      <c r="BR807" s="157"/>
    </row>
    <row r="808" spans="1:70" x14ac:dyDescent="0.25">
      <c r="A808" s="19" t="s">
        <v>3686</v>
      </c>
      <c r="B808" s="37" t="s">
        <v>2745</v>
      </c>
      <c r="C808" s="90">
        <v>45118.923761574071</v>
      </c>
      <c r="D808" s="114">
        <v>45118.673761574071</v>
      </c>
      <c r="E808" s="38">
        <v>45118</v>
      </c>
      <c r="F808" s="91">
        <v>2023</v>
      </c>
      <c r="G808" s="93">
        <v>7</v>
      </c>
      <c r="H808" s="37" t="s">
        <v>2446</v>
      </c>
      <c r="I808" s="37"/>
      <c r="J808" s="103">
        <v>-91.100324117670382</v>
      </c>
      <c r="K808" s="40">
        <v>44.538899906210567</v>
      </c>
      <c r="L808" s="74"/>
      <c r="M808" s="272" t="s">
        <v>2746</v>
      </c>
      <c r="N808" s="74">
        <v>1</v>
      </c>
      <c r="O808" s="94"/>
      <c r="P808" s="118">
        <v>1</v>
      </c>
      <c r="Q808" s="510">
        <v>40</v>
      </c>
      <c r="R808" s="513">
        <v>30</v>
      </c>
      <c r="S808" s="41"/>
      <c r="T808" s="40"/>
      <c r="U808" s="40">
        <v>7.5</v>
      </c>
      <c r="V808" s="119">
        <v>1</v>
      </c>
      <c r="W808" s="40">
        <v>0</v>
      </c>
      <c r="X808" s="119">
        <v>1</v>
      </c>
      <c r="Y808" s="40">
        <v>58</v>
      </c>
      <c r="Z808" s="119">
        <v>1</v>
      </c>
      <c r="AA808" s="368">
        <v>0</v>
      </c>
      <c r="AB808" s="535">
        <v>5</v>
      </c>
      <c r="AC808" s="39" t="s">
        <v>160</v>
      </c>
      <c r="AD808" s="75" t="s">
        <v>7</v>
      </c>
      <c r="AE808" s="95">
        <v>1</v>
      </c>
      <c r="AF808" s="75">
        <v>0</v>
      </c>
      <c r="AG808" s="75">
        <v>0</v>
      </c>
      <c r="AH808" s="75">
        <v>0</v>
      </c>
      <c r="AI808" s="75">
        <v>0</v>
      </c>
      <c r="AJ808" s="75">
        <v>0</v>
      </c>
      <c r="AK808" s="75">
        <v>0</v>
      </c>
      <c r="AL808" s="95">
        <v>0</v>
      </c>
      <c r="AM808" s="92">
        <v>0</v>
      </c>
      <c r="AN808" s="79" t="s">
        <v>80</v>
      </c>
      <c r="AO808" s="75">
        <v>1</v>
      </c>
      <c r="AP808" s="75" t="s">
        <v>83</v>
      </c>
      <c r="AQ808" s="122">
        <v>1</v>
      </c>
      <c r="AR808" s="515" t="s">
        <v>10</v>
      </c>
      <c r="AS808" s="95">
        <v>0</v>
      </c>
      <c r="AT808" s="75">
        <v>0</v>
      </c>
      <c r="AU808" s="75">
        <v>0</v>
      </c>
      <c r="AV808" s="75">
        <v>0</v>
      </c>
      <c r="AW808" s="123">
        <v>0</v>
      </c>
      <c r="AX808" s="516"/>
      <c r="AY808" s="75">
        <v>0</v>
      </c>
      <c r="AZ808" s="77" t="s">
        <v>132</v>
      </c>
      <c r="BA808" s="78" t="s">
        <v>131</v>
      </c>
      <c r="BB808" s="78" t="s">
        <v>131</v>
      </c>
      <c r="BC808" s="78" t="s">
        <v>131</v>
      </c>
      <c r="BD808" s="78" t="s">
        <v>131</v>
      </c>
      <c r="BE808" s="78" t="s">
        <v>131</v>
      </c>
      <c r="BF808" s="78" t="s">
        <v>131</v>
      </c>
      <c r="BG808" s="78" t="s">
        <v>131</v>
      </c>
      <c r="BH808" s="75" t="s">
        <v>5970</v>
      </c>
      <c r="BI808" s="295" t="s">
        <v>2313</v>
      </c>
      <c r="BJ808" s="546">
        <v>1</v>
      </c>
      <c r="BK808" s="294">
        <v>1</v>
      </c>
      <c r="BL808" s="157">
        <v>1</v>
      </c>
      <c r="BM808" s="548" t="s">
        <v>1340</v>
      </c>
      <c r="BN808" s="548" t="s">
        <v>4158</v>
      </c>
      <c r="BO808" s="157" t="s">
        <v>4498</v>
      </c>
      <c r="BP808" s="548" t="s">
        <v>4512</v>
      </c>
      <c r="BQ808" s="157" t="s">
        <v>4492</v>
      </c>
      <c r="BR808" s="157"/>
    </row>
    <row r="809" spans="1:70" x14ac:dyDescent="0.25">
      <c r="A809" s="19" t="s">
        <v>3686</v>
      </c>
      <c r="B809" s="37" t="s">
        <v>2747</v>
      </c>
      <c r="C809" s="90">
        <v>45118.88009259259</v>
      </c>
      <c r="D809" s="114">
        <v>45118.63009259259</v>
      </c>
      <c r="E809" s="38">
        <v>45118</v>
      </c>
      <c r="F809" s="91">
        <v>2023</v>
      </c>
      <c r="G809" s="93">
        <v>7</v>
      </c>
      <c r="H809" s="37" t="s">
        <v>2548</v>
      </c>
      <c r="I809" s="37"/>
      <c r="J809" s="103">
        <v>-90.41602021866774</v>
      </c>
      <c r="K809" s="40">
        <v>43.522865922325494</v>
      </c>
      <c r="L809" s="74"/>
      <c r="M809" s="272" t="s">
        <v>16</v>
      </c>
      <c r="N809" s="74">
        <v>0</v>
      </c>
      <c r="O809" s="94"/>
      <c r="P809" s="118">
        <v>1</v>
      </c>
      <c r="Q809" s="510">
        <v>180</v>
      </c>
      <c r="R809" s="513">
        <v>120</v>
      </c>
      <c r="S809" s="41"/>
      <c r="T809" s="40"/>
      <c r="U809" s="40">
        <v>7.5</v>
      </c>
      <c r="V809" s="119">
        <v>1</v>
      </c>
      <c r="W809" s="40">
        <v>0</v>
      </c>
      <c r="X809" s="119">
        <v>1</v>
      </c>
      <c r="Y809" s="40">
        <v>77</v>
      </c>
      <c r="Z809" s="119">
        <v>1</v>
      </c>
      <c r="AA809" s="368">
        <v>0</v>
      </c>
      <c r="AB809" s="535">
        <v>0</v>
      </c>
      <c r="AC809" s="39" t="s">
        <v>160</v>
      </c>
      <c r="AD809" s="75" t="s">
        <v>10</v>
      </c>
      <c r="AE809" s="95">
        <v>0</v>
      </c>
      <c r="AF809" s="75">
        <v>0</v>
      </c>
      <c r="AG809" s="75">
        <v>0</v>
      </c>
      <c r="AH809" s="75">
        <v>0</v>
      </c>
      <c r="AI809" s="75">
        <v>0</v>
      </c>
      <c r="AJ809" s="75">
        <v>0</v>
      </c>
      <c r="AK809" s="75">
        <v>0</v>
      </c>
      <c r="AL809" s="95">
        <v>1</v>
      </c>
      <c r="AM809" s="92">
        <v>0</v>
      </c>
      <c r="AN809" s="79" t="s">
        <v>80</v>
      </c>
      <c r="AO809" s="75">
        <v>1</v>
      </c>
      <c r="AP809" s="75" t="s">
        <v>83</v>
      </c>
      <c r="AQ809" s="122">
        <v>1</v>
      </c>
      <c r="AR809" s="515" t="s">
        <v>10</v>
      </c>
      <c r="AS809" s="95">
        <v>0</v>
      </c>
      <c r="AT809" s="75">
        <v>0</v>
      </c>
      <c r="AU809" s="75">
        <v>0</v>
      </c>
      <c r="AV809" s="75">
        <v>0</v>
      </c>
      <c r="AW809" s="123">
        <v>0</v>
      </c>
      <c r="AX809" s="516"/>
      <c r="AY809" s="75">
        <v>0</v>
      </c>
      <c r="AZ809" s="77" t="s">
        <v>131</v>
      </c>
      <c r="BA809" s="78" t="s">
        <v>131</v>
      </c>
      <c r="BB809" s="78" t="s">
        <v>131</v>
      </c>
      <c r="BC809" s="78" t="s">
        <v>131</v>
      </c>
      <c r="BD809" s="78" t="s">
        <v>131</v>
      </c>
      <c r="BE809" s="78" t="s">
        <v>131</v>
      </c>
      <c r="BF809" s="78" t="s">
        <v>131</v>
      </c>
      <c r="BG809" s="78" t="s">
        <v>132</v>
      </c>
      <c r="BH809" s="75" t="s">
        <v>5970</v>
      </c>
      <c r="BI809" s="295" t="s">
        <v>5955</v>
      </c>
      <c r="BJ809" s="546">
        <v>1</v>
      </c>
      <c r="BK809" s="294" t="s">
        <v>16</v>
      </c>
      <c r="BL809" s="157" t="s">
        <v>16</v>
      </c>
      <c r="BM809" s="548" t="s">
        <v>1342</v>
      </c>
      <c r="BN809" s="548" t="s">
        <v>4158</v>
      </c>
      <c r="BO809" s="157" t="s">
        <v>4399</v>
      </c>
      <c r="BP809" s="548" t="s">
        <v>4400</v>
      </c>
      <c r="BQ809" s="157" t="s">
        <v>4392</v>
      </c>
      <c r="BR809" s="157"/>
    </row>
    <row r="810" spans="1:70" x14ac:dyDescent="0.25">
      <c r="A810" s="19" t="s">
        <v>3686</v>
      </c>
      <c r="B810" s="37" t="s">
        <v>2748</v>
      </c>
      <c r="C810" s="90">
        <v>45118.852754629632</v>
      </c>
      <c r="D810" s="114">
        <v>45118.602754629632</v>
      </c>
      <c r="E810" s="38">
        <v>45118</v>
      </c>
      <c r="F810" s="91">
        <v>2023</v>
      </c>
      <c r="G810" s="93">
        <v>7</v>
      </c>
      <c r="H810" s="37" t="s">
        <v>1364</v>
      </c>
      <c r="I810" s="37" t="s">
        <v>959</v>
      </c>
      <c r="J810" s="103">
        <v>-92.597054499999999</v>
      </c>
      <c r="K810" s="40">
        <v>44.472602299999998</v>
      </c>
      <c r="L810" s="74"/>
      <c r="M810" s="272" t="s">
        <v>2749</v>
      </c>
      <c r="N810" s="74">
        <v>1</v>
      </c>
      <c r="O810" s="94"/>
      <c r="P810" s="118">
        <v>1</v>
      </c>
      <c r="Q810" s="510">
        <v>80</v>
      </c>
      <c r="R810" s="513">
        <v>180</v>
      </c>
      <c r="S810" s="41"/>
      <c r="T810" s="40"/>
      <c r="U810" s="40">
        <v>7</v>
      </c>
      <c r="V810" s="119">
        <v>1</v>
      </c>
      <c r="W810" s="40">
        <v>100</v>
      </c>
      <c r="X810" s="119">
        <v>1</v>
      </c>
      <c r="Y810" s="40">
        <v>61</v>
      </c>
      <c r="Z810" s="119">
        <v>1</v>
      </c>
      <c r="AA810" s="368">
        <v>0</v>
      </c>
      <c r="AB810" s="535">
        <v>2</v>
      </c>
      <c r="AC810" s="39" t="s">
        <v>160</v>
      </c>
      <c r="AD810" s="75" t="s">
        <v>10</v>
      </c>
      <c r="AE810" s="95">
        <v>0</v>
      </c>
      <c r="AF810" s="75">
        <v>0</v>
      </c>
      <c r="AG810" s="75">
        <v>0</v>
      </c>
      <c r="AH810" s="75">
        <v>0</v>
      </c>
      <c r="AI810" s="75">
        <v>0</v>
      </c>
      <c r="AJ810" s="75">
        <v>0</v>
      </c>
      <c r="AK810" s="75">
        <v>0</v>
      </c>
      <c r="AL810" s="95">
        <v>1</v>
      </c>
      <c r="AM810" s="92">
        <v>0</v>
      </c>
      <c r="AN810" s="79" t="s">
        <v>80</v>
      </c>
      <c r="AO810" s="75">
        <v>1</v>
      </c>
      <c r="AP810" s="75" t="s">
        <v>83</v>
      </c>
      <c r="AQ810" s="122">
        <v>1</v>
      </c>
      <c r="AR810" s="515" t="s">
        <v>10</v>
      </c>
      <c r="AS810" s="95">
        <v>0</v>
      </c>
      <c r="AT810" s="75">
        <v>0</v>
      </c>
      <c r="AU810" s="75">
        <v>0</v>
      </c>
      <c r="AV810" s="75">
        <v>0</v>
      </c>
      <c r="AW810" s="123">
        <v>0</v>
      </c>
      <c r="AX810" s="516"/>
      <c r="AY810" s="75">
        <v>0</v>
      </c>
      <c r="AZ810" s="77" t="s">
        <v>131</v>
      </c>
      <c r="BA810" s="78" t="s">
        <v>131</v>
      </c>
      <c r="BB810" s="78" t="s">
        <v>131</v>
      </c>
      <c r="BC810" s="78" t="s">
        <v>131</v>
      </c>
      <c r="BD810" s="78" t="s">
        <v>131</v>
      </c>
      <c r="BE810" s="78" t="s">
        <v>131</v>
      </c>
      <c r="BF810" s="78" t="s">
        <v>131</v>
      </c>
      <c r="BG810" s="78" t="s">
        <v>132</v>
      </c>
      <c r="BH810" s="75" t="s">
        <v>5970</v>
      </c>
      <c r="BI810" s="295" t="s">
        <v>16</v>
      </c>
      <c r="BJ810" s="546">
        <v>1</v>
      </c>
      <c r="BK810" s="294" t="s">
        <v>16</v>
      </c>
      <c r="BL810" s="157" t="s">
        <v>16</v>
      </c>
      <c r="BM810" s="548" t="s">
        <v>2343</v>
      </c>
      <c r="BN810" s="548" t="s">
        <v>4161</v>
      </c>
      <c r="BO810" s="157" t="s">
        <v>4308</v>
      </c>
      <c r="BP810" s="548" t="s">
        <v>2238</v>
      </c>
      <c r="BQ810" s="157" t="s">
        <v>4307</v>
      </c>
      <c r="BR810" s="157"/>
    </row>
    <row r="811" spans="1:70" x14ac:dyDescent="0.25">
      <c r="A811" s="19" t="s">
        <v>3686</v>
      </c>
      <c r="B811" s="37" t="s">
        <v>2750</v>
      </c>
      <c r="C811" s="90">
        <v>45118.829236111109</v>
      </c>
      <c r="D811" s="114">
        <v>45118.579236111109</v>
      </c>
      <c r="E811" s="38">
        <v>45118</v>
      </c>
      <c r="F811" s="91">
        <v>2023</v>
      </c>
      <c r="G811" s="93">
        <v>7</v>
      </c>
      <c r="H811" s="37" t="s">
        <v>1364</v>
      </c>
      <c r="I811" s="37" t="s">
        <v>958</v>
      </c>
      <c r="J811" s="103">
        <v>-92.575608799999998</v>
      </c>
      <c r="K811" s="40">
        <v>44.488346499999999</v>
      </c>
      <c r="L811" s="74"/>
      <c r="M811" s="272" t="s">
        <v>2751</v>
      </c>
      <c r="N811" s="74">
        <v>1</v>
      </c>
      <c r="O811" s="94"/>
      <c r="P811" s="118">
        <v>1</v>
      </c>
      <c r="Q811" s="510">
        <v>80</v>
      </c>
      <c r="R811" s="513">
        <v>180</v>
      </c>
      <c r="S811" s="41"/>
      <c r="T811" s="40"/>
      <c r="U811" s="40">
        <v>8.5</v>
      </c>
      <c r="V811" s="119">
        <v>1</v>
      </c>
      <c r="W811" s="40">
        <v>100</v>
      </c>
      <c r="X811" s="119">
        <v>1</v>
      </c>
      <c r="Y811" s="40">
        <v>65</v>
      </c>
      <c r="Z811" s="119">
        <v>1</v>
      </c>
      <c r="AA811" s="368">
        <v>0</v>
      </c>
      <c r="AB811" s="535">
        <v>2</v>
      </c>
      <c r="AC811" s="39" t="s">
        <v>160</v>
      </c>
      <c r="AD811" s="75" t="s">
        <v>10</v>
      </c>
      <c r="AE811" s="95">
        <v>0</v>
      </c>
      <c r="AF811" s="75">
        <v>0</v>
      </c>
      <c r="AG811" s="75">
        <v>0</v>
      </c>
      <c r="AH811" s="75">
        <v>0</v>
      </c>
      <c r="AI811" s="75">
        <v>0</v>
      </c>
      <c r="AJ811" s="75">
        <v>0</v>
      </c>
      <c r="AK811" s="75">
        <v>0</v>
      </c>
      <c r="AL811" s="95">
        <v>1</v>
      </c>
      <c r="AM811" s="92">
        <v>0</v>
      </c>
      <c r="AN811" s="79" t="s">
        <v>81</v>
      </c>
      <c r="AO811" s="75">
        <v>1</v>
      </c>
      <c r="AP811" s="75" t="s">
        <v>83</v>
      </c>
      <c r="AQ811" s="122">
        <v>1</v>
      </c>
      <c r="AR811" s="515" t="s">
        <v>10</v>
      </c>
      <c r="AS811" s="95">
        <v>0</v>
      </c>
      <c r="AT811" s="75">
        <v>0</v>
      </c>
      <c r="AU811" s="75">
        <v>0</v>
      </c>
      <c r="AV811" s="75">
        <v>0</v>
      </c>
      <c r="AW811" s="123">
        <v>0</v>
      </c>
      <c r="AX811" s="516"/>
      <c r="AY811" s="75">
        <v>0</v>
      </c>
      <c r="AZ811" s="77" t="s">
        <v>131</v>
      </c>
      <c r="BA811" s="78" t="s">
        <v>131</v>
      </c>
      <c r="BB811" s="78" t="s">
        <v>131</v>
      </c>
      <c r="BC811" s="78" t="s">
        <v>131</v>
      </c>
      <c r="BD811" s="78" t="s">
        <v>131</v>
      </c>
      <c r="BE811" s="78" t="s">
        <v>131</v>
      </c>
      <c r="BF811" s="78" t="s">
        <v>131</v>
      </c>
      <c r="BG811" s="78" t="s">
        <v>132</v>
      </c>
      <c r="BH811" s="75" t="s">
        <v>5970</v>
      </c>
      <c r="BI811" s="295" t="s">
        <v>2238</v>
      </c>
      <c r="BJ811" s="546">
        <v>1</v>
      </c>
      <c r="BK811" s="294" t="s">
        <v>16</v>
      </c>
      <c r="BL811" s="157" t="s">
        <v>16</v>
      </c>
      <c r="BM811" s="548" t="s">
        <v>2343</v>
      </c>
      <c r="BN811" s="548" t="s">
        <v>4161</v>
      </c>
      <c r="BO811" s="157" t="s">
        <v>4308</v>
      </c>
      <c r="BP811" s="548" t="s">
        <v>2238</v>
      </c>
      <c r="BQ811" s="157" t="s">
        <v>4307</v>
      </c>
      <c r="BR811" s="157"/>
    </row>
    <row r="812" spans="1:70" x14ac:dyDescent="0.25">
      <c r="A812" s="19" t="s">
        <v>3686</v>
      </c>
      <c r="B812" s="37" t="s">
        <v>2752</v>
      </c>
      <c r="C812" s="90">
        <v>45118.672199074077</v>
      </c>
      <c r="D812" s="114">
        <v>45118.422199074077</v>
      </c>
      <c r="E812" s="38">
        <v>45118</v>
      </c>
      <c r="F812" s="91">
        <v>2023</v>
      </c>
      <c r="G812" s="93">
        <v>7</v>
      </c>
      <c r="H812" s="37" t="s">
        <v>2654</v>
      </c>
      <c r="I812" s="37"/>
      <c r="J812" s="103">
        <v>-90.963043400000004</v>
      </c>
      <c r="K812" s="40">
        <v>44.465666900000002</v>
      </c>
      <c r="L812" s="74"/>
      <c r="M812" s="272" t="s">
        <v>16</v>
      </c>
      <c r="N812" s="74">
        <v>0</v>
      </c>
      <c r="O812" s="94"/>
      <c r="P812" s="118">
        <v>1</v>
      </c>
      <c r="Q812" s="510">
        <v>40</v>
      </c>
      <c r="R812" s="513">
        <v>0</v>
      </c>
      <c r="S812" s="41"/>
      <c r="T812" s="40"/>
      <c r="U812" s="40">
        <v>6</v>
      </c>
      <c r="V812" s="119">
        <v>1</v>
      </c>
      <c r="W812" s="40">
        <v>100</v>
      </c>
      <c r="X812" s="119">
        <v>0</v>
      </c>
      <c r="Y812" s="40"/>
      <c r="Z812" s="119">
        <v>1</v>
      </c>
      <c r="AA812" s="368">
        <v>0</v>
      </c>
      <c r="AB812" s="535">
        <v>5</v>
      </c>
      <c r="AC812" s="39" t="s">
        <v>160</v>
      </c>
      <c r="AD812" s="75" t="s">
        <v>16</v>
      </c>
      <c r="AE812" s="95">
        <v>-1</v>
      </c>
      <c r="AF812" s="75">
        <v>-1</v>
      </c>
      <c r="AG812" s="75">
        <v>-1</v>
      </c>
      <c r="AH812" s="75">
        <v>-1</v>
      </c>
      <c r="AI812" s="75">
        <v>-1</v>
      </c>
      <c r="AJ812" s="75">
        <v>-1</v>
      </c>
      <c r="AK812" s="75">
        <v>-1</v>
      </c>
      <c r="AL812" s="95">
        <v>-1</v>
      </c>
      <c r="AM812" s="92">
        <v>1</v>
      </c>
      <c r="AN812" s="79"/>
      <c r="AO812" s="75">
        <v>0</v>
      </c>
      <c r="AP812" s="75"/>
      <c r="AQ812" s="122">
        <v>0</v>
      </c>
      <c r="AR812" s="515" t="s">
        <v>16</v>
      </c>
      <c r="AS812" s="95">
        <v>-1</v>
      </c>
      <c r="AT812" s="75">
        <v>-1</v>
      </c>
      <c r="AU812" s="75">
        <v>-1</v>
      </c>
      <c r="AV812" s="75">
        <v>-1</v>
      </c>
      <c r="AW812" s="123">
        <v>1</v>
      </c>
      <c r="AX812" s="516"/>
      <c r="AY812" s="75">
        <v>0</v>
      </c>
      <c r="AZ812" s="77" t="s">
        <v>5971</v>
      </c>
      <c r="BA812" s="78" t="s">
        <v>5971</v>
      </c>
      <c r="BB812" s="78" t="s">
        <v>5971</v>
      </c>
      <c r="BC812" s="78" t="s">
        <v>5971</v>
      </c>
      <c r="BD812" s="78" t="s">
        <v>5971</v>
      </c>
      <c r="BE812" s="78" t="s">
        <v>5971</v>
      </c>
      <c r="BF812" s="78" t="s">
        <v>5971</v>
      </c>
      <c r="BG812" s="78" t="s">
        <v>5971</v>
      </c>
      <c r="BH812" s="75" t="s">
        <v>5971</v>
      </c>
      <c r="BI812" s="295" t="s">
        <v>3977</v>
      </c>
      <c r="BJ812" s="546">
        <v>1</v>
      </c>
      <c r="BK812" s="294" t="s">
        <v>16</v>
      </c>
      <c r="BL812" s="157" t="s">
        <v>16</v>
      </c>
      <c r="BM812" s="548" t="s">
        <v>1340</v>
      </c>
      <c r="BN812" s="548" t="s">
        <v>4158</v>
      </c>
      <c r="BO812" s="157" t="s">
        <v>4513</v>
      </c>
      <c r="BP812" s="548" t="s">
        <v>4514</v>
      </c>
      <c r="BQ812" s="157" t="s">
        <v>4460</v>
      </c>
      <c r="BR812" s="157"/>
    </row>
    <row r="813" spans="1:70" x14ac:dyDescent="0.25">
      <c r="A813" s="19" t="s">
        <v>3686</v>
      </c>
      <c r="B813" s="37" t="s">
        <v>2753</v>
      </c>
      <c r="C813" s="90">
        <v>45118.636990740742</v>
      </c>
      <c r="D813" s="114">
        <v>45118.386990740742</v>
      </c>
      <c r="E813" s="38">
        <v>45118</v>
      </c>
      <c r="F813" s="91">
        <v>2023</v>
      </c>
      <c r="G813" s="93">
        <v>7</v>
      </c>
      <c r="H813" s="37" t="s">
        <v>1378</v>
      </c>
      <c r="I813" s="37"/>
      <c r="J813" s="103">
        <v>-91.413106619815593</v>
      </c>
      <c r="K813" s="40">
        <v>43.540497915233075</v>
      </c>
      <c r="L813" s="74"/>
      <c r="M813" s="272" t="s">
        <v>2754</v>
      </c>
      <c r="N813" s="74">
        <v>1</v>
      </c>
      <c r="O813" s="94"/>
      <c r="P813" s="118">
        <v>1</v>
      </c>
      <c r="Q813" s="510">
        <v>180</v>
      </c>
      <c r="R813" s="513">
        <v>120</v>
      </c>
      <c r="S813" s="41"/>
      <c r="T813" s="40"/>
      <c r="U813" s="40">
        <v>7.5</v>
      </c>
      <c r="V813" s="119">
        <v>1</v>
      </c>
      <c r="W813" s="40">
        <v>100</v>
      </c>
      <c r="X813" s="119">
        <v>1</v>
      </c>
      <c r="Y813" s="40">
        <v>59</v>
      </c>
      <c r="Z813" s="119">
        <v>1</v>
      </c>
      <c r="AA813" s="368">
        <v>0</v>
      </c>
      <c r="AB813" s="535">
        <v>5</v>
      </c>
      <c r="AC813" s="39" t="s">
        <v>160</v>
      </c>
      <c r="AD813" s="75" t="s">
        <v>551</v>
      </c>
      <c r="AE813" s="95">
        <v>0</v>
      </c>
      <c r="AF813" s="75">
        <v>0</v>
      </c>
      <c r="AG813" s="75">
        <v>0</v>
      </c>
      <c r="AH813" s="75">
        <v>0</v>
      </c>
      <c r="AI813" s="75">
        <v>1</v>
      </c>
      <c r="AJ813" s="75">
        <v>0</v>
      </c>
      <c r="AK813" s="75">
        <v>0</v>
      </c>
      <c r="AL813" s="95">
        <v>0</v>
      </c>
      <c r="AM813" s="92">
        <v>0</v>
      </c>
      <c r="AN813" s="79" t="s">
        <v>80</v>
      </c>
      <c r="AO813" s="75">
        <v>1</v>
      </c>
      <c r="AP813" s="75" t="s">
        <v>83</v>
      </c>
      <c r="AQ813" s="122">
        <v>1</v>
      </c>
      <c r="AR813" s="515" t="s">
        <v>10</v>
      </c>
      <c r="AS813" s="95">
        <v>0</v>
      </c>
      <c r="AT813" s="75">
        <v>0</v>
      </c>
      <c r="AU813" s="75">
        <v>0</v>
      </c>
      <c r="AV813" s="75">
        <v>0</v>
      </c>
      <c r="AW813" s="123">
        <v>0</v>
      </c>
      <c r="AX813" s="516" t="s">
        <v>2755</v>
      </c>
      <c r="AY813" s="75">
        <v>1</v>
      </c>
      <c r="AZ813" s="77" t="s">
        <v>131</v>
      </c>
      <c r="BA813" s="78" t="s">
        <v>131</v>
      </c>
      <c r="BB813" s="78" t="s">
        <v>131</v>
      </c>
      <c r="BC813" s="78" t="s">
        <v>131</v>
      </c>
      <c r="BD813" s="78" t="s">
        <v>132</v>
      </c>
      <c r="BE813" s="78" t="s">
        <v>131</v>
      </c>
      <c r="BF813" s="78" t="s">
        <v>131</v>
      </c>
      <c r="BG813" s="78" t="s">
        <v>131</v>
      </c>
      <c r="BH813" s="75" t="s">
        <v>5970</v>
      </c>
      <c r="BI813" s="295" t="s">
        <v>16</v>
      </c>
      <c r="BJ813" s="546">
        <v>1</v>
      </c>
      <c r="BK813" s="294">
        <v>1</v>
      </c>
      <c r="BL813" s="157">
        <v>1</v>
      </c>
      <c r="BM813" s="548" t="s">
        <v>1341</v>
      </c>
      <c r="BN813" s="548" t="s">
        <v>4158</v>
      </c>
      <c r="BO813" s="157" t="s">
        <v>4239</v>
      </c>
      <c r="BP813" s="548" t="s">
        <v>4240</v>
      </c>
      <c r="BQ813" s="157" t="s">
        <v>4238</v>
      </c>
      <c r="BR813" s="157"/>
    </row>
    <row r="814" spans="1:70" x14ac:dyDescent="0.25">
      <c r="A814" s="19" t="s">
        <v>3686</v>
      </c>
      <c r="B814" s="37" t="s">
        <v>2756</v>
      </c>
      <c r="C814" s="90">
        <v>45118.607048611113</v>
      </c>
      <c r="D814" s="114">
        <v>45118.357048611113</v>
      </c>
      <c r="E814" s="38">
        <v>45118</v>
      </c>
      <c r="F814" s="91">
        <v>2023</v>
      </c>
      <c r="G814" s="93">
        <v>7</v>
      </c>
      <c r="H814" s="37" t="s">
        <v>2400</v>
      </c>
      <c r="I814" s="37"/>
      <c r="J814" s="103">
        <v>-90.433327800000001</v>
      </c>
      <c r="K814" s="40">
        <v>43.5498324</v>
      </c>
      <c r="L814" s="74"/>
      <c r="M814" s="272" t="s">
        <v>16</v>
      </c>
      <c r="N814" s="74">
        <v>0</v>
      </c>
      <c r="O814" s="94"/>
      <c r="P814" s="118">
        <v>1</v>
      </c>
      <c r="Q814" s="510">
        <v>180</v>
      </c>
      <c r="R814" s="513">
        <v>120</v>
      </c>
      <c r="S814" s="41"/>
      <c r="T814" s="40"/>
      <c r="U814" s="40">
        <v>7.5</v>
      </c>
      <c r="V814" s="119">
        <v>1</v>
      </c>
      <c r="W814" s="40">
        <v>200</v>
      </c>
      <c r="X814" s="119">
        <v>1</v>
      </c>
      <c r="Y814" s="40">
        <v>62</v>
      </c>
      <c r="Z814" s="119">
        <v>1</v>
      </c>
      <c r="AA814" s="368">
        <v>0</v>
      </c>
      <c r="AB814" s="535">
        <v>0</v>
      </c>
      <c r="AC814" s="39" t="s">
        <v>160</v>
      </c>
      <c r="AD814" s="75" t="s">
        <v>10</v>
      </c>
      <c r="AE814" s="95">
        <v>0</v>
      </c>
      <c r="AF814" s="75">
        <v>0</v>
      </c>
      <c r="AG814" s="75">
        <v>0</v>
      </c>
      <c r="AH814" s="75">
        <v>0</v>
      </c>
      <c r="AI814" s="75">
        <v>0</v>
      </c>
      <c r="AJ814" s="75">
        <v>0</v>
      </c>
      <c r="AK814" s="75">
        <v>0</v>
      </c>
      <c r="AL814" s="95">
        <v>1</v>
      </c>
      <c r="AM814" s="92">
        <v>0</v>
      </c>
      <c r="AN814" s="79" t="s">
        <v>80</v>
      </c>
      <c r="AO814" s="75">
        <v>1</v>
      </c>
      <c r="AP814" s="75" t="s">
        <v>83</v>
      </c>
      <c r="AQ814" s="122">
        <v>1</v>
      </c>
      <c r="AR814" s="515" t="s">
        <v>10</v>
      </c>
      <c r="AS814" s="95">
        <v>0</v>
      </c>
      <c r="AT814" s="75">
        <v>0</v>
      </c>
      <c r="AU814" s="75">
        <v>0</v>
      </c>
      <c r="AV814" s="75">
        <v>0</v>
      </c>
      <c r="AW814" s="123">
        <v>0</v>
      </c>
      <c r="AX814" s="516"/>
      <c r="AY814" s="75">
        <v>0</v>
      </c>
      <c r="AZ814" s="77" t="s">
        <v>131</v>
      </c>
      <c r="BA814" s="78" t="s">
        <v>131</v>
      </c>
      <c r="BB814" s="78" t="s">
        <v>131</v>
      </c>
      <c r="BC814" s="78" t="s">
        <v>131</v>
      </c>
      <c r="BD814" s="78" t="s">
        <v>131</v>
      </c>
      <c r="BE814" s="78" t="s">
        <v>131</v>
      </c>
      <c r="BF814" s="78" t="s">
        <v>131</v>
      </c>
      <c r="BG814" s="78" t="s">
        <v>132</v>
      </c>
      <c r="BH814" s="75" t="s">
        <v>5970</v>
      </c>
      <c r="BI814" s="295" t="s">
        <v>4070</v>
      </c>
      <c r="BJ814" s="546">
        <v>1</v>
      </c>
      <c r="BK814" s="294" t="s">
        <v>16</v>
      </c>
      <c r="BL814" s="157" t="s">
        <v>16</v>
      </c>
      <c r="BM814" s="548" t="s">
        <v>1342</v>
      </c>
      <c r="BN814" s="548" t="s">
        <v>4158</v>
      </c>
      <c r="BO814" s="157" t="s">
        <v>4515</v>
      </c>
      <c r="BP814" s="548" t="s">
        <v>4516</v>
      </c>
      <c r="BQ814" s="157" t="s">
        <v>4392</v>
      </c>
      <c r="BR814" s="157"/>
    </row>
    <row r="815" spans="1:70" x14ac:dyDescent="0.25">
      <c r="A815" s="19" t="s">
        <v>3686</v>
      </c>
      <c r="B815" s="37" t="s">
        <v>2757</v>
      </c>
      <c r="C815" s="90">
        <v>45118.5312037037</v>
      </c>
      <c r="D815" s="114">
        <v>45118.2812037037</v>
      </c>
      <c r="E815" s="38">
        <v>45118</v>
      </c>
      <c r="F815" s="91">
        <v>2023</v>
      </c>
      <c r="G815" s="93">
        <v>7</v>
      </c>
      <c r="H815" s="37" t="s">
        <v>2400</v>
      </c>
      <c r="I815" s="37"/>
      <c r="J815" s="103">
        <v>-90.357201500000002</v>
      </c>
      <c r="K815" s="40">
        <v>43.493638300000001</v>
      </c>
      <c r="L815" s="74"/>
      <c r="M815" s="272" t="s">
        <v>16</v>
      </c>
      <c r="N815" s="74">
        <v>0</v>
      </c>
      <c r="O815" s="94"/>
      <c r="P815" s="118">
        <v>1</v>
      </c>
      <c r="Q815" s="510">
        <v>40</v>
      </c>
      <c r="R815" s="513">
        <v>180</v>
      </c>
      <c r="S815" s="41"/>
      <c r="T815" s="40"/>
      <c r="U815" s="40">
        <v>7.5</v>
      </c>
      <c r="V815" s="119">
        <v>1</v>
      </c>
      <c r="W815" s="40">
        <v>0</v>
      </c>
      <c r="X815" s="119">
        <v>1</v>
      </c>
      <c r="Y815" s="40">
        <v>62</v>
      </c>
      <c r="Z815" s="119">
        <v>1</v>
      </c>
      <c r="AA815" s="368">
        <v>0</v>
      </c>
      <c r="AB815" s="535">
        <v>1</v>
      </c>
      <c r="AC815" s="39" t="s">
        <v>160</v>
      </c>
      <c r="AD815" s="75" t="s">
        <v>16</v>
      </c>
      <c r="AE815" s="95">
        <v>-1</v>
      </c>
      <c r="AF815" s="75">
        <v>-1</v>
      </c>
      <c r="AG815" s="75">
        <v>-1</v>
      </c>
      <c r="AH815" s="75">
        <v>-1</v>
      </c>
      <c r="AI815" s="75">
        <v>-1</v>
      </c>
      <c r="AJ815" s="75">
        <v>-1</v>
      </c>
      <c r="AK815" s="75">
        <v>-1</v>
      </c>
      <c r="AL815" s="95">
        <v>-1</v>
      </c>
      <c r="AM815" s="92">
        <v>1</v>
      </c>
      <c r="AN815" s="79" t="s">
        <v>80</v>
      </c>
      <c r="AO815" s="75">
        <v>1</v>
      </c>
      <c r="AP815" s="75" t="s">
        <v>83</v>
      </c>
      <c r="AQ815" s="122">
        <v>1</v>
      </c>
      <c r="AR815" s="515" t="s">
        <v>10</v>
      </c>
      <c r="AS815" s="95">
        <v>0</v>
      </c>
      <c r="AT815" s="75">
        <v>0</v>
      </c>
      <c r="AU815" s="75">
        <v>0</v>
      </c>
      <c r="AV815" s="75">
        <v>0</v>
      </c>
      <c r="AW815" s="123">
        <v>0</v>
      </c>
      <c r="AX815" s="516"/>
      <c r="AY815" s="75">
        <v>0</v>
      </c>
      <c r="AZ815" s="77" t="s">
        <v>5971</v>
      </c>
      <c r="BA815" s="78" t="s">
        <v>5971</v>
      </c>
      <c r="BB815" s="78" t="s">
        <v>5971</v>
      </c>
      <c r="BC815" s="78" t="s">
        <v>5971</v>
      </c>
      <c r="BD815" s="78" t="s">
        <v>5971</v>
      </c>
      <c r="BE815" s="78" t="s">
        <v>5971</v>
      </c>
      <c r="BF815" s="78" t="s">
        <v>5971</v>
      </c>
      <c r="BG815" s="78" t="s">
        <v>5971</v>
      </c>
      <c r="BH815" s="75" t="s">
        <v>5971</v>
      </c>
      <c r="BI815" s="295" t="s">
        <v>4074</v>
      </c>
      <c r="BJ815" s="546">
        <v>1</v>
      </c>
      <c r="BK815" s="294">
        <v>1</v>
      </c>
      <c r="BL815" s="157">
        <v>1</v>
      </c>
      <c r="BM815" s="548" t="s">
        <v>1342</v>
      </c>
      <c r="BN815" s="548" t="s">
        <v>4158</v>
      </c>
      <c r="BO815" s="157" t="s">
        <v>4399</v>
      </c>
      <c r="BP815" s="548" t="s">
        <v>4400</v>
      </c>
      <c r="BQ815" s="157" t="s">
        <v>4392</v>
      </c>
      <c r="BR815" s="157"/>
    </row>
    <row r="816" spans="1:70" x14ac:dyDescent="0.25">
      <c r="A816" s="19" t="s">
        <v>3686</v>
      </c>
      <c r="B816" s="37" t="s">
        <v>2758</v>
      </c>
      <c r="C816" s="90">
        <v>45117.932870370372</v>
      </c>
      <c r="D816" s="114">
        <v>45117.682870370372</v>
      </c>
      <c r="E816" s="38">
        <v>45117</v>
      </c>
      <c r="F816" s="91">
        <v>2023</v>
      </c>
      <c r="G816" s="93">
        <v>7</v>
      </c>
      <c r="H816" s="37" t="s">
        <v>2446</v>
      </c>
      <c r="I816" s="37" t="s">
        <v>16</v>
      </c>
      <c r="J816" s="103">
        <v>-91.228710968099634</v>
      </c>
      <c r="K816" s="40">
        <v>44.292050137606807</v>
      </c>
      <c r="L816" s="74"/>
      <c r="M816" s="272" t="s">
        <v>2759</v>
      </c>
      <c r="N816" s="74">
        <v>1</v>
      </c>
      <c r="O816" s="94"/>
      <c r="P816" s="118">
        <v>1</v>
      </c>
      <c r="Q816" s="510">
        <v>40</v>
      </c>
      <c r="R816" s="513">
        <v>120</v>
      </c>
      <c r="S816" s="41"/>
      <c r="T816" s="40"/>
      <c r="U816" s="40">
        <v>7</v>
      </c>
      <c r="V816" s="119">
        <v>1</v>
      </c>
      <c r="W816" s="40">
        <v>300</v>
      </c>
      <c r="X816" s="119">
        <v>1</v>
      </c>
      <c r="Y816" s="40">
        <v>70</v>
      </c>
      <c r="Z816" s="119">
        <v>1</v>
      </c>
      <c r="AA816" s="368">
        <v>0</v>
      </c>
      <c r="AB816" s="535">
        <v>5</v>
      </c>
      <c r="AC816" s="39" t="s">
        <v>160</v>
      </c>
      <c r="AD816" s="75" t="s">
        <v>10</v>
      </c>
      <c r="AE816" s="95">
        <v>0</v>
      </c>
      <c r="AF816" s="75">
        <v>0</v>
      </c>
      <c r="AG816" s="75">
        <v>0</v>
      </c>
      <c r="AH816" s="75">
        <v>0</v>
      </c>
      <c r="AI816" s="75">
        <v>0</v>
      </c>
      <c r="AJ816" s="75">
        <v>0</v>
      </c>
      <c r="AK816" s="75">
        <v>0</v>
      </c>
      <c r="AL816" s="95">
        <v>1</v>
      </c>
      <c r="AM816" s="92">
        <v>0</v>
      </c>
      <c r="AN816" s="79" t="s">
        <v>80</v>
      </c>
      <c r="AO816" s="75">
        <v>1</v>
      </c>
      <c r="AP816" s="75" t="s">
        <v>84</v>
      </c>
      <c r="AQ816" s="122">
        <v>1</v>
      </c>
      <c r="AR816" s="515" t="s">
        <v>10</v>
      </c>
      <c r="AS816" s="95">
        <v>0</v>
      </c>
      <c r="AT816" s="75">
        <v>0</v>
      </c>
      <c r="AU816" s="75">
        <v>0</v>
      </c>
      <c r="AV816" s="75">
        <v>0</v>
      </c>
      <c r="AW816" s="123">
        <v>0</v>
      </c>
      <c r="AX816" s="516"/>
      <c r="AY816" s="75">
        <v>0</v>
      </c>
      <c r="AZ816" s="77" t="s">
        <v>131</v>
      </c>
      <c r="BA816" s="78" t="s">
        <v>131</v>
      </c>
      <c r="BB816" s="78" t="s">
        <v>131</v>
      </c>
      <c r="BC816" s="78" t="s">
        <v>131</v>
      </c>
      <c r="BD816" s="78" t="s">
        <v>131</v>
      </c>
      <c r="BE816" s="78" t="s">
        <v>131</v>
      </c>
      <c r="BF816" s="78" t="s">
        <v>131</v>
      </c>
      <c r="BG816" s="78" t="s">
        <v>132</v>
      </c>
      <c r="BH816" s="75" t="s">
        <v>5970</v>
      </c>
      <c r="BI816" s="295" t="s">
        <v>3986</v>
      </c>
      <c r="BJ816" s="546">
        <v>1</v>
      </c>
      <c r="BK816" s="294" t="s">
        <v>16</v>
      </c>
      <c r="BL816" s="157" t="s">
        <v>16</v>
      </c>
      <c r="BM816" s="548" t="s">
        <v>1340</v>
      </c>
      <c r="BN816" s="548" t="s">
        <v>4158</v>
      </c>
      <c r="BO816" s="157" t="s">
        <v>4517</v>
      </c>
      <c r="BP816" s="548" t="s">
        <v>4518</v>
      </c>
      <c r="BQ816" s="157" t="s">
        <v>4460</v>
      </c>
      <c r="BR816" s="157"/>
    </row>
    <row r="817" spans="1:70" x14ac:dyDescent="0.25">
      <c r="A817" s="19" t="s">
        <v>3686</v>
      </c>
      <c r="B817" s="37" t="s">
        <v>2760</v>
      </c>
      <c r="C817" s="90">
        <v>45117.922662037039</v>
      </c>
      <c r="D817" s="114">
        <v>45117.672662037039</v>
      </c>
      <c r="E817" s="38">
        <v>45117</v>
      </c>
      <c r="F817" s="91">
        <v>2023</v>
      </c>
      <c r="G817" s="93">
        <v>7</v>
      </c>
      <c r="H817" s="37" t="s">
        <v>2761</v>
      </c>
      <c r="I817" s="37" t="s">
        <v>1411</v>
      </c>
      <c r="J817" s="103">
        <v>-93.231281124760756</v>
      </c>
      <c r="K817" s="40">
        <v>44.846775945437869</v>
      </c>
      <c r="L817" s="74"/>
      <c r="M817" s="272" t="s">
        <v>2762</v>
      </c>
      <c r="N817" s="74">
        <v>1</v>
      </c>
      <c r="O817" s="94"/>
      <c r="P817" s="118">
        <v>1</v>
      </c>
      <c r="Q817" s="510">
        <v>180</v>
      </c>
      <c r="R817" s="513">
        <v>120</v>
      </c>
      <c r="S817" s="41"/>
      <c r="T817" s="40"/>
      <c r="U817" s="40">
        <v>8</v>
      </c>
      <c r="V817" s="119">
        <v>1</v>
      </c>
      <c r="W817" s="40">
        <v>0</v>
      </c>
      <c r="X817" s="119">
        <v>1</v>
      </c>
      <c r="Y817" s="40">
        <v>65</v>
      </c>
      <c r="Z817" s="119">
        <v>1</v>
      </c>
      <c r="AA817" s="368">
        <v>0</v>
      </c>
      <c r="AB817" s="535">
        <v>0</v>
      </c>
      <c r="AC817" s="39" t="s">
        <v>160</v>
      </c>
      <c r="AD817" s="75" t="s">
        <v>10</v>
      </c>
      <c r="AE817" s="95">
        <v>0</v>
      </c>
      <c r="AF817" s="75">
        <v>0</v>
      </c>
      <c r="AG817" s="75">
        <v>0</v>
      </c>
      <c r="AH817" s="75">
        <v>0</v>
      </c>
      <c r="AI817" s="75">
        <v>0</v>
      </c>
      <c r="AJ817" s="75">
        <v>0</v>
      </c>
      <c r="AK817" s="75">
        <v>0</v>
      </c>
      <c r="AL817" s="95">
        <v>1</v>
      </c>
      <c r="AM817" s="92">
        <v>0</v>
      </c>
      <c r="AN817" s="79" t="s">
        <v>81</v>
      </c>
      <c r="AO817" s="75">
        <v>1</v>
      </c>
      <c r="AP817" s="75" t="s">
        <v>83</v>
      </c>
      <c r="AQ817" s="122">
        <v>1</v>
      </c>
      <c r="AR817" s="515" t="s">
        <v>10</v>
      </c>
      <c r="AS817" s="95">
        <v>0</v>
      </c>
      <c r="AT817" s="75">
        <v>0</v>
      </c>
      <c r="AU817" s="75">
        <v>0</v>
      </c>
      <c r="AV817" s="75">
        <v>0</v>
      </c>
      <c r="AW817" s="123">
        <v>0</v>
      </c>
      <c r="AX817" s="516"/>
      <c r="AY817" s="75">
        <v>0</v>
      </c>
      <c r="AZ817" s="77" t="s">
        <v>131</v>
      </c>
      <c r="BA817" s="78" t="s">
        <v>131</v>
      </c>
      <c r="BB817" s="78" t="s">
        <v>131</v>
      </c>
      <c r="BC817" s="78" t="s">
        <v>131</v>
      </c>
      <c r="BD817" s="78" t="s">
        <v>131</v>
      </c>
      <c r="BE817" s="78" t="s">
        <v>131</v>
      </c>
      <c r="BF817" s="78" t="s">
        <v>131</v>
      </c>
      <c r="BG817" s="78" t="s">
        <v>132</v>
      </c>
      <c r="BH817" s="75" t="s">
        <v>5970</v>
      </c>
      <c r="BI817" s="295" t="s">
        <v>16</v>
      </c>
      <c r="BJ817" s="546" t="s">
        <v>16</v>
      </c>
      <c r="BK817" s="294" t="s">
        <v>16</v>
      </c>
      <c r="BL817" s="157" t="s">
        <v>16</v>
      </c>
      <c r="BM817" s="548" t="s">
        <v>2343</v>
      </c>
      <c r="BN817" s="548" t="s">
        <v>4161</v>
      </c>
      <c r="BO817" s="157" t="s">
        <v>4327</v>
      </c>
      <c r="BP817" s="548" t="s">
        <v>4314</v>
      </c>
      <c r="BQ817" s="157" t="s">
        <v>4312</v>
      </c>
      <c r="BR817" s="157"/>
    </row>
    <row r="818" spans="1:70" x14ac:dyDescent="0.25">
      <c r="A818" s="19" t="s">
        <v>3686</v>
      </c>
      <c r="B818" s="37" t="s">
        <v>2763</v>
      </c>
      <c r="C818" s="90">
        <v>45117.875462962962</v>
      </c>
      <c r="D818" s="114">
        <v>45117.625462962962</v>
      </c>
      <c r="E818" s="38">
        <v>45117</v>
      </c>
      <c r="F818" s="91">
        <v>2023</v>
      </c>
      <c r="G818" s="93">
        <v>7</v>
      </c>
      <c r="H818" s="37" t="s">
        <v>2654</v>
      </c>
      <c r="I818" s="37"/>
      <c r="J818" s="103">
        <v>-91.166116200000005</v>
      </c>
      <c r="K818" s="40">
        <v>44.3216885</v>
      </c>
      <c r="L818" s="74"/>
      <c r="M818" s="272" t="s">
        <v>2764</v>
      </c>
      <c r="N818" s="74">
        <v>1</v>
      </c>
      <c r="O818" s="94"/>
      <c r="P818" s="118">
        <v>1</v>
      </c>
      <c r="Q818" s="510">
        <v>40</v>
      </c>
      <c r="R818" s="513">
        <v>60</v>
      </c>
      <c r="S818" s="41"/>
      <c r="T818" s="40"/>
      <c r="U818" s="40">
        <v>6</v>
      </c>
      <c r="V818" s="119">
        <v>1</v>
      </c>
      <c r="W818" s="40">
        <v>200</v>
      </c>
      <c r="X818" s="119">
        <v>1</v>
      </c>
      <c r="Y818" s="40">
        <v>68</v>
      </c>
      <c r="Z818" s="119">
        <v>1</v>
      </c>
      <c r="AA818" s="368">
        <v>0</v>
      </c>
      <c r="AB818" s="535">
        <v>2</v>
      </c>
      <c r="AC818" s="39" t="s">
        <v>160</v>
      </c>
      <c r="AD818" s="75" t="s">
        <v>7</v>
      </c>
      <c r="AE818" s="95">
        <v>1</v>
      </c>
      <c r="AF818" s="75">
        <v>0</v>
      </c>
      <c r="AG818" s="75">
        <v>0</v>
      </c>
      <c r="AH818" s="75">
        <v>0</v>
      </c>
      <c r="AI818" s="75">
        <v>0</v>
      </c>
      <c r="AJ818" s="75">
        <v>0</v>
      </c>
      <c r="AK818" s="75">
        <v>0</v>
      </c>
      <c r="AL818" s="95">
        <v>0</v>
      </c>
      <c r="AM818" s="92">
        <v>0</v>
      </c>
      <c r="AN818" s="79" t="s">
        <v>80</v>
      </c>
      <c r="AO818" s="75">
        <v>1</v>
      </c>
      <c r="AP818" s="75" t="s">
        <v>84</v>
      </c>
      <c r="AQ818" s="122">
        <v>1</v>
      </c>
      <c r="AR818" s="515" t="s">
        <v>10</v>
      </c>
      <c r="AS818" s="95">
        <v>0</v>
      </c>
      <c r="AT818" s="75">
        <v>0</v>
      </c>
      <c r="AU818" s="75">
        <v>0</v>
      </c>
      <c r="AV818" s="75">
        <v>0</v>
      </c>
      <c r="AW818" s="123">
        <v>0</v>
      </c>
      <c r="AX818" s="516"/>
      <c r="AY818" s="75">
        <v>0</v>
      </c>
      <c r="AZ818" s="77" t="s">
        <v>132</v>
      </c>
      <c r="BA818" s="78" t="s">
        <v>131</v>
      </c>
      <c r="BB818" s="78" t="s">
        <v>131</v>
      </c>
      <c r="BC818" s="78" t="s">
        <v>131</v>
      </c>
      <c r="BD818" s="78" t="s">
        <v>131</v>
      </c>
      <c r="BE818" s="78" t="s">
        <v>131</v>
      </c>
      <c r="BF818" s="78" t="s">
        <v>131</v>
      </c>
      <c r="BG818" s="78" t="s">
        <v>131</v>
      </c>
      <c r="BH818" s="75" t="s">
        <v>5970</v>
      </c>
      <c r="BI818" s="295" t="s">
        <v>16</v>
      </c>
      <c r="BJ818" s="546">
        <v>1</v>
      </c>
      <c r="BK818" s="294">
        <v>1</v>
      </c>
      <c r="BL818" s="157">
        <v>1</v>
      </c>
      <c r="BM818" s="548" t="s">
        <v>1340</v>
      </c>
      <c r="BN818" s="548" t="s">
        <v>4158</v>
      </c>
      <c r="BO818" s="157" t="s">
        <v>4481</v>
      </c>
      <c r="BP818" s="548" t="s">
        <v>4519</v>
      </c>
      <c r="BQ818" s="157" t="s">
        <v>4460</v>
      </c>
      <c r="BR818" s="157"/>
    </row>
    <row r="819" spans="1:70" x14ac:dyDescent="0.25">
      <c r="A819" s="19" t="s">
        <v>3686</v>
      </c>
      <c r="B819" s="37" t="s">
        <v>2765</v>
      </c>
      <c r="C819" s="90">
        <v>45117.817777777775</v>
      </c>
      <c r="D819" s="114">
        <v>45117.567777777775</v>
      </c>
      <c r="E819" s="38">
        <v>45117</v>
      </c>
      <c r="F819" s="91">
        <v>2023</v>
      </c>
      <c r="G819" s="93">
        <v>7</v>
      </c>
      <c r="H819" s="37" t="s">
        <v>2423</v>
      </c>
      <c r="I819" s="37"/>
      <c r="J819" s="103">
        <v>-92.732230099999995</v>
      </c>
      <c r="K819" s="40">
        <v>44.8311128</v>
      </c>
      <c r="L819" s="74"/>
      <c r="M819" s="272" t="s">
        <v>16</v>
      </c>
      <c r="N819" s="74">
        <v>0</v>
      </c>
      <c r="O819" s="94"/>
      <c r="P819" s="118">
        <v>1</v>
      </c>
      <c r="Q819" s="510">
        <v>80</v>
      </c>
      <c r="R819" s="513">
        <v>180</v>
      </c>
      <c r="S819" s="41"/>
      <c r="T819" s="40"/>
      <c r="U819" s="40">
        <v>8</v>
      </c>
      <c r="V819" s="119">
        <v>1</v>
      </c>
      <c r="W819" s="40">
        <v>0</v>
      </c>
      <c r="X819" s="119">
        <v>1</v>
      </c>
      <c r="Y819" s="40">
        <v>70</v>
      </c>
      <c r="Z819" s="119">
        <v>1</v>
      </c>
      <c r="AA819" s="368">
        <v>0</v>
      </c>
      <c r="AB819" s="535">
        <v>5</v>
      </c>
      <c r="AC819" s="39" t="s">
        <v>160</v>
      </c>
      <c r="AD819" s="75" t="s">
        <v>8</v>
      </c>
      <c r="AE819" s="95">
        <v>0</v>
      </c>
      <c r="AF819" s="75">
        <v>1</v>
      </c>
      <c r="AG819" s="75">
        <v>0</v>
      </c>
      <c r="AH819" s="75">
        <v>0</v>
      </c>
      <c r="AI819" s="75">
        <v>0</v>
      </c>
      <c r="AJ819" s="75">
        <v>0</v>
      </c>
      <c r="AK819" s="75">
        <v>0</v>
      </c>
      <c r="AL819" s="95">
        <v>0</v>
      </c>
      <c r="AM819" s="92">
        <v>0</v>
      </c>
      <c r="AN819" s="79" t="s">
        <v>80</v>
      </c>
      <c r="AO819" s="75">
        <v>1</v>
      </c>
      <c r="AP819" s="75" t="s">
        <v>83</v>
      </c>
      <c r="AQ819" s="122">
        <v>1</v>
      </c>
      <c r="AR819" s="515" t="s">
        <v>10</v>
      </c>
      <c r="AS819" s="95">
        <v>0</v>
      </c>
      <c r="AT819" s="75">
        <v>0</v>
      </c>
      <c r="AU819" s="75">
        <v>0</v>
      </c>
      <c r="AV819" s="75">
        <v>0</v>
      </c>
      <c r="AW819" s="123">
        <v>0</v>
      </c>
      <c r="AX819" s="516" t="s">
        <v>2766</v>
      </c>
      <c r="AY819" s="75">
        <v>1</v>
      </c>
      <c r="AZ819" s="77" t="s">
        <v>131</v>
      </c>
      <c r="BA819" s="78" t="s">
        <v>132</v>
      </c>
      <c r="BB819" s="78" t="s">
        <v>131</v>
      </c>
      <c r="BC819" s="78" t="s">
        <v>131</v>
      </c>
      <c r="BD819" s="78" t="s">
        <v>131</v>
      </c>
      <c r="BE819" s="78" t="s">
        <v>131</v>
      </c>
      <c r="BF819" s="78" t="s">
        <v>131</v>
      </c>
      <c r="BG819" s="78" t="s">
        <v>131</v>
      </c>
      <c r="BH819" s="75" t="s">
        <v>5970</v>
      </c>
      <c r="BI819" s="295" t="s">
        <v>16</v>
      </c>
      <c r="BJ819" s="546">
        <v>1</v>
      </c>
      <c r="BK819" s="294" t="s">
        <v>16</v>
      </c>
      <c r="BL819" s="157" t="s">
        <v>16</v>
      </c>
      <c r="BM819" s="548" t="s">
        <v>578</v>
      </c>
      <c r="BN819" s="548" t="s">
        <v>4159</v>
      </c>
      <c r="BO819" s="157" t="s">
        <v>4341</v>
      </c>
      <c r="BP819" s="548" t="s">
        <v>4343</v>
      </c>
      <c r="BQ819" s="157" t="s">
        <v>4309</v>
      </c>
      <c r="BR819" s="157"/>
    </row>
    <row r="820" spans="1:70" x14ac:dyDescent="0.25">
      <c r="A820" s="19" t="s">
        <v>3686</v>
      </c>
      <c r="B820" s="37" t="s">
        <v>2767</v>
      </c>
      <c r="C820" s="90">
        <v>45117.788541666669</v>
      </c>
      <c r="D820" s="114">
        <v>45117.538541666669</v>
      </c>
      <c r="E820" s="38">
        <v>45117</v>
      </c>
      <c r="F820" s="91">
        <v>2023</v>
      </c>
      <c r="G820" s="93">
        <v>7</v>
      </c>
      <c r="H820" s="37" t="s">
        <v>2534</v>
      </c>
      <c r="I820" s="37" t="s">
        <v>16</v>
      </c>
      <c r="J820" s="103">
        <v>-92.641692906704407</v>
      </c>
      <c r="K820" s="40">
        <v>44.849900691812039</v>
      </c>
      <c r="L820" s="74"/>
      <c r="M820" s="272" t="s">
        <v>16</v>
      </c>
      <c r="N820" s="74">
        <v>0</v>
      </c>
      <c r="O820" s="94"/>
      <c r="P820" s="118">
        <v>1</v>
      </c>
      <c r="Q820" s="510">
        <v>180</v>
      </c>
      <c r="R820" s="513">
        <v>30</v>
      </c>
      <c r="S820" s="41"/>
      <c r="T820" s="40"/>
      <c r="U820" s="40">
        <v>7.5</v>
      </c>
      <c r="V820" s="119">
        <v>1</v>
      </c>
      <c r="W820" s="40">
        <v>0</v>
      </c>
      <c r="X820" s="119">
        <v>1</v>
      </c>
      <c r="Y820" s="40">
        <v>68</v>
      </c>
      <c r="Z820" s="119">
        <v>1</v>
      </c>
      <c r="AA820" s="368">
        <v>0</v>
      </c>
      <c r="AB820" s="535">
        <v>5</v>
      </c>
      <c r="AC820" s="39" t="s">
        <v>160</v>
      </c>
      <c r="AD820" s="75" t="s">
        <v>10</v>
      </c>
      <c r="AE820" s="95">
        <v>0</v>
      </c>
      <c r="AF820" s="75">
        <v>0</v>
      </c>
      <c r="AG820" s="75">
        <v>0</v>
      </c>
      <c r="AH820" s="75">
        <v>0</v>
      </c>
      <c r="AI820" s="75">
        <v>0</v>
      </c>
      <c r="AJ820" s="75">
        <v>0</v>
      </c>
      <c r="AK820" s="75">
        <v>0</v>
      </c>
      <c r="AL820" s="95">
        <v>1</v>
      </c>
      <c r="AM820" s="92">
        <v>0</v>
      </c>
      <c r="AN820" s="79" t="s">
        <v>80</v>
      </c>
      <c r="AO820" s="75">
        <v>1</v>
      </c>
      <c r="AP820" s="75" t="s">
        <v>83</v>
      </c>
      <c r="AQ820" s="122">
        <v>1</v>
      </c>
      <c r="AR820" s="515" t="s">
        <v>10</v>
      </c>
      <c r="AS820" s="95">
        <v>0</v>
      </c>
      <c r="AT820" s="75">
        <v>0</v>
      </c>
      <c r="AU820" s="75">
        <v>0</v>
      </c>
      <c r="AV820" s="75">
        <v>0</v>
      </c>
      <c r="AW820" s="123">
        <v>0</v>
      </c>
      <c r="AX820" s="516" t="s">
        <v>2768</v>
      </c>
      <c r="AY820" s="75">
        <v>1</v>
      </c>
      <c r="AZ820" s="77" t="s">
        <v>131</v>
      </c>
      <c r="BA820" s="78" t="s">
        <v>131</v>
      </c>
      <c r="BB820" s="78" t="s">
        <v>131</v>
      </c>
      <c r="BC820" s="78" t="s">
        <v>131</v>
      </c>
      <c r="BD820" s="78" t="s">
        <v>131</v>
      </c>
      <c r="BE820" s="78" t="s">
        <v>131</v>
      </c>
      <c r="BF820" s="78" t="s">
        <v>131</v>
      </c>
      <c r="BG820" s="78" t="s">
        <v>132</v>
      </c>
      <c r="BH820" s="75" t="s">
        <v>5970</v>
      </c>
      <c r="BI820" s="295" t="s">
        <v>2227</v>
      </c>
      <c r="BJ820" s="546">
        <v>1</v>
      </c>
      <c r="BK820" s="294">
        <v>1</v>
      </c>
      <c r="BL820" s="157">
        <v>1</v>
      </c>
      <c r="BM820" s="548" t="s">
        <v>578</v>
      </c>
      <c r="BN820" s="548" t="s">
        <v>4159</v>
      </c>
      <c r="BO820" s="157" t="s">
        <v>4341</v>
      </c>
      <c r="BP820" s="548" t="s">
        <v>4343</v>
      </c>
      <c r="BQ820" s="157" t="s">
        <v>4309</v>
      </c>
      <c r="BR820" s="157"/>
    </row>
    <row r="821" spans="1:70" x14ac:dyDescent="0.25">
      <c r="A821" s="19" t="s">
        <v>3686</v>
      </c>
      <c r="B821" s="37" t="s">
        <v>2769</v>
      </c>
      <c r="C821" s="90">
        <v>45117.770844907405</v>
      </c>
      <c r="D821" s="114">
        <v>45117.520844907405</v>
      </c>
      <c r="E821" s="38">
        <v>45117</v>
      </c>
      <c r="F821" s="91">
        <v>2023</v>
      </c>
      <c r="G821" s="93">
        <v>7</v>
      </c>
      <c r="H821" s="37" t="s">
        <v>2534</v>
      </c>
      <c r="I821" s="37"/>
      <c r="J821" s="103">
        <v>-92.644062722188082</v>
      </c>
      <c r="K821" s="40">
        <v>44.84432601374094</v>
      </c>
      <c r="L821" s="74"/>
      <c r="M821" s="272" t="s">
        <v>16</v>
      </c>
      <c r="N821" s="74">
        <v>0</v>
      </c>
      <c r="O821" s="94"/>
      <c r="P821" s="118">
        <v>1</v>
      </c>
      <c r="Q821" s="510">
        <v>80</v>
      </c>
      <c r="R821" s="513">
        <v>120</v>
      </c>
      <c r="S821" s="41"/>
      <c r="T821" s="40"/>
      <c r="U821" s="40">
        <v>7.5</v>
      </c>
      <c r="V821" s="119">
        <v>1</v>
      </c>
      <c r="W821" s="40">
        <v>0</v>
      </c>
      <c r="X821" s="119">
        <v>1</v>
      </c>
      <c r="Y821" s="40">
        <v>67</v>
      </c>
      <c r="Z821" s="119">
        <v>1</v>
      </c>
      <c r="AA821" s="368">
        <v>0</v>
      </c>
      <c r="AB821" s="535">
        <v>2</v>
      </c>
      <c r="AC821" s="39" t="s">
        <v>160</v>
      </c>
      <c r="AD821" s="75" t="s">
        <v>10</v>
      </c>
      <c r="AE821" s="95">
        <v>0</v>
      </c>
      <c r="AF821" s="75">
        <v>0</v>
      </c>
      <c r="AG821" s="75">
        <v>0</v>
      </c>
      <c r="AH821" s="75">
        <v>0</v>
      </c>
      <c r="AI821" s="75">
        <v>0</v>
      </c>
      <c r="AJ821" s="75">
        <v>0</v>
      </c>
      <c r="AK821" s="75">
        <v>0</v>
      </c>
      <c r="AL821" s="95">
        <v>1</v>
      </c>
      <c r="AM821" s="92">
        <v>0</v>
      </c>
      <c r="AN821" s="79" t="s">
        <v>80</v>
      </c>
      <c r="AO821" s="75">
        <v>1</v>
      </c>
      <c r="AP821" s="75" t="s">
        <v>83</v>
      </c>
      <c r="AQ821" s="122">
        <v>1</v>
      </c>
      <c r="AR821" s="515" t="s">
        <v>10</v>
      </c>
      <c r="AS821" s="95">
        <v>0</v>
      </c>
      <c r="AT821" s="75">
        <v>0</v>
      </c>
      <c r="AU821" s="75">
        <v>0</v>
      </c>
      <c r="AV821" s="75">
        <v>0</v>
      </c>
      <c r="AW821" s="123">
        <v>0</v>
      </c>
      <c r="AX821" s="516" t="s">
        <v>2770</v>
      </c>
      <c r="AY821" s="75">
        <v>1</v>
      </c>
      <c r="AZ821" s="77" t="s">
        <v>131</v>
      </c>
      <c r="BA821" s="78" t="s">
        <v>131</v>
      </c>
      <c r="BB821" s="78" t="s">
        <v>131</v>
      </c>
      <c r="BC821" s="78" t="s">
        <v>131</v>
      </c>
      <c r="BD821" s="78" t="s">
        <v>131</v>
      </c>
      <c r="BE821" s="78" t="s">
        <v>131</v>
      </c>
      <c r="BF821" s="78" t="s">
        <v>131</v>
      </c>
      <c r="BG821" s="78" t="s">
        <v>132</v>
      </c>
      <c r="BH821" s="75" t="s">
        <v>5970</v>
      </c>
      <c r="BI821" s="295" t="s">
        <v>16</v>
      </c>
      <c r="BJ821" s="546">
        <v>1</v>
      </c>
      <c r="BK821" s="294" t="s">
        <v>16</v>
      </c>
      <c r="BL821" s="157" t="s">
        <v>16</v>
      </c>
      <c r="BM821" s="548" t="s">
        <v>578</v>
      </c>
      <c r="BN821" s="548" t="s">
        <v>4159</v>
      </c>
      <c r="BO821" s="157" t="s">
        <v>4341</v>
      </c>
      <c r="BP821" s="548" t="s">
        <v>4343</v>
      </c>
      <c r="BQ821" s="157" t="s">
        <v>4309</v>
      </c>
      <c r="BR821" s="157"/>
    </row>
    <row r="822" spans="1:70" x14ac:dyDescent="0.25">
      <c r="A822" s="19" t="s">
        <v>3686</v>
      </c>
      <c r="B822" s="37" t="s">
        <v>2771</v>
      </c>
      <c r="C822" s="90">
        <v>45117.74019675926</v>
      </c>
      <c r="D822" s="114">
        <v>45117.49019675926</v>
      </c>
      <c r="E822" s="38">
        <v>45117</v>
      </c>
      <c r="F822" s="91">
        <v>2023</v>
      </c>
      <c r="G822" s="93">
        <v>7</v>
      </c>
      <c r="H822" s="37" t="s">
        <v>302</v>
      </c>
      <c r="I822" s="37"/>
      <c r="J822" s="103">
        <v>-91.859501793205837</v>
      </c>
      <c r="K822" s="40">
        <v>43.620547996848195</v>
      </c>
      <c r="L822" s="74"/>
      <c r="M822" s="272" t="s">
        <v>2772</v>
      </c>
      <c r="N822" s="74">
        <v>1</v>
      </c>
      <c r="O822" s="94"/>
      <c r="P822" s="118">
        <v>1</v>
      </c>
      <c r="Q822" s="510">
        <v>180</v>
      </c>
      <c r="R822" s="513">
        <v>180</v>
      </c>
      <c r="S822" s="41"/>
      <c r="T822" s="40"/>
      <c r="U822" s="40">
        <v>8</v>
      </c>
      <c r="V822" s="119">
        <v>1</v>
      </c>
      <c r="W822" s="40">
        <v>0</v>
      </c>
      <c r="X822" s="119">
        <v>0</v>
      </c>
      <c r="Y822" s="40"/>
      <c r="Z822" s="119">
        <v>1</v>
      </c>
      <c r="AA822" s="368">
        <v>0</v>
      </c>
      <c r="AB822" s="535">
        <v>5</v>
      </c>
      <c r="AC822" s="39" t="s">
        <v>160</v>
      </c>
      <c r="AD822" s="75" t="s">
        <v>8</v>
      </c>
      <c r="AE822" s="95">
        <v>0</v>
      </c>
      <c r="AF822" s="75">
        <v>1</v>
      </c>
      <c r="AG822" s="75">
        <v>0</v>
      </c>
      <c r="AH822" s="75">
        <v>0</v>
      </c>
      <c r="AI822" s="75">
        <v>0</v>
      </c>
      <c r="AJ822" s="75">
        <v>0</v>
      </c>
      <c r="AK822" s="75">
        <v>0</v>
      </c>
      <c r="AL822" s="95">
        <v>0</v>
      </c>
      <c r="AM822" s="92">
        <v>0</v>
      </c>
      <c r="AN822" s="79" t="s">
        <v>80</v>
      </c>
      <c r="AO822" s="75">
        <v>1</v>
      </c>
      <c r="AP822" s="75" t="s">
        <v>83</v>
      </c>
      <c r="AQ822" s="122">
        <v>1</v>
      </c>
      <c r="AR822" s="515" t="s">
        <v>10</v>
      </c>
      <c r="AS822" s="95">
        <v>0</v>
      </c>
      <c r="AT822" s="75">
        <v>0</v>
      </c>
      <c r="AU822" s="75">
        <v>0</v>
      </c>
      <c r="AV822" s="75">
        <v>0</v>
      </c>
      <c r="AW822" s="123">
        <v>0</v>
      </c>
      <c r="AX822" s="516" t="s">
        <v>2249</v>
      </c>
      <c r="AY822" s="75">
        <v>1</v>
      </c>
      <c r="AZ822" s="77" t="s">
        <v>131</v>
      </c>
      <c r="BA822" s="78" t="s">
        <v>132</v>
      </c>
      <c r="BB822" s="78" t="s">
        <v>131</v>
      </c>
      <c r="BC822" s="78" t="s">
        <v>131</v>
      </c>
      <c r="BD822" s="78" t="s">
        <v>131</v>
      </c>
      <c r="BE822" s="78" t="s">
        <v>131</v>
      </c>
      <c r="BF822" s="78" t="s">
        <v>131</v>
      </c>
      <c r="BG822" s="78" t="s">
        <v>131</v>
      </c>
      <c r="BH822" s="75" t="s">
        <v>5970</v>
      </c>
      <c r="BI822" s="295" t="s">
        <v>2249</v>
      </c>
      <c r="BJ822" s="546">
        <v>1</v>
      </c>
      <c r="BK822" s="294">
        <v>1</v>
      </c>
      <c r="BL822" s="157">
        <v>1</v>
      </c>
      <c r="BM822" s="548" t="s">
        <v>1339</v>
      </c>
      <c r="BN822" s="548" t="s">
        <v>4160</v>
      </c>
      <c r="BO822" s="157" t="s">
        <v>4520</v>
      </c>
      <c r="BP822" s="548" t="s">
        <v>4521</v>
      </c>
      <c r="BQ822" s="157" t="s">
        <v>4232</v>
      </c>
      <c r="BR822" s="157"/>
    </row>
    <row r="823" spans="1:70" x14ac:dyDescent="0.25">
      <c r="A823" s="19" t="s">
        <v>3686</v>
      </c>
      <c r="B823" s="37" t="s">
        <v>2773</v>
      </c>
      <c r="C823" s="90">
        <v>45117.734039351853</v>
      </c>
      <c r="D823" s="114">
        <v>45117.484039351853</v>
      </c>
      <c r="E823" s="38">
        <v>45117</v>
      </c>
      <c r="F823" s="91">
        <v>2023</v>
      </c>
      <c r="G823" s="93">
        <v>7</v>
      </c>
      <c r="H823" s="37" t="s">
        <v>2400</v>
      </c>
      <c r="I823" s="37"/>
      <c r="J823" s="103">
        <v>-90.355056899999994</v>
      </c>
      <c r="K823" s="40">
        <v>43.510896299999999</v>
      </c>
      <c r="L823" s="74"/>
      <c r="M823" s="272" t="s">
        <v>16</v>
      </c>
      <c r="N823" s="74">
        <v>0</v>
      </c>
      <c r="O823" s="94"/>
      <c r="P823" s="118">
        <v>1</v>
      </c>
      <c r="Q823" s="510">
        <v>120</v>
      </c>
      <c r="R823" s="513">
        <v>120</v>
      </c>
      <c r="S823" s="41"/>
      <c r="T823" s="40"/>
      <c r="U823" s="40">
        <v>7</v>
      </c>
      <c r="V823" s="119">
        <v>1</v>
      </c>
      <c r="W823" s="40">
        <v>0</v>
      </c>
      <c r="X823" s="119">
        <v>1</v>
      </c>
      <c r="Y823" s="40">
        <v>68</v>
      </c>
      <c r="Z823" s="119">
        <v>1</v>
      </c>
      <c r="AA823" s="368">
        <v>0</v>
      </c>
      <c r="AB823" s="535">
        <v>2</v>
      </c>
      <c r="AC823" s="39" t="s">
        <v>160</v>
      </c>
      <c r="AD823" s="75" t="s">
        <v>10</v>
      </c>
      <c r="AE823" s="95">
        <v>0</v>
      </c>
      <c r="AF823" s="75">
        <v>0</v>
      </c>
      <c r="AG823" s="75">
        <v>0</v>
      </c>
      <c r="AH823" s="75">
        <v>0</v>
      </c>
      <c r="AI823" s="75">
        <v>0</v>
      </c>
      <c r="AJ823" s="75">
        <v>0</v>
      </c>
      <c r="AK823" s="75">
        <v>0</v>
      </c>
      <c r="AL823" s="95">
        <v>1</v>
      </c>
      <c r="AM823" s="92">
        <v>0</v>
      </c>
      <c r="AN823" s="79" t="s">
        <v>80</v>
      </c>
      <c r="AO823" s="75">
        <v>1</v>
      </c>
      <c r="AP823" s="75" t="s">
        <v>83</v>
      </c>
      <c r="AQ823" s="122">
        <v>1</v>
      </c>
      <c r="AR823" s="515" t="s">
        <v>10</v>
      </c>
      <c r="AS823" s="95">
        <v>0</v>
      </c>
      <c r="AT823" s="75">
        <v>0</v>
      </c>
      <c r="AU823" s="75">
        <v>0</v>
      </c>
      <c r="AV823" s="75">
        <v>0</v>
      </c>
      <c r="AW823" s="123">
        <v>0</v>
      </c>
      <c r="AX823" s="516"/>
      <c r="AY823" s="75">
        <v>0</v>
      </c>
      <c r="AZ823" s="77" t="s">
        <v>131</v>
      </c>
      <c r="BA823" s="78" t="s">
        <v>131</v>
      </c>
      <c r="BB823" s="78" t="s">
        <v>131</v>
      </c>
      <c r="BC823" s="78" t="s">
        <v>131</v>
      </c>
      <c r="BD823" s="78" t="s">
        <v>131</v>
      </c>
      <c r="BE823" s="78" t="s">
        <v>131</v>
      </c>
      <c r="BF823" s="78" t="s">
        <v>131</v>
      </c>
      <c r="BG823" s="78" t="s">
        <v>132</v>
      </c>
      <c r="BH823" s="75" t="s">
        <v>5970</v>
      </c>
      <c r="BI823" s="295" t="s">
        <v>16</v>
      </c>
      <c r="BJ823" s="546">
        <v>1</v>
      </c>
      <c r="BK823" s="294">
        <v>1</v>
      </c>
      <c r="BL823" s="157">
        <v>1</v>
      </c>
      <c r="BM823" s="548" t="s">
        <v>1342</v>
      </c>
      <c r="BN823" s="548" t="s">
        <v>4158</v>
      </c>
      <c r="BO823" s="157" t="s">
        <v>4399</v>
      </c>
      <c r="BP823" s="548" t="s">
        <v>4400</v>
      </c>
      <c r="BQ823" s="157" t="s">
        <v>4392</v>
      </c>
      <c r="BR823" s="157"/>
    </row>
    <row r="824" spans="1:70" x14ac:dyDescent="0.25">
      <c r="A824" s="19" t="s">
        <v>3686</v>
      </c>
      <c r="B824" s="37" t="s">
        <v>2774</v>
      </c>
      <c r="C824" s="90">
        <v>45117.716608796298</v>
      </c>
      <c r="D824" s="114">
        <v>45117.466608796298</v>
      </c>
      <c r="E824" s="38">
        <v>45117</v>
      </c>
      <c r="F824" s="91">
        <v>2023</v>
      </c>
      <c r="G824" s="93">
        <v>7</v>
      </c>
      <c r="H824" s="37" t="s">
        <v>2423</v>
      </c>
      <c r="I824" s="37"/>
      <c r="J824" s="103">
        <v>-92.626128800000004</v>
      </c>
      <c r="K824" s="40">
        <v>44.857364599999997</v>
      </c>
      <c r="L824" s="74"/>
      <c r="M824" s="272" t="s">
        <v>16</v>
      </c>
      <c r="N824" s="74">
        <v>0</v>
      </c>
      <c r="O824" s="94"/>
      <c r="P824" s="118">
        <v>1</v>
      </c>
      <c r="Q824" s="510">
        <v>80</v>
      </c>
      <c r="R824" s="513">
        <v>120</v>
      </c>
      <c r="S824" s="41"/>
      <c r="T824" s="40"/>
      <c r="U824" s="40">
        <v>7</v>
      </c>
      <c r="V824" s="119">
        <v>1</v>
      </c>
      <c r="W824" s="40">
        <v>0</v>
      </c>
      <c r="X824" s="119">
        <v>1</v>
      </c>
      <c r="Y824" s="40">
        <v>65</v>
      </c>
      <c r="Z824" s="119">
        <v>1</v>
      </c>
      <c r="AA824" s="368">
        <v>0</v>
      </c>
      <c r="AB824" s="535">
        <v>5</v>
      </c>
      <c r="AC824" s="39" t="s">
        <v>186</v>
      </c>
      <c r="AD824" s="75" t="s">
        <v>2775</v>
      </c>
      <c r="AE824" s="95">
        <v>0</v>
      </c>
      <c r="AF824" s="75">
        <v>0</v>
      </c>
      <c r="AG824" s="75">
        <v>1</v>
      </c>
      <c r="AH824" s="75">
        <v>0</v>
      </c>
      <c r="AI824" s="75">
        <v>0</v>
      </c>
      <c r="AJ824" s="75">
        <v>1</v>
      </c>
      <c r="AK824" s="75">
        <v>0</v>
      </c>
      <c r="AL824" s="95">
        <v>0</v>
      </c>
      <c r="AM824" s="92">
        <v>0</v>
      </c>
      <c r="AN824" s="79" t="s">
        <v>81</v>
      </c>
      <c r="AO824" s="75">
        <v>1</v>
      </c>
      <c r="AP824" s="75" t="s">
        <v>83</v>
      </c>
      <c r="AQ824" s="122">
        <v>1</v>
      </c>
      <c r="AR824" s="515" t="s">
        <v>10</v>
      </c>
      <c r="AS824" s="95">
        <v>0</v>
      </c>
      <c r="AT824" s="75">
        <v>0</v>
      </c>
      <c r="AU824" s="75">
        <v>0</v>
      </c>
      <c r="AV824" s="75">
        <v>0</v>
      </c>
      <c r="AW824" s="123">
        <v>0</v>
      </c>
      <c r="AX824" s="516" t="s">
        <v>2776</v>
      </c>
      <c r="AY824" s="75">
        <v>1</v>
      </c>
      <c r="AZ824" s="77" t="s">
        <v>131</v>
      </c>
      <c r="BA824" s="78" t="s">
        <v>131</v>
      </c>
      <c r="BB824" s="78" t="s">
        <v>132</v>
      </c>
      <c r="BC824" s="78" t="s">
        <v>131</v>
      </c>
      <c r="BD824" s="78" t="s">
        <v>131</v>
      </c>
      <c r="BE824" s="78" t="s">
        <v>132</v>
      </c>
      <c r="BF824" s="78" t="s">
        <v>131</v>
      </c>
      <c r="BG824" s="78" t="s">
        <v>131</v>
      </c>
      <c r="BH824" s="75" t="s">
        <v>5970</v>
      </c>
      <c r="BI824" s="295" t="s">
        <v>2227</v>
      </c>
      <c r="BJ824" s="546">
        <v>1</v>
      </c>
      <c r="BK824" s="294" t="s">
        <v>16</v>
      </c>
      <c r="BL824" s="157" t="s">
        <v>16</v>
      </c>
      <c r="BM824" s="548" t="s">
        <v>578</v>
      </c>
      <c r="BN824" s="548" t="s">
        <v>4159</v>
      </c>
      <c r="BO824" s="157" t="s">
        <v>4311</v>
      </c>
      <c r="BP824" s="548" t="s">
        <v>4395</v>
      </c>
      <c r="BQ824" s="157" t="s">
        <v>4309</v>
      </c>
      <c r="BR824" s="157"/>
    </row>
    <row r="825" spans="1:70" x14ac:dyDescent="0.25">
      <c r="A825" s="19" t="s">
        <v>3686</v>
      </c>
      <c r="B825" s="37" t="s">
        <v>2777</v>
      </c>
      <c r="C825" s="90">
        <v>45117.671840277777</v>
      </c>
      <c r="D825" s="114">
        <v>45117.421840277777</v>
      </c>
      <c r="E825" s="38">
        <v>45117</v>
      </c>
      <c r="F825" s="91">
        <v>2023</v>
      </c>
      <c r="G825" s="93">
        <v>7</v>
      </c>
      <c r="H825" s="37" t="s">
        <v>2534</v>
      </c>
      <c r="I825" s="37" t="s">
        <v>146</v>
      </c>
      <c r="J825" s="103">
        <v>-92.638206652011803</v>
      </c>
      <c r="K825" s="40">
        <v>44.851673282672131</v>
      </c>
      <c r="L825" s="74"/>
      <c r="M825" s="272" t="s">
        <v>16</v>
      </c>
      <c r="N825" s="74">
        <v>0</v>
      </c>
      <c r="O825" s="94"/>
      <c r="P825" s="118">
        <v>1</v>
      </c>
      <c r="Q825" s="510">
        <v>80</v>
      </c>
      <c r="R825" s="513">
        <v>120</v>
      </c>
      <c r="S825" s="41"/>
      <c r="T825" s="40"/>
      <c r="U825" s="40">
        <v>7.5</v>
      </c>
      <c r="V825" s="119">
        <v>1</v>
      </c>
      <c r="W825" s="40">
        <v>0</v>
      </c>
      <c r="X825" s="119">
        <v>1</v>
      </c>
      <c r="Y825" s="40">
        <v>62</v>
      </c>
      <c r="Z825" s="119">
        <v>1</v>
      </c>
      <c r="AA825" s="368">
        <v>0</v>
      </c>
      <c r="AB825" s="535">
        <v>2</v>
      </c>
      <c r="AC825" s="39" t="s">
        <v>160</v>
      </c>
      <c r="AD825" s="75" t="s">
        <v>8</v>
      </c>
      <c r="AE825" s="95">
        <v>0</v>
      </c>
      <c r="AF825" s="75">
        <v>1</v>
      </c>
      <c r="AG825" s="75">
        <v>0</v>
      </c>
      <c r="AH825" s="75">
        <v>0</v>
      </c>
      <c r="AI825" s="75">
        <v>0</v>
      </c>
      <c r="AJ825" s="75">
        <v>0</v>
      </c>
      <c r="AK825" s="75">
        <v>0</v>
      </c>
      <c r="AL825" s="95">
        <v>0</v>
      </c>
      <c r="AM825" s="92">
        <v>0</v>
      </c>
      <c r="AN825" s="79" t="s">
        <v>80</v>
      </c>
      <c r="AO825" s="75">
        <v>1</v>
      </c>
      <c r="AP825" s="75" t="s">
        <v>83</v>
      </c>
      <c r="AQ825" s="122">
        <v>1</v>
      </c>
      <c r="AR825" s="515" t="s">
        <v>10</v>
      </c>
      <c r="AS825" s="95">
        <v>0</v>
      </c>
      <c r="AT825" s="75">
        <v>0</v>
      </c>
      <c r="AU825" s="75">
        <v>0</v>
      </c>
      <c r="AV825" s="75">
        <v>0</v>
      </c>
      <c r="AW825" s="123">
        <v>0</v>
      </c>
      <c r="AX825" s="516" t="s">
        <v>2778</v>
      </c>
      <c r="AY825" s="75">
        <v>1</v>
      </c>
      <c r="AZ825" s="77" t="s">
        <v>131</v>
      </c>
      <c r="BA825" s="78" t="s">
        <v>132</v>
      </c>
      <c r="BB825" s="78" t="s">
        <v>131</v>
      </c>
      <c r="BC825" s="78" t="s">
        <v>131</v>
      </c>
      <c r="BD825" s="78" t="s">
        <v>131</v>
      </c>
      <c r="BE825" s="78" t="s">
        <v>131</v>
      </c>
      <c r="BF825" s="78" t="s">
        <v>131</v>
      </c>
      <c r="BG825" s="78" t="s">
        <v>131</v>
      </c>
      <c r="BH825" s="75" t="s">
        <v>5970</v>
      </c>
      <c r="BI825" s="295" t="s">
        <v>2227</v>
      </c>
      <c r="BJ825" s="546">
        <v>1</v>
      </c>
      <c r="BK825" s="294">
        <v>1</v>
      </c>
      <c r="BL825" s="157">
        <v>1</v>
      </c>
      <c r="BM825" s="548" t="s">
        <v>578</v>
      </c>
      <c r="BN825" s="548" t="s">
        <v>4159</v>
      </c>
      <c r="BO825" s="157" t="s">
        <v>4341</v>
      </c>
      <c r="BP825" s="548" t="s">
        <v>4343</v>
      </c>
      <c r="BQ825" s="157" t="s">
        <v>4309</v>
      </c>
      <c r="BR825" s="157"/>
    </row>
    <row r="826" spans="1:70" x14ac:dyDescent="0.25">
      <c r="A826" s="19" t="s">
        <v>3686</v>
      </c>
      <c r="B826" s="37" t="s">
        <v>2779</v>
      </c>
      <c r="C826" s="90">
        <v>45117.655277777776</v>
      </c>
      <c r="D826" s="114">
        <v>45117.405277777776</v>
      </c>
      <c r="E826" s="38">
        <v>45117</v>
      </c>
      <c r="F826" s="91">
        <v>2023</v>
      </c>
      <c r="G826" s="93">
        <v>7</v>
      </c>
      <c r="H826" s="37" t="s">
        <v>2423</v>
      </c>
      <c r="I826" s="37"/>
      <c r="J826" s="103">
        <v>-92.636271600000001</v>
      </c>
      <c r="K826" s="40">
        <v>44.854713599999997</v>
      </c>
      <c r="L826" s="74"/>
      <c r="M826" s="272" t="s">
        <v>16</v>
      </c>
      <c r="N826" s="74">
        <v>0</v>
      </c>
      <c r="O826" s="94"/>
      <c r="P826" s="118">
        <v>1</v>
      </c>
      <c r="Q826" s="510">
        <v>80</v>
      </c>
      <c r="R826" s="513">
        <v>120</v>
      </c>
      <c r="S826" s="41"/>
      <c r="T826" s="40"/>
      <c r="U826" s="40">
        <v>7</v>
      </c>
      <c r="V826" s="119">
        <v>1</v>
      </c>
      <c r="W826" s="40">
        <v>0</v>
      </c>
      <c r="X826" s="119">
        <v>1</v>
      </c>
      <c r="Y826" s="40">
        <v>61</v>
      </c>
      <c r="Z826" s="119">
        <v>1</v>
      </c>
      <c r="AA826" s="368">
        <v>0</v>
      </c>
      <c r="AB826" s="535">
        <v>5</v>
      </c>
      <c r="AC826" s="39" t="s">
        <v>160</v>
      </c>
      <c r="AD826" s="75" t="s">
        <v>803</v>
      </c>
      <c r="AE826" s="95">
        <v>0</v>
      </c>
      <c r="AF826" s="75">
        <v>1</v>
      </c>
      <c r="AG826" s="75">
        <v>1</v>
      </c>
      <c r="AH826" s="75">
        <v>1</v>
      </c>
      <c r="AI826" s="75">
        <v>0</v>
      </c>
      <c r="AJ826" s="75">
        <v>0</v>
      </c>
      <c r="AK826" s="75">
        <v>0</v>
      </c>
      <c r="AL826" s="95">
        <v>0</v>
      </c>
      <c r="AM826" s="92">
        <v>0</v>
      </c>
      <c r="AN826" s="79" t="s">
        <v>80</v>
      </c>
      <c r="AO826" s="75">
        <v>1</v>
      </c>
      <c r="AP826" s="75" t="s">
        <v>83</v>
      </c>
      <c r="AQ826" s="122">
        <v>1</v>
      </c>
      <c r="AR826" s="515" t="s">
        <v>10</v>
      </c>
      <c r="AS826" s="95">
        <v>0</v>
      </c>
      <c r="AT826" s="75">
        <v>0</v>
      </c>
      <c r="AU826" s="75">
        <v>0</v>
      </c>
      <c r="AV826" s="75">
        <v>0</v>
      </c>
      <c r="AW826" s="123">
        <v>0</v>
      </c>
      <c r="AX826" s="516" t="s">
        <v>2780</v>
      </c>
      <c r="AY826" s="75">
        <v>1</v>
      </c>
      <c r="AZ826" s="77" t="s">
        <v>131</v>
      </c>
      <c r="BA826" s="78" t="s">
        <v>132</v>
      </c>
      <c r="BB826" s="78" t="s">
        <v>132</v>
      </c>
      <c r="BC826" s="78" t="s">
        <v>132</v>
      </c>
      <c r="BD826" s="78" t="s">
        <v>131</v>
      </c>
      <c r="BE826" s="78" t="s">
        <v>131</v>
      </c>
      <c r="BF826" s="78" t="s">
        <v>131</v>
      </c>
      <c r="BG826" s="78" t="s">
        <v>131</v>
      </c>
      <c r="BH826" s="75" t="s">
        <v>5970</v>
      </c>
      <c r="BI826" s="295" t="s">
        <v>2227</v>
      </c>
      <c r="BJ826" s="546">
        <v>1</v>
      </c>
      <c r="BK826" s="294">
        <v>1</v>
      </c>
      <c r="BL826" s="157">
        <v>1</v>
      </c>
      <c r="BM826" s="548" t="s">
        <v>578</v>
      </c>
      <c r="BN826" s="548" t="s">
        <v>4159</v>
      </c>
      <c r="BO826" s="157" t="s">
        <v>4341</v>
      </c>
      <c r="BP826" s="548" t="s">
        <v>4343</v>
      </c>
      <c r="BQ826" s="157" t="s">
        <v>4309</v>
      </c>
      <c r="BR826" s="157"/>
    </row>
    <row r="827" spans="1:70" x14ac:dyDescent="0.25">
      <c r="A827" s="19" t="s">
        <v>3686</v>
      </c>
      <c r="B827" s="37" t="s">
        <v>2781</v>
      </c>
      <c r="C827" s="90">
        <v>45117.625393518516</v>
      </c>
      <c r="D827" s="114">
        <v>45117.375393518516</v>
      </c>
      <c r="E827" s="38">
        <v>45117</v>
      </c>
      <c r="F827" s="91">
        <v>2023</v>
      </c>
      <c r="G827" s="93">
        <v>7</v>
      </c>
      <c r="H827" s="37" t="s">
        <v>2548</v>
      </c>
      <c r="I827" s="37"/>
      <c r="J827" s="103">
        <v>-90.347577816534795</v>
      </c>
      <c r="K827" s="40">
        <v>43.536868213933325</v>
      </c>
      <c r="L827" s="74"/>
      <c r="M827" s="272" t="s">
        <v>2782</v>
      </c>
      <c r="N827" s="74">
        <v>1</v>
      </c>
      <c r="O827" s="94"/>
      <c r="P827" s="118">
        <v>1</v>
      </c>
      <c r="Q827" s="510">
        <v>180</v>
      </c>
      <c r="R827" s="513">
        <v>180</v>
      </c>
      <c r="S827" s="41"/>
      <c r="T827" s="40"/>
      <c r="U827" s="40">
        <v>8</v>
      </c>
      <c r="V827" s="119">
        <v>1</v>
      </c>
      <c r="W827" s="40">
        <v>0</v>
      </c>
      <c r="X827" s="119">
        <v>1</v>
      </c>
      <c r="Y827" s="40">
        <v>57</v>
      </c>
      <c r="Z827" s="119">
        <v>1</v>
      </c>
      <c r="AA827" s="368">
        <v>0</v>
      </c>
      <c r="AB827" s="535">
        <v>0</v>
      </c>
      <c r="AC827" s="39" t="s">
        <v>160</v>
      </c>
      <c r="AD827" s="75" t="s">
        <v>10</v>
      </c>
      <c r="AE827" s="95">
        <v>0</v>
      </c>
      <c r="AF827" s="75">
        <v>0</v>
      </c>
      <c r="AG827" s="75">
        <v>0</v>
      </c>
      <c r="AH827" s="75">
        <v>0</v>
      </c>
      <c r="AI827" s="75">
        <v>0</v>
      </c>
      <c r="AJ827" s="75">
        <v>0</v>
      </c>
      <c r="AK827" s="75">
        <v>0</v>
      </c>
      <c r="AL827" s="95">
        <v>1</v>
      </c>
      <c r="AM827" s="92">
        <v>0</v>
      </c>
      <c r="AN827" s="79" t="s">
        <v>80</v>
      </c>
      <c r="AO827" s="75">
        <v>1</v>
      </c>
      <c r="AP827" s="75" t="s">
        <v>83</v>
      </c>
      <c r="AQ827" s="122">
        <v>1</v>
      </c>
      <c r="AR827" s="515" t="s">
        <v>10</v>
      </c>
      <c r="AS827" s="95">
        <v>0</v>
      </c>
      <c r="AT827" s="75">
        <v>0</v>
      </c>
      <c r="AU827" s="75">
        <v>0</v>
      </c>
      <c r="AV827" s="75">
        <v>0</v>
      </c>
      <c r="AW827" s="123">
        <v>0</v>
      </c>
      <c r="AX827" s="516"/>
      <c r="AY827" s="75">
        <v>0</v>
      </c>
      <c r="AZ827" s="77" t="s">
        <v>131</v>
      </c>
      <c r="BA827" s="78" t="s">
        <v>131</v>
      </c>
      <c r="BB827" s="78" t="s">
        <v>131</v>
      </c>
      <c r="BC827" s="78" t="s">
        <v>131</v>
      </c>
      <c r="BD827" s="78" t="s">
        <v>131</v>
      </c>
      <c r="BE827" s="78" t="s">
        <v>131</v>
      </c>
      <c r="BF827" s="78" t="s">
        <v>131</v>
      </c>
      <c r="BG827" s="78" t="s">
        <v>132</v>
      </c>
      <c r="BH827" s="75" t="s">
        <v>5970</v>
      </c>
      <c r="BI827" s="295" t="s">
        <v>4071</v>
      </c>
      <c r="BJ827" s="546">
        <v>1</v>
      </c>
      <c r="BK827" s="294" t="s">
        <v>16</v>
      </c>
      <c r="BL827" s="157" t="s">
        <v>16</v>
      </c>
      <c r="BM827" s="548" t="s">
        <v>1342</v>
      </c>
      <c r="BN827" s="548" t="s">
        <v>4158</v>
      </c>
      <c r="BO827" s="157" t="s">
        <v>4399</v>
      </c>
      <c r="BP827" s="548" t="s">
        <v>4400</v>
      </c>
      <c r="BQ827" s="157" t="s">
        <v>4392</v>
      </c>
      <c r="BR827" s="157"/>
    </row>
    <row r="828" spans="1:70" x14ac:dyDescent="0.25">
      <c r="A828" s="19" t="s">
        <v>3686</v>
      </c>
      <c r="B828" s="37" t="s">
        <v>2783</v>
      </c>
      <c r="C828" s="90">
        <v>45117.623020833336</v>
      </c>
      <c r="D828" s="114">
        <v>45117.373020833336</v>
      </c>
      <c r="E828" s="38">
        <v>45117</v>
      </c>
      <c r="F828" s="91">
        <v>2023</v>
      </c>
      <c r="G828" s="93">
        <v>7</v>
      </c>
      <c r="H828" s="37" t="s">
        <v>2423</v>
      </c>
      <c r="I828" s="37"/>
      <c r="J828" s="103">
        <v>-92.624224600000005</v>
      </c>
      <c r="K828" s="40">
        <v>44.864127600000003</v>
      </c>
      <c r="L828" s="74"/>
      <c r="M828" s="272" t="s">
        <v>16</v>
      </c>
      <c r="N828" s="74">
        <v>0</v>
      </c>
      <c r="O828" s="94"/>
      <c r="P828" s="118">
        <v>1</v>
      </c>
      <c r="Q828" s="510">
        <v>80</v>
      </c>
      <c r="R828" s="513">
        <v>120</v>
      </c>
      <c r="S828" s="41"/>
      <c r="T828" s="40"/>
      <c r="U828" s="40">
        <v>7</v>
      </c>
      <c r="V828" s="119">
        <v>1</v>
      </c>
      <c r="W828" s="40">
        <v>0</v>
      </c>
      <c r="X828" s="119">
        <v>1</v>
      </c>
      <c r="Y828" s="40">
        <v>60</v>
      </c>
      <c r="Z828" s="119">
        <v>1</v>
      </c>
      <c r="AA828" s="368">
        <v>0</v>
      </c>
      <c r="AB828" s="535">
        <v>2</v>
      </c>
      <c r="AC828" s="39" t="s">
        <v>160</v>
      </c>
      <c r="AD828" s="75" t="s">
        <v>355</v>
      </c>
      <c r="AE828" s="95">
        <v>0</v>
      </c>
      <c r="AF828" s="75">
        <v>0</v>
      </c>
      <c r="AG828" s="75">
        <v>0</v>
      </c>
      <c r="AH828" s="75">
        <v>1</v>
      </c>
      <c r="AI828" s="75">
        <v>0</v>
      </c>
      <c r="AJ828" s="75">
        <v>0</v>
      </c>
      <c r="AK828" s="75">
        <v>0</v>
      </c>
      <c r="AL828" s="95">
        <v>0</v>
      </c>
      <c r="AM828" s="92">
        <v>0</v>
      </c>
      <c r="AN828" s="79" t="s">
        <v>80</v>
      </c>
      <c r="AO828" s="75">
        <v>1</v>
      </c>
      <c r="AP828" s="75" t="s">
        <v>83</v>
      </c>
      <c r="AQ828" s="122">
        <v>1</v>
      </c>
      <c r="AR828" s="515" t="s">
        <v>10</v>
      </c>
      <c r="AS828" s="95">
        <v>0</v>
      </c>
      <c r="AT828" s="75">
        <v>0</v>
      </c>
      <c r="AU828" s="75">
        <v>0</v>
      </c>
      <c r="AV828" s="75">
        <v>0</v>
      </c>
      <c r="AW828" s="123">
        <v>0</v>
      </c>
      <c r="AX828" s="516" t="s">
        <v>2784</v>
      </c>
      <c r="AY828" s="75">
        <v>1</v>
      </c>
      <c r="AZ828" s="77" t="s">
        <v>131</v>
      </c>
      <c r="BA828" s="78" t="s">
        <v>131</v>
      </c>
      <c r="BB828" s="78" t="s">
        <v>131</v>
      </c>
      <c r="BC828" s="78" t="s">
        <v>132</v>
      </c>
      <c r="BD828" s="78" t="s">
        <v>131</v>
      </c>
      <c r="BE828" s="78" t="s">
        <v>131</v>
      </c>
      <c r="BF828" s="78" t="s">
        <v>131</v>
      </c>
      <c r="BG828" s="78" t="s">
        <v>131</v>
      </c>
      <c r="BH828" s="75" t="s">
        <v>5970</v>
      </c>
      <c r="BI828" s="295" t="s">
        <v>2227</v>
      </c>
      <c r="BJ828" s="546">
        <v>1</v>
      </c>
      <c r="BK828" s="294" t="s">
        <v>16</v>
      </c>
      <c r="BL828" s="157" t="s">
        <v>16</v>
      </c>
      <c r="BM828" s="548" t="s">
        <v>578</v>
      </c>
      <c r="BN828" s="548" t="s">
        <v>4159</v>
      </c>
      <c r="BO828" s="157" t="s">
        <v>4311</v>
      </c>
      <c r="BP828" s="548" t="s">
        <v>4395</v>
      </c>
      <c r="BQ828" s="157" t="s">
        <v>4309</v>
      </c>
      <c r="BR828" s="157"/>
    </row>
    <row r="829" spans="1:70" x14ac:dyDescent="0.25">
      <c r="A829" s="19" t="s">
        <v>3686</v>
      </c>
      <c r="B829" s="37" t="s">
        <v>2785</v>
      </c>
      <c r="C829" s="90">
        <v>45117.605706018519</v>
      </c>
      <c r="D829" s="114">
        <v>45117.355706018519</v>
      </c>
      <c r="E829" s="38">
        <v>45117</v>
      </c>
      <c r="F829" s="91">
        <v>2023</v>
      </c>
      <c r="G829" s="93">
        <v>7</v>
      </c>
      <c r="H829" s="37" t="s">
        <v>2423</v>
      </c>
      <c r="I829" s="37"/>
      <c r="J829" s="103">
        <v>-92.621329299999999</v>
      </c>
      <c r="K829" s="40">
        <v>44.875087999999998</v>
      </c>
      <c r="L829" s="74"/>
      <c r="M829" s="272" t="s">
        <v>16</v>
      </c>
      <c r="N829" s="74">
        <v>0</v>
      </c>
      <c r="O829" s="94"/>
      <c r="P829" s="118">
        <v>1</v>
      </c>
      <c r="Q829" s="510">
        <v>80</v>
      </c>
      <c r="R829" s="513">
        <v>120</v>
      </c>
      <c r="S829" s="41"/>
      <c r="T829" s="40"/>
      <c r="U829" s="40">
        <v>7</v>
      </c>
      <c r="V829" s="119">
        <v>1</v>
      </c>
      <c r="W829" s="40">
        <v>0</v>
      </c>
      <c r="X829" s="119">
        <v>1</v>
      </c>
      <c r="Y829" s="40">
        <v>59</v>
      </c>
      <c r="Z829" s="119">
        <v>1</v>
      </c>
      <c r="AA829" s="368">
        <v>0</v>
      </c>
      <c r="AB829" s="535">
        <v>5</v>
      </c>
      <c r="AC829" s="39" t="s">
        <v>160</v>
      </c>
      <c r="AD829" s="75" t="s">
        <v>365</v>
      </c>
      <c r="AE829" s="95">
        <v>0</v>
      </c>
      <c r="AF829" s="75">
        <v>1</v>
      </c>
      <c r="AG829" s="75">
        <v>1</v>
      </c>
      <c r="AH829" s="75">
        <v>0</v>
      </c>
      <c r="AI829" s="75">
        <v>0</v>
      </c>
      <c r="AJ829" s="75">
        <v>0</v>
      </c>
      <c r="AK829" s="75">
        <v>0</v>
      </c>
      <c r="AL829" s="95">
        <v>0</v>
      </c>
      <c r="AM829" s="92">
        <v>0</v>
      </c>
      <c r="AN829" s="79" t="s">
        <v>80</v>
      </c>
      <c r="AO829" s="75">
        <v>1</v>
      </c>
      <c r="AP829" s="75" t="s">
        <v>83</v>
      </c>
      <c r="AQ829" s="122">
        <v>1</v>
      </c>
      <c r="AR829" s="515" t="s">
        <v>10</v>
      </c>
      <c r="AS829" s="95">
        <v>0</v>
      </c>
      <c r="AT829" s="75">
        <v>0</v>
      </c>
      <c r="AU829" s="75">
        <v>0</v>
      </c>
      <c r="AV829" s="75">
        <v>0</v>
      </c>
      <c r="AW829" s="123">
        <v>0</v>
      </c>
      <c r="AX829" s="516" t="s">
        <v>2786</v>
      </c>
      <c r="AY829" s="75">
        <v>1</v>
      </c>
      <c r="AZ829" s="77" t="s">
        <v>131</v>
      </c>
      <c r="BA829" s="78" t="s">
        <v>132</v>
      </c>
      <c r="BB829" s="78" t="s">
        <v>132</v>
      </c>
      <c r="BC829" s="78" t="s">
        <v>131</v>
      </c>
      <c r="BD829" s="78" t="s">
        <v>131</v>
      </c>
      <c r="BE829" s="78" t="s">
        <v>131</v>
      </c>
      <c r="BF829" s="78" t="s">
        <v>131</v>
      </c>
      <c r="BG829" s="78" t="s">
        <v>131</v>
      </c>
      <c r="BH829" s="75" t="s">
        <v>5970</v>
      </c>
      <c r="BI829" s="295" t="s">
        <v>2227</v>
      </c>
      <c r="BJ829" s="546">
        <v>1</v>
      </c>
      <c r="BK829" s="294" t="s">
        <v>16</v>
      </c>
      <c r="BL829" s="157" t="s">
        <v>16</v>
      </c>
      <c r="BM829" s="548" t="s">
        <v>578</v>
      </c>
      <c r="BN829" s="548" t="s">
        <v>4159</v>
      </c>
      <c r="BO829" s="157" t="s">
        <v>4311</v>
      </c>
      <c r="BP829" s="548" t="s">
        <v>4395</v>
      </c>
      <c r="BQ829" s="157" t="s">
        <v>4309</v>
      </c>
      <c r="BR829" s="157"/>
    </row>
    <row r="830" spans="1:70" x14ac:dyDescent="0.25">
      <c r="A830" s="19" t="s">
        <v>3686</v>
      </c>
      <c r="B830" s="37" t="s">
        <v>2787</v>
      </c>
      <c r="C830" s="90">
        <v>45117.513171296298</v>
      </c>
      <c r="D830" s="114">
        <v>45117.263171296298</v>
      </c>
      <c r="E830" s="38">
        <v>45117</v>
      </c>
      <c r="F830" s="91">
        <v>2023</v>
      </c>
      <c r="G830" s="93">
        <v>7</v>
      </c>
      <c r="H830" s="37" t="s">
        <v>2400</v>
      </c>
      <c r="I830" s="37"/>
      <c r="J830" s="103">
        <v>-90.350814799999995</v>
      </c>
      <c r="K830" s="40">
        <v>43.565252899999997</v>
      </c>
      <c r="L830" s="74"/>
      <c r="M830" s="272" t="s">
        <v>2788</v>
      </c>
      <c r="N830" s="74">
        <v>1</v>
      </c>
      <c r="O830" s="94"/>
      <c r="P830" s="118">
        <v>1</v>
      </c>
      <c r="Q830" s="510">
        <v>80</v>
      </c>
      <c r="R830" s="513">
        <v>180</v>
      </c>
      <c r="S830" s="41"/>
      <c r="T830" s="40"/>
      <c r="U830" s="40">
        <v>6.5</v>
      </c>
      <c r="V830" s="119">
        <v>1</v>
      </c>
      <c r="W830" s="40">
        <v>0</v>
      </c>
      <c r="X830" s="119">
        <v>1</v>
      </c>
      <c r="Y830" s="40">
        <v>50</v>
      </c>
      <c r="Z830" s="119">
        <v>1</v>
      </c>
      <c r="AA830" s="368">
        <v>0</v>
      </c>
      <c r="AB830" s="535">
        <v>2</v>
      </c>
      <c r="AC830" s="39" t="s">
        <v>160</v>
      </c>
      <c r="AD830" s="75" t="s">
        <v>10</v>
      </c>
      <c r="AE830" s="95">
        <v>0</v>
      </c>
      <c r="AF830" s="75">
        <v>0</v>
      </c>
      <c r="AG830" s="75">
        <v>0</v>
      </c>
      <c r="AH830" s="75">
        <v>0</v>
      </c>
      <c r="AI830" s="75">
        <v>0</v>
      </c>
      <c r="AJ830" s="75">
        <v>0</v>
      </c>
      <c r="AK830" s="75">
        <v>0</v>
      </c>
      <c r="AL830" s="95">
        <v>1</v>
      </c>
      <c r="AM830" s="92">
        <v>0</v>
      </c>
      <c r="AN830" s="79" t="s">
        <v>80</v>
      </c>
      <c r="AO830" s="75">
        <v>1</v>
      </c>
      <c r="AP830" s="75" t="s">
        <v>84</v>
      </c>
      <c r="AQ830" s="122">
        <v>1</v>
      </c>
      <c r="AR830" s="515" t="s">
        <v>10</v>
      </c>
      <c r="AS830" s="95">
        <v>0</v>
      </c>
      <c r="AT830" s="75">
        <v>0</v>
      </c>
      <c r="AU830" s="75">
        <v>0</v>
      </c>
      <c r="AV830" s="75">
        <v>0</v>
      </c>
      <c r="AW830" s="123">
        <v>0</v>
      </c>
      <c r="AX830" s="516"/>
      <c r="AY830" s="75">
        <v>0</v>
      </c>
      <c r="AZ830" s="77" t="s">
        <v>131</v>
      </c>
      <c r="BA830" s="78" t="s">
        <v>131</v>
      </c>
      <c r="BB830" s="78" t="s">
        <v>131</v>
      </c>
      <c r="BC830" s="78" t="s">
        <v>131</v>
      </c>
      <c r="BD830" s="78" t="s">
        <v>131</v>
      </c>
      <c r="BE830" s="78" t="s">
        <v>131</v>
      </c>
      <c r="BF830" s="78" t="s">
        <v>131</v>
      </c>
      <c r="BG830" s="78" t="s">
        <v>132</v>
      </c>
      <c r="BH830" s="75" t="s">
        <v>5970</v>
      </c>
      <c r="BI830" s="295">
        <v>0</v>
      </c>
      <c r="BJ830" s="546">
        <v>1</v>
      </c>
      <c r="BK830" s="294">
        <v>1</v>
      </c>
      <c r="BL830" s="157">
        <v>1</v>
      </c>
      <c r="BM830" s="548" t="s">
        <v>1342</v>
      </c>
      <c r="BN830" s="548" t="s">
        <v>4158</v>
      </c>
      <c r="BO830" s="157" t="s">
        <v>4399</v>
      </c>
      <c r="BP830" s="548" t="s">
        <v>4400</v>
      </c>
      <c r="BQ830" s="157" t="s">
        <v>4392</v>
      </c>
      <c r="BR830" s="157"/>
    </row>
    <row r="831" spans="1:70" x14ac:dyDescent="0.25">
      <c r="A831" s="19" t="s">
        <v>3686</v>
      </c>
      <c r="B831" s="37" t="s">
        <v>2789</v>
      </c>
      <c r="C831" s="90">
        <v>45116.770208333335</v>
      </c>
      <c r="D831" s="114">
        <v>45116.520208333335</v>
      </c>
      <c r="E831" s="38">
        <v>45116</v>
      </c>
      <c r="F831" s="91">
        <v>2023</v>
      </c>
      <c r="G831" s="93">
        <v>7</v>
      </c>
      <c r="H831" s="37" t="s">
        <v>1391</v>
      </c>
      <c r="I831" s="37" t="s">
        <v>960</v>
      </c>
      <c r="J831" s="103">
        <v>-93.009009109896596</v>
      </c>
      <c r="K831" s="40">
        <v>44.657243485604091</v>
      </c>
      <c r="L831" s="74"/>
      <c r="M831" s="272" t="s">
        <v>16</v>
      </c>
      <c r="N831" s="74">
        <v>0</v>
      </c>
      <c r="O831" s="94"/>
      <c r="P831" s="118">
        <v>1</v>
      </c>
      <c r="Q831" s="510">
        <v>40</v>
      </c>
      <c r="R831" s="513">
        <v>0</v>
      </c>
      <c r="S831" s="41"/>
      <c r="T831" s="40"/>
      <c r="U831" s="40">
        <v>9</v>
      </c>
      <c r="V831" s="119">
        <v>1</v>
      </c>
      <c r="W831" s="40">
        <v>200</v>
      </c>
      <c r="X831" s="119">
        <v>1</v>
      </c>
      <c r="Y831" s="40">
        <v>63</v>
      </c>
      <c r="Z831" s="119">
        <v>1</v>
      </c>
      <c r="AA831" s="368">
        <v>0</v>
      </c>
      <c r="AB831" s="535">
        <v>0</v>
      </c>
      <c r="AC831" s="39" t="s">
        <v>160</v>
      </c>
      <c r="AD831" s="75" t="s">
        <v>10</v>
      </c>
      <c r="AE831" s="95">
        <v>0</v>
      </c>
      <c r="AF831" s="75">
        <v>0</v>
      </c>
      <c r="AG831" s="75">
        <v>0</v>
      </c>
      <c r="AH831" s="75">
        <v>0</v>
      </c>
      <c r="AI831" s="75">
        <v>0</v>
      </c>
      <c r="AJ831" s="75">
        <v>0</v>
      </c>
      <c r="AK831" s="75">
        <v>0</v>
      </c>
      <c r="AL831" s="95">
        <v>1</v>
      </c>
      <c r="AM831" s="92">
        <v>0</v>
      </c>
      <c r="AN831" s="79" t="s">
        <v>81</v>
      </c>
      <c r="AO831" s="75">
        <v>1</v>
      </c>
      <c r="AP831" s="75" t="s">
        <v>83</v>
      </c>
      <c r="AQ831" s="122">
        <v>1</v>
      </c>
      <c r="AR831" s="515" t="s">
        <v>10</v>
      </c>
      <c r="AS831" s="95">
        <v>0</v>
      </c>
      <c r="AT831" s="75">
        <v>0</v>
      </c>
      <c r="AU831" s="75">
        <v>0</v>
      </c>
      <c r="AV831" s="75">
        <v>0</v>
      </c>
      <c r="AW831" s="123">
        <v>0</v>
      </c>
      <c r="AX831" s="516"/>
      <c r="AY831" s="75">
        <v>0</v>
      </c>
      <c r="AZ831" s="77" t="s">
        <v>131</v>
      </c>
      <c r="BA831" s="78" t="s">
        <v>131</v>
      </c>
      <c r="BB831" s="78" t="s">
        <v>131</v>
      </c>
      <c r="BC831" s="78" t="s">
        <v>131</v>
      </c>
      <c r="BD831" s="78" t="s">
        <v>131</v>
      </c>
      <c r="BE831" s="78" t="s">
        <v>131</v>
      </c>
      <c r="BF831" s="78" t="s">
        <v>131</v>
      </c>
      <c r="BG831" s="78" t="s">
        <v>132</v>
      </c>
      <c r="BH831" s="75" t="s">
        <v>5970</v>
      </c>
      <c r="BI831" s="295" t="s">
        <v>2225</v>
      </c>
      <c r="BJ831" s="546">
        <v>1</v>
      </c>
      <c r="BK831" s="294" t="s">
        <v>16</v>
      </c>
      <c r="BL831" s="157" t="s">
        <v>16</v>
      </c>
      <c r="BM831" s="548" t="s">
        <v>2343</v>
      </c>
      <c r="BN831" s="548" t="s">
        <v>4161</v>
      </c>
      <c r="BO831" s="157" t="s">
        <v>4293</v>
      </c>
      <c r="BP831" s="548" t="s">
        <v>2225</v>
      </c>
      <c r="BQ831" s="157" t="s">
        <v>4292</v>
      </c>
      <c r="BR831" s="157"/>
    </row>
    <row r="832" spans="1:70" x14ac:dyDescent="0.25">
      <c r="A832" s="19" t="s">
        <v>3686</v>
      </c>
      <c r="B832" s="37" t="s">
        <v>2790</v>
      </c>
      <c r="C832" s="90">
        <v>45115.749652777777</v>
      </c>
      <c r="D832" s="114">
        <v>45115.499652777777</v>
      </c>
      <c r="E832" s="38">
        <v>45115</v>
      </c>
      <c r="F832" s="91">
        <v>2023</v>
      </c>
      <c r="G832" s="93">
        <v>7</v>
      </c>
      <c r="H832" s="37" t="s">
        <v>1410</v>
      </c>
      <c r="I832" s="37" t="s">
        <v>1411</v>
      </c>
      <c r="J832" s="103">
        <v>-93.231562803289293</v>
      </c>
      <c r="K832" s="40">
        <v>44.846856286284712</v>
      </c>
      <c r="L832" s="74"/>
      <c r="M832" s="272" t="s">
        <v>2791</v>
      </c>
      <c r="N832" s="74">
        <v>1</v>
      </c>
      <c r="O832" s="94"/>
      <c r="P832" s="118">
        <v>1</v>
      </c>
      <c r="Q832" s="510">
        <v>80</v>
      </c>
      <c r="R832" s="513">
        <v>180</v>
      </c>
      <c r="S832" s="41"/>
      <c r="T832" s="40"/>
      <c r="U832" s="40">
        <v>8</v>
      </c>
      <c r="V832" s="119">
        <v>1</v>
      </c>
      <c r="W832" s="40">
        <v>0</v>
      </c>
      <c r="X832" s="119">
        <v>1</v>
      </c>
      <c r="Y832" s="40">
        <v>60</v>
      </c>
      <c r="Z832" s="119">
        <v>1</v>
      </c>
      <c r="AA832" s="368">
        <v>0</v>
      </c>
      <c r="AB832" s="535">
        <v>0</v>
      </c>
      <c r="AC832" s="39" t="s">
        <v>160</v>
      </c>
      <c r="AD832" s="75" t="s">
        <v>10</v>
      </c>
      <c r="AE832" s="95">
        <v>0</v>
      </c>
      <c r="AF832" s="75">
        <v>0</v>
      </c>
      <c r="AG832" s="75">
        <v>0</v>
      </c>
      <c r="AH832" s="75">
        <v>0</v>
      </c>
      <c r="AI832" s="75">
        <v>0</v>
      </c>
      <c r="AJ832" s="75">
        <v>0</v>
      </c>
      <c r="AK832" s="75">
        <v>0</v>
      </c>
      <c r="AL832" s="95">
        <v>1</v>
      </c>
      <c r="AM832" s="92">
        <v>0</v>
      </c>
      <c r="AN832" s="79" t="s">
        <v>80</v>
      </c>
      <c r="AO832" s="75">
        <v>1</v>
      </c>
      <c r="AP832" s="75" t="s">
        <v>83</v>
      </c>
      <c r="AQ832" s="122">
        <v>1</v>
      </c>
      <c r="AR832" s="515" t="s">
        <v>10</v>
      </c>
      <c r="AS832" s="95">
        <v>0</v>
      </c>
      <c r="AT832" s="75">
        <v>0</v>
      </c>
      <c r="AU832" s="75">
        <v>0</v>
      </c>
      <c r="AV832" s="75">
        <v>0</v>
      </c>
      <c r="AW832" s="123">
        <v>0</v>
      </c>
      <c r="AX832" s="516" t="s">
        <v>2792</v>
      </c>
      <c r="AY832" s="75">
        <v>1</v>
      </c>
      <c r="AZ832" s="77" t="s">
        <v>131</v>
      </c>
      <c r="BA832" s="78" t="s">
        <v>131</v>
      </c>
      <c r="BB832" s="78" t="s">
        <v>131</v>
      </c>
      <c r="BC832" s="78" t="s">
        <v>131</v>
      </c>
      <c r="BD832" s="78" t="s">
        <v>131</v>
      </c>
      <c r="BE832" s="78" t="s">
        <v>131</v>
      </c>
      <c r="BF832" s="78" t="s">
        <v>131</v>
      </c>
      <c r="BG832" s="78" t="s">
        <v>132</v>
      </c>
      <c r="BH832" s="75" t="s">
        <v>5970</v>
      </c>
      <c r="BI832" s="295" t="s">
        <v>16</v>
      </c>
      <c r="BJ832" s="546" t="s">
        <v>16</v>
      </c>
      <c r="BK832" s="294" t="s">
        <v>16</v>
      </c>
      <c r="BL832" s="157" t="s">
        <v>16</v>
      </c>
      <c r="BM832" s="548" t="s">
        <v>2343</v>
      </c>
      <c r="BN832" s="548" t="s">
        <v>4161</v>
      </c>
      <c r="BO832" s="157" t="s">
        <v>4327</v>
      </c>
      <c r="BP832" s="548" t="s">
        <v>4314</v>
      </c>
      <c r="BQ832" s="157" t="s">
        <v>4312</v>
      </c>
      <c r="BR832" s="157"/>
    </row>
    <row r="833" spans="1:70" x14ac:dyDescent="0.25">
      <c r="A833" s="19" t="s">
        <v>3686</v>
      </c>
      <c r="B833" s="37" t="s">
        <v>2793</v>
      </c>
      <c r="C833" s="90">
        <v>45114.907430555555</v>
      </c>
      <c r="D833" s="114">
        <v>45114.657430555555</v>
      </c>
      <c r="E833" s="38">
        <v>45114</v>
      </c>
      <c r="F833" s="91">
        <v>2023</v>
      </c>
      <c r="G833" s="93">
        <v>7</v>
      </c>
      <c r="H833" s="37" t="s">
        <v>600</v>
      </c>
      <c r="I833" s="37" t="s">
        <v>16</v>
      </c>
      <c r="J833" s="103">
        <v>-92.13766132744216</v>
      </c>
      <c r="K833" s="40">
        <v>44.020501955281929</v>
      </c>
      <c r="L833" s="74"/>
      <c r="M833" s="272" t="s">
        <v>16</v>
      </c>
      <c r="N833" s="74">
        <v>0</v>
      </c>
      <c r="O833" s="94"/>
      <c r="P833" s="118">
        <v>1</v>
      </c>
      <c r="Q833" s="510">
        <v>180</v>
      </c>
      <c r="R833" s="513">
        <v>180</v>
      </c>
      <c r="S833" s="41"/>
      <c r="T833" s="40"/>
      <c r="U833" s="40">
        <v>8</v>
      </c>
      <c r="V833" s="119">
        <v>1</v>
      </c>
      <c r="W833" s="40">
        <v>0</v>
      </c>
      <c r="X833" s="119">
        <v>1</v>
      </c>
      <c r="Y833" s="40">
        <v>58</v>
      </c>
      <c r="Z833" s="119">
        <v>1</v>
      </c>
      <c r="AA833" s="368">
        <v>0</v>
      </c>
      <c r="AB833" s="535">
        <v>5</v>
      </c>
      <c r="AC833" s="39" t="s">
        <v>160</v>
      </c>
      <c r="AD833" s="75" t="s">
        <v>551</v>
      </c>
      <c r="AE833" s="95">
        <v>0</v>
      </c>
      <c r="AF833" s="75">
        <v>0</v>
      </c>
      <c r="AG833" s="75">
        <v>0</v>
      </c>
      <c r="AH833" s="75">
        <v>0</v>
      </c>
      <c r="AI833" s="75">
        <v>1</v>
      </c>
      <c r="AJ833" s="75">
        <v>0</v>
      </c>
      <c r="AK833" s="75">
        <v>0</v>
      </c>
      <c r="AL833" s="95">
        <v>0</v>
      </c>
      <c r="AM833" s="92">
        <v>0</v>
      </c>
      <c r="AN833" s="79" t="s">
        <v>80</v>
      </c>
      <c r="AO833" s="75">
        <v>1</v>
      </c>
      <c r="AP833" s="75" t="s">
        <v>83</v>
      </c>
      <c r="AQ833" s="122">
        <v>1</v>
      </c>
      <c r="AR833" s="515" t="s">
        <v>10</v>
      </c>
      <c r="AS833" s="95">
        <v>0</v>
      </c>
      <c r="AT833" s="75">
        <v>0</v>
      </c>
      <c r="AU833" s="75">
        <v>0</v>
      </c>
      <c r="AV833" s="75">
        <v>0</v>
      </c>
      <c r="AW833" s="123">
        <v>0</v>
      </c>
      <c r="AX833" s="516"/>
      <c r="AY833" s="75">
        <v>0</v>
      </c>
      <c r="AZ833" s="77" t="s">
        <v>131</v>
      </c>
      <c r="BA833" s="78" t="s">
        <v>131</v>
      </c>
      <c r="BB833" s="78" t="s">
        <v>131</v>
      </c>
      <c r="BC833" s="78" t="s">
        <v>131</v>
      </c>
      <c r="BD833" s="78" t="s">
        <v>132</v>
      </c>
      <c r="BE833" s="78" t="s">
        <v>131</v>
      </c>
      <c r="BF833" s="78" t="s">
        <v>131</v>
      </c>
      <c r="BG833" s="78" t="s">
        <v>131</v>
      </c>
      <c r="BH833" s="75" t="s">
        <v>5970</v>
      </c>
      <c r="BI833" s="295" t="s">
        <v>2292</v>
      </c>
      <c r="BJ833" s="546" t="s">
        <v>16</v>
      </c>
      <c r="BK833" s="294" t="s">
        <v>16</v>
      </c>
      <c r="BL833" s="157" t="s">
        <v>16</v>
      </c>
      <c r="BM833" s="548" t="s">
        <v>1339</v>
      </c>
      <c r="BN833" s="548" t="s">
        <v>1339</v>
      </c>
      <c r="BO833" s="157" t="s">
        <v>4364</v>
      </c>
      <c r="BP833" s="548" t="s">
        <v>2292</v>
      </c>
      <c r="BQ833" s="157" t="s">
        <v>4361</v>
      </c>
      <c r="BR833" s="157"/>
    </row>
    <row r="834" spans="1:70" x14ac:dyDescent="0.25">
      <c r="A834" s="19" t="s">
        <v>3686</v>
      </c>
      <c r="B834" s="37" t="s">
        <v>2794</v>
      </c>
      <c r="C834" s="90">
        <v>45114.828599537039</v>
      </c>
      <c r="D834" s="114">
        <v>45114.578599537039</v>
      </c>
      <c r="E834" s="38">
        <v>45114</v>
      </c>
      <c r="F834" s="91">
        <v>2023</v>
      </c>
      <c r="G834" s="93">
        <v>7</v>
      </c>
      <c r="H834" s="37" t="s">
        <v>2548</v>
      </c>
      <c r="I834" s="37"/>
      <c r="J834" s="103">
        <v>-90.671820995898003</v>
      </c>
      <c r="K834" s="40">
        <v>43.344374095348407</v>
      </c>
      <c r="L834" s="74"/>
      <c r="M834" s="272" t="s">
        <v>2795</v>
      </c>
      <c r="N834" s="74">
        <v>1</v>
      </c>
      <c r="O834" s="94"/>
      <c r="P834" s="118">
        <v>1</v>
      </c>
      <c r="Q834" s="510">
        <v>180</v>
      </c>
      <c r="R834" s="513">
        <v>180</v>
      </c>
      <c r="S834" s="41"/>
      <c r="T834" s="40"/>
      <c r="U834" s="40">
        <v>8</v>
      </c>
      <c r="V834" s="119">
        <v>1</v>
      </c>
      <c r="W834" s="40">
        <v>0</v>
      </c>
      <c r="X834" s="119">
        <v>1</v>
      </c>
      <c r="Y834" s="40">
        <v>64</v>
      </c>
      <c r="Z834" s="119">
        <v>1</v>
      </c>
      <c r="AA834" s="368">
        <v>0</v>
      </c>
      <c r="AB834" s="535">
        <v>2</v>
      </c>
      <c r="AC834" s="39" t="s">
        <v>160</v>
      </c>
      <c r="AD834" s="75" t="s">
        <v>10</v>
      </c>
      <c r="AE834" s="95">
        <v>0</v>
      </c>
      <c r="AF834" s="75">
        <v>0</v>
      </c>
      <c r="AG834" s="75">
        <v>0</v>
      </c>
      <c r="AH834" s="75">
        <v>0</v>
      </c>
      <c r="AI834" s="75">
        <v>0</v>
      </c>
      <c r="AJ834" s="75">
        <v>0</v>
      </c>
      <c r="AK834" s="75">
        <v>0</v>
      </c>
      <c r="AL834" s="95">
        <v>1</v>
      </c>
      <c r="AM834" s="92">
        <v>0</v>
      </c>
      <c r="AN834" s="79" t="s">
        <v>80</v>
      </c>
      <c r="AO834" s="75">
        <v>1</v>
      </c>
      <c r="AP834" s="75" t="s">
        <v>83</v>
      </c>
      <c r="AQ834" s="122">
        <v>1</v>
      </c>
      <c r="AR834" s="515" t="s">
        <v>10</v>
      </c>
      <c r="AS834" s="95">
        <v>0</v>
      </c>
      <c r="AT834" s="75">
        <v>0</v>
      </c>
      <c r="AU834" s="75">
        <v>0</v>
      </c>
      <c r="AV834" s="75">
        <v>0</v>
      </c>
      <c r="AW834" s="123">
        <v>0</v>
      </c>
      <c r="AX834" s="516"/>
      <c r="AY834" s="75">
        <v>0</v>
      </c>
      <c r="AZ834" s="77" t="s">
        <v>131</v>
      </c>
      <c r="BA834" s="78" t="s">
        <v>131</v>
      </c>
      <c r="BB834" s="78" t="s">
        <v>131</v>
      </c>
      <c r="BC834" s="78" t="s">
        <v>131</v>
      </c>
      <c r="BD834" s="78" t="s">
        <v>131</v>
      </c>
      <c r="BE834" s="78" t="s">
        <v>131</v>
      </c>
      <c r="BF834" s="78" t="s">
        <v>131</v>
      </c>
      <c r="BG834" s="78" t="s">
        <v>132</v>
      </c>
      <c r="BH834" s="75" t="s">
        <v>5970</v>
      </c>
      <c r="BI834" s="295" t="s">
        <v>4088</v>
      </c>
      <c r="BJ834" s="546">
        <v>1</v>
      </c>
      <c r="BK834" s="294" t="s">
        <v>16</v>
      </c>
      <c r="BL834" s="157" t="s">
        <v>16</v>
      </c>
      <c r="BM834" s="548" t="s">
        <v>1342</v>
      </c>
      <c r="BN834" s="548" t="s">
        <v>4158</v>
      </c>
      <c r="BO834" s="157" t="s">
        <v>4453</v>
      </c>
      <c r="BP834" s="548" t="s">
        <v>4454</v>
      </c>
      <c r="BQ834" s="157" t="s">
        <v>4427</v>
      </c>
      <c r="BR834" s="157"/>
    </row>
    <row r="835" spans="1:70" x14ac:dyDescent="0.25">
      <c r="A835" s="19" t="s">
        <v>3686</v>
      </c>
      <c r="B835" s="37" t="s">
        <v>2796</v>
      </c>
      <c r="C835" s="90">
        <v>45114.774664351855</v>
      </c>
      <c r="D835" s="114">
        <v>45114.524664351855</v>
      </c>
      <c r="E835" s="38">
        <v>45114</v>
      </c>
      <c r="F835" s="91">
        <v>2023</v>
      </c>
      <c r="G835" s="93">
        <v>7</v>
      </c>
      <c r="H835" s="37" t="s">
        <v>2797</v>
      </c>
      <c r="I835" s="37"/>
      <c r="J835" s="103">
        <v>-91.502455697079284</v>
      </c>
      <c r="K835" s="40">
        <v>43.963658626449607</v>
      </c>
      <c r="L835" s="74"/>
      <c r="M835" s="272" t="s">
        <v>2798</v>
      </c>
      <c r="N835" s="74">
        <v>1</v>
      </c>
      <c r="O835" s="94"/>
      <c r="P835" s="118">
        <v>1</v>
      </c>
      <c r="Q835" s="510">
        <v>0</v>
      </c>
      <c r="R835" s="513">
        <v>30</v>
      </c>
      <c r="S835" s="41"/>
      <c r="T835" s="40"/>
      <c r="U835" s="40">
        <v>7</v>
      </c>
      <c r="V835" s="119">
        <v>0</v>
      </c>
      <c r="W835" s="40"/>
      <c r="X835" s="119">
        <v>1</v>
      </c>
      <c r="Y835" s="40">
        <v>56</v>
      </c>
      <c r="Z835" s="119">
        <v>0</v>
      </c>
      <c r="AA835" s="368" t="s">
        <v>16</v>
      </c>
      <c r="AB835" s="535" t="s">
        <v>16</v>
      </c>
      <c r="AC835" s="39" t="s">
        <v>160</v>
      </c>
      <c r="AD835" s="75" t="s">
        <v>10</v>
      </c>
      <c r="AE835" s="95">
        <v>0</v>
      </c>
      <c r="AF835" s="75">
        <v>0</v>
      </c>
      <c r="AG835" s="75">
        <v>0</v>
      </c>
      <c r="AH835" s="75">
        <v>0</v>
      </c>
      <c r="AI835" s="75">
        <v>0</v>
      </c>
      <c r="AJ835" s="75">
        <v>0</v>
      </c>
      <c r="AK835" s="75">
        <v>0</v>
      </c>
      <c r="AL835" s="95">
        <v>1</v>
      </c>
      <c r="AM835" s="92">
        <v>0</v>
      </c>
      <c r="AN835" s="79" t="s">
        <v>80</v>
      </c>
      <c r="AO835" s="75">
        <v>1</v>
      </c>
      <c r="AP835" s="75" t="s">
        <v>83</v>
      </c>
      <c r="AQ835" s="122">
        <v>1</v>
      </c>
      <c r="AR835" s="515" t="s">
        <v>10</v>
      </c>
      <c r="AS835" s="95">
        <v>0</v>
      </c>
      <c r="AT835" s="75">
        <v>0</v>
      </c>
      <c r="AU835" s="75">
        <v>0</v>
      </c>
      <c r="AV835" s="75">
        <v>0</v>
      </c>
      <c r="AW835" s="123">
        <v>0</v>
      </c>
      <c r="AX835" s="516" t="s">
        <v>2799</v>
      </c>
      <c r="AY835" s="75">
        <v>1</v>
      </c>
      <c r="AZ835" s="77" t="s">
        <v>131</v>
      </c>
      <c r="BA835" s="78" t="s">
        <v>131</v>
      </c>
      <c r="BB835" s="78" t="s">
        <v>131</v>
      </c>
      <c r="BC835" s="78" t="s">
        <v>131</v>
      </c>
      <c r="BD835" s="78" t="s">
        <v>131</v>
      </c>
      <c r="BE835" s="78" t="s">
        <v>131</v>
      </c>
      <c r="BF835" s="78" t="s">
        <v>131</v>
      </c>
      <c r="BG835" s="78" t="s">
        <v>132</v>
      </c>
      <c r="BH835" s="75" t="s">
        <v>5970</v>
      </c>
      <c r="BI835" s="295" t="s">
        <v>2305</v>
      </c>
      <c r="BJ835" s="546">
        <v>1</v>
      </c>
      <c r="BK835" s="294" t="s">
        <v>16</v>
      </c>
      <c r="BL835" s="157" t="s">
        <v>16</v>
      </c>
      <c r="BM835" s="548" t="s">
        <v>1341</v>
      </c>
      <c r="BN835" s="548" t="s">
        <v>4161</v>
      </c>
      <c r="BO835" s="157" t="s">
        <v>4522</v>
      </c>
      <c r="BP835" s="548" t="s">
        <v>2305</v>
      </c>
      <c r="BQ835" s="157" t="s">
        <v>4269</v>
      </c>
      <c r="BR835" s="157"/>
    </row>
    <row r="836" spans="1:70" x14ac:dyDescent="0.25">
      <c r="A836" s="19" t="s">
        <v>3686</v>
      </c>
      <c r="B836" s="37" t="s">
        <v>2800</v>
      </c>
      <c r="C836" s="90">
        <v>45114.657083333332</v>
      </c>
      <c r="D836" s="114">
        <v>45114.407083333332</v>
      </c>
      <c r="E836" s="38">
        <v>45114</v>
      </c>
      <c r="F836" s="91">
        <v>2023</v>
      </c>
      <c r="G836" s="93">
        <v>7</v>
      </c>
      <c r="H836" s="37" t="s">
        <v>2548</v>
      </c>
      <c r="I836" s="37"/>
      <c r="J836" s="103">
        <v>-90.654918608842962</v>
      </c>
      <c r="K836" s="40">
        <v>43.386621569889961</v>
      </c>
      <c r="L836" s="74"/>
      <c r="M836" s="272" t="s">
        <v>2801</v>
      </c>
      <c r="N836" s="74">
        <v>1</v>
      </c>
      <c r="O836" s="94"/>
      <c r="P836" s="118">
        <v>1</v>
      </c>
      <c r="Q836" s="510">
        <v>180</v>
      </c>
      <c r="R836" s="513">
        <v>180</v>
      </c>
      <c r="S836" s="41"/>
      <c r="T836" s="40"/>
      <c r="U836" s="40">
        <v>7.5</v>
      </c>
      <c r="V836" s="119">
        <v>1</v>
      </c>
      <c r="W836" s="40">
        <v>0</v>
      </c>
      <c r="X836" s="119">
        <v>1</v>
      </c>
      <c r="Y836" s="40">
        <v>58</v>
      </c>
      <c r="Z836" s="119">
        <v>1</v>
      </c>
      <c r="AA836" s="368">
        <v>0</v>
      </c>
      <c r="AB836" s="535">
        <v>0</v>
      </c>
      <c r="AC836" s="39" t="s">
        <v>160</v>
      </c>
      <c r="AD836" s="75" t="s">
        <v>10</v>
      </c>
      <c r="AE836" s="95">
        <v>0</v>
      </c>
      <c r="AF836" s="75">
        <v>0</v>
      </c>
      <c r="AG836" s="75">
        <v>0</v>
      </c>
      <c r="AH836" s="75">
        <v>0</v>
      </c>
      <c r="AI836" s="75">
        <v>0</v>
      </c>
      <c r="AJ836" s="75">
        <v>0</v>
      </c>
      <c r="AK836" s="75">
        <v>0</v>
      </c>
      <c r="AL836" s="95">
        <v>1</v>
      </c>
      <c r="AM836" s="92">
        <v>0</v>
      </c>
      <c r="AN836" s="79" t="s">
        <v>80</v>
      </c>
      <c r="AO836" s="75">
        <v>1</v>
      </c>
      <c r="AP836" s="75" t="s">
        <v>83</v>
      </c>
      <c r="AQ836" s="122">
        <v>1</v>
      </c>
      <c r="AR836" s="515" t="s">
        <v>10</v>
      </c>
      <c r="AS836" s="95">
        <v>0</v>
      </c>
      <c r="AT836" s="75">
        <v>0</v>
      </c>
      <c r="AU836" s="75">
        <v>0</v>
      </c>
      <c r="AV836" s="75">
        <v>0</v>
      </c>
      <c r="AW836" s="123">
        <v>0</v>
      </c>
      <c r="AX836" s="516"/>
      <c r="AY836" s="75">
        <v>0</v>
      </c>
      <c r="AZ836" s="77" t="s">
        <v>131</v>
      </c>
      <c r="BA836" s="78" t="s">
        <v>131</v>
      </c>
      <c r="BB836" s="78" t="s">
        <v>131</v>
      </c>
      <c r="BC836" s="78" t="s">
        <v>131</v>
      </c>
      <c r="BD836" s="78" t="s">
        <v>131</v>
      </c>
      <c r="BE836" s="78" t="s">
        <v>131</v>
      </c>
      <c r="BF836" s="78" t="s">
        <v>131</v>
      </c>
      <c r="BG836" s="78" t="s">
        <v>132</v>
      </c>
      <c r="BH836" s="75" t="s">
        <v>5970</v>
      </c>
      <c r="BI836" s="295" t="s">
        <v>16</v>
      </c>
      <c r="BJ836" s="546">
        <v>1</v>
      </c>
      <c r="BK836" s="294" t="s">
        <v>16</v>
      </c>
      <c r="BL836" s="157" t="s">
        <v>16</v>
      </c>
      <c r="BM836" s="548" t="s">
        <v>1342</v>
      </c>
      <c r="BN836" s="548" t="s">
        <v>4158</v>
      </c>
      <c r="BO836" s="157" t="s">
        <v>4453</v>
      </c>
      <c r="BP836" s="548" t="s">
        <v>4454</v>
      </c>
      <c r="BQ836" s="157" t="s">
        <v>4427</v>
      </c>
      <c r="BR836" s="157"/>
    </row>
    <row r="837" spans="1:70" x14ac:dyDescent="0.25">
      <c r="A837" s="19" t="s">
        <v>3686</v>
      </c>
      <c r="B837" s="37" t="s">
        <v>2802</v>
      </c>
      <c r="C837" s="90">
        <v>45114.541377314818</v>
      </c>
      <c r="D837" s="114">
        <v>45114.291377314818</v>
      </c>
      <c r="E837" s="38">
        <v>45114</v>
      </c>
      <c r="F837" s="91">
        <v>2023</v>
      </c>
      <c r="G837" s="93">
        <v>7</v>
      </c>
      <c r="H837" s="37" t="s">
        <v>2548</v>
      </c>
      <c r="I837" s="37"/>
      <c r="J837" s="103">
        <v>-90.637098881118959</v>
      </c>
      <c r="K837" s="40">
        <v>43.401065206523946</v>
      </c>
      <c r="L837" s="74"/>
      <c r="M837" s="272" t="s">
        <v>2803</v>
      </c>
      <c r="N837" s="74">
        <v>1</v>
      </c>
      <c r="O837" s="94"/>
      <c r="P837" s="118">
        <v>1</v>
      </c>
      <c r="Q837" s="510">
        <v>180</v>
      </c>
      <c r="R837" s="513">
        <v>60</v>
      </c>
      <c r="S837" s="41"/>
      <c r="T837" s="40"/>
      <c r="U837" s="40">
        <v>7</v>
      </c>
      <c r="V837" s="119">
        <v>1</v>
      </c>
      <c r="W837" s="40">
        <v>0</v>
      </c>
      <c r="X837" s="119">
        <v>1</v>
      </c>
      <c r="Y837" s="40">
        <v>53</v>
      </c>
      <c r="Z837" s="119">
        <v>1</v>
      </c>
      <c r="AA837" s="368">
        <v>0</v>
      </c>
      <c r="AB837" s="535">
        <v>0</v>
      </c>
      <c r="AC837" s="39" t="s">
        <v>160</v>
      </c>
      <c r="AD837" s="75" t="s">
        <v>10</v>
      </c>
      <c r="AE837" s="95">
        <v>0</v>
      </c>
      <c r="AF837" s="75">
        <v>0</v>
      </c>
      <c r="AG837" s="75">
        <v>0</v>
      </c>
      <c r="AH837" s="75">
        <v>0</v>
      </c>
      <c r="AI837" s="75">
        <v>0</v>
      </c>
      <c r="AJ837" s="75">
        <v>0</v>
      </c>
      <c r="AK837" s="75">
        <v>0</v>
      </c>
      <c r="AL837" s="95">
        <v>1</v>
      </c>
      <c r="AM837" s="92">
        <v>0</v>
      </c>
      <c r="AN837" s="79" t="s">
        <v>80</v>
      </c>
      <c r="AO837" s="75">
        <v>1</v>
      </c>
      <c r="AP837" s="75" t="s">
        <v>83</v>
      </c>
      <c r="AQ837" s="122">
        <v>1</v>
      </c>
      <c r="AR837" s="515" t="s">
        <v>10</v>
      </c>
      <c r="AS837" s="95">
        <v>0</v>
      </c>
      <c r="AT837" s="75">
        <v>0</v>
      </c>
      <c r="AU837" s="75">
        <v>0</v>
      </c>
      <c r="AV837" s="75">
        <v>0</v>
      </c>
      <c r="AW837" s="123">
        <v>0</v>
      </c>
      <c r="AX837" s="516"/>
      <c r="AY837" s="75">
        <v>0</v>
      </c>
      <c r="AZ837" s="77" t="s">
        <v>131</v>
      </c>
      <c r="BA837" s="78" t="s">
        <v>131</v>
      </c>
      <c r="BB837" s="78" t="s">
        <v>131</v>
      </c>
      <c r="BC837" s="78" t="s">
        <v>131</v>
      </c>
      <c r="BD837" s="78" t="s">
        <v>131</v>
      </c>
      <c r="BE837" s="78" t="s">
        <v>131</v>
      </c>
      <c r="BF837" s="78" t="s">
        <v>131</v>
      </c>
      <c r="BG837" s="78" t="s">
        <v>132</v>
      </c>
      <c r="BH837" s="75" t="s">
        <v>5970</v>
      </c>
      <c r="BI837" s="295">
        <v>0</v>
      </c>
      <c r="BJ837" s="546" t="s">
        <v>16</v>
      </c>
      <c r="BK837" s="294" t="s">
        <v>16</v>
      </c>
      <c r="BL837" s="157" t="s">
        <v>16</v>
      </c>
      <c r="BM837" s="548" t="s">
        <v>1342</v>
      </c>
      <c r="BN837" s="548" t="s">
        <v>4158</v>
      </c>
      <c r="BO837" s="157" t="s">
        <v>4453</v>
      </c>
      <c r="BP837" s="548" t="s">
        <v>4454</v>
      </c>
      <c r="BQ837" s="157" t="s">
        <v>4427</v>
      </c>
      <c r="BR837" s="157"/>
    </row>
    <row r="838" spans="1:70" x14ac:dyDescent="0.25">
      <c r="A838" s="19" t="s">
        <v>3686</v>
      </c>
      <c r="B838" s="37" t="s">
        <v>2804</v>
      </c>
      <c r="C838" s="90">
        <v>45113.869953703703</v>
      </c>
      <c r="D838" s="114">
        <v>45113.619953703703</v>
      </c>
      <c r="E838" s="38">
        <v>45113</v>
      </c>
      <c r="F838" s="91">
        <v>2023</v>
      </c>
      <c r="G838" s="93">
        <v>7</v>
      </c>
      <c r="H838" s="37" t="s">
        <v>2400</v>
      </c>
      <c r="I838" s="37"/>
      <c r="J838" s="103">
        <v>-90.844141500000006</v>
      </c>
      <c r="K838" s="40">
        <v>43.1814751</v>
      </c>
      <c r="L838" s="74"/>
      <c r="M838" s="272" t="s">
        <v>16</v>
      </c>
      <c r="N838" s="74">
        <v>0</v>
      </c>
      <c r="O838" s="94"/>
      <c r="P838" s="118">
        <v>1</v>
      </c>
      <c r="Q838" s="510">
        <v>120</v>
      </c>
      <c r="R838" s="513">
        <v>180</v>
      </c>
      <c r="S838" s="41"/>
      <c r="T838" s="40"/>
      <c r="U838" s="40">
        <v>8.5</v>
      </c>
      <c r="V838" s="119">
        <v>1</v>
      </c>
      <c r="W838" s="40">
        <v>0</v>
      </c>
      <c r="X838" s="119">
        <v>1</v>
      </c>
      <c r="Y838" s="40">
        <v>66</v>
      </c>
      <c r="Z838" s="119">
        <v>1</v>
      </c>
      <c r="AA838" s="368">
        <v>0</v>
      </c>
      <c r="AB838" s="535">
        <v>2</v>
      </c>
      <c r="AC838" s="39" t="s">
        <v>160</v>
      </c>
      <c r="AD838" s="75" t="s">
        <v>10</v>
      </c>
      <c r="AE838" s="95">
        <v>0</v>
      </c>
      <c r="AF838" s="75">
        <v>0</v>
      </c>
      <c r="AG838" s="75">
        <v>0</v>
      </c>
      <c r="AH838" s="75">
        <v>0</v>
      </c>
      <c r="AI838" s="75">
        <v>0</v>
      </c>
      <c r="AJ838" s="75">
        <v>0</v>
      </c>
      <c r="AK838" s="75">
        <v>0</v>
      </c>
      <c r="AL838" s="95">
        <v>1</v>
      </c>
      <c r="AM838" s="92">
        <v>0</v>
      </c>
      <c r="AN838" s="79"/>
      <c r="AO838" s="75">
        <v>0</v>
      </c>
      <c r="AP838" s="75"/>
      <c r="AQ838" s="122">
        <v>0</v>
      </c>
      <c r="AR838" s="515" t="s">
        <v>16</v>
      </c>
      <c r="AS838" s="95">
        <v>-1</v>
      </c>
      <c r="AT838" s="75">
        <v>-1</v>
      </c>
      <c r="AU838" s="75">
        <v>-1</v>
      </c>
      <c r="AV838" s="75">
        <v>-1</v>
      </c>
      <c r="AW838" s="123">
        <v>1</v>
      </c>
      <c r="AX838" s="516"/>
      <c r="AY838" s="75">
        <v>0</v>
      </c>
      <c r="AZ838" s="77" t="s">
        <v>131</v>
      </c>
      <c r="BA838" s="78" t="s">
        <v>131</v>
      </c>
      <c r="BB838" s="78" t="s">
        <v>131</v>
      </c>
      <c r="BC838" s="78" t="s">
        <v>131</v>
      </c>
      <c r="BD838" s="78" t="s">
        <v>131</v>
      </c>
      <c r="BE838" s="78" t="s">
        <v>131</v>
      </c>
      <c r="BF838" s="78" t="s">
        <v>131</v>
      </c>
      <c r="BG838" s="78" t="s">
        <v>132</v>
      </c>
      <c r="BH838" s="75" t="s">
        <v>5970</v>
      </c>
      <c r="BI838" s="295" t="s">
        <v>16</v>
      </c>
      <c r="BJ838" s="546">
        <v>1</v>
      </c>
      <c r="BK838" s="294" t="s">
        <v>16</v>
      </c>
      <c r="BL838" s="157" t="s">
        <v>16</v>
      </c>
      <c r="BM838" s="548" t="s">
        <v>1342</v>
      </c>
      <c r="BN838" s="548" t="s">
        <v>4158</v>
      </c>
      <c r="BO838" s="157" t="s">
        <v>4524</v>
      </c>
      <c r="BP838" s="548" t="s">
        <v>4525</v>
      </c>
      <c r="BQ838" s="157" t="s">
        <v>4305</v>
      </c>
      <c r="BR838" s="157"/>
    </row>
    <row r="839" spans="1:70" x14ac:dyDescent="0.25">
      <c r="A839" s="19" t="s">
        <v>3686</v>
      </c>
      <c r="B839" s="37" t="s">
        <v>2805</v>
      </c>
      <c r="C839" s="90">
        <v>45113.683587962965</v>
      </c>
      <c r="D839" s="114">
        <v>45113.433587962965</v>
      </c>
      <c r="E839" s="38">
        <v>45113</v>
      </c>
      <c r="F839" s="91">
        <v>2023</v>
      </c>
      <c r="G839" s="93">
        <v>7</v>
      </c>
      <c r="H839" s="37" t="s">
        <v>966</v>
      </c>
      <c r="I839" s="37" t="s">
        <v>959</v>
      </c>
      <c r="J839" s="103">
        <v>-92.574167322296503</v>
      </c>
      <c r="K839" s="40">
        <v>44.488416053887342</v>
      </c>
      <c r="L839" s="74"/>
      <c r="M839" s="272" t="s">
        <v>16</v>
      </c>
      <c r="N839" s="74">
        <v>0</v>
      </c>
      <c r="O839" s="94"/>
      <c r="P839" s="118">
        <v>1</v>
      </c>
      <c r="Q839" s="510">
        <v>180</v>
      </c>
      <c r="R839" s="513">
        <v>120</v>
      </c>
      <c r="S839" s="41"/>
      <c r="T839" s="40"/>
      <c r="U839" s="40">
        <v>7.5</v>
      </c>
      <c r="V839" s="119">
        <v>1</v>
      </c>
      <c r="W839" s="40">
        <v>100</v>
      </c>
      <c r="X839" s="119">
        <v>1</v>
      </c>
      <c r="Y839" s="40">
        <v>67</v>
      </c>
      <c r="Z839" s="119">
        <v>1</v>
      </c>
      <c r="AA839" s="368">
        <v>0</v>
      </c>
      <c r="AB839" s="535">
        <v>5</v>
      </c>
      <c r="AC839" s="39" t="s">
        <v>160</v>
      </c>
      <c r="AD839" s="75" t="s">
        <v>16</v>
      </c>
      <c r="AE839" s="95">
        <v>-1</v>
      </c>
      <c r="AF839" s="75">
        <v>-1</v>
      </c>
      <c r="AG839" s="75">
        <v>-1</v>
      </c>
      <c r="AH839" s="75">
        <v>-1</v>
      </c>
      <c r="AI839" s="75">
        <v>-1</v>
      </c>
      <c r="AJ839" s="75">
        <v>-1</v>
      </c>
      <c r="AK839" s="75">
        <v>-1</v>
      </c>
      <c r="AL839" s="95">
        <v>-1</v>
      </c>
      <c r="AM839" s="92">
        <v>1</v>
      </c>
      <c r="AN839" s="79" t="s">
        <v>195</v>
      </c>
      <c r="AO839" s="75">
        <v>1</v>
      </c>
      <c r="AP839" s="75"/>
      <c r="AQ839" s="122">
        <v>0</v>
      </c>
      <c r="AR839" s="515" t="s">
        <v>10</v>
      </c>
      <c r="AS839" s="95">
        <v>0</v>
      </c>
      <c r="AT839" s="75">
        <v>0</v>
      </c>
      <c r="AU839" s="75">
        <v>0</v>
      </c>
      <c r="AV839" s="75">
        <v>0</v>
      </c>
      <c r="AW839" s="123">
        <v>0</v>
      </c>
      <c r="AX839" s="516" t="s">
        <v>2806</v>
      </c>
      <c r="AY839" s="75">
        <v>1</v>
      </c>
      <c r="AZ839" s="77" t="s">
        <v>5971</v>
      </c>
      <c r="BA839" s="78" t="s">
        <v>5971</v>
      </c>
      <c r="BB839" s="78" t="s">
        <v>5971</v>
      </c>
      <c r="BC839" s="78" t="s">
        <v>5971</v>
      </c>
      <c r="BD839" s="78" t="s">
        <v>5971</v>
      </c>
      <c r="BE839" s="78" t="s">
        <v>5971</v>
      </c>
      <c r="BF839" s="78" t="s">
        <v>5971</v>
      </c>
      <c r="BG839" s="78" t="s">
        <v>5971</v>
      </c>
      <c r="BH839" s="75" t="s">
        <v>5971</v>
      </c>
      <c r="BI839" s="295" t="s">
        <v>2238</v>
      </c>
      <c r="BJ839" s="546">
        <v>1</v>
      </c>
      <c r="BK839" s="294" t="s">
        <v>16</v>
      </c>
      <c r="BL839" s="157" t="s">
        <v>16</v>
      </c>
      <c r="BM839" s="548" t="s">
        <v>2343</v>
      </c>
      <c r="BN839" s="548" t="s">
        <v>4161</v>
      </c>
      <c r="BO839" s="157" t="s">
        <v>4308</v>
      </c>
      <c r="BP839" s="548" t="s">
        <v>2238</v>
      </c>
      <c r="BQ839" s="157" t="s">
        <v>4307</v>
      </c>
      <c r="BR839" s="157"/>
    </row>
    <row r="840" spans="1:70" x14ac:dyDescent="0.25">
      <c r="A840" s="19" t="s">
        <v>3686</v>
      </c>
      <c r="B840" s="37" t="s">
        <v>2807</v>
      </c>
      <c r="C840" s="90">
        <v>45113.63863425926</v>
      </c>
      <c r="D840" s="114">
        <v>45113.38863425926</v>
      </c>
      <c r="E840" s="38">
        <v>45113</v>
      </c>
      <c r="F840" s="91">
        <v>2023</v>
      </c>
      <c r="G840" s="93">
        <v>7</v>
      </c>
      <c r="H840" s="37" t="s">
        <v>1386</v>
      </c>
      <c r="I840" s="37"/>
      <c r="J840" s="103">
        <v>-92.342236700000001</v>
      </c>
      <c r="K840" s="40">
        <v>43.603176300000001</v>
      </c>
      <c r="L840" s="74"/>
      <c r="M840" s="272" t="s">
        <v>16</v>
      </c>
      <c r="N840" s="74">
        <v>0</v>
      </c>
      <c r="O840" s="94"/>
      <c r="P840" s="118">
        <v>1</v>
      </c>
      <c r="Q840" s="510">
        <v>40</v>
      </c>
      <c r="R840" s="513">
        <v>180</v>
      </c>
      <c r="S840" s="41"/>
      <c r="T840" s="40"/>
      <c r="U840" s="40">
        <v>6.5</v>
      </c>
      <c r="V840" s="119">
        <v>1</v>
      </c>
      <c r="W840" s="40">
        <v>0</v>
      </c>
      <c r="X840" s="119">
        <v>1</v>
      </c>
      <c r="Y840" s="40">
        <v>55</v>
      </c>
      <c r="Z840" s="119">
        <v>1</v>
      </c>
      <c r="AA840" s="368">
        <v>0</v>
      </c>
      <c r="AB840" s="535">
        <v>2</v>
      </c>
      <c r="AC840" s="39" t="s">
        <v>160</v>
      </c>
      <c r="AD840" s="75" t="s">
        <v>10</v>
      </c>
      <c r="AE840" s="95">
        <v>0</v>
      </c>
      <c r="AF840" s="75">
        <v>0</v>
      </c>
      <c r="AG840" s="75">
        <v>0</v>
      </c>
      <c r="AH840" s="75">
        <v>0</v>
      </c>
      <c r="AI840" s="75">
        <v>0</v>
      </c>
      <c r="AJ840" s="75">
        <v>0</v>
      </c>
      <c r="AK840" s="75">
        <v>0</v>
      </c>
      <c r="AL840" s="95">
        <v>1</v>
      </c>
      <c r="AM840" s="92">
        <v>0</v>
      </c>
      <c r="AN840" s="79" t="s">
        <v>80</v>
      </c>
      <c r="AO840" s="75">
        <v>1</v>
      </c>
      <c r="AP840" s="75" t="s">
        <v>83</v>
      </c>
      <c r="AQ840" s="122">
        <v>1</v>
      </c>
      <c r="AR840" s="515" t="s">
        <v>10</v>
      </c>
      <c r="AS840" s="95">
        <v>0</v>
      </c>
      <c r="AT840" s="75">
        <v>0</v>
      </c>
      <c r="AU840" s="75">
        <v>0</v>
      </c>
      <c r="AV840" s="75">
        <v>0</v>
      </c>
      <c r="AW840" s="123">
        <v>0</v>
      </c>
      <c r="AX840" s="516"/>
      <c r="AY840" s="75">
        <v>0</v>
      </c>
      <c r="AZ840" s="77" t="s">
        <v>131</v>
      </c>
      <c r="BA840" s="78" t="s">
        <v>131</v>
      </c>
      <c r="BB840" s="78" t="s">
        <v>131</v>
      </c>
      <c r="BC840" s="78" t="s">
        <v>131</v>
      </c>
      <c r="BD840" s="78" t="s">
        <v>131</v>
      </c>
      <c r="BE840" s="78" t="s">
        <v>131</v>
      </c>
      <c r="BF840" s="78" t="s">
        <v>131</v>
      </c>
      <c r="BG840" s="78" t="s">
        <v>132</v>
      </c>
      <c r="BH840" s="75" t="s">
        <v>5970</v>
      </c>
      <c r="BI840" s="295" t="s">
        <v>2294</v>
      </c>
      <c r="BJ840" s="546">
        <v>1</v>
      </c>
      <c r="BK840" s="294" t="s">
        <v>16</v>
      </c>
      <c r="BL840" s="157" t="s">
        <v>16</v>
      </c>
      <c r="BM840" s="548" t="s">
        <v>1339</v>
      </c>
      <c r="BN840" s="548" t="s">
        <v>1339</v>
      </c>
      <c r="BO840" s="157" t="s">
        <v>4230</v>
      </c>
      <c r="BP840" s="548" t="s">
        <v>4231</v>
      </c>
      <c r="BQ840" s="157" t="s">
        <v>4229</v>
      </c>
      <c r="BR840" s="157"/>
    </row>
    <row r="841" spans="1:70" x14ac:dyDescent="0.25">
      <c r="A841" s="19" t="s">
        <v>3686</v>
      </c>
      <c r="B841" s="37" t="s">
        <v>2808</v>
      </c>
      <c r="C841" s="90">
        <v>45113.505208333336</v>
      </c>
      <c r="D841" s="114">
        <v>45113.255208333336</v>
      </c>
      <c r="E841" s="38">
        <v>45113</v>
      </c>
      <c r="F841" s="91">
        <v>2023</v>
      </c>
      <c r="G841" s="93">
        <v>7</v>
      </c>
      <c r="H841" s="37" t="s">
        <v>2400</v>
      </c>
      <c r="I841" s="37"/>
      <c r="J841" s="103">
        <v>-90.885930299999998</v>
      </c>
      <c r="K841" s="40">
        <v>43.285282100000003</v>
      </c>
      <c r="L841" s="74"/>
      <c r="M841" s="272" t="s">
        <v>16</v>
      </c>
      <c r="N841" s="74">
        <v>0</v>
      </c>
      <c r="O841" s="94"/>
      <c r="P841" s="118">
        <v>1</v>
      </c>
      <c r="Q841" s="510">
        <v>180</v>
      </c>
      <c r="R841" s="513">
        <v>120</v>
      </c>
      <c r="S841" s="41"/>
      <c r="T841" s="40"/>
      <c r="U841" s="40">
        <v>8</v>
      </c>
      <c r="V841" s="119">
        <v>1</v>
      </c>
      <c r="W841" s="40">
        <v>0</v>
      </c>
      <c r="X841" s="119">
        <v>1</v>
      </c>
      <c r="Y841" s="40">
        <v>55</v>
      </c>
      <c r="Z841" s="119">
        <v>1</v>
      </c>
      <c r="AA841" s="368">
        <v>0</v>
      </c>
      <c r="AB841" s="535">
        <v>0</v>
      </c>
      <c r="AC841" s="39" t="s">
        <v>160</v>
      </c>
      <c r="AD841" s="75" t="s">
        <v>10</v>
      </c>
      <c r="AE841" s="95">
        <v>0</v>
      </c>
      <c r="AF841" s="75">
        <v>0</v>
      </c>
      <c r="AG841" s="75">
        <v>0</v>
      </c>
      <c r="AH841" s="75">
        <v>0</v>
      </c>
      <c r="AI841" s="75">
        <v>0</v>
      </c>
      <c r="AJ841" s="75">
        <v>0</v>
      </c>
      <c r="AK841" s="75">
        <v>0</v>
      </c>
      <c r="AL841" s="95">
        <v>1</v>
      </c>
      <c r="AM841" s="92">
        <v>0</v>
      </c>
      <c r="AN841" s="79" t="s">
        <v>80</v>
      </c>
      <c r="AO841" s="75">
        <v>1</v>
      </c>
      <c r="AP841" s="75" t="s">
        <v>83</v>
      </c>
      <c r="AQ841" s="122">
        <v>1</v>
      </c>
      <c r="AR841" s="515" t="s">
        <v>10</v>
      </c>
      <c r="AS841" s="95">
        <v>0</v>
      </c>
      <c r="AT841" s="75">
        <v>0</v>
      </c>
      <c r="AU841" s="75">
        <v>0</v>
      </c>
      <c r="AV841" s="75">
        <v>0</v>
      </c>
      <c r="AW841" s="123">
        <v>0</v>
      </c>
      <c r="AX841" s="516"/>
      <c r="AY841" s="75">
        <v>0</v>
      </c>
      <c r="AZ841" s="77" t="s">
        <v>131</v>
      </c>
      <c r="BA841" s="78" t="s">
        <v>131</v>
      </c>
      <c r="BB841" s="78" t="s">
        <v>131</v>
      </c>
      <c r="BC841" s="78" t="s">
        <v>131</v>
      </c>
      <c r="BD841" s="78" t="s">
        <v>131</v>
      </c>
      <c r="BE841" s="78" t="s">
        <v>131</v>
      </c>
      <c r="BF841" s="78" t="s">
        <v>131</v>
      </c>
      <c r="BG841" s="78" t="s">
        <v>132</v>
      </c>
      <c r="BH841" s="75" t="s">
        <v>5970</v>
      </c>
      <c r="BI841" s="295" t="s">
        <v>4067</v>
      </c>
      <c r="BJ841" s="546">
        <v>1</v>
      </c>
      <c r="BK841" s="294">
        <v>1</v>
      </c>
      <c r="BL841" s="157">
        <v>1</v>
      </c>
      <c r="BM841" s="548" t="s">
        <v>1342</v>
      </c>
      <c r="BN841" s="548" t="s">
        <v>4158</v>
      </c>
      <c r="BO841" s="157" t="s">
        <v>4526</v>
      </c>
      <c r="BP841" s="548" t="s">
        <v>4067</v>
      </c>
      <c r="BQ841" s="157" t="s">
        <v>4305</v>
      </c>
      <c r="BR841" s="157"/>
    </row>
    <row r="842" spans="1:70" x14ac:dyDescent="0.25">
      <c r="A842" s="19" t="s">
        <v>3686</v>
      </c>
      <c r="B842" s="37" t="s">
        <v>2809</v>
      </c>
      <c r="C842" s="90">
        <v>45113.050879629627</v>
      </c>
      <c r="D842" s="114">
        <v>45112.800879629627</v>
      </c>
      <c r="E842" s="38">
        <v>45112</v>
      </c>
      <c r="F842" s="91">
        <v>2023</v>
      </c>
      <c r="G842" s="93">
        <v>7</v>
      </c>
      <c r="H842" s="37" t="s">
        <v>2423</v>
      </c>
      <c r="I842" s="37"/>
      <c r="J842" s="103">
        <v>-92.636123499999997</v>
      </c>
      <c r="K842" s="40">
        <v>44.854697700000003</v>
      </c>
      <c r="L842" s="74"/>
      <c r="M842" s="272" t="s">
        <v>16</v>
      </c>
      <c r="N842" s="74">
        <v>0</v>
      </c>
      <c r="O842" s="94"/>
      <c r="P842" s="118">
        <v>1</v>
      </c>
      <c r="Q842" s="510">
        <v>80</v>
      </c>
      <c r="R842" s="513">
        <v>120</v>
      </c>
      <c r="S842" s="41"/>
      <c r="T842" s="40"/>
      <c r="U842" s="40">
        <v>7</v>
      </c>
      <c r="V842" s="119">
        <v>1</v>
      </c>
      <c r="W842" s="40">
        <v>0</v>
      </c>
      <c r="X842" s="119">
        <v>1</v>
      </c>
      <c r="Y842" s="40">
        <v>67</v>
      </c>
      <c r="Z842" s="119">
        <v>1</v>
      </c>
      <c r="AA842" s="368">
        <v>0</v>
      </c>
      <c r="AB842" s="535">
        <v>2</v>
      </c>
      <c r="AC842" s="39" t="s">
        <v>160</v>
      </c>
      <c r="AD842" s="75" t="s">
        <v>9</v>
      </c>
      <c r="AE842" s="95">
        <v>0</v>
      </c>
      <c r="AF842" s="75">
        <v>0</v>
      </c>
      <c r="AG842" s="75">
        <v>1</v>
      </c>
      <c r="AH842" s="75">
        <v>0</v>
      </c>
      <c r="AI842" s="75">
        <v>0</v>
      </c>
      <c r="AJ842" s="75">
        <v>0</v>
      </c>
      <c r="AK842" s="75">
        <v>0</v>
      </c>
      <c r="AL842" s="95">
        <v>0</v>
      </c>
      <c r="AM842" s="92">
        <v>0</v>
      </c>
      <c r="AN842" s="79" t="s">
        <v>80</v>
      </c>
      <c r="AO842" s="75">
        <v>1</v>
      </c>
      <c r="AP842" s="75" t="s">
        <v>83</v>
      </c>
      <c r="AQ842" s="122">
        <v>1</v>
      </c>
      <c r="AR842" s="515" t="s">
        <v>10</v>
      </c>
      <c r="AS842" s="95">
        <v>0</v>
      </c>
      <c r="AT842" s="75">
        <v>0</v>
      </c>
      <c r="AU842" s="75">
        <v>0</v>
      </c>
      <c r="AV842" s="75">
        <v>0</v>
      </c>
      <c r="AW842" s="123">
        <v>0</v>
      </c>
      <c r="AX842" s="516" t="s">
        <v>2810</v>
      </c>
      <c r="AY842" s="75">
        <v>1</v>
      </c>
      <c r="AZ842" s="77" t="s">
        <v>131</v>
      </c>
      <c r="BA842" s="78" t="s">
        <v>131</v>
      </c>
      <c r="BB842" s="78" t="s">
        <v>132</v>
      </c>
      <c r="BC842" s="78" t="s">
        <v>131</v>
      </c>
      <c r="BD842" s="78" t="s">
        <v>131</v>
      </c>
      <c r="BE842" s="78" t="s">
        <v>131</v>
      </c>
      <c r="BF842" s="78" t="s">
        <v>131</v>
      </c>
      <c r="BG842" s="78" t="s">
        <v>131</v>
      </c>
      <c r="BH842" s="75" t="s">
        <v>5970</v>
      </c>
      <c r="BI842" s="295" t="s">
        <v>2227</v>
      </c>
      <c r="BJ842" s="546">
        <v>1</v>
      </c>
      <c r="BK842" s="294">
        <v>1</v>
      </c>
      <c r="BL842" s="157">
        <v>1</v>
      </c>
      <c r="BM842" s="548" t="s">
        <v>578</v>
      </c>
      <c r="BN842" s="548" t="s">
        <v>4159</v>
      </c>
      <c r="BO842" s="157" t="s">
        <v>4341</v>
      </c>
      <c r="BP842" s="548" t="s">
        <v>4343</v>
      </c>
      <c r="BQ842" s="157" t="s">
        <v>4309</v>
      </c>
      <c r="BR842" s="157"/>
    </row>
    <row r="843" spans="1:70" x14ac:dyDescent="0.25">
      <c r="A843" s="19" t="s">
        <v>3686</v>
      </c>
      <c r="B843" s="37" t="s">
        <v>2811</v>
      </c>
      <c r="C843" s="90">
        <v>45113.026261574072</v>
      </c>
      <c r="D843" s="114">
        <v>45112.776261574072</v>
      </c>
      <c r="E843" s="38">
        <v>45112</v>
      </c>
      <c r="F843" s="91">
        <v>2023</v>
      </c>
      <c r="G843" s="93">
        <v>7</v>
      </c>
      <c r="H843" s="37" t="s">
        <v>2423</v>
      </c>
      <c r="I843" s="37"/>
      <c r="J843" s="103">
        <v>-92.732126899999997</v>
      </c>
      <c r="K843" s="40">
        <v>44.831065500000001</v>
      </c>
      <c r="L843" s="74"/>
      <c r="M843" s="272" t="s">
        <v>16</v>
      </c>
      <c r="N843" s="74">
        <v>0</v>
      </c>
      <c r="O843" s="94"/>
      <c r="P843" s="118">
        <v>1</v>
      </c>
      <c r="Q843" s="510">
        <v>40</v>
      </c>
      <c r="R843" s="513">
        <v>120</v>
      </c>
      <c r="S843" s="41"/>
      <c r="T843" s="40"/>
      <c r="U843" s="40">
        <v>7.5</v>
      </c>
      <c r="V843" s="119">
        <v>1</v>
      </c>
      <c r="W843" s="40">
        <v>100</v>
      </c>
      <c r="X843" s="119">
        <v>1</v>
      </c>
      <c r="Y843" s="40">
        <v>70</v>
      </c>
      <c r="Z843" s="119">
        <v>1</v>
      </c>
      <c r="AA843" s="368">
        <v>0</v>
      </c>
      <c r="AB843" s="535">
        <v>5</v>
      </c>
      <c r="AC843" s="39"/>
      <c r="AD843" s="75" t="s">
        <v>10</v>
      </c>
      <c r="AE843" s="95">
        <v>0</v>
      </c>
      <c r="AF843" s="75">
        <v>0</v>
      </c>
      <c r="AG843" s="75">
        <v>0</v>
      </c>
      <c r="AH843" s="75">
        <v>0</v>
      </c>
      <c r="AI843" s="75">
        <v>0</v>
      </c>
      <c r="AJ843" s="75">
        <v>0</v>
      </c>
      <c r="AK843" s="75">
        <v>0</v>
      </c>
      <c r="AL843" s="95">
        <v>1</v>
      </c>
      <c r="AM843" s="92">
        <v>0</v>
      </c>
      <c r="AN843" s="79" t="s">
        <v>80</v>
      </c>
      <c r="AO843" s="75">
        <v>1</v>
      </c>
      <c r="AP843" s="75" t="s">
        <v>83</v>
      </c>
      <c r="AQ843" s="122">
        <v>1</v>
      </c>
      <c r="AR843" s="515" t="s">
        <v>10</v>
      </c>
      <c r="AS843" s="95">
        <v>0</v>
      </c>
      <c r="AT843" s="75">
        <v>0</v>
      </c>
      <c r="AU843" s="75">
        <v>0</v>
      </c>
      <c r="AV843" s="75">
        <v>0</v>
      </c>
      <c r="AW843" s="123">
        <v>0</v>
      </c>
      <c r="AX843" s="516" t="s">
        <v>2812</v>
      </c>
      <c r="AY843" s="75">
        <v>1</v>
      </c>
      <c r="AZ843" s="77" t="s">
        <v>131</v>
      </c>
      <c r="BA843" s="78" t="s">
        <v>131</v>
      </c>
      <c r="BB843" s="78" t="s">
        <v>131</v>
      </c>
      <c r="BC843" s="78" t="s">
        <v>131</v>
      </c>
      <c r="BD843" s="78" t="s">
        <v>131</v>
      </c>
      <c r="BE843" s="78" t="s">
        <v>131</v>
      </c>
      <c r="BF843" s="78" t="s">
        <v>131</v>
      </c>
      <c r="BG843" s="78" t="s">
        <v>132</v>
      </c>
      <c r="BH843" s="75" t="s">
        <v>5970</v>
      </c>
      <c r="BI843" s="295" t="s">
        <v>2227</v>
      </c>
      <c r="BJ843" s="546">
        <v>1</v>
      </c>
      <c r="BK843" s="294" t="s">
        <v>16</v>
      </c>
      <c r="BL843" s="157" t="s">
        <v>16</v>
      </c>
      <c r="BM843" s="548" t="s">
        <v>578</v>
      </c>
      <c r="BN843" s="548" t="s">
        <v>4159</v>
      </c>
      <c r="BO843" s="157" t="s">
        <v>4341</v>
      </c>
      <c r="BP843" s="548" t="s">
        <v>4343</v>
      </c>
      <c r="BQ843" s="157" t="s">
        <v>4309</v>
      </c>
      <c r="BR843" s="157"/>
    </row>
    <row r="844" spans="1:70" x14ac:dyDescent="0.25">
      <c r="A844" s="19" t="s">
        <v>3686</v>
      </c>
      <c r="B844" s="37" t="s">
        <v>2813</v>
      </c>
      <c r="C844" s="90">
        <v>45112.997650462959</v>
      </c>
      <c r="D844" s="114">
        <v>45112.747650462959</v>
      </c>
      <c r="E844" s="38">
        <v>45112</v>
      </c>
      <c r="F844" s="91">
        <v>2023</v>
      </c>
      <c r="G844" s="93">
        <v>7</v>
      </c>
      <c r="H844" s="37" t="s">
        <v>2423</v>
      </c>
      <c r="I844" s="37" t="s">
        <v>16</v>
      </c>
      <c r="J844" s="103">
        <v>-92.641644200000002</v>
      </c>
      <c r="K844" s="40">
        <v>44.849771799999999</v>
      </c>
      <c r="L844" s="74"/>
      <c r="M844" s="272" t="s">
        <v>16</v>
      </c>
      <c r="N844" s="74">
        <v>0</v>
      </c>
      <c r="O844" s="94"/>
      <c r="P844" s="118">
        <v>1</v>
      </c>
      <c r="Q844" s="510">
        <v>80</v>
      </c>
      <c r="R844" s="513">
        <v>120</v>
      </c>
      <c r="S844" s="41"/>
      <c r="T844" s="40"/>
      <c r="U844" s="40">
        <v>7</v>
      </c>
      <c r="V844" s="119">
        <v>1</v>
      </c>
      <c r="W844" s="40">
        <v>100</v>
      </c>
      <c r="X844" s="119">
        <v>1</v>
      </c>
      <c r="Y844" s="40">
        <v>68</v>
      </c>
      <c r="Z844" s="119">
        <v>1</v>
      </c>
      <c r="AA844" s="368">
        <v>0</v>
      </c>
      <c r="AB844" s="535">
        <v>2</v>
      </c>
      <c r="AC844" s="39" t="s">
        <v>160</v>
      </c>
      <c r="AD844" s="75" t="s">
        <v>10</v>
      </c>
      <c r="AE844" s="95">
        <v>0</v>
      </c>
      <c r="AF844" s="75">
        <v>0</v>
      </c>
      <c r="AG844" s="75">
        <v>0</v>
      </c>
      <c r="AH844" s="75">
        <v>0</v>
      </c>
      <c r="AI844" s="75">
        <v>0</v>
      </c>
      <c r="AJ844" s="75">
        <v>0</v>
      </c>
      <c r="AK844" s="75">
        <v>0</v>
      </c>
      <c r="AL844" s="95">
        <v>1</v>
      </c>
      <c r="AM844" s="92">
        <v>0</v>
      </c>
      <c r="AN844" s="79" t="s">
        <v>80</v>
      </c>
      <c r="AO844" s="75">
        <v>1</v>
      </c>
      <c r="AP844" s="75" t="s">
        <v>84</v>
      </c>
      <c r="AQ844" s="122">
        <v>1</v>
      </c>
      <c r="AR844" s="515" t="s">
        <v>10</v>
      </c>
      <c r="AS844" s="95">
        <v>0</v>
      </c>
      <c r="AT844" s="75">
        <v>0</v>
      </c>
      <c r="AU844" s="75">
        <v>0</v>
      </c>
      <c r="AV844" s="75">
        <v>0</v>
      </c>
      <c r="AW844" s="123">
        <v>0</v>
      </c>
      <c r="AX844" s="516" t="s">
        <v>2814</v>
      </c>
      <c r="AY844" s="75">
        <v>1</v>
      </c>
      <c r="AZ844" s="77" t="s">
        <v>131</v>
      </c>
      <c r="BA844" s="78" t="s">
        <v>131</v>
      </c>
      <c r="BB844" s="78" t="s">
        <v>131</v>
      </c>
      <c r="BC844" s="78" t="s">
        <v>131</v>
      </c>
      <c r="BD844" s="78" t="s">
        <v>131</v>
      </c>
      <c r="BE844" s="78" t="s">
        <v>131</v>
      </c>
      <c r="BF844" s="78" t="s">
        <v>131</v>
      </c>
      <c r="BG844" s="78" t="s">
        <v>132</v>
      </c>
      <c r="BH844" s="75" t="s">
        <v>5970</v>
      </c>
      <c r="BI844" s="295" t="s">
        <v>2227</v>
      </c>
      <c r="BJ844" s="546">
        <v>1</v>
      </c>
      <c r="BK844" s="294">
        <v>1</v>
      </c>
      <c r="BL844" s="157">
        <v>1</v>
      </c>
      <c r="BM844" s="548" t="s">
        <v>578</v>
      </c>
      <c r="BN844" s="548" t="s">
        <v>4159</v>
      </c>
      <c r="BO844" s="157" t="s">
        <v>4341</v>
      </c>
      <c r="BP844" s="548" t="s">
        <v>4343</v>
      </c>
      <c r="BQ844" s="157" t="s">
        <v>4309</v>
      </c>
      <c r="BR844" s="157"/>
    </row>
    <row r="845" spans="1:70" x14ac:dyDescent="0.25">
      <c r="A845" s="19" t="s">
        <v>3686</v>
      </c>
      <c r="B845" s="37" t="s">
        <v>2815</v>
      </c>
      <c r="C845" s="90">
        <v>45112.983449074076</v>
      </c>
      <c r="D845" s="114">
        <v>45112.733449074076</v>
      </c>
      <c r="E845" s="38">
        <v>45112</v>
      </c>
      <c r="F845" s="91">
        <v>2023</v>
      </c>
      <c r="G845" s="93">
        <v>7</v>
      </c>
      <c r="H845" s="37" t="s">
        <v>2423</v>
      </c>
      <c r="I845" s="37" t="s">
        <v>16</v>
      </c>
      <c r="J845" s="103">
        <v>-92.643938199999994</v>
      </c>
      <c r="K845" s="40">
        <v>44.844377700000003</v>
      </c>
      <c r="L845" s="74"/>
      <c r="M845" s="272" t="s">
        <v>16</v>
      </c>
      <c r="N845" s="74">
        <v>0</v>
      </c>
      <c r="O845" s="94"/>
      <c r="P845" s="118">
        <v>1</v>
      </c>
      <c r="Q845" s="510">
        <v>80</v>
      </c>
      <c r="R845" s="513">
        <v>120</v>
      </c>
      <c r="S845" s="41"/>
      <c r="T845" s="40"/>
      <c r="U845" s="40">
        <v>7.5</v>
      </c>
      <c r="V845" s="119">
        <v>1</v>
      </c>
      <c r="W845" s="40">
        <v>100</v>
      </c>
      <c r="X845" s="119">
        <v>1</v>
      </c>
      <c r="Y845" s="40">
        <v>68</v>
      </c>
      <c r="Z845" s="119">
        <v>1</v>
      </c>
      <c r="AA845" s="368">
        <v>0</v>
      </c>
      <c r="AB845" s="535">
        <v>5</v>
      </c>
      <c r="AC845" s="39" t="s">
        <v>160</v>
      </c>
      <c r="AD845" s="75" t="s">
        <v>10</v>
      </c>
      <c r="AE845" s="95">
        <v>0</v>
      </c>
      <c r="AF845" s="75">
        <v>0</v>
      </c>
      <c r="AG845" s="75">
        <v>0</v>
      </c>
      <c r="AH845" s="75">
        <v>0</v>
      </c>
      <c r="AI845" s="75">
        <v>0</v>
      </c>
      <c r="AJ845" s="75">
        <v>0</v>
      </c>
      <c r="AK845" s="75">
        <v>0</v>
      </c>
      <c r="AL845" s="95">
        <v>1</v>
      </c>
      <c r="AM845" s="92">
        <v>0</v>
      </c>
      <c r="AN845" s="79" t="s">
        <v>80</v>
      </c>
      <c r="AO845" s="75">
        <v>1</v>
      </c>
      <c r="AP845" s="75" t="s">
        <v>83</v>
      </c>
      <c r="AQ845" s="122">
        <v>1</v>
      </c>
      <c r="AR845" s="515" t="s">
        <v>10</v>
      </c>
      <c r="AS845" s="95">
        <v>0</v>
      </c>
      <c r="AT845" s="75">
        <v>0</v>
      </c>
      <c r="AU845" s="75">
        <v>0</v>
      </c>
      <c r="AV845" s="75">
        <v>0</v>
      </c>
      <c r="AW845" s="123">
        <v>0</v>
      </c>
      <c r="AX845" s="516" t="s">
        <v>2816</v>
      </c>
      <c r="AY845" s="75">
        <v>1</v>
      </c>
      <c r="AZ845" s="77" t="s">
        <v>131</v>
      </c>
      <c r="BA845" s="78" t="s">
        <v>131</v>
      </c>
      <c r="BB845" s="78" t="s">
        <v>131</v>
      </c>
      <c r="BC845" s="78" t="s">
        <v>131</v>
      </c>
      <c r="BD845" s="78" t="s">
        <v>131</v>
      </c>
      <c r="BE845" s="78" t="s">
        <v>131</v>
      </c>
      <c r="BF845" s="78" t="s">
        <v>131</v>
      </c>
      <c r="BG845" s="78" t="s">
        <v>132</v>
      </c>
      <c r="BH845" s="75" t="s">
        <v>5970</v>
      </c>
      <c r="BI845" s="295" t="s">
        <v>2227</v>
      </c>
      <c r="BJ845" s="546">
        <v>1</v>
      </c>
      <c r="BK845" s="294">
        <v>1</v>
      </c>
      <c r="BL845" s="157">
        <v>1</v>
      </c>
      <c r="BM845" s="548" t="s">
        <v>578</v>
      </c>
      <c r="BN845" s="548" t="s">
        <v>4159</v>
      </c>
      <c r="BO845" s="157" t="s">
        <v>4341</v>
      </c>
      <c r="BP845" s="548" t="s">
        <v>4343</v>
      </c>
      <c r="BQ845" s="157" t="s">
        <v>4309</v>
      </c>
      <c r="BR845" s="157"/>
    </row>
    <row r="846" spans="1:70" x14ac:dyDescent="0.25">
      <c r="A846" s="19" t="s">
        <v>3686</v>
      </c>
      <c r="B846" s="37" t="s">
        <v>2817</v>
      </c>
      <c r="C846" s="90">
        <v>45112.941041666665</v>
      </c>
      <c r="D846" s="114">
        <v>45112.691041666665</v>
      </c>
      <c r="E846" s="38">
        <v>45112</v>
      </c>
      <c r="F846" s="91">
        <v>2023</v>
      </c>
      <c r="G846" s="93">
        <v>7</v>
      </c>
      <c r="H846" s="37" t="s">
        <v>2654</v>
      </c>
      <c r="I846" s="37"/>
      <c r="J846" s="103">
        <v>-91.191188299999993</v>
      </c>
      <c r="K846" s="40">
        <v>44.291538699999997</v>
      </c>
      <c r="L846" s="74"/>
      <c r="M846" s="272" t="s">
        <v>2818</v>
      </c>
      <c r="N846" s="74">
        <v>1</v>
      </c>
      <c r="O846" s="94"/>
      <c r="P846" s="118">
        <v>1</v>
      </c>
      <c r="Q846" s="510">
        <v>40</v>
      </c>
      <c r="R846" s="513">
        <v>60</v>
      </c>
      <c r="S846" s="41"/>
      <c r="T846" s="40"/>
      <c r="U846" s="40">
        <v>6</v>
      </c>
      <c r="V846" s="119">
        <v>1</v>
      </c>
      <c r="W846" s="40">
        <v>200</v>
      </c>
      <c r="X846" s="119">
        <v>1</v>
      </c>
      <c r="Y846" s="40">
        <v>65</v>
      </c>
      <c r="Z846" s="119">
        <v>1</v>
      </c>
      <c r="AA846" s="368">
        <v>0</v>
      </c>
      <c r="AB846" s="535">
        <v>2</v>
      </c>
      <c r="AC846" s="39" t="s">
        <v>160</v>
      </c>
      <c r="AD846" s="75" t="s">
        <v>10</v>
      </c>
      <c r="AE846" s="95">
        <v>0</v>
      </c>
      <c r="AF846" s="75">
        <v>0</v>
      </c>
      <c r="AG846" s="75">
        <v>0</v>
      </c>
      <c r="AH846" s="75">
        <v>0</v>
      </c>
      <c r="AI846" s="75">
        <v>0</v>
      </c>
      <c r="AJ846" s="75">
        <v>0</v>
      </c>
      <c r="AK846" s="75">
        <v>0</v>
      </c>
      <c r="AL846" s="95">
        <v>1</v>
      </c>
      <c r="AM846" s="92">
        <v>0</v>
      </c>
      <c r="AN846" s="79" t="s">
        <v>80</v>
      </c>
      <c r="AO846" s="75">
        <v>1</v>
      </c>
      <c r="AP846" s="75" t="s">
        <v>84</v>
      </c>
      <c r="AQ846" s="122">
        <v>1</v>
      </c>
      <c r="AR846" s="515" t="s">
        <v>13</v>
      </c>
      <c r="AS846" s="95">
        <v>1</v>
      </c>
      <c r="AT846" s="75">
        <v>0</v>
      </c>
      <c r="AU846" s="75">
        <v>0</v>
      </c>
      <c r="AV846" s="75">
        <v>0</v>
      </c>
      <c r="AW846" s="123">
        <v>0</v>
      </c>
      <c r="AX846" s="516"/>
      <c r="AY846" s="75">
        <v>0</v>
      </c>
      <c r="AZ846" s="77" t="s">
        <v>131</v>
      </c>
      <c r="BA846" s="78" t="s">
        <v>131</v>
      </c>
      <c r="BB846" s="78" t="s">
        <v>131</v>
      </c>
      <c r="BC846" s="78" t="s">
        <v>131</v>
      </c>
      <c r="BD846" s="78" t="s">
        <v>131</v>
      </c>
      <c r="BE846" s="78" t="s">
        <v>131</v>
      </c>
      <c r="BF846" s="78" t="s">
        <v>131</v>
      </c>
      <c r="BG846" s="78" t="s">
        <v>132</v>
      </c>
      <c r="BH846" s="75" t="s">
        <v>5970</v>
      </c>
      <c r="BI846" s="295" t="s">
        <v>3987</v>
      </c>
      <c r="BJ846" s="546" t="s">
        <v>16</v>
      </c>
      <c r="BK846" s="294" t="s">
        <v>16</v>
      </c>
      <c r="BL846" s="157" t="s">
        <v>16</v>
      </c>
      <c r="BM846" s="548" t="s">
        <v>1340</v>
      </c>
      <c r="BN846" s="548" t="s">
        <v>4158</v>
      </c>
      <c r="BO846" s="157" t="s">
        <v>4481</v>
      </c>
      <c r="BP846" s="548" t="s">
        <v>4519</v>
      </c>
      <c r="BQ846" s="157" t="s">
        <v>4460</v>
      </c>
      <c r="BR846" s="157"/>
    </row>
    <row r="847" spans="1:70" x14ac:dyDescent="0.25">
      <c r="A847" s="19" t="s">
        <v>3686</v>
      </c>
      <c r="B847" s="37" t="s">
        <v>2819</v>
      </c>
      <c r="C847" s="90">
        <v>45112.891724537039</v>
      </c>
      <c r="D847" s="114">
        <v>45112.641724537039</v>
      </c>
      <c r="E847" s="38">
        <v>45112</v>
      </c>
      <c r="F847" s="91">
        <v>2023</v>
      </c>
      <c r="G847" s="93">
        <v>7</v>
      </c>
      <c r="H847" s="37" t="s">
        <v>2548</v>
      </c>
      <c r="I847" s="37"/>
      <c r="J847" s="103">
        <v>-90.893359310442719</v>
      </c>
      <c r="K847" s="40">
        <v>43.196073894681227</v>
      </c>
      <c r="L847" s="74"/>
      <c r="M847" s="272" t="s">
        <v>2820</v>
      </c>
      <c r="N847" s="74">
        <v>1</v>
      </c>
      <c r="O847" s="94"/>
      <c r="P847" s="118">
        <v>1</v>
      </c>
      <c r="Q847" s="510">
        <v>180</v>
      </c>
      <c r="R847" s="513">
        <v>180</v>
      </c>
      <c r="S847" s="41"/>
      <c r="T847" s="40"/>
      <c r="U847" s="40">
        <v>8</v>
      </c>
      <c r="V847" s="119">
        <v>1</v>
      </c>
      <c r="W847" s="40">
        <v>0</v>
      </c>
      <c r="X847" s="119">
        <v>1</v>
      </c>
      <c r="Y847" s="40">
        <v>66</v>
      </c>
      <c r="Z847" s="119">
        <v>1</v>
      </c>
      <c r="AA847" s="368">
        <v>0</v>
      </c>
      <c r="AB847" s="535">
        <v>2</v>
      </c>
      <c r="AC847" s="39" t="s">
        <v>160</v>
      </c>
      <c r="AD847" s="75" t="s">
        <v>10</v>
      </c>
      <c r="AE847" s="95">
        <v>0</v>
      </c>
      <c r="AF847" s="75">
        <v>0</v>
      </c>
      <c r="AG847" s="75">
        <v>0</v>
      </c>
      <c r="AH847" s="75">
        <v>0</v>
      </c>
      <c r="AI847" s="75">
        <v>0</v>
      </c>
      <c r="AJ847" s="75">
        <v>0</v>
      </c>
      <c r="AK847" s="75">
        <v>0</v>
      </c>
      <c r="AL847" s="95">
        <v>1</v>
      </c>
      <c r="AM847" s="92">
        <v>0</v>
      </c>
      <c r="AN847" s="79" t="s">
        <v>80</v>
      </c>
      <c r="AO847" s="75">
        <v>1</v>
      </c>
      <c r="AP847" s="75" t="s">
        <v>83</v>
      </c>
      <c r="AQ847" s="122">
        <v>1</v>
      </c>
      <c r="AR847" s="515" t="s">
        <v>10</v>
      </c>
      <c r="AS847" s="95">
        <v>0</v>
      </c>
      <c r="AT847" s="75">
        <v>0</v>
      </c>
      <c r="AU847" s="75">
        <v>0</v>
      </c>
      <c r="AV847" s="75">
        <v>0</v>
      </c>
      <c r="AW847" s="123">
        <v>0</v>
      </c>
      <c r="AX847" s="516"/>
      <c r="AY847" s="75">
        <v>0</v>
      </c>
      <c r="AZ847" s="77" t="s">
        <v>131</v>
      </c>
      <c r="BA847" s="78" t="s">
        <v>131</v>
      </c>
      <c r="BB847" s="78" t="s">
        <v>131</v>
      </c>
      <c r="BC847" s="78" t="s">
        <v>131</v>
      </c>
      <c r="BD847" s="78" t="s">
        <v>131</v>
      </c>
      <c r="BE847" s="78" t="s">
        <v>131</v>
      </c>
      <c r="BF847" s="78" t="s">
        <v>131</v>
      </c>
      <c r="BG847" s="78" t="s">
        <v>132</v>
      </c>
      <c r="BH847" s="75" t="s">
        <v>5970</v>
      </c>
      <c r="BI847" s="295" t="s">
        <v>4069</v>
      </c>
      <c r="BJ847" s="546">
        <v>1</v>
      </c>
      <c r="BK847" s="294">
        <v>1</v>
      </c>
      <c r="BL847" s="157">
        <v>1</v>
      </c>
      <c r="BM847" s="548" t="s">
        <v>1342</v>
      </c>
      <c r="BN847" s="548" t="s">
        <v>4158</v>
      </c>
      <c r="BO847" s="157" t="s">
        <v>4527</v>
      </c>
      <c r="BP847" s="548" t="s">
        <v>4069</v>
      </c>
      <c r="BQ847" s="157" t="s">
        <v>4305</v>
      </c>
      <c r="BR847" s="157"/>
    </row>
    <row r="848" spans="1:70" x14ac:dyDescent="0.25">
      <c r="A848" s="19" t="s">
        <v>3686</v>
      </c>
      <c r="B848" s="37" t="s">
        <v>2821</v>
      </c>
      <c r="C848" s="90">
        <v>45112.830254629633</v>
      </c>
      <c r="D848" s="114">
        <v>45112.580254629633</v>
      </c>
      <c r="E848" s="38">
        <v>45112</v>
      </c>
      <c r="F848" s="91">
        <v>2023</v>
      </c>
      <c r="G848" s="93">
        <v>7</v>
      </c>
      <c r="H848" s="37" t="s">
        <v>302</v>
      </c>
      <c r="I848" s="37"/>
      <c r="J848" s="103">
        <v>-92.057229367800502</v>
      </c>
      <c r="K848" s="40">
        <v>43.650563105365272</v>
      </c>
      <c r="L848" s="74"/>
      <c r="M848" s="272" t="s">
        <v>2822</v>
      </c>
      <c r="N848" s="74">
        <v>1</v>
      </c>
      <c r="O848" s="94"/>
      <c r="P848" s="118">
        <v>1</v>
      </c>
      <c r="Q848" s="510">
        <v>80</v>
      </c>
      <c r="R848" s="513">
        <v>0</v>
      </c>
      <c r="S848" s="41"/>
      <c r="T848" s="40"/>
      <c r="U848" s="40">
        <v>7</v>
      </c>
      <c r="V848" s="119">
        <v>1</v>
      </c>
      <c r="W848" s="40">
        <v>100</v>
      </c>
      <c r="X848" s="119">
        <v>0</v>
      </c>
      <c r="Y848" s="40"/>
      <c r="Z848" s="119">
        <v>1</v>
      </c>
      <c r="AA848" s="368">
        <v>0</v>
      </c>
      <c r="AB848" s="535">
        <v>2</v>
      </c>
      <c r="AC848" s="39" t="s">
        <v>160</v>
      </c>
      <c r="AD848" s="75" t="s">
        <v>8</v>
      </c>
      <c r="AE848" s="95">
        <v>0</v>
      </c>
      <c r="AF848" s="75">
        <v>1</v>
      </c>
      <c r="AG848" s="75">
        <v>0</v>
      </c>
      <c r="AH848" s="75">
        <v>0</v>
      </c>
      <c r="AI848" s="75">
        <v>0</v>
      </c>
      <c r="AJ848" s="75">
        <v>0</v>
      </c>
      <c r="AK848" s="75">
        <v>0</v>
      </c>
      <c r="AL848" s="95">
        <v>0</v>
      </c>
      <c r="AM848" s="92">
        <v>0</v>
      </c>
      <c r="AN848" s="79" t="s">
        <v>80</v>
      </c>
      <c r="AO848" s="75">
        <v>1</v>
      </c>
      <c r="AP848" s="75" t="s">
        <v>83</v>
      </c>
      <c r="AQ848" s="122">
        <v>1</v>
      </c>
      <c r="AR848" s="515" t="s">
        <v>10</v>
      </c>
      <c r="AS848" s="95">
        <v>0</v>
      </c>
      <c r="AT848" s="75">
        <v>0</v>
      </c>
      <c r="AU848" s="75">
        <v>0</v>
      </c>
      <c r="AV848" s="75">
        <v>0</v>
      </c>
      <c r="AW848" s="123">
        <v>0</v>
      </c>
      <c r="AX848" s="516" t="s">
        <v>2269</v>
      </c>
      <c r="AY848" s="75">
        <v>1</v>
      </c>
      <c r="AZ848" s="77" t="s">
        <v>131</v>
      </c>
      <c r="BA848" s="78" t="s">
        <v>132</v>
      </c>
      <c r="BB848" s="78" t="s">
        <v>131</v>
      </c>
      <c r="BC848" s="78" t="s">
        <v>131</v>
      </c>
      <c r="BD848" s="78" t="s">
        <v>131</v>
      </c>
      <c r="BE848" s="78" t="s">
        <v>131</v>
      </c>
      <c r="BF848" s="78" t="s">
        <v>131</v>
      </c>
      <c r="BG848" s="78" t="s">
        <v>131</v>
      </c>
      <c r="BH848" s="75" t="s">
        <v>5970</v>
      </c>
      <c r="BI848" s="295" t="s">
        <v>16</v>
      </c>
      <c r="BJ848" s="546">
        <v>1</v>
      </c>
      <c r="BK848" s="294" t="s">
        <v>16</v>
      </c>
      <c r="BL848" s="157" t="s">
        <v>16</v>
      </c>
      <c r="BM848" s="548" t="s">
        <v>1339</v>
      </c>
      <c r="BN848" s="548" t="s">
        <v>4160</v>
      </c>
      <c r="BO848" s="157" t="s">
        <v>4528</v>
      </c>
      <c r="BP848" s="548" t="s">
        <v>2269</v>
      </c>
      <c r="BQ848" s="157" t="s">
        <v>4229</v>
      </c>
      <c r="BR848" s="157"/>
    </row>
    <row r="849" spans="1:70" x14ac:dyDescent="0.25">
      <c r="A849" s="19" t="s">
        <v>3686</v>
      </c>
      <c r="B849" s="37" t="s">
        <v>2823</v>
      </c>
      <c r="C849" s="90">
        <v>45112.790798611109</v>
      </c>
      <c r="D849" s="114">
        <v>45112.540798611109</v>
      </c>
      <c r="E849" s="38">
        <v>45112</v>
      </c>
      <c r="F849" s="91">
        <v>2023</v>
      </c>
      <c r="G849" s="93">
        <v>7</v>
      </c>
      <c r="H849" s="37" t="s">
        <v>2654</v>
      </c>
      <c r="I849" s="37"/>
      <c r="J849" s="103">
        <v>-91.193025300000002</v>
      </c>
      <c r="K849" s="40">
        <v>44.210887999999997</v>
      </c>
      <c r="L849" s="74"/>
      <c r="M849" s="272" t="s">
        <v>2824</v>
      </c>
      <c r="N849" s="74">
        <v>1</v>
      </c>
      <c r="O849" s="94"/>
      <c r="P849" s="118">
        <v>1</v>
      </c>
      <c r="Q849" s="510">
        <v>0</v>
      </c>
      <c r="R849" s="513">
        <v>60</v>
      </c>
      <c r="S849" s="41"/>
      <c r="T849" s="40"/>
      <c r="U849" s="40">
        <v>7</v>
      </c>
      <c r="V849" s="119">
        <v>1</v>
      </c>
      <c r="W849" s="40">
        <v>300</v>
      </c>
      <c r="X849" s="119">
        <v>1</v>
      </c>
      <c r="Y849" s="40">
        <v>64</v>
      </c>
      <c r="Z849" s="119">
        <v>1</v>
      </c>
      <c r="AA849" s="368">
        <v>0</v>
      </c>
      <c r="AB849" s="535">
        <v>2</v>
      </c>
      <c r="AC849" s="39" t="s">
        <v>160</v>
      </c>
      <c r="AD849" s="75" t="s">
        <v>10</v>
      </c>
      <c r="AE849" s="95">
        <v>0</v>
      </c>
      <c r="AF849" s="75">
        <v>0</v>
      </c>
      <c r="AG849" s="75">
        <v>0</v>
      </c>
      <c r="AH849" s="75">
        <v>0</v>
      </c>
      <c r="AI849" s="75">
        <v>0</v>
      </c>
      <c r="AJ849" s="75">
        <v>0</v>
      </c>
      <c r="AK849" s="75">
        <v>0</v>
      </c>
      <c r="AL849" s="95">
        <v>1</v>
      </c>
      <c r="AM849" s="92">
        <v>0</v>
      </c>
      <c r="AN849" s="79" t="s">
        <v>80</v>
      </c>
      <c r="AO849" s="75">
        <v>1</v>
      </c>
      <c r="AP849" s="75" t="s">
        <v>84</v>
      </c>
      <c r="AQ849" s="122">
        <v>1</v>
      </c>
      <c r="AR849" s="515" t="s">
        <v>13</v>
      </c>
      <c r="AS849" s="95">
        <v>1</v>
      </c>
      <c r="AT849" s="75">
        <v>0</v>
      </c>
      <c r="AU849" s="75">
        <v>0</v>
      </c>
      <c r="AV849" s="75">
        <v>0</v>
      </c>
      <c r="AW849" s="123">
        <v>0</v>
      </c>
      <c r="AX849" s="516"/>
      <c r="AY849" s="75">
        <v>0</v>
      </c>
      <c r="AZ849" s="77" t="s">
        <v>131</v>
      </c>
      <c r="BA849" s="78" t="s">
        <v>131</v>
      </c>
      <c r="BB849" s="78" t="s">
        <v>131</v>
      </c>
      <c r="BC849" s="78" t="s">
        <v>131</v>
      </c>
      <c r="BD849" s="78" t="s">
        <v>131</v>
      </c>
      <c r="BE849" s="78" t="s">
        <v>131</v>
      </c>
      <c r="BF849" s="78" t="s">
        <v>131</v>
      </c>
      <c r="BG849" s="78" t="s">
        <v>132</v>
      </c>
      <c r="BH849" s="75" t="s">
        <v>5970</v>
      </c>
      <c r="BI849" s="295" t="s">
        <v>4008</v>
      </c>
      <c r="BJ849" s="546">
        <v>1</v>
      </c>
      <c r="BK849" s="294">
        <v>1</v>
      </c>
      <c r="BL849" s="157">
        <v>1</v>
      </c>
      <c r="BM849" s="548" t="s">
        <v>1340</v>
      </c>
      <c r="BN849" s="548" t="s">
        <v>4158</v>
      </c>
      <c r="BO849" s="157" t="s">
        <v>4529</v>
      </c>
      <c r="BP849" s="548" t="s">
        <v>4530</v>
      </c>
      <c r="BQ849" s="157" t="s">
        <v>4447</v>
      </c>
      <c r="BR849" s="157"/>
    </row>
    <row r="850" spans="1:70" x14ac:dyDescent="0.25">
      <c r="A850" s="19" t="s">
        <v>3686</v>
      </c>
      <c r="B850" s="37" t="s">
        <v>2825</v>
      </c>
      <c r="C850" s="90">
        <v>45112.696215277778</v>
      </c>
      <c r="D850" s="114">
        <v>45112.446215277778</v>
      </c>
      <c r="E850" s="38">
        <v>45112</v>
      </c>
      <c r="F850" s="91">
        <v>2023</v>
      </c>
      <c r="G850" s="93">
        <v>7</v>
      </c>
      <c r="H850" s="37" t="s">
        <v>2654</v>
      </c>
      <c r="I850" s="37"/>
      <c r="J850" s="103">
        <v>-91.193135799999993</v>
      </c>
      <c r="K850" s="40">
        <v>44.2157847</v>
      </c>
      <c r="L850" s="74"/>
      <c r="M850" s="272" t="s">
        <v>2826</v>
      </c>
      <c r="N850" s="74">
        <v>1</v>
      </c>
      <c r="O850" s="94"/>
      <c r="P850" s="118">
        <v>1</v>
      </c>
      <c r="Q850" s="510">
        <v>40</v>
      </c>
      <c r="R850" s="513">
        <v>60</v>
      </c>
      <c r="S850" s="41"/>
      <c r="T850" s="40"/>
      <c r="U850" s="40">
        <v>7</v>
      </c>
      <c r="V850" s="119">
        <v>1</v>
      </c>
      <c r="W850" s="40">
        <v>500</v>
      </c>
      <c r="X850" s="119">
        <v>1</v>
      </c>
      <c r="Y850" s="40">
        <v>57</v>
      </c>
      <c r="Z850" s="119">
        <v>1</v>
      </c>
      <c r="AA850" s="368">
        <v>0</v>
      </c>
      <c r="AB850" s="535">
        <v>0</v>
      </c>
      <c r="AC850" s="39" t="s">
        <v>160</v>
      </c>
      <c r="AD850" s="75" t="s">
        <v>10</v>
      </c>
      <c r="AE850" s="95">
        <v>0</v>
      </c>
      <c r="AF850" s="75">
        <v>0</v>
      </c>
      <c r="AG850" s="75">
        <v>0</v>
      </c>
      <c r="AH850" s="75">
        <v>0</v>
      </c>
      <c r="AI850" s="75">
        <v>0</v>
      </c>
      <c r="AJ850" s="75">
        <v>0</v>
      </c>
      <c r="AK850" s="75">
        <v>0</v>
      </c>
      <c r="AL850" s="95">
        <v>1</v>
      </c>
      <c r="AM850" s="92">
        <v>0</v>
      </c>
      <c r="AN850" s="79" t="s">
        <v>80</v>
      </c>
      <c r="AO850" s="75">
        <v>1</v>
      </c>
      <c r="AP850" s="75" t="s">
        <v>83</v>
      </c>
      <c r="AQ850" s="122">
        <v>1</v>
      </c>
      <c r="AR850" s="515" t="s">
        <v>13</v>
      </c>
      <c r="AS850" s="95">
        <v>1</v>
      </c>
      <c r="AT850" s="75">
        <v>0</v>
      </c>
      <c r="AU850" s="75">
        <v>0</v>
      </c>
      <c r="AV850" s="75">
        <v>0</v>
      </c>
      <c r="AW850" s="123">
        <v>0</v>
      </c>
      <c r="AX850" s="516"/>
      <c r="AY850" s="75">
        <v>0</v>
      </c>
      <c r="AZ850" s="77" t="s">
        <v>131</v>
      </c>
      <c r="BA850" s="78" t="s">
        <v>131</v>
      </c>
      <c r="BB850" s="78" t="s">
        <v>131</v>
      </c>
      <c r="BC850" s="78" t="s">
        <v>131</v>
      </c>
      <c r="BD850" s="78" t="s">
        <v>131</v>
      </c>
      <c r="BE850" s="78" t="s">
        <v>131</v>
      </c>
      <c r="BF850" s="78" t="s">
        <v>131</v>
      </c>
      <c r="BG850" s="78" t="s">
        <v>132</v>
      </c>
      <c r="BH850" s="75" t="s">
        <v>5970</v>
      </c>
      <c r="BI850" s="295" t="s">
        <v>4007</v>
      </c>
      <c r="BJ850" s="546">
        <v>1</v>
      </c>
      <c r="BK850" s="294">
        <v>1</v>
      </c>
      <c r="BL850" s="157">
        <v>1</v>
      </c>
      <c r="BM850" s="548" t="s">
        <v>1340</v>
      </c>
      <c r="BN850" s="548" t="s">
        <v>4158</v>
      </c>
      <c r="BO850" s="157" t="s">
        <v>4529</v>
      </c>
      <c r="BP850" s="548" t="s">
        <v>4530</v>
      </c>
      <c r="BQ850" s="157" t="s">
        <v>4447</v>
      </c>
      <c r="BR850" s="157"/>
    </row>
    <row r="851" spans="1:70" x14ac:dyDescent="0.25">
      <c r="A851" s="19" t="s">
        <v>3686</v>
      </c>
      <c r="B851" s="37" t="s">
        <v>2827</v>
      </c>
      <c r="C851" s="90">
        <v>45112.692939814813</v>
      </c>
      <c r="D851" s="114">
        <v>45112.442939814813</v>
      </c>
      <c r="E851" s="38">
        <v>45112</v>
      </c>
      <c r="F851" s="91">
        <v>2023</v>
      </c>
      <c r="G851" s="93">
        <v>7</v>
      </c>
      <c r="H851" s="37" t="s">
        <v>2548</v>
      </c>
      <c r="I851" s="37"/>
      <c r="J851" s="103">
        <v>-90.965657558099622</v>
      </c>
      <c r="K851" s="40">
        <v>43.216381106077755</v>
      </c>
      <c r="L851" s="74"/>
      <c r="M851" s="272" t="s">
        <v>2828</v>
      </c>
      <c r="N851" s="74">
        <v>1</v>
      </c>
      <c r="O851" s="94"/>
      <c r="P851" s="118">
        <v>1</v>
      </c>
      <c r="Q851" s="510">
        <v>180</v>
      </c>
      <c r="R851" s="513">
        <v>180</v>
      </c>
      <c r="S851" s="41"/>
      <c r="T851" s="40"/>
      <c r="U851" s="40">
        <v>7.5</v>
      </c>
      <c r="V851" s="119">
        <v>1</v>
      </c>
      <c r="W851" s="40">
        <v>0</v>
      </c>
      <c r="X851" s="119">
        <v>1</v>
      </c>
      <c r="Y851" s="40">
        <v>61</v>
      </c>
      <c r="Z851" s="119">
        <v>1</v>
      </c>
      <c r="AA851" s="368">
        <v>0</v>
      </c>
      <c r="AB851" s="535">
        <v>5</v>
      </c>
      <c r="AC851" s="39" t="s">
        <v>160</v>
      </c>
      <c r="AD851" s="75" t="s">
        <v>427</v>
      </c>
      <c r="AE851" s="95">
        <v>0</v>
      </c>
      <c r="AF851" s="75">
        <v>0</v>
      </c>
      <c r="AG851" s="75">
        <v>0</v>
      </c>
      <c r="AH851" s="75">
        <v>0</v>
      </c>
      <c r="AI851" s="75">
        <v>0</v>
      </c>
      <c r="AJ851" s="75">
        <v>1</v>
      </c>
      <c r="AK851" s="75">
        <v>0</v>
      </c>
      <c r="AL851" s="95">
        <v>0</v>
      </c>
      <c r="AM851" s="92">
        <v>0</v>
      </c>
      <c r="AN851" s="79" t="s">
        <v>80</v>
      </c>
      <c r="AO851" s="75">
        <v>1</v>
      </c>
      <c r="AP851" s="75" t="s">
        <v>83</v>
      </c>
      <c r="AQ851" s="122">
        <v>1</v>
      </c>
      <c r="AR851" s="515" t="s">
        <v>10</v>
      </c>
      <c r="AS851" s="95">
        <v>0</v>
      </c>
      <c r="AT851" s="75">
        <v>0</v>
      </c>
      <c r="AU851" s="75">
        <v>0</v>
      </c>
      <c r="AV851" s="75">
        <v>0</v>
      </c>
      <c r="AW851" s="123">
        <v>0</v>
      </c>
      <c r="AX851" s="516"/>
      <c r="AY851" s="75">
        <v>0</v>
      </c>
      <c r="AZ851" s="77" t="s">
        <v>131</v>
      </c>
      <c r="BA851" s="78" t="s">
        <v>131</v>
      </c>
      <c r="BB851" s="78" t="s">
        <v>131</v>
      </c>
      <c r="BC851" s="78" t="s">
        <v>131</v>
      </c>
      <c r="BD851" s="78" t="s">
        <v>131</v>
      </c>
      <c r="BE851" s="78" t="s">
        <v>132</v>
      </c>
      <c r="BF851" s="78" t="s">
        <v>131</v>
      </c>
      <c r="BG851" s="78" t="s">
        <v>131</v>
      </c>
      <c r="BH851" s="75" t="s">
        <v>5970</v>
      </c>
      <c r="BI851" s="295" t="s">
        <v>2261</v>
      </c>
      <c r="BJ851" s="546">
        <v>1</v>
      </c>
      <c r="BK851" s="294" t="s">
        <v>16</v>
      </c>
      <c r="BL851" s="157" t="s">
        <v>16</v>
      </c>
      <c r="BM851" s="548" t="s">
        <v>1342</v>
      </c>
      <c r="BN851" s="548" t="s">
        <v>4158</v>
      </c>
      <c r="BO851" s="157" t="s">
        <v>4531</v>
      </c>
      <c r="BP851" s="548" t="s">
        <v>2261</v>
      </c>
      <c r="BQ851" s="157" t="s">
        <v>4305</v>
      </c>
      <c r="BR851" s="157"/>
    </row>
    <row r="852" spans="1:70" x14ac:dyDescent="0.25">
      <c r="A852" s="19" t="s">
        <v>3686</v>
      </c>
      <c r="B852" s="37" t="s">
        <v>2829</v>
      </c>
      <c r="C852" s="90">
        <v>45112.636643518519</v>
      </c>
      <c r="D852" s="114">
        <v>45112.386643518519</v>
      </c>
      <c r="E852" s="38">
        <v>45112</v>
      </c>
      <c r="F852" s="91">
        <v>2023</v>
      </c>
      <c r="G852" s="93">
        <v>7</v>
      </c>
      <c r="H852" s="37" t="s">
        <v>2654</v>
      </c>
      <c r="I852" s="37" t="s">
        <v>146</v>
      </c>
      <c r="J852" s="103">
        <v>-91.180760899999996</v>
      </c>
      <c r="K852" s="40">
        <v>44.221338600000003</v>
      </c>
      <c r="L852" s="74"/>
      <c r="M852" s="272" t="s">
        <v>2830</v>
      </c>
      <c r="N852" s="74">
        <v>1</v>
      </c>
      <c r="O852" s="94"/>
      <c r="P852" s="118">
        <v>1</v>
      </c>
      <c r="Q852" s="510">
        <v>80</v>
      </c>
      <c r="R852" s="513">
        <v>60</v>
      </c>
      <c r="S852" s="41"/>
      <c r="T852" s="40"/>
      <c r="U852" s="40">
        <v>7</v>
      </c>
      <c r="V852" s="119">
        <v>1</v>
      </c>
      <c r="W852" s="40">
        <v>100</v>
      </c>
      <c r="X852" s="119">
        <v>1</v>
      </c>
      <c r="Y852" s="40">
        <v>57</v>
      </c>
      <c r="Z852" s="119">
        <v>1</v>
      </c>
      <c r="AA852" s="368">
        <v>0</v>
      </c>
      <c r="AB852" s="535">
        <v>2</v>
      </c>
      <c r="AC852" s="39" t="s">
        <v>160</v>
      </c>
      <c r="AD852" s="75" t="s">
        <v>551</v>
      </c>
      <c r="AE852" s="95">
        <v>0</v>
      </c>
      <c r="AF852" s="75">
        <v>0</v>
      </c>
      <c r="AG852" s="75">
        <v>0</v>
      </c>
      <c r="AH852" s="75">
        <v>0</v>
      </c>
      <c r="AI852" s="75">
        <v>1</v>
      </c>
      <c r="AJ852" s="75">
        <v>0</v>
      </c>
      <c r="AK852" s="75">
        <v>0</v>
      </c>
      <c r="AL852" s="95">
        <v>0</v>
      </c>
      <c r="AM852" s="92">
        <v>0</v>
      </c>
      <c r="AN852" s="79" t="s">
        <v>80</v>
      </c>
      <c r="AO852" s="75">
        <v>1</v>
      </c>
      <c r="AP852" s="75" t="s">
        <v>83</v>
      </c>
      <c r="AQ852" s="122">
        <v>1</v>
      </c>
      <c r="AR852" s="515" t="s">
        <v>13</v>
      </c>
      <c r="AS852" s="95">
        <v>1</v>
      </c>
      <c r="AT852" s="75">
        <v>0</v>
      </c>
      <c r="AU852" s="75">
        <v>0</v>
      </c>
      <c r="AV852" s="75">
        <v>0</v>
      </c>
      <c r="AW852" s="123">
        <v>0</v>
      </c>
      <c r="AX852" s="516"/>
      <c r="AY852" s="75">
        <v>0</v>
      </c>
      <c r="AZ852" s="77" t="s">
        <v>131</v>
      </c>
      <c r="BA852" s="78" t="s">
        <v>131</v>
      </c>
      <c r="BB852" s="78" t="s">
        <v>131</v>
      </c>
      <c r="BC852" s="78" t="s">
        <v>131</v>
      </c>
      <c r="BD852" s="78" t="s">
        <v>132</v>
      </c>
      <c r="BE852" s="78" t="s">
        <v>131</v>
      </c>
      <c r="BF852" s="78" t="s">
        <v>131</v>
      </c>
      <c r="BG852" s="78" t="s">
        <v>131</v>
      </c>
      <c r="BH852" s="75" t="s">
        <v>5970</v>
      </c>
      <c r="BI852" s="295" t="s">
        <v>16</v>
      </c>
      <c r="BJ852" s="546">
        <v>1</v>
      </c>
      <c r="BK852" s="294">
        <v>1</v>
      </c>
      <c r="BL852" s="157">
        <v>1</v>
      </c>
      <c r="BM852" s="548" t="s">
        <v>1340</v>
      </c>
      <c r="BN852" s="548" t="s">
        <v>4158</v>
      </c>
      <c r="BO852" s="157" t="s">
        <v>4529</v>
      </c>
      <c r="BP852" s="548" t="s">
        <v>4530</v>
      </c>
      <c r="BQ852" s="157" t="s">
        <v>4447</v>
      </c>
      <c r="BR852" s="157"/>
    </row>
    <row r="853" spans="1:70" x14ac:dyDescent="0.25">
      <c r="A853" s="19" t="s">
        <v>3686</v>
      </c>
      <c r="B853" s="37" t="s">
        <v>3954</v>
      </c>
      <c r="C853" s="90">
        <v>45110.924178240741</v>
      </c>
      <c r="D853" s="114">
        <v>45110.674178240741</v>
      </c>
      <c r="E853" s="38">
        <v>45110</v>
      </c>
      <c r="F853" s="91">
        <v>2023</v>
      </c>
      <c r="G853" s="93">
        <v>7</v>
      </c>
      <c r="H853" s="37" t="s">
        <v>1353</v>
      </c>
      <c r="I853" s="37"/>
      <c r="J853" s="103">
        <v>-90.764961799999995</v>
      </c>
      <c r="K853" s="40">
        <v>43.575735999999999</v>
      </c>
      <c r="L853" s="74"/>
      <c r="M853" s="272" t="s">
        <v>3955</v>
      </c>
      <c r="N853" s="74">
        <v>1</v>
      </c>
      <c r="O853" s="94"/>
      <c r="P853" s="118">
        <v>0</v>
      </c>
      <c r="Q853" s="510"/>
      <c r="R853" s="513"/>
      <c r="S853" s="41"/>
      <c r="T853" s="40"/>
      <c r="U853" s="40"/>
      <c r="V853" s="119">
        <v>0</v>
      </c>
      <c r="W853" s="40"/>
      <c r="X853" s="119">
        <v>1</v>
      </c>
      <c r="Y853" s="40">
        <v>77</v>
      </c>
      <c r="Z853" s="119">
        <v>1</v>
      </c>
      <c r="AA853" s="368">
        <v>0</v>
      </c>
      <c r="AB853" s="535">
        <v>2</v>
      </c>
      <c r="AC853" s="39" t="s">
        <v>160</v>
      </c>
      <c r="AD853" s="75" t="s">
        <v>8</v>
      </c>
      <c r="AE853" s="95">
        <v>0</v>
      </c>
      <c r="AF853" s="75">
        <v>1</v>
      </c>
      <c r="AG853" s="75">
        <v>0</v>
      </c>
      <c r="AH853" s="75">
        <v>0</v>
      </c>
      <c r="AI853" s="75">
        <v>0</v>
      </c>
      <c r="AJ853" s="75">
        <v>0</v>
      </c>
      <c r="AK853" s="75">
        <v>0</v>
      </c>
      <c r="AL853" s="95">
        <v>0</v>
      </c>
      <c r="AM853" s="92">
        <v>0</v>
      </c>
      <c r="AN853" s="79" t="s">
        <v>80</v>
      </c>
      <c r="AO853" s="75">
        <v>1</v>
      </c>
      <c r="AP853" s="75" t="s">
        <v>83</v>
      </c>
      <c r="AQ853" s="122">
        <v>1</v>
      </c>
      <c r="AR853" s="515" t="s">
        <v>10</v>
      </c>
      <c r="AS853" s="95">
        <v>0</v>
      </c>
      <c r="AT853" s="75">
        <v>0</v>
      </c>
      <c r="AU853" s="75">
        <v>0</v>
      </c>
      <c r="AV853" s="75">
        <v>0</v>
      </c>
      <c r="AW853" s="123">
        <v>0</v>
      </c>
      <c r="AX853" s="516" t="s">
        <v>3956</v>
      </c>
      <c r="AY853" s="75">
        <v>1</v>
      </c>
      <c r="AZ853" s="77" t="s">
        <v>131</v>
      </c>
      <c r="BA853" s="78" t="s">
        <v>132</v>
      </c>
      <c r="BB853" s="78" t="s">
        <v>131</v>
      </c>
      <c r="BC853" s="78" t="s">
        <v>131</v>
      </c>
      <c r="BD853" s="78" t="s">
        <v>131</v>
      </c>
      <c r="BE853" s="78" t="s">
        <v>131</v>
      </c>
      <c r="BF853" s="78" t="s">
        <v>131</v>
      </c>
      <c r="BG853" s="78" t="s">
        <v>131</v>
      </c>
      <c r="BH853" s="75" t="s">
        <v>5970</v>
      </c>
      <c r="BI853" s="295" t="s">
        <v>2287</v>
      </c>
      <c r="BJ853" s="546">
        <v>1</v>
      </c>
      <c r="BK853" s="294">
        <v>1</v>
      </c>
      <c r="BL853" s="157">
        <v>1</v>
      </c>
      <c r="BM853" s="548" t="s">
        <v>1342</v>
      </c>
      <c r="BN853" s="548" t="s">
        <v>4158</v>
      </c>
      <c r="BO853" s="157" t="s">
        <v>4277</v>
      </c>
      <c r="BP853" s="548" t="s">
        <v>2287</v>
      </c>
      <c r="BQ853" s="157" t="s">
        <v>4272</v>
      </c>
      <c r="BR853" s="157"/>
    </row>
    <row r="854" spans="1:70" x14ac:dyDescent="0.25">
      <c r="A854" s="19" t="s">
        <v>3686</v>
      </c>
      <c r="B854" s="37" t="s">
        <v>2831</v>
      </c>
      <c r="C854" s="90">
        <v>45110.636388888888</v>
      </c>
      <c r="D854" s="114">
        <v>45110.386388888888</v>
      </c>
      <c r="E854" s="38">
        <v>45110</v>
      </c>
      <c r="F854" s="91">
        <v>2023</v>
      </c>
      <c r="G854" s="93">
        <v>7</v>
      </c>
      <c r="H854" s="37" t="s">
        <v>2654</v>
      </c>
      <c r="I854" s="37"/>
      <c r="J854" s="103">
        <v>-91.080899599999995</v>
      </c>
      <c r="K854" s="40">
        <v>44.227047399999996</v>
      </c>
      <c r="L854" s="74"/>
      <c r="M854" s="272" t="s">
        <v>2832</v>
      </c>
      <c r="N854" s="74">
        <v>1</v>
      </c>
      <c r="O854" s="94"/>
      <c r="P854" s="118">
        <v>1</v>
      </c>
      <c r="Q854" s="510">
        <v>40</v>
      </c>
      <c r="R854" s="513">
        <v>60</v>
      </c>
      <c r="S854" s="41"/>
      <c r="T854" s="40"/>
      <c r="U854" s="40">
        <v>7</v>
      </c>
      <c r="V854" s="119">
        <v>1</v>
      </c>
      <c r="W854" s="40">
        <v>200</v>
      </c>
      <c r="X854" s="119">
        <v>1</v>
      </c>
      <c r="Y854" s="40">
        <v>54</v>
      </c>
      <c r="Z854" s="119">
        <v>1</v>
      </c>
      <c r="AA854" s="368">
        <v>0</v>
      </c>
      <c r="AB854" s="535">
        <v>2</v>
      </c>
      <c r="AC854" s="39" t="s">
        <v>160</v>
      </c>
      <c r="AD854" s="75" t="s">
        <v>7</v>
      </c>
      <c r="AE854" s="95">
        <v>1</v>
      </c>
      <c r="AF854" s="75">
        <v>0</v>
      </c>
      <c r="AG854" s="75">
        <v>0</v>
      </c>
      <c r="AH854" s="75">
        <v>0</v>
      </c>
      <c r="AI854" s="75">
        <v>0</v>
      </c>
      <c r="AJ854" s="75">
        <v>0</v>
      </c>
      <c r="AK854" s="75">
        <v>0</v>
      </c>
      <c r="AL854" s="95">
        <v>0</v>
      </c>
      <c r="AM854" s="92">
        <v>0</v>
      </c>
      <c r="AN854" s="79" t="s">
        <v>80</v>
      </c>
      <c r="AO854" s="75">
        <v>1</v>
      </c>
      <c r="AP854" s="75" t="s">
        <v>83</v>
      </c>
      <c r="AQ854" s="122">
        <v>1</v>
      </c>
      <c r="AR854" s="515" t="s">
        <v>10</v>
      </c>
      <c r="AS854" s="95">
        <v>0</v>
      </c>
      <c r="AT854" s="75">
        <v>0</v>
      </c>
      <c r="AU854" s="75">
        <v>0</v>
      </c>
      <c r="AV854" s="75">
        <v>0</v>
      </c>
      <c r="AW854" s="123">
        <v>0</v>
      </c>
      <c r="AX854" s="516" t="s">
        <v>2833</v>
      </c>
      <c r="AY854" s="75">
        <v>1</v>
      </c>
      <c r="AZ854" s="77" t="s">
        <v>132</v>
      </c>
      <c r="BA854" s="78" t="s">
        <v>131</v>
      </c>
      <c r="BB854" s="78" t="s">
        <v>131</v>
      </c>
      <c r="BC854" s="78" t="s">
        <v>131</v>
      </c>
      <c r="BD854" s="78" t="s">
        <v>131</v>
      </c>
      <c r="BE854" s="78" t="s">
        <v>131</v>
      </c>
      <c r="BF854" s="78" t="s">
        <v>131</v>
      </c>
      <c r="BG854" s="78" t="s">
        <v>131</v>
      </c>
      <c r="BH854" s="75" t="s">
        <v>5970</v>
      </c>
      <c r="BI854" s="295" t="s">
        <v>4006</v>
      </c>
      <c r="BJ854" s="546">
        <v>1</v>
      </c>
      <c r="BK854" s="294">
        <v>1</v>
      </c>
      <c r="BL854" s="157">
        <v>1</v>
      </c>
      <c r="BM854" s="548" t="s">
        <v>1342</v>
      </c>
      <c r="BN854" s="548" t="s">
        <v>4158</v>
      </c>
      <c r="BO854" s="157" t="s">
        <v>4529</v>
      </c>
      <c r="BP854" s="548" t="s">
        <v>4530</v>
      </c>
      <c r="BQ854" s="157" t="s">
        <v>4447</v>
      </c>
      <c r="BR854" s="157"/>
    </row>
    <row r="855" spans="1:70" x14ac:dyDescent="0.25">
      <c r="A855" s="19" t="s">
        <v>3686</v>
      </c>
      <c r="B855" s="37" t="s">
        <v>2834</v>
      </c>
      <c r="C855" s="90">
        <v>45110.560289351852</v>
      </c>
      <c r="D855" s="114">
        <v>45110.310289351852</v>
      </c>
      <c r="E855" s="38">
        <v>45110</v>
      </c>
      <c r="F855" s="91">
        <v>2023</v>
      </c>
      <c r="G855" s="93">
        <v>7</v>
      </c>
      <c r="H855" s="37" t="s">
        <v>1416</v>
      </c>
      <c r="I855" s="37" t="s">
        <v>16</v>
      </c>
      <c r="J855" s="103">
        <v>-93.008985430040198</v>
      </c>
      <c r="K855" s="40">
        <v>44.657202186466449</v>
      </c>
      <c r="L855" s="74"/>
      <c r="M855" s="272" t="s">
        <v>2835</v>
      </c>
      <c r="N855" s="74">
        <v>1</v>
      </c>
      <c r="O855" s="94"/>
      <c r="P855" s="118">
        <v>1</v>
      </c>
      <c r="Q855" s="510">
        <v>0</v>
      </c>
      <c r="R855" s="513">
        <v>30</v>
      </c>
      <c r="S855" s="41"/>
      <c r="T855" s="40"/>
      <c r="U855" s="40">
        <v>8</v>
      </c>
      <c r="V855" s="119">
        <v>1</v>
      </c>
      <c r="W855" s="40">
        <v>100</v>
      </c>
      <c r="X855" s="119">
        <v>1</v>
      </c>
      <c r="Y855" s="40">
        <v>62</v>
      </c>
      <c r="Z855" s="119">
        <v>1</v>
      </c>
      <c r="AA855" s="368">
        <v>0</v>
      </c>
      <c r="AB855" s="535">
        <v>0</v>
      </c>
      <c r="AC855" s="39" t="s">
        <v>160</v>
      </c>
      <c r="AD855" s="75" t="s">
        <v>10</v>
      </c>
      <c r="AE855" s="95">
        <v>0</v>
      </c>
      <c r="AF855" s="75">
        <v>0</v>
      </c>
      <c r="AG855" s="75">
        <v>0</v>
      </c>
      <c r="AH855" s="75">
        <v>0</v>
      </c>
      <c r="AI855" s="75">
        <v>0</v>
      </c>
      <c r="AJ855" s="75">
        <v>0</v>
      </c>
      <c r="AK855" s="75">
        <v>0</v>
      </c>
      <c r="AL855" s="95">
        <v>1</v>
      </c>
      <c r="AM855" s="92">
        <v>0</v>
      </c>
      <c r="AN855" s="79"/>
      <c r="AO855" s="75">
        <v>0</v>
      </c>
      <c r="AP855" s="75" t="s">
        <v>83</v>
      </c>
      <c r="AQ855" s="122">
        <v>1</v>
      </c>
      <c r="AR855" s="515" t="s">
        <v>10</v>
      </c>
      <c r="AS855" s="95">
        <v>0</v>
      </c>
      <c r="AT855" s="75">
        <v>0</v>
      </c>
      <c r="AU855" s="75">
        <v>0</v>
      </c>
      <c r="AV855" s="75">
        <v>0</v>
      </c>
      <c r="AW855" s="123">
        <v>0</v>
      </c>
      <c r="AX855" s="516" t="s">
        <v>2836</v>
      </c>
      <c r="AY855" s="75">
        <v>1</v>
      </c>
      <c r="AZ855" s="77" t="s">
        <v>131</v>
      </c>
      <c r="BA855" s="78" t="s">
        <v>131</v>
      </c>
      <c r="BB855" s="78" t="s">
        <v>131</v>
      </c>
      <c r="BC855" s="78" t="s">
        <v>131</v>
      </c>
      <c r="BD855" s="78" t="s">
        <v>131</v>
      </c>
      <c r="BE855" s="78" t="s">
        <v>131</v>
      </c>
      <c r="BF855" s="78" t="s">
        <v>131</v>
      </c>
      <c r="BG855" s="78" t="s">
        <v>132</v>
      </c>
      <c r="BH855" s="75" t="s">
        <v>5970</v>
      </c>
      <c r="BI855" s="295" t="s">
        <v>2225</v>
      </c>
      <c r="BJ855" s="546">
        <v>1</v>
      </c>
      <c r="BK855" s="294" t="s">
        <v>16</v>
      </c>
      <c r="BL855" s="157" t="s">
        <v>16</v>
      </c>
      <c r="BM855" s="548" t="s">
        <v>2343</v>
      </c>
      <c r="BN855" s="548" t="s">
        <v>4161</v>
      </c>
      <c r="BO855" s="157" t="s">
        <v>4293</v>
      </c>
      <c r="BP855" s="548" t="s">
        <v>2225</v>
      </c>
      <c r="BQ855" s="157" t="s">
        <v>4292</v>
      </c>
      <c r="BR855" s="157"/>
    </row>
    <row r="856" spans="1:70" x14ac:dyDescent="0.25">
      <c r="A856" s="19" t="s">
        <v>3686</v>
      </c>
      <c r="B856" s="37" t="s">
        <v>2837</v>
      </c>
      <c r="C856" s="90">
        <v>45109.804502314815</v>
      </c>
      <c r="D856" s="114">
        <v>45109.554502314815</v>
      </c>
      <c r="E856" s="38">
        <v>45109</v>
      </c>
      <c r="F856" s="91">
        <v>2023</v>
      </c>
      <c r="G856" s="93">
        <v>7</v>
      </c>
      <c r="H856" s="37" t="s">
        <v>1401</v>
      </c>
      <c r="I856" s="37" t="s">
        <v>1402</v>
      </c>
      <c r="J856" s="103">
        <v>-92.725457199999994</v>
      </c>
      <c r="K856" s="40">
        <v>44.547154399999997</v>
      </c>
      <c r="L856" s="74"/>
      <c r="M856" s="272" t="s">
        <v>16</v>
      </c>
      <c r="N856" s="74">
        <v>0</v>
      </c>
      <c r="O856" s="94"/>
      <c r="P856" s="118">
        <v>1</v>
      </c>
      <c r="Q856" s="510">
        <v>0</v>
      </c>
      <c r="R856" s="513">
        <v>30</v>
      </c>
      <c r="S856" s="41"/>
      <c r="T856" s="40"/>
      <c r="U856" s="40">
        <v>7</v>
      </c>
      <c r="V856" s="119">
        <v>1</v>
      </c>
      <c r="W856" s="40">
        <v>0</v>
      </c>
      <c r="X856" s="119">
        <v>1</v>
      </c>
      <c r="Y856" s="40">
        <v>68</v>
      </c>
      <c r="Z856" s="119">
        <v>1</v>
      </c>
      <c r="AA856" s="368">
        <v>0</v>
      </c>
      <c r="AB856" s="535">
        <v>0</v>
      </c>
      <c r="AC856" s="39" t="s">
        <v>160</v>
      </c>
      <c r="AD856" s="75" t="s">
        <v>10</v>
      </c>
      <c r="AE856" s="95">
        <v>0</v>
      </c>
      <c r="AF856" s="75">
        <v>0</v>
      </c>
      <c r="AG856" s="75">
        <v>0</v>
      </c>
      <c r="AH856" s="75">
        <v>0</v>
      </c>
      <c r="AI856" s="75">
        <v>0</v>
      </c>
      <c r="AJ856" s="75">
        <v>0</v>
      </c>
      <c r="AK856" s="75">
        <v>0</v>
      </c>
      <c r="AL856" s="95">
        <v>1</v>
      </c>
      <c r="AM856" s="92">
        <v>0</v>
      </c>
      <c r="AN856" s="79" t="s">
        <v>80</v>
      </c>
      <c r="AO856" s="75">
        <v>1</v>
      </c>
      <c r="AP856" s="75" t="s">
        <v>83</v>
      </c>
      <c r="AQ856" s="122">
        <v>1</v>
      </c>
      <c r="AR856" s="515" t="s">
        <v>10</v>
      </c>
      <c r="AS856" s="95">
        <v>0</v>
      </c>
      <c r="AT856" s="75">
        <v>0</v>
      </c>
      <c r="AU856" s="75">
        <v>0</v>
      </c>
      <c r="AV856" s="75">
        <v>0</v>
      </c>
      <c r="AW856" s="123">
        <v>0</v>
      </c>
      <c r="AX856" s="516"/>
      <c r="AY856" s="75">
        <v>0</v>
      </c>
      <c r="AZ856" s="77" t="s">
        <v>131</v>
      </c>
      <c r="BA856" s="78" t="s">
        <v>131</v>
      </c>
      <c r="BB856" s="78" t="s">
        <v>131</v>
      </c>
      <c r="BC856" s="78" t="s">
        <v>131</v>
      </c>
      <c r="BD856" s="78" t="s">
        <v>131</v>
      </c>
      <c r="BE856" s="78" t="s">
        <v>131</v>
      </c>
      <c r="BF856" s="78" t="s">
        <v>131</v>
      </c>
      <c r="BG856" s="78" t="s">
        <v>132</v>
      </c>
      <c r="BH856" s="75" t="s">
        <v>5970</v>
      </c>
      <c r="BI856" s="295" t="s">
        <v>1402</v>
      </c>
      <c r="BJ856" s="546" t="s">
        <v>16</v>
      </c>
      <c r="BK856" s="294" t="s">
        <v>16</v>
      </c>
      <c r="BL856" s="157" t="s">
        <v>16</v>
      </c>
      <c r="BM856" s="548" t="s">
        <v>2343</v>
      </c>
      <c r="BN856" s="548" t="s">
        <v>4161</v>
      </c>
      <c r="BO856" s="157" t="s">
        <v>4290</v>
      </c>
      <c r="BP856" s="548" t="s">
        <v>4291</v>
      </c>
      <c r="BQ856" s="157" t="s">
        <v>4289</v>
      </c>
      <c r="BR856" s="157"/>
    </row>
    <row r="857" spans="1:70" x14ac:dyDescent="0.25">
      <c r="A857" s="19" t="s">
        <v>3686</v>
      </c>
      <c r="B857" s="37" t="s">
        <v>2838</v>
      </c>
      <c r="C857" s="90">
        <v>45109.73878472222</v>
      </c>
      <c r="D857" s="114">
        <v>45109.48878472222</v>
      </c>
      <c r="E857" s="38">
        <v>45109</v>
      </c>
      <c r="F857" s="91">
        <v>2023</v>
      </c>
      <c r="G857" s="93">
        <v>7</v>
      </c>
      <c r="H857" s="37" t="s">
        <v>2797</v>
      </c>
      <c r="I857" s="37"/>
      <c r="J857" s="103">
        <v>-92.174781878332382</v>
      </c>
      <c r="K857" s="40">
        <v>44.115011160709237</v>
      </c>
      <c r="L857" s="74"/>
      <c r="M857" s="272" t="s">
        <v>16</v>
      </c>
      <c r="N857" s="74">
        <v>0</v>
      </c>
      <c r="O857" s="94"/>
      <c r="P857" s="118">
        <v>0</v>
      </c>
      <c r="Q857" s="510"/>
      <c r="R857" s="513"/>
      <c r="S857" s="41"/>
      <c r="T857" s="40"/>
      <c r="U857" s="40"/>
      <c r="V857" s="119">
        <v>0</v>
      </c>
      <c r="W857" s="40"/>
      <c r="X857" s="119">
        <v>1</v>
      </c>
      <c r="Y857" s="40">
        <v>62</v>
      </c>
      <c r="Z857" s="119">
        <v>0</v>
      </c>
      <c r="AA857" s="368" t="s">
        <v>16</v>
      </c>
      <c r="AB857" s="535" t="s">
        <v>16</v>
      </c>
      <c r="AC857" s="39" t="s">
        <v>160</v>
      </c>
      <c r="AD857" s="75" t="s">
        <v>427</v>
      </c>
      <c r="AE857" s="95">
        <v>0</v>
      </c>
      <c r="AF857" s="75">
        <v>0</v>
      </c>
      <c r="AG857" s="75">
        <v>0</v>
      </c>
      <c r="AH857" s="75">
        <v>0</v>
      </c>
      <c r="AI857" s="75">
        <v>0</v>
      </c>
      <c r="AJ857" s="75">
        <v>1</v>
      </c>
      <c r="AK857" s="75">
        <v>0</v>
      </c>
      <c r="AL857" s="95">
        <v>0</v>
      </c>
      <c r="AM857" s="92">
        <v>0</v>
      </c>
      <c r="AN857" s="79" t="s">
        <v>81</v>
      </c>
      <c r="AO857" s="75">
        <v>1</v>
      </c>
      <c r="AP857" s="75" t="s">
        <v>84</v>
      </c>
      <c r="AQ857" s="122">
        <v>1</v>
      </c>
      <c r="AR857" s="515" t="s">
        <v>10</v>
      </c>
      <c r="AS857" s="95">
        <v>0</v>
      </c>
      <c r="AT857" s="75">
        <v>0</v>
      </c>
      <c r="AU857" s="75">
        <v>0</v>
      </c>
      <c r="AV857" s="75">
        <v>0</v>
      </c>
      <c r="AW857" s="123">
        <v>0</v>
      </c>
      <c r="AX857" s="516" t="s">
        <v>2839</v>
      </c>
      <c r="AY857" s="75">
        <v>1</v>
      </c>
      <c r="AZ857" s="77" t="s">
        <v>131</v>
      </c>
      <c r="BA857" s="78" t="s">
        <v>131</v>
      </c>
      <c r="BB857" s="78" t="s">
        <v>131</v>
      </c>
      <c r="BC857" s="78" t="s">
        <v>131</v>
      </c>
      <c r="BD857" s="78" t="s">
        <v>131</v>
      </c>
      <c r="BE857" s="78" t="s">
        <v>132</v>
      </c>
      <c r="BF857" s="78" t="s">
        <v>131</v>
      </c>
      <c r="BG857" s="78" t="s">
        <v>131</v>
      </c>
      <c r="BH857" s="75" t="s">
        <v>5970</v>
      </c>
      <c r="BI857" s="295" t="s">
        <v>3964</v>
      </c>
      <c r="BJ857" s="546">
        <v>1</v>
      </c>
      <c r="BK857" s="294" t="s">
        <v>16</v>
      </c>
      <c r="BL857" s="157" t="s">
        <v>16</v>
      </c>
      <c r="BM857" s="548" t="s">
        <v>1339</v>
      </c>
      <c r="BN857" s="548" t="s">
        <v>4161</v>
      </c>
      <c r="BO857" s="157" t="s">
        <v>4532</v>
      </c>
      <c r="BP857" s="548" t="s">
        <v>4533</v>
      </c>
      <c r="BQ857" s="157" t="s">
        <v>4361</v>
      </c>
      <c r="BR857" s="157"/>
    </row>
    <row r="858" spans="1:70" x14ac:dyDescent="0.25">
      <c r="A858" s="19" t="s">
        <v>3686</v>
      </c>
      <c r="B858" s="37" t="s">
        <v>2840</v>
      </c>
      <c r="C858" s="90">
        <v>45106.864872685182</v>
      </c>
      <c r="D858" s="114">
        <v>45106.614872685182</v>
      </c>
      <c r="E858" s="38">
        <v>45106</v>
      </c>
      <c r="F858" s="91">
        <v>2023</v>
      </c>
      <c r="G858" s="93">
        <v>6</v>
      </c>
      <c r="H858" s="37" t="s">
        <v>2654</v>
      </c>
      <c r="I858" s="37"/>
      <c r="J858" s="103">
        <v>-90.996969399999998</v>
      </c>
      <c r="K858" s="40">
        <v>44.403948800000002</v>
      </c>
      <c r="L858" s="74"/>
      <c r="M858" s="272" t="s">
        <v>2841</v>
      </c>
      <c r="N858" s="74">
        <v>1</v>
      </c>
      <c r="O858" s="94"/>
      <c r="P858" s="118">
        <v>1</v>
      </c>
      <c r="Q858" s="510">
        <v>0</v>
      </c>
      <c r="R858" s="513">
        <v>60</v>
      </c>
      <c r="S858" s="41"/>
      <c r="T858" s="40"/>
      <c r="U858" s="40">
        <v>6.5</v>
      </c>
      <c r="V858" s="119">
        <v>0</v>
      </c>
      <c r="W858" s="40"/>
      <c r="X858" s="119">
        <v>0</v>
      </c>
      <c r="Y858" s="40"/>
      <c r="Z858" s="119">
        <v>1</v>
      </c>
      <c r="AA858" s="368">
        <v>0</v>
      </c>
      <c r="AB858" s="535">
        <v>5</v>
      </c>
      <c r="AC858" s="39" t="s">
        <v>160</v>
      </c>
      <c r="AD858" s="75" t="s">
        <v>10</v>
      </c>
      <c r="AE858" s="95">
        <v>0</v>
      </c>
      <c r="AF858" s="75">
        <v>0</v>
      </c>
      <c r="AG858" s="75">
        <v>0</v>
      </c>
      <c r="AH858" s="75">
        <v>0</v>
      </c>
      <c r="AI858" s="75">
        <v>0</v>
      </c>
      <c r="AJ858" s="75">
        <v>0</v>
      </c>
      <c r="AK858" s="75">
        <v>0</v>
      </c>
      <c r="AL858" s="95">
        <v>1</v>
      </c>
      <c r="AM858" s="92">
        <v>0</v>
      </c>
      <c r="AN858" s="79" t="s">
        <v>80</v>
      </c>
      <c r="AO858" s="75">
        <v>1</v>
      </c>
      <c r="AP858" s="75" t="s">
        <v>84</v>
      </c>
      <c r="AQ858" s="122">
        <v>1</v>
      </c>
      <c r="AR858" s="515" t="s">
        <v>10</v>
      </c>
      <c r="AS858" s="95">
        <v>0</v>
      </c>
      <c r="AT858" s="75">
        <v>0</v>
      </c>
      <c r="AU858" s="75">
        <v>0</v>
      </c>
      <c r="AV858" s="75">
        <v>0</v>
      </c>
      <c r="AW858" s="123">
        <v>0</v>
      </c>
      <c r="AX858" s="516"/>
      <c r="AY858" s="75">
        <v>0</v>
      </c>
      <c r="AZ858" s="77" t="s">
        <v>131</v>
      </c>
      <c r="BA858" s="78" t="s">
        <v>131</v>
      </c>
      <c r="BB858" s="78" t="s">
        <v>131</v>
      </c>
      <c r="BC858" s="78" t="s">
        <v>131</v>
      </c>
      <c r="BD858" s="78" t="s">
        <v>131</v>
      </c>
      <c r="BE858" s="78" t="s">
        <v>131</v>
      </c>
      <c r="BF858" s="78" t="s">
        <v>131</v>
      </c>
      <c r="BG858" s="78" t="s">
        <v>132</v>
      </c>
      <c r="BH858" s="75" t="s">
        <v>5970</v>
      </c>
      <c r="BI858" s="295" t="s">
        <v>3978</v>
      </c>
      <c r="BJ858" s="546">
        <v>1</v>
      </c>
      <c r="BK858" s="294">
        <v>1</v>
      </c>
      <c r="BL858" s="157">
        <v>1</v>
      </c>
      <c r="BM858" s="548" t="s">
        <v>1340</v>
      </c>
      <c r="BN858" s="548" t="s">
        <v>4158</v>
      </c>
      <c r="BO858" s="157" t="s">
        <v>4513</v>
      </c>
      <c r="BP858" s="548" t="s">
        <v>4514</v>
      </c>
      <c r="BQ858" s="157" t="s">
        <v>4460</v>
      </c>
      <c r="BR858" s="157"/>
    </row>
    <row r="859" spans="1:70" x14ac:dyDescent="0.25">
      <c r="A859" s="19" t="s">
        <v>3686</v>
      </c>
      <c r="B859" s="37" t="s">
        <v>2842</v>
      </c>
      <c r="C859" s="90">
        <v>45106.815069444441</v>
      </c>
      <c r="D859" s="114">
        <v>45106.565069444441</v>
      </c>
      <c r="E859" s="38">
        <v>45106</v>
      </c>
      <c r="F859" s="91">
        <v>2023</v>
      </c>
      <c r="G859" s="93">
        <v>6</v>
      </c>
      <c r="H859" s="37" t="s">
        <v>2654</v>
      </c>
      <c r="I859" s="37"/>
      <c r="J859" s="103">
        <v>-91.000708700000004</v>
      </c>
      <c r="K859" s="40">
        <v>44.436854400000001</v>
      </c>
      <c r="L859" s="74"/>
      <c r="M859" s="272" t="s">
        <v>2843</v>
      </c>
      <c r="N859" s="74">
        <v>1</v>
      </c>
      <c r="O859" s="94"/>
      <c r="P859" s="118">
        <v>1</v>
      </c>
      <c r="Q859" s="510">
        <v>40</v>
      </c>
      <c r="R859" s="513">
        <v>60</v>
      </c>
      <c r="S859" s="41"/>
      <c r="T859" s="40"/>
      <c r="U859" s="40">
        <v>6</v>
      </c>
      <c r="V859" s="119">
        <v>1</v>
      </c>
      <c r="W859" s="40">
        <v>100</v>
      </c>
      <c r="X859" s="119">
        <v>1</v>
      </c>
      <c r="Y859" s="40">
        <v>66</v>
      </c>
      <c r="Z859" s="119">
        <v>1</v>
      </c>
      <c r="AA859" s="368">
        <v>0</v>
      </c>
      <c r="AB859" s="535">
        <v>2</v>
      </c>
      <c r="AC859" s="39" t="s">
        <v>160</v>
      </c>
      <c r="AD859" s="75" t="s">
        <v>10</v>
      </c>
      <c r="AE859" s="95">
        <v>0</v>
      </c>
      <c r="AF859" s="75">
        <v>0</v>
      </c>
      <c r="AG859" s="75">
        <v>0</v>
      </c>
      <c r="AH859" s="75">
        <v>0</v>
      </c>
      <c r="AI859" s="75">
        <v>0</v>
      </c>
      <c r="AJ859" s="75">
        <v>0</v>
      </c>
      <c r="AK859" s="75">
        <v>0</v>
      </c>
      <c r="AL859" s="95">
        <v>1</v>
      </c>
      <c r="AM859" s="92">
        <v>0</v>
      </c>
      <c r="AN859" s="79" t="s">
        <v>80</v>
      </c>
      <c r="AO859" s="75">
        <v>1</v>
      </c>
      <c r="AP859" s="75" t="s">
        <v>83</v>
      </c>
      <c r="AQ859" s="122">
        <v>1</v>
      </c>
      <c r="AR859" s="515" t="s">
        <v>10</v>
      </c>
      <c r="AS859" s="95">
        <v>0</v>
      </c>
      <c r="AT859" s="75">
        <v>0</v>
      </c>
      <c r="AU859" s="75">
        <v>0</v>
      </c>
      <c r="AV859" s="75">
        <v>0</v>
      </c>
      <c r="AW859" s="123">
        <v>0</v>
      </c>
      <c r="AX859" s="516"/>
      <c r="AY859" s="75">
        <v>0</v>
      </c>
      <c r="AZ859" s="77" t="s">
        <v>131</v>
      </c>
      <c r="BA859" s="78" t="s">
        <v>131</v>
      </c>
      <c r="BB859" s="78" t="s">
        <v>131</v>
      </c>
      <c r="BC859" s="78" t="s">
        <v>131</v>
      </c>
      <c r="BD859" s="78" t="s">
        <v>131</v>
      </c>
      <c r="BE859" s="78" t="s">
        <v>131</v>
      </c>
      <c r="BF859" s="78" t="s">
        <v>131</v>
      </c>
      <c r="BG859" s="78" t="s">
        <v>132</v>
      </c>
      <c r="BH859" s="75" t="s">
        <v>5970</v>
      </c>
      <c r="BI859" s="295" t="s">
        <v>3978</v>
      </c>
      <c r="BJ859" s="546">
        <v>1</v>
      </c>
      <c r="BK859" s="294">
        <v>1</v>
      </c>
      <c r="BL859" s="157">
        <v>1</v>
      </c>
      <c r="BM859" s="548" t="s">
        <v>1340</v>
      </c>
      <c r="BN859" s="548" t="s">
        <v>4158</v>
      </c>
      <c r="BO859" s="157" t="s">
        <v>4513</v>
      </c>
      <c r="BP859" s="548" t="s">
        <v>4514</v>
      </c>
      <c r="BQ859" s="157" t="s">
        <v>4460</v>
      </c>
      <c r="BR859" s="157"/>
    </row>
    <row r="860" spans="1:70" x14ac:dyDescent="0.25">
      <c r="A860" s="19" t="s">
        <v>3686</v>
      </c>
      <c r="B860" s="37" t="s">
        <v>2844</v>
      </c>
      <c r="C860" s="90">
        <v>45106.730636574073</v>
      </c>
      <c r="D860" s="114">
        <v>45106.480636574073</v>
      </c>
      <c r="E860" s="38">
        <v>45106</v>
      </c>
      <c r="F860" s="91">
        <v>2023</v>
      </c>
      <c r="G860" s="93">
        <v>6</v>
      </c>
      <c r="H860" s="37" t="s">
        <v>2400</v>
      </c>
      <c r="I860" s="37"/>
      <c r="J860" s="103">
        <v>-91.002170000000007</v>
      </c>
      <c r="K860" s="40">
        <v>43.154008400000002</v>
      </c>
      <c r="L860" s="74"/>
      <c r="M860" s="272" t="s">
        <v>16</v>
      </c>
      <c r="N860" s="74">
        <v>0</v>
      </c>
      <c r="O860" s="94"/>
      <c r="P860" s="118">
        <v>1</v>
      </c>
      <c r="Q860" s="510">
        <v>80</v>
      </c>
      <c r="R860" s="513">
        <v>60</v>
      </c>
      <c r="S860" s="41"/>
      <c r="T860" s="40"/>
      <c r="U860" s="40">
        <v>7.5</v>
      </c>
      <c r="V860" s="119">
        <v>1</v>
      </c>
      <c r="W860" s="40">
        <v>100</v>
      </c>
      <c r="X860" s="119">
        <v>1</v>
      </c>
      <c r="Y860" s="40">
        <v>70</v>
      </c>
      <c r="Z860" s="119">
        <v>1</v>
      </c>
      <c r="AA860" s="368">
        <v>0</v>
      </c>
      <c r="AB860" s="535">
        <v>5</v>
      </c>
      <c r="AC860" s="39" t="s">
        <v>160</v>
      </c>
      <c r="AD860" s="75" t="s">
        <v>16</v>
      </c>
      <c r="AE860" s="95">
        <v>-1</v>
      </c>
      <c r="AF860" s="75">
        <v>-1</v>
      </c>
      <c r="AG860" s="75">
        <v>-1</v>
      </c>
      <c r="AH860" s="75">
        <v>-1</v>
      </c>
      <c r="AI860" s="75">
        <v>-1</v>
      </c>
      <c r="AJ860" s="75">
        <v>-1</v>
      </c>
      <c r="AK860" s="75">
        <v>-1</v>
      </c>
      <c r="AL860" s="95">
        <v>-1</v>
      </c>
      <c r="AM860" s="92">
        <v>1</v>
      </c>
      <c r="AN860" s="79" t="s">
        <v>80</v>
      </c>
      <c r="AO860" s="75">
        <v>1</v>
      </c>
      <c r="AP860" s="75" t="s">
        <v>83</v>
      </c>
      <c r="AQ860" s="122">
        <v>1</v>
      </c>
      <c r="AR860" s="515" t="s">
        <v>10</v>
      </c>
      <c r="AS860" s="95">
        <v>0</v>
      </c>
      <c r="AT860" s="75">
        <v>0</v>
      </c>
      <c r="AU860" s="75">
        <v>0</v>
      </c>
      <c r="AV860" s="75">
        <v>0</v>
      </c>
      <c r="AW860" s="123">
        <v>0</v>
      </c>
      <c r="AX860" s="516"/>
      <c r="AY860" s="75">
        <v>0</v>
      </c>
      <c r="AZ860" s="77" t="s">
        <v>5971</v>
      </c>
      <c r="BA860" s="78" t="s">
        <v>5971</v>
      </c>
      <c r="BB860" s="78" t="s">
        <v>5971</v>
      </c>
      <c r="BC860" s="78" t="s">
        <v>5971</v>
      </c>
      <c r="BD860" s="78" t="s">
        <v>5971</v>
      </c>
      <c r="BE860" s="78" t="s">
        <v>5971</v>
      </c>
      <c r="BF860" s="78" t="s">
        <v>5971</v>
      </c>
      <c r="BG860" s="78" t="s">
        <v>5971</v>
      </c>
      <c r="BH860" s="75" t="s">
        <v>5971</v>
      </c>
      <c r="BI860" s="295" t="s">
        <v>16</v>
      </c>
      <c r="BJ860" s="546" t="s">
        <v>16</v>
      </c>
      <c r="BK860" s="294" t="s">
        <v>16</v>
      </c>
      <c r="BL860" s="157" t="s">
        <v>16</v>
      </c>
      <c r="BM860" s="548" t="s">
        <v>1342</v>
      </c>
      <c r="BN860" s="548" t="s">
        <v>4158</v>
      </c>
      <c r="BO860" s="157" t="s">
        <v>4534</v>
      </c>
      <c r="BP860" s="548" t="s">
        <v>2248</v>
      </c>
      <c r="BQ860" s="157" t="s">
        <v>4305</v>
      </c>
      <c r="BR860" s="157"/>
    </row>
    <row r="861" spans="1:70" x14ac:dyDescent="0.25">
      <c r="A861" s="19" t="s">
        <v>3686</v>
      </c>
      <c r="B861" s="37" t="s">
        <v>2845</v>
      </c>
      <c r="C861" s="90">
        <v>45106.589722222219</v>
      </c>
      <c r="D861" s="114">
        <v>45106.339722222219</v>
      </c>
      <c r="E861" s="38">
        <v>45106</v>
      </c>
      <c r="F861" s="91">
        <v>2023</v>
      </c>
      <c r="G861" s="93">
        <v>6</v>
      </c>
      <c r="H861" s="37" t="s">
        <v>2400</v>
      </c>
      <c r="I861" s="37"/>
      <c r="J861" s="103">
        <v>-90.943098500000005</v>
      </c>
      <c r="K861" s="40">
        <v>43.089426500000002</v>
      </c>
      <c r="L861" s="74"/>
      <c r="M861" s="272" t="s">
        <v>16</v>
      </c>
      <c r="N861" s="74">
        <v>0</v>
      </c>
      <c r="O861" s="94"/>
      <c r="P861" s="118">
        <v>1</v>
      </c>
      <c r="Q861" s="510">
        <v>180</v>
      </c>
      <c r="R861" s="513">
        <v>180</v>
      </c>
      <c r="S861" s="41"/>
      <c r="T861" s="40"/>
      <c r="U861" s="40">
        <v>7.5</v>
      </c>
      <c r="V861" s="119">
        <v>1</v>
      </c>
      <c r="W861" s="40">
        <v>0</v>
      </c>
      <c r="X861" s="119">
        <v>1</v>
      </c>
      <c r="Y861" s="40">
        <v>52</v>
      </c>
      <c r="Z861" s="119">
        <v>1</v>
      </c>
      <c r="AA861" s="368">
        <v>0</v>
      </c>
      <c r="AB861" s="535">
        <v>2</v>
      </c>
      <c r="AC861" s="39" t="s">
        <v>186</v>
      </c>
      <c r="AD861" s="75" t="s">
        <v>10</v>
      </c>
      <c r="AE861" s="95">
        <v>0</v>
      </c>
      <c r="AF861" s="75">
        <v>0</v>
      </c>
      <c r="AG861" s="75">
        <v>0</v>
      </c>
      <c r="AH861" s="75">
        <v>0</v>
      </c>
      <c r="AI861" s="75">
        <v>0</v>
      </c>
      <c r="AJ861" s="75">
        <v>0</v>
      </c>
      <c r="AK861" s="75">
        <v>0</v>
      </c>
      <c r="AL861" s="95">
        <v>1</v>
      </c>
      <c r="AM861" s="92">
        <v>0</v>
      </c>
      <c r="AN861" s="79" t="s">
        <v>80</v>
      </c>
      <c r="AO861" s="75">
        <v>1</v>
      </c>
      <c r="AP861" s="75" t="s">
        <v>83</v>
      </c>
      <c r="AQ861" s="122">
        <v>1</v>
      </c>
      <c r="AR861" s="515" t="s">
        <v>10</v>
      </c>
      <c r="AS861" s="95">
        <v>0</v>
      </c>
      <c r="AT861" s="75">
        <v>0</v>
      </c>
      <c r="AU861" s="75">
        <v>0</v>
      </c>
      <c r="AV861" s="75">
        <v>0</v>
      </c>
      <c r="AW861" s="123">
        <v>0</v>
      </c>
      <c r="AX861" s="516"/>
      <c r="AY861" s="75">
        <v>0</v>
      </c>
      <c r="AZ861" s="77" t="s">
        <v>131</v>
      </c>
      <c r="BA861" s="78" t="s">
        <v>131</v>
      </c>
      <c r="BB861" s="78" t="s">
        <v>131</v>
      </c>
      <c r="BC861" s="78" t="s">
        <v>131</v>
      </c>
      <c r="BD861" s="78" t="s">
        <v>131</v>
      </c>
      <c r="BE861" s="78" t="s">
        <v>131</v>
      </c>
      <c r="BF861" s="78" t="s">
        <v>131</v>
      </c>
      <c r="BG861" s="78" t="s">
        <v>132</v>
      </c>
      <c r="BH861" s="75" t="s">
        <v>5970</v>
      </c>
      <c r="BI861" s="295" t="s">
        <v>4104</v>
      </c>
      <c r="BJ861" s="546">
        <v>1</v>
      </c>
      <c r="BK861" s="294">
        <v>1</v>
      </c>
      <c r="BL861" s="157">
        <v>1</v>
      </c>
      <c r="BM861" s="548" t="s">
        <v>1342</v>
      </c>
      <c r="BN861" s="548" t="s">
        <v>4158</v>
      </c>
      <c r="BO861" s="157" t="s">
        <v>4535</v>
      </c>
      <c r="BP861" s="548" t="s">
        <v>4536</v>
      </c>
      <c r="BQ861" s="157" t="s">
        <v>4432</v>
      </c>
      <c r="BR861" s="157"/>
    </row>
    <row r="862" spans="1:70" x14ac:dyDescent="0.25">
      <c r="A862" s="19" t="s">
        <v>3686</v>
      </c>
      <c r="B862" s="37" t="s">
        <v>2846</v>
      </c>
      <c r="C862" s="90">
        <v>45105.894745370373</v>
      </c>
      <c r="D862" s="114">
        <v>45105.644745370373</v>
      </c>
      <c r="E862" s="38">
        <v>45105</v>
      </c>
      <c r="F862" s="91">
        <v>2023</v>
      </c>
      <c r="G862" s="93">
        <v>6</v>
      </c>
      <c r="H862" s="37" t="s">
        <v>617</v>
      </c>
      <c r="I862" s="37" t="s">
        <v>2362</v>
      </c>
      <c r="J862" s="103">
        <v>-92.283398357974846</v>
      </c>
      <c r="K862" s="40">
        <v>44.544192463525917</v>
      </c>
      <c r="L862" s="74"/>
      <c r="M862" s="272" t="s">
        <v>16</v>
      </c>
      <c r="N862" s="74">
        <v>0</v>
      </c>
      <c r="O862" s="94"/>
      <c r="P862" s="118">
        <v>1</v>
      </c>
      <c r="Q862" s="510">
        <v>180</v>
      </c>
      <c r="R862" s="513">
        <v>120</v>
      </c>
      <c r="S862" s="41"/>
      <c r="T862" s="40"/>
      <c r="U862" s="40">
        <v>8</v>
      </c>
      <c r="V862" s="119">
        <v>1</v>
      </c>
      <c r="W862" s="40">
        <v>0</v>
      </c>
      <c r="X862" s="119">
        <v>1</v>
      </c>
      <c r="Y862" s="40">
        <v>55</v>
      </c>
      <c r="Z862" s="119">
        <v>1</v>
      </c>
      <c r="AA862" s="368">
        <v>0</v>
      </c>
      <c r="AB862" s="535">
        <v>2</v>
      </c>
      <c r="AC862" s="39" t="s">
        <v>160</v>
      </c>
      <c r="AD862" s="75" t="s">
        <v>2847</v>
      </c>
      <c r="AE862" s="95">
        <v>0</v>
      </c>
      <c r="AF862" s="75">
        <v>0</v>
      </c>
      <c r="AG862" s="75">
        <v>0</v>
      </c>
      <c r="AH862" s="75">
        <v>0</v>
      </c>
      <c r="AI862" s="75">
        <v>0</v>
      </c>
      <c r="AJ862" s="75">
        <v>0</v>
      </c>
      <c r="AK862" s="75">
        <v>1</v>
      </c>
      <c r="AL862" s="95">
        <v>1</v>
      </c>
      <c r="AM862" s="92">
        <v>0</v>
      </c>
      <c r="AN862" s="79" t="s">
        <v>80</v>
      </c>
      <c r="AO862" s="75">
        <v>1</v>
      </c>
      <c r="AP862" s="75" t="s">
        <v>83</v>
      </c>
      <c r="AQ862" s="122">
        <v>1</v>
      </c>
      <c r="AR862" s="515" t="s">
        <v>10</v>
      </c>
      <c r="AS862" s="95">
        <v>0</v>
      </c>
      <c r="AT862" s="75">
        <v>0</v>
      </c>
      <c r="AU862" s="75">
        <v>0</v>
      </c>
      <c r="AV862" s="75">
        <v>0</v>
      </c>
      <c r="AW862" s="123">
        <v>0</v>
      </c>
      <c r="AX862" s="516"/>
      <c r="AY862" s="75">
        <v>0</v>
      </c>
      <c r="AZ862" s="77" t="s">
        <v>131</v>
      </c>
      <c r="BA862" s="78" t="s">
        <v>131</v>
      </c>
      <c r="BB862" s="78" t="s">
        <v>131</v>
      </c>
      <c r="BC862" s="78" t="s">
        <v>131</v>
      </c>
      <c r="BD862" s="78" t="s">
        <v>131</v>
      </c>
      <c r="BE862" s="78" t="s">
        <v>131</v>
      </c>
      <c r="BF862" s="78" t="s">
        <v>132</v>
      </c>
      <c r="BG862" s="78" t="s">
        <v>132</v>
      </c>
      <c r="BH862" s="75" t="s">
        <v>5970</v>
      </c>
      <c r="BI862" s="295" t="s">
        <v>5931</v>
      </c>
      <c r="BJ862" s="546">
        <v>1</v>
      </c>
      <c r="BK862" s="294">
        <v>1</v>
      </c>
      <c r="BL862" s="157">
        <v>1</v>
      </c>
      <c r="BM862" s="548" t="s">
        <v>1340</v>
      </c>
      <c r="BN862" s="548" t="s">
        <v>578</v>
      </c>
      <c r="BO862" s="157" t="s">
        <v>4268</v>
      </c>
      <c r="BP862" s="548" t="s">
        <v>2261</v>
      </c>
      <c r="BQ862" s="157" t="s">
        <v>4214</v>
      </c>
      <c r="BR862" s="157"/>
    </row>
    <row r="863" spans="1:70" x14ac:dyDescent="0.25">
      <c r="A863" s="19" t="s">
        <v>3686</v>
      </c>
      <c r="B863" s="37" t="s">
        <v>2848</v>
      </c>
      <c r="C863" s="90">
        <v>45105.87232638889</v>
      </c>
      <c r="D863" s="114">
        <v>45105.62232638889</v>
      </c>
      <c r="E863" s="38">
        <v>45105</v>
      </c>
      <c r="F863" s="91">
        <v>2023</v>
      </c>
      <c r="G863" s="93">
        <v>6</v>
      </c>
      <c r="H863" s="37" t="s">
        <v>2654</v>
      </c>
      <c r="I863" s="37"/>
      <c r="J863" s="103">
        <v>-90.829381999999995</v>
      </c>
      <c r="K863" s="40">
        <v>44.329018599999998</v>
      </c>
      <c r="L863" s="74"/>
      <c r="M863" s="272" t="s">
        <v>2849</v>
      </c>
      <c r="N863" s="74">
        <v>1</v>
      </c>
      <c r="O863" s="94"/>
      <c r="P863" s="118">
        <v>1</v>
      </c>
      <c r="Q863" s="510">
        <v>0</v>
      </c>
      <c r="R863" s="513">
        <v>60</v>
      </c>
      <c r="S863" s="41"/>
      <c r="T863" s="40"/>
      <c r="U863" s="40">
        <v>6</v>
      </c>
      <c r="V863" s="119">
        <v>1</v>
      </c>
      <c r="W863" s="40">
        <v>100</v>
      </c>
      <c r="X863" s="119">
        <v>1</v>
      </c>
      <c r="Y863" s="40">
        <v>64</v>
      </c>
      <c r="Z863" s="119">
        <v>1</v>
      </c>
      <c r="AA863" s="368">
        <v>0</v>
      </c>
      <c r="AB863" s="535">
        <v>2</v>
      </c>
      <c r="AC863" s="39" t="s">
        <v>160</v>
      </c>
      <c r="AD863" s="75" t="s">
        <v>7</v>
      </c>
      <c r="AE863" s="95">
        <v>1</v>
      </c>
      <c r="AF863" s="75">
        <v>0</v>
      </c>
      <c r="AG863" s="75">
        <v>0</v>
      </c>
      <c r="AH863" s="75">
        <v>0</v>
      </c>
      <c r="AI863" s="75">
        <v>0</v>
      </c>
      <c r="AJ863" s="75">
        <v>0</v>
      </c>
      <c r="AK863" s="75">
        <v>0</v>
      </c>
      <c r="AL863" s="95">
        <v>0</v>
      </c>
      <c r="AM863" s="92">
        <v>0</v>
      </c>
      <c r="AN863" s="79" t="s">
        <v>80</v>
      </c>
      <c r="AO863" s="75">
        <v>1</v>
      </c>
      <c r="AP863" s="75" t="s">
        <v>83</v>
      </c>
      <c r="AQ863" s="122">
        <v>1</v>
      </c>
      <c r="AR863" s="515" t="s">
        <v>10</v>
      </c>
      <c r="AS863" s="95">
        <v>0</v>
      </c>
      <c r="AT863" s="75">
        <v>0</v>
      </c>
      <c r="AU863" s="75">
        <v>0</v>
      </c>
      <c r="AV863" s="75">
        <v>0</v>
      </c>
      <c r="AW863" s="123">
        <v>0</v>
      </c>
      <c r="AX863" s="516"/>
      <c r="AY863" s="75">
        <v>0</v>
      </c>
      <c r="AZ863" s="77" t="s">
        <v>132</v>
      </c>
      <c r="BA863" s="78" t="s">
        <v>131</v>
      </c>
      <c r="BB863" s="78" t="s">
        <v>131</v>
      </c>
      <c r="BC863" s="78" t="s">
        <v>131</v>
      </c>
      <c r="BD863" s="78" t="s">
        <v>131</v>
      </c>
      <c r="BE863" s="78" t="s">
        <v>131</v>
      </c>
      <c r="BF863" s="78" t="s">
        <v>131</v>
      </c>
      <c r="BG863" s="78" t="s">
        <v>131</v>
      </c>
      <c r="BH863" s="75" t="s">
        <v>5970</v>
      </c>
      <c r="BI863" s="295" t="s">
        <v>4005</v>
      </c>
      <c r="BJ863" s="546">
        <v>1</v>
      </c>
      <c r="BK863" s="294">
        <v>1</v>
      </c>
      <c r="BL863" s="157">
        <v>1</v>
      </c>
      <c r="BM863" s="548" t="s">
        <v>1340</v>
      </c>
      <c r="BN863" s="548" t="s">
        <v>4158</v>
      </c>
      <c r="BO863" s="157" t="s">
        <v>4538</v>
      </c>
      <c r="BP863" s="548" t="s">
        <v>4539</v>
      </c>
      <c r="BQ863" s="157" t="s">
        <v>4537</v>
      </c>
      <c r="BR863" s="157"/>
    </row>
    <row r="864" spans="1:70" x14ac:dyDescent="0.25">
      <c r="A864" s="19" t="s">
        <v>3686</v>
      </c>
      <c r="B864" s="37" t="s">
        <v>2850</v>
      </c>
      <c r="C864" s="90">
        <v>45105.842175925929</v>
      </c>
      <c r="D864" s="114">
        <v>45105.592175925929</v>
      </c>
      <c r="E864" s="38">
        <v>45105</v>
      </c>
      <c r="F864" s="91">
        <v>2023</v>
      </c>
      <c r="G864" s="93">
        <v>6</v>
      </c>
      <c r="H864" s="37" t="s">
        <v>2400</v>
      </c>
      <c r="I864" s="37"/>
      <c r="J864" s="103">
        <v>-91.024151099999997</v>
      </c>
      <c r="K864" s="40">
        <v>43.280932999999997</v>
      </c>
      <c r="L864" s="74"/>
      <c r="M864" s="272" t="s">
        <v>2851</v>
      </c>
      <c r="N864" s="74">
        <v>1</v>
      </c>
      <c r="O864" s="94"/>
      <c r="P864" s="118">
        <v>1</v>
      </c>
      <c r="Q864" s="510">
        <v>80</v>
      </c>
      <c r="R864" s="513">
        <v>120</v>
      </c>
      <c r="S864" s="41"/>
      <c r="T864" s="40"/>
      <c r="U864" s="40">
        <v>9</v>
      </c>
      <c r="V864" s="119">
        <v>1</v>
      </c>
      <c r="W864" s="40">
        <v>0</v>
      </c>
      <c r="X864" s="119">
        <v>1</v>
      </c>
      <c r="Y864" s="40">
        <v>69</v>
      </c>
      <c r="Z864" s="119">
        <v>1</v>
      </c>
      <c r="AA864" s="368">
        <v>0</v>
      </c>
      <c r="AB864" s="535">
        <v>0</v>
      </c>
      <c r="AC864" s="39" t="s">
        <v>160</v>
      </c>
      <c r="AD864" s="75" t="s">
        <v>427</v>
      </c>
      <c r="AE864" s="95">
        <v>0</v>
      </c>
      <c r="AF864" s="75">
        <v>0</v>
      </c>
      <c r="AG864" s="75">
        <v>0</v>
      </c>
      <c r="AH864" s="75">
        <v>0</v>
      </c>
      <c r="AI864" s="75">
        <v>0</v>
      </c>
      <c r="AJ864" s="75">
        <v>1</v>
      </c>
      <c r="AK864" s="75">
        <v>0</v>
      </c>
      <c r="AL864" s="95">
        <v>0</v>
      </c>
      <c r="AM864" s="92">
        <v>0</v>
      </c>
      <c r="AN864" s="79" t="s">
        <v>80</v>
      </c>
      <c r="AO864" s="75">
        <v>1</v>
      </c>
      <c r="AP864" s="75" t="s">
        <v>83</v>
      </c>
      <c r="AQ864" s="122">
        <v>1</v>
      </c>
      <c r="AR864" s="515" t="s">
        <v>10</v>
      </c>
      <c r="AS864" s="95">
        <v>0</v>
      </c>
      <c r="AT864" s="75">
        <v>0</v>
      </c>
      <c r="AU864" s="75">
        <v>0</v>
      </c>
      <c r="AV864" s="75">
        <v>0</v>
      </c>
      <c r="AW864" s="123">
        <v>0</v>
      </c>
      <c r="AX864" s="516" t="s">
        <v>2852</v>
      </c>
      <c r="AY864" s="75">
        <v>1</v>
      </c>
      <c r="AZ864" s="77" t="s">
        <v>131</v>
      </c>
      <c r="BA864" s="78" t="s">
        <v>131</v>
      </c>
      <c r="BB864" s="78" t="s">
        <v>131</v>
      </c>
      <c r="BC864" s="78" t="s">
        <v>131</v>
      </c>
      <c r="BD864" s="78" t="s">
        <v>131</v>
      </c>
      <c r="BE864" s="78" t="s">
        <v>132</v>
      </c>
      <c r="BF864" s="78" t="s">
        <v>131</v>
      </c>
      <c r="BG864" s="78" t="s">
        <v>131</v>
      </c>
      <c r="BH864" s="75" t="s">
        <v>5970</v>
      </c>
      <c r="BI864" s="295">
        <v>0</v>
      </c>
      <c r="BJ864" s="546" t="s">
        <v>16</v>
      </c>
      <c r="BK864" s="294" t="s">
        <v>16</v>
      </c>
      <c r="BL864" s="157" t="s">
        <v>16</v>
      </c>
      <c r="BM864" s="548" t="s">
        <v>1342</v>
      </c>
      <c r="BN864" s="548" t="s">
        <v>4158</v>
      </c>
      <c r="BO864" s="157" t="s">
        <v>4540</v>
      </c>
      <c r="BP864" s="548" t="s">
        <v>4542</v>
      </c>
      <c r="BQ864" s="157" t="s">
        <v>4336</v>
      </c>
      <c r="BR864" s="157"/>
    </row>
    <row r="865" spans="1:70" x14ac:dyDescent="0.25">
      <c r="A865" s="19" t="s">
        <v>3686</v>
      </c>
      <c r="B865" s="37" t="s">
        <v>2853</v>
      </c>
      <c r="C865" s="90">
        <v>45105.712754629632</v>
      </c>
      <c r="D865" s="114">
        <v>45105.462754629632</v>
      </c>
      <c r="E865" s="38">
        <v>45105</v>
      </c>
      <c r="F865" s="91">
        <v>2023</v>
      </c>
      <c r="G865" s="93">
        <v>6</v>
      </c>
      <c r="H865" s="37" t="s">
        <v>1514</v>
      </c>
      <c r="I865" s="37" t="s">
        <v>1772</v>
      </c>
      <c r="J865" s="103">
        <v>-92.189595597418361</v>
      </c>
      <c r="K865" s="40">
        <v>44.632845518445798</v>
      </c>
      <c r="L865" s="74"/>
      <c r="M865" s="272" t="s">
        <v>16</v>
      </c>
      <c r="N865" s="74">
        <v>0</v>
      </c>
      <c r="O865" s="94"/>
      <c r="P865" s="118">
        <v>1</v>
      </c>
      <c r="Q865" s="510">
        <v>120</v>
      </c>
      <c r="R865" s="513">
        <v>120</v>
      </c>
      <c r="S865" s="41"/>
      <c r="T865" s="40"/>
      <c r="U865" s="40">
        <v>8</v>
      </c>
      <c r="V865" s="119">
        <v>1</v>
      </c>
      <c r="W865" s="40">
        <v>0</v>
      </c>
      <c r="X865" s="119">
        <v>1</v>
      </c>
      <c r="Y865" s="40">
        <v>59</v>
      </c>
      <c r="Z865" s="119">
        <v>0</v>
      </c>
      <c r="AA865" s="368" t="s">
        <v>16</v>
      </c>
      <c r="AB865" s="535">
        <v>5</v>
      </c>
      <c r="AC865" s="39" t="s">
        <v>160</v>
      </c>
      <c r="AD865" s="75" t="s">
        <v>10</v>
      </c>
      <c r="AE865" s="95">
        <v>0</v>
      </c>
      <c r="AF865" s="75">
        <v>0</v>
      </c>
      <c r="AG865" s="75">
        <v>0</v>
      </c>
      <c r="AH865" s="75">
        <v>0</v>
      </c>
      <c r="AI865" s="75">
        <v>0</v>
      </c>
      <c r="AJ865" s="75">
        <v>0</v>
      </c>
      <c r="AK865" s="75">
        <v>0</v>
      </c>
      <c r="AL865" s="95">
        <v>1</v>
      </c>
      <c r="AM865" s="92">
        <v>0</v>
      </c>
      <c r="AN865" s="79" t="s">
        <v>80</v>
      </c>
      <c r="AO865" s="75">
        <v>1</v>
      </c>
      <c r="AP865" s="75" t="s">
        <v>83</v>
      </c>
      <c r="AQ865" s="122">
        <v>1</v>
      </c>
      <c r="AR865" s="515" t="s">
        <v>10</v>
      </c>
      <c r="AS865" s="95">
        <v>0</v>
      </c>
      <c r="AT865" s="75">
        <v>0</v>
      </c>
      <c r="AU865" s="75">
        <v>0</v>
      </c>
      <c r="AV865" s="75">
        <v>0</v>
      </c>
      <c r="AW865" s="123">
        <v>0</v>
      </c>
      <c r="AX865" s="516"/>
      <c r="AY865" s="75">
        <v>0</v>
      </c>
      <c r="AZ865" s="77" t="s">
        <v>131</v>
      </c>
      <c r="BA865" s="78" t="s">
        <v>131</v>
      </c>
      <c r="BB865" s="78" t="s">
        <v>131</v>
      </c>
      <c r="BC865" s="78" t="s">
        <v>131</v>
      </c>
      <c r="BD865" s="78" t="s">
        <v>131</v>
      </c>
      <c r="BE865" s="78" t="s">
        <v>131</v>
      </c>
      <c r="BF865" s="78" t="s">
        <v>131</v>
      </c>
      <c r="BG865" s="78" t="s">
        <v>132</v>
      </c>
      <c r="BH865" s="75" t="s">
        <v>5970</v>
      </c>
      <c r="BI865" s="295" t="s">
        <v>16</v>
      </c>
      <c r="BJ865" s="546">
        <v>1</v>
      </c>
      <c r="BK865" s="294">
        <v>1</v>
      </c>
      <c r="BL865" s="157">
        <v>1</v>
      </c>
      <c r="BM865" s="548" t="s">
        <v>578</v>
      </c>
      <c r="BN865" s="548" t="s">
        <v>578</v>
      </c>
      <c r="BO865" s="157" t="s">
        <v>4218</v>
      </c>
      <c r="BP865" s="548" t="s">
        <v>4221</v>
      </c>
      <c r="BQ865" s="157" t="s">
        <v>4217</v>
      </c>
      <c r="BR865" s="157"/>
    </row>
    <row r="866" spans="1:70" x14ac:dyDescent="0.25">
      <c r="A866" s="19" t="s">
        <v>3686</v>
      </c>
      <c r="B866" s="37" t="s">
        <v>2854</v>
      </c>
      <c r="C866" s="90">
        <v>45105.658564814818</v>
      </c>
      <c r="D866" s="114">
        <v>45105.408564814818</v>
      </c>
      <c r="E866" s="38">
        <v>45105</v>
      </c>
      <c r="F866" s="91">
        <v>2023</v>
      </c>
      <c r="G866" s="93">
        <v>6</v>
      </c>
      <c r="H866" s="37" t="s">
        <v>2400</v>
      </c>
      <c r="I866" s="37"/>
      <c r="J866" s="103">
        <v>-91.026265699999996</v>
      </c>
      <c r="K866" s="40">
        <v>43.350311300000001</v>
      </c>
      <c r="L866" s="74"/>
      <c r="M866" s="272" t="s">
        <v>16</v>
      </c>
      <c r="N866" s="74">
        <v>0</v>
      </c>
      <c r="O866" s="94"/>
      <c r="P866" s="118">
        <v>1</v>
      </c>
      <c r="Q866" s="510">
        <v>120</v>
      </c>
      <c r="R866" s="513">
        <v>180</v>
      </c>
      <c r="S866" s="41"/>
      <c r="T866" s="40"/>
      <c r="U866" s="40">
        <v>8</v>
      </c>
      <c r="V866" s="119">
        <v>1</v>
      </c>
      <c r="W866" s="40">
        <v>0</v>
      </c>
      <c r="X866" s="119">
        <v>1</v>
      </c>
      <c r="Y866" s="40">
        <v>59</v>
      </c>
      <c r="Z866" s="119">
        <v>1</v>
      </c>
      <c r="AA866" s="368">
        <v>0</v>
      </c>
      <c r="AB866" s="535">
        <v>2</v>
      </c>
      <c r="AC866" s="39" t="s">
        <v>160</v>
      </c>
      <c r="AD866" s="75" t="s">
        <v>10</v>
      </c>
      <c r="AE866" s="95">
        <v>0</v>
      </c>
      <c r="AF866" s="75">
        <v>0</v>
      </c>
      <c r="AG866" s="75">
        <v>0</v>
      </c>
      <c r="AH866" s="75">
        <v>0</v>
      </c>
      <c r="AI866" s="75">
        <v>0</v>
      </c>
      <c r="AJ866" s="75">
        <v>0</v>
      </c>
      <c r="AK866" s="75">
        <v>0</v>
      </c>
      <c r="AL866" s="95">
        <v>1</v>
      </c>
      <c r="AM866" s="92">
        <v>0</v>
      </c>
      <c r="AN866" s="79" t="s">
        <v>80</v>
      </c>
      <c r="AO866" s="75">
        <v>1</v>
      </c>
      <c r="AP866" s="75" t="s">
        <v>83</v>
      </c>
      <c r="AQ866" s="122">
        <v>1</v>
      </c>
      <c r="AR866" s="515" t="s">
        <v>10</v>
      </c>
      <c r="AS866" s="95">
        <v>0</v>
      </c>
      <c r="AT866" s="75">
        <v>0</v>
      </c>
      <c r="AU866" s="75">
        <v>0</v>
      </c>
      <c r="AV866" s="75">
        <v>0</v>
      </c>
      <c r="AW866" s="123">
        <v>0</v>
      </c>
      <c r="AX866" s="516"/>
      <c r="AY866" s="75">
        <v>0</v>
      </c>
      <c r="AZ866" s="77" t="s">
        <v>131</v>
      </c>
      <c r="BA866" s="78" t="s">
        <v>131</v>
      </c>
      <c r="BB866" s="78" t="s">
        <v>131</v>
      </c>
      <c r="BC866" s="78" t="s">
        <v>131</v>
      </c>
      <c r="BD866" s="78" t="s">
        <v>131</v>
      </c>
      <c r="BE866" s="78" t="s">
        <v>131</v>
      </c>
      <c r="BF866" s="78" t="s">
        <v>131</v>
      </c>
      <c r="BG866" s="78" t="s">
        <v>132</v>
      </c>
      <c r="BH866" s="75" t="s">
        <v>5970</v>
      </c>
      <c r="BI866" s="295" t="s">
        <v>4024</v>
      </c>
      <c r="BJ866" s="546" t="s">
        <v>16</v>
      </c>
      <c r="BK866" s="294" t="s">
        <v>16</v>
      </c>
      <c r="BL866" s="157" t="s">
        <v>16</v>
      </c>
      <c r="BM866" s="548" t="s">
        <v>1342</v>
      </c>
      <c r="BN866" s="548" t="s">
        <v>4158</v>
      </c>
      <c r="BO866" s="157" t="s">
        <v>4438</v>
      </c>
      <c r="BP866" s="548" t="s">
        <v>4543</v>
      </c>
      <c r="BQ866" s="157" t="s">
        <v>4336</v>
      </c>
      <c r="BR866" s="157"/>
    </row>
    <row r="867" spans="1:70" x14ac:dyDescent="0.25">
      <c r="A867" s="19" t="s">
        <v>3686</v>
      </c>
      <c r="B867" s="37" t="s">
        <v>2855</v>
      </c>
      <c r="C867" s="90">
        <v>45105.622476851851</v>
      </c>
      <c r="D867" s="114">
        <v>45105.372476851851</v>
      </c>
      <c r="E867" s="38">
        <v>45105</v>
      </c>
      <c r="F867" s="91">
        <v>2023</v>
      </c>
      <c r="G867" s="93">
        <v>6</v>
      </c>
      <c r="H867" s="37" t="s">
        <v>2654</v>
      </c>
      <c r="I867" s="37"/>
      <c r="J867" s="103">
        <v>-90.835837100000006</v>
      </c>
      <c r="K867" s="40">
        <v>44.3227397</v>
      </c>
      <c r="L867" s="74"/>
      <c r="M867" s="272" t="s">
        <v>2856</v>
      </c>
      <c r="N867" s="74">
        <v>1</v>
      </c>
      <c r="O867" s="94"/>
      <c r="P867" s="118">
        <v>1</v>
      </c>
      <c r="Q867" s="510">
        <v>40</v>
      </c>
      <c r="R867" s="513">
        <v>60</v>
      </c>
      <c r="S867" s="41"/>
      <c r="T867" s="40"/>
      <c r="U867" s="40">
        <v>6.5</v>
      </c>
      <c r="V867" s="119">
        <v>1</v>
      </c>
      <c r="W867" s="40">
        <v>200</v>
      </c>
      <c r="X867" s="119">
        <v>1</v>
      </c>
      <c r="Y867" s="40">
        <v>57</v>
      </c>
      <c r="Z867" s="119">
        <v>1</v>
      </c>
      <c r="AA867" s="368">
        <v>0</v>
      </c>
      <c r="AB867" s="535">
        <v>2</v>
      </c>
      <c r="AC867" s="39" t="s">
        <v>160</v>
      </c>
      <c r="AD867" s="75" t="s">
        <v>10</v>
      </c>
      <c r="AE867" s="95">
        <v>0</v>
      </c>
      <c r="AF867" s="75">
        <v>0</v>
      </c>
      <c r="AG867" s="75">
        <v>0</v>
      </c>
      <c r="AH867" s="75">
        <v>0</v>
      </c>
      <c r="AI867" s="75">
        <v>0</v>
      </c>
      <c r="AJ867" s="75">
        <v>0</v>
      </c>
      <c r="AK867" s="75">
        <v>0</v>
      </c>
      <c r="AL867" s="95">
        <v>1</v>
      </c>
      <c r="AM867" s="92">
        <v>0</v>
      </c>
      <c r="AN867" s="79" t="s">
        <v>80</v>
      </c>
      <c r="AO867" s="75">
        <v>1</v>
      </c>
      <c r="AP867" s="75" t="s">
        <v>83</v>
      </c>
      <c r="AQ867" s="122">
        <v>1</v>
      </c>
      <c r="AR867" s="515" t="s">
        <v>10</v>
      </c>
      <c r="AS867" s="95">
        <v>0</v>
      </c>
      <c r="AT867" s="75">
        <v>0</v>
      </c>
      <c r="AU867" s="75">
        <v>0</v>
      </c>
      <c r="AV867" s="75">
        <v>0</v>
      </c>
      <c r="AW867" s="123">
        <v>0</v>
      </c>
      <c r="AX867" s="516"/>
      <c r="AY867" s="75">
        <v>0</v>
      </c>
      <c r="AZ867" s="77" t="s">
        <v>131</v>
      </c>
      <c r="BA867" s="78" t="s">
        <v>131</v>
      </c>
      <c r="BB867" s="78" t="s">
        <v>131</v>
      </c>
      <c r="BC867" s="78" t="s">
        <v>131</v>
      </c>
      <c r="BD867" s="78" t="s">
        <v>131</v>
      </c>
      <c r="BE867" s="78" t="s">
        <v>131</v>
      </c>
      <c r="BF867" s="78" t="s">
        <v>131</v>
      </c>
      <c r="BG867" s="78" t="s">
        <v>132</v>
      </c>
      <c r="BH867" s="75" t="s">
        <v>5970</v>
      </c>
      <c r="BI867" s="295" t="s">
        <v>3994</v>
      </c>
      <c r="BJ867" s="546">
        <v>1</v>
      </c>
      <c r="BK867" s="294">
        <v>1</v>
      </c>
      <c r="BL867" s="157">
        <v>1</v>
      </c>
      <c r="BM867" s="548" t="s">
        <v>1340</v>
      </c>
      <c r="BN867" s="548" t="s">
        <v>4158</v>
      </c>
      <c r="BO867" s="157" t="s">
        <v>4538</v>
      </c>
      <c r="BP867" s="548" t="s">
        <v>4539</v>
      </c>
      <c r="BQ867" s="157" t="s">
        <v>4537</v>
      </c>
      <c r="BR867" s="157"/>
    </row>
    <row r="868" spans="1:70" x14ac:dyDescent="0.25">
      <c r="A868" s="19" t="s">
        <v>3686</v>
      </c>
      <c r="B868" s="37" t="s">
        <v>2857</v>
      </c>
      <c r="C868" s="90">
        <v>45104.935833333337</v>
      </c>
      <c r="D868" s="114">
        <v>45104.685833333337</v>
      </c>
      <c r="E868" s="38">
        <v>45104</v>
      </c>
      <c r="F868" s="91">
        <v>2023</v>
      </c>
      <c r="G868" s="93">
        <v>6</v>
      </c>
      <c r="H868" s="37" t="s">
        <v>2654</v>
      </c>
      <c r="I868" s="37"/>
      <c r="J868" s="103">
        <v>-90.806577700000005</v>
      </c>
      <c r="K868" s="40">
        <v>44.311616700000002</v>
      </c>
      <c r="L868" s="74"/>
      <c r="M868" s="272" t="s">
        <v>2858</v>
      </c>
      <c r="N868" s="74">
        <v>1</v>
      </c>
      <c r="O868" s="94"/>
      <c r="P868" s="118">
        <v>1</v>
      </c>
      <c r="Q868" s="510">
        <v>0</v>
      </c>
      <c r="R868" s="513">
        <v>30</v>
      </c>
      <c r="S868" s="41"/>
      <c r="T868" s="40"/>
      <c r="U868" s="40">
        <v>6.5</v>
      </c>
      <c r="V868" s="119">
        <v>1</v>
      </c>
      <c r="W868" s="40">
        <v>0</v>
      </c>
      <c r="X868" s="119">
        <v>1</v>
      </c>
      <c r="Y868" s="40">
        <v>63</v>
      </c>
      <c r="Z868" s="119">
        <v>1</v>
      </c>
      <c r="AA868" s="368">
        <v>0</v>
      </c>
      <c r="AB868" s="535">
        <v>0</v>
      </c>
      <c r="AC868" s="39" t="s">
        <v>160</v>
      </c>
      <c r="AD868" s="75" t="s">
        <v>10</v>
      </c>
      <c r="AE868" s="95">
        <v>0</v>
      </c>
      <c r="AF868" s="75">
        <v>0</v>
      </c>
      <c r="AG868" s="75">
        <v>0</v>
      </c>
      <c r="AH868" s="75">
        <v>0</v>
      </c>
      <c r="AI868" s="75">
        <v>0</v>
      </c>
      <c r="AJ868" s="75">
        <v>0</v>
      </c>
      <c r="AK868" s="75">
        <v>0</v>
      </c>
      <c r="AL868" s="95">
        <v>1</v>
      </c>
      <c r="AM868" s="92">
        <v>0</v>
      </c>
      <c r="AN868" s="79" t="s">
        <v>80</v>
      </c>
      <c r="AO868" s="75">
        <v>1</v>
      </c>
      <c r="AP868" s="75" t="s">
        <v>84</v>
      </c>
      <c r="AQ868" s="122">
        <v>1</v>
      </c>
      <c r="AR868" s="515" t="s">
        <v>10</v>
      </c>
      <c r="AS868" s="95">
        <v>0</v>
      </c>
      <c r="AT868" s="75">
        <v>0</v>
      </c>
      <c r="AU868" s="75">
        <v>0</v>
      </c>
      <c r="AV868" s="75">
        <v>0</v>
      </c>
      <c r="AW868" s="123">
        <v>0</v>
      </c>
      <c r="AX868" s="516"/>
      <c r="AY868" s="75">
        <v>0</v>
      </c>
      <c r="AZ868" s="77" t="s">
        <v>131</v>
      </c>
      <c r="BA868" s="78" t="s">
        <v>131</v>
      </c>
      <c r="BB868" s="78" t="s">
        <v>131</v>
      </c>
      <c r="BC868" s="78" t="s">
        <v>131</v>
      </c>
      <c r="BD868" s="78" t="s">
        <v>131</v>
      </c>
      <c r="BE868" s="78" t="s">
        <v>131</v>
      </c>
      <c r="BF868" s="78" t="s">
        <v>131</v>
      </c>
      <c r="BG868" s="78" t="s">
        <v>132</v>
      </c>
      <c r="BH868" s="75" t="s">
        <v>5970</v>
      </c>
      <c r="BI868" s="295" t="s">
        <v>3996</v>
      </c>
      <c r="BJ868" s="546">
        <v>1</v>
      </c>
      <c r="BK868" s="294">
        <v>1</v>
      </c>
      <c r="BL868" s="157">
        <v>1</v>
      </c>
      <c r="BM868" s="548" t="s">
        <v>1340</v>
      </c>
      <c r="BN868" s="548" t="s">
        <v>4158</v>
      </c>
      <c r="BO868" s="157" t="s">
        <v>4544</v>
      </c>
      <c r="BP868" s="548" t="s">
        <v>3996</v>
      </c>
      <c r="BQ868" s="157" t="s">
        <v>4537</v>
      </c>
      <c r="BR868" s="157"/>
    </row>
    <row r="869" spans="1:70" x14ac:dyDescent="0.25">
      <c r="A869" s="19" t="s">
        <v>3686</v>
      </c>
      <c r="B869" s="37" t="s">
        <v>2859</v>
      </c>
      <c r="C869" s="90">
        <v>45104.841481481482</v>
      </c>
      <c r="D869" s="114">
        <v>45104.591481481482</v>
      </c>
      <c r="E869" s="38">
        <v>45104</v>
      </c>
      <c r="F869" s="91">
        <v>2023</v>
      </c>
      <c r="G869" s="93">
        <v>6</v>
      </c>
      <c r="H869" s="37" t="s">
        <v>2654</v>
      </c>
      <c r="I869" s="37"/>
      <c r="J869" s="103">
        <v>-90.742226599999995</v>
      </c>
      <c r="K869" s="40">
        <v>44.292614299999997</v>
      </c>
      <c r="L869" s="74"/>
      <c r="M869" s="272" t="s">
        <v>2860</v>
      </c>
      <c r="N869" s="74">
        <v>1</v>
      </c>
      <c r="O869" s="94"/>
      <c r="P869" s="118">
        <v>1</v>
      </c>
      <c r="Q869" s="510">
        <v>40</v>
      </c>
      <c r="R869" s="513">
        <v>120</v>
      </c>
      <c r="S869" s="41"/>
      <c r="T869" s="40"/>
      <c r="U869" s="40">
        <v>7</v>
      </c>
      <c r="V869" s="119">
        <v>1</v>
      </c>
      <c r="W869" s="40">
        <v>0</v>
      </c>
      <c r="X869" s="119">
        <v>1</v>
      </c>
      <c r="Y869" s="40">
        <v>61</v>
      </c>
      <c r="Z869" s="119">
        <v>1</v>
      </c>
      <c r="AA869" s="368">
        <v>0</v>
      </c>
      <c r="AB869" s="535">
        <v>0</v>
      </c>
      <c r="AC869" s="39" t="s">
        <v>160</v>
      </c>
      <c r="AD869" s="75" t="s">
        <v>10</v>
      </c>
      <c r="AE869" s="95">
        <v>0</v>
      </c>
      <c r="AF869" s="75">
        <v>0</v>
      </c>
      <c r="AG869" s="75">
        <v>0</v>
      </c>
      <c r="AH869" s="75">
        <v>0</v>
      </c>
      <c r="AI869" s="75">
        <v>0</v>
      </c>
      <c r="AJ869" s="75">
        <v>0</v>
      </c>
      <c r="AK869" s="75">
        <v>0</v>
      </c>
      <c r="AL869" s="95">
        <v>1</v>
      </c>
      <c r="AM869" s="92">
        <v>0</v>
      </c>
      <c r="AN869" s="79" t="s">
        <v>80</v>
      </c>
      <c r="AO869" s="75">
        <v>1</v>
      </c>
      <c r="AP869" s="75" t="s">
        <v>84</v>
      </c>
      <c r="AQ869" s="122">
        <v>1</v>
      </c>
      <c r="AR869" s="515" t="s">
        <v>10</v>
      </c>
      <c r="AS869" s="95">
        <v>0</v>
      </c>
      <c r="AT869" s="75">
        <v>0</v>
      </c>
      <c r="AU869" s="75">
        <v>0</v>
      </c>
      <c r="AV869" s="75">
        <v>0</v>
      </c>
      <c r="AW869" s="123">
        <v>0</v>
      </c>
      <c r="AX869" s="516"/>
      <c r="AY869" s="75">
        <v>0</v>
      </c>
      <c r="AZ869" s="77" t="s">
        <v>131</v>
      </c>
      <c r="BA869" s="78" t="s">
        <v>131</v>
      </c>
      <c r="BB869" s="78" t="s">
        <v>131</v>
      </c>
      <c r="BC869" s="78" t="s">
        <v>131</v>
      </c>
      <c r="BD869" s="78" t="s">
        <v>131</v>
      </c>
      <c r="BE869" s="78" t="s">
        <v>131</v>
      </c>
      <c r="BF869" s="78" t="s">
        <v>131</v>
      </c>
      <c r="BG869" s="78" t="s">
        <v>132</v>
      </c>
      <c r="BH869" s="75" t="s">
        <v>5970</v>
      </c>
      <c r="BI869" s="295" t="s">
        <v>4004</v>
      </c>
      <c r="BJ869" s="546" t="s">
        <v>16</v>
      </c>
      <c r="BK869" s="294" t="s">
        <v>16</v>
      </c>
      <c r="BL869" s="157" t="s">
        <v>16</v>
      </c>
      <c r="BM869" s="548" t="s">
        <v>1340</v>
      </c>
      <c r="BN869" s="548" t="s">
        <v>4158</v>
      </c>
      <c r="BO869" s="157" t="s">
        <v>4544</v>
      </c>
      <c r="BP869" s="548" t="s">
        <v>3996</v>
      </c>
      <c r="BQ869" s="157" t="s">
        <v>4537</v>
      </c>
      <c r="BR869" s="157"/>
    </row>
    <row r="870" spans="1:70" x14ac:dyDescent="0.25">
      <c r="A870" s="19" t="s">
        <v>3686</v>
      </c>
      <c r="B870" s="37" t="s">
        <v>2861</v>
      </c>
      <c r="C870" s="90">
        <v>45104.821261574078</v>
      </c>
      <c r="D870" s="114">
        <v>45104.571261574078</v>
      </c>
      <c r="E870" s="38">
        <v>45104</v>
      </c>
      <c r="F870" s="91">
        <v>2023</v>
      </c>
      <c r="G870" s="93">
        <v>6</v>
      </c>
      <c r="H870" s="37" t="s">
        <v>2423</v>
      </c>
      <c r="I870" s="37"/>
      <c r="J870" s="103">
        <v>-92.733176400000005</v>
      </c>
      <c r="K870" s="40">
        <v>44.831091800000003</v>
      </c>
      <c r="L870" s="74"/>
      <c r="M870" s="272" t="s">
        <v>16</v>
      </c>
      <c r="N870" s="74">
        <v>0</v>
      </c>
      <c r="O870" s="94"/>
      <c r="P870" s="118">
        <v>1</v>
      </c>
      <c r="Q870" s="510">
        <v>40</v>
      </c>
      <c r="R870" s="513">
        <v>120</v>
      </c>
      <c r="S870" s="41"/>
      <c r="T870" s="40"/>
      <c r="U870" s="40">
        <v>7</v>
      </c>
      <c r="V870" s="119">
        <v>1</v>
      </c>
      <c r="W870" s="40">
        <v>0</v>
      </c>
      <c r="X870" s="119">
        <v>1</v>
      </c>
      <c r="Y870" s="40">
        <v>68</v>
      </c>
      <c r="Z870" s="119">
        <v>1</v>
      </c>
      <c r="AA870" s="368">
        <v>0</v>
      </c>
      <c r="AB870" s="535">
        <v>5</v>
      </c>
      <c r="AC870" s="39" t="s">
        <v>160</v>
      </c>
      <c r="AD870" s="75" t="s">
        <v>9</v>
      </c>
      <c r="AE870" s="95">
        <v>0</v>
      </c>
      <c r="AF870" s="75">
        <v>0</v>
      </c>
      <c r="AG870" s="75">
        <v>1</v>
      </c>
      <c r="AH870" s="75">
        <v>0</v>
      </c>
      <c r="AI870" s="75">
        <v>0</v>
      </c>
      <c r="AJ870" s="75">
        <v>0</v>
      </c>
      <c r="AK870" s="75">
        <v>0</v>
      </c>
      <c r="AL870" s="95">
        <v>0</v>
      </c>
      <c r="AM870" s="92">
        <v>0</v>
      </c>
      <c r="AN870" s="79" t="s">
        <v>80</v>
      </c>
      <c r="AO870" s="75">
        <v>1</v>
      </c>
      <c r="AP870" s="75" t="s">
        <v>83</v>
      </c>
      <c r="AQ870" s="122">
        <v>1</v>
      </c>
      <c r="AR870" s="515" t="s">
        <v>10</v>
      </c>
      <c r="AS870" s="95">
        <v>0</v>
      </c>
      <c r="AT870" s="75">
        <v>0</v>
      </c>
      <c r="AU870" s="75">
        <v>0</v>
      </c>
      <c r="AV870" s="75">
        <v>0</v>
      </c>
      <c r="AW870" s="123">
        <v>0</v>
      </c>
      <c r="AX870" s="516" t="s">
        <v>2862</v>
      </c>
      <c r="AY870" s="75">
        <v>1</v>
      </c>
      <c r="AZ870" s="77" t="s">
        <v>131</v>
      </c>
      <c r="BA870" s="78" t="s">
        <v>131</v>
      </c>
      <c r="BB870" s="78" t="s">
        <v>132</v>
      </c>
      <c r="BC870" s="78" t="s">
        <v>131</v>
      </c>
      <c r="BD870" s="78" t="s">
        <v>131</v>
      </c>
      <c r="BE870" s="78" t="s">
        <v>131</v>
      </c>
      <c r="BF870" s="78" t="s">
        <v>131</v>
      </c>
      <c r="BG870" s="78" t="s">
        <v>131</v>
      </c>
      <c r="BH870" s="75" t="s">
        <v>5970</v>
      </c>
      <c r="BI870" s="295" t="s">
        <v>2227</v>
      </c>
      <c r="BJ870" s="546">
        <v>1</v>
      </c>
      <c r="BK870" s="294" t="s">
        <v>16</v>
      </c>
      <c r="BL870" s="157" t="s">
        <v>16</v>
      </c>
      <c r="BM870" s="548" t="s">
        <v>578</v>
      </c>
      <c r="BN870" s="548" t="s">
        <v>4159</v>
      </c>
      <c r="BO870" s="157" t="s">
        <v>4341</v>
      </c>
      <c r="BP870" s="548" t="s">
        <v>4343</v>
      </c>
      <c r="BQ870" s="157" t="s">
        <v>4309</v>
      </c>
      <c r="BR870" s="157"/>
    </row>
    <row r="871" spans="1:70" x14ac:dyDescent="0.25">
      <c r="A871" s="19" t="s">
        <v>3686</v>
      </c>
      <c r="B871" s="37" t="s">
        <v>2863</v>
      </c>
      <c r="C871" s="90">
        <v>45104.789166666669</v>
      </c>
      <c r="D871" s="114">
        <v>45104.539166666669</v>
      </c>
      <c r="E871" s="38">
        <v>45104</v>
      </c>
      <c r="F871" s="91">
        <v>2023</v>
      </c>
      <c r="G871" s="93">
        <v>6</v>
      </c>
      <c r="H871" s="37" t="s">
        <v>598</v>
      </c>
      <c r="I871" s="37" t="s">
        <v>16</v>
      </c>
      <c r="J871" s="103">
        <v>-91.850018050157004</v>
      </c>
      <c r="K871" s="40">
        <v>43.657403625232881</v>
      </c>
      <c r="L871" s="74"/>
      <c r="M871" s="272" t="s">
        <v>2864</v>
      </c>
      <c r="N871" s="74">
        <v>1</v>
      </c>
      <c r="O871" s="94"/>
      <c r="P871" s="118">
        <v>1</v>
      </c>
      <c r="Q871" s="510">
        <v>180</v>
      </c>
      <c r="R871" s="513">
        <v>180</v>
      </c>
      <c r="S871" s="41"/>
      <c r="T871" s="40"/>
      <c r="U871" s="40">
        <v>8</v>
      </c>
      <c r="V871" s="119">
        <v>1</v>
      </c>
      <c r="W871" s="40">
        <v>100</v>
      </c>
      <c r="X871" s="119">
        <v>1</v>
      </c>
      <c r="Y871" s="40">
        <v>60</v>
      </c>
      <c r="Z871" s="119">
        <v>1</v>
      </c>
      <c r="AA871" s="368">
        <v>0</v>
      </c>
      <c r="AB871" s="535">
        <v>5</v>
      </c>
      <c r="AC871" s="39" t="s">
        <v>160</v>
      </c>
      <c r="AD871" s="75" t="s">
        <v>10</v>
      </c>
      <c r="AE871" s="95">
        <v>0</v>
      </c>
      <c r="AF871" s="75">
        <v>0</v>
      </c>
      <c r="AG871" s="75">
        <v>0</v>
      </c>
      <c r="AH871" s="75">
        <v>0</v>
      </c>
      <c r="AI871" s="75">
        <v>0</v>
      </c>
      <c r="AJ871" s="75">
        <v>0</v>
      </c>
      <c r="AK871" s="75">
        <v>0</v>
      </c>
      <c r="AL871" s="95">
        <v>1</v>
      </c>
      <c r="AM871" s="92">
        <v>0</v>
      </c>
      <c r="AN871" s="79" t="s">
        <v>80</v>
      </c>
      <c r="AO871" s="75">
        <v>1</v>
      </c>
      <c r="AP871" s="75" t="s">
        <v>83</v>
      </c>
      <c r="AQ871" s="122">
        <v>1</v>
      </c>
      <c r="AR871" s="515" t="s">
        <v>10</v>
      </c>
      <c r="AS871" s="95">
        <v>0</v>
      </c>
      <c r="AT871" s="75">
        <v>0</v>
      </c>
      <c r="AU871" s="75">
        <v>0</v>
      </c>
      <c r="AV871" s="75">
        <v>0</v>
      </c>
      <c r="AW871" s="123">
        <v>0</v>
      </c>
      <c r="AX871" s="516" t="s">
        <v>2865</v>
      </c>
      <c r="AY871" s="75">
        <v>1</v>
      </c>
      <c r="AZ871" s="77" t="s">
        <v>131</v>
      </c>
      <c r="BA871" s="78" t="s">
        <v>131</v>
      </c>
      <c r="BB871" s="78" t="s">
        <v>131</v>
      </c>
      <c r="BC871" s="78" t="s">
        <v>131</v>
      </c>
      <c r="BD871" s="78" t="s">
        <v>131</v>
      </c>
      <c r="BE871" s="78" t="s">
        <v>131</v>
      </c>
      <c r="BF871" s="78" t="s">
        <v>131</v>
      </c>
      <c r="BG871" s="78" t="s">
        <v>132</v>
      </c>
      <c r="BH871" s="75" t="s">
        <v>5970</v>
      </c>
      <c r="BI871" s="295" t="s">
        <v>3972</v>
      </c>
      <c r="BJ871" s="546">
        <v>1</v>
      </c>
      <c r="BK871" s="294" t="s">
        <v>16</v>
      </c>
      <c r="BL871" s="157" t="s">
        <v>16</v>
      </c>
      <c r="BM871" s="548" t="s">
        <v>1339</v>
      </c>
      <c r="BN871" s="548" t="s">
        <v>1339</v>
      </c>
      <c r="BO871" s="157" t="s">
        <v>4418</v>
      </c>
      <c r="BP871" s="548" t="s">
        <v>4419</v>
      </c>
      <c r="BQ871" s="157" t="s">
        <v>4232</v>
      </c>
      <c r="BR871" s="157"/>
    </row>
    <row r="872" spans="1:70" x14ac:dyDescent="0.25">
      <c r="A872" s="19" t="s">
        <v>3686</v>
      </c>
      <c r="B872" s="37" t="s">
        <v>2866</v>
      </c>
      <c r="C872" s="90">
        <v>45104.782696759263</v>
      </c>
      <c r="D872" s="114">
        <v>45104.532696759263</v>
      </c>
      <c r="E872" s="38">
        <v>45104</v>
      </c>
      <c r="F872" s="91">
        <v>2023</v>
      </c>
      <c r="G872" s="93">
        <v>6</v>
      </c>
      <c r="H872" s="37" t="s">
        <v>2534</v>
      </c>
      <c r="I872" s="37"/>
      <c r="J872" s="103">
        <v>-92.641671197575178</v>
      </c>
      <c r="K872" s="40">
        <v>44.849895788398683</v>
      </c>
      <c r="L872" s="74"/>
      <c r="M872" s="272" t="s">
        <v>16</v>
      </c>
      <c r="N872" s="74">
        <v>0</v>
      </c>
      <c r="O872" s="94"/>
      <c r="P872" s="118">
        <v>1</v>
      </c>
      <c r="Q872" s="510">
        <v>120</v>
      </c>
      <c r="R872" s="513">
        <v>180</v>
      </c>
      <c r="S872" s="41"/>
      <c r="T872" s="40"/>
      <c r="U872" s="40">
        <v>7.5</v>
      </c>
      <c r="V872" s="119">
        <v>1</v>
      </c>
      <c r="W872" s="40">
        <v>0</v>
      </c>
      <c r="X872" s="119">
        <v>1</v>
      </c>
      <c r="Y872" s="40">
        <v>66</v>
      </c>
      <c r="Z872" s="119">
        <v>1</v>
      </c>
      <c r="AA872" s="368">
        <v>0</v>
      </c>
      <c r="AB872" s="535">
        <v>2</v>
      </c>
      <c r="AC872" s="39" t="s">
        <v>160</v>
      </c>
      <c r="AD872" s="75" t="s">
        <v>10</v>
      </c>
      <c r="AE872" s="95">
        <v>0</v>
      </c>
      <c r="AF872" s="75">
        <v>0</v>
      </c>
      <c r="AG872" s="75">
        <v>0</v>
      </c>
      <c r="AH872" s="75">
        <v>0</v>
      </c>
      <c r="AI872" s="75">
        <v>0</v>
      </c>
      <c r="AJ872" s="75">
        <v>0</v>
      </c>
      <c r="AK872" s="75">
        <v>0</v>
      </c>
      <c r="AL872" s="95">
        <v>1</v>
      </c>
      <c r="AM872" s="92">
        <v>0</v>
      </c>
      <c r="AN872" s="79" t="s">
        <v>80</v>
      </c>
      <c r="AO872" s="75">
        <v>1</v>
      </c>
      <c r="AP872" s="75" t="s">
        <v>83</v>
      </c>
      <c r="AQ872" s="122">
        <v>1</v>
      </c>
      <c r="AR872" s="515" t="s">
        <v>10</v>
      </c>
      <c r="AS872" s="95">
        <v>0</v>
      </c>
      <c r="AT872" s="75">
        <v>0</v>
      </c>
      <c r="AU872" s="75">
        <v>0</v>
      </c>
      <c r="AV872" s="75">
        <v>0</v>
      </c>
      <c r="AW872" s="123">
        <v>0</v>
      </c>
      <c r="AX872" s="516" t="s">
        <v>2867</v>
      </c>
      <c r="AY872" s="75">
        <v>1</v>
      </c>
      <c r="AZ872" s="77" t="s">
        <v>131</v>
      </c>
      <c r="BA872" s="78" t="s">
        <v>131</v>
      </c>
      <c r="BB872" s="78" t="s">
        <v>131</v>
      </c>
      <c r="BC872" s="78" t="s">
        <v>131</v>
      </c>
      <c r="BD872" s="78" t="s">
        <v>131</v>
      </c>
      <c r="BE872" s="78" t="s">
        <v>131</v>
      </c>
      <c r="BF872" s="78" t="s">
        <v>131</v>
      </c>
      <c r="BG872" s="78" t="s">
        <v>132</v>
      </c>
      <c r="BH872" s="75" t="s">
        <v>5970</v>
      </c>
      <c r="BI872" s="295" t="s">
        <v>2227</v>
      </c>
      <c r="BJ872" s="546">
        <v>1</v>
      </c>
      <c r="BK872" s="294">
        <v>1</v>
      </c>
      <c r="BL872" s="157">
        <v>1</v>
      </c>
      <c r="BM872" s="548" t="s">
        <v>578</v>
      </c>
      <c r="BN872" s="548" t="s">
        <v>4159</v>
      </c>
      <c r="BO872" s="157" t="s">
        <v>4341</v>
      </c>
      <c r="BP872" s="548" t="s">
        <v>4343</v>
      </c>
      <c r="BQ872" s="157" t="s">
        <v>4309</v>
      </c>
      <c r="BR872" s="157"/>
    </row>
    <row r="873" spans="1:70" x14ac:dyDescent="0.25">
      <c r="A873" s="19" t="s">
        <v>3686</v>
      </c>
      <c r="B873" s="37" t="s">
        <v>2868</v>
      </c>
      <c r="C873" s="90">
        <v>45104.765717592592</v>
      </c>
      <c r="D873" s="114">
        <v>45104.515717592592</v>
      </c>
      <c r="E873" s="38">
        <v>45104</v>
      </c>
      <c r="F873" s="91">
        <v>2023</v>
      </c>
      <c r="G873" s="93">
        <v>6</v>
      </c>
      <c r="H873" s="37" t="s">
        <v>2423</v>
      </c>
      <c r="I873" s="37"/>
      <c r="J873" s="103">
        <v>-92.644186300000001</v>
      </c>
      <c r="K873" s="40">
        <v>44.844372800000002</v>
      </c>
      <c r="L873" s="74"/>
      <c r="M873" s="272" t="s">
        <v>16</v>
      </c>
      <c r="N873" s="74">
        <v>0</v>
      </c>
      <c r="O873" s="94"/>
      <c r="P873" s="118">
        <v>1</v>
      </c>
      <c r="Q873" s="510">
        <v>40</v>
      </c>
      <c r="R873" s="513">
        <v>120</v>
      </c>
      <c r="S873" s="41"/>
      <c r="T873" s="40"/>
      <c r="U873" s="40">
        <v>7.5</v>
      </c>
      <c r="V873" s="119">
        <v>1</v>
      </c>
      <c r="W873" s="40">
        <v>0</v>
      </c>
      <c r="X873" s="119">
        <v>1</v>
      </c>
      <c r="Y873" s="40">
        <v>65</v>
      </c>
      <c r="Z873" s="119">
        <v>1</v>
      </c>
      <c r="AA873" s="368">
        <v>0</v>
      </c>
      <c r="AB873" s="535">
        <v>5</v>
      </c>
      <c r="AC873" s="39" t="s">
        <v>160</v>
      </c>
      <c r="AD873" s="75" t="s">
        <v>10</v>
      </c>
      <c r="AE873" s="95">
        <v>0</v>
      </c>
      <c r="AF873" s="75">
        <v>0</v>
      </c>
      <c r="AG873" s="75">
        <v>0</v>
      </c>
      <c r="AH873" s="75">
        <v>0</v>
      </c>
      <c r="AI873" s="75">
        <v>0</v>
      </c>
      <c r="AJ873" s="75">
        <v>0</v>
      </c>
      <c r="AK873" s="75">
        <v>0</v>
      </c>
      <c r="AL873" s="95">
        <v>1</v>
      </c>
      <c r="AM873" s="92">
        <v>0</v>
      </c>
      <c r="AN873" s="79" t="s">
        <v>80</v>
      </c>
      <c r="AO873" s="75">
        <v>1</v>
      </c>
      <c r="AP873" s="75" t="s">
        <v>83</v>
      </c>
      <c r="AQ873" s="122">
        <v>1</v>
      </c>
      <c r="AR873" s="515" t="s">
        <v>10</v>
      </c>
      <c r="AS873" s="95">
        <v>0</v>
      </c>
      <c r="AT873" s="75">
        <v>0</v>
      </c>
      <c r="AU873" s="75">
        <v>0</v>
      </c>
      <c r="AV873" s="75">
        <v>0</v>
      </c>
      <c r="AW873" s="123">
        <v>0</v>
      </c>
      <c r="AX873" s="516" t="s">
        <v>2869</v>
      </c>
      <c r="AY873" s="75">
        <v>1</v>
      </c>
      <c r="AZ873" s="77" t="s">
        <v>131</v>
      </c>
      <c r="BA873" s="78" t="s">
        <v>131</v>
      </c>
      <c r="BB873" s="78" t="s">
        <v>131</v>
      </c>
      <c r="BC873" s="78" t="s">
        <v>131</v>
      </c>
      <c r="BD873" s="78" t="s">
        <v>131</v>
      </c>
      <c r="BE873" s="78" t="s">
        <v>131</v>
      </c>
      <c r="BF873" s="78" t="s">
        <v>131</v>
      </c>
      <c r="BG873" s="78" t="s">
        <v>132</v>
      </c>
      <c r="BH873" s="75" t="s">
        <v>5970</v>
      </c>
      <c r="BI873" s="295" t="s">
        <v>2227</v>
      </c>
      <c r="BJ873" s="546">
        <v>1</v>
      </c>
      <c r="BK873" s="294" t="s">
        <v>16</v>
      </c>
      <c r="BL873" s="157" t="s">
        <v>16</v>
      </c>
      <c r="BM873" s="548" t="s">
        <v>578</v>
      </c>
      <c r="BN873" s="548" t="s">
        <v>4159</v>
      </c>
      <c r="BO873" s="157" t="s">
        <v>4341</v>
      </c>
      <c r="BP873" s="548" t="s">
        <v>4343</v>
      </c>
      <c r="BQ873" s="157" t="s">
        <v>4309</v>
      </c>
      <c r="BR873" s="157"/>
    </row>
    <row r="874" spans="1:70" x14ac:dyDescent="0.25">
      <c r="A874" s="19" t="s">
        <v>3686</v>
      </c>
      <c r="B874" s="37" t="s">
        <v>2870</v>
      </c>
      <c r="C874" s="90">
        <v>45104.710069444445</v>
      </c>
      <c r="D874" s="114">
        <v>45104.460069444445</v>
      </c>
      <c r="E874" s="38">
        <v>45104</v>
      </c>
      <c r="F874" s="91">
        <v>2023</v>
      </c>
      <c r="G874" s="93">
        <v>6</v>
      </c>
      <c r="H874" s="37" t="s">
        <v>2400</v>
      </c>
      <c r="I874" s="37"/>
      <c r="J874" s="103">
        <v>-91.134721200000001</v>
      </c>
      <c r="K874" s="40">
        <v>43.139838599999997</v>
      </c>
      <c r="L874" s="74"/>
      <c r="M874" s="272" t="s">
        <v>2871</v>
      </c>
      <c r="N874" s="74">
        <v>1</v>
      </c>
      <c r="O874" s="94"/>
      <c r="P874" s="118">
        <v>1</v>
      </c>
      <c r="Q874" s="510">
        <v>120</v>
      </c>
      <c r="R874" s="513">
        <v>120</v>
      </c>
      <c r="S874" s="41"/>
      <c r="T874" s="40"/>
      <c r="U874" s="40">
        <v>8</v>
      </c>
      <c r="V874" s="119">
        <v>1</v>
      </c>
      <c r="W874" s="40">
        <v>0</v>
      </c>
      <c r="X874" s="119">
        <v>1</v>
      </c>
      <c r="Y874" s="40">
        <v>71</v>
      </c>
      <c r="Z874" s="119">
        <v>1</v>
      </c>
      <c r="AA874" s="368">
        <v>0</v>
      </c>
      <c r="AB874" s="535">
        <v>0</v>
      </c>
      <c r="AC874" s="39" t="s">
        <v>160</v>
      </c>
      <c r="AD874" s="75" t="s">
        <v>10</v>
      </c>
      <c r="AE874" s="95">
        <v>0</v>
      </c>
      <c r="AF874" s="75">
        <v>0</v>
      </c>
      <c r="AG874" s="75">
        <v>0</v>
      </c>
      <c r="AH874" s="75">
        <v>0</v>
      </c>
      <c r="AI874" s="75">
        <v>0</v>
      </c>
      <c r="AJ874" s="75">
        <v>0</v>
      </c>
      <c r="AK874" s="75">
        <v>0</v>
      </c>
      <c r="AL874" s="95">
        <v>1</v>
      </c>
      <c r="AM874" s="92">
        <v>0</v>
      </c>
      <c r="AN874" s="79" t="s">
        <v>80</v>
      </c>
      <c r="AO874" s="75">
        <v>1</v>
      </c>
      <c r="AP874" s="75" t="s">
        <v>83</v>
      </c>
      <c r="AQ874" s="122">
        <v>1</v>
      </c>
      <c r="AR874" s="515" t="s">
        <v>10</v>
      </c>
      <c r="AS874" s="95">
        <v>0</v>
      </c>
      <c r="AT874" s="75">
        <v>0</v>
      </c>
      <c r="AU874" s="75">
        <v>0</v>
      </c>
      <c r="AV874" s="75">
        <v>0</v>
      </c>
      <c r="AW874" s="123">
        <v>0</v>
      </c>
      <c r="AX874" s="516" t="s">
        <v>2872</v>
      </c>
      <c r="AY874" s="75">
        <v>1</v>
      </c>
      <c r="AZ874" s="77" t="s">
        <v>131</v>
      </c>
      <c r="BA874" s="78" t="s">
        <v>131</v>
      </c>
      <c r="BB874" s="78" t="s">
        <v>131</v>
      </c>
      <c r="BC874" s="78" t="s">
        <v>131</v>
      </c>
      <c r="BD874" s="78" t="s">
        <v>131</v>
      </c>
      <c r="BE874" s="78" t="s">
        <v>131</v>
      </c>
      <c r="BF874" s="78" t="s">
        <v>131</v>
      </c>
      <c r="BG874" s="78" t="s">
        <v>132</v>
      </c>
      <c r="BH874" s="75" t="s">
        <v>5970</v>
      </c>
      <c r="BI874" s="295" t="s">
        <v>4025</v>
      </c>
      <c r="BJ874" s="546" t="s">
        <v>16</v>
      </c>
      <c r="BK874" s="294">
        <v>1</v>
      </c>
      <c r="BL874" s="157">
        <v>1</v>
      </c>
      <c r="BM874" s="548" t="s">
        <v>1342</v>
      </c>
      <c r="BN874" s="548" t="s">
        <v>4158</v>
      </c>
      <c r="BO874" s="157" t="s">
        <v>4541</v>
      </c>
      <c r="BP874" s="548" t="s">
        <v>4545</v>
      </c>
      <c r="BQ874" s="157" t="s">
        <v>4373</v>
      </c>
      <c r="BR874" s="157"/>
    </row>
    <row r="875" spans="1:70" x14ac:dyDescent="0.25">
      <c r="A875" s="19" t="s">
        <v>3686</v>
      </c>
      <c r="B875" s="37" t="s">
        <v>2873</v>
      </c>
      <c r="C875" s="90">
        <v>45104.687824074077</v>
      </c>
      <c r="D875" s="114">
        <v>45104.437824074077</v>
      </c>
      <c r="E875" s="38">
        <v>45104</v>
      </c>
      <c r="F875" s="91">
        <v>2023</v>
      </c>
      <c r="G875" s="93">
        <v>6</v>
      </c>
      <c r="H875" s="37" t="s">
        <v>2534</v>
      </c>
      <c r="I875" s="37"/>
      <c r="J875" s="103">
        <v>-92.631832268175316</v>
      </c>
      <c r="K875" s="40">
        <v>44.855494606350661</v>
      </c>
      <c r="L875" s="74"/>
      <c r="M875" s="272" t="s">
        <v>16</v>
      </c>
      <c r="N875" s="74">
        <v>0</v>
      </c>
      <c r="O875" s="94"/>
      <c r="P875" s="118">
        <v>1</v>
      </c>
      <c r="Q875" s="510">
        <v>120</v>
      </c>
      <c r="R875" s="513">
        <v>180</v>
      </c>
      <c r="S875" s="41"/>
      <c r="T875" s="40"/>
      <c r="U875" s="40">
        <v>7.5</v>
      </c>
      <c r="V875" s="119">
        <v>1</v>
      </c>
      <c r="W875" s="40">
        <v>0</v>
      </c>
      <c r="X875" s="119">
        <v>1</v>
      </c>
      <c r="Y875" s="40">
        <v>63</v>
      </c>
      <c r="Z875" s="119">
        <v>1</v>
      </c>
      <c r="AA875" s="368">
        <v>0</v>
      </c>
      <c r="AB875" s="535">
        <v>5</v>
      </c>
      <c r="AC875" s="39" t="s">
        <v>160</v>
      </c>
      <c r="AD875" s="75" t="s">
        <v>365</v>
      </c>
      <c r="AE875" s="95">
        <v>0</v>
      </c>
      <c r="AF875" s="75">
        <v>1</v>
      </c>
      <c r="AG875" s="75">
        <v>1</v>
      </c>
      <c r="AH875" s="75">
        <v>0</v>
      </c>
      <c r="AI875" s="75">
        <v>0</v>
      </c>
      <c r="AJ875" s="75">
        <v>0</v>
      </c>
      <c r="AK875" s="75">
        <v>0</v>
      </c>
      <c r="AL875" s="95">
        <v>0</v>
      </c>
      <c r="AM875" s="92">
        <v>0</v>
      </c>
      <c r="AN875" s="79" t="s">
        <v>80</v>
      </c>
      <c r="AO875" s="75">
        <v>1</v>
      </c>
      <c r="AP875" s="75" t="s">
        <v>84</v>
      </c>
      <c r="AQ875" s="122">
        <v>1</v>
      </c>
      <c r="AR875" s="515" t="s">
        <v>10</v>
      </c>
      <c r="AS875" s="95">
        <v>0</v>
      </c>
      <c r="AT875" s="75">
        <v>0</v>
      </c>
      <c r="AU875" s="75">
        <v>0</v>
      </c>
      <c r="AV875" s="75">
        <v>0</v>
      </c>
      <c r="AW875" s="123">
        <v>0</v>
      </c>
      <c r="AX875" s="516" t="s">
        <v>2874</v>
      </c>
      <c r="AY875" s="75">
        <v>1</v>
      </c>
      <c r="AZ875" s="77" t="s">
        <v>131</v>
      </c>
      <c r="BA875" s="78" t="s">
        <v>132</v>
      </c>
      <c r="BB875" s="78" t="s">
        <v>132</v>
      </c>
      <c r="BC875" s="78" t="s">
        <v>131</v>
      </c>
      <c r="BD875" s="78" t="s">
        <v>131</v>
      </c>
      <c r="BE875" s="78" t="s">
        <v>131</v>
      </c>
      <c r="BF875" s="78" t="s">
        <v>131</v>
      </c>
      <c r="BG875" s="78" t="s">
        <v>131</v>
      </c>
      <c r="BH875" s="75" t="s">
        <v>5970</v>
      </c>
      <c r="BI875" s="295" t="s">
        <v>2227</v>
      </c>
      <c r="BJ875" s="546">
        <v>1</v>
      </c>
      <c r="BK875" s="294">
        <v>1</v>
      </c>
      <c r="BL875" s="157">
        <v>1</v>
      </c>
      <c r="BM875" s="548" t="s">
        <v>578</v>
      </c>
      <c r="BN875" s="548" t="s">
        <v>4159</v>
      </c>
      <c r="BO875" s="157" t="s">
        <v>4311</v>
      </c>
      <c r="BP875" s="548" t="s">
        <v>4395</v>
      </c>
      <c r="BQ875" s="157" t="s">
        <v>4309</v>
      </c>
      <c r="BR875" s="157"/>
    </row>
    <row r="876" spans="1:70" x14ac:dyDescent="0.25">
      <c r="A876" s="19" t="s">
        <v>3686</v>
      </c>
      <c r="B876" s="37" t="s">
        <v>2875</v>
      </c>
      <c r="C876" s="90">
        <v>45104.657233796293</v>
      </c>
      <c r="D876" s="114">
        <v>45104.407233796293</v>
      </c>
      <c r="E876" s="38">
        <v>45104</v>
      </c>
      <c r="F876" s="91">
        <v>2023</v>
      </c>
      <c r="G876" s="93">
        <v>6</v>
      </c>
      <c r="H876" s="37" t="s">
        <v>2534</v>
      </c>
      <c r="I876" s="37"/>
      <c r="J876" s="103">
        <v>-92.638147026386704</v>
      </c>
      <c r="K876" s="40">
        <v>44.851765497629643</v>
      </c>
      <c r="L876" s="74"/>
      <c r="M876" s="272" t="s">
        <v>16</v>
      </c>
      <c r="N876" s="74">
        <v>0</v>
      </c>
      <c r="O876" s="94"/>
      <c r="P876" s="118">
        <v>1</v>
      </c>
      <c r="Q876" s="510">
        <v>180</v>
      </c>
      <c r="R876" s="513">
        <v>120</v>
      </c>
      <c r="S876" s="41"/>
      <c r="T876" s="40"/>
      <c r="U876" s="40">
        <v>8</v>
      </c>
      <c r="V876" s="119">
        <v>1</v>
      </c>
      <c r="W876" s="40">
        <v>0</v>
      </c>
      <c r="X876" s="119">
        <v>1</v>
      </c>
      <c r="Y876" s="40">
        <v>61</v>
      </c>
      <c r="Z876" s="119">
        <v>1</v>
      </c>
      <c r="AA876" s="368">
        <v>0</v>
      </c>
      <c r="AB876" s="535">
        <v>5</v>
      </c>
      <c r="AC876" s="39" t="s">
        <v>160</v>
      </c>
      <c r="AD876" s="75" t="s">
        <v>16</v>
      </c>
      <c r="AE876" s="95">
        <v>-1</v>
      </c>
      <c r="AF876" s="75">
        <v>-1</v>
      </c>
      <c r="AG876" s="75">
        <v>-1</v>
      </c>
      <c r="AH876" s="75">
        <v>-1</v>
      </c>
      <c r="AI876" s="75">
        <v>-1</v>
      </c>
      <c r="AJ876" s="75">
        <v>-1</v>
      </c>
      <c r="AK876" s="75">
        <v>-1</v>
      </c>
      <c r="AL876" s="95">
        <v>-1</v>
      </c>
      <c r="AM876" s="92">
        <v>1</v>
      </c>
      <c r="AN876" s="79" t="s">
        <v>81</v>
      </c>
      <c r="AO876" s="75">
        <v>1</v>
      </c>
      <c r="AP876" s="75" t="s">
        <v>83</v>
      </c>
      <c r="AQ876" s="122">
        <v>1</v>
      </c>
      <c r="AR876" s="515" t="s">
        <v>10</v>
      </c>
      <c r="AS876" s="95">
        <v>0</v>
      </c>
      <c r="AT876" s="75">
        <v>0</v>
      </c>
      <c r="AU876" s="75">
        <v>0</v>
      </c>
      <c r="AV876" s="75">
        <v>0</v>
      </c>
      <c r="AW876" s="123">
        <v>0</v>
      </c>
      <c r="AX876" s="516" t="s">
        <v>2876</v>
      </c>
      <c r="AY876" s="75">
        <v>1</v>
      </c>
      <c r="AZ876" s="77" t="s">
        <v>5971</v>
      </c>
      <c r="BA876" s="78" t="s">
        <v>5971</v>
      </c>
      <c r="BB876" s="78" t="s">
        <v>5971</v>
      </c>
      <c r="BC876" s="78" t="s">
        <v>5971</v>
      </c>
      <c r="BD876" s="78" t="s">
        <v>5971</v>
      </c>
      <c r="BE876" s="78" t="s">
        <v>5971</v>
      </c>
      <c r="BF876" s="78" t="s">
        <v>5971</v>
      </c>
      <c r="BG876" s="78" t="s">
        <v>5971</v>
      </c>
      <c r="BH876" s="75" t="s">
        <v>5971</v>
      </c>
      <c r="BI876" s="295" t="s">
        <v>2227</v>
      </c>
      <c r="BJ876" s="546">
        <v>1</v>
      </c>
      <c r="BK876" s="294">
        <v>1</v>
      </c>
      <c r="BL876" s="157">
        <v>1</v>
      </c>
      <c r="BM876" s="548" t="s">
        <v>578</v>
      </c>
      <c r="BN876" s="548" t="s">
        <v>4159</v>
      </c>
      <c r="BO876" s="157" t="s">
        <v>4341</v>
      </c>
      <c r="BP876" s="548" t="s">
        <v>4343</v>
      </c>
      <c r="BQ876" s="157" t="s">
        <v>4309</v>
      </c>
      <c r="BR876" s="157"/>
    </row>
    <row r="877" spans="1:70" x14ac:dyDescent="0.25">
      <c r="A877" s="19" t="s">
        <v>3686</v>
      </c>
      <c r="B877" s="37" t="s">
        <v>2877</v>
      </c>
      <c r="C877" s="90">
        <v>45104.638668981483</v>
      </c>
      <c r="D877" s="114">
        <v>45104.388668981483</v>
      </c>
      <c r="E877" s="38">
        <v>45104</v>
      </c>
      <c r="F877" s="91">
        <v>2023</v>
      </c>
      <c r="G877" s="93">
        <v>6</v>
      </c>
      <c r="H877" s="37" t="s">
        <v>2534</v>
      </c>
      <c r="I877" s="37"/>
      <c r="J877" s="103">
        <v>-92.636342151176777</v>
      </c>
      <c r="K877" s="40">
        <v>44.854659601156463</v>
      </c>
      <c r="L877" s="74"/>
      <c r="M877" s="272" t="s">
        <v>16</v>
      </c>
      <c r="N877" s="74">
        <v>0</v>
      </c>
      <c r="O877" s="94"/>
      <c r="P877" s="118">
        <v>1</v>
      </c>
      <c r="Q877" s="510">
        <v>180</v>
      </c>
      <c r="R877" s="513">
        <v>180</v>
      </c>
      <c r="S877" s="41"/>
      <c r="T877" s="40"/>
      <c r="U877" s="40">
        <v>7</v>
      </c>
      <c r="V877" s="119">
        <v>1</v>
      </c>
      <c r="W877" s="40">
        <v>0</v>
      </c>
      <c r="X877" s="119">
        <v>1</v>
      </c>
      <c r="Y877" s="40">
        <v>60</v>
      </c>
      <c r="Z877" s="119">
        <v>1</v>
      </c>
      <c r="AA877" s="368">
        <v>0</v>
      </c>
      <c r="AB877" s="535">
        <v>5</v>
      </c>
      <c r="AC877" s="39" t="s">
        <v>160</v>
      </c>
      <c r="AD877" s="75" t="s">
        <v>365</v>
      </c>
      <c r="AE877" s="95">
        <v>0</v>
      </c>
      <c r="AF877" s="75">
        <v>1</v>
      </c>
      <c r="AG877" s="75">
        <v>1</v>
      </c>
      <c r="AH877" s="75">
        <v>0</v>
      </c>
      <c r="AI877" s="75">
        <v>0</v>
      </c>
      <c r="AJ877" s="75">
        <v>0</v>
      </c>
      <c r="AK877" s="75">
        <v>0</v>
      </c>
      <c r="AL877" s="95">
        <v>0</v>
      </c>
      <c r="AM877" s="92">
        <v>0</v>
      </c>
      <c r="AN877" s="79" t="s">
        <v>81</v>
      </c>
      <c r="AO877" s="75">
        <v>1</v>
      </c>
      <c r="AP877" s="75" t="s">
        <v>83</v>
      </c>
      <c r="AQ877" s="122">
        <v>1</v>
      </c>
      <c r="AR877" s="515" t="s">
        <v>10</v>
      </c>
      <c r="AS877" s="95">
        <v>0</v>
      </c>
      <c r="AT877" s="75">
        <v>0</v>
      </c>
      <c r="AU877" s="75">
        <v>0</v>
      </c>
      <c r="AV877" s="75">
        <v>0</v>
      </c>
      <c r="AW877" s="123">
        <v>0</v>
      </c>
      <c r="AX877" s="516" t="s">
        <v>2878</v>
      </c>
      <c r="AY877" s="75">
        <v>1</v>
      </c>
      <c r="AZ877" s="77" t="s">
        <v>131</v>
      </c>
      <c r="BA877" s="78" t="s">
        <v>132</v>
      </c>
      <c r="BB877" s="78" t="s">
        <v>132</v>
      </c>
      <c r="BC877" s="78" t="s">
        <v>131</v>
      </c>
      <c r="BD877" s="78" t="s">
        <v>131</v>
      </c>
      <c r="BE877" s="78" t="s">
        <v>131</v>
      </c>
      <c r="BF877" s="78" t="s">
        <v>131</v>
      </c>
      <c r="BG877" s="78" t="s">
        <v>131</v>
      </c>
      <c r="BH877" s="75" t="s">
        <v>5970</v>
      </c>
      <c r="BI877" s="295" t="s">
        <v>2227</v>
      </c>
      <c r="BJ877" s="546">
        <v>1</v>
      </c>
      <c r="BK877" s="294">
        <v>1</v>
      </c>
      <c r="BL877" s="157">
        <v>1</v>
      </c>
      <c r="BM877" s="548" t="s">
        <v>578</v>
      </c>
      <c r="BN877" s="548" t="s">
        <v>4159</v>
      </c>
      <c r="BO877" s="157" t="s">
        <v>4341</v>
      </c>
      <c r="BP877" s="548" t="s">
        <v>4343</v>
      </c>
      <c r="BQ877" s="157" t="s">
        <v>4309</v>
      </c>
      <c r="BR877" s="157"/>
    </row>
    <row r="878" spans="1:70" x14ac:dyDescent="0.25">
      <c r="A878" s="19" t="s">
        <v>3686</v>
      </c>
      <c r="B878" s="37" t="s">
        <v>2879</v>
      </c>
      <c r="C878" s="90">
        <v>45104.627025462964</v>
      </c>
      <c r="D878" s="114">
        <v>45104.377025462964</v>
      </c>
      <c r="E878" s="38">
        <v>45104</v>
      </c>
      <c r="F878" s="91">
        <v>2023</v>
      </c>
      <c r="G878" s="93">
        <v>6</v>
      </c>
      <c r="H878" s="37" t="s">
        <v>2654</v>
      </c>
      <c r="I878" s="37" t="s">
        <v>16</v>
      </c>
      <c r="J878" s="103">
        <v>-90.770084900000001</v>
      </c>
      <c r="K878" s="40">
        <v>44.401094200000003</v>
      </c>
      <c r="L878" s="74"/>
      <c r="M878" s="272" t="s">
        <v>2880</v>
      </c>
      <c r="N878" s="74">
        <v>1</v>
      </c>
      <c r="O878" s="94"/>
      <c r="P878" s="118">
        <v>0</v>
      </c>
      <c r="Q878" s="510"/>
      <c r="R878" s="513"/>
      <c r="S878" s="41"/>
      <c r="T878" s="40"/>
      <c r="U878" s="40"/>
      <c r="V878" s="119">
        <v>1</v>
      </c>
      <c r="W878" s="40">
        <v>0</v>
      </c>
      <c r="X878" s="119">
        <v>1</v>
      </c>
      <c r="Y878" s="40">
        <v>55</v>
      </c>
      <c r="Z878" s="119">
        <v>0</v>
      </c>
      <c r="AA878" s="368" t="s">
        <v>16</v>
      </c>
      <c r="AB878" s="535" t="s">
        <v>16</v>
      </c>
      <c r="AC878" s="39" t="s">
        <v>160</v>
      </c>
      <c r="AD878" s="75" t="s">
        <v>7</v>
      </c>
      <c r="AE878" s="95">
        <v>1</v>
      </c>
      <c r="AF878" s="75">
        <v>0</v>
      </c>
      <c r="AG878" s="75">
        <v>0</v>
      </c>
      <c r="AH878" s="75">
        <v>0</v>
      </c>
      <c r="AI878" s="75">
        <v>0</v>
      </c>
      <c r="AJ878" s="75">
        <v>0</v>
      </c>
      <c r="AK878" s="75">
        <v>0</v>
      </c>
      <c r="AL878" s="95">
        <v>0</v>
      </c>
      <c r="AM878" s="92">
        <v>0</v>
      </c>
      <c r="AN878" s="79" t="s">
        <v>80</v>
      </c>
      <c r="AO878" s="75">
        <v>1</v>
      </c>
      <c r="AP878" s="75" t="s">
        <v>83</v>
      </c>
      <c r="AQ878" s="122">
        <v>1</v>
      </c>
      <c r="AR878" s="515" t="s">
        <v>10</v>
      </c>
      <c r="AS878" s="95">
        <v>0</v>
      </c>
      <c r="AT878" s="75">
        <v>0</v>
      </c>
      <c r="AU878" s="75">
        <v>0</v>
      </c>
      <c r="AV878" s="75">
        <v>0</v>
      </c>
      <c r="AW878" s="123">
        <v>0</v>
      </c>
      <c r="AX878" s="516" t="s">
        <v>2881</v>
      </c>
      <c r="AY878" s="75">
        <v>1</v>
      </c>
      <c r="AZ878" s="77" t="s">
        <v>132</v>
      </c>
      <c r="BA878" s="78" t="s">
        <v>131</v>
      </c>
      <c r="BB878" s="78" t="s">
        <v>131</v>
      </c>
      <c r="BC878" s="78" t="s">
        <v>131</v>
      </c>
      <c r="BD878" s="78" t="s">
        <v>131</v>
      </c>
      <c r="BE878" s="78" t="s">
        <v>131</v>
      </c>
      <c r="BF878" s="78" t="s">
        <v>131</v>
      </c>
      <c r="BG878" s="78" t="s">
        <v>131</v>
      </c>
      <c r="BH878" s="75" t="s">
        <v>5970</v>
      </c>
      <c r="BI878" s="295" t="s">
        <v>3993</v>
      </c>
      <c r="BJ878" s="546">
        <v>1</v>
      </c>
      <c r="BK878" s="294">
        <v>1</v>
      </c>
      <c r="BL878" s="157">
        <v>1</v>
      </c>
      <c r="BM878" s="548" t="s">
        <v>1340</v>
      </c>
      <c r="BN878" s="548" t="s">
        <v>4158</v>
      </c>
      <c r="BO878" s="157" t="s">
        <v>4546</v>
      </c>
      <c r="BP878" s="548" t="s">
        <v>4547</v>
      </c>
      <c r="BQ878" s="157" t="s">
        <v>4477</v>
      </c>
      <c r="BR878" s="157"/>
    </row>
    <row r="879" spans="1:70" x14ac:dyDescent="0.25">
      <c r="A879" s="19" t="s">
        <v>3686</v>
      </c>
      <c r="B879" s="37" t="s">
        <v>2882</v>
      </c>
      <c r="C879" s="90">
        <v>45104.618055555555</v>
      </c>
      <c r="D879" s="114">
        <v>45104.368055555555</v>
      </c>
      <c r="E879" s="38">
        <v>45104</v>
      </c>
      <c r="F879" s="91">
        <v>2023</v>
      </c>
      <c r="G879" s="93">
        <v>6</v>
      </c>
      <c r="H879" s="37" t="s">
        <v>598</v>
      </c>
      <c r="I879" s="37"/>
      <c r="J879" s="103">
        <v>-91.823754030145636</v>
      </c>
      <c r="K879" s="40">
        <v>43.642520063800134</v>
      </c>
      <c r="L879" s="74"/>
      <c r="M879" s="272" t="s">
        <v>2883</v>
      </c>
      <c r="N879" s="74">
        <v>1</v>
      </c>
      <c r="O879" s="94"/>
      <c r="P879" s="118">
        <v>1</v>
      </c>
      <c r="Q879" s="510">
        <v>0</v>
      </c>
      <c r="R879" s="513">
        <v>60</v>
      </c>
      <c r="S879" s="41"/>
      <c r="T879" s="40"/>
      <c r="U879" s="40">
        <v>7</v>
      </c>
      <c r="V879" s="119">
        <v>1</v>
      </c>
      <c r="W879" s="40">
        <v>200</v>
      </c>
      <c r="X879" s="119">
        <v>1</v>
      </c>
      <c r="Y879" s="40">
        <v>59</v>
      </c>
      <c r="Z879" s="119">
        <v>1</v>
      </c>
      <c r="AA879" s="368">
        <v>0</v>
      </c>
      <c r="AB879" s="535">
        <v>5</v>
      </c>
      <c r="AC879" s="39" t="s">
        <v>160</v>
      </c>
      <c r="AD879" s="75" t="s">
        <v>10</v>
      </c>
      <c r="AE879" s="95">
        <v>0</v>
      </c>
      <c r="AF879" s="75">
        <v>0</v>
      </c>
      <c r="AG879" s="75">
        <v>0</v>
      </c>
      <c r="AH879" s="75">
        <v>0</v>
      </c>
      <c r="AI879" s="75">
        <v>0</v>
      </c>
      <c r="AJ879" s="75">
        <v>0</v>
      </c>
      <c r="AK879" s="75">
        <v>0</v>
      </c>
      <c r="AL879" s="95">
        <v>1</v>
      </c>
      <c r="AM879" s="92">
        <v>0</v>
      </c>
      <c r="AN879" s="79" t="s">
        <v>80</v>
      </c>
      <c r="AO879" s="75">
        <v>1</v>
      </c>
      <c r="AP879" s="75" t="s">
        <v>83</v>
      </c>
      <c r="AQ879" s="122">
        <v>1</v>
      </c>
      <c r="AR879" s="515" t="s">
        <v>10</v>
      </c>
      <c r="AS879" s="95">
        <v>0</v>
      </c>
      <c r="AT879" s="75">
        <v>0</v>
      </c>
      <c r="AU879" s="75">
        <v>0</v>
      </c>
      <c r="AV879" s="75">
        <v>0</v>
      </c>
      <c r="AW879" s="123">
        <v>0</v>
      </c>
      <c r="AX879" s="516" t="s">
        <v>2884</v>
      </c>
      <c r="AY879" s="75">
        <v>1</v>
      </c>
      <c r="AZ879" s="77" t="s">
        <v>131</v>
      </c>
      <c r="BA879" s="78" t="s">
        <v>131</v>
      </c>
      <c r="BB879" s="78" t="s">
        <v>131</v>
      </c>
      <c r="BC879" s="78" t="s">
        <v>131</v>
      </c>
      <c r="BD879" s="78" t="s">
        <v>131</v>
      </c>
      <c r="BE879" s="78" t="s">
        <v>131</v>
      </c>
      <c r="BF879" s="78" t="s">
        <v>131</v>
      </c>
      <c r="BG879" s="78" t="s">
        <v>132</v>
      </c>
      <c r="BH879" s="75" t="s">
        <v>5970</v>
      </c>
      <c r="BI879" s="295" t="s">
        <v>2249</v>
      </c>
      <c r="BJ879" s="546">
        <v>1</v>
      </c>
      <c r="BK879" s="294">
        <v>1</v>
      </c>
      <c r="BL879" s="157">
        <v>1</v>
      </c>
      <c r="BM879" s="548" t="s">
        <v>1341</v>
      </c>
      <c r="BN879" s="548" t="s">
        <v>1339</v>
      </c>
      <c r="BO879" s="157" t="s">
        <v>4418</v>
      </c>
      <c r="BP879" s="548" t="s">
        <v>4419</v>
      </c>
      <c r="BQ879" s="157" t="s">
        <v>4232</v>
      </c>
      <c r="BR879" s="157"/>
    </row>
    <row r="880" spans="1:70" x14ac:dyDescent="0.25">
      <c r="A880" s="19" t="s">
        <v>3686</v>
      </c>
      <c r="B880" s="37" t="s">
        <v>2885</v>
      </c>
      <c r="C880" s="90">
        <v>45104.608900462961</v>
      </c>
      <c r="D880" s="114">
        <v>45104.358900462961</v>
      </c>
      <c r="E880" s="38">
        <v>45104</v>
      </c>
      <c r="F880" s="91">
        <v>2023</v>
      </c>
      <c r="G880" s="93">
        <v>6</v>
      </c>
      <c r="H880" s="37" t="s">
        <v>2534</v>
      </c>
      <c r="I880" s="37" t="s">
        <v>146</v>
      </c>
      <c r="J880" s="103">
        <v>-92.624264713005616</v>
      </c>
      <c r="K880" s="40">
        <v>44.864055262089536</v>
      </c>
      <c r="L880" s="74"/>
      <c r="M880" s="272" t="s">
        <v>16</v>
      </c>
      <c r="N880" s="74">
        <v>0</v>
      </c>
      <c r="O880" s="94"/>
      <c r="P880" s="118">
        <v>1</v>
      </c>
      <c r="Q880" s="510">
        <v>120</v>
      </c>
      <c r="R880" s="513">
        <v>180</v>
      </c>
      <c r="S880" s="41"/>
      <c r="T880" s="40"/>
      <c r="U880" s="40">
        <v>7.5</v>
      </c>
      <c r="V880" s="119">
        <v>1</v>
      </c>
      <c r="W880" s="40">
        <v>0</v>
      </c>
      <c r="X880" s="119">
        <v>1</v>
      </c>
      <c r="Y880" s="40">
        <v>57</v>
      </c>
      <c r="Z880" s="119">
        <v>1</v>
      </c>
      <c r="AA880" s="368">
        <v>0</v>
      </c>
      <c r="AB880" s="535">
        <v>5</v>
      </c>
      <c r="AC880" s="39" t="s">
        <v>160</v>
      </c>
      <c r="AD880" s="75" t="s">
        <v>355</v>
      </c>
      <c r="AE880" s="95">
        <v>0</v>
      </c>
      <c r="AF880" s="75">
        <v>0</v>
      </c>
      <c r="AG880" s="75">
        <v>0</v>
      </c>
      <c r="AH880" s="75">
        <v>1</v>
      </c>
      <c r="AI880" s="75">
        <v>0</v>
      </c>
      <c r="AJ880" s="75">
        <v>0</v>
      </c>
      <c r="AK880" s="75">
        <v>0</v>
      </c>
      <c r="AL880" s="95">
        <v>0</v>
      </c>
      <c r="AM880" s="92">
        <v>0</v>
      </c>
      <c r="AN880" s="79" t="s">
        <v>80</v>
      </c>
      <c r="AO880" s="75">
        <v>1</v>
      </c>
      <c r="AP880" s="75" t="s">
        <v>83</v>
      </c>
      <c r="AQ880" s="122">
        <v>1</v>
      </c>
      <c r="AR880" s="515" t="s">
        <v>10</v>
      </c>
      <c r="AS880" s="95">
        <v>0</v>
      </c>
      <c r="AT880" s="75">
        <v>0</v>
      </c>
      <c r="AU880" s="75">
        <v>0</v>
      </c>
      <c r="AV880" s="75">
        <v>0</v>
      </c>
      <c r="AW880" s="123">
        <v>0</v>
      </c>
      <c r="AX880" s="516" t="s">
        <v>2886</v>
      </c>
      <c r="AY880" s="75">
        <v>1</v>
      </c>
      <c r="AZ880" s="77" t="s">
        <v>131</v>
      </c>
      <c r="BA880" s="78" t="s">
        <v>131</v>
      </c>
      <c r="BB880" s="78" t="s">
        <v>131</v>
      </c>
      <c r="BC880" s="78" t="s">
        <v>132</v>
      </c>
      <c r="BD880" s="78" t="s">
        <v>131</v>
      </c>
      <c r="BE880" s="78" t="s">
        <v>131</v>
      </c>
      <c r="BF880" s="78" t="s">
        <v>131</v>
      </c>
      <c r="BG880" s="78" t="s">
        <v>131</v>
      </c>
      <c r="BH880" s="75" t="s">
        <v>5970</v>
      </c>
      <c r="BI880" s="295" t="s">
        <v>16</v>
      </c>
      <c r="BJ880" s="546">
        <v>1</v>
      </c>
      <c r="BK880" s="294" t="s">
        <v>16</v>
      </c>
      <c r="BL880" s="157" t="s">
        <v>16</v>
      </c>
      <c r="BM880" s="548" t="s">
        <v>578</v>
      </c>
      <c r="BN880" s="548" t="s">
        <v>4159</v>
      </c>
      <c r="BO880" s="157" t="s">
        <v>4311</v>
      </c>
      <c r="BP880" s="548" t="s">
        <v>4395</v>
      </c>
      <c r="BQ880" s="157" t="s">
        <v>4309</v>
      </c>
      <c r="BR880" s="157"/>
    </row>
    <row r="881" spans="1:70" x14ac:dyDescent="0.25">
      <c r="A881" s="19" t="s">
        <v>3686</v>
      </c>
      <c r="B881" s="37" t="s">
        <v>2887</v>
      </c>
      <c r="C881" s="90">
        <v>45104.563761574071</v>
      </c>
      <c r="D881" s="114">
        <v>45104.313761574071</v>
      </c>
      <c r="E881" s="38">
        <v>45104</v>
      </c>
      <c r="F881" s="91">
        <v>2023</v>
      </c>
      <c r="G881" s="93">
        <v>6</v>
      </c>
      <c r="H881" s="37" t="s">
        <v>2534</v>
      </c>
      <c r="I881" s="37" t="s">
        <v>16</v>
      </c>
      <c r="J881" s="103">
        <v>-92.62131122494786</v>
      </c>
      <c r="K881" s="40">
        <v>44.875134772142196</v>
      </c>
      <c r="L881" s="74"/>
      <c r="M881" s="272" t="s">
        <v>16</v>
      </c>
      <c r="N881" s="74">
        <v>0</v>
      </c>
      <c r="O881" s="94"/>
      <c r="P881" s="118">
        <v>1</v>
      </c>
      <c r="Q881" s="510">
        <v>40</v>
      </c>
      <c r="R881" s="513">
        <v>180</v>
      </c>
      <c r="S881" s="41"/>
      <c r="T881" s="40"/>
      <c r="U881" s="40">
        <v>8</v>
      </c>
      <c r="V881" s="119">
        <v>1</v>
      </c>
      <c r="W881" s="40">
        <v>0</v>
      </c>
      <c r="X881" s="119">
        <v>1</v>
      </c>
      <c r="Y881" s="40">
        <v>56</v>
      </c>
      <c r="Z881" s="119">
        <v>1</v>
      </c>
      <c r="AA881" s="368">
        <v>0</v>
      </c>
      <c r="AB881" s="535">
        <v>0</v>
      </c>
      <c r="AC881" s="39" t="s">
        <v>160</v>
      </c>
      <c r="AD881" s="75" t="s">
        <v>10</v>
      </c>
      <c r="AE881" s="95">
        <v>0</v>
      </c>
      <c r="AF881" s="75">
        <v>0</v>
      </c>
      <c r="AG881" s="75">
        <v>0</v>
      </c>
      <c r="AH881" s="75">
        <v>0</v>
      </c>
      <c r="AI881" s="75">
        <v>0</v>
      </c>
      <c r="AJ881" s="75">
        <v>0</v>
      </c>
      <c r="AK881" s="75">
        <v>0</v>
      </c>
      <c r="AL881" s="95">
        <v>1</v>
      </c>
      <c r="AM881" s="92">
        <v>0</v>
      </c>
      <c r="AN881" s="79" t="s">
        <v>81</v>
      </c>
      <c r="AO881" s="75">
        <v>1</v>
      </c>
      <c r="AP881" s="75" t="s">
        <v>83</v>
      </c>
      <c r="AQ881" s="122">
        <v>1</v>
      </c>
      <c r="AR881" s="515" t="s">
        <v>10</v>
      </c>
      <c r="AS881" s="95">
        <v>0</v>
      </c>
      <c r="AT881" s="75">
        <v>0</v>
      </c>
      <c r="AU881" s="75">
        <v>0</v>
      </c>
      <c r="AV881" s="75">
        <v>0</v>
      </c>
      <c r="AW881" s="123">
        <v>0</v>
      </c>
      <c r="AX881" s="516" t="s">
        <v>2888</v>
      </c>
      <c r="AY881" s="75">
        <v>1</v>
      </c>
      <c r="AZ881" s="77" t="s">
        <v>131</v>
      </c>
      <c r="BA881" s="78" t="s">
        <v>131</v>
      </c>
      <c r="BB881" s="78" t="s">
        <v>131</v>
      </c>
      <c r="BC881" s="78" t="s">
        <v>131</v>
      </c>
      <c r="BD881" s="78" t="s">
        <v>131</v>
      </c>
      <c r="BE881" s="78" t="s">
        <v>131</v>
      </c>
      <c r="BF881" s="78" t="s">
        <v>131</v>
      </c>
      <c r="BG881" s="78" t="s">
        <v>132</v>
      </c>
      <c r="BH881" s="75" t="s">
        <v>5970</v>
      </c>
      <c r="BI881" s="295" t="s">
        <v>2227</v>
      </c>
      <c r="BJ881" s="546">
        <v>1</v>
      </c>
      <c r="BK881" s="294" t="s">
        <v>16</v>
      </c>
      <c r="BL881" s="157" t="s">
        <v>16</v>
      </c>
      <c r="BM881" s="548" t="s">
        <v>578</v>
      </c>
      <c r="BN881" s="548" t="s">
        <v>4159</v>
      </c>
      <c r="BO881" s="157" t="s">
        <v>4311</v>
      </c>
      <c r="BP881" s="548" t="s">
        <v>4395</v>
      </c>
      <c r="BQ881" s="157" t="s">
        <v>4309</v>
      </c>
      <c r="BR881" s="157"/>
    </row>
    <row r="882" spans="1:70" x14ac:dyDescent="0.25">
      <c r="A882" s="19" t="s">
        <v>3686</v>
      </c>
      <c r="B882" s="37" t="s">
        <v>2889</v>
      </c>
      <c r="C882" s="90">
        <v>45103.967268518521</v>
      </c>
      <c r="D882" s="114">
        <v>45103.717268518521</v>
      </c>
      <c r="E882" s="38">
        <v>45103</v>
      </c>
      <c r="F882" s="91">
        <v>2023</v>
      </c>
      <c r="G882" s="93">
        <v>6</v>
      </c>
      <c r="H882" s="37" t="s">
        <v>2761</v>
      </c>
      <c r="I882" s="37" t="s">
        <v>1411</v>
      </c>
      <c r="J882" s="103">
        <v>-93.231312689545717</v>
      </c>
      <c r="K882" s="40">
        <v>44.846814293280929</v>
      </c>
      <c r="L882" s="74"/>
      <c r="M882" s="272" t="s">
        <v>2890</v>
      </c>
      <c r="N882" s="74">
        <v>1</v>
      </c>
      <c r="O882" s="94"/>
      <c r="P882" s="118">
        <v>1</v>
      </c>
      <c r="Q882" s="510">
        <v>180</v>
      </c>
      <c r="R882" s="513">
        <v>180</v>
      </c>
      <c r="S882" s="41"/>
      <c r="T882" s="40"/>
      <c r="U882" s="40">
        <v>7.5</v>
      </c>
      <c r="V882" s="119">
        <v>1</v>
      </c>
      <c r="W882" s="40">
        <v>0</v>
      </c>
      <c r="X882" s="119">
        <v>1</v>
      </c>
      <c r="Y882" s="40">
        <v>63</v>
      </c>
      <c r="Z882" s="119">
        <v>1</v>
      </c>
      <c r="AA882" s="368">
        <v>0</v>
      </c>
      <c r="AB882" s="535">
        <v>2</v>
      </c>
      <c r="AC882" s="39" t="s">
        <v>160</v>
      </c>
      <c r="AD882" s="75" t="s">
        <v>10</v>
      </c>
      <c r="AE882" s="95">
        <v>0</v>
      </c>
      <c r="AF882" s="75">
        <v>0</v>
      </c>
      <c r="AG882" s="75">
        <v>0</v>
      </c>
      <c r="AH882" s="75">
        <v>0</v>
      </c>
      <c r="AI882" s="75">
        <v>0</v>
      </c>
      <c r="AJ882" s="75">
        <v>0</v>
      </c>
      <c r="AK882" s="75">
        <v>0</v>
      </c>
      <c r="AL882" s="95">
        <v>1</v>
      </c>
      <c r="AM882" s="92">
        <v>0</v>
      </c>
      <c r="AN882" s="79" t="s">
        <v>81</v>
      </c>
      <c r="AO882" s="75">
        <v>1</v>
      </c>
      <c r="AP882" s="75" t="s">
        <v>83</v>
      </c>
      <c r="AQ882" s="122">
        <v>1</v>
      </c>
      <c r="AR882" s="515" t="s">
        <v>35</v>
      </c>
      <c r="AS882" s="95">
        <v>0</v>
      </c>
      <c r="AT882" s="75">
        <v>1</v>
      </c>
      <c r="AU882" s="75">
        <v>0</v>
      </c>
      <c r="AV882" s="75">
        <v>0</v>
      </c>
      <c r="AW882" s="123">
        <v>0</v>
      </c>
      <c r="AX882" s="516"/>
      <c r="AY882" s="75">
        <v>0</v>
      </c>
      <c r="AZ882" s="77" t="s">
        <v>131</v>
      </c>
      <c r="BA882" s="78" t="s">
        <v>131</v>
      </c>
      <c r="BB882" s="78" t="s">
        <v>131</v>
      </c>
      <c r="BC882" s="78" t="s">
        <v>131</v>
      </c>
      <c r="BD882" s="78" t="s">
        <v>131</v>
      </c>
      <c r="BE882" s="78" t="s">
        <v>131</v>
      </c>
      <c r="BF882" s="78" t="s">
        <v>131</v>
      </c>
      <c r="BG882" s="78" t="s">
        <v>132</v>
      </c>
      <c r="BH882" s="75" t="s">
        <v>5970</v>
      </c>
      <c r="BI882" s="295" t="s">
        <v>16</v>
      </c>
      <c r="BJ882" s="546" t="s">
        <v>16</v>
      </c>
      <c r="BK882" s="294" t="s">
        <v>16</v>
      </c>
      <c r="BL882" s="157" t="s">
        <v>16</v>
      </c>
      <c r="BM882" s="548" t="s">
        <v>2343</v>
      </c>
      <c r="BN882" s="548" t="s">
        <v>4161</v>
      </c>
      <c r="BO882" s="157" t="s">
        <v>4327</v>
      </c>
      <c r="BP882" s="548" t="s">
        <v>4314</v>
      </c>
      <c r="BQ882" s="157" t="s">
        <v>4312</v>
      </c>
      <c r="BR882" s="157"/>
    </row>
    <row r="883" spans="1:70" x14ac:dyDescent="0.25">
      <c r="A883" s="19" t="s">
        <v>3686</v>
      </c>
      <c r="B883" s="37" t="s">
        <v>2891</v>
      </c>
      <c r="C883" s="90">
        <v>45103.918402777781</v>
      </c>
      <c r="D883" s="114">
        <v>45103.668402777781</v>
      </c>
      <c r="E883" s="38">
        <v>45103</v>
      </c>
      <c r="F883" s="91">
        <v>2023</v>
      </c>
      <c r="G883" s="93">
        <v>6</v>
      </c>
      <c r="H883" s="37" t="s">
        <v>475</v>
      </c>
      <c r="I883" s="37"/>
      <c r="J883" s="103">
        <v>-92.224449939405162</v>
      </c>
      <c r="K883" s="40">
        <v>43.622236641619608</v>
      </c>
      <c r="L883" s="74"/>
      <c r="M883" s="272" t="s">
        <v>2892</v>
      </c>
      <c r="N883" s="74">
        <v>1</v>
      </c>
      <c r="O883" s="94"/>
      <c r="P883" s="118">
        <v>1</v>
      </c>
      <c r="Q883" s="510">
        <v>180</v>
      </c>
      <c r="R883" s="513">
        <v>180</v>
      </c>
      <c r="S883" s="41"/>
      <c r="T883" s="40"/>
      <c r="U883" s="40">
        <v>7.5</v>
      </c>
      <c r="V883" s="119">
        <v>1</v>
      </c>
      <c r="W883" s="40">
        <v>0</v>
      </c>
      <c r="X883" s="119">
        <v>1</v>
      </c>
      <c r="Y883" s="40">
        <v>57</v>
      </c>
      <c r="Z883" s="119">
        <v>1</v>
      </c>
      <c r="AA883" s="368">
        <v>0</v>
      </c>
      <c r="AB883" s="535">
        <v>5</v>
      </c>
      <c r="AC883" s="39" t="s">
        <v>160</v>
      </c>
      <c r="AD883" s="75" t="s">
        <v>10</v>
      </c>
      <c r="AE883" s="95">
        <v>0</v>
      </c>
      <c r="AF883" s="75">
        <v>0</v>
      </c>
      <c r="AG883" s="75">
        <v>0</v>
      </c>
      <c r="AH883" s="75">
        <v>0</v>
      </c>
      <c r="AI883" s="75">
        <v>0</v>
      </c>
      <c r="AJ883" s="75">
        <v>0</v>
      </c>
      <c r="AK883" s="75">
        <v>0</v>
      </c>
      <c r="AL883" s="95">
        <v>1</v>
      </c>
      <c r="AM883" s="92">
        <v>0</v>
      </c>
      <c r="AN883" s="79" t="s">
        <v>80</v>
      </c>
      <c r="AO883" s="75">
        <v>1</v>
      </c>
      <c r="AP883" s="75" t="s">
        <v>83</v>
      </c>
      <c r="AQ883" s="122">
        <v>1</v>
      </c>
      <c r="AR883" s="515" t="s">
        <v>10</v>
      </c>
      <c r="AS883" s="95">
        <v>0</v>
      </c>
      <c r="AT883" s="75">
        <v>0</v>
      </c>
      <c r="AU883" s="75">
        <v>0</v>
      </c>
      <c r="AV883" s="75">
        <v>0</v>
      </c>
      <c r="AW883" s="123">
        <v>0</v>
      </c>
      <c r="AX883" s="516" t="s">
        <v>2893</v>
      </c>
      <c r="AY883" s="75">
        <v>1</v>
      </c>
      <c r="AZ883" s="77" t="s">
        <v>131</v>
      </c>
      <c r="BA883" s="78" t="s">
        <v>131</v>
      </c>
      <c r="BB883" s="78" t="s">
        <v>131</v>
      </c>
      <c r="BC883" s="78" t="s">
        <v>131</v>
      </c>
      <c r="BD883" s="78" t="s">
        <v>131</v>
      </c>
      <c r="BE883" s="78" t="s">
        <v>131</v>
      </c>
      <c r="BF883" s="78" t="s">
        <v>131</v>
      </c>
      <c r="BG883" s="78" t="s">
        <v>132</v>
      </c>
      <c r="BH883" s="75" t="s">
        <v>5970</v>
      </c>
      <c r="BI883" s="295" t="s">
        <v>16</v>
      </c>
      <c r="BJ883" s="546">
        <v>1</v>
      </c>
      <c r="BK883" s="294" t="s">
        <v>16</v>
      </c>
      <c r="BL883" s="157" t="s">
        <v>16</v>
      </c>
      <c r="BM883" s="548" t="s">
        <v>1339</v>
      </c>
      <c r="BN883" s="548" t="s">
        <v>1339</v>
      </c>
      <c r="BO883" s="157" t="s">
        <v>4332</v>
      </c>
      <c r="BP883" s="548" t="s">
        <v>4333</v>
      </c>
      <c r="BQ883" s="157" t="s">
        <v>4229</v>
      </c>
      <c r="BR883" s="157"/>
    </row>
    <row r="884" spans="1:70" x14ac:dyDescent="0.25">
      <c r="A884" s="19" t="s">
        <v>3686</v>
      </c>
      <c r="B884" s="37" t="s">
        <v>2894</v>
      </c>
      <c r="C884" s="90">
        <v>45103.901284722226</v>
      </c>
      <c r="D884" s="114">
        <v>45103.651284722226</v>
      </c>
      <c r="E884" s="38">
        <v>45103</v>
      </c>
      <c r="F884" s="91">
        <v>2023</v>
      </c>
      <c r="G884" s="93">
        <v>6</v>
      </c>
      <c r="H884" s="37" t="s">
        <v>2654</v>
      </c>
      <c r="I884" s="37"/>
      <c r="J884" s="103">
        <v>-90.742153400000007</v>
      </c>
      <c r="K884" s="40">
        <v>44.355875099999999</v>
      </c>
      <c r="L884" s="74"/>
      <c r="M884" s="272" t="s">
        <v>2895</v>
      </c>
      <c r="N884" s="74">
        <v>1</v>
      </c>
      <c r="O884" s="94"/>
      <c r="P884" s="118">
        <v>1</v>
      </c>
      <c r="Q884" s="510">
        <v>40</v>
      </c>
      <c r="R884" s="513">
        <v>30</v>
      </c>
      <c r="S884" s="41"/>
      <c r="T884" s="40"/>
      <c r="U884" s="40">
        <v>6</v>
      </c>
      <c r="V884" s="119">
        <v>1</v>
      </c>
      <c r="W884" s="40">
        <v>0</v>
      </c>
      <c r="X884" s="119">
        <v>1</v>
      </c>
      <c r="Y884" s="40">
        <v>57</v>
      </c>
      <c r="Z884" s="119">
        <v>1</v>
      </c>
      <c r="AA884" s="368">
        <v>0</v>
      </c>
      <c r="AB884" s="535">
        <v>0</v>
      </c>
      <c r="AC884" s="39" t="s">
        <v>160</v>
      </c>
      <c r="AD884" s="75" t="s">
        <v>10</v>
      </c>
      <c r="AE884" s="95">
        <v>0</v>
      </c>
      <c r="AF884" s="75">
        <v>0</v>
      </c>
      <c r="AG884" s="75">
        <v>0</v>
      </c>
      <c r="AH884" s="75">
        <v>0</v>
      </c>
      <c r="AI884" s="75">
        <v>0</v>
      </c>
      <c r="AJ884" s="75">
        <v>0</v>
      </c>
      <c r="AK884" s="75">
        <v>0</v>
      </c>
      <c r="AL884" s="95">
        <v>1</v>
      </c>
      <c r="AM884" s="92">
        <v>0</v>
      </c>
      <c r="AN884" s="79" t="s">
        <v>80</v>
      </c>
      <c r="AO884" s="75">
        <v>1</v>
      </c>
      <c r="AP884" s="75" t="s">
        <v>83</v>
      </c>
      <c r="AQ884" s="122">
        <v>1</v>
      </c>
      <c r="AR884" s="515" t="s">
        <v>10</v>
      </c>
      <c r="AS884" s="95">
        <v>0</v>
      </c>
      <c r="AT884" s="75">
        <v>0</v>
      </c>
      <c r="AU884" s="75">
        <v>0</v>
      </c>
      <c r="AV884" s="75">
        <v>0</v>
      </c>
      <c r="AW884" s="123">
        <v>0</v>
      </c>
      <c r="AX884" s="516"/>
      <c r="AY884" s="75">
        <v>0</v>
      </c>
      <c r="AZ884" s="77" t="s">
        <v>131</v>
      </c>
      <c r="BA884" s="78" t="s">
        <v>131</v>
      </c>
      <c r="BB884" s="78" t="s">
        <v>131</v>
      </c>
      <c r="BC884" s="78" t="s">
        <v>131</v>
      </c>
      <c r="BD884" s="78" t="s">
        <v>131</v>
      </c>
      <c r="BE884" s="78" t="s">
        <v>131</v>
      </c>
      <c r="BF884" s="78" t="s">
        <v>131</v>
      </c>
      <c r="BG884" s="78" t="s">
        <v>132</v>
      </c>
      <c r="BH884" s="75" t="s">
        <v>5970</v>
      </c>
      <c r="BI884" s="295" t="s">
        <v>4002</v>
      </c>
      <c r="BJ884" s="546">
        <v>1</v>
      </c>
      <c r="BK884" s="294" t="s">
        <v>16</v>
      </c>
      <c r="BL884" s="157" t="s">
        <v>16</v>
      </c>
      <c r="BM884" s="548" t="s">
        <v>1340</v>
      </c>
      <c r="BN884" s="548" t="s">
        <v>4158</v>
      </c>
      <c r="BO884" s="157" t="s">
        <v>4549</v>
      </c>
      <c r="BP884" s="548" t="s">
        <v>4550</v>
      </c>
      <c r="BQ884" s="157" t="s">
        <v>4548</v>
      </c>
      <c r="BR884" s="157"/>
    </row>
    <row r="885" spans="1:70" x14ac:dyDescent="0.25">
      <c r="A885" s="19" t="s">
        <v>3686</v>
      </c>
      <c r="B885" s="37" t="s">
        <v>2896</v>
      </c>
      <c r="C885" s="90">
        <v>45103.859918981485</v>
      </c>
      <c r="D885" s="114">
        <v>45103.609918981485</v>
      </c>
      <c r="E885" s="38">
        <v>45103</v>
      </c>
      <c r="F885" s="91">
        <v>2023</v>
      </c>
      <c r="G885" s="93">
        <v>6</v>
      </c>
      <c r="H885" s="37" t="s">
        <v>2706</v>
      </c>
      <c r="I885" s="37"/>
      <c r="J885" s="103">
        <v>-92.929873000000001</v>
      </c>
      <c r="K885" s="40">
        <v>44.370337499999998</v>
      </c>
      <c r="L885" s="74"/>
      <c r="M885" s="272" t="s">
        <v>2897</v>
      </c>
      <c r="N885" s="74">
        <v>1</v>
      </c>
      <c r="O885" s="94"/>
      <c r="P885" s="118">
        <v>1</v>
      </c>
      <c r="Q885" s="510">
        <v>180</v>
      </c>
      <c r="R885" s="513">
        <v>180</v>
      </c>
      <c r="S885" s="41"/>
      <c r="T885" s="40"/>
      <c r="U885" s="40">
        <v>7</v>
      </c>
      <c r="V885" s="119">
        <v>1</v>
      </c>
      <c r="W885" s="40">
        <v>200</v>
      </c>
      <c r="X885" s="119">
        <v>1</v>
      </c>
      <c r="Y885" s="40">
        <v>72</v>
      </c>
      <c r="Z885" s="119">
        <v>1</v>
      </c>
      <c r="AA885" s="368">
        <v>0</v>
      </c>
      <c r="AB885" s="535">
        <v>0</v>
      </c>
      <c r="AC885" s="39" t="s">
        <v>16</v>
      </c>
      <c r="AD885" s="75" t="s">
        <v>16</v>
      </c>
      <c r="AE885" s="95">
        <v>-1</v>
      </c>
      <c r="AF885" s="75">
        <v>-1</v>
      </c>
      <c r="AG885" s="75">
        <v>-1</v>
      </c>
      <c r="AH885" s="75">
        <v>-1</v>
      </c>
      <c r="AI885" s="75">
        <v>-1</v>
      </c>
      <c r="AJ885" s="75">
        <v>-1</v>
      </c>
      <c r="AK885" s="75">
        <v>-1</v>
      </c>
      <c r="AL885" s="95">
        <v>-1</v>
      </c>
      <c r="AM885" s="92">
        <v>1</v>
      </c>
      <c r="AN885" s="79" t="s">
        <v>81</v>
      </c>
      <c r="AO885" s="75">
        <v>1</v>
      </c>
      <c r="AP885" s="75" t="s">
        <v>84</v>
      </c>
      <c r="AQ885" s="122">
        <v>1</v>
      </c>
      <c r="AR885" s="515" t="s">
        <v>13</v>
      </c>
      <c r="AS885" s="95">
        <v>1</v>
      </c>
      <c r="AT885" s="75">
        <v>0</v>
      </c>
      <c r="AU885" s="75">
        <v>0</v>
      </c>
      <c r="AV885" s="75">
        <v>0</v>
      </c>
      <c r="AW885" s="123">
        <v>0</v>
      </c>
      <c r="AX885" s="516" t="s">
        <v>2898</v>
      </c>
      <c r="AY885" s="75">
        <v>1</v>
      </c>
      <c r="AZ885" s="77" t="s">
        <v>5971</v>
      </c>
      <c r="BA885" s="78" t="s">
        <v>5971</v>
      </c>
      <c r="BB885" s="78" t="s">
        <v>5971</v>
      </c>
      <c r="BC885" s="78" t="s">
        <v>5971</v>
      </c>
      <c r="BD885" s="78" t="s">
        <v>5971</v>
      </c>
      <c r="BE885" s="78" t="s">
        <v>5971</v>
      </c>
      <c r="BF885" s="78" t="s">
        <v>5971</v>
      </c>
      <c r="BG885" s="78" t="s">
        <v>5971</v>
      </c>
      <c r="BH885" s="75" t="s">
        <v>5971</v>
      </c>
      <c r="BI885" s="295" t="s">
        <v>2253</v>
      </c>
      <c r="BJ885" s="546">
        <v>1</v>
      </c>
      <c r="BK885" s="294" t="s">
        <v>16</v>
      </c>
      <c r="BL885" s="157" t="s">
        <v>16</v>
      </c>
      <c r="BM885" s="548" t="s">
        <v>1339</v>
      </c>
      <c r="BN885" s="548" t="s">
        <v>4161</v>
      </c>
      <c r="BO885" s="157" t="s">
        <v>4295</v>
      </c>
      <c r="BP885" s="548" t="s">
        <v>4296</v>
      </c>
      <c r="BQ885" s="157" t="s">
        <v>4294</v>
      </c>
      <c r="BR885" s="157"/>
    </row>
    <row r="886" spans="1:70" x14ac:dyDescent="0.25">
      <c r="A886" s="19" t="s">
        <v>3686</v>
      </c>
      <c r="B886" s="37" t="s">
        <v>2899</v>
      </c>
      <c r="C886" s="90">
        <v>45103.846145833333</v>
      </c>
      <c r="D886" s="114">
        <v>45103.596145833333</v>
      </c>
      <c r="E886" s="38">
        <v>45103</v>
      </c>
      <c r="F886" s="91">
        <v>2023</v>
      </c>
      <c r="G886" s="93">
        <v>6</v>
      </c>
      <c r="H886" s="37" t="s">
        <v>475</v>
      </c>
      <c r="I886" s="37"/>
      <c r="J886" s="103">
        <v>-92.277956709461435</v>
      </c>
      <c r="K886" s="40">
        <v>43.793109490296402</v>
      </c>
      <c r="L886" s="74"/>
      <c r="M886" s="272" t="s">
        <v>2900</v>
      </c>
      <c r="N886" s="74">
        <v>1</v>
      </c>
      <c r="O886" s="94"/>
      <c r="P886" s="118">
        <v>1</v>
      </c>
      <c r="Q886" s="510">
        <v>180</v>
      </c>
      <c r="R886" s="513">
        <v>180</v>
      </c>
      <c r="S886" s="41"/>
      <c r="T886" s="40"/>
      <c r="U886" s="40">
        <v>7.5</v>
      </c>
      <c r="V886" s="119">
        <v>1</v>
      </c>
      <c r="W886" s="40">
        <v>0</v>
      </c>
      <c r="X886" s="119">
        <v>1</v>
      </c>
      <c r="Y886" s="40">
        <v>56</v>
      </c>
      <c r="Z886" s="119">
        <v>1</v>
      </c>
      <c r="AA886" s="368">
        <v>0</v>
      </c>
      <c r="AB886" s="535">
        <v>2</v>
      </c>
      <c r="AC886" s="39" t="s">
        <v>160</v>
      </c>
      <c r="AD886" s="75" t="s">
        <v>10</v>
      </c>
      <c r="AE886" s="95">
        <v>0</v>
      </c>
      <c r="AF886" s="75">
        <v>0</v>
      </c>
      <c r="AG886" s="75">
        <v>0</v>
      </c>
      <c r="AH886" s="75">
        <v>0</v>
      </c>
      <c r="AI886" s="75">
        <v>0</v>
      </c>
      <c r="AJ886" s="75">
        <v>0</v>
      </c>
      <c r="AK886" s="75">
        <v>0</v>
      </c>
      <c r="AL886" s="95">
        <v>1</v>
      </c>
      <c r="AM886" s="92">
        <v>0</v>
      </c>
      <c r="AN886" s="79" t="s">
        <v>80</v>
      </c>
      <c r="AO886" s="75">
        <v>1</v>
      </c>
      <c r="AP886" s="75" t="s">
        <v>83</v>
      </c>
      <c r="AQ886" s="122">
        <v>1</v>
      </c>
      <c r="AR886" s="515" t="s">
        <v>10</v>
      </c>
      <c r="AS886" s="95">
        <v>0</v>
      </c>
      <c r="AT886" s="75">
        <v>0</v>
      </c>
      <c r="AU886" s="75">
        <v>0</v>
      </c>
      <c r="AV886" s="75">
        <v>0</v>
      </c>
      <c r="AW886" s="123">
        <v>0</v>
      </c>
      <c r="AX886" s="516"/>
      <c r="AY886" s="75">
        <v>0</v>
      </c>
      <c r="AZ886" s="77" t="s">
        <v>131</v>
      </c>
      <c r="BA886" s="78" t="s">
        <v>131</v>
      </c>
      <c r="BB886" s="78" t="s">
        <v>131</v>
      </c>
      <c r="BC886" s="78" t="s">
        <v>131</v>
      </c>
      <c r="BD886" s="78" t="s">
        <v>131</v>
      </c>
      <c r="BE886" s="78" t="s">
        <v>131</v>
      </c>
      <c r="BF886" s="78" t="s">
        <v>131</v>
      </c>
      <c r="BG886" s="78" t="s">
        <v>132</v>
      </c>
      <c r="BH886" s="75" t="s">
        <v>5970</v>
      </c>
      <c r="BI886" s="295" t="s">
        <v>2251</v>
      </c>
      <c r="BJ886" s="546">
        <v>1</v>
      </c>
      <c r="BK886" s="294">
        <v>1</v>
      </c>
      <c r="BL886" s="157">
        <v>1</v>
      </c>
      <c r="BM886" s="548" t="s">
        <v>1339</v>
      </c>
      <c r="BN886" s="548" t="s">
        <v>1339</v>
      </c>
      <c r="BO886" s="157" t="s">
        <v>4329</v>
      </c>
      <c r="BP886" s="548" t="s">
        <v>4228</v>
      </c>
      <c r="BQ886" s="157" t="s">
        <v>4226</v>
      </c>
      <c r="BR886" s="157"/>
    </row>
    <row r="887" spans="1:70" x14ac:dyDescent="0.25">
      <c r="A887" s="19" t="s">
        <v>3686</v>
      </c>
      <c r="B887" s="37" t="s">
        <v>2901</v>
      </c>
      <c r="C887" s="90">
        <v>45103.823460648149</v>
      </c>
      <c r="D887" s="114">
        <v>45103.573460648149</v>
      </c>
      <c r="E887" s="38">
        <v>45103</v>
      </c>
      <c r="F887" s="91">
        <v>2023</v>
      </c>
      <c r="G887" s="93">
        <v>6</v>
      </c>
      <c r="H887" s="37" t="s">
        <v>475</v>
      </c>
      <c r="I887" s="37"/>
      <c r="J887" s="103">
        <v>-92.342343524256719</v>
      </c>
      <c r="K887" s="40">
        <v>43.77359433856342</v>
      </c>
      <c r="L887" s="74"/>
      <c r="M887" s="272" t="s">
        <v>2902</v>
      </c>
      <c r="N887" s="74">
        <v>1</v>
      </c>
      <c r="O887" s="94"/>
      <c r="P887" s="118">
        <v>1</v>
      </c>
      <c r="Q887" s="510">
        <v>180</v>
      </c>
      <c r="R887" s="513">
        <v>180</v>
      </c>
      <c r="S887" s="41"/>
      <c r="T887" s="40"/>
      <c r="U887" s="40">
        <v>8</v>
      </c>
      <c r="V887" s="119">
        <v>1</v>
      </c>
      <c r="W887" s="40">
        <v>0</v>
      </c>
      <c r="X887" s="119">
        <v>1</v>
      </c>
      <c r="Y887" s="40">
        <v>61</v>
      </c>
      <c r="Z887" s="119">
        <v>1</v>
      </c>
      <c r="AA887" s="368">
        <v>0</v>
      </c>
      <c r="AB887" s="535">
        <v>5</v>
      </c>
      <c r="AC887" s="39" t="s">
        <v>160</v>
      </c>
      <c r="AD887" s="75" t="s">
        <v>10</v>
      </c>
      <c r="AE887" s="95">
        <v>0</v>
      </c>
      <c r="AF887" s="75">
        <v>0</v>
      </c>
      <c r="AG887" s="75">
        <v>0</v>
      </c>
      <c r="AH887" s="75">
        <v>0</v>
      </c>
      <c r="AI887" s="75">
        <v>0</v>
      </c>
      <c r="AJ887" s="75">
        <v>0</v>
      </c>
      <c r="AK887" s="75">
        <v>0</v>
      </c>
      <c r="AL887" s="95">
        <v>1</v>
      </c>
      <c r="AM887" s="92">
        <v>0</v>
      </c>
      <c r="AN887" s="79" t="s">
        <v>80</v>
      </c>
      <c r="AO887" s="75">
        <v>1</v>
      </c>
      <c r="AP887" s="75" t="s">
        <v>83</v>
      </c>
      <c r="AQ887" s="122">
        <v>1</v>
      </c>
      <c r="AR887" s="515" t="s">
        <v>10</v>
      </c>
      <c r="AS887" s="95">
        <v>0</v>
      </c>
      <c r="AT887" s="75">
        <v>0</v>
      </c>
      <c r="AU887" s="75">
        <v>0</v>
      </c>
      <c r="AV887" s="75">
        <v>0</v>
      </c>
      <c r="AW887" s="123">
        <v>0</v>
      </c>
      <c r="AX887" s="516" t="s">
        <v>2903</v>
      </c>
      <c r="AY887" s="75">
        <v>1</v>
      </c>
      <c r="AZ887" s="77" t="s">
        <v>131</v>
      </c>
      <c r="BA887" s="78" t="s">
        <v>131</v>
      </c>
      <c r="BB887" s="78" t="s">
        <v>131</v>
      </c>
      <c r="BC887" s="78" t="s">
        <v>131</v>
      </c>
      <c r="BD887" s="78" t="s">
        <v>131</v>
      </c>
      <c r="BE887" s="78" t="s">
        <v>131</v>
      </c>
      <c r="BF887" s="78" t="s">
        <v>131</v>
      </c>
      <c r="BG887" s="78" t="s">
        <v>132</v>
      </c>
      <c r="BH887" s="75" t="s">
        <v>5970</v>
      </c>
      <c r="BI887" s="295" t="s">
        <v>2260</v>
      </c>
      <c r="BJ887" s="546">
        <v>1</v>
      </c>
      <c r="BK887" s="294" t="s">
        <v>16</v>
      </c>
      <c r="BL887" s="157" t="s">
        <v>16</v>
      </c>
      <c r="BM887" s="548" t="s">
        <v>1339</v>
      </c>
      <c r="BN887" s="548" t="s">
        <v>1339</v>
      </c>
      <c r="BO887" s="157" t="s">
        <v>4328</v>
      </c>
      <c r="BP887" s="548" t="s">
        <v>2222</v>
      </c>
      <c r="BQ887" s="157" t="s">
        <v>4226</v>
      </c>
      <c r="BR887" s="157"/>
    </row>
    <row r="888" spans="1:70" x14ac:dyDescent="0.25">
      <c r="A888" s="19" t="s">
        <v>3686</v>
      </c>
      <c r="B888" s="37" t="s">
        <v>2904</v>
      </c>
      <c r="C888" s="90">
        <v>45103.701365740744</v>
      </c>
      <c r="D888" s="114">
        <v>45103.451365740744</v>
      </c>
      <c r="E888" s="38">
        <v>45103</v>
      </c>
      <c r="F888" s="91">
        <v>2023</v>
      </c>
      <c r="G888" s="93">
        <v>6</v>
      </c>
      <c r="H888" s="37" t="s">
        <v>2400</v>
      </c>
      <c r="I888" s="37"/>
      <c r="J888" s="103">
        <v>-91.137457299999994</v>
      </c>
      <c r="K888" s="40">
        <v>43.075218100000001</v>
      </c>
      <c r="L888" s="74"/>
      <c r="M888" s="272" t="s">
        <v>16</v>
      </c>
      <c r="N888" s="74">
        <v>0</v>
      </c>
      <c r="O888" s="94"/>
      <c r="P888" s="118">
        <v>1</v>
      </c>
      <c r="Q888" s="510">
        <v>180</v>
      </c>
      <c r="R888" s="513">
        <v>180</v>
      </c>
      <c r="S888" s="41"/>
      <c r="T888" s="40"/>
      <c r="U888" s="40">
        <v>8</v>
      </c>
      <c r="V888" s="119">
        <v>1</v>
      </c>
      <c r="W888" s="40">
        <v>0</v>
      </c>
      <c r="X888" s="119">
        <v>1</v>
      </c>
      <c r="Y888" s="40">
        <v>57</v>
      </c>
      <c r="Z888" s="119">
        <v>1</v>
      </c>
      <c r="AA888" s="368">
        <v>0</v>
      </c>
      <c r="AB888" s="535">
        <v>2</v>
      </c>
      <c r="AC888" s="39" t="s">
        <v>160</v>
      </c>
      <c r="AD888" s="75" t="s">
        <v>8</v>
      </c>
      <c r="AE888" s="95">
        <v>0</v>
      </c>
      <c r="AF888" s="75">
        <v>1</v>
      </c>
      <c r="AG888" s="75">
        <v>0</v>
      </c>
      <c r="AH888" s="75">
        <v>0</v>
      </c>
      <c r="AI888" s="75">
        <v>0</v>
      </c>
      <c r="AJ888" s="75">
        <v>0</v>
      </c>
      <c r="AK888" s="75">
        <v>0</v>
      </c>
      <c r="AL888" s="95">
        <v>0</v>
      </c>
      <c r="AM888" s="92">
        <v>0</v>
      </c>
      <c r="AN888" s="79" t="s">
        <v>80</v>
      </c>
      <c r="AO888" s="75">
        <v>1</v>
      </c>
      <c r="AP888" s="75" t="s">
        <v>83</v>
      </c>
      <c r="AQ888" s="122">
        <v>1</v>
      </c>
      <c r="AR888" s="515" t="s">
        <v>10</v>
      </c>
      <c r="AS888" s="95">
        <v>0</v>
      </c>
      <c r="AT888" s="75">
        <v>0</v>
      </c>
      <c r="AU888" s="75">
        <v>0</v>
      </c>
      <c r="AV888" s="75">
        <v>0</v>
      </c>
      <c r="AW888" s="123">
        <v>0</v>
      </c>
      <c r="AX888" s="516"/>
      <c r="AY888" s="75">
        <v>0</v>
      </c>
      <c r="AZ888" s="77" t="s">
        <v>131</v>
      </c>
      <c r="BA888" s="78" t="s">
        <v>132</v>
      </c>
      <c r="BB888" s="78" t="s">
        <v>131</v>
      </c>
      <c r="BC888" s="78" t="s">
        <v>131</v>
      </c>
      <c r="BD888" s="78" t="s">
        <v>131</v>
      </c>
      <c r="BE888" s="78" t="s">
        <v>131</v>
      </c>
      <c r="BF888" s="78" t="s">
        <v>131</v>
      </c>
      <c r="BG888" s="78" t="s">
        <v>131</v>
      </c>
      <c r="BH888" s="75" t="s">
        <v>5970</v>
      </c>
      <c r="BI888" s="295">
        <v>0</v>
      </c>
      <c r="BJ888" s="546" t="s">
        <v>16</v>
      </c>
      <c r="BK888" s="294" t="s">
        <v>16</v>
      </c>
      <c r="BL888" s="157" t="s">
        <v>16</v>
      </c>
      <c r="BM888" s="548" t="s">
        <v>1342</v>
      </c>
      <c r="BN888" s="548" t="s">
        <v>4158</v>
      </c>
      <c r="BO888" s="157" t="s">
        <v>4504</v>
      </c>
      <c r="BP888" s="548" t="s">
        <v>4552</v>
      </c>
      <c r="BQ888" s="157" t="s">
        <v>4373</v>
      </c>
      <c r="BR888" s="157"/>
    </row>
    <row r="889" spans="1:70" x14ac:dyDescent="0.25">
      <c r="A889" s="19" t="s">
        <v>3686</v>
      </c>
      <c r="B889" s="37" t="s">
        <v>2905</v>
      </c>
      <c r="C889" s="90">
        <v>45103.578923611109</v>
      </c>
      <c r="D889" s="114">
        <v>45103.328923611109</v>
      </c>
      <c r="E889" s="38">
        <v>45103</v>
      </c>
      <c r="F889" s="91">
        <v>2023</v>
      </c>
      <c r="G889" s="93">
        <v>6</v>
      </c>
      <c r="H889" s="37" t="s">
        <v>603</v>
      </c>
      <c r="I889" s="37" t="s">
        <v>753</v>
      </c>
      <c r="J889" s="103">
        <v>-92.802850199999995</v>
      </c>
      <c r="K889" s="40">
        <v>44.543082300000002</v>
      </c>
      <c r="L889" s="74"/>
      <c r="M889" s="272" t="s">
        <v>16</v>
      </c>
      <c r="N889" s="74">
        <v>0</v>
      </c>
      <c r="O889" s="94"/>
      <c r="P889" s="118">
        <v>1</v>
      </c>
      <c r="Q889" s="510">
        <v>80</v>
      </c>
      <c r="R889" s="513">
        <v>180</v>
      </c>
      <c r="S889" s="41"/>
      <c r="T889" s="40"/>
      <c r="U889" s="40">
        <v>7</v>
      </c>
      <c r="V889" s="119">
        <v>1</v>
      </c>
      <c r="W889" s="40">
        <v>100</v>
      </c>
      <c r="X889" s="119">
        <v>1</v>
      </c>
      <c r="Y889" s="40">
        <v>54</v>
      </c>
      <c r="Z889" s="119">
        <v>1</v>
      </c>
      <c r="AA889" s="368">
        <v>0</v>
      </c>
      <c r="AB889" s="535">
        <v>5</v>
      </c>
      <c r="AC889" s="39" t="s">
        <v>160</v>
      </c>
      <c r="AD889" s="75" t="s">
        <v>16</v>
      </c>
      <c r="AE889" s="95">
        <v>-1</v>
      </c>
      <c r="AF889" s="75">
        <v>-1</v>
      </c>
      <c r="AG889" s="75">
        <v>-1</v>
      </c>
      <c r="AH889" s="75">
        <v>-1</v>
      </c>
      <c r="AI889" s="75">
        <v>-1</v>
      </c>
      <c r="AJ889" s="75">
        <v>-1</v>
      </c>
      <c r="AK889" s="75">
        <v>-1</v>
      </c>
      <c r="AL889" s="95">
        <v>-1</v>
      </c>
      <c r="AM889" s="92">
        <v>1</v>
      </c>
      <c r="AN889" s="79" t="s">
        <v>80</v>
      </c>
      <c r="AO889" s="75">
        <v>1</v>
      </c>
      <c r="AP889" s="75" t="s">
        <v>83</v>
      </c>
      <c r="AQ889" s="122">
        <v>1</v>
      </c>
      <c r="AR889" s="515" t="s">
        <v>13</v>
      </c>
      <c r="AS889" s="95">
        <v>1</v>
      </c>
      <c r="AT889" s="75">
        <v>0</v>
      </c>
      <c r="AU889" s="75">
        <v>0</v>
      </c>
      <c r="AV889" s="75">
        <v>0</v>
      </c>
      <c r="AW889" s="123">
        <v>0</v>
      </c>
      <c r="AX889" s="516"/>
      <c r="AY889" s="75">
        <v>0</v>
      </c>
      <c r="AZ889" s="77" t="s">
        <v>5971</v>
      </c>
      <c r="BA889" s="78" t="s">
        <v>5971</v>
      </c>
      <c r="BB889" s="78" t="s">
        <v>5971</v>
      </c>
      <c r="BC889" s="78" t="s">
        <v>5971</v>
      </c>
      <c r="BD889" s="78" t="s">
        <v>5971</v>
      </c>
      <c r="BE889" s="78" t="s">
        <v>5971</v>
      </c>
      <c r="BF889" s="78" t="s">
        <v>5971</v>
      </c>
      <c r="BG889" s="78" t="s">
        <v>5971</v>
      </c>
      <c r="BH889" s="75" t="s">
        <v>5971</v>
      </c>
      <c r="BI889" s="295" t="s">
        <v>2224</v>
      </c>
      <c r="BJ889" s="546">
        <v>1</v>
      </c>
      <c r="BK889" s="294">
        <v>1</v>
      </c>
      <c r="BL889" s="157">
        <v>1</v>
      </c>
      <c r="BM889" s="548" t="s">
        <v>2343</v>
      </c>
      <c r="BN889" s="548" t="s">
        <v>4161</v>
      </c>
      <c r="BO889" s="157" t="s">
        <v>4510</v>
      </c>
      <c r="BP889" s="548" t="s">
        <v>753</v>
      </c>
      <c r="BQ889" s="157" t="s">
        <v>4389</v>
      </c>
      <c r="BR889" s="157"/>
    </row>
    <row r="890" spans="1:70" x14ac:dyDescent="0.25">
      <c r="A890" s="19" t="s">
        <v>3686</v>
      </c>
      <c r="B890" s="37" t="s">
        <v>2906</v>
      </c>
      <c r="C890" s="90">
        <v>45103.565787037034</v>
      </c>
      <c r="D890" s="114">
        <v>45103.315787037034</v>
      </c>
      <c r="E890" s="38">
        <v>45103</v>
      </c>
      <c r="F890" s="91">
        <v>2023</v>
      </c>
      <c r="G890" s="93">
        <v>6</v>
      </c>
      <c r="H890" s="37" t="s">
        <v>2548</v>
      </c>
      <c r="I890" s="37"/>
      <c r="J890" s="103">
        <v>-91.141120907481323</v>
      </c>
      <c r="K890" s="40">
        <v>43.111426653930003</v>
      </c>
      <c r="L890" s="74"/>
      <c r="M890" s="272" t="s">
        <v>2907</v>
      </c>
      <c r="N890" s="74">
        <v>1</v>
      </c>
      <c r="O890" s="94"/>
      <c r="P890" s="118">
        <v>1</v>
      </c>
      <c r="Q890" s="510">
        <v>180</v>
      </c>
      <c r="R890" s="513">
        <v>180</v>
      </c>
      <c r="S890" s="41"/>
      <c r="T890" s="40"/>
      <c r="U890" s="40">
        <v>8</v>
      </c>
      <c r="V890" s="119">
        <v>1</v>
      </c>
      <c r="W890" s="40">
        <v>0</v>
      </c>
      <c r="X890" s="119">
        <v>1</v>
      </c>
      <c r="Y890" s="40">
        <v>59</v>
      </c>
      <c r="Z890" s="119">
        <v>1</v>
      </c>
      <c r="AA890" s="368">
        <v>0</v>
      </c>
      <c r="AB890" s="535">
        <v>0</v>
      </c>
      <c r="AC890" s="39" t="s">
        <v>160</v>
      </c>
      <c r="AD890" s="75" t="s">
        <v>10</v>
      </c>
      <c r="AE890" s="95">
        <v>0</v>
      </c>
      <c r="AF890" s="75">
        <v>0</v>
      </c>
      <c r="AG890" s="75">
        <v>0</v>
      </c>
      <c r="AH890" s="75">
        <v>0</v>
      </c>
      <c r="AI890" s="75">
        <v>0</v>
      </c>
      <c r="AJ890" s="75">
        <v>0</v>
      </c>
      <c r="AK890" s="75">
        <v>0</v>
      </c>
      <c r="AL890" s="95">
        <v>1</v>
      </c>
      <c r="AM890" s="92">
        <v>0</v>
      </c>
      <c r="AN890" s="79" t="s">
        <v>80</v>
      </c>
      <c r="AO890" s="75">
        <v>1</v>
      </c>
      <c r="AP890" s="75" t="s">
        <v>83</v>
      </c>
      <c r="AQ890" s="122">
        <v>1</v>
      </c>
      <c r="AR890" s="515" t="s">
        <v>10</v>
      </c>
      <c r="AS890" s="95">
        <v>0</v>
      </c>
      <c r="AT890" s="75">
        <v>0</v>
      </c>
      <c r="AU890" s="75">
        <v>0</v>
      </c>
      <c r="AV890" s="75">
        <v>0</v>
      </c>
      <c r="AW890" s="123">
        <v>0</v>
      </c>
      <c r="AX890" s="516"/>
      <c r="AY890" s="75">
        <v>0</v>
      </c>
      <c r="AZ890" s="77" t="s">
        <v>131</v>
      </c>
      <c r="BA890" s="78" t="s">
        <v>131</v>
      </c>
      <c r="BB890" s="78" t="s">
        <v>131</v>
      </c>
      <c r="BC890" s="78" t="s">
        <v>131</v>
      </c>
      <c r="BD890" s="78" t="s">
        <v>131</v>
      </c>
      <c r="BE890" s="78" t="s">
        <v>131</v>
      </c>
      <c r="BF890" s="78" t="s">
        <v>131</v>
      </c>
      <c r="BG890" s="78" t="s">
        <v>132</v>
      </c>
      <c r="BH890" s="75" t="s">
        <v>5970</v>
      </c>
      <c r="BI890" s="295">
        <v>0</v>
      </c>
      <c r="BJ890" s="546" t="s">
        <v>16</v>
      </c>
      <c r="BK890" s="294">
        <v>1</v>
      </c>
      <c r="BL890" s="157">
        <v>1</v>
      </c>
      <c r="BM890" s="548" t="s">
        <v>1342</v>
      </c>
      <c r="BN890" s="548" t="s">
        <v>4158</v>
      </c>
      <c r="BO890" s="157" t="s">
        <v>4504</v>
      </c>
      <c r="BP890" s="548" t="s">
        <v>4552</v>
      </c>
      <c r="BQ890" s="157" t="s">
        <v>4373</v>
      </c>
      <c r="BR890" s="157"/>
    </row>
    <row r="891" spans="1:70" x14ac:dyDescent="0.25">
      <c r="A891" s="19" t="s">
        <v>3686</v>
      </c>
      <c r="B891" s="37" t="s">
        <v>2908</v>
      </c>
      <c r="C891" s="90">
        <v>45102.773310185185</v>
      </c>
      <c r="D891" s="114">
        <v>45102.523310185185</v>
      </c>
      <c r="E891" s="38">
        <v>45102</v>
      </c>
      <c r="F891" s="91">
        <v>2023</v>
      </c>
      <c r="G891" s="93">
        <v>6</v>
      </c>
      <c r="H891" s="37" t="s">
        <v>260</v>
      </c>
      <c r="I891" s="37" t="s">
        <v>337</v>
      </c>
      <c r="J891" s="103">
        <v>-92.645081643113343</v>
      </c>
      <c r="K891" s="40">
        <v>44.843590094481108</v>
      </c>
      <c r="L891" s="74"/>
      <c r="M891" s="272" t="s">
        <v>2909</v>
      </c>
      <c r="N891" s="74">
        <v>1</v>
      </c>
      <c r="O891" s="94"/>
      <c r="P891" s="118">
        <v>1</v>
      </c>
      <c r="Q891" s="510">
        <v>180</v>
      </c>
      <c r="R891" s="513">
        <v>180</v>
      </c>
      <c r="S891" s="41"/>
      <c r="T891" s="40"/>
      <c r="U891" s="40">
        <v>8</v>
      </c>
      <c r="V891" s="119">
        <v>1</v>
      </c>
      <c r="W891" s="40">
        <v>100</v>
      </c>
      <c r="X891" s="119">
        <v>1</v>
      </c>
      <c r="Y891" s="40">
        <v>60</v>
      </c>
      <c r="Z891" s="119">
        <v>1</v>
      </c>
      <c r="AA891" s="368">
        <v>0</v>
      </c>
      <c r="AB891" s="535">
        <v>5</v>
      </c>
      <c r="AC891" s="39" t="s">
        <v>160</v>
      </c>
      <c r="AD891" s="75" t="s">
        <v>10</v>
      </c>
      <c r="AE891" s="95">
        <v>0</v>
      </c>
      <c r="AF891" s="75">
        <v>0</v>
      </c>
      <c r="AG891" s="75">
        <v>0</v>
      </c>
      <c r="AH891" s="75">
        <v>0</v>
      </c>
      <c r="AI891" s="75">
        <v>0</v>
      </c>
      <c r="AJ891" s="75">
        <v>0</v>
      </c>
      <c r="AK891" s="75">
        <v>0</v>
      </c>
      <c r="AL891" s="95">
        <v>1</v>
      </c>
      <c r="AM891" s="92">
        <v>0</v>
      </c>
      <c r="AN891" s="79" t="s">
        <v>80</v>
      </c>
      <c r="AO891" s="75">
        <v>1</v>
      </c>
      <c r="AP891" s="75" t="s">
        <v>83</v>
      </c>
      <c r="AQ891" s="122">
        <v>1</v>
      </c>
      <c r="AR891" s="515" t="s">
        <v>13</v>
      </c>
      <c r="AS891" s="95">
        <v>1</v>
      </c>
      <c r="AT891" s="75">
        <v>0</v>
      </c>
      <c r="AU891" s="75">
        <v>0</v>
      </c>
      <c r="AV891" s="75">
        <v>0</v>
      </c>
      <c r="AW891" s="123">
        <v>0</v>
      </c>
      <c r="AX891" s="516" t="s">
        <v>2910</v>
      </c>
      <c r="AY891" s="75">
        <v>1</v>
      </c>
      <c r="AZ891" s="77" t="s">
        <v>131</v>
      </c>
      <c r="BA891" s="78" t="s">
        <v>131</v>
      </c>
      <c r="BB891" s="78" t="s">
        <v>131</v>
      </c>
      <c r="BC891" s="78" t="s">
        <v>131</v>
      </c>
      <c r="BD891" s="78" t="s">
        <v>131</v>
      </c>
      <c r="BE891" s="78" t="s">
        <v>131</v>
      </c>
      <c r="BF891" s="78" t="s">
        <v>131</v>
      </c>
      <c r="BG891" s="78" t="s">
        <v>132</v>
      </c>
      <c r="BH891" s="75" t="s">
        <v>5970</v>
      </c>
      <c r="BI891" s="295" t="s">
        <v>16</v>
      </c>
      <c r="BJ891" s="546">
        <v>1</v>
      </c>
      <c r="BK891" s="294" t="s">
        <v>16</v>
      </c>
      <c r="BL891" s="157" t="s">
        <v>16</v>
      </c>
      <c r="BM891" s="548" t="s">
        <v>578</v>
      </c>
      <c r="BN891" s="548" t="s">
        <v>578</v>
      </c>
      <c r="BO891" s="157" t="s">
        <v>4341</v>
      </c>
      <c r="BP891" s="548" t="s">
        <v>4343</v>
      </c>
      <c r="BQ891" s="157" t="s">
        <v>4309</v>
      </c>
      <c r="BR891" s="157"/>
    </row>
    <row r="892" spans="1:70" x14ac:dyDescent="0.25">
      <c r="A892" s="19" t="s">
        <v>3686</v>
      </c>
      <c r="B892" s="37" t="s">
        <v>2911</v>
      </c>
      <c r="C892" s="90">
        <v>45102.602997685186</v>
      </c>
      <c r="D892" s="114">
        <v>45102.352997685186</v>
      </c>
      <c r="E892" s="38">
        <v>45102</v>
      </c>
      <c r="F892" s="91">
        <v>2023</v>
      </c>
      <c r="G892" s="93">
        <v>6</v>
      </c>
      <c r="H892" s="37" t="s">
        <v>606</v>
      </c>
      <c r="I892" s="37"/>
      <c r="J892" s="103">
        <v>-92.236309711717425</v>
      </c>
      <c r="K892" s="40">
        <v>44.230661749796589</v>
      </c>
      <c r="L892" s="74"/>
      <c r="M892" s="272" t="s">
        <v>2912</v>
      </c>
      <c r="N892" s="74">
        <v>1</v>
      </c>
      <c r="O892" s="94"/>
      <c r="P892" s="118">
        <v>1</v>
      </c>
      <c r="Q892" s="510">
        <v>120</v>
      </c>
      <c r="R892" s="513">
        <v>120</v>
      </c>
      <c r="S892" s="41"/>
      <c r="T892" s="40"/>
      <c r="U892" s="40">
        <v>8</v>
      </c>
      <c r="V892" s="119">
        <v>1</v>
      </c>
      <c r="W892" s="40">
        <v>100</v>
      </c>
      <c r="X892" s="119">
        <v>1</v>
      </c>
      <c r="Y892" s="40">
        <v>58</v>
      </c>
      <c r="Z892" s="119">
        <v>1</v>
      </c>
      <c r="AA892" s="368">
        <v>0</v>
      </c>
      <c r="AB892" s="535">
        <v>5</v>
      </c>
      <c r="AC892" s="39" t="s">
        <v>160</v>
      </c>
      <c r="AD892" s="75" t="s">
        <v>10</v>
      </c>
      <c r="AE892" s="95">
        <v>0</v>
      </c>
      <c r="AF892" s="75">
        <v>0</v>
      </c>
      <c r="AG892" s="75">
        <v>0</v>
      </c>
      <c r="AH892" s="75">
        <v>0</v>
      </c>
      <c r="AI892" s="75">
        <v>0</v>
      </c>
      <c r="AJ892" s="75">
        <v>0</v>
      </c>
      <c r="AK892" s="75">
        <v>0</v>
      </c>
      <c r="AL892" s="95">
        <v>1</v>
      </c>
      <c r="AM892" s="92">
        <v>0</v>
      </c>
      <c r="AN892" s="79" t="s">
        <v>80</v>
      </c>
      <c r="AO892" s="75">
        <v>1</v>
      </c>
      <c r="AP892" s="75" t="s">
        <v>83</v>
      </c>
      <c r="AQ892" s="122">
        <v>1</v>
      </c>
      <c r="AR892" s="515" t="s">
        <v>13</v>
      </c>
      <c r="AS892" s="95">
        <v>1</v>
      </c>
      <c r="AT892" s="75">
        <v>0</v>
      </c>
      <c r="AU892" s="75">
        <v>0</v>
      </c>
      <c r="AV892" s="75">
        <v>0</v>
      </c>
      <c r="AW892" s="123">
        <v>0</v>
      </c>
      <c r="AX892" s="516" t="s">
        <v>2913</v>
      </c>
      <c r="AY892" s="75">
        <v>1</v>
      </c>
      <c r="AZ892" s="77" t="s">
        <v>131</v>
      </c>
      <c r="BA892" s="78" t="s">
        <v>131</v>
      </c>
      <c r="BB892" s="78" t="s">
        <v>131</v>
      </c>
      <c r="BC892" s="78" t="s">
        <v>131</v>
      </c>
      <c r="BD892" s="78" t="s">
        <v>131</v>
      </c>
      <c r="BE892" s="78" t="s">
        <v>131</v>
      </c>
      <c r="BF892" s="78" t="s">
        <v>131</v>
      </c>
      <c r="BG892" s="78" t="s">
        <v>132</v>
      </c>
      <c r="BH892" s="75" t="s">
        <v>5970</v>
      </c>
      <c r="BI892" s="295" t="s">
        <v>3966</v>
      </c>
      <c r="BJ892" s="546">
        <v>1</v>
      </c>
      <c r="BK892" s="294">
        <v>1</v>
      </c>
      <c r="BL892" s="157">
        <v>1</v>
      </c>
      <c r="BM892" s="548" t="s">
        <v>1339</v>
      </c>
      <c r="BN892" s="548" t="s">
        <v>1339</v>
      </c>
      <c r="BO892" s="157" t="s">
        <v>4334</v>
      </c>
      <c r="BP892" s="548" t="s">
        <v>3966</v>
      </c>
      <c r="BQ892" s="157" t="s">
        <v>4330</v>
      </c>
      <c r="BR892" s="157"/>
    </row>
    <row r="893" spans="1:70" x14ac:dyDescent="0.25">
      <c r="A893" s="19" t="s">
        <v>3686</v>
      </c>
      <c r="B893" s="37" t="s">
        <v>2914</v>
      </c>
      <c r="C893" s="90">
        <v>45101.691759259258</v>
      </c>
      <c r="D893" s="114">
        <v>45101.441759259258</v>
      </c>
      <c r="E893" s="38">
        <v>45101</v>
      </c>
      <c r="F893" s="91">
        <v>2023</v>
      </c>
      <c r="G893" s="93">
        <v>6</v>
      </c>
      <c r="H893" s="37" t="s">
        <v>201</v>
      </c>
      <c r="I893" s="37"/>
      <c r="J893" s="103">
        <v>-92.732211298853287</v>
      </c>
      <c r="K893" s="40">
        <v>44.831047659909785</v>
      </c>
      <c r="L893" s="74"/>
      <c r="M893" s="272" t="s">
        <v>16</v>
      </c>
      <c r="N893" s="74">
        <v>0</v>
      </c>
      <c r="O893" s="94"/>
      <c r="P893" s="118">
        <v>1</v>
      </c>
      <c r="Q893" s="510">
        <v>180</v>
      </c>
      <c r="R893" s="513">
        <v>180</v>
      </c>
      <c r="S893" s="41"/>
      <c r="T893" s="40"/>
      <c r="U893" s="40">
        <v>8</v>
      </c>
      <c r="V893" s="119">
        <v>1</v>
      </c>
      <c r="W893" s="40">
        <v>0</v>
      </c>
      <c r="X893" s="119">
        <v>1</v>
      </c>
      <c r="Y893" s="40">
        <v>65</v>
      </c>
      <c r="Z893" s="119">
        <v>1</v>
      </c>
      <c r="AA893" s="368">
        <v>0</v>
      </c>
      <c r="AB893" s="535">
        <v>5</v>
      </c>
      <c r="AC893" s="39" t="s">
        <v>160</v>
      </c>
      <c r="AD893" s="75" t="s">
        <v>365</v>
      </c>
      <c r="AE893" s="95">
        <v>0</v>
      </c>
      <c r="AF893" s="75">
        <v>1</v>
      </c>
      <c r="AG893" s="75">
        <v>1</v>
      </c>
      <c r="AH893" s="75">
        <v>0</v>
      </c>
      <c r="AI893" s="75">
        <v>0</v>
      </c>
      <c r="AJ893" s="75">
        <v>0</v>
      </c>
      <c r="AK893" s="75">
        <v>0</v>
      </c>
      <c r="AL893" s="95">
        <v>0</v>
      </c>
      <c r="AM893" s="92">
        <v>0</v>
      </c>
      <c r="AN893" s="79" t="s">
        <v>80</v>
      </c>
      <c r="AO893" s="75">
        <v>1</v>
      </c>
      <c r="AP893" s="75" t="s">
        <v>83</v>
      </c>
      <c r="AQ893" s="122">
        <v>1</v>
      </c>
      <c r="AR893" s="515" t="s">
        <v>10</v>
      </c>
      <c r="AS893" s="95">
        <v>0</v>
      </c>
      <c r="AT893" s="75">
        <v>0</v>
      </c>
      <c r="AU893" s="75">
        <v>0</v>
      </c>
      <c r="AV893" s="75">
        <v>0</v>
      </c>
      <c r="AW893" s="123">
        <v>0</v>
      </c>
      <c r="AX893" s="516" t="s">
        <v>1537</v>
      </c>
      <c r="AY893" s="75">
        <v>1</v>
      </c>
      <c r="AZ893" s="77" t="s">
        <v>131</v>
      </c>
      <c r="BA893" s="78" t="s">
        <v>132</v>
      </c>
      <c r="BB893" s="78" t="s">
        <v>132</v>
      </c>
      <c r="BC893" s="78" t="s">
        <v>131</v>
      </c>
      <c r="BD893" s="78" t="s">
        <v>131</v>
      </c>
      <c r="BE893" s="78" t="s">
        <v>131</v>
      </c>
      <c r="BF893" s="78" t="s">
        <v>131</v>
      </c>
      <c r="BG893" s="78" t="s">
        <v>131</v>
      </c>
      <c r="BH893" s="75" t="s">
        <v>5970</v>
      </c>
      <c r="BI893" s="295" t="s">
        <v>2227</v>
      </c>
      <c r="BJ893" s="546">
        <v>1</v>
      </c>
      <c r="BK893" s="294" t="s">
        <v>16</v>
      </c>
      <c r="BL893" s="157" t="s">
        <v>16</v>
      </c>
      <c r="BM893" s="548" t="s">
        <v>578</v>
      </c>
      <c r="BN893" s="548" t="s">
        <v>578</v>
      </c>
      <c r="BO893" s="157" t="s">
        <v>4341</v>
      </c>
      <c r="BP893" s="548" t="s">
        <v>4343</v>
      </c>
      <c r="BQ893" s="157" t="s">
        <v>4309</v>
      </c>
      <c r="BR893" s="157"/>
    </row>
    <row r="894" spans="1:70" x14ac:dyDescent="0.25">
      <c r="A894" s="19" t="s">
        <v>3686</v>
      </c>
      <c r="B894" s="37" t="s">
        <v>2915</v>
      </c>
      <c r="C894" s="90">
        <v>45099.995115740741</v>
      </c>
      <c r="D894" s="114">
        <v>45099.745115740741</v>
      </c>
      <c r="E894" s="38">
        <v>45099</v>
      </c>
      <c r="F894" s="91">
        <v>2023</v>
      </c>
      <c r="G894" s="93">
        <v>6</v>
      </c>
      <c r="H894" s="37" t="s">
        <v>379</v>
      </c>
      <c r="I894" s="37" t="s">
        <v>642</v>
      </c>
      <c r="J894" s="103">
        <v>-92.583498128968742</v>
      </c>
      <c r="K894" s="40">
        <v>44.84881926792167</v>
      </c>
      <c r="L894" s="74"/>
      <c r="M894" s="272" t="s">
        <v>16</v>
      </c>
      <c r="N894" s="74">
        <v>0</v>
      </c>
      <c r="O894" s="94"/>
      <c r="P894" s="118">
        <v>0</v>
      </c>
      <c r="Q894" s="510"/>
      <c r="R894" s="513"/>
      <c r="S894" s="41"/>
      <c r="T894" s="40"/>
      <c r="U894" s="40"/>
      <c r="V894" s="119">
        <v>0</v>
      </c>
      <c r="W894" s="40"/>
      <c r="X894" s="119">
        <v>1</v>
      </c>
      <c r="Y894" s="40">
        <v>62</v>
      </c>
      <c r="Z894" s="119">
        <v>1</v>
      </c>
      <c r="AA894" s="368">
        <v>0</v>
      </c>
      <c r="AB894" s="535">
        <v>2</v>
      </c>
      <c r="AC894" s="39" t="s">
        <v>160</v>
      </c>
      <c r="AD894" s="75" t="s">
        <v>16</v>
      </c>
      <c r="AE894" s="95">
        <v>-1</v>
      </c>
      <c r="AF894" s="75">
        <v>-1</v>
      </c>
      <c r="AG894" s="75">
        <v>-1</v>
      </c>
      <c r="AH894" s="75">
        <v>-1</v>
      </c>
      <c r="AI894" s="75">
        <v>-1</v>
      </c>
      <c r="AJ894" s="75">
        <v>-1</v>
      </c>
      <c r="AK894" s="75">
        <v>-1</v>
      </c>
      <c r="AL894" s="95">
        <v>-1</v>
      </c>
      <c r="AM894" s="92">
        <v>1</v>
      </c>
      <c r="AN894" s="79" t="s">
        <v>80</v>
      </c>
      <c r="AO894" s="75">
        <v>1</v>
      </c>
      <c r="AP894" s="75" t="s">
        <v>83</v>
      </c>
      <c r="AQ894" s="122">
        <v>1</v>
      </c>
      <c r="AR894" s="515" t="s">
        <v>10</v>
      </c>
      <c r="AS894" s="95">
        <v>0</v>
      </c>
      <c r="AT894" s="75">
        <v>0</v>
      </c>
      <c r="AU894" s="75">
        <v>0</v>
      </c>
      <c r="AV894" s="75">
        <v>0</v>
      </c>
      <c r="AW894" s="123">
        <v>0</v>
      </c>
      <c r="AX894" s="516"/>
      <c r="AY894" s="75">
        <v>0</v>
      </c>
      <c r="AZ894" s="77" t="s">
        <v>5971</v>
      </c>
      <c r="BA894" s="78" t="s">
        <v>5971</v>
      </c>
      <c r="BB894" s="78" t="s">
        <v>5971</v>
      </c>
      <c r="BC894" s="78" t="s">
        <v>5971</v>
      </c>
      <c r="BD894" s="78" t="s">
        <v>5971</v>
      </c>
      <c r="BE894" s="78" t="s">
        <v>5971</v>
      </c>
      <c r="BF894" s="78" t="s">
        <v>5971</v>
      </c>
      <c r="BG894" s="78" t="s">
        <v>5971</v>
      </c>
      <c r="BH894" s="75" t="s">
        <v>5971</v>
      </c>
      <c r="BI894" s="295" t="s">
        <v>2226</v>
      </c>
      <c r="BJ894" s="546">
        <v>1</v>
      </c>
      <c r="BK894" s="294">
        <v>1</v>
      </c>
      <c r="BL894" s="157">
        <v>1</v>
      </c>
      <c r="BM894" s="548" t="s">
        <v>578</v>
      </c>
      <c r="BN894" s="548" t="s">
        <v>578</v>
      </c>
      <c r="BO894" s="157" t="s">
        <v>4310</v>
      </c>
      <c r="BP894" s="548" t="s">
        <v>2226</v>
      </c>
      <c r="BQ894" s="157" t="s">
        <v>4309</v>
      </c>
      <c r="BR894" s="157"/>
    </row>
    <row r="895" spans="1:70" x14ac:dyDescent="0.25">
      <c r="A895" s="19" t="s">
        <v>3686</v>
      </c>
      <c r="B895" s="37" t="s">
        <v>2916</v>
      </c>
      <c r="C895" s="90">
        <v>45099.8440625</v>
      </c>
      <c r="D895" s="114">
        <v>45099.5940625</v>
      </c>
      <c r="E895" s="38">
        <v>45099</v>
      </c>
      <c r="F895" s="91">
        <v>2023</v>
      </c>
      <c r="G895" s="93">
        <v>6</v>
      </c>
      <c r="H895" s="37" t="s">
        <v>2400</v>
      </c>
      <c r="I895" s="37"/>
      <c r="J895" s="103">
        <v>-90.804896400000004</v>
      </c>
      <c r="K895" s="40">
        <v>43.124659600000001</v>
      </c>
      <c r="L895" s="74"/>
      <c r="M895" s="272" t="s">
        <v>16</v>
      </c>
      <c r="N895" s="74">
        <v>0</v>
      </c>
      <c r="O895" s="94"/>
      <c r="P895" s="118">
        <v>1</v>
      </c>
      <c r="Q895" s="510">
        <v>80</v>
      </c>
      <c r="R895" s="513">
        <v>120</v>
      </c>
      <c r="S895" s="41"/>
      <c r="T895" s="40"/>
      <c r="U895" s="40">
        <v>9</v>
      </c>
      <c r="V895" s="119">
        <v>1</v>
      </c>
      <c r="W895" s="40">
        <v>0</v>
      </c>
      <c r="X895" s="119">
        <v>1</v>
      </c>
      <c r="Y895" s="40">
        <v>72</v>
      </c>
      <c r="Z895" s="119">
        <v>1</v>
      </c>
      <c r="AA895" s="368">
        <v>0</v>
      </c>
      <c r="AB895" s="535">
        <v>2</v>
      </c>
      <c r="AC895" s="39" t="s">
        <v>160</v>
      </c>
      <c r="AD895" s="75" t="s">
        <v>10</v>
      </c>
      <c r="AE895" s="95">
        <v>0</v>
      </c>
      <c r="AF895" s="75">
        <v>0</v>
      </c>
      <c r="AG895" s="75">
        <v>0</v>
      </c>
      <c r="AH895" s="75">
        <v>0</v>
      </c>
      <c r="AI895" s="75">
        <v>0</v>
      </c>
      <c r="AJ895" s="75">
        <v>0</v>
      </c>
      <c r="AK895" s="75">
        <v>0</v>
      </c>
      <c r="AL895" s="95">
        <v>1</v>
      </c>
      <c r="AM895" s="92">
        <v>0</v>
      </c>
      <c r="AN895" s="79" t="s">
        <v>80</v>
      </c>
      <c r="AO895" s="75">
        <v>1</v>
      </c>
      <c r="AP895" s="75" t="s">
        <v>83</v>
      </c>
      <c r="AQ895" s="122">
        <v>1</v>
      </c>
      <c r="AR895" s="515" t="s">
        <v>10</v>
      </c>
      <c r="AS895" s="95">
        <v>0</v>
      </c>
      <c r="AT895" s="75">
        <v>0</v>
      </c>
      <c r="AU895" s="75">
        <v>0</v>
      </c>
      <c r="AV895" s="75">
        <v>0</v>
      </c>
      <c r="AW895" s="123">
        <v>0</v>
      </c>
      <c r="AX895" s="516"/>
      <c r="AY895" s="75">
        <v>0</v>
      </c>
      <c r="AZ895" s="77" t="s">
        <v>131</v>
      </c>
      <c r="BA895" s="78" t="s">
        <v>131</v>
      </c>
      <c r="BB895" s="78" t="s">
        <v>131</v>
      </c>
      <c r="BC895" s="78" t="s">
        <v>131</v>
      </c>
      <c r="BD895" s="78" t="s">
        <v>131</v>
      </c>
      <c r="BE895" s="78" t="s">
        <v>131</v>
      </c>
      <c r="BF895" s="78" t="s">
        <v>131</v>
      </c>
      <c r="BG895" s="78" t="s">
        <v>132</v>
      </c>
      <c r="BH895" s="75" t="s">
        <v>5970</v>
      </c>
      <c r="BI895" s="295">
        <v>0</v>
      </c>
      <c r="BJ895" s="546">
        <v>1</v>
      </c>
      <c r="BK895" s="294">
        <v>1</v>
      </c>
      <c r="BL895" s="157">
        <v>1</v>
      </c>
      <c r="BM895" s="548" t="s">
        <v>1342</v>
      </c>
      <c r="BN895" s="548" t="s">
        <v>4158</v>
      </c>
      <c r="BO895" s="157" t="s">
        <v>4553</v>
      </c>
      <c r="BP895" s="548" t="s">
        <v>4554</v>
      </c>
      <c r="BQ895" s="157" t="s">
        <v>4299</v>
      </c>
      <c r="BR895" s="157"/>
    </row>
    <row r="896" spans="1:70" x14ac:dyDescent="0.25">
      <c r="A896" s="19" t="s">
        <v>3686</v>
      </c>
      <c r="B896" s="37" t="s">
        <v>2917</v>
      </c>
      <c r="C896" s="90">
        <v>45099.820381944446</v>
      </c>
      <c r="D896" s="114">
        <v>45099.570381944446</v>
      </c>
      <c r="E896" s="38">
        <v>45099</v>
      </c>
      <c r="F896" s="91">
        <v>2023</v>
      </c>
      <c r="G896" s="93">
        <v>6</v>
      </c>
      <c r="H896" s="37" t="s">
        <v>2654</v>
      </c>
      <c r="I896" s="37"/>
      <c r="J896" s="103">
        <v>-91.088397700000002</v>
      </c>
      <c r="K896" s="40">
        <v>44.2198061</v>
      </c>
      <c r="L896" s="74"/>
      <c r="M896" s="272" t="s">
        <v>2918</v>
      </c>
      <c r="N896" s="74">
        <v>1</v>
      </c>
      <c r="O896" s="94"/>
      <c r="P896" s="118">
        <v>1</v>
      </c>
      <c r="Q896" s="510">
        <v>40</v>
      </c>
      <c r="R896" s="513">
        <v>60</v>
      </c>
      <c r="S896" s="41"/>
      <c r="T896" s="40"/>
      <c r="U896" s="40">
        <v>6.5</v>
      </c>
      <c r="V896" s="119">
        <v>1</v>
      </c>
      <c r="W896" s="40">
        <v>0</v>
      </c>
      <c r="X896" s="119">
        <v>1</v>
      </c>
      <c r="Y896" s="40">
        <v>69</v>
      </c>
      <c r="Z896" s="119">
        <v>1</v>
      </c>
      <c r="AA896" s="368">
        <v>0</v>
      </c>
      <c r="AB896" s="535">
        <v>5</v>
      </c>
      <c r="AC896" s="39" t="s">
        <v>160</v>
      </c>
      <c r="AD896" s="75" t="s">
        <v>8</v>
      </c>
      <c r="AE896" s="95">
        <v>0</v>
      </c>
      <c r="AF896" s="75">
        <v>1</v>
      </c>
      <c r="AG896" s="75">
        <v>0</v>
      </c>
      <c r="AH896" s="75">
        <v>0</v>
      </c>
      <c r="AI896" s="75">
        <v>0</v>
      </c>
      <c r="AJ896" s="75">
        <v>0</v>
      </c>
      <c r="AK896" s="75">
        <v>0</v>
      </c>
      <c r="AL896" s="95">
        <v>0</v>
      </c>
      <c r="AM896" s="92">
        <v>0</v>
      </c>
      <c r="AN896" s="79" t="s">
        <v>80</v>
      </c>
      <c r="AO896" s="75">
        <v>1</v>
      </c>
      <c r="AP896" s="75" t="s">
        <v>83</v>
      </c>
      <c r="AQ896" s="122">
        <v>1</v>
      </c>
      <c r="AR896" s="515" t="s">
        <v>10</v>
      </c>
      <c r="AS896" s="95">
        <v>0</v>
      </c>
      <c r="AT896" s="75">
        <v>0</v>
      </c>
      <c r="AU896" s="75">
        <v>0</v>
      </c>
      <c r="AV896" s="75">
        <v>0</v>
      </c>
      <c r="AW896" s="123">
        <v>0</v>
      </c>
      <c r="AX896" s="516"/>
      <c r="AY896" s="75">
        <v>0</v>
      </c>
      <c r="AZ896" s="77" t="s">
        <v>131</v>
      </c>
      <c r="BA896" s="78" t="s">
        <v>132</v>
      </c>
      <c r="BB896" s="78" t="s">
        <v>131</v>
      </c>
      <c r="BC896" s="78" t="s">
        <v>131</v>
      </c>
      <c r="BD896" s="78" t="s">
        <v>131</v>
      </c>
      <c r="BE896" s="78" t="s">
        <v>131</v>
      </c>
      <c r="BF896" s="78" t="s">
        <v>131</v>
      </c>
      <c r="BG896" s="78" t="s">
        <v>131</v>
      </c>
      <c r="BH896" s="75" t="s">
        <v>5970</v>
      </c>
      <c r="BI896" s="295" t="s">
        <v>4006</v>
      </c>
      <c r="BJ896" s="546">
        <v>1</v>
      </c>
      <c r="BK896" s="294">
        <v>1</v>
      </c>
      <c r="BL896" s="157">
        <v>1</v>
      </c>
      <c r="BM896" s="548" t="s">
        <v>1342</v>
      </c>
      <c r="BN896" s="548" t="s">
        <v>4158</v>
      </c>
      <c r="BO896" s="157" t="s">
        <v>4529</v>
      </c>
      <c r="BP896" s="548" t="s">
        <v>4530</v>
      </c>
      <c r="BQ896" s="157" t="s">
        <v>4447</v>
      </c>
      <c r="BR896" s="157"/>
    </row>
    <row r="897" spans="1:70" x14ac:dyDescent="0.25">
      <c r="A897" s="19" t="s">
        <v>3686</v>
      </c>
      <c r="B897" s="37" t="s">
        <v>2919</v>
      </c>
      <c r="C897" s="90">
        <v>45099.799861111111</v>
      </c>
      <c r="D897" s="114">
        <v>45099.549861111111</v>
      </c>
      <c r="E897" s="38">
        <v>45099</v>
      </c>
      <c r="F897" s="91">
        <v>2023</v>
      </c>
      <c r="G897" s="93">
        <v>6</v>
      </c>
      <c r="H897" s="37" t="s">
        <v>302</v>
      </c>
      <c r="I897" s="37"/>
      <c r="J897" s="103">
        <v>-91.988372680734955</v>
      </c>
      <c r="K897" s="40">
        <v>43.693192536545482</v>
      </c>
      <c r="L897" s="74"/>
      <c r="M897" s="272" t="s">
        <v>2920</v>
      </c>
      <c r="N897" s="74">
        <v>1</v>
      </c>
      <c r="O897" s="94"/>
      <c r="P897" s="118">
        <v>1</v>
      </c>
      <c r="Q897" s="510">
        <v>180</v>
      </c>
      <c r="R897" s="513">
        <v>180</v>
      </c>
      <c r="S897" s="41"/>
      <c r="T897" s="40"/>
      <c r="U897" s="40">
        <v>8</v>
      </c>
      <c r="V897" s="119">
        <v>1</v>
      </c>
      <c r="W897" s="40">
        <v>100</v>
      </c>
      <c r="X897" s="119">
        <v>0</v>
      </c>
      <c r="Y897" s="40"/>
      <c r="Z897" s="119">
        <v>1</v>
      </c>
      <c r="AA897" s="368">
        <v>0</v>
      </c>
      <c r="AB897" s="535">
        <v>0</v>
      </c>
      <c r="AC897" s="39" t="s">
        <v>160</v>
      </c>
      <c r="AD897" s="75" t="s">
        <v>8</v>
      </c>
      <c r="AE897" s="95">
        <v>0</v>
      </c>
      <c r="AF897" s="75">
        <v>1</v>
      </c>
      <c r="AG897" s="75">
        <v>0</v>
      </c>
      <c r="AH897" s="75">
        <v>0</v>
      </c>
      <c r="AI897" s="75">
        <v>0</v>
      </c>
      <c r="AJ897" s="75">
        <v>0</v>
      </c>
      <c r="AK897" s="75">
        <v>0</v>
      </c>
      <c r="AL897" s="95">
        <v>0</v>
      </c>
      <c r="AM897" s="92">
        <v>0</v>
      </c>
      <c r="AN897" s="79" t="s">
        <v>80</v>
      </c>
      <c r="AO897" s="75">
        <v>1</v>
      </c>
      <c r="AP897" s="75" t="s">
        <v>83</v>
      </c>
      <c r="AQ897" s="122">
        <v>1</v>
      </c>
      <c r="AR897" s="515" t="s">
        <v>10</v>
      </c>
      <c r="AS897" s="95">
        <v>0</v>
      </c>
      <c r="AT897" s="75">
        <v>0</v>
      </c>
      <c r="AU897" s="75">
        <v>0</v>
      </c>
      <c r="AV897" s="75">
        <v>0</v>
      </c>
      <c r="AW897" s="123">
        <v>0</v>
      </c>
      <c r="AX897" s="516" t="s">
        <v>2272</v>
      </c>
      <c r="AY897" s="75">
        <v>1</v>
      </c>
      <c r="AZ897" s="77" t="s">
        <v>131</v>
      </c>
      <c r="BA897" s="78" t="s">
        <v>132</v>
      </c>
      <c r="BB897" s="78" t="s">
        <v>131</v>
      </c>
      <c r="BC897" s="78" t="s">
        <v>131</v>
      </c>
      <c r="BD897" s="78" t="s">
        <v>131</v>
      </c>
      <c r="BE897" s="78" t="s">
        <v>131</v>
      </c>
      <c r="BF897" s="78" t="s">
        <v>131</v>
      </c>
      <c r="BG897" s="78" t="s">
        <v>131</v>
      </c>
      <c r="BH897" s="75" t="s">
        <v>5970</v>
      </c>
      <c r="BI897" s="295" t="s">
        <v>2272</v>
      </c>
      <c r="BJ897" s="546">
        <v>1</v>
      </c>
      <c r="BK897" s="294" t="s">
        <v>16</v>
      </c>
      <c r="BL897" s="157" t="s">
        <v>16</v>
      </c>
      <c r="BM897" s="548" t="s">
        <v>1339</v>
      </c>
      <c r="BN897" s="548" t="s">
        <v>4160</v>
      </c>
      <c r="BO897" s="157" t="s">
        <v>4555</v>
      </c>
      <c r="BP897" s="548" t="s">
        <v>2272</v>
      </c>
      <c r="BQ897" s="157" t="s">
        <v>4229</v>
      </c>
      <c r="BR897" s="157"/>
    </row>
    <row r="898" spans="1:70" x14ac:dyDescent="0.25">
      <c r="A898" s="19" t="s">
        <v>3686</v>
      </c>
      <c r="B898" s="37" t="s">
        <v>2921</v>
      </c>
      <c r="C898" s="90">
        <v>45099.78534722222</v>
      </c>
      <c r="D898" s="114">
        <v>45099.53534722222</v>
      </c>
      <c r="E898" s="38">
        <v>45099</v>
      </c>
      <c r="F898" s="91">
        <v>2023</v>
      </c>
      <c r="G898" s="93">
        <v>6</v>
      </c>
      <c r="H898" s="37" t="s">
        <v>2654</v>
      </c>
      <c r="I898" s="37"/>
      <c r="J898" s="103">
        <v>-91.121549299999998</v>
      </c>
      <c r="K898" s="40">
        <v>44.212505</v>
      </c>
      <c r="L898" s="74"/>
      <c r="M898" s="272" t="s">
        <v>2922</v>
      </c>
      <c r="N898" s="74">
        <v>1</v>
      </c>
      <c r="O898" s="94"/>
      <c r="P898" s="118">
        <v>1</v>
      </c>
      <c r="Q898" s="510">
        <v>0</v>
      </c>
      <c r="R898" s="513">
        <v>60</v>
      </c>
      <c r="S898" s="41"/>
      <c r="T898" s="40"/>
      <c r="U898" s="40">
        <v>6.5</v>
      </c>
      <c r="V898" s="119">
        <v>1</v>
      </c>
      <c r="W898" s="40">
        <v>300</v>
      </c>
      <c r="X898" s="119">
        <v>1</v>
      </c>
      <c r="Y898" s="40">
        <v>65</v>
      </c>
      <c r="Z898" s="119">
        <v>1</v>
      </c>
      <c r="AA898" s="368">
        <v>0</v>
      </c>
      <c r="AB898" s="535">
        <v>5</v>
      </c>
      <c r="AC898" s="39" t="s">
        <v>160</v>
      </c>
      <c r="AD898" s="75" t="s">
        <v>10</v>
      </c>
      <c r="AE898" s="95">
        <v>0</v>
      </c>
      <c r="AF898" s="75">
        <v>0</v>
      </c>
      <c r="AG898" s="75">
        <v>0</v>
      </c>
      <c r="AH898" s="75">
        <v>0</v>
      </c>
      <c r="AI898" s="75">
        <v>0</v>
      </c>
      <c r="AJ898" s="75">
        <v>0</v>
      </c>
      <c r="AK898" s="75">
        <v>0</v>
      </c>
      <c r="AL898" s="95">
        <v>1</v>
      </c>
      <c r="AM898" s="92">
        <v>0</v>
      </c>
      <c r="AN898" s="79" t="s">
        <v>80</v>
      </c>
      <c r="AO898" s="75">
        <v>1</v>
      </c>
      <c r="AP898" s="75" t="s">
        <v>83</v>
      </c>
      <c r="AQ898" s="122">
        <v>1</v>
      </c>
      <c r="AR898" s="515" t="s">
        <v>10</v>
      </c>
      <c r="AS898" s="95">
        <v>0</v>
      </c>
      <c r="AT898" s="75">
        <v>0</v>
      </c>
      <c r="AU898" s="75">
        <v>0</v>
      </c>
      <c r="AV898" s="75">
        <v>0</v>
      </c>
      <c r="AW898" s="123">
        <v>0</v>
      </c>
      <c r="AX898" s="516"/>
      <c r="AY898" s="75">
        <v>0</v>
      </c>
      <c r="AZ898" s="77" t="s">
        <v>131</v>
      </c>
      <c r="BA898" s="78" t="s">
        <v>131</v>
      </c>
      <c r="BB898" s="78" t="s">
        <v>131</v>
      </c>
      <c r="BC898" s="78" t="s">
        <v>131</v>
      </c>
      <c r="BD898" s="78" t="s">
        <v>131</v>
      </c>
      <c r="BE898" s="78" t="s">
        <v>131</v>
      </c>
      <c r="BF898" s="78" t="s">
        <v>131</v>
      </c>
      <c r="BG898" s="78" t="s">
        <v>132</v>
      </c>
      <c r="BH898" s="75" t="s">
        <v>5970</v>
      </c>
      <c r="BI898" s="295" t="s">
        <v>4009</v>
      </c>
      <c r="BJ898" s="546">
        <v>1</v>
      </c>
      <c r="BK898" s="294">
        <v>1</v>
      </c>
      <c r="BL898" s="157">
        <v>1</v>
      </c>
      <c r="BM898" s="548" t="s">
        <v>1340</v>
      </c>
      <c r="BN898" s="548" t="s">
        <v>4158</v>
      </c>
      <c r="BO898" s="157" t="s">
        <v>4529</v>
      </c>
      <c r="BP898" s="548" t="s">
        <v>4530</v>
      </c>
      <c r="BQ898" s="157" t="s">
        <v>4447</v>
      </c>
      <c r="BR898" s="157"/>
    </row>
    <row r="899" spans="1:70" x14ac:dyDescent="0.25">
      <c r="A899" s="19" t="s">
        <v>3686</v>
      </c>
      <c r="B899" s="37" t="s">
        <v>2923</v>
      </c>
      <c r="C899" s="90">
        <v>45099.768043981479</v>
      </c>
      <c r="D899" s="114">
        <v>45099.518043981479</v>
      </c>
      <c r="E899" s="38">
        <v>45099</v>
      </c>
      <c r="F899" s="91">
        <v>2023</v>
      </c>
      <c r="G899" s="93">
        <v>6</v>
      </c>
      <c r="H899" s="37" t="s">
        <v>2654</v>
      </c>
      <c r="I899" s="37"/>
      <c r="J899" s="103">
        <v>-91.137148100000005</v>
      </c>
      <c r="K899" s="40">
        <v>44.2087444</v>
      </c>
      <c r="L899" s="74"/>
      <c r="M899" s="272" t="s">
        <v>2924</v>
      </c>
      <c r="N899" s="74">
        <v>1</v>
      </c>
      <c r="O899" s="94"/>
      <c r="P899" s="118">
        <v>1</v>
      </c>
      <c r="Q899" s="510">
        <v>40</v>
      </c>
      <c r="R899" s="513">
        <v>60</v>
      </c>
      <c r="S899" s="41"/>
      <c r="T899" s="40"/>
      <c r="U899" s="40">
        <v>6.5</v>
      </c>
      <c r="V899" s="119">
        <v>1</v>
      </c>
      <c r="W899" s="40">
        <v>100</v>
      </c>
      <c r="X899" s="119">
        <v>1</v>
      </c>
      <c r="Y899" s="40">
        <v>65</v>
      </c>
      <c r="Z899" s="119">
        <v>1</v>
      </c>
      <c r="AA899" s="368">
        <v>0</v>
      </c>
      <c r="AB899" s="535">
        <v>5</v>
      </c>
      <c r="AC899" s="39" t="s">
        <v>160</v>
      </c>
      <c r="AD899" s="75" t="s">
        <v>10</v>
      </c>
      <c r="AE899" s="95">
        <v>0</v>
      </c>
      <c r="AF899" s="75">
        <v>0</v>
      </c>
      <c r="AG899" s="75">
        <v>0</v>
      </c>
      <c r="AH899" s="75">
        <v>0</v>
      </c>
      <c r="AI899" s="75">
        <v>0</v>
      </c>
      <c r="AJ899" s="75">
        <v>0</v>
      </c>
      <c r="AK899" s="75">
        <v>0</v>
      </c>
      <c r="AL899" s="95">
        <v>1</v>
      </c>
      <c r="AM899" s="92">
        <v>0</v>
      </c>
      <c r="AN899" s="79" t="s">
        <v>80</v>
      </c>
      <c r="AO899" s="75">
        <v>1</v>
      </c>
      <c r="AP899" s="75" t="s">
        <v>83</v>
      </c>
      <c r="AQ899" s="122">
        <v>1</v>
      </c>
      <c r="AR899" s="515" t="s">
        <v>10</v>
      </c>
      <c r="AS899" s="95">
        <v>0</v>
      </c>
      <c r="AT899" s="75">
        <v>0</v>
      </c>
      <c r="AU899" s="75">
        <v>0</v>
      </c>
      <c r="AV899" s="75">
        <v>0</v>
      </c>
      <c r="AW899" s="123">
        <v>0</v>
      </c>
      <c r="AX899" s="516"/>
      <c r="AY899" s="75">
        <v>0</v>
      </c>
      <c r="AZ899" s="77" t="s">
        <v>131</v>
      </c>
      <c r="BA899" s="78" t="s">
        <v>131</v>
      </c>
      <c r="BB899" s="78" t="s">
        <v>131</v>
      </c>
      <c r="BC899" s="78" t="s">
        <v>131</v>
      </c>
      <c r="BD899" s="78" t="s">
        <v>131</v>
      </c>
      <c r="BE899" s="78" t="s">
        <v>131</v>
      </c>
      <c r="BF899" s="78" t="s">
        <v>131</v>
      </c>
      <c r="BG899" s="78" t="s">
        <v>132</v>
      </c>
      <c r="BH899" s="75" t="s">
        <v>5970</v>
      </c>
      <c r="BI899" s="295" t="s">
        <v>4010</v>
      </c>
      <c r="BJ899" s="546">
        <v>1</v>
      </c>
      <c r="BK899" s="294">
        <v>1</v>
      </c>
      <c r="BL899" s="157">
        <v>1</v>
      </c>
      <c r="BM899" s="548" t="s">
        <v>1340</v>
      </c>
      <c r="BN899" s="548" t="s">
        <v>4158</v>
      </c>
      <c r="BO899" s="157" t="s">
        <v>4529</v>
      </c>
      <c r="BP899" s="548" t="s">
        <v>4530</v>
      </c>
      <c r="BQ899" s="157" t="s">
        <v>4447</v>
      </c>
      <c r="BR899" s="157"/>
    </row>
    <row r="900" spans="1:70" x14ac:dyDescent="0.25">
      <c r="A900" s="19" t="s">
        <v>3686</v>
      </c>
      <c r="B900" s="37" t="s">
        <v>2925</v>
      </c>
      <c r="C900" s="90">
        <v>45099.700254629628</v>
      </c>
      <c r="D900" s="114">
        <v>45099.450254629628</v>
      </c>
      <c r="E900" s="38">
        <v>45099</v>
      </c>
      <c r="F900" s="91">
        <v>2023</v>
      </c>
      <c r="G900" s="93">
        <v>6</v>
      </c>
      <c r="H900" s="37" t="s">
        <v>2548</v>
      </c>
      <c r="I900" s="37"/>
      <c r="J900" s="103">
        <v>-90.661319105578642</v>
      </c>
      <c r="K900" s="40">
        <v>43.227140558159078</v>
      </c>
      <c r="L900" s="74"/>
      <c r="M900" s="272" t="s">
        <v>2926</v>
      </c>
      <c r="N900" s="74">
        <v>1</v>
      </c>
      <c r="O900" s="94"/>
      <c r="P900" s="118">
        <v>1</v>
      </c>
      <c r="Q900" s="510">
        <v>180</v>
      </c>
      <c r="R900" s="513">
        <v>180</v>
      </c>
      <c r="S900" s="41"/>
      <c r="T900" s="40"/>
      <c r="U900" s="40">
        <v>7</v>
      </c>
      <c r="V900" s="119">
        <v>1</v>
      </c>
      <c r="W900" s="40">
        <v>0</v>
      </c>
      <c r="X900" s="119">
        <v>1</v>
      </c>
      <c r="Y900" s="40">
        <v>53</v>
      </c>
      <c r="Z900" s="119">
        <v>1</v>
      </c>
      <c r="AA900" s="368">
        <v>0</v>
      </c>
      <c r="AB900" s="535">
        <v>0</v>
      </c>
      <c r="AC900" s="39" t="s">
        <v>160</v>
      </c>
      <c r="AD900" s="75" t="s">
        <v>10</v>
      </c>
      <c r="AE900" s="95">
        <v>0</v>
      </c>
      <c r="AF900" s="75">
        <v>0</v>
      </c>
      <c r="AG900" s="75">
        <v>0</v>
      </c>
      <c r="AH900" s="75">
        <v>0</v>
      </c>
      <c r="AI900" s="75">
        <v>0</v>
      </c>
      <c r="AJ900" s="75">
        <v>0</v>
      </c>
      <c r="AK900" s="75">
        <v>0</v>
      </c>
      <c r="AL900" s="95">
        <v>1</v>
      </c>
      <c r="AM900" s="92">
        <v>0</v>
      </c>
      <c r="AN900" s="79" t="s">
        <v>80</v>
      </c>
      <c r="AO900" s="75">
        <v>1</v>
      </c>
      <c r="AP900" s="75" t="s">
        <v>83</v>
      </c>
      <c r="AQ900" s="122">
        <v>1</v>
      </c>
      <c r="AR900" s="515" t="s">
        <v>10</v>
      </c>
      <c r="AS900" s="95">
        <v>0</v>
      </c>
      <c r="AT900" s="75">
        <v>0</v>
      </c>
      <c r="AU900" s="75">
        <v>0</v>
      </c>
      <c r="AV900" s="75">
        <v>0</v>
      </c>
      <c r="AW900" s="123">
        <v>0</v>
      </c>
      <c r="AX900" s="516"/>
      <c r="AY900" s="75">
        <v>0</v>
      </c>
      <c r="AZ900" s="77" t="s">
        <v>131</v>
      </c>
      <c r="BA900" s="78" t="s">
        <v>131</v>
      </c>
      <c r="BB900" s="78" t="s">
        <v>131</v>
      </c>
      <c r="BC900" s="78" t="s">
        <v>131</v>
      </c>
      <c r="BD900" s="78" t="s">
        <v>131</v>
      </c>
      <c r="BE900" s="78" t="s">
        <v>131</v>
      </c>
      <c r="BF900" s="78" t="s">
        <v>131</v>
      </c>
      <c r="BG900" s="78" t="s">
        <v>132</v>
      </c>
      <c r="BH900" s="75" t="s">
        <v>5970</v>
      </c>
      <c r="BI900" s="295" t="s">
        <v>4102</v>
      </c>
      <c r="BJ900" s="546">
        <v>1</v>
      </c>
      <c r="BK900" s="294" t="s">
        <v>16</v>
      </c>
      <c r="BL900" s="157" t="s">
        <v>16</v>
      </c>
      <c r="BM900" s="548" t="s">
        <v>1345</v>
      </c>
      <c r="BN900" s="548" t="s">
        <v>4158</v>
      </c>
      <c r="BO900" s="157" t="s">
        <v>4429</v>
      </c>
      <c r="BP900" s="548" t="s">
        <v>4556</v>
      </c>
      <c r="BQ900" s="157" t="s">
        <v>4427</v>
      </c>
      <c r="BR900" s="157"/>
    </row>
    <row r="901" spans="1:70" x14ac:dyDescent="0.25">
      <c r="A901" s="19" t="s">
        <v>3686</v>
      </c>
      <c r="B901" s="37" t="s">
        <v>2927</v>
      </c>
      <c r="C901" s="90">
        <v>45099.642812500002</v>
      </c>
      <c r="D901" s="114">
        <v>45099.392812500002</v>
      </c>
      <c r="E901" s="38">
        <v>45099</v>
      </c>
      <c r="F901" s="91">
        <v>2023</v>
      </c>
      <c r="G901" s="93">
        <v>6</v>
      </c>
      <c r="H901" s="37" t="s">
        <v>1386</v>
      </c>
      <c r="I901" s="37"/>
      <c r="J901" s="103">
        <v>-91.581080200000002</v>
      </c>
      <c r="K901" s="40">
        <v>43.641432799999997</v>
      </c>
      <c r="L901" s="74"/>
      <c r="M901" s="272" t="s">
        <v>16</v>
      </c>
      <c r="N901" s="74">
        <v>0</v>
      </c>
      <c r="O901" s="94"/>
      <c r="P901" s="118">
        <v>1</v>
      </c>
      <c r="Q901" s="510">
        <v>0</v>
      </c>
      <c r="R901" s="513">
        <v>60</v>
      </c>
      <c r="S901" s="41"/>
      <c r="T901" s="40"/>
      <c r="U901" s="40">
        <v>7.5</v>
      </c>
      <c r="V901" s="119">
        <v>1</v>
      </c>
      <c r="W901" s="40">
        <v>0</v>
      </c>
      <c r="X901" s="119">
        <v>1</v>
      </c>
      <c r="Y901" s="40">
        <v>51</v>
      </c>
      <c r="Z901" s="119">
        <v>1</v>
      </c>
      <c r="AA901" s="368">
        <v>0</v>
      </c>
      <c r="AB901" s="535">
        <v>0</v>
      </c>
      <c r="AC901" s="39" t="s">
        <v>160</v>
      </c>
      <c r="AD901" s="75" t="s">
        <v>10</v>
      </c>
      <c r="AE901" s="95">
        <v>0</v>
      </c>
      <c r="AF901" s="75">
        <v>0</v>
      </c>
      <c r="AG901" s="75">
        <v>0</v>
      </c>
      <c r="AH901" s="75">
        <v>0</v>
      </c>
      <c r="AI901" s="75">
        <v>0</v>
      </c>
      <c r="AJ901" s="75">
        <v>0</v>
      </c>
      <c r="AK901" s="75">
        <v>0</v>
      </c>
      <c r="AL901" s="95">
        <v>1</v>
      </c>
      <c r="AM901" s="92">
        <v>0</v>
      </c>
      <c r="AN901" s="79" t="s">
        <v>80</v>
      </c>
      <c r="AO901" s="75">
        <v>1</v>
      </c>
      <c r="AP901" s="75" t="s">
        <v>83</v>
      </c>
      <c r="AQ901" s="122">
        <v>1</v>
      </c>
      <c r="AR901" s="515" t="s">
        <v>10</v>
      </c>
      <c r="AS901" s="95">
        <v>0</v>
      </c>
      <c r="AT901" s="75">
        <v>0</v>
      </c>
      <c r="AU901" s="75">
        <v>0</v>
      </c>
      <c r="AV901" s="75">
        <v>0</v>
      </c>
      <c r="AW901" s="123">
        <v>0</v>
      </c>
      <c r="AX901" s="516"/>
      <c r="AY901" s="75">
        <v>0</v>
      </c>
      <c r="AZ901" s="77" t="s">
        <v>131</v>
      </c>
      <c r="BA901" s="78" t="s">
        <v>131</v>
      </c>
      <c r="BB901" s="78" t="s">
        <v>131</v>
      </c>
      <c r="BC901" s="78" t="s">
        <v>131</v>
      </c>
      <c r="BD901" s="78" t="s">
        <v>131</v>
      </c>
      <c r="BE901" s="78" t="s">
        <v>131</v>
      </c>
      <c r="BF901" s="78" t="s">
        <v>131</v>
      </c>
      <c r="BG901" s="78" t="s">
        <v>132</v>
      </c>
      <c r="BH901" s="75" t="s">
        <v>5970</v>
      </c>
      <c r="BI901" s="295" t="s">
        <v>2259</v>
      </c>
      <c r="BJ901" s="546">
        <v>1</v>
      </c>
      <c r="BK901" s="294" t="s">
        <v>16</v>
      </c>
      <c r="BL901" s="157" t="s">
        <v>16</v>
      </c>
      <c r="BM901" s="548" t="s">
        <v>1341</v>
      </c>
      <c r="BN901" s="548" t="s">
        <v>1339</v>
      </c>
      <c r="BO901" s="157" t="s">
        <v>4233</v>
      </c>
      <c r="BP901" s="548" t="s">
        <v>307</v>
      </c>
      <c r="BQ901" s="157" t="s">
        <v>4232</v>
      </c>
      <c r="BR901" s="157"/>
    </row>
    <row r="902" spans="1:70" x14ac:dyDescent="0.25">
      <c r="A902" s="19" t="s">
        <v>3686</v>
      </c>
      <c r="B902" s="37" t="s">
        <v>2928</v>
      </c>
      <c r="C902" s="90">
        <v>45099.617025462961</v>
      </c>
      <c r="D902" s="114">
        <v>45099.367025462961</v>
      </c>
      <c r="E902" s="38">
        <v>45099</v>
      </c>
      <c r="F902" s="91">
        <v>2023</v>
      </c>
      <c r="G902" s="93">
        <v>6</v>
      </c>
      <c r="H902" s="37" t="s">
        <v>1386</v>
      </c>
      <c r="I902" s="37" t="s">
        <v>16</v>
      </c>
      <c r="J902" s="103">
        <v>-91.373392600000003</v>
      </c>
      <c r="K902" s="40">
        <v>43.6035507</v>
      </c>
      <c r="L902" s="74"/>
      <c r="M902" s="272" t="s">
        <v>16</v>
      </c>
      <c r="N902" s="74">
        <v>0</v>
      </c>
      <c r="O902" s="94"/>
      <c r="P902" s="118">
        <v>1</v>
      </c>
      <c r="Q902" s="510">
        <v>0</v>
      </c>
      <c r="R902" s="513">
        <v>60</v>
      </c>
      <c r="S902" s="41"/>
      <c r="T902" s="40"/>
      <c r="U902" s="40">
        <v>7.5</v>
      </c>
      <c r="V902" s="119">
        <v>1</v>
      </c>
      <c r="W902" s="40">
        <v>0</v>
      </c>
      <c r="X902" s="119">
        <v>1</v>
      </c>
      <c r="Y902" s="40">
        <v>62</v>
      </c>
      <c r="Z902" s="119">
        <v>1</v>
      </c>
      <c r="AA902" s="368">
        <v>0</v>
      </c>
      <c r="AB902" s="535">
        <v>2</v>
      </c>
      <c r="AC902" s="39" t="s">
        <v>160</v>
      </c>
      <c r="AD902" s="75" t="s">
        <v>10</v>
      </c>
      <c r="AE902" s="95">
        <v>0</v>
      </c>
      <c r="AF902" s="75">
        <v>0</v>
      </c>
      <c r="AG902" s="75">
        <v>0</v>
      </c>
      <c r="AH902" s="75">
        <v>0</v>
      </c>
      <c r="AI902" s="75">
        <v>0</v>
      </c>
      <c r="AJ902" s="75">
        <v>0</v>
      </c>
      <c r="AK902" s="75">
        <v>0</v>
      </c>
      <c r="AL902" s="95">
        <v>1</v>
      </c>
      <c r="AM902" s="92">
        <v>0</v>
      </c>
      <c r="AN902" s="79" t="s">
        <v>80</v>
      </c>
      <c r="AO902" s="75">
        <v>1</v>
      </c>
      <c r="AP902" s="75" t="s">
        <v>83</v>
      </c>
      <c r="AQ902" s="122">
        <v>1</v>
      </c>
      <c r="AR902" s="515" t="s">
        <v>10</v>
      </c>
      <c r="AS902" s="95">
        <v>0</v>
      </c>
      <c r="AT902" s="75">
        <v>0</v>
      </c>
      <c r="AU902" s="75">
        <v>0</v>
      </c>
      <c r="AV902" s="75">
        <v>0</v>
      </c>
      <c r="AW902" s="123">
        <v>0</v>
      </c>
      <c r="AX902" s="516"/>
      <c r="AY902" s="75">
        <v>0</v>
      </c>
      <c r="AZ902" s="77" t="s">
        <v>131</v>
      </c>
      <c r="BA902" s="78" t="s">
        <v>131</v>
      </c>
      <c r="BB902" s="78" t="s">
        <v>131</v>
      </c>
      <c r="BC902" s="78" t="s">
        <v>131</v>
      </c>
      <c r="BD902" s="78" t="s">
        <v>131</v>
      </c>
      <c r="BE902" s="78" t="s">
        <v>131</v>
      </c>
      <c r="BF902" s="78" t="s">
        <v>131</v>
      </c>
      <c r="BG902" s="78" t="s">
        <v>132</v>
      </c>
      <c r="BH902" s="75" t="s">
        <v>5970</v>
      </c>
      <c r="BI902" s="295" t="s">
        <v>4019</v>
      </c>
      <c r="BJ902" s="546">
        <v>1</v>
      </c>
      <c r="BK902" s="294" t="s">
        <v>16</v>
      </c>
      <c r="BL902" s="157" t="s">
        <v>16</v>
      </c>
      <c r="BM902" s="548" t="s">
        <v>1341</v>
      </c>
      <c r="BN902" s="548" t="s">
        <v>1339</v>
      </c>
      <c r="BO902" s="157" t="s">
        <v>4235</v>
      </c>
      <c r="BP902" s="548" t="s">
        <v>4237</v>
      </c>
      <c r="BQ902" s="157" t="s">
        <v>4234</v>
      </c>
      <c r="BR902" s="157"/>
    </row>
    <row r="903" spans="1:70" x14ac:dyDescent="0.25">
      <c r="A903" s="19" t="s">
        <v>3686</v>
      </c>
      <c r="B903" s="37" t="s">
        <v>2929</v>
      </c>
      <c r="C903" s="90">
        <v>45099.592349537037</v>
      </c>
      <c r="D903" s="114">
        <v>45099.342349537037</v>
      </c>
      <c r="E903" s="38">
        <v>45099</v>
      </c>
      <c r="F903" s="91">
        <v>2023</v>
      </c>
      <c r="G903" s="93">
        <v>6</v>
      </c>
      <c r="H903" s="37" t="s">
        <v>1386</v>
      </c>
      <c r="I903" s="37"/>
      <c r="J903" s="103">
        <v>-91.413131800000002</v>
      </c>
      <c r="K903" s="40">
        <v>43.540520600000001</v>
      </c>
      <c r="L903" s="74"/>
      <c r="M903" s="272" t="s">
        <v>16</v>
      </c>
      <c r="N903" s="74">
        <v>0</v>
      </c>
      <c r="O903" s="94"/>
      <c r="P903" s="118">
        <v>1</v>
      </c>
      <c r="Q903" s="510">
        <v>40</v>
      </c>
      <c r="R903" s="513">
        <v>0</v>
      </c>
      <c r="S903" s="41"/>
      <c r="T903" s="40"/>
      <c r="U903" s="40">
        <v>7</v>
      </c>
      <c r="V903" s="119">
        <v>1</v>
      </c>
      <c r="W903" s="40">
        <v>0</v>
      </c>
      <c r="X903" s="119">
        <v>1</v>
      </c>
      <c r="Y903" s="40">
        <v>59</v>
      </c>
      <c r="Z903" s="119">
        <v>1</v>
      </c>
      <c r="AA903" s="368">
        <v>0</v>
      </c>
      <c r="AB903" s="535">
        <v>5</v>
      </c>
      <c r="AC903" s="39" t="s">
        <v>160</v>
      </c>
      <c r="AD903" s="75" t="s">
        <v>10</v>
      </c>
      <c r="AE903" s="95">
        <v>0</v>
      </c>
      <c r="AF903" s="75">
        <v>0</v>
      </c>
      <c r="AG903" s="75">
        <v>0</v>
      </c>
      <c r="AH903" s="75">
        <v>0</v>
      </c>
      <c r="AI903" s="75">
        <v>0</v>
      </c>
      <c r="AJ903" s="75">
        <v>0</v>
      </c>
      <c r="AK903" s="75">
        <v>0</v>
      </c>
      <c r="AL903" s="95">
        <v>1</v>
      </c>
      <c r="AM903" s="92">
        <v>0</v>
      </c>
      <c r="AN903" s="79" t="s">
        <v>80</v>
      </c>
      <c r="AO903" s="75">
        <v>1</v>
      </c>
      <c r="AP903" s="75" t="s">
        <v>83</v>
      </c>
      <c r="AQ903" s="122">
        <v>1</v>
      </c>
      <c r="AR903" s="515" t="s">
        <v>10</v>
      </c>
      <c r="AS903" s="95">
        <v>0</v>
      </c>
      <c r="AT903" s="75">
        <v>0</v>
      </c>
      <c r="AU903" s="75">
        <v>0</v>
      </c>
      <c r="AV903" s="75">
        <v>0</v>
      </c>
      <c r="AW903" s="123">
        <v>0</v>
      </c>
      <c r="AX903" s="516"/>
      <c r="AY903" s="75">
        <v>0</v>
      </c>
      <c r="AZ903" s="77" t="s">
        <v>131</v>
      </c>
      <c r="BA903" s="78" t="s">
        <v>131</v>
      </c>
      <c r="BB903" s="78" t="s">
        <v>131</v>
      </c>
      <c r="BC903" s="78" t="s">
        <v>131</v>
      </c>
      <c r="BD903" s="78" t="s">
        <v>131</v>
      </c>
      <c r="BE903" s="78" t="s">
        <v>131</v>
      </c>
      <c r="BF903" s="78" t="s">
        <v>131</v>
      </c>
      <c r="BG903" s="78" t="s">
        <v>132</v>
      </c>
      <c r="BH903" s="75" t="s">
        <v>5970</v>
      </c>
      <c r="BI903" s="295" t="s">
        <v>4020</v>
      </c>
      <c r="BJ903" s="546">
        <v>1</v>
      </c>
      <c r="BK903" s="294">
        <v>1</v>
      </c>
      <c r="BL903" s="157">
        <v>1</v>
      </c>
      <c r="BM903" s="548" t="s">
        <v>1341</v>
      </c>
      <c r="BN903" s="548" t="s">
        <v>1339</v>
      </c>
      <c r="BO903" s="157" t="s">
        <v>4239</v>
      </c>
      <c r="BP903" s="548" t="s">
        <v>4240</v>
      </c>
      <c r="BQ903" s="157" t="s">
        <v>4238</v>
      </c>
      <c r="BR903" s="157"/>
    </row>
    <row r="904" spans="1:70" x14ac:dyDescent="0.25">
      <c r="A904" s="19" t="s">
        <v>3686</v>
      </c>
      <c r="B904" s="37" t="s">
        <v>2930</v>
      </c>
      <c r="C904" s="90">
        <v>45099.574988425928</v>
      </c>
      <c r="D904" s="114">
        <v>45099.324988425928</v>
      </c>
      <c r="E904" s="38">
        <v>45099</v>
      </c>
      <c r="F904" s="91">
        <v>2023</v>
      </c>
      <c r="G904" s="93">
        <v>6</v>
      </c>
      <c r="H904" s="37" t="s">
        <v>2654</v>
      </c>
      <c r="I904" s="37"/>
      <c r="J904" s="103">
        <v>-91.178112999999996</v>
      </c>
      <c r="K904" s="40">
        <v>44.210698399999998</v>
      </c>
      <c r="L904" s="74"/>
      <c r="M904" s="272" t="s">
        <v>2931</v>
      </c>
      <c r="N904" s="74">
        <v>1</v>
      </c>
      <c r="O904" s="94"/>
      <c r="P904" s="118">
        <v>1</v>
      </c>
      <c r="Q904" s="510">
        <v>40</v>
      </c>
      <c r="R904" s="513">
        <v>0</v>
      </c>
      <c r="S904" s="41"/>
      <c r="T904" s="40"/>
      <c r="U904" s="40">
        <v>6.5</v>
      </c>
      <c r="V904" s="119">
        <v>1</v>
      </c>
      <c r="W904" s="40">
        <v>300</v>
      </c>
      <c r="X904" s="119">
        <v>1</v>
      </c>
      <c r="Y904" s="40">
        <v>62</v>
      </c>
      <c r="Z904" s="119">
        <v>1</v>
      </c>
      <c r="AA904" s="368">
        <v>0</v>
      </c>
      <c r="AB904" s="535">
        <v>2</v>
      </c>
      <c r="AC904" s="39" t="s">
        <v>160</v>
      </c>
      <c r="AD904" s="75" t="s">
        <v>10</v>
      </c>
      <c r="AE904" s="95">
        <v>0</v>
      </c>
      <c r="AF904" s="75">
        <v>0</v>
      </c>
      <c r="AG904" s="75">
        <v>0</v>
      </c>
      <c r="AH904" s="75">
        <v>0</v>
      </c>
      <c r="AI904" s="75">
        <v>0</v>
      </c>
      <c r="AJ904" s="75">
        <v>0</v>
      </c>
      <c r="AK904" s="75">
        <v>0</v>
      </c>
      <c r="AL904" s="95">
        <v>1</v>
      </c>
      <c r="AM904" s="92">
        <v>0</v>
      </c>
      <c r="AN904" s="79" t="s">
        <v>80</v>
      </c>
      <c r="AO904" s="75">
        <v>1</v>
      </c>
      <c r="AP904" s="75" t="s">
        <v>83</v>
      </c>
      <c r="AQ904" s="122">
        <v>1</v>
      </c>
      <c r="AR904" s="515" t="s">
        <v>10</v>
      </c>
      <c r="AS904" s="95">
        <v>0</v>
      </c>
      <c r="AT904" s="75">
        <v>0</v>
      </c>
      <c r="AU904" s="75">
        <v>0</v>
      </c>
      <c r="AV904" s="75">
        <v>0</v>
      </c>
      <c r="AW904" s="123">
        <v>0</v>
      </c>
      <c r="AX904" s="516"/>
      <c r="AY904" s="75">
        <v>0</v>
      </c>
      <c r="AZ904" s="77" t="s">
        <v>131</v>
      </c>
      <c r="BA904" s="78" t="s">
        <v>131</v>
      </c>
      <c r="BB904" s="78" t="s">
        <v>131</v>
      </c>
      <c r="BC904" s="78" t="s">
        <v>131</v>
      </c>
      <c r="BD904" s="78" t="s">
        <v>131</v>
      </c>
      <c r="BE904" s="78" t="s">
        <v>131</v>
      </c>
      <c r="BF904" s="78" t="s">
        <v>131</v>
      </c>
      <c r="BG904" s="78" t="s">
        <v>132</v>
      </c>
      <c r="BH904" s="75" t="s">
        <v>5970</v>
      </c>
      <c r="BI904" s="295" t="s">
        <v>4006</v>
      </c>
      <c r="BJ904" s="546">
        <v>1</v>
      </c>
      <c r="BK904" s="294">
        <v>1</v>
      </c>
      <c r="BL904" s="157">
        <v>1</v>
      </c>
      <c r="BM904" s="548" t="s">
        <v>1340</v>
      </c>
      <c r="BN904" s="548" t="s">
        <v>4158</v>
      </c>
      <c r="BO904" s="157" t="s">
        <v>4529</v>
      </c>
      <c r="BP904" s="548" t="s">
        <v>4530</v>
      </c>
      <c r="BQ904" s="157" t="s">
        <v>4447</v>
      </c>
      <c r="BR904" s="157"/>
    </row>
    <row r="905" spans="1:70" x14ac:dyDescent="0.25">
      <c r="A905" s="19" t="s">
        <v>3686</v>
      </c>
      <c r="B905" s="37" t="s">
        <v>2932</v>
      </c>
      <c r="C905" s="90">
        <v>45099.559155092589</v>
      </c>
      <c r="D905" s="114">
        <v>45099.309155092589</v>
      </c>
      <c r="E905" s="38">
        <v>45099</v>
      </c>
      <c r="F905" s="91">
        <v>2023</v>
      </c>
      <c r="G905" s="93">
        <v>6</v>
      </c>
      <c r="H905" s="37" t="s">
        <v>1386</v>
      </c>
      <c r="I905" s="37"/>
      <c r="J905" s="103">
        <v>-91.569919600000006</v>
      </c>
      <c r="K905" s="40">
        <v>43.502389999999998</v>
      </c>
      <c r="L905" s="74"/>
      <c r="M905" s="272" t="s">
        <v>16</v>
      </c>
      <c r="N905" s="74">
        <v>0</v>
      </c>
      <c r="O905" s="94"/>
      <c r="P905" s="118">
        <v>1</v>
      </c>
      <c r="Q905" s="510">
        <v>120</v>
      </c>
      <c r="R905" s="513">
        <v>120</v>
      </c>
      <c r="S905" s="41"/>
      <c r="T905" s="40"/>
      <c r="U905" s="40">
        <v>7.5</v>
      </c>
      <c r="V905" s="119">
        <v>1</v>
      </c>
      <c r="W905" s="40">
        <v>0</v>
      </c>
      <c r="X905" s="119">
        <v>1</v>
      </c>
      <c r="Y905" s="40">
        <v>51</v>
      </c>
      <c r="Z905" s="119">
        <v>1</v>
      </c>
      <c r="AA905" s="368">
        <v>0</v>
      </c>
      <c r="AB905" s="535">
        <v>5</v>
      </c>
      <c r="AC905" s="39" t="s">
        <v>160</v>
      </c>
      <c r="AD905" s="75" t="s">
        <v>10</v>
      </c>
      <c r="AE905" s="95">
        <v>0</v>
      </c>
      <c r="AF905" s="75">
        <v>0</v>
      </c>
      <c r="AG905" s="75">
        <v>0</v>
      </c>
      <c r="AH905" s="75">
        <v>0</v>
      </c>
      <c r="AI905" s="75">
        <v>0</v>
      </c>
      <c r="AJ905" s="75">
        <v>0</v>
      </c>
      <c r="AK905" s="75">
        <v>0</v>
      </c>
      <c r="AL905" s="95">
        <v>1</v>
      </c>
      <c r="AM905" s="92">
        <v>0</v>
      </c>
      <c r="AN905" s="79" t="s">
        <v>80</v>
      </c>
      <c r="AO905" s="75">
        <v>1</v>
      </c>
      <c r="AP905" s="75" t="s">
        <v>83</v>
      </c>
      <c r="AQ905" s="122">
        <v>1</v>
      </c>
      <c r="AR905" s="515" t="s">
        <v>10</v>
      </c>
      <c r="AS905" s="95">
        <v>0</v>
      </c>
      <c r="AT905" s="75">
        <v>0</v>
      </c>
      <c r="AU905" s="75">
        <v>0</v>
      </c>
      <c r="AV905" s="75">
        <v>0</v>
      </c>
      <c r="AW905" s="123">
        <v>0</v>
      </c>
      <c r="AX905" s="516"/>
      <c r="AY905" s="75">
        <v>0</v>
      </c>
      <c r="AZ905" s="77" t="s">
        <v>131</v>
      </c>
      <c r="BA905" s="78" t="s">
        <v>131</v>
      </c>
      <c r="BB905" s="78" t="s">
        <v>131</v>
      </c>
      <c r="BC905" s="78" t="s">
        <v>131</v>
      </c>
      <c r="BD905" s="78" t="s">
        <v>131</v>
      </c>
      <c r="BE905" s="78" t="s">
        <v>131</v>
      </c>
      <c r="BF905" s="78" t="s">
        <v>131</v>
      </c>
      <c r="BG905" s="78" t="s">
        <v>132</v>
      </c>
      <c r="BH905" s="75" t="s">
        <v>5970</v>
      </c>
      <c r="BI905" s="295" t="s">
        <v>2265</v>
      </c>
      <c r="BJ905" s="546">
        <v>1</v>
      </c>
      <c r="BK905" s="294">
        <v>1</v>
      </c>
      <c r="BL905" s="157">
        <v>1</v>
      </c>
      <c r="BM905" s="548" t="s">
        <v>1341</v>
      </c>
      <c r="BN905" s="548" t="s">
        <v>1339</v>
      </c>
      <c r="BO905" s="157" t="s">
        <v>4242</v>
      </c>
      <c r="BP905" s="548" t="s">
        <v>4041</v>
      </c>
      <c r="BQ905" s="157" t="s">
        <v>4241</v>
      </c>
      <c r="BR905" s="157"/>
    </row>
    <row r="906" spans="1:70" x14ac:dyDescent="0.25">
      <c r="A906" s="19" t="s">
        <v>3686</v>
      </c>
      <c r="B906" s="37" t="s">
        <v>2933</v>
      </c>
      <c r="C906" s="90">
        <v>45098.947951388887</v>
      </c>
      <c r="D906" s="114">
        <v>45098.697951388887</v>
      </c>
      <c r="E906" s="38">
        <v>45098</v>
      </c>
      <c r="F906" s="91">
        <v>2023</v>
      </c>
      <c r="G906" s="93">
        <v>6</v>
      </c>
      <c r="H906" s="37" t="s">
        <v>2654</v>
      </c>
      <c r="I906" s="37"/>
      <c r="J906" s="103">
        <v>-91.176823099999993</v>
      </c>
      <c r="K906" s="40">
        <v>44.206634399999999</v>
      </c>
      <c r="L906" s="74"/>
      <c r="M906" s="272" t="s">
        <v>2934</v>
      </c>
      <c r="N906" s="74">
        <v>1</v>
      </c>
      <c r="O906" s="94"/>
      <c r="P906" s="118">
        <v>1</v>
      </c>
      <c r="Q906" s="510">
        <v>40</v>
      </c>
      <c r="R906" s="513">
        <v>120</v>
      </c>
      <c r="S906" s="41"/>
      <c r="T906" s="40"/>
      <c r="U906" s="40">
        <v>7</v>
      </c>
      <c r="V906" s="119">
        <v>1</v>
      </c>
      <c r="W906" s="40">
        <v>200</v>
      </c>
      <c r="X906" s="119">
        <v>1</v>
      </c>
      <c r="Y906" s="40">
        <v>66</v>
      </c>
      <c r="Z906" s="119">
        <v>1</v>
      </c>
      <c r="AA906" s="368">
        <v>0</v>
      </c>
      <c r="AB906" s="535">
        <v>2</v>
      </c>
      <c r="AC906" s="39" t="s">
        <v>160</v>
      </c>
      <c r="AD906" s="75" t="s">
        <v>10</v>
      </c>
      <c r="AE906" s="95">
        <v>0</v>
      </c>
      <c r="AF906" s="75">
        <v>0</v>
      </c>
      <c r="AG906" s="75">
        <v>0</v>
      </c>
      <c r="AH906" s="75">
        <v>0</v>
      </c>
      <c r="AI906" s="75">
        <v>0</v>
      </c>
      <c r="AJ906" s="75">
        <v>0</v>
      </c>
      <c r="AK906" s="75">
        <v>0</v>
      </c>
      <c r="AL906" s="95">
        <v>1</v>
      </c>
      <c r="AM906" s="92">
        <v>0</v>
      </c>
      <c r="AN906" s="79" t="s">
        <v>80</v>
      </c>
      <c r="AO906" s="75">
        <v>1</v>
      </c>
      <c r="AP906" s="75" t="s">
        <v>83</v>
      </c>
      <c r="AQ906" s="122">
        <v>1</v>
      </c>
      <c r="AR906" s="515" t="s">
        <v>10</v>
      </c>
      <c r="AS906" s="95">
        <v>0</v>
      </c>
      <c r="AT906" s="75">
        <v>0</v>
      </c>
      <c r="AU906" s="75">
        <v>0</v>
      </c>
      <c r="AV906" s="75">
        <v>0</v>
      </c>
      <c r="AW906" s="123">
        <v>0</v>
      </c>
      <c r="AX906" s="516"/>
      <c r="AY906" s="75">
        <v>0</v>
      </c>
      <c r="AZ906" s="77" t="s">
        <v>131</v>
      </c>
      <c r="BA906" s="78" t="s">
        <v>131</v>
      </c>
      <c r="BB906" s="78" t="s">
        <v>131</v>
      </c>
      <c r="BC906" s="78" t="s">
        <v>131</v>
      </c>
      <c r="BD906" s="78" t="s">
        <v>131</v>
      </c>
      <c r="BE906" s="78" t="s">
        <v>131</v>
      </c>
      <c r="BF906" s="78" t="s">
        <v>131</v>
      </c>
      <c r="BG906" s="78" t="s">
        <v>132</v>
      </c>
      <c r="BH906" s="75" t="s">
        <v>5970</v>
      </c>
      <c r="BI906" s="295" t="s">
        <v>4006</v>
      </c>
      <c r="BJ906" s="546">
        <v>1</v>
      </c>
      <c r="BK906" s="294">
        <v>1</v>
      </c>
      <c r="BL906" s="157">
        <v>1</v>
      </c>
      <c r="BM906" s="548" t="s">
        <v>1340</v>
      </c>
      <c r="BN906" s="548" t="s">
        <v>4158</v>
      </c>
      <c r="BO906" s="157" t="s">
        <v>4529</v>
      </c>
      <c r="BP906" s="548" t="s">
        <v>4530</v>
      </c>
      <c r="BQ906" s="157" t="s">
        <v>4447</v>
      </c>
      <c r="BR906" s="157"/>
    </row>
    <row r="907" spans="1:70" x14ac:dyDescent="0.25">
      <c r="A907" s="19" t="s">
        <v>3686</v>
      </c>
      <c r="B907" s="37" t="s">
        <v>2935</v>
      </c>
      <c r="C907" s="90">
        <v>45098.894421296296</v>
      </c>
      <c r="D907" s="114">
        <v>45098.644421296296</v>
      </c>
      <c r="E907" s="38">
        <v>45098</v>
      </c>
      <c r="F907" s="91">
        <v>2023</v>
      </c>
      <c r="G907" s="93">
        <v>6</v>
      </c>
      <c r="H907" s="37" t="s">
        <v>2473</v>
      </c>
      <c r="I907" s="37" t="s">
        <v>368</v>
      </c>
      <c r="J907" s="103">
        <v>-92.331206625329244</v>
      </c>
      <c r="K907" s="40">
        <v>44.745992895304489</v>
      </c>
      <c r="L907" s="74"/>
      <c r="M907" s="272" t="s">
        <v>2936</v>
      </c>
      <c r="N907" s="74">
        <v>1</v>
      </c>
      <c r="O907" s="94"/>
      <c r="P907" s="118">
        <v>1</v>
      </c>
      <c r="Q907" s="510">
        <v>180</v>
      </c>
      <c r="R907" s="513">
        <v>180</v>
      </c>
      <c r="S907" s="41"/>
      <c r="T907" s="40"/>
      <c r="U907" s="40">
        <v>8</v>
      </c>
      <c r="V907" s="119">
        <v>0</v>
      </c>
      <c r="W907" s="40"/>
      <c r="X907" s="119">
        <v>0</v>
      </c>
      <c r="Y907" s="40"/>
      <c r="Z907" s="119">
        <v>1</v>
      </c>
      <c r="AA907" s="368">
        <v>0</v>
      </c>
      <c r="AB907" s="535">
        <v>5</v>
      </c>
      <c r="AC907" s="39"/>
      <c r="AD907" s="75" t="s">
        <v>16</v>
      </c>
      <c r="AE907" s="95">
        <v>-1</v>
      </c>
      <c r="AF907" s="75">
        <v>-1</v>
      </c>
      <c r="AG907" s="75">
        <v>-1</v>
      </c>
      <c r="AH907" s="75">
        <v>-1</v>
      </c>
      <c r="AI907" s="75">
        <v>-1</v>
      </c>
      <c r="AJ907" s="75">
        <v>-1</v>
      </c>
      <c r="AK907" s="75">
        <v>-1</v>
      </c>
      <c r="AL907" s="95">
        <v>-1</v>
      </c>
      <c r="AM907" s="92">
        <v>1</v>
      </c>
      <c r="AN907" s="79" t="s">
        <v>80</v>
      </c>
      <c r="AO907" s="75">
        <v>1</v>
      </c>
      <c r="AP907" s="75" t="s">
        <v>83</v>
      </c>
      <c r="AQ907" s="122">
        <v>1</v>
      </c>
      <c r="AR907" s="515" t="s">
        <v>16</v>
      </c>
      <c r="AS907" s="95">
        <v>-1</v>
      </c>
      <c r="AT907" s="75">
        <v>-1</v>
      </c>
      <c r="AU907" s="75">
        <v>-1</v>
      </c>
      <c r="AV907" s="75">
        <v>-1</v>
      </c>
      <c r="AW907" s="123">
        <v>1</v>
      </c>
      <c r="AX907" s="516"/>
      <c r="AY907" s="75">
        <v>0</v>
      </c>
      <c r="AZ907" s="77" t="s">
        <v>5971</v>
      </c>
      <c r="BA907" s="78" t="s">
        <v>5971</v>
      </c>
      <c r="BB907" s="78" t="s">
        <v>5971</v>
      </c>
      <c r="BC907" s="78" t="s">
        <v>5971</v>
      </c>
      <c r="BD907" s="78" t="s">
        <v>5971</v>
      </c>
      <c r="BE907" s="78" t="s">
        <v>5971</v>
      </c>
      <c r="BF907" s="78" t="s">
        <v>5971</v>
      </c>
      <c r="BG907" s="78" t="s">
        <v>5971</v>
      </c>
      <c r="BH907" s="75" t="s">
        <v>5971</v>
      </c>
      <c r="BI907" s="295" t="s">
        <v>2231</v>
      </c>
      <c r="BJ907" s="546">
        <v>1</v>
      </c>
      <c r="BK907" s="294">
        <v>1</v>
      </c>
      <c r="BL907" s="157">
        <v>1</v>
      </c>
      <c r="BM907" s="548" t="s">
        <v>578</v>
      </c>
      <c r="BN907" s="548" t="s">
        <v>578</v>
      </c>
      <c r="BO907" s="157" t="s">
        <v>4213</v>
      </c>
      <c r="BP907" s="548" t="s">
        <v>4216</v>
      </c>
      <c r="BQ907" s="157" t="s">
        <v>4212</v>
      </c>
      <c r="BR907" s="157"/>
    </row>
    <row r="908" spans="1:70" x14ac:dyDescent="0.25">
      <c r="A908" s="19" t="s">
        <v>3686</v>
      </c>
      <c r="B908" s="37" t="s">
        <v>2937</v>
      </c>
      <c r="C908" s="90">
        <v>45098.876296296294</v>
      </c>
      <c r="D908" s="114">
        <v>45098.626296296294</v>
      </c>
      <c r="E908" s="38">
        <v>45098</v>
      </c>
      <c r="F908" s="91">
        <v>2023</v>
      </c>
      <c r="G908" s="93">
        <v>6</v>
      </c>
      <c r="H908" s="37" t="s">
        <v>2654</v>
      </c>
      <c r="I908" s="37" t="s">
        <v>146</v>
      </c>
      <c r="J908" s="103">
        <v>-91.256931899999998</v>
      </c>
      <c r="K908" s="40">
        <v>44.179817399999997</v>
      </c>
      <c r="L908" s="74"/>
      <c r="M908" s="272" t="s">
        <v>2938</v>
      </c>
      <c r="N908" s="74">
        <v>1</v>
      </c>
      <c r="O908" s="94"/>
      <c r="P908" s="118">
        <v>1</v>
      </c>
      <c r="Q908" s="510">
        <v>120</v>
      </c>
      <c r="R908" s="513">
        <v>120</v>
      </c>
      <c r="S908" s="41"/>
      <c r="T908" s="40"/>
      <c r="U908" s="40">
        <v>8</v>
      </c>
      <c r="V908" s="119">
        <v>1</v>
      </c>
      <c r="W908" s="40">
        <v>200</v>
      </c>
      <c r="X908" s="119">
        <v>1</v>
      </c>
      <c r="Y908" s="40">
        <v>70</v>
      </c>
      <c r="Z908" s="119">
        <v>1</v>
      </c>
      <c r="AA908" s="368">
        <v>0</v>
      </c>
      <c r="AB908" s="535">
        <v>2</v>
      </c>
      <c r="AC908" s="39" t="s">
        <v>160</v>
      </c>
      <c r="AD908" s="75" t="s">
        <v>7</v>
      </c>
      <c r="AE908" s="95">
        <v>1</v>
      </c>
      <c r="AF908" s="75">
        <v>0</v>
      </c>
      <c r="AG908" s="75">
        <v>0</v>
      </c>
      <c r="AH908" s="75">
        <v>0</v>
      </c>
      <c r="AI908" s="75">
        <v>0</v>
      </c>
      <c r="AJ908" s="75">
        <v>0</v>
      </c>
      <c r="AK908" s="75">
        <v>0</v>
      </c>
      <c r="AL908" s="95">
        <v>0</v>
      </c>
      <c r="AM908" s="92">
        <v>0</v>
      </c>
      <c r="AN908" s="79" t="s">
        <v>80</v>
      </c>
      <c r="AO908" s="75">
        <v>1</v>
      </c>
      <c r="AP908" s="75" t="s">
        <v>83</v>
      </c>
      <c r="AQ908" s="122">
        <v>1</v>
      </c>
      <c r="AR908" s="515" t="s">
        <v>10</v>
      </c>
      <c r="AS908" s="95">
        <v>0</v>
      </c>
      <c r="AT908" s="75">
        <v>0</v>
      </c>
      <c r="AU908" s="75">
        <v>0</v>
      </c>
      <c r="AV908" s="75">
        <v>0</v>
      </c>
      <c r="AW908" s="123">
        <v>0</v>
      </c>
      <c r="AX908" s="516"/>
      <c r="AY908" s="75">
        <v>0</v>
      </c>
      <c r="AZ908" s="77" t="s">
        <v>132</v>
      </c>
      <c r="BA908" s="78" t="s">
        <v>131</v>
      </c>
      <c r="BB908" s="78" t="s">
        <v>131</v>
      </c>
      <c r="BC908" s="78" t="s">
        <v>131</v>
      </c>
      <c r="BD908" s="78" t="s">
        <v>131</v>
      </c>
      <c r="BE908" s="78" t="s">
        <v>131</v>
      </c>
      <c r="BF908" s="78" t="s">
        <v>131</v>
      </c>
      <c r="BG908" s="78" t="s">
        <v>131</v>
      </c>
      <c r="BH908" s="75" t="s">
        <v>5970</v>
      </c>
      <c r="BI908" s="295" t="s">
        <v>4006</v>
      </c>
      <c r="BJ908" s="546">
        <v>1</v>
      </c>
      <c r="BK908" s="294">
        <v>1</v>
      </c>
      <c r="BL908" s="157">
        <v>1</v>
      </c>
      <c r="BM908" s="548" t="s">
        <v>1340</v>
      </c>
      <c r="BN908" s="548" t="s">
        <v>4158</v>
      </c>
      <c r="BO908" s="157" t="s">
        <v>4529</v>
      </c>
      <c r="BP908" s="548" t="s">
        <v>4530</v>
      </c>
      <c r="BQ908" s="157" t="s">
        <v>4447</v>
      </c>
      <c r="BR908" s="157"/>
    </row>
    <row r="909" spans="1:70" x14ac:dyDescent="0.25">
      <c r="A909" s="19" t="s">
        <v>3686</v>
      </c>
      <c r="B909" s="37" t="s">
        <v>2939</v>
      </c>
      <c r="C909" s="90">
        <v>45098.850335648145</v>
      </c>
      <c r="D909" s="114">
        <v>45098.600335648145</v>
      </c>
      <c r="E909" s="38">
        <v>45098</v>
      </c>
      <c r="F909" s="91">
        <v>2023</v>
      </c>
      <c r="G909" s="93">
        <v>6</v>
      </c>
      <c r="H909" s="37" t="s">
        <v>2548</v>
      </c>
      <c r="I909" s="37"/>
      <c r="J909" s="103">
        <v>-90.797316913261895</v>
      </c>
      <c r="K909" s="40">
        <v>43.272741632307792</v>
      </c>
      <c r="L909" s="74"/>
      <c r="M909" s="272" t="s">
        <v>2940</v>
      </c>
      <c r="N909" s="74">
        <v>1</v>
      </c>
      <c r="O909" s="94"/>
      <c r="P909" s="118">
        <v>1</v>
      </c>
      <c r="Q909" s="510">
        <v>180</v>
      </c>
      <c r="R909" s="513">
        <v>180</v>
      </c>
      <c r="S909" s="41"/>
      <c r="T909" s="40"/>
      <c r="U909" s="40">
        <v>7.5</v>
      </c>
      <c r="V909" s="119">
        <v>1</v>
      </c>
      <c r="W909" s="40">
        <v>0</v>
      </c>
      <c r="X909" s="119">
        <v>1</v>
      </c>
      <c r="Y909" s="40">
        <v>65</v>
      </c>
      <c r="Z909" s="119">
        <v>1</v>
      </c>
      <c r="AA909" s="368">
        <v>0</v>
      </c>
      <c r="AB909" s="535">
        <v>2</v>
      </c>
      <c r="AC909" s="39" t="s">
        <v>160</v>
      </c>
      <c r="AD909" s="75" t="s">
        <v>427</v>
      </c>
      <c r="AE909" s="95">
        <v>0</v>
      </c>
      <c r="AF909" s="75">
        <v>0</v>
      </c>
      <c r="AG909" s="75">
        <v>0</v>
      </c>
      <c r="AH909" s="75">
        <v>0</v>
      </c>
      <c r="AI909" s="75">
        <v>0</v>
      </c>
      <c r="AJ909" s="75">
        <v>1</v>
      </c>
      <c r="AK909" s="75">
        <v>0</v>
      </c>
      <c r="AL909" s="95">
        <v>0</v>
      </c>
      <c r="AM909" s="92">
        <v>0</v>
      </c>
      <c r="AN909" s="79" t="s">
        <v>80</v>
      </c>
      <c r="AO909" s="75">
        <v>1</v>
      </c>
      <c r="AP909" s="75" t="s">
        <v>83</v>
      </c>
      <c r="AQ909" s="122">
        <v>1</v>
      </c>
      <c r="AR909" s="515" t="s">
        <v>10</v>
      </c>
      <c r="AS909" s="95">
        <v>0</v>
      </c>
      <c r="AT909" s="75">
        <v>0</v>
      </c>
      <c r="AU909" s="75">
        <v>0</v>
      </c>
      <c r="AV909" s="75">
        <v>0</v>
      </c>
      <c r="AW909" s="123">
        <v>0</v>
      </c>
      <c r="AX909" s="516"/>
      <c r="AY909" s="75">
        <v>0</v>
      </c>
      <c r="AZ909" s="77" t="s">
        <v>131</v>
      </c>
      <c r="BA909" s="78" t="s">
        <v>131</v>
      </c>
      <c r="BB909" s="78" t="s">
        <v>131</v>
      </c>
      <c r="BC909" s="78" t="s">
        <v>131</v>
      </c>
      <c r="BD909" s="78" t="s">
        <v>131</v>
      </c>
      <c r="BE909" s="78" t="s">
        <v>132</v>
      </c>
      <c r="BF909" s="78" t="s">
        <v>131</v>
      </c>
      <c r="BG909" s="78" t="s">
        <v>131</v>
      </c>
      <c r="BH909" s="75" t="s">
        <v>5970</v>
      </c>
      <c r="BI909" s="295" t="s">
        <v>4068</v>
      </c>
      <c r="BJ909" s="546">
        <v>1</v>
      </c>
      <c r="BK909" s="294" t="s">
        <v>16</v>
      </c>
      <c r="BL909" s="157" t="s">
        <v>16</v>
      </c>
      <c r="BM909" s="548" t="s">
        <v>1342</v>
      </c>
      <c r="BN909" s="548" t="s">
        <v>4158</v>
      </c>
      <c r="BO909" s="157" t="s">
        <v>4435</v>
      </c>
      <c r="BP909" s="548" t="s">
        <v>4557</v>
      </c>
      <c r="BQ909" s="157" t="s">
        <v>4305</v>
      </c>
      <c r="BR909" s="157"/>
    </row>
    <row r="910" spans="1:70" x14ac:dyDescent="0.25">
      <c r="A910" s="19" t="s">
        <v>3686</v>
      </c>
      <c r="B910" s="37" t="s">
        <v>2941</v>
      </c>
      <c r="C910" s="90">
        <v>45098.839837962965</v>
      </c>
      <c r="D910" s="114">
        <v>45098.589837962965</v>
      </c>
      <c r="E910" s="38">
        <v>45098</v>
      </c>
      <c r="F910" s="91">
        <v>2023</v>
      </c>
      <c r="G910" s="93">
        <v>6</v>
      </c>
      <c r="H910" s="37" t="s">
        <v>2654</v>
      </c>
      <c r="I910" s="37"/>
      <c r="J910" s="103">
        <v>-91.270819500000002</v>
      </c>
      <c r="K910" s="40">
        <v>44.1677271</v>
      </c>
      <c r="L910" s="74"/>
      <c r="M910" s="272" t="s">
        <v>2942</v>
      </c>
      <c r="N910" s="74">
        <v>1</v>
      </c>
      <c r="O910" s="94"/>
      <c r="P910" s="118">
        <v>1</v>
      </c>
      <c r="Q910" s="510">
        <v>80</v>
      </c>
      <c r="R910" s="513">
        <v>120</v>
      </c>
      <c r="S910" s="41"/>
      <c r="T910" s="40"/>
      <c r="U910" s="40">
        <v>7</v>
      </c>
      <c r="V910" s="119">
        <v>1</v>
      </c>
      <c r="W910" s="40">
        <v>300</v>
      </c>
      <c r="X910" s="119">
        <v>1</v>
      </c>
      <c r="Y910" s="40">
        <v>68</v>
      </c>
      <c r="Z910" s="119">
        <v>1</v>
      </c>
      <c r="AA910" s="368">
        <v>0</v>
      </c>
      <c r="AB910" s="535">
        <v>2</v>
      </c>
      <c r="AC910" s="39" t="s">
        <v>160</v>
      </c>
      <c r="AD910" s="75" t="s">
        <v>10</v>
      </c>
      <c r="AE910" s="95">
        <v>0</v>
      </c>
      <c r="AF910" s="75">
        <v>0</v>
      </c>
      <c r="AG910" s="75">
        <v>0</v>
      </c>
      <c r="AH910" s="75">
        <v>0</v>
      </c>
      <c r="AI910" s="75">
        <v>0</v>
      </c>
      <c r="AJ910" s="75">
        <v>0</v>
      </c>
      <c r="AK910" s="75">
        <v>0</v>
      </c>
      <c r="AL910" s="95">
        <v>1</v>
      </c>
      <c r="AM910" s="92">
        <v>0</v>
      </c>
      <c r="AN910" s="79" t="s">
        <v>80</v>
      </c>
      <c r="AO910" s="75">
        <v>1</v>
      </c>
      <c r="AP910" s="75" t="s">
        <v>84</v>
      </c>
      <c r="AQ910" s="122">
        <v>1</v>
      </c>
      <c r="AR910" s="515" t="s">
        <v>10</v>
      </c>
      <c r="AS910" s="95">
        <v>0</v>
      </c>
      <c r="AT910" s="75">
        <v>0</v>
      </c>
      <c r="AU910" s="75">
        <v>0</v>
      </c>
      <c r="AV910" s="75">
        <v>0</v>
      </c>
      <c r="AW910" s="123">
        <v>0</v>
      </c>
      <c r="AX910" s="516"/>
      <c r="AY910" s="75">
        <v>0</v>
      </c>
      <c r="AZ910" s="77" t="s">
        <v>131</v>
      </c>
      <c r="BA910" s="78" t="s">
        <v>131</v>
      </c>
      <c r="BB910" s="78" t="s">
        <v>131</v>
      </c>
      <c r="BC910" s="78" t="s">
        <v>131</v>
      </c>
      <c r="BD910" s="78" t="s">
        <v>131</v>
      </c>
      <c r="BE910" s="78" t="s">
        <v>131</v>
      </c>
      <c r="BF910" s="78" t="s">
        <v>131</v>
      </c>
      <c r="BG910" s="78" t="s">
        <v>132</v>
      </c>
      <c r="BH910" s="75" t="s">
        <v>5970</v>
      </c>
      <c r="BI910" s="295" t="s">
        <v>307</v>
      </c>
      <c r="BJ910" s="546">
        <v>1</v>
      </c>
      <c r="BK910" s="294">
        <v>1</v>
      </c>
      <c r="BL910" s="157">
        <v>1</v>
      </c>
      <c r="BM910" s="548" t="s">
        <v>1340</v>
      </c>
      <c r="BN910" s="548" t="s">
        <v>4158</v>
      </c>
      <c r="BO910" s="157" t="s">
        <v>4529</v>
      </c>
      <c r="BP910" s="548" t="s">
        <v>4530</v>
      </c>
      <c r="BQ910" s="157" t="s">
        <v>4447</v>
      </c>
      <c r="BR910" s="157"/>
    </row>
    <row r="911" spans="1:70" x14ac:dyDescent="0.25">
      <c r="A911" s="19" t="s">
        <v>3686</v>
      </c>
      <c r="B911" s="37" t="s">
        <v>2943</v>
      </c>
      <c r="C911" s="90">
        <v>45098.811701388891</v>
      </c>
      <c r="D911" s="114">
        <v>45098.561701388891</v>
      </c>
      <c r="E911" s="38">
        <v>45098</v>
      </c>
      <c r="F911" s="91">
        <v>2023</v>
      </c>
      <c r="G911" s="93">
        <v>6</v>
      </c>
      <c r="H911" s="37" t="s">
        <v>2654</v>
      </c>
      <c r="I911" s="37"/>
      <c r="J911" s="103">
        <v>-91.267724599999994</v>
      </c>
      <c r="K911" s="40">
        <v>44.164810500000002</v>
      </c>
      <c r="L911" s="74"/>
      <c r="M911" s="272" t="s">
        <v>2944</v>
      </c>
      <c r="N911" s="74">
        <v>1</v>
      </c>
      <c r="O911" s="94"/>
      <c r="P911" s="118">
        <v>1</v>
      </c>
      <c r="Q911" s="510">
        <v>80</v>
      </c>
      <c r="R911" s="513">
        <v>120</v>
      </c>
      <c r="S911" s="41"/>
      <c r="T911" s="40"/>
      <c r="U911" s="40">
        <v>8</v>
      </c>
      <c r="V911" s="119">
        <v>1</v>
      </c>
      <c r="W911" s="40">
        <v>200</v>
      </c>
      <c r="X911" s="119">
        <v>1</v>
      </c>
      <c r="Y911" s="40">
        <v>69</v>
      </c>
      <c r="Z911" s="119">
        <v>1</v>
      </c>
      <c r="AA911" s="368">
        <v>0</v>
      </c>
      <c r="AB911" s="535">
        <v>2</v>
      </c>
      <c r="AC911" s="39" t="s">
        <v>160</v>
      </c>
      <c r="AD911" s="75" t="s">
        <v>10</v>
      </c>
      <c r="AE911" s="95">
        <v>0</v>
      </c>
      <c r="AF911" s="75">
        <v>0</v>
      </c>
      <c r="AG911" s="75">
        <v>0</v>
      </c>
      <c r="AH911" s="75">
        <v>0</v>
      </c>
      <c r="AI911" s="75">
        <v>0</v>
      </c>
      <c r="AJ911" s="75">
        <v>0</v>
      </c>
      <c r="AK911" s="75">
        <v>0</v>
      </c>
      <c r="AL911" s="95">
        <v>1</v>
      </c>
      <c r="AM911" s="92">
        <v>0</v>
      </c>
      <c r="AN911" s="79" t="s">
        <v>80</v>
      </c>
      <c r="AO911" s="75">
        <v>1</v>
      </c>
      <c r="AP911" s="75" t="s">
        <v>83</v>
      </c>
      <c r="AQ911" s="122">
        <v>1</v>
      </c>
      <c r="AR911" s="515" t="s">
        <v>10</v>
      </c>
      <c r="AS911" s="95">
        <v>0</v>
      </c>
      <c r="AT911" s="75">
        <v>0</v>
      </c>
      <c r="AU911" s="75">
        <v>0</v>
      </c>
      <c r="AV911" s="75">
        <v>0</v>
      </c>
      <c r="AW911" s="123">
        <v>0</v>
      </c>
      <c r="AX911" s="516"/>
      <c r="AY911" s="75">
        <v>0</v>
      </c>
      <c r="AZ911" s="77" t="s">
        <v>131</v>
      </c>
      <c r="BA911" s="78" t="s">
        <v>131</v>
      </c>
      <c r="BB911" s="78" t="s">
        <v>131</v>
      </c>
      <c r="BC911" s="78" t="s">
        <v>131</v>
      </c>
      <c r="BD911" s="78" t="s">
        <v>131</v>
      </c>
      <c r="BE911" s="78" t="s">
        <v>131</v>
      </c>
      <c r="BF911" s="78" t="s">
        <v>131</v>
      </c>
      <c r="BG911" s="78" t="s">
        <v>132</v>
      </c>
      <c r="BH911" s="75" t="s">
        <v>5970</v>
      </c>
      <c r="BI911" s="295" t="s">
        <v>307</v>
      </c>
      <c r="BJ911" s="546">
        <v>1</v>
      </c>
      <c r="BK911" s="294">
        <v>1</v>
      </c>
      <c r="BL911" s="157">
        <v>1</v>
      </c>
      <c r="BM911" s="548" t="s">
        <v>1340</v>
      </c>
      <c r="BN911" s="548" t="s">
        <v>4158</v>
      </c>
      <c r="BO911" s="157" t="s">
        <v>4558</v>
      </c>
      <c r="BP911" s="548" t="s">
        <v>4559</v>
      </c>
      <c r="BQ911" s="157" t="s">
        <v>4447</v>
      </c>
      <c r="BR911" s="157"/>
    </row>
    <row r="912" spans="1:70" x14ac:dyDescent="0.25">
      <c r="A912" s="19" t="s">
        <v>3686</v>
      </c>
      <c r="B912" s="37" t="s">
        <v>2945</v>
      </c>
      <c r="C912" s="90">
        <v>45098.792685185188</v>
      </c>
      <c r="D912" s="114">
        <v>45098.542685185188</v>
      </c>
      <c r="E912" s="38">
        <v>45098</v>
      </c>
      <c r="F912" s="91">
        <v>2023</v>
      </c>
      <c r="G912" s="93">
        <v>6</v>
      </c>
      <c r="H912" s="37" t="s">
        <v>2654</v>
      </c>
      <c r="I912" s="37"/>
      <c r="J912" s="103">
        <v>-91.267487399999993</v>
      </c>
      <c r="K912" s="40">
        <v>44.162001799999999</v>
      </c>
      <c r="L912" s="74"/>
      <c r="M912" s="272" t="s">
        <v>2946</v>
      </c>
      <c r="N912" s="74">
        <v>1</v>
      </c>
      <c r="O912" s="94"/>
      <c r="P912" s="118">
        <v>1</v>
      </c>
      <c r="Q912" s="510">
        <v>80</v>
      </c>
      <c r="R912" s="513">
        <v>60</v>
      </c>
      <c r="S912" s="41"/>
      <c r="T912" s="40"/>
      <c r="U912" s="40">
        <v>7</v>
      </c>
      <c r="V912" s="119">
        <v>1</v>
      </c>
      <c r="W912" s="40">
        <v>100</v>
      </c>
      <c r="X912" s="119">
        <v>1</v>
      </c>
      <c r="Y912" s="40">
        <v>70</v>
      </c>
      <c r="Z912" s="119">
        <v>1</v>
      </c>
      <c r="AA912" s="368">
        <v>0</v>
      </c>
      <c r="AB912" s="535">
        <v>2</v>
      </c>
      <c r="AC912" s="39" t="s">
        <v>160</v>
      </c>
      <c r="AD912" s="75" t="s">
        <v>7</v>
      </c>
      <c r="AE912" s="95">
        <v>1</v>
      </c>
      <c r="AF912" s="75">
        <v>0</v>
      </c>
      <c r="AG912" s="75">
        <v>0</v>
      </c>
      <c r="AH912" s="75">
        <v>0</v>
      </c>
      <c r="AI912" s="75">
        <v>0</v>
      </c>
      <c r="AJ912" s="75">
        <v>0</v>
      </c>
      <c r="AK912" s="75">
        <v>0</v>
      </c>
      <c r="AL912" s="95">
        <v>0</v>
      </c>
      <c r="AM912" s="92">
        <v>0</v>
      </c>
      <c r="AN912" s="79" t="s">
        <v>80</v>
      </c>
      <c r="AO912" s="75">
        <v>1</v>
      </c>
      <c r="AP912" s="75" t="s">
        <v>83</v>
      </c>
      <c r="AQ912" s="122">
        <v>1</v>
      </c>
      <c r="AR912" s="515" t="s">
        <v>10</v>
      </c>
      <c r="AS912" s="95">
        <v>0</v>
      </c>
      <c r="AT912" s="75">
        <v>0</v>
      </c>
      <c r="AU912" s="75">
        <v>0</v>
      </c>
      <c r="AV912" s="75">
        <v>0</v>
      </c>
      <c r="AW912" s="123">
        <v>0</v>
      </c>
      <c r="AX912" s="516"/>
      <c r="AY912" s="75">
        <v>0</v>
      </c>
      <c r="AZ912" s="77" t="s">
        <v>132</v>
      </c>
      <c r="BA912" s="78" t="s">
        <v>131</v>
      </c>
      <c r="BB912" s="78" t="s">
        <v>131</v>
      </c>
      <c r="BC912" s="78" t="s">
        <v>131</v>
      </c>
      <c r="BD912" s="78" t="s">
        <v>131</v>
      </c>
      <c r="BE912" s="78" t="s">
        <v>131</v>
      </c>
      <c r="BF912" s="78" t="s">
        <v>131</v>
      </c>
      <c r="BG912" s="78" t="s">
        <v>131</v>
      </c>
      <c r="BH912" s="75" t="s">
        <v>5970</v>
      </c>
      <c r="BI912" s="295" t="s">
        <v>4013</v>
      </c>
      <c r="BJ912" s="546">
        <v>1</v>
      </c>
      <c r="BK912" s="294" t="s">
        <v>16</v>
      </c>
      <c r="BL912" s="157" t="s">
        <v>16</v>
      </c>
      <c r="BM912" s="548" t="s">
        <v>1340</v>
      </c>
      <c r="BN912" s="548" t="s">
        <v>4158</v>
      </c>
      <c r="BO912" s="157" t="s">
        <v>4558</v>
      </c>
      <c r="BP912" s="548" t="s">
        <v>4559</v>
      </c>
      <c r="BQ912" s="157" t="s">
        <v>4447</v>
      </c>
      <c r="BR912" s="157"/>
    </row>
    <row r="913" spans="1:70" x14ac:dyDescent="0.25">
      <c r="A913" s="19" t="s">
        <v>3686</v>
      </c>
      <c r="B913" s="37" t="s">
        <v>2947</v>
      </c>
      <c r="C913" s="90">
        <v>45098.769687499997</v>
      </c>
      <c r="D913" s="114">
        <v>45098.519687499997</v>
      </c>
      <c r="E913" s="38">
        <v>45098</v>
      </c>
      <c r="F913" s="91">
        <v>2023</v>
      </c>
      <c r="G913" s="93">
        <v>6</v>
      </c>
      <c r="H913" s="37" t="s">
        <v>2548</v>
      </c>
      <c r="I913" s="37"/>
      <c r="J913" s="103">
        <v>-90.767875010670082</v>
      </c>
      <c r="K913" s="40">
        <v>43.270578395966211</v>
      </c>
      <c r="L913" s="74"/>
      <c r="M913" s="272" t="s">
        <v>2948</v>
      </c>
      <c r="N913" s="74">
        <v>1</v>
      </c>
      <c r="O913" s="94"/>
      <c r="P913" s="118">
        <v>1</v>
      </c>
      <c r="Q913" s="510">
        <v>180</v>
      </c>
      <c r="R913" s="513">
        <v>120</v>
      </c>
      <c r="S913" s="41"/>
      <c r="T913" s="40"/>
      <c r="U913" s="40">
        <v>8</v>
      </c>
      <c r="V913" s="119">
        <v>1</v>
      </c>
      <c r="W913" s="40">
        <v>0</v>
      </c>
      <c r="X913" s="119">
        <v>1</v>
      </c>
      <c r="Y913" s="40">
        <v>63</v>
      </c>
      <c r="Z913" s="119">
        <v>1</v>
      </c>
      <c r="AA913" s="368">
        <v>0</v>
      </c>
      <c r="AB913" s="535">
        <v>2</v>
      </c>
      <c r="AC913" s="39" t="s">
        <v>160</v>
      </c>
      <c r="AD913" s="75" t="s">
        <v>10</v>
      </c>
      <c r="AE913" s="95">
        <v>0</v>
      </c>
      <c r="AF913" s="75">
        <v>0</v>
      </c>
      <c r="AG913" s="75">
        <v>0</v>
      </c>
      <c r="AH913" s="75">
        <v>0</v>
      </c>
      <c r="AI913" s="75">
        <v>0</v>
      </c>
      <c r="AJ913" s="75">
        <v>0</v>
      </c>
      <c r="AK913" s="75">
        <v>0</v>
      </c>
      <c r="AL913" s="95">
        <v>1</v>
      </c>
      <c r="AM913" s="92">
        <v>0</v>
      </c>
      <c r="AN913" s="79" t="s">
        <v>80</v>
      </c>
      <c r="AO913" s="75">
        <v>1</v>
      </c>
      <c r="AP913" s="75" t="s">
        <v>83</v>
      </c>
      <c r="AQ913" s="122">
        <v>1</v>
      </c>
      <c r="AR913" s="515" t="s">
        <v>10</v>
      </c>
      <c r="AS913" s="95">
        <v>0</v>
      </c>
      <c r="AT913" s="75">
        <v>0</v>
      </c>
      <c r="AU913" s="75">
        <v>0</v>
      </c>
      <c r="AV913" s="75">
        <v>0</v>
      </c>
      <c r="AW913" s="123">
        <v>0</v>
      </c>
      <c r="AX913" s="516"/>
      <c r="AY913" s="75">
        <v>0</v>
      </c>
      <c r="AZ913" s="77" t="s">
        <v>131</v>
      </c>
      <c r="BA913" s="78" t="s">
        <v>131</v>
      </c>
      <c r="BB913" s="78" t="s">
        <v>131</v>
      </c>
      <c r="BC913" s="78" t="s">
        <v>131</v>
      </c>
      <c r="BD913" s="78" t="s">
        <v>131</v>
      </c>
      <c r="BE913" s="78" t="s">
        <v>131</v>
      </c>
      <c r="BF913" s="78" t="s">
        <v>131</v>
      </c>
      <c r="BG913" s="78" t="s">
        <v>132</v>
      </c>
      <c r="BH913" s="75" t="s">
        <v>5970</v>
      </c>
      <c r="BI913" s="295">
        <v>0</v>
      </c>
      <c r="BJ913" s="546">
        <v>1</v>
      </c>
      <c r="BK913" s="294" t="s">
        <v>16</v>
      </c>
      <c r="BL913" s="157" t="s">
        <v>16</v>
      </c>
      <c r="BM913" s="548" t="s">
        <v>1342</v>
      </c>
      <c r="BN913" s="548" t="s">
        <v>4158</v>
      </c>
      <c r="BO913" s="157" t="s">
        <v>4435</v>
      </c>
      <c r="BP913" s="548" t="s">
        <v>4557</v>
      </c>
      <c r="BQ913" s="157" t="s">
        <v>4305</v>
      </c>
      <c r="BR913" s="157"/>
    </row>
    <row r="914" spans="1:70" x14ac:dyDescent="0.25">
      <c r="A914" s="19" t="s">
        <v>3686</v>
      </c>
      <c r="B914" s="37" t="s">
        <v>2949</v>
      </c>
      <c r="C914" s="90">
        <v>45098.702534722222</v>
      </c>
      <c r="D914" s="114">
        <v>45098.452534722222</v>
      </c>
      <c r="E914" s="38">
        <v>45098</v>
      </c>
      <c r="F914" s="91">
        <v>2023</v>
      </c>
      <c r="G914" s="93">
        <v>6</v>
      </c>
      <c r="H914" s="37" t="s">
        <v>2654</v>
      </c>
      <c r="I914" s="37"/>
      <c r="J914" s="103">
        <v>-91.247623200000007</v>
      </c>
      <c r="K914" s="40">
        <v>44.143129000000002</v>
      </c>
      <c r="L914" s="74"/>
      <c r="M914" s="272" t="s">
        <v>2950</v>
      </c>
      <c r="N914" s="74">
        <v>1</v>
      </c>
      <c r="O914" s="94"/>
      <c r="P914" s="118">
        <v>1</v>
      </c>
      <c r="Q914" s="510">
        <v>80</v>
      </c>
      <c r="R914" s="513">
        <v>120</v>
      </c>
      <c r="S914" s="41"/>
      <c r="T914" s="40"/>
      <c r="U914" s="40">
        <v>7</v>
      </c>
      <c r="V914" s="119">
        <v>1</v>
      </c>
      <c r="W914" s="40">
        <v>100</v>
      </c>
      <c r="X914" s="119">
        <v>1</v>
      </c>
      <c r="Y914" s="40">
        <v>59</v>
      </c>
      <c r="Z914" s="119">
        <v>1</v>
      </c>
      <c r="AA914" s="368">
        <v>0</v>
      </c>
      <c r="AB914" s="535">
        <v>0</v>
      </c>
      <c r="AC914" s="39" t="s">
        <v>160</v>
      </c>
      <c r="AD914" s="75" t="s">
        <v>10</v>
      </c>
      <c r="AE914" s="95">
        <v>0</v>
      </c>
      <c r="AF914" s="75">
        <v>0</v>
      </c>
      <c r="AG914" s="75">
        <v>0</v>
      </c>
      <c r="AH914" s="75">
        <v>0</v>
      </c>
      <c r="AI914" s="75">
        <v>0</v>
      </c>
      <c r="AJ914" s="75">
        <v>0</v>
      </c>
      <c r="AK914" s="75">
        <v>0</v>
      </c>
      <c r="AL914" s="95">
        <v>1</v>
      </c>
      <c r="AM914" s="92">
        <v>0</v>
      </c>
      <c r="AN914" s="79" t="s">
        <v>80</v>
      </c>
      <c r="AO914" s="75">
        <v>1</v>
      </c>
      <c r="AP914" s="75" t="s">
        <v>84</v>
      </c>
      <c r="AQ914" s="122">
        <v>1</v>
      </c>
      <c r="AR914" s="515" t="s">
        <v>10</v>
      </c>
      <c r="AS914" s="95">
        <v>0</v>
      </c>
      <c r="AT914" s="75">
        <v>0</v>
      </c>
      <c r="AU914" s="75">
        <v>0</v>
      </c>
      <c r="AV914" s="75">
        <v>0</v>
      </c>
      <c r="AW914" s="123">
        <v>0</v>
      </c>
      <c r="AX914" s="516"/>
      <c r="AY914" s="75">
        <v>0</v>
      </c>
      <c r="AZ914" s="77" t="s">
        <v>131</v>
      </c>
      <c r="BA914" s="78" t="s">
        <v>131</v>
      </c>
      <c r="BB914" s="78" t="s">
        <v>131</v>
      </c>
      <c r="BC914" s="78" t="s">
        <v>131</v>
      </c>
      <c r="BD914" s="78" t="s">
        <v>131</v>
      </c>
      <c r="BE914" s="78" t="s">
        <v>131</v>
      </c>
      <c r="BF914" s="78" t="s">
        <v>131</v>
      </c>
      <c r="BG914" s="78" t="s">
        <v>132</v>
      </c>
      <c r="BH914" s="75" t="s">
        <v>5970</v>
      </c>
      <c r="BI914" s="295" t="s">
        <v>4018</v>
      </c>
      <c r="BJ914" s="546" t="s">
        <v>16</v>
      </c>
      <c r="BK914" s="294" t="s">
        <v>16</v>
      </c>
      <c r="BL914" s="157" t="s">
        <v>16</v>
      </c>
      <c r="BM914" s="548" t="s">
        <v>1340</v>
      </c>
      <c r="BN914" s="548" t="s">
        <v>4158</v>
      </c>
      <c r="BO914" s="157" t="s">
        <v>4558</v>
      </c>
      <c r="BP914" s="548" t="s">
        <v>4559</v>
      </c>
      <c r="BQ914" s="157" t="s">
        <v>4447</v>
      </c>
      <c r="BR914" s="157"/>
    </row>
    <row r="915" spans="1:70" x14ac:dyDescent="0.25">
      <c r="A915" s="19" t="s">
        <v>3686</v>
      </c>
      <c r="B915" s="37" t="s">
        <v>2951</v>
      </c>
      <c r="C915" s="90">
        <v>45098.682569444441</v>
      </c>
      <c r="D915" s="114">
        <v>45098.432569444441</v>
      </c>
      <c r="E915" s="38">
        <v>45098</v>
      </c>
      <c r="F915" s="91">
        <v>2023</v>
      </c>
      <c r="G915" s="93">
        <v>6</v>
      </c>
      <c r="H915" s="37" t="s">
        <v>302</v>
      </c>
      <c r="I915" s="37"/>
      <c r="J915" s="103">
        <v>-91.836482656691899</v>
      </c>
      <c r="K915" s="40">
        <v>43.628168251541261</v>
      </c>
      <c r="L915" s="74"/>
      <c r="M915" s="272" t="s">
        <v>2952</v>
      </c>
      <c r="N915" s="74">
        <v>1</v>
      </c>
      <c r="O915" s="94"/>
      <c r="P915" s="118">
        <v>1</v>
      </c>
      <c r="Q915" s="510">
        <v>40</v>
      </c>
      <c r="R915" s="513">
        <v>0</v>
      </c>
      <c r="S915" s="41"/>
      <c r="T915" s="40"/>
      <c r="U915" s="40">
        <v>7</v>
      </c>
      <c r="V915" s="119">
        <v>1</v>
      </c>
      <c r="W915" s="40">
        <v>200</v>
      </c>
      <c r="X915" s="119">
        <v>0</v>
      </c>
      <c r="Y915" s="40"/>
      <c r="Z915" s="119">
        <v>1</v>
      </c>
      <c r="AA915" s="368">
        <v>0</v>
      </c>
      <c r="AB915" s="535">
        <v>2</v>
      </c>
      <c r="AC915" s="39" t="s">
        <v>160</v>
      </c>
      <c r="AD915" s="75" t="s">
        <v>8</v>
      </c>
      <c r="AE915" s="95">
        <v>0</v>
      </c>
      <c r="AF915" s="75">
        <v>1</v>
      </c>
      <c r="AG915" s="75">
        <v>0</v>
      </c>
      <c r="AH915" s="75">
        <v>0</v>
      </c>
      <c r="AI915" s="75">
        <v>0</v>
      </c>
      <c r="AJ915" s="75">
        <v>0</v>
      </c>
      <c r="AK915" s="75">
        <v>0</v>
      </c>
      <c r="AL915" s="95">
        <v>0</v>
      </c>
      <c r="AM915" s="92">
        <v>0</v>
      </c>
      <c r="AN915" s="79" t="s">
        <v>80</v>
      </c>
      <c r="AO915" s="75">
        <v>1</v>
      </c>
      <c r="AP915" s="75" t="s">
        <v>83</v>
      </c>
      <c r="AQ915" s="122">
        <v>1</v>
      </c>
      <c r="AR915" s="515" t="s">
        <v>10</v>
      </c>
      <c r="AS915" s="95">
        <v>0</v>
      </c>
      <c r="AT915" s="75">
        <v>0</v>
      </c>
      <c r="AU915" s="75">
        <v>0</v>
      </c>
      <c r="AV915" s="75">
        <v>0</v>
      </c>
      <c r="AW915" s="123">
        <v>0</v>
      </c>
      <c r="AX915" s="516" t="s">
        <v>2953</v>
      </c>
      <c r="AY915" s="75">
        <v>1</v>
      </c>
      <c r="AZ915" s="77" t="s">
        <v>131</v>
      </c>
      <c r="BA915" s="78" t="s">
        <v>132</v>
      </c>
      <c r="BB915" s="78" t="s">
        <v>131</v>
      </c>
      <c r="BC915" s="78" t="s">
        <v>131</v>
      </c>
      <c r="BD915" s="78" t="s">
        <v>131</v>
      </c>
      <c r="BE915" s="78" t="s">
        <v>131</v>
      </c>
      <c r="BF915" s="78" t="s">
        <v>131</v>
      </c>
      <c r="BG915" s="78" t="s">
        <v>131</v>
      </c>
      <c r="BH915" s="75" t="s">
        <v>5970</v>
      </c>
      <c r="BI915" s="295" t="s">
        <v>16</v>
      </c>
      <c r="BJ915" s="546">
        <v>1</v>
      </c>
      <c r="BK915" s="294">
        <v>1</v>
      </c>
      <c r="BL915" s="157">
        <v>1</v>
      </c>
      <c r="BM915" s="548" t="s">
        <v>1339</v>
      </c>
      <c r="BN915" s="548" t="s">
        <v>4160</v>
      </c>
      <c r="BO915" s="157" t="s">
        <v>4520</v>
      </c>
      <c r="BP915" s="548" t="s">
        <v>4521</v>
      </c>
      <c r="BQ915" s="157" t="s">
        <v>4232</v>
      </c>
      <c r="BR915" s="157"/>
    </row>
    <row r="916" spans="1:70" x14ac:dyDescent="0.25">
      <c r="A916" s="19" t="s">
        <v>3686</v>
      </c>
      <c r="B916" s="37" t="s">
        <v>2954</v>
      </c>
      <c r="C916" s="90">
        <v>45098.668090277781</v>
      </c>
      <c r="D916" s="114">
        <v>45098.418090277781</v>
      </c>
      <c r="E916" s="38">
        <v>45098</v>
      </c>
      <c r="F916" s="91">
        <v>2023</v>
      </c>
      <c r="G916" s="93">
        <v>6</v>
      </c>
      <c r="H916" s="37" t="s">
        <v>2548</v>
      </c>
      <c r="I916" s="37"/>
      <c r="J916" s="103">
        <v>-90.830814668518244</v>
      </c>
      <c r="K916" s="40">
        <v>43.290593918436905</v>
      </c>
      <c r="L916" s="74"/>
      <c r="M916" s="272" t="s">
        <v>2955</v>
      </c>
      <c r="N916" s="74">
        <v>1</v>
      </c>
      <c r="O916" s="94"/>
      <c r="P916" s="118">
        <v>1</v>
      </c>
      <c r="Q916" s="510">
        <v>180</v>
      </c>
      <c r="R916" s="513">
        <v>180</v>
      </c>
      <c r="S916" s="41"/>
      <c r="T916" s="40"/>
      <c r="U916" s="40">
        <v>7.5</v>
      </c>
      <c r="V916" s="119">
        <v>1</v>
      </c>
      <c r="W916" s="40">
        <v>0</v>
      </c>
      <c r="X916" s="119">
        <v>1</v>
      </c>
      <c r="Y916" s="40">
        <v>60</v>
      </c>
      <c r="Z916" s="119">
        <v>1</v>
      </c>
      <c r="AA916" s="368">
        <v>0</v>
      </c>
      <c r="AB916" s="535">
        <v>2</v>
      </c>
      <c r="AC916" s="39" t="s">
        <v>160</v>
      </c>
      <c r="AD916" s="75" t="s">
        <v>10</v>
      </c>
      <c r="AE916" s="95">
        <v>0</v>
      </c>
      <c r="AF916" s="75">
        <v>0</v>
      </c>
      <c r="AG916" s="75">
        <v>0</v>
      </c>
      <c r="AH916" s="75">
        <v>0</v>
      </c>
      <c r="AI916" s="75">
        <v>0</v>
      </c>
      <c r="AJ916" s="75">
        <v>0</v>
      </c>
      <c r="AK916" s="75">
        <v>0</v>
      </c>
      <c r="AL916" s="95">
        <v>1</v>
      </c>
      <c r="AM916" s="92">
        <v>0</v>
      </c>
      <c r="AN916" s="79" t="s">
        <v>80</v>
      </c>
      <c r="AO916" s="75">
        <v>1</v>
      </c>
      <c r="AP916" s="75" t="s">
        <v>83</v>
      </c>
      <c r="AQ916" s="122">
        <v>1</v>
      </c>
      <c r="AR916" s="515" t="s">
        <v>10</v>
      </c>
      <c r="AS916" s="95">
        <v>0</v>
      </c>
      <c r="AT916" s="75">
        <v>0</v>
      </c>
      <c r="AU916" s="75">
        <v>0</v>
      </c>
      <c r="AV916" s="75">
        <v>0</v>
      </c>
      <c r="AW916" s="123">
        <v>0</v>
      </c>
      <c r="AX916" s="516"/>
      <c r="AY916" s="75">
        <v>0</v>
      </c>
      <c r="AZ916" s="77" t="s">
        <v>131</v>
      </c>
      <c r="BA916" s="78" t="s">
        <v>131</v>
      </c>
      <c r="BB916" s="78" t="s">
        <v>131</v>
      </c>
      <c r="BC916" s="78" t="s">
        <v>131</v>
      </c>
      <c r="BD916" s="78" t="s">
        <v>131</v>
      </c>
      <c r="BE916" s="78" t="s">
        <v>131</v>
      </c>
      <c r="BF916" s="78" t="s">
        <v>131</v>
      </c>
      <c r="BG916" s="78" t="s">
        <v>132</v>
      </c>
      <c r="BH916" s="75" t="s">
        <v>5970</v>
      </c>
      <c r="BI916" s="295" t="s">
        <v>4060</v>
      </c>
      <c r="BJ916" s="546" t="s">
        <v>16</v>
      </c>
      <c r="BK916" s="294" t="s">
        <v>16</v>
      </c>
      <c r="BL916" s="157" t="s">
        <v>16</v>
      </c>
      <c r="BM916" s="548" t="s">
        <v>1342</v>
      </c>
      <c r="BN916" s="548" t="s">
        <v>4158</v>
      </c>
      <c r="BO916" s="157" t="s">
        <v>4435</v>
      </c>
      <c r="BP916" s="548" t="s">
        <v>4557</v>
      </c>
      <c r="BQ916" s="157" t="s">
        <v>4305</v>
      </c>
      <c r="BR916" s="157"/>
    </row>
    <row r="917" spans="1:70" x14ac:dyDescent="0.25">
      <c r="A917" s="19" t="s">
        <v>3686</v>
      </c>
      <c r="B917" s="37" t="s">
        <v>2956</v>
      </c>
      <c r="C917" s="90">
        <v>45098.540185185186</v>
      </c>
      <c r="D917" s="114">
        <v>45098.290185185186</v>
      </c>
      <c r="E917" s="38">
        <v>45098</v>
      </c>
      <c r="F917" s="91">
        <v>2023</v>
      </c>
      <c r="G917" s="93">
        <v>6</v>
      </c>
      <c r="H917" s="37" t="s">
        <v>2548</v>
      </c>
      <c r="I917" s="37"/>
      <c r="J917" s="103">
        <v>-90.778774647074258</v>
      </c>
      <c r="K917" s="40">
        <v>43.316415675993667</v>
      </c>
      <c r="L917" s="74"/>
      <c r="M917" s="272" t="s">
        <v>2957</v>
      </c>
      <c r="N917" s="74">
        <v>1</v>
      </c>
      <c r="O917" s="94"/>
      <c r="P917" s="118">
        <v>1</v>
      </c>
      <c r="Q917" s="510">
        <v>180</v>
      </c>
      <c r="R917" s="513">
        <v>180</v>
      </c>
      <c r="S917" s="41"/>
      <c r="T917" s="40"/>
      <c r="U917" s="40">
        <v>7.5</v>
      </c>
      <c r="V917" s="119">
        <v>1</v>
      </c>
      <c r="W917" s="40">
        <v>0</v>
      </c>
      <c r="X917" s="119">
        <v>1</v>
      </c>
      <c r="Y917" s="40">
        <v>51</v>
      </c>
      <c r="Z917" s="119">
        <v>1</v>
      </c>
      <c r="AA917" s="368">
        <v>0</v>
      </c>
      <c r="AB917" s="535">
        <v>1</v>
      </c>
      <c r="AC917" s="39" t="s">
        <v>160</v>
      </c>
      <c r="AD917" s="75" t="s">
        <v>10</v>
      </c>
      <c r="AE917" s="95">
        <v>0</v>
      </c>
      <c r="AF917" s="75">
        <v>0</v>
      </c>
      <c r="AG917" s="75">
        <v>0</v>
      </c>
      <c r="AH917" s="75">
        <v>0</v>
      </c>
      <c r="AI917" s="75">
        <v>0</v>
      </c>
      <c r="AJ917" s="75">
        <v>0</v>
      </c>
      <c r="AK917" s="75">
        <v>0</v>
      </c>
      <c r="AL917" s="95">
        <v>1</v>
      </c>
      <c r="AM917" s="92">
        <v>0</v>
      </c>
      <c r="AN917" s="79" t="s">
        <v>80</v>
      </c>
      <c r="AO917" s="75">
        <v>1</v>
      </c>
      <c r="AP917" s="75" t="s">
        <v>83</v>
      </c>
      <c r="AQ917" s="122">
        <v>1</v>
      </c>
      <c r="AR917" s="515" t="s">
        <v>10</v>
      </c>
      <c r="AS917" s="95">
        <v>0</v>
      </c>
      <c r="AT917" s="75">
        <v>0</v>
      </c>
      <c r="AU917" s="75">
        <v>0</v>
      </c>
      <c r="AV917" s="75">
        <v>0</v>
      </c>
      <c r="AW917" s="123">
        <v>0</v>
      </c>
      <c r="AX917" s="516"/>
      <c r="AY917" s="75">
        <v>0</v>
      </c>
      <c r="AZ917" s="77" t="s">
        <v>131</v>
      </c>
      <c r="BA917" s="78" t="s">
        <v>131</v>
      </c>
      <c r="BB917" s="78" t="s">
        <v>131</v>
      </c>
      <c r="BC917" s="78" t="s">
        <v>131</v>
      </c>
      <c r="BD917" s="78" t="s">
        <v>131</v>
      </c>
      <c r="BE917" s="78" t="s">
        <v>131</v>
      </c>
      <c r="BF917" s="78" t="s">
        <v>131</v>
      </c>
      <c r="BG917" s="78" t="s">
        <v>132</v>
      </c>
      <c r="BH917" s="75" t="s">
        <v>5970</v>
      </c>
      <c r="BI917" s="295" t="s">
        <v>4001</v>
      </c>
      <c r="BJ917" s="546" t="s">
        <v>16</v>
      </c>
      <c r="BK917" s="294" t="s">
        <v>16</v>
      </c>
      <c r="BL917" s="157" t="s">
        <v>16</v>
      </c>
      <c r="BM917" s="548" t="s">
        <v>1342</v>
      </c>
      <c r="BN917" s="548" t="s">
        <v>4158</v>
      </c>
      <c r="BO917" s="157" t="s">
        <v>4435</v>
      </c>
      <c r="BP917" s="548" t="s">
        <v>4557</v>
      </c>
      <c r="BQ917" s="157" t="s">
        <v>4305</v>
      </c>
      <c r="BR917" s="157"/>
    </row>
    <row r="918" spans="1:70" x14ac:dyDescent="0.25">
      <c r="A918" s="19" t="s">
        <v>3686</v>
      </c>
      <c r="B918" s="37" t="s">
        <v>2958</v>
      </c>
      <c r="C918" s="90">
        <v>45097.840381944443</v>
      </c>
      <c r="D918" s="114">
        <v>45097.590381944443</v>
      </c>
      <c r="E918" s="38">
        <v>45097</v>
      </c>
      <c r="F918" s="91">
        <v>2023</v>
      </c>
      <c r="G918" s="93">
        <v>6</v>
      </c>
      <c r="H918" s="37" t="s">
        <v>2654</v>
      </c>
      <c r="I918" s="37"/>
      <c r="J918" s="103">
        <v>-91.198251600000006</v>
      </c>
      <c r="K918" s="40">
        <v>44.175909599999997</v>
      </c>
      <c r="L918" s="74"/>
      <c r="M918" s="272" t="s">
        <v>2959</v>
      </c>
      <c r="N918" s="74">
        <v>1</v>
      </c>
      <c r="O918" s="94"/>
      <c r="P918" s="118">
        <v>1</v>
      </c>
      <c r="Q918" s="510">
        <v>80</v>
      </c>
      <c r="R918" s="513">
        <v>180</v>
      </c>
      <c r="S918" s="41"/>
      <c r="T918" s="40"/>
      <c r="U918" s="40">
        <v>7</v>
      </c>
      <c r="V918" s="119">
        <v>1</v>
      </c>
      <c r="W918" s="40">
        <v>0</v>
      </c>
      <c r="X918" s="119">
        <v>1</v>
      </c>
      <c r="Y918" s="40">
        <v>57</v>
      </c>
      <c r="Z918" s="119">
        <v>1</v>
      </c>
      <c r="AA918" s="368">
        <v>0</v>
      </c>
      <c r="AB918" s="535">
        <v>1</v>
      </c>
      <c r="AC918" s="39" t="s">
        <v>160</v>
      </c>
      <c r="AD918" s="75" t="s">
        <v>10</v>
      </c>
      <c r="AE918" s="95">
        <v>0</v>
      </c>
      <c r="AF918" s="75">
        <v>0</v>
      </c>
      <c r="AG918" s="75">
        <v>0</v>
      </c>
      <c r="AH918" s="75">
        <v>0</v>
      </c>
      <c r="AI918" s="75">
        <v>0</v>
      </c>
      <c r="AJ918" s="75">
        <v>0</v>
      </c>
      <c r="AK918" s="75">
        <v>0</v>
      </c>
      <c r="AL918" s="95">
        <v>1</v>
      </c>
      <c r="AM918" s="92">
        <v>0</v>
      </c>
      <c r="AN918" s="79" t="s">
        <v>80</v>
      </c>
      <c r="AO918" s="75">
        <v>1</v>
      </c>
      <c r="AP918" s="75" t="s">
        <v>83</v>
      </c>
      <c r="AQ918" s="122">
        <v>1</v>
      </c>
      <c r="AR918" s="515" t="s">
        <v>10</v>
      </c>
      <c r="AS918" s="95">
        <v>0</v>
      </c>
      <c r="AT918" s="75">
        <v>0</v>
      </c>
      <c r="AU918" s="75">
        <v>0</v>
      </c>
      <c r="AV918" s="75">
        <v>0</v>
      </c>
      <c r="AW918" s="123">
        <v>0</v>
      </c>
      <c r="AX918" s="516"/>
      <c r="AY918" s="75">
        <v>0</v>
      </c>
      <c r="AZ918" s="77" t="s">
        <v>131</v>
      </c>
      <c r="BA918" s="78" t="s">
        <v>131</v>
      </c>
      <c r="BB918" s="78" t="s">
        <v>131</v>
      </c>
      <c r="BC918" s="78" t="s">
        <v>131</v>
      </c>
      <c r="BD918" s="78" t="s">
        <v>131</v>
      </c>
      <c r="BE918" s="78" t="s">
        <v>131</v>
      </c>
      <c r="BF918" s="78" t="s">
        <v>131</v>
      </c>
      <c r="BG918" s="78" t="s">
        <v>132</v>
      </c>
      <c r="BH918" s="75" t="s">
        <v>5970</v>
      </c>
      <c r="BI918" s="295">
        <v>0</v>
      </c>
      <c r="BJ918" s="546">
        <v>1</v>
      </c>
      <c r="BK918" s="294" t="s">
        <v>16</v>
      </c>
      <c r="BL918" s="157" t="s">
        <v>16</v>
      </c>
      <c r="BM918" s="548" t="s">
        <v>1340</v>
      </c>
      <c r="BN918" s="548" t="s">
        <v>4158</v>
      </c>
      <c r="BO918" s="157" t="s">
        <v>4558</v>
      </c>
      <c r="BP918" s="548" t="s">
        <v>4559</v>
      </c>
      <c r="BQ918" s="157" t="s">
        <v>4447</v>
      </c>
      <c r="BR918" s="157"/>
    </row>
    <row r="919" spans="1:70" x14ac:dyDescent="0.25">
      <c r="A919" s="19" t="s">
        <v>3686</v>
      </c>
      <c r="B919" s="37" t="s">
        <v>2960</v>
      </c>
      <c r="C919" s="90">
        <v>45097.753240740742</v>
      </c>
      <c r="D919" s="114">
        <v>45097.503240740742</v>
      </c>
      <c r="E919" s="38">
        <v>45097</v>
      </c>
      <c r="F919" s="91">
        <v>2023</v>
      </c>
      <c r="G919" s="93">
        <v>6</v>
      </c>
      <c r="H919" s="37" t="s">
        <v>2400</v>
      </c>
      <c r="I919" s="37"/>
      <c r="J919" s="103">
        <v>-90.695232599999997</v>
      </c>
      <c r="K919" s="40">
        <v>43.213055199999999</v>
      </c>
      <c r="L919" s="74"/>
      <c r="M919" s="272" t="s">
        <v>16</v>
      </c>
      <c r="N919" s="74">
        <v>0</v>
      </c>
      <c r="O919" s="94"/>
      <c r="P919" s="118">
        <v>1</v>
      </c>
      <c r="Q919" s="510">
        <v>180</v>
      </c>
      <c r="R919" s="513">
        <v>120</v>
      </c>
      <c r="S919" s="41"/>
      <c r="T919" s="40"/>
      <c r="U919" s="40">
        <v>7.5</v>
      </c>
      <c r="V919" s="119">
        <v>1</v>
      </c>
      <c r="W919" s="40">
        <v>0</v>
      </c>
      <c r="X919" s="119">
        <v>1</v>
      </c>
      <c r="Y919" s="40">
        <v>54</v>
      </c>
      <c r="Z919" s="119">
        <v>1</v>
      </c>
      <c r="AA919" s="368">
        <v>0</v>
      </c>
      <c r="AB919" s="535">
        <v>2</v>
      </c>
      <c r="AC919" s="39" t="s">
        <v>160</v>
      </c>
      <c r="AD919" s="75" t="s">
        <v>10</v>
      </c>
      <c r="AE919" s="95">
        <v>0</v>
      </c>
      <c r="AF919" s="75">
        <v>0</v>
      </c>
      <c r="AG919" s="75">
        <v>0</v>
      </c>
      <c r="AH919" s="75">
        <v>0</v>
      </c>
      <c r="AI919" s="75">
        <v>0</v>
      </c>
      <c r="AJ919" s="75">
        <v>0</v>
      </c>
      <c r="AK919" s="75">
        <v>0</v>
      </c>
      <c r="AL919" s="95">
        <v>1</v>
      </c>
      <c r="AM919" s="92">
        <v>0</v>
      </c>
      <c r="AN919" s="79" t="s">
        <v>80</v>
      </c>
      <c r="AO919" s="75">
        <v>1</v>
      </c>
      <c r="AP919" s="75" t="s">
        <v>83</v>
      </c>
      <c r="AQ919" s="122">
        <v>1</v>
      </c>
      <c r="AR919" s="515" t="s">
        <v>10</v>
      </c>
      <c r="AS919" s="95">
        <v>0</v>
      </c>
      <c r="AT919" s="75">
        <v>0</v>
      </c>
      <c r="AU919" s="75">
        <v>0</v>
      </c>
      <c r="AV919" s="75">
        <v>0</v>
      </c>
      <c r="AW919" s="123">
        <v>0</v>
      </c>
      <c r="AX919" s="516"/>
      <c r="AY919" s="75">
        <v>0</v>
      </c>
      <c r="AZ919" s="77" t="s">
        <v>131</v>
      </c>
      <c r="BA919" s="78" t="s">
        <v>131</v>
      </c>
      <c r="BB919" s="78" t="s">
        <v>131</v>
      </c>
      <c r="BC919" s="78" t="s">
        <v>131</v>
      </c>
      <c r="BD919" s="78" t="s">
        <v>131</v>
      </c>
      <c r="BE919" s="78" t="s">
        <v>131</v>
      </c>
      <c r="BF919" s="78" t="s">
        <v>131</v>
      </c>
      <c r="BG919" s="78" t="s">
        <v>132</v>
      </c>
      <c r="BH919" s="75" t="s">
        <v>5970</v>
      </c>
      <c r="BI919" s="295">
        <v>0</v>
      </c>
      <c r="BJ919" s="546">
        <v>1</v>
      </c>
      <c r="BK919" s="294" t="s">
        <v>16</v>
      </c>
      <c r="BL919" s="157" t="s">
        <v>16</v>
      </c>
      <c r="BM919" s="548" t="s">
        <v>1345</v>
      </c>
      <c r="BN919" s="548" t="s">
        <v>4158</v>
      </c>
      <c r="BO919" s="157" t="s">
        <v>4429</v>
      </c>
      <c r="BP919" s="548" t="s">
        <v>4556</v>
      </c>
      <c r="BQ919" s="157" t="s">
        <v>4427</v>
      </c>
      <c r="BR919" s="157"/>
    </row>
    <row r="920" spans="1:70" x14ac:dyDescent="0.25">
      <c r="A920" s="19" t="s">
        <v>3686</v>
      </c>
      <c r="B920" s="37" t="s">
        <v>2961</v>
      </c>
      <c r="C920" s="90">
        <v>45097.7425</v>
      </c>
      <c r="D920" s="114">
        <v>45097.4925</v>
      </c>
      <c r="E920" s="38">
        <v>45097</v>
      </c>
      <c r="F920" s="91">
        <v>2023</v>
      </c>
      <c r="G920" s="93">
        <v>6</v>
      </c>
      <c r="H920" s="37" t="s">
        <v>2654</v>
      </c>
      <c r="I920" s="37"/>
      <c r="J920" s="103">
        <v>-91.199291500000001</v>
      </c>
      <c r="K920" s="40">
        <v>44.161563100000002</v>
      </c>
      <c r="L920" s="74"/>
      <c r="M920" s="272" t="s">
        <v>2962</v>
      </c>
      <c r="N920" s="74">
        <v>1</v>
      </c>
      <c r="O920" s="94"/>
      <c r="P920" s="118">
        <v>1</v>
      </c>
      <c r="Q920" s="510">
        <v>80</v>
      </c>
      <c r="R920" s="513">
        <v>120</v>
      </c>
      <c r="S920" s="41"/>
      <c r="T920" s="40"/>
      <c r="U920" s="40">
        <v>7</v>
      </c>
      <c r="V920" s="119">
        <v>1</v>
      </c>
      <c r="W920" s="40">
        <v>200</v>
      </c>
      <c r="X920" s="119">
        <v>1</v>
      </c>
      <c r="Y920" s="40">
        <v>62</v>
      </c>
      <c r="Z920" s="119">
        <v>1</v>
      </c>
      <c r="AA920" s="368">
        <v>0</v>
      </c>
      <c r="AB920" s="535">
        <v>0</v>
      </c>
      <c r="AC920" s="39" t="s">
        <v>160</v>
      </c>
      <c r="AD920" s="75" t="s">
        <v>10</v>
      </c>
      <c r="AE920" s="95">
        <v>0</v>
      </c>
      <c r="AF920" s="75">
        <v>0</v>
      </c>
      <c r="AG920" s="75">
        <v>0</v>
      </c>
      <c r="AH920" s="75">
        <v>0</v>
      </c>
      <c r="AI920" s="75">
        <v>0</v>
      </c>
      <c r="AJ920" s="75">
        <v>0</v>
      </c>
      <c r="AK920" s="75">
        <v>0</v>
      </c>
      <c r="AL920" s="95">
        <v>1</v>
      </c>
      <c r="AM920" s="92">
        <v>0</v>
      </c>
      <c r="AN920" s="79" t="s">
        <v>80</v>
      </c>
      <c r="AO920" s="75">
        <v>1</v>
      </c>
      <c r="AP920" s="75" t="s">
        <v>83</v>
      </c>
      <c r="AQ920" s="122">
        <v>1</v>
      </c>
      <c r="AR920" s="515" t="s">
        <v>10</v>
      </c>
      <c r="AS920" s="95">
        <v>0</v>
      </c>
      <c r="AT920" s="75">
        <v>0</v>
      </c>
      <c r="AU920" s="75">
        <v>0</v>
      </c>
      <c r="AV920" s="75">
        <v>0</v>
      </c>
      <c r="AW920" s="123">
        <v>0</v>
      </c>
      <c r="AX920" s="516"/>
      <c r="AY920" s="75">
        <v>0</v>
      </c>
      <c r="AZ920" s="77" t="s">
        <v>131</v>
      </c>
      <c r="BA920" s="78" t="s">
        <v>131</v>
      </c>
      <c r="BB920" s="78" t="s">
        <v>131</v>
      </c>
      <c r="BC920" s="78" t="s">
        <v>131</v>
      </c>
      <c r="BD920" s="78" t="s">
        <v>131</v>
      </c>
      <c r="BE920" s="78" t="s">
        <v>131</v>
      </c>
      <c r="BF920" s="78" t="s">
        <v>131</v>
      </c>
      <c r="BG920" s="78" t="s">
        <v>132</v>
      </c>
      <c r="BH920" s="75" t="s">
        <v>5970</v>
      </c>
      <c r="BI920" s="295" t="s">
        <v>4012</v>
      </c>
      <c r="BJ920" s="546">
        <v>1</v>
      </c>
      <c r="BK920" s="294" t="s">
        <v>16</v>
      </c>
      <c r="BL920" s="157" t="s">
        <v>16</v>
      </c>
      <c r="BM920" s="548" t="s">
        <v>1340</v>
      </c>
      <c r="BN920" s="548" t="s">
        <v>4158</v>
      </c>
      <c r="BO920" s="157" t="s">
        <v>4558</v>
      </c>
      <c r="BP920" s="548" t="s">
        <v>4559</v>
      </c>
      <c r="BQ920" s="157" t="s">
        <v>4447</v>
      </c>
      <c r="BR920" s="157"/>
    </row>
    <row r="921" spans="1:70" x14ac:dyDescent="0.25">
      <c r="A921" s="19" t="s">
        <v>3686</v>
      </c>
      <c r="B921" s="37" t="s">
        <v>2963</v>
      </c>
      <c r="C921" s="90">
        <v>45097.670324074075</v>
      </c>
      <c r="D921" s="114">
        <v>45097.420324074075</v>
      </c>
      <c r="E921" s="38">
        <v>45097</v>
      </c>
      <c r="F921" s="91">
        <v>2023</v>
      </c>
      <c r="G921" s="93">
        <v>6</v>
      </c>
      <c r="H921" s="37" t="s">
        <v>2548</v>
      </c>
      <c r="I921" s="37"/>
      <c r="J921" s="103">
        <v>-90.700164915325885</v>
      </c>
      <c r="K921" s="40">
        <v>43.169932901362664</v>
      </c>
      <c r="L921" s="74"/>
      <c r="M921" s="272" t="s">
        <v>2964</v>
      </c>
      <c r="N921" s="74">
        <v>1</v>
      </c>
      <c r="O921" s="94"/>
      <c r="P921" s="118">
        <v>1</v>
      </c>
      <c r="Q921" s="510">
        <v>180</v>
      </c>
      <c r="R921" s="513">
        <v>60</v>
      </c>
      <c r="S921" s="41"/>
      <c r="T921" s="40"/>
      <c r="U921" s="40">
        <v>8</v>
      </c>
      <c r="V921" s="119">
        <v>1</v>
      </c>
      <c r="W921" s="40">
        <v>0</v>
      </c>
      <c r="X921" s="119">
        <v>1</v>
      </c>
      <c r="Y921" s="40">
        <v>65</v>
      </c>
      <c r="Z921" s="119">
        <v>0</v>
      </c>
      <c r="AA921" s="368" t="s">
        <v>16</v>
      </c>
      <c r="AB921" s="535">
        <v>1</v>
      </c>
      <c r="AC921" s="39" t="s">
        <v>160</v>
      </c>
      <c r="AD921" s="75" t="s">
        <v>10</v>
      </c>
      <c r="AE921" s="95">
        <v>0</v>
      </c>
      <c r="AF921" s="75">
        <v>0</v>
      </c>
      <c r="AG921" s="75">
        <v>0</v>
      </c>
      <c r="AH921" s="75">
        <v>0</v>
      </c>
      <c r="AI921" s="75">
        <v>0</v>
      </c>
      <c r="AJ921" s="75">
        <v>0</v>
      </c>
      <c r="AK921" s="75">
        <v>0</v>
      </c>
      <c r="AL921" s="95">
        <v>1</v>
      </c>
      <c r="AM921" s="92">
        <v>0</v>
      </c>
      <c r="AN921" s="79" t="s">
        <v>80</v>
      </c>
      <c r="AO921" s="75">
        <v>1</v>
      </c>
      <c r="AP921" s="75" t="s">
        <v>84</v>
      </c>
      <c r="AQ921" s="122">
        <v>1</v>
      </c>
      <c r="AR921" s="515" t="s">
        <v>10</v>
      </c>
      <c r="AS921" s="95">
        <v>0</v>
      </c>
      <c r="AT921" s="75">
        <v>0</v>
      </c>
      <c r="AU921" s="75">
        <v>0</v>
      </c>
      <c r="AV921" s="75">
        <v>0</v>
      </c>
      <c r="AW921" s="123">
        <v>0</v>
      </c>
      <c r="AX921" s="516"/>
      <c r="AY921" s="75">
        <v>0</v>
      </c>
      <c r="AZ921" s="77" t="s">
        <v>131</v>
      </c>
      <c r="BA921" s="78" t="s">
        <v>131</v>
      </c>
      <c r="BB921" s="78" t="s">
        <v>131</v>
      </c>
      <c r="BC921" s="78" t="s">
        <v>131</v>
      </c>
      <c r="BD921" s="78" t="s">
        <v>131</v>
      </c>
      <c r="BE921" s="78" t="s">
        <v>131</v>
      </c>
      <c r="BF921" s="78" t="s">
        <v>131</v>
      </c>
      <c r="BG921" s="78" t="s">
        <v>132</v>
      </c>
      <c r="BH921" s="75" t="s">
        <v>5970</v>
      </c>
      <c r="BI921" s="295" t="s">
        <v>16</v>
      </c>
      <c r="BJ921" s="546">
        <v>1</v>
      </c>
      <c r="BK921" s="294" t="s">
        <v>16</v>
      </c>
      <c r="BL921" s="157" t="s">
        <v>16</v>
      </c>
      <c r="BM921" s="548" t="s">
        <v>1345</v>
      </c>
      <c r="BN921" s="548" t="s">
        <v>4158</v>
      </c>
      <c r="BO921" s="157" t="s">
        <v>4560</v>
      </c>
      <c r="BP921" s="548" t="s">
        <v>4103</v>
      </c>
      <c r="BQ921" s="157" t="s">
        <v>4299</v>
      </c>
      <c r="BR921" s="157"/>
    </row>
    <row r="922" spans="1:70" x14ac:dyDescent="0.25">
      <c r="A922" s="19" t="s">
        <v>3686</v>
      </c>
      <c r="B922" s="37" t="s">
        <v>2965</v>
      </c>
      <c r="C922" s="90">
        <v>45097.610601851855</v>
      </c>
      <c r="D922" s="114">
        <v>45097.360601851855</v>
      </c>
      <c r="E922" s="38">
        <v>45097</v>
      </c>
      <c r="F922" s="91">
        <v>2023</v>
      </c>
      <c r="G922" s="93">
        <v>6</v>
      </c>
      <c r="H922" s="37" t="s">
        <v>2654</v>
      </c>
      <c r="I922" s="37"/>
      <c r="J922" s="103">
        <v>-91.207639900000004</v>
      </c>
      <c r="K922" s="40">
        <v>44.157521699999997</v>
      </c>
      <c r="L922" s="74"/>
      <c r="M922" s="272" t="s">
        <v>2966</v>
      </c>
      <c r="N922" s="74">
        <v>1</v>
      </c>
      <c r="O922" s="94"/>
      <c r="P922" s="118">
        <v>1</v>
      </c>
      <c r="Q922" s="510">
        <v>80</v>
      </c>
      <c r="R922" s="513">
        <v>120</v>
      </c>
      <c r="S922" s="41"/>
      <c r="T922" s="40"/>
      <c r="U922" s="40">
        <v>7</v>
      </c>
      <c r="V922" s="119">
        <v>1</v>
      </c>
      <c r="W922" s="40">
        <v>200</v>
      </c>
      <c r="X922" s="119">
        <v>1</v>
      </c>
      <c r="Y922" s="40">
        <v>57</v>
      </c>
      <c r="Z922" s="119">
        <v>1</v>
      </c>
      <c r="AA922" s="368">
        <v>0</v>
      </c>
      <c r="AB922" s="535">
        <v>1</v>
      </c>
      <c r="AC922" s="39" t="s">
        <v>160</v>
      </c>
      <c r="AD922" s="75" t="s">
        <v>8</v>
      </c>
      <c r="AE922" s="95">
        <v>0</v>
      </c>
      <c r="AF922" s="75">
        <v>1</v>
      </c>
      <c r="AG922" s="75">
        <v>0</v>
      </c>
      <c r="AH922" s="75">
        <v>0</v>
      </c>
      <c r="AI922" s="75">
        <v>0</v>
      </c>
      <c r="AJ922" s="75">
        <v>0</v>
      </c>
      <c r="AK922" s="75">
        <v>0</v>
      </c>
      <c r="AL922" s="95">
        <v>0</v>
      </c>
      <c r="AM922" s="92">
        <v>0</v>
      </c>
      <c r="AN922" s="79" t="s">
        <v>80</v>
      </c>
      <c r="AO922" s="75">
        <v>1</v>
      </c>
      <c r="AP922" s="75" t="s">
        <v>85</v>
      </c>
      <c r="AQ922" s="122">
        <v>1</v>
      </c>
      <c r="AR922" s="515" t="s">
        <v>10</v>
      </c>
      <c r="AS922" s="95">
        <v>0</v>
      </c>
      <c r="AT922" s="75">
        <v>0</v>
      </c>
      <c r="AU922" s="75">
        <v>0</v>
      </c>
      <c r="AV922" s="75">
        <v>0</v>
      </c>
      <c r="AW922" s="123">
        <v>0</v>
      </c>
      <c r="AX922" s="516"/>
      <c r="AY922" s="75">
        <v>0</v>
      </c>
      <c r="AZ922" s="77" t="s">
        <v>131</v>
      </c>
      <c r="BA922" s="78" t="s">
        <v>132</v>
      </c>
      <c r="BB922" s="78" t="s">
        <v>131</v>
      </c>
      <c r="BC922" s="78" t="s">
        <v>131</v>
      </c>
      <c r="BD922" s="78" t="s">
        <v>131</v>
      </c>
      <c r="BE922" s="78" t="s">
        <v>131</v>
      </c>
      <c r="BF922" s="78" t="s">
        <v>131</v>
      </c>
      <c r="BG922" s="78" t="s">
        <v>131</v>
      </c>
      <c r="BH922" s="75" t="s">
        <v>5970</v>
      </c>
      <c r="BI922" s="295" t="s">
        <v>4012</v>
      </c>
      <c r="BJ922" s="546">
        <v>1</v>
      </c>
      <c r="BK922" s="294" t="s">
        <v>16</v>
      </c>
      <c r="BL922" s="157" t="s">
        <v>16</v>
      </c>
      <c r="BM922" s="548" t="s">
        <v>1340</v>
      </c>
      <c r="BN922" s="548" t="s">
        <v>4158</v>
      </c>
      <c r="BO922" s="157" t="s">
        <v>4558</v>
      </c>
      <c r="BP922" s="548" t="s">
        <v>4559</v>
      </c>
      <c r="BQ922" s="157" t="s">
        <v>4447</v>
      </c>
      <c r="BR922" s="157"/>
    </row>
    <row r="923" spans="1:70" x14ac:dyDescent="0.25">
      <c r="A923" s="19" t="s">
        <v>3686</v>
      </c>
      <c r="B923" s="37" t="s">
        <v>2967</v>
      </c>
      <c r="C923" s="90">
        <v>45097.524444444447</v>
      </c>
      <c r="D923" s="114">
        <v>45097.274444444447</v>
      </c>
      <c r="E923" s="38">
        <v>45097</v>
      </c>
      <c r="F923" s="91">
        <v>2023</v>
      </c>
      <c r="G923" s="93">
        <v>6</v>
      </c>
      <c r="H923" s="37" t="s">
        <v>2400</v>
      </c>
      <c r="I923" s="37"/>
      <c r="J923" s="103">
        <v>-90.772642399999995</v>
      </c>
      <c r="K923" s="40">
        <v>43.200864199999998</v>
      </c>
      <c r="L923" s="74"/>
      <c r="M923" s="272" t="s">
        <v>2968</v>
      </c>
      <c r="N923" s="74">
        <v>1</v>
      </c>
      <c r="O923" s="94"/>
      <c r="P923" s="118">
        <v>1</v>
      </c>
      <c r="Q923" s="510">
        <v>180</v>
      </c>
      <c r="R923" s="513">
        <v>180</v>
      </c>
      <c r="S923" s="41"/>
      <c r="T923" s="40"/>
      <c r="U923" s="40">
        <v>7</v>
      </c>
      <c r="V923" s="119">
        <v>1</v>
      </c>
      <c r="W923" s="40">
        <v>0</v>
      </c>
      <c r="X923" s="119">
        <v>1</v>
      </c>
      <c r="Y923" s="40">
        <v>50</v>
      </c>
      <c r="Z923" s="119">
        <v>1</v>
      </c>
      <c r="AA923" s="368">
        <v>0</v>
      </c>
      <c r="AB923" s="535">
        <v>2</v>
      </c>
      <c r="AC923" s="39" t="s">
        <v>160</v>
      </c>
      <c r="AD923" s="75" t="s">
        <v>10</v>
      </c>
      <c r="AE923" s="95">
        <v>0</v>
      </c>
      <c r="AF923" s="75">
        <v>0</v>
      </c>
      <c r="AG923" s="75">
        <v>0</v>
      </c>
      <c r="AH923" s="75">
        <v>0</v>
      </c>
      <c r="AI923" s="75">
        <v>0</v>
      </c>
      <c r="AJ923" s="75">
        <v>0</v>
      </c>
      <c r="AK923" s="75">
        <v>0</v>
      </c>
      <c r="AL923" s="95">
        <v>1</v>
      </c>
      <c r="AM923" s="92">
        <v>0</v>
      </c>
      <c r="AN923" s="79" t="s">
        <v>80</v>
      </c>
      <c r="AO923" s="75">
        <v>1</v>
      </c>
      <c r="AP923" s="75" t="s">
        <v>83</v>
      </c>
      <c r="AQ923" s="122">
        <v>1</v>
      </c>
      <c r="AR923" s="515" t="s">
        <v>10</v>
      </c>
      <c r="AS923" s="95">
        <v>0</v>
      </c>
      <c r="AT923" s="75">
        <v>0</v>
      </c>
      <c r="AU923" s="75">
        <v>0</v>
      </c>
      <c r="AV923" s="75">
        <v>0</v>
      </c>
      <c r="AW923" s="123">
        <v>0</v>
      </c>
      <c r="AX923" s="516" t="s">
        <v>2969</v>
      </c>
      <c r="AY923" s="75">
        <v>1</v>
      </c>
      <c r="AZ923" s="77" t="s">
        <v>131</v>
      </c>
      <c r="BA923" s="78" t="s">
        <v>131</v>
      </c>
      <c r="BB923" s="78" t="s">
        <v>131</v>
      </c>
      <c r="BC923" s="78" t="s">
        <v>131</v>
      </c>
      <c r="BD923" s="78" t="s">
        <v>131</v>
      </c>
      <c r="BE923" s="78" t="s">
        <v>131</v>
      </c>
      <c r="BF923" s="78" t="s">
        <v>131</v>
      </c>
      <c r="BG923" s="78" t="s">
        <v>132</v>
      </c>
      <c r="BH923" s="75" t="s">
        <v>5970</v>
      </c>
      <c r="BI923" s="295">
        <v>0</v>
      </c>
      <c r="BJ923" s="546" t="s">
        <v>16</v>
      </c>
      <c r="BK923" s="294" t="s">
        <v>16</v>
      </c>
      <c r="BL923" s="157" t="s">
        <v>16</v>
      </c>
      <c r="BM923" s="548" t="s">
        <v>1345</v>
      </c>
      <c r="BN923" s="548" t="s">
        <v>4158</v>
      </c>
      <c r="BO923" s="157" t="s">
        <v>4560</v>
      </c>
      <c r="BP923" s="548" t="s">
        <v>4103</v>
      </c>
      <c r="BQ923" s="157" t="s">
        <v>4299</v>
      </c>
      <c r="BR923" s="157"/>
    </row>
    <row r="924" spans="1:70" x14ac:dyDescent="0.25">
      <c r="A924" s="19" t="s">
        <v>3686</v>
      </c>
      <c r="B924" s="37" t="s">
        <v>2970</v>
      </c>
      <c r="C924" s="90">
        <v>45096.973113425927</v>
      </c>
      <c r="D924" s="114">
        <v>45096.723113425927</v>
      </c>
      <c r="E924" s="38">
        <v>45096</v>
      </c>
      <c r="F924" s="91">
        <v>2023</v>
      </c>
      <c r="G924" s="93">
        <v>6</v>
      </c>
      <c r="H924" s="37" t="s">
        <v>606</v>
      </c>
      <c r="I924" s="37" t="s">
        <v>16</v>
      </c>
      <c r="J924" s="103">
        <v>-92.149199310850875</v>
      </c>
      <c r="K924" s="40">
        <v>44.248784133971881</v>
      </c>
      <c r="L924" s="74"/>
      <c r="M924" s="272" t="s">
        <v>2971</v>
      </c>
      <c r="N924" s="74">
        <v>1</v>
      </c>
      <c r="O924" s="94"/>
      <c r="P924" s="118">
        <v>1</v>
      </c>
      <c r="Q924" s="510">
        <v>40</v>
      </c>
      <c r="R924" s="513">
        <v>120</v>
      </c>
      <c r="S924" s="41"/>
      <c r="T924" s="40"/>
      <c r="U924" s="40">
        <v>7</v>
      </c>
      <c r="V924" s="119">
        <v>1</v>
      </c>
      <c r="W924" s="40">
        <v>100</v>
      </c>
      <c r="X924" s="119">
        <v>1</v>
      </c>
      <c r="Y924" s="40">
        <v>68</v>
      </c>
      <c r="Z924" s="119">
        <v>1</v>
      </c>
      <c r="AA924" s="368">
        <v>0</v>
      </c>
      <c r="AB924" s="535">
        <v>0</v>
      </c>
      <c r="AC924" s="39" t="s">
        <v>160</v>
      </c>
      <c r="AD924" s="75" t="s">
        <v>10</v>
      </c>
      <c r="AE924" s="95">
        <v>0</v>
      </c>
      <c r="AF924" s="75">
        <v>0</v>
      </c>
      <c r="AG924" s="75">
        <v>0</v>
      </c>
      <c r="AH924" s="75">
        <v>0</v>
      </c>
      <c r="AI924" s="75">
        <v>0</v>
      </c>
      <c r="AJ924" s="75">
        <v>0</v>
      </c>
      <c r="AK924" s="75">
        <v>0</v>
      </c>
      <c r="AL924" s="95">
        <v>1</v>
      </c>
      <c r="AM924" s="92">
        <v>0</v>
      </c>
      <c r="AN924" s="79" t="s">
        <v>80</v>
      </c>
      <c r="AO924" s="75">
        <v>1</v>
      </c>
      <c r="AP924" s="75" t="s">
        <v>83</v>
      </c>
      <c r="AQ924" s="122">
        <v>1</v>
      </c>
      <c r="AR924" s="515" t="s">
        <v>10</v>
      </c>
      <c r="AS924" s="95">
        <v>0</v>
      </c>
      <c r="AT924" s="75">
        <v>0</v>
      </c>
      <c r="AU924" s="75">
        <v>0</v>
      </c>
      <c r="AV924" s="75">
        <v>0</v>
      </c>
      <c r="AW924" s="123">
        <v>0</v>
      </c>
      <c r="AX924" s="516" t="s">
        <v>2972</v>
      </c>
      <c r="AY924" s="75">
        <v>1</v>
      </c>
      <c r="AZ924" s="77" t="s">
        <v>131</v>
      </c>
      <c r="BA924" s="78" t="s">
        <v>131</v>
      </c>
      <c r="BB924" s="78" t="s">
        <v>131</v>
      </c>
      <c r="BC924" s="78" t="s">
        <v>131</v>
      </c>
      <c r="BD924" s="78" t="s">
        <v>131</v>
      </c>
      <c r="BE924" s="78" t="s">
        <v>131</v>
      </c>
      <c r="BF924" s="78" t="s">
        <v>131</v>
      </c>
      <c r="BG924" s="78" t="s">
        <v>132</v>
      </c>
      <c r="BH924" s="75" t="s">
        <v>5970</v>
      </c>
      <c r="BI924" s="295" t="s">
        <v>317</v>
      </c>
      <c r="BJ924" s="546">
        <v>1</v>
      </c>
      <c r="BK924" s="294">
        <v>1</v>
      </c>
      <c r="BL924" s="157">
        <v>1</v>
      </c>
      <c r="BM924" s="548" t="s">
        <v>1339</v>
      </c>
      <c r="BN924" s="548" t="s">
        <v>1339</v>
      </c>
      <c r="BO924" s="157" t="s">
        <v>4358</v>
      </c>
      <c r="BP924" s="548" t="s">
        <v>317</v>
      </c>
      <c r="BQ924" s="157" t="s">
        <v>4330</v>
      </c>
      <c r="BR924" s="157"/>
    </row>
    <row r="925" spans="1:70" x14ac:dyDescent="0.25">
      <c r="A925" s="19" t="s">
        <v>3686</v>
      </c>
      <c r="B925" s="37" t="s">
        <v>2973</v>
      </c>
      <c r="C925" s="90">
        <v>45096.916805555556</v>
      </c>
      <c r="D925" s="114">
        <v>45096.666805555556</v>
      </c>
      <c r="E925" s="38">
        <v>45096</v>
      </c>
      <c r="F925" s="91">
        <v>2023</v>
      </c>
      <c r="G925" s="93">
        <v>6</v>
      </c>
      <c r="H925" s="37" t="s">
        <v>2654</v>
      </c>
      <c r="I925" s="37"/>
      <c r="J925" s="103">
        <v>-91.180989400000001</v>
      </c>
      <c r="K925" s="40">
        <v>44.147498800000001</v>
      </c>
      <c r="L925" s="74"/>
      <c r="M925" s="272" t="s">
        <v>2974</v>
      </c>
      <c r="N925" s="74">
        <v>1</v>
      </c>
      <c r="O925" s="94"/>
      <c r="P925" s="118">
        <v>1</v>
      </c>
      <c r="Q925" s="510">
        <v>80</v>
      </c>
      <c r="R925" s="513">
        <v>60</v>
      </c>
      <c r="S925" s="41"/>
      <c r="T925" s="40"/>
      <c r="U925" s="40">
        <v>7.5</v>
      </c>
      <c r="V925" s="119">
        <v>1</v>
      </c>
      <c r="W925" s="40">
        <v>300</v>
      </c>
      <c r="X925" s="119">
        <v>1</v>
      </c>
      <c r="Y925" s="40">
        <v>60</v>
      </c>
      <c r="Z925" s="119">
        <v>1</v>
      </c>
      <c r="AA925" s="368">
        <v>0</v>
      </c>
      <c r="AB925" s="535">
        <v>2</v>
      </c>
      <c r="AC925" s="39" t="s">
        <v>160</v>
      </c>
      <c r="AD925" s="75" t="s">
        <v>10</v>
      </c>
      <c r="AE925" s="95">
        <v>0</v>
      </c>
      <c r="AF925" s="75">
        <v>0</v>
      </c>
      <c r="AG925" s="75">
        <v>0</v>
      </c>
      <c r="AH925" s="75">
        <v>0</v>
      </c>
      <c r="AI925" s="75">
        <v>0</v>
      </c>
      <c r="AJ925" s="75">
        <v>0</v>
      </c>
      <c r="AK925" s="75">
        <v>0</v>
      </c>
      <c r="AL925" s="95">
        <v>1</v>
      </c>
      <c r="AM925" s="92">
        <v>0</v>
      </c>
      <c r="AN925" s="79" t="s">
        <v>80</v>
      </c>
      <c r="AO925" s="75">
        <v>1</v>
      </c>
      <c r="AP925" s="75" t="s">
        <v>85</v>
      </c>
      <c r="AQ925" s="122">
        <v>1</v>
      </c>
      <c r="AR925" s="515" t="s">
        <v>13</v>
      </c>
      <c r="AS925" s="95">
        <v>1</v>
      </c>
      <c r="AT925" s="75">
        <v>0</v>
      </c>
      <c r="AU925" s="75">
        <v>0</v>
      </c>
      <c r="AV925" s="75">
        <v>0</v>
      </c>
      <c r="AW925" s="123">
        <v>0</v>
      </c>
      <c r="AX925" s="516"/>
      <c r="AY925" s="75">
        <v>0</v>
      </c>
      <c r="AZ925" s="77" t="s">
        <v>131</v>
      </c>
      <c r="BA925" s="78" t="s">
        <v>131</v>
      </c>
      <c r="BB925" s="78" t="s">
        <v>131</v>
      </c>
      <c r="BC925" s="78" t="s">
        <v>131</v>
      </c>
      <c r="BD925" s="78" t="s">
        <v>131</v>
      </c>
      <c r="BE925" s="78" t="s">
        <v>131</v>
      </c>
      <c r="BF925" s="78" t="s">
        <v>131</v>
      </c>
      <c r="BG925" s="78" t="s">
        <v>132</v>
      </c>
      <c r="BH925" s="75" t="s">
        <v>5970</v>
      </c>
      <c r="BI925" s="295">
        <v>0</v>
      </c>
      <c r="BJ925" s="546" t="s">
        <v>16</v>
      </c>
      <c r="BK925" s="294">
        <v>1</v>
      </c>
      <c r="BL925" s="157">
        <v>1</v>
      </c>
      <c r="BM925" s="548" t="s">
        <v>1340</v>
      </c>
      <c r="BN925" s="548" t="s">
        <v>4158</v>
      </c>
      <c r="BO925" s="157" t="s">
        <v>4558</v>
      </c>
      <c r="BP925" s="548" t="s">
        <v>4559</v>
      </c>
      <c r="BQ925" s="157" t="s">
        <v>4447</v>
      </c>
      <c r="BR925" s="157"/>
    </row>
    <row r="926" spans="1:70" x14ac:dyDescent="0.25">
      <c r="A926" s="19" t="s">
        <v>3686</v>
      </c>
      <c r="B926" s="37" t="s">
        <v>2975</v>
      </c>
      <c r="C926" s="90">
        <v>45096.896967592591</v>
      </c>
      <c r="D926" s="114">
        <v>45096.646967592591</v>
      </c>
      <c r="E926" s="38">
        <v>45096</v>
      </c>
      <c r="F926" s="91">
        <v>2023</v>
      </c>
      <c r="G926" s="93">
        <v>6</v>
      </c>
      <c r="H926" s="37" t="s">
        <v>2548</v>
      </c>
      <c r="I926" s="37"/>
      <c r="J926" s="103">
        <v>-90.740018930610944</v>
      </c>
      <c r="K926" s="40">
        <v>43.186739335110907</v>
      </c>
      <c r="L926" s="74"/>
      <c r="M926" s="272" t="s">
        <v>2976</v>
      </c>
      <c r="N926" s="74">
        <v>1</v>
      </c>
      <c r="O926" s="94"/>
      <c r="P926" s="118">
        <v>1</v>
      </c>
      <c r="Q926" s="510">
        <v>180</v>
      </c>
      <c r="R926" s="513">
        <v>120</v>
      </c>
      <c r="S926" s="41"/>
      <c r="T926" s="40"/>
      <c r="U926" s="40">
        <v>8</v>
      </c>
      <c r="V926" s="119">
        <v>1</v>
      </c>
      <c r="W926" s="40">
        <v>0</v>
      </c>
      <c r="X926" s="119">
        <v>1</v>
      </c>
      <c r="Y926" s="40">
        <v>67</v>
      </c>
      <c r="Z926" s="119">
        <v>1</v>
      </c>
      <c r="AA926" s="368">
        <v>0</v>
      </c>
      <c r="AB926" s="535">
        <v>1</v>
      </c>
      <c r="AC926" s="39" t="s">
        <v>160</v>
      </c>
      <c r="AD926" s="75" t="s">
        <v>10</v>
      </c>
      <c r="AE926" s="95">
        <v>0</v>
      </c>
      <c r="AF926" s="75">
        <v>0</v>
      </c>
      <c r="AG926" s="75">
        <v>0</v>
      </c>
      <c r="AH926" s="75">
        <v>0</v>
      </c>
      <c r="AI926" s="75">
        <v>0</v>
      </c>
      <c r="AJ926" s="75">
        <v>0</v>
      </c>
      <c r="AK926" s="75">
        <v>0</v>
      </c>
      <c r="AL926" s="95">
        <v>1</v>
      </c>
      <c r="AM926" s="92">
        <v>0</v>
      </c>
      <c r="AN926" s="79" t="s">
        <v>80</v>
      </c>
      <c r="AO926" s="75">
        <v>1</v>
      </c>
      <c r="AP926" s="75" t="s">
        <v>83</v>
      </c>
      <c r="AQ926" s="122">
        <v>1</v>
      </c>
      <c r="AR926" s="515" t="s">
        <v>10</v>
      </c>
      <c r="AS926" s="95">
        <v>0</v>
      </c>
      <c r="AT926" s="75">
        <v>0</v>
      </c>
      <c r="AU926" s="75">
        <v>0</v>
      </c>
      <c r="AV926" s="75">
        <v>0</v>
      </c>
      <c r="AW926" s="123">
        <v>0</v>
      </c>
      <c r="AX926" s="516"/>
      <c r="AY926" s="75">
        <v>0</v>
      </c>
      <c r="AZ926" s="77" t="s">
        <v>131</v>
      </c>
      <c r="BA926" s="78" t="s">
        <v>131</v>
      </c>
      <c r="BB926" s="78" t="s">
        <v>131</v>
      </c>
      <c r="BC926" s="78" t="s">
        <v>131</v>
      </c>
      <c r="BD926" s="78" t="s">
        <v>131</v>
      </c>
      <c r="BE926" s="78" t="s">
        <v>131</v>
      </c>
      <c r="BF926" s="78" t="s">
        <v>131</v>
      </c>
      <c r="BG926" s="78" t="s">
        <v>132</v>
      </c>
      <c r="BH926" s="75" t="s">
        <v>5970</v>
      </c>
      <c r="BI926" s="295" t="s">
        <v>4103</v>
      </c>
      <c r="BJ926" s="546">
        <v>1</v>
      </c>
      <c r="BK926" s="294" t="s">
        <v>16</v>
      </c>
      <c r="BL926" s="157" t="s">
        <v>16</v>
      </c>
      <c r="BM926" s="548" t="s">
        <v>1345</v>
      </c>
      <c r="BN926" s="548" t="s">
        <v>4158</v>
      </c>
      <c r="BO926" s="157" t="s">
        <v>4560</v>
      </c>
      <c r="BP926" s="548" t="s">
        <v>4103</v>
      </c>
      <c r="BQ926" s="157" t="s">
        <v>4299</v>
      </c>
      <c r="BR926" s="157"/>
    </row>
    <row r="927" spans="1:70" x14ac:dyDescent="0.25">
      <c r="A927" s="19" t="s">
        <v>3686</v>
      </c>
      <c r="B927" s="37" t="s">
        <v>2977</v>
      </c>
      <c r="C927" s="90">
        <v>45096.884282407409</v>
      </c>
      <c r="D927" s="114">
        <v>45096.634282407409</v>
      </c>
      <c r="E927" s="38">
        <v>45096</v>
      </c>
      <c r="F927" s="91">
        <v>2023</v>
      </c>
      <c r="G927" s="93">
        <v>6</v>
      </c>
      <c r="H927" s="37" t="s">
        <v>2654</v>
      </c>
      <c r="I927" s="37"/>
      <c r="J927" s="103">
        <v>-91.182123399999995</v>
      </c>
      <c r="K927" s="40">
        <v>44.1414616</v>
      </c>
      <c r="L927" s="74"/>
      <c r="M927" s="272" t="s">
        <v>2978</v>
      </c>
      <c r="N927" s="74">
        <v>1</v>
      </c>
      <c r="O927" s="94"/>
      <c r="P927" s="118">
        <v>1</v>
      </c>
      <c r="Q927" s="510">
        <v>40</v>
      </c>
      <c r="R927" s="513">
        <v>60</v>
      </c>
      <c r="S927" s="41"/>
      <c r="T927" s="40"/>
      <c r="U927" s="40">
        <v>7</v>
      </c>
      <c r="V927" s="119">
        <v>1</v>
      </c>
      <c r="W927" s="40">
        <v>100</v>
      </c>
      <c r="X927" s="119">
        <v>1</v>
      </c>
      <c r="Y927" s="40">
        <v>67</v>
      </c>
      <c r="Z927" s="119">
        <v>1</v>
      </c>
      <c r="AA927" s="368">
        <v>0</v>
      </c>
      <c r="AB927" s="535">
        <v>2</v>
      </c>
      <c r="AC927" s="39" t="s">
        <v>160</v>
      </c>
      <c r="AD927" s="75" t="s">
        <v>355</v>
      </c>
      <c r="AE927" s="95">
        <v>0</v>
      </c>
      <c r="AF927" s="75">
        <v>0</v>
      </c>
      <c r="AG927" s="75">
        <v>0</v>
      </c>
      <c r="AH927" s="75">
        <v>1</v>
      </c>
      <c r="AI927" s="75">
        <v>0</v>
      </c>
      <c r="AJ927" s="75">
        <v>0</v>
      </c>
      <c r="AK927" s="75">
        <v>0</v>
      </c>
      <c r="AL927" s="95">
        <v>0</v>
      </c>
      <c r="AM927" s="92">
        <v>0</v>
      </c>
      <c r="AN927" s="79" t="s">
        <v>80</v>
      </c>
      <c r="AO927" s="75">
        <v>1</v>
      </c>
      <c r="AP927" s="75" t="s">
        <v>83</v>
      </c>
      <c r="AQ927" s="122">
        <v>1</v>
      </c>
      <c r="AR927" s="515" t="s">
        <v>13</v>
      </c>
      <c r="AS927" s="95">
        <v>1</v>
      </c>
      <c r="AT927" s="75">
        <v>0</v>
      </c>
      <c r="AU927" s="75">
        <v>0</v>
      </c>
      <c r="AV927" s="75">
        <v>0</v>
      </c>
      <c r="AW927" s="123">
        <v>0</v>
      </c>
      <c r="AX927" s="516"/>
      <c r="AY927" s="75">
        <v>0</v>
      </c>
      <c r="AZ927" s="77" t="s">
        <v>131</v>
      </c>
      <c r="BA927" s="78" t="s">
        <v>131</v>
      </c>
      <c r="BB927" s="78" t="s">
        <v>131</v>
      </c>
      <c r="BC927" s="78" t="s">
        <v>132</v>
      </c>
      <c r="BD927" s="78" t="s">
        <v>131</v>
      </c>
      <c r="BE927" s="78" t="s">
        <v>131</v>
      </c>
      <c r="BF927" s="78" t="s">
        <v>131</v>
      </c>
      <c r="BG927" s="78" t="s">
        <v>131</v>
      </c>
      <c r="BH927" s="75" t="s">
        <v>5970</v>
      </c>
      <c r="BI927" s="295" t="s">
        <v>4011</v>
      </c>
      <c r="BJ927" s="546">
        <v>1</v>
      </c>
      <c r="BK927" s="294">
        <v>1</v>
      </c>
      <c r="BL927" s="157">
        <v>1</v>
      </c>
      <c r="BM927" s="548" t="s">
        <v>1340</v>
      </c>
      <c r="BN927" s="548" t="s">
        <v>4158</v>
      </c>
      <c r="BO927" s="157" t="s">
        <v>4558</v>
      </c>
      <c r="BP927" s="548" t="s">
        <v>4559</v>
      </c>
      <c r="BQ927" s="157" t="s">
        <v>4447</v>
      </c>
      <c r="BR927" s="157"/>
    </row>
    <row r="928" spans="1:70" x14ac:dyDescent="0.25">
      <c r="A928" s="19" t="s">
        <v>3686</v>
      </c>
      <c r="B928" s="37" t="s">
        <v>2979</v>
      </c>
      <c r="C928" s="90">
        <v>45096.836909722224</v>
      </c>
      <c r="D928" s="114">
        <v>45096.586909722224</v>
      </c>
      <c r="E928" s="38">
        <v>45096</v>
      </c>
      <c r="F928" s="91">
        <v>2023</v>
      </c>
      <c r="G928" s="93">
        <v>6</v>
      </c>
      <c r="H928" s="37" t="s">
        <v>2654</v>
      </c>
      <c r="I928" s="37"/>
      <c r="J928" s="103">
        <v>-91.161557700000003</v>
      </c>
      <c r="K928" s="40">
        <v>44.1158182</v>
      </c>
      <c r="L928" s="74"/>
      <c r="M928" s="272" t="s">
        <v>16</v>
      </c>
      <c r="N928" s="74">
        <v>0</v>
      </c>
      <c r="O928" s="94"/>
      <c r="P928" s="118">
        <v>1</v>
      </c>
      <c r="Q928" s="510">
        <v>180</v>
      </c>
      <c r="R928" s="513">
        <v>120</v>
      </c>
      <c r="S928" s="41"/>
      <c r="T928" s="40"/>
      <c r="U928" s="40">
        <v>8</v>
      </c>
      <c r="V928" s="119">
        <v>1</v>
      </c>
      <c r="W928" s="40">
        <v>0</v>
      </c>
      <c r="X928" s="119">
        <v>1</v>
      </c>
      <c r="Y928" s="40">
        <v>64</v>
      </c>
      <c r="Z928" s="119">
        <v>1</v>
      </c>
      <c r="AA928" s="368">
        <v>0</v>
      </c>
      <c r="AB928" s="535">
        <v>2</v>
      </c>
      <c r="AC928" s="39" t="s">
        <v>160</v>
      </c>
      <c r="AD928" s="75" t="s">
        <v>7</v>
      </c>
      <c r="AE928" s="95">
        <v>1</v>
      </c>
      <c r="AF928" s="75">
        <v>0</v>
      </c>
      <c r="AG928" s="75">
        <v>0</v>
      </c>
      <c r="AH928" s="75">
        <v>0</v>
      </c>
      <c r="AI928" s="75">
        <v>0</v>
      </c>
      <c r="AJ928" s="75">
        <v>0</v>
      </c>
      <c r="AK928" s="75">
        <v>0</v>
      </c>
      <c r="AL928" s="95">
        <v>0</v>
      </c>
      <c r="AM928" s="92">
        <v>0</v>
      </c>
      <c r="AN928" s="79" t="s">
        <v>80</v>
      </c>
      <c r="AO928" s="75">
        <v>1</v>
      </c>
      <c r="AP928" s="75" t="s">
        <v>83</v>
      </c>
      <c r="AQ928" s="122">
        <v>1</v>
      </c>
      <c r="AR928" s="515" t="s">
        <v>13</v>
      </c>
      <c r="AS928" s="95">
        <v>1</v>
      </c>
      <c r="AT928" s="75">
        <v>0</v>
      </c>
      <c r="AU928" s="75">
        <v>0</v>
      </c>
      <c r="AV928" s="75">
        <v>0</v>
      </c>
      <c r="AW928" s="123">
        <v>0</v>
      </c>
      <c r="AX928" s="516"/>
      <c r="AY928" s="75">
        <v>0</v>
      </c>
      <c r="AZ928" s="77" t="s">
        <v>132</v>
      </c>
      <c r="BA928" s="78" t="s">
        <v>131</v>
      </c>
      <c r="BB928" s="78" t="s">
        <v>131</v>
      </c>
      <c r="BC928" s="78" t="s">
        <v>131</v>
      </c>
      <c r="BD928" s="78" t="s">
        <v>131</v>
      </c>
      <c r="BE928" s="78" t="s">
        <v>131</v>
      </c>
      <c r="BF928" s="78" t="s">
        <v>131</v>
      </c>
      <c r="BG928" s="78" t="s">
        <v>131</v>
      </c>
      <c r="BH928" s="75" t="s">
        <v>5970</v>
      </c>
      <c r="BI928" s="295" t="s">
        <v>16</v>
      </c>
      <c r="BJ928" s="546" t="s">
        <v>16</v>
      </c>
      <c r="BK928" s="294" t="s">
        <v>16</v>
      </c>
      <c r="BL928" s="157" t="s">
        <v>16</v>
      </c>
      <c r="BM928" s="548" t="s">
        <v>1340</v>
      </c>
      <c r="BN928" s="548" t="s">
        <v>4158</v>
      </c>
      <c r="BO928" s="157" t="s">
        <v>4558</v>
      </c>
      <c r="BP928" s="548" t="s">
        <v>4559</v>
      </c>
      <c r="BQ928" s="157" t="s">
        <v>4447</v>
      </c>
      <c r="BR928" s="157"/>
    </row>
    <row r="929" spans="1:70" x14ac:dyDescent="0.25">
      <c r="A929" s="19" t="s">
        <v>3686</v>
      </c>
      <c r="B929" s="37" t="s">
        <v>2980</v>
      </c>
      <c r="C929" s="90">
        <v>45096.811840277776</v>
      </c>
      <c r="D929" s="114">
        <v>45096.561840277776</v>
      </c>
      <c r="E929" s="38">
        <v>45096</v>
      </c>
      <c r="F929" s="91">
        <v>2023</v>
      </c>
      <c r="G929" s="93">
        <v>6</v>
      </c>
      <c r="H929" s="37" t="s">
        <v>2654</v>
      </c>
      <c r="I929" s="37"/>
      <c r="J929" s="103">
        <v>-91.1571</v>
      </c>
      <c r="K929" s="40">
        <v>44.136182400000003</v>
      </c>
      <c r="L929" s="74"/>
      <c r="M929" s="272" t="s">
        <v>2981</v>
      </c>
      <c r="N929" s="74">
        <v>1</v>
      </c>
      <c r="O929" s="94"/>
      <c r="P929" s="118">
        <v>1</v>
      </c>
      <c r="Q929" s="510">
        <v>40</v>
      </c>
      <c r="R929" s="513">
        <v>120</v>
      </c>
      <c r="S929" s="41"/>
      <c r="T929" s="40"/>
      <c r="U929" s="40">
        <v>6.5</v>
      </c>
      <c r="V929" s="119">
        <v>1</v>
      </c>
      <c r="W929" s="40">
        <v>0</v>
      </c>
      <c r="X929" s="119">
        <v>1</v>
      </c>
      <c r="Y929" s="40">
        <v>66</v>
      </c>
      <c r="Z929" s="119">
        <v>1</v>
      </c>
      <c r="AA929" s="368">
        <v>0</v>
      </c>
      <c r="AB929" s="535">
        <v>0</v>
      </c>
      <c r="AC929" s="39" t="s">
        <v>160</v>
      </c>
      <c r="AD929" s="75" t="s">
        <v>10</v>
      </c>
      <c r="AE929" s="95">
        <v>0</v>
      </c>
      <c r="AF929" s="75">
        <v>0</v>
      </c>
      <c r="AG929" s="75">
        <v>0</v>
      </c>
      <c r="AH929" s="75">
        <v>0</v>
      </c>
      <c r="AI929" s="75">
        <v>0</v>
      </c>
      <c r="AJ929" s="75">
        <v>0</v>
      </c>
      <c r="AK929" s="75">
        <v>0</v>
      </c>
      <c r="AL929" s="95">
        <v>1</v>
      </c>
      <c r="AM929" s="92">
        <v>0</v>
      </c>
      <c r="AN929" s="79" t="s">
        <v>80</v>
      </c>
      <c r="AO929" s="75">
        <v>1</v>
      </c>
      <c r="AP929" s="75" t="s">
        <v>84</v>
      </c>
      <c r="AQ929" s="122">
        <v>1</v>
      </c>
      <c r="AR929" s="515" t="s">
        <v>13</v>
      </c>
      <c r="AS929" s="95">
        <v>1</v>
      </c>
      <c r="AT929" s="75">
        <v>0</v>
      </c>
      <c r="AU929" s="75">
        <v>0</v>
      </c>
      <c r="AV929" s="75">
        <v>0</v>
      </c>
      <c r="AW929" s="123">
        <v>0</v>
      </c>
      <c r="AX929" s="516"/>
      <c r="AY929" s="75">
        <v>0</v>
      </c>
      <c r="AZ929" s="77" t="s">
        <v>131</v>
      </c>
      <c r="BA929" s="78" t="s">
        <v>131</v>
      </c>
      <c r="BB929" s="78" t="s">
        <v>131</v>
      </c>
      <c r="BC929" s="78" t="s">
        <v>131</v>
      </c>
      <c r="BD929" s="78" t="s">
        <v>131</v>
      </c>
      <c r="BE929" s="78" t="s">
        <v>131</v>
      </c>
      <c r="BF929" s="78" t="s">
        <v>131</v>
      </c>
      <c r="BG929" s="78" t="s">
        <v>132</v>
      </c>
      <c r="BH929" s="75" t="s">
        <v>5970</v>
      </c>
      <c r="BI929" s="295" t="s">
        <v>4016</v>
      </c>
      <c r="BJ929" s="546">
        <v>1</v>
      </c>
      <c r="BK929" s="294" t="s">
        <v>16</v>
      </c>
      <c r="BL929" s="157" t="s">
        <v>16</v>
      </c>
      <c r="BM929" s="548" t="s">
        <v>1340</v>
      </c>
      <c r="BN929" s="548" t="s">
        <v>4158</v>
      </c>
      <c r="BO929" s="157" t="s">
        <v>4558</v>
      </c>
      <c r="BP929" s="548" t="s">
        <v>4559</v>
      </c>
      <c r="BQ929" s="157" t="s">
        <v>4447</v>
      </c>
      <c r="BR929" s="157"/>
    </row>
    <row r="930" spans="1:70" x14ac:dyDescent="0.25">
      <c r="A930" s="19" t="s">
        <v>3686</v>
      </c>
      <c r="B930" s="37" t="s">
        <v>2982</v>
      </c>
      <c r="C930" s="90">
        <v>45096.774351851855</v>
      </c>
      <c r="D930" s="114">
        <v>45096.524351851855</v>
      </c>
      <c r="E930" s="38">
        <v>45096</v>
      </c>
      <c r="F930" s="91">
        <v>2023</v>
      </c>
      <c r="G930" s="93">
        <v>6</v>
      </c>
      <c r="H930" s="37" t="s">
        <v>2548</v>
      </c>
      <c r="I930" s="37"/>
      <c r="J930" s="103">
        <v>-90.716382693475921</v>
      </c>
      <c r="K930" s="40">
        <v>43.236810476554673</v>
      </c>
      <c r="L930" s="74"/>
      <c r="M930" s="272" t="s">
        <v>2983</v>
      </c>
      <c r="N930" s="74">
        <v>1</v>
      </c>
      <c r="O930" s="94"/>
      <c r="P930" s="118">
        <v>1</v>
      </c>
      <c r="Q930" s="510">
        <v>180</v>
      </c>
      <c r="R930" s="513">
        <v>120</v>
      </c>
      <c r="S930" s="41"/>
      <c r="T930" s="40"/>
      <c r="U930" s="40">
        <v>7</v>
      </c>
      <c r="V930" s="119">
        <v>1</v>
      </c>
      <c r="W930" s="40">
        <v>0</v>
      </c>
      <c r="X930" s="119">
        <v>1</v>
      </c>
      <c r="Y930" s="40">
        <v>64</v>
      </c>
      <c r="Z930" s="119">
        <v>1</v>
      </c>
      <c r="AA930" s="368">
        <v>0</v>
      </c>
      <c r="AB930" s="535">
        <v>0</v>
      </c>
      <c r="AC930" s="39" t="s">
        <v>160</v>
      </c>
      <c r="AD930" s="75" t="s">
        <v>10</v>
      </c>
      <c r="AE930" s="95">
        <v>0</v>
      </c>
      <c r="AF930" s="75">
        <v>0</v>
      </c>
      <c r="AG930" s="75">
        <v>0</v>
      </c>
      <c r="AH930" s="75">
        <v>0</v>
      </c>
      <c r="AI930" s="75">
        <v>0</v>
      </c>
      <c r="AJ930" s="75">
        <v>0</v>
      </c>
      <c r="AK930" s="75">
        <v>0</v>
      </c>
      <c r="AL930" s="95">
        <v>1</v>
      </c>
      <c r="AM930" s="92">
        <v>0</v>
      </c>
      <c r="AN930" s="79" t="s">
        <v>80</v>
      </c>
      <c r="AO930" s="75">
        <v>1</v>
      </c>
      <c r="AP930" s="75" t="s">
        <v>83</v>
      </c>
      <c r="AQ930" s="122">
        <v>1</v>
      </c>
      <c r="AR930" s="515" t="s">
        <v>10</v>
      </c>
      <c r="AS930" s="95">
        <v>0</v>
      </c>
      <c r="AT930" s="75">
        <v>0</v>
      </c>
      <c r="AU930" s="75">
        <v>0</v>
      </c>
      <c r="AV930" s="75">
        <v>0</v>
      </c>
      <c r="AW930" s="123">
        <v>0</v>
      </c>
      <c r="AX930" s="516"/>
      <c r="AY930" s="75">
        <v>0</v>
      </c>
      <c r="AZ930" s="77" t="s">
        <v>131</v>
      </c>
      <c r="BA930" s="78" t="s">
        <v>131</v>
      </c>
      <c r="BB930" s="78" t="s">
        <v>131</v>
      </c>
      <c r="BC930" s="78" t="s">
        <v>131</v>
      </c>
      <c r="BD930" s="78" t="s">
        <v>131</v>
      </c>
      <c r="BE930" s="78" t="s">
        <v>131</v>
      </c>
      <c r="BF930" s="78" t="s">
        <v>131</v>
      </c>
      <c r="BG930" s="78" t="s">
        <v>132</v>
      </c>
      <c r="BH930" s="75" t="s">
        <v>5970</v>
      </c>
      <c r="BI930" s="295">
        <v>0</v>
      </c>
      <c r="BJ930" s="546" t="s">
        <v>16</v>
      </c>
      <c r="BK930" s="294" t="s">
        <v>16</v>
      </c>
      <c r="BL930" s="157" t="s">
        <v>16</v>
      </c>
      <c r="BM930" s="548" t="s">
        <v>1345</v>
      </c>
      <c r="BN930" s="548" t="s">
        <v>4158</v>
      </c>
      <c r="BO930" s="157" t="s">
        <v>4560</v>
      </c>
      <c r="BP930" s="548" t="s">
        <v>4103</v>
      </c>
      <c r="BQ930" s="157" t="s">
        <v>4299</v>
      </c>
      <c r="BR930" s="157"/>
    </row>
    <row r="931" spans="1:70" x14ac:dyDescent="0.25">
      <c r="A931" s="19" t="s">
        <v>3686</v>
      </c>
      <c r="B931" s="37" t="s">
        <v>2984</v>
      </c>
      <c r="C931" s="90">
        <v>45096.705648148149</v>
      </c>
      <c r="D931" s="114">
        <v>45096.455648148149</v>
      </c>
      <c r="E931" s="38">
        <v>45096</v>
      </c>
      <c r="F931" s="91">
        <v>2023</v>
      </c>
      <c r="G931" s="93">
        <v>6</v>
      </c>
      <c r="H931" s="37" t="s">
        <v>2475</v>
      </c>
      <c r="I931" s="37"/>
      <c r="J931" s="103">
        <v>-89.592755930581674</v>
      </c>
      <c r="K931" s="40">
        <v>43.435710766393392</v>
      </c>
      <c r="L931" s="74"/>
      <c r="M931" s="272" t="s">
        <v>2985</v>
      </c>
      <c r="N931" s="74">
        <v>1</v>
      </c>
      <c r="O931" s="94"/>
      <c r="P931" s="118">
        <v>1</v>
      </c>
      <c r="Q931" s="510">
        <v>120</v>
      </c>
      <c r="R931" s="513">
        <v>0</v>
      </c>
      <c r="S931" s="41"/>
      <c r="T931" s="40"/>
      <c r="U931" s="40">
        <v>7.5</v>
      </c>
      <c r="V931" s="119">
        <v>1</v>
      </c>
      <c r="W931" s="40">
        <v>200</v>
      </c>
      <c r="X931" s="119">
        <v>1</v>
      </c>
      <c r="Y931" s="40">
        <v>57</v>
      </c>
      <c r="Z931" s="119">
        <v>0</v>
      </c>
      <c r="AA931" s="368" t="s">
        <v>16</v>
      </c>
      <c r="AB931" s="535" t="s">
        <v>16</v>
      </c>
      <c r="AC931" s="39" t="s">
        <v>160</v>
      </c>
      <c r="AD931" s="75" t="s">
        <v>10</v>
      </c>
      <c r="AE931" s="95">
        <v>0</v>
      </c>
      <c r="AF931" s="75">
        <v>0</v>
      </c>
      <c r="AG931" s="75">
        <v>0</v>
      </c>
      <c r="AH931" s="75">
        <v>0</v>
      </c>
      <c r="AI931" s="75">
        <v>0</v>
      </c>
      <c r="AJ931" s="75">
        <v>0</v>
      </c>
      <c r="AK931" s="75">
        <v>0</v>
      </c>
      <c r="AL931" s="95">
        <v>1</v>
      </c>
      <c r="AM931" s="92">
        <v>0</v>
      </c>
      <c r="AN931" s="79" t="s">
        <v>80</v>
      </c>
      <c r="AO931" s="75">
        <v>1</v>
      </c>
      <c r="AP931" s="75" t="s">
        <v>83</v>
      </c>
      <c r="AQ931" s="122">
        <v>1</v>
      </c>
      <c r="AR931" s="515" t="s">
        <v>10</v>
      </c>
      <c r="AS931" s="95">
        <v>0</v>
      </c>
      <c r="AT931" s="75">
        <v>0</v>
      </c>
      <c r="AU931" s="75">
        <v>0</v>
      </c>
      <c r="AV931" s="75">
        <v>0</v>
      </c>
      <c r="AW931" s="123">
        <v>0</v>
      </c>
      <c r="AX931" s="516"/>
      <c r="AY931" s="75">
        <v>0</v>
      </c>
      <c r="AZ931" s="77" t="s">
        <v>131</v>
      </c>
      <c r="BA931" s="78" t="s">
        <v>131</v>
      </c>
      <c r="BB931" s="78" t="s">
        <v>131</v>
      </c>
      <c r="BC931" s="78" t="s">
        <v>131</v>
      </c>
      <c r="BD931" s="78" t="s">
        <v>131</v>
      </c>
      <c r="BE931" s="78" t="s">
        <v>131</v>
      </c>
      <c r="BF931" s="78" t="s">
        <v>131</v>
      </c>
      <c r="BG931" s="78" t="s">
        <v>132</v>
      </c>
      <c r="BH931" s="75" t="s">
        <v>5970</v>
      </c>
      <c r="BI931" s="295">
        <v>0</v>
      </c>
      <c r="BJ931" s="546">
        <v>1</v>
      </c>
      <c r="BK931" s="294">
        <v>1</v>
      </c>
      <c r="BL931" s="157">
        <v>1</v>
      </c>
      <c r="BM931" s="548" t="s">
        <v>1346</v>
      </c>
      <c r="BN931" s="548" t="s">
        <v>4162</v>
      </c>
      <c r="BO931" s="157" t="s">
        <v>4561</v>
      </c>
      <c r="BP931" s="548" t="s">
        <v>4562</v>
      </c>
      <c r="BQ931" s="157" t="s">
        <v>4344</v>
      </c>
      <c r="BR931" s="157"/>
    </row>
    <row r="932" spans="1:70" x14ac:dyDescent="0.25">
      <c r="A932" s="19" t="s">
        <v>3686</v>
      </c>
      <c r="B932" s="37" t="s">
        <v>2986</v>
      </c>
      <c r="C932" s="90">
        <v>45096.647604166668</v>
      </c>
      <c r="D932" s="114">
        <v>45096.397604166668</v>
      </c>
      <c r="E932" s="38">
        <v>45096</v>
      </c>
      <c r="F932" s="91">
        <v>2023</v>
      </c>
      <c r="G932" s="93">
        <v>6</v>
      </c>
      <c r="H932" s="37" t="s">
        <v>2654</v>
      </c>
      <c r="I932" s="37"/>
      <c r="J932" s="103">
        <v>-91.127074899999997</v>
      </c>
      <c r="K932" s="40">
        <v>44.1489914</v>
      </c>
      <c r="L932" s="74"/>
      <c r="M932" s="272" t="s">
        <v>2987</v>
      </c>
      <c r="N932" s="74">
        <v>1</v>
      </c>
      <c r="O932" s="94"/>
      <c r="P932" s="118">
        <v>1</v>
      </c>
      <c r="Q932" s="510">
        <v>80</v>
      </c>
      <c r="R932" s="513">
        <v>60</v>
      </c>
      <c r="S932" s="41"/>
      <c r="T932" s="40"/>
      <c r="U932" s="40">
        <v>7</v>
      </c>
      <c r="V932" s="119">
        <v>1</v>
      </c>
      <c r="W932" s="40">
        <v>0</v>
      </c>
      <c r="X932" s="119">
        <v>1</v>
      </c>
      <c r="Y932" s="40">
        <v>57</v>
      </c>
      <c r="Z932" s="119">
        <v>1</v>
      </c>
      <c r="AA932" s="368">
        <v>0</v>
      </c>
      <c r="AB932" s="535">
        <v>0</v>
      </c>
      <c r="AC932" s="39" t="s">
        <v>160</v>
      </c>
      <c r="AD932" s="75" t="s">
        <v>1622</v>
      </c>
      <c r="AE932" s="95">
        <v>1</v>
      </c>
      <c r="AF932" s="75">
        <v>1</v>
      </c>
      <c r="AG932" s="75">
        <v>0</v>
      </c>
      <c r="AH932" s="75">
        <v>0</v>
      </c>
      <c r="AI932" s="75">
        <v>0</v>
      </c>
      <c r="AJ932" s="75">
        <v>0</v>
      </c>
      <c r="AK932" s="75">
        <v>0</v>
      </c>
      <c r="AL932" s="95">
        <v>0</v>
      </c>
      <c r="AM932" s="92">
        <v>0</v>
      </c>
      <c r="AN932" s="79" t="s">
        <v>80</v>
      </c>
      <c r="AO932" s="75">
        <v>1</v>
      </c>
      <c r="AP932" s="75" t="s">
        <v>83</v>
      </c>
      <c r="AQ932" s="122">
        <v>1</v>
      </c>
      <c r="AR932" s="515" t="s">
        <v>13</v>
      </c>
      <c r="AS932" s="95">
        <v>1</v>
      </c>
      <c r="AT932" s="75">
        <v>0</v>
      </c>
      <c r="AU932" s="75">
        <v>0</v>
      </c>
      <c r="AV932" s="75">
        <v>0</v>
      </c>
      <c r="AW932" s="123">
        <v>0</v>
      </c>
      <c r="AX932" s="516"/>
      <c r="AY932" s="75">
        <v>0</v>
      </c>
      <c r="AZ932" s="77" t="s">
        <v>132</v>
      </c>
      <c r="BA932" s="78" t="s">
        <v>132</v>
      </c>
      <c r="BB932" s="78" t="s">
        <v>131</v>
      </c>
      <c r="BC932" s="78" t="s">
        <v>131</v>
      </c>
      <c r="BD932" s="78" t="s">
        <v>131</v>
      </c>
      <c r="BE932" s="78" t="s">
        <v>131</v>
      </c>
      <c r="BF932" s="78" t="s">
        <v>131</v>
      </c>
      <c r="BG932" s="78" t="s">
        <v>131</v>
      </c>
      <c r="BH932" s="75" t="s">
        <v>5970</v>
      </c>
      <c r="BI932" s="295" t="s">
        <v>4014</v>
      </c>
      <c r="BJ932" s="546" t="s">
        <v>16</v>
      </c>
      <c r="BK932" s="294" t="s">
        <v>16</v>
      </c>
      <c r="BL932" s="157" t="s">
        <v>16</v>
      </c>
      <c r="BM932" s="548" t="s">
        <v>1342</v>
      </c>
      <c r="BN932" s="548" t="s">
        <v>4158</v>
      </c>
      <c r="BO932" s="157" t="s">
        <v>4558</v>
      </c>
      <c r="BP932" s="548" t="s">
        <v>4559</v>
      </c>
      <c r="BQ932" s="157" t="s">
        <v>4447</v>
      </c>
      <c r="BR932" s="157"/>
    </row>
    <row r="933" spans="1:70" x14ac:dyDescent="0.25">
      <c r="A933" s="19" t="s">
        <v>3686</v>
      </c>
      <c r="B933" s="37" t="s">
        <v>2988</v>
      </c>
      <c r="C933" s="90">
        <v>45096.643564814818</v>
      </c>
      <c r="D933" s="114">
        <v>45096.393564814818</v>
      </c>
      <c r="E933" s="38">
        <v>45096</v>
      </c>
      <c r="F933" s="91">
        <v>2023</v>
      </c>
      <c r="G933" s="93">
        <v>6</v>
      </c>
      <c r="H933" s="37" t="s">
        <v>2400</v>
      </c>
      <c r="I933" s="37"/>
      <c r="J933" s="103">
        <v>-90.755848999999998</v>
      </c>
      <c r="K933" s="40">
        <v>43.235471500000003</v>
      </c>
      <c r="L933" s="74"/>
      <c r="M933" s="272" t="s">
        <v>16</v>
      </c>
      <c r="N933" s="74">
        <v>0</v>
      </c>
      <c r="O933" s="94"/>
      <c r="P933" s="118">
        <v>1</v>
      </c>
      <c r="Q933" s="510">
        <v>180</v>
      </c>
      <c r="R933" s="513">
        <v>180</v>
      </c>
      <c r="S933" s="41"/>
      <c r="T933" s="40"/>
      <c r="U933" s="40">
        <v>7.5</v>
      </c>
      <c r="V933" s="119">
        <v>1</v>
      </c>
      <c r="W933" s="40">
        <v>0</v>
      </c>
      <c r="X933" s="119">
        <v>1</v>
      </c>
      <c r="Y933" s="40">
        <v>62</v>
      </c>
      <c r="Z933" s="119">
        <v>1</v>
      </c>
      <c r="AA933" s="368">
        <v>0</v>
      </c>
      <c r="AB933" s="535">
        <v>2</v>
      </c>
      <c r="AC933" s="39" t="s">
        <v>160</v>
      </c>
      <c r="AD933" s="75" t="s">
        <v>10</v>
      </c>
      <c r="AE933" s="95">
        <v>0</v>
      </c>
      <c r="AF933" s="75">
        <v>0</v>
      </c>
      <c r="AG933" s="75">
        <v>0</v>
      </c>
      <c r="AH933" s="75">
        <v>0</v>
      </c>
      <c r="AI933" s="75">
        <v>0</v>
      </c>
      <c r="AJ933" s="75">
        <v>0</v>
      </c>
      <c r="AK933" s="75">
        <v>0</v>
      </c>
      <c r="AL933" s="95">
        <v>1</v>
      </c>
      <c r="AM933" s="92">
        <v>0</v>
      </c>
      <c r="AN933" s="79" t="s">
        <v>80</v>
      </c>
      <c r="AO933" s="75">
        <v>1</v>
      </c>
      <c r="AP933" s="75" t="s">
        <v>83</v>
      </c>
      <c r="AQ933" s="122">
        <v>1</v>
      </c>
      <c r="AR933" s="515" t="s">
        <v>10</v>
      </c>
      <c r="AS933" s="95">
        <v>0</v>
      </c>
      <c r="AT933" s="75">
        <v>0</v>
      </c>
      <c r="AU933" s="75">
        <v>0</v>
      </c>
      <c r="AV933" s="75">
        <v>0</v>
      </c>
      <c r="AW933" s="123">
        <v>0</v>
      </c>
      <c r="AX933" s="516"/>
      <c r="AY933" s="75">
        <v>0</v>
      </c>
      <c r="AZ933" s="77" t="s">
        <v>131</v>
      </c>
      <c r="BA933" s="78" t="s">
        <v>131</v>
      </c>
      <c r="BB933" s="78" t="s">
        <v>131</v>
      </c>
      <c r="BC933" s="78" t="s">
        <v>131</v>
      </c>
      <c r="BD933" s="78" t="s">
        <v>131</v>
      </c>
      <c r="BE933" s="78" t="s">
        <v>131</v>
      </c>
      <c r="BF933" s="78" t="s">
        <v>131</v>
      </c>
      <c r="BG933" s="78" t="s">
        <v>132</v>
      </c>
      <c r="BH933" s="75" t="s">
        <v>5970</v>
      </c>
      <c r="BI933" s="295" t="s">
        <v>4103</v>
      </c>
      <c r="BJ933" s="546">
        <v>1</v>
      </c>
      <c r="BK933" s="294" t="s">
        <v>16</v>
      </c>
      <c r="BL933" s="157" t="s">
        <v>16</v>
      </c>
      <c r="BM933" s="548" t="s">
        <v>1345</v>
      </c>
      <c r="BN933" s="548" t="s">
        <v>4158</v>
      </c>
      <c r="BO933" s="157" t="s">
        <v>4560</v>
      </c>
      <c r="BP933" s="548" t="s">
        <v>4103</v>
      </c>
      <c r="BQ933" s="157" t="s">
        <v>4299</v>
      </c>
      <c r="BR933" s="157"/>
    </row>
    <row r="934" spans="1:70" x14ac:dyDescent="0.25">
      <c r="A934" s="19" t="s">
        <v>3686</v>
      </c>
      <c r="B934" s="37" t="s">
        <v>2989</v>
      </c>
      <c r="C934" s="90">
        <v>45096.591215277775</v>
      </c>
      <c r="D934" s="114">
        <v>45096.341215277775</v>
      </c>
      <c r="E934" s="38">
        <v>45096</v>
      </c>
      <c r="F934" s="91">
        <v>2023</v>
      </c>
      <c r="G934" s="93">
        <v>6</v>
      </c>
      <c r="H934" s="37" t="s">
        <v>2654</v>
      </c>
      <c r="I934" s="37"/>
      <c r="J934" s="103">
        <v>-91.113399599999994</v>
      </c>
      <c r="K934" s="40">
        <v>44.173609300000003</v>
      </c>
      <c r="L934" s="74"/>
      <c r="M934" s="272" t="s">
        <v>2990</v>
      </c>
      <c r="N934" s="74">
        <v>1</v>
      </c>
      <c r="O934" s="94"/>
      <c r="P934" s="118">
        <v>1</v>
      </c>
      <c r="Q934" s="510">
        <v>120</v>
      </c>
      <c r="R934" s="513">
        <v>60</v>
      </c>
      <c r="S934" s="41"/>
      <c r="T934" s="40"/>
      <c r="U934" s="40">
        <v>8</v>
      </c>
      <c r="V934" s="119">
        <v>1</v>
      </c>
      <c r="W934" s="40">
        <v>0</v>
      </c>
      <c r="X934" s="119">
        <v>1</v>
      </c>
      <c r="Y934" s="40">
        <v>64</v>
      </c>
      <c r="Z934" s="119">
        <v>1</v>
      </c>
      <c r="AA934" s="368">
        <v>0</v>
      </c>
      <c r="AB934" s="535">
        <v>0</v>
      </c>
      <c r="AC934" s="39" t="s">
        <v>160</v>
      </c>
      <c r="AD934" s="75" t="s">
        <v>10</v>
      </c>
      <c r="AE934" s="95">
        <v>0</v>
      </c>
      <c r="AF934" s="75">
        <v>0</v>
      </c>
      <c r="AG934" s="75">
        <v>0</v>
      </c>
      <c r="AH934" s="75">
        <v>0</v>
      </c>
      <c r="AI934" s="75">
        <v>0</v>
      </c>
      <c r="AJ934" s="75">
        <v>0</v>
      </c>
      <c r="AK934" s="75">
        <v>0</v>
      </c>
      <c r="AL934" s="95">
        <v>1</v>
      </c>
      <c r="AM934" s="92">
        <v>0</v>
      </c>
      <c r="AN934" s="79" t="s">
        <v>80</v>
      </c>
      <c r="AO934" s="75">
        <v>1</v>
      </c>
      <c r="AP934" s="75" t="s">
        <v>84</v>
      </c>
      <c r="AQ934" s="122">
        <v>1</v>
      </c>
      <c r="AR934" s="515" t="s">
        <v>13</v>
      </c>
      <c r="AS934" s="95">
        <v>1</v>
      </c>
      <c r="AT934" s="75">
        <v>0</v>
      </c>
      <c r="AU934" s="75">
        <v>0</v>
      </c>
      <c r="AV934" s="75">
        <v>0</v>
      </c>
      <c r="AW934" s="123">
        <v>0</v>
      </c>
      <c r="AX934" s="516"/>
      <c r="AY934" s="75">
        <v>0</v>
      </c>
      <c r="AZ934" s="77" t="s">
        <v>131</v>
      </c>
      <c r="BA934" s="78" t="s">
        <v>131</v>
      </c>
      <c r="BB934" s="78" t="s">
        <v>131</v>
      </c>
      <c r="BC934" s="78" t="s">
        <v>131</v>
      </c>
      <c r="BD934" s="78" t="s">
        <v>131</v>
      </c>
      <c r="BE934" s="78" t="s">
        <v>131</v>
      </c>
      <c r="BF934" s="78" t="s">
        <v>131</v>
      </c>
      <c r="BG934" s="78" t="s">
        <v>132</v>
      </c>
      <c r="BH934" s="75" t="s">
        <v>5970</v>
      </c>
      <c r="BI934" s="295" t="s">
        <v>4014</v>
      </c>
      <c r="BJ934" s="546" t="s">
        <v>16</v>
      </c>
      <c r="BK934" s="294" t="s">
        <v>16</v>
      </c>
      <c r="BL934" s="157" t="s">
        <v>16</v>
      </c>
      <c r="BM934" s="548" t="s">
        <v>1340</v>
      </c>
      <c r="BN934" s="548" t="s">
        <v>4158</v>
      </c>
      <c r="BO934" s="157" t="s">
        <v>4558</v>
      </c>
      <c r="BP934" s="548" t="s">
        <v>4559</v>
      </c>
      <c r="BQ934" s="157" t="s">
        <v>4447</v>
      </c>
      <c r="BR934" s="157"/>
    </row>
    <row r="935" spans="1:70" x14ac:dyDescent="0.25">
      <c r="A935" s="19" t="s">
        <v>3686</v>
      </c>
      <c r="B935" s="37" t="s">
        <v>2991</v>
      </c>
      <c r="C935" s="90">
        <v>45096.532476851855</v>
      </c>
      <c r="D935" s="114">
        <v>45096.282476851855</v>
      </c>
      <c r="E935" s="38">
        <v>45096</v>
      </c>
      <c r="F935" s="91">
        <v>2023</v>
      </c>
      <c r="G935" s="93">
        <v>6</v>
      </c>
      <c r="H935" s="37" t="s">
        <v>2548</v>
      </c>
      <c r="I935" s="37"/>
      <c r="J935" s="103">
        <v>-90.762023610170957</v>
      </c>
      <c r="K935" s="40">
        <v>43.245138044239269</v>
      </c>
      <c r="L935" s="74"/>
      <c r="M935" s="272" t="s">
        <v>2992</v>
      </c>
      <c r="N935" s="74">
        <v>1</v>
      </c>
      <c r="O935" s="94"/>
      <c r="P935" s="118">
        <v>1</v>
      </c>
      <c r="Q935" s="510">
        <v>180</v>
      </c>
      <c r="R935" s="513">
        <v>120</v>
      </c>
      <c r="S935" s="41"/>
      <c r="T935" s="40"/>
      <c r="U935" s="40">
        <v>7</v>
      </c>
      <c r="V935" s="119">
        <v>1</v>
      </c>
      <c r="W935" s="40">
        <v>100</v>
      </c>
      <c r="X935" s="119">
        <v>1</v>
      </c>
      <c r="Y935" s="40">
        <v>57</v>
      </c>
      <c r="Z935" s="119">
        <v>1</v>
      </c>
      <c r="AA935" s="368">
        <v>0</v>
      </c>
      <c r="AB935" s="535">
        <v>2</v>
      </c>
      <c r="AC935" s="39" t="s">
        <v>160</v>
      </c>
      <c r="AD935" s="75" t="s">
        <v>7</v>
      </c>
      <c r="AE935" s="95">
        <v>1</v>
      </c>
      <c r="AF935" s="75">
        <v>0</v>
      </c>
      <c r="AG935" s="75">
        <v>0</v>
      </c>
      <c r="AH935" s="75">
        <v>0</v>
      </c>
      <c r="AI935" s="75">
        <v>0</v>
      </c>
      <c r="AJ935" s="75">
        <v>0</v>
      </c>
      <c r="AK935" s="75">
        <v>0</v>
      </c>
      <c r="AL935" s="95">
        <v>0</v>
      </c>
      <c r="AM935" s="92">
        <v>0</v>
      </c>
      <c r="AN935" s="79" t="s">
        <v>80</v>
      </c>
      <c r="AO935" s="75">
        <v>1</v>
      </c>
      <c r="AP935" s="75" t="s">
        <v>84</v>
      </c>
      <c r="AQ935" s="122">
        <v>1</v>
      </c>
      <c r="AR935" s="515" t="s">
        <v>10</v>
      </c>
      <c r="AS935" s="95">
        <v>0</v>
      </c>
      <c r="AT935" s="75">
        <v>0</v>
      </c>
      <c r="AU935" s="75">
        <v>0</v>
      </c>
      <c r="AV935" s="75">
        <v>0</v>
      </c>
      <c r="AW935" s="123">
        <v>0</v>
      </c>
      <c r="AX935" s="516"/>
      <c r="AY935" s="75">
        <v>0</v>
      </c>
      <c r="AZ935" s="77" t="s">
        <v>132</v>
      </c>
      <c r="BA935" s="78" t="s">
        <v>131</v>
      </c>
      <c r="BB935" s="78" t="s">
        <v>131</v>
      </c>
      <c r="BC935" s="78" t="s">
        <v>131</v>
      </c>
      <c r="BD935" s="78" t="s">
        <v>131</v>
      </c>
      <c r="BE935" s="78" t="s">
        <v>131</v>
      </c>
      <c r="BF935" s="78" t="s">
        <v>131</v>
      </c>
      <c r="BG935" s="78" t="s">
        <v>131</v>
      </c>
      <c r="BH935" s="75" t="s">
        <v>5970</v>
      </c>
      <c r="BI935" s="295" t="s">
        <v>4103</v>
      </c>
      <c r="BJ935" s="546">
        <v>1</v>
      </c>
      <c r="BK935" s="294" t="s">
        <v>16</v>
      </c>
      <c r="BL935" s="157" t="s">
        <v>16</v>
      </c>
      <c r="BM935" s="548" t="s">
        <v>1345</v>
      </c>
      <c r="BN935" s="548" t="s">
        <v>4158</v>
      </c>
      <c r="BO935" s="157" t="s">
        <v>4560</v>
      </c>
      <c r="BP935" s="548" t="s">
        <v>4103</v>
      </c>
      <c r="BQ935" s="157" t="s">
        <v>4299</v>
      </c>
      <c r="BR935" s="157"/>
    </row>
    <row r="936" spans="1:70" x14ac:dyDescent="0.25">
      <c r="A936" s="19" t="s">
        <v>3686</v>
      </c>
      <c r="B936" s="37" t="s">
        <v>2993</v>
      </c>
      <c r="C936" s="90">
        <v>45094.765983796293</v>
      </c>
      <c r="D936" s="114">
        <v>45094.515983796293</v>
      </c>
      <c r="E936" s="38">
        <v>45094</v>
      </c>
      <c r="F936" s="91">
        <v>2023</v>
      </c>
      <c r="G936" s="93">
        <v>6</v>
      </c>
      <c r="H936" s="37" t="s">
        <v>1410</v>
      </c>
      <c r="I936" s="37" t="s">
        <v>1411</v>
      </c>
      <c r="J936" s="103">
        <v>-93.231350718077366</v>
      </c>
      <c r="K936" s="40">
        <v>44.846931848881702</v>
      </c>
      <c r="L936" s="74"/>
      <c r="M936" s="272" t="s">
        <v>16</v>
      </c>
      <c r="N936" s="74">
        <v>0</v>
      </c>
      <c r="O936" s="94"/>
      <c r="P936" s="118">
        <v>1</v>
      </c>
      <c r="Q936" s="510">
        <v>180</v>
      </c>
      <c r="R936" s="513">
        <v>180</v>
      </c>
      <c r="S936" s="41"/>
      <c r="T936" s="40"/>
      <c r="U936" s="40">
        <v>7</v>
      </c>
      <c r="V936" s="119">
        <v>1</v>
      </c>
      <c r="W936" s="40">
        <v>100</v>
      </c>
      <c r="X936" s="119">
        <v>1</v>
      </c>
      <c r="Y936" s="40">
        <v>61</v>
      </c>
      <c r="Z936" s="119">
        <v>1</v>
      </c>
      <c r="AA936" s="368">
        <v>0</v>
      </c>
      <c r="AB936" s="535">
        <v>2</v>
      </c>
      <c r="AC936" s="39" t="s">
        <v>160</v>
      </c>
      <c r="AD936" s="75" t="s">
        <v>10</v>
      </c>
      <c r="AE936" s="95">
        <v>0</v>
      </c>
      <c r="AF936" s="75">
        <v>0</v>
      </c>
      <c r="AG936" s="75">
        <v>0</v>
      </c>
      <c r="AH936" s="75">
        <v>0</v>
      </c>
      <c r="AI936" s="75">
        <v>0</v>
      </c>
      <c r="AJ936" s="75">
        <v>0</v>
      </c>
      <c r="AK936" s="75">
        <v>0</v>
      </c>
      <c r="AL936" s="95">
        <v>1</v>
      </c>
      <c r="AM936" s="92">
        <v>0</v>
      </c>
      <c r="AN936" s="79" t="s">
        <v>81</v>
      </c>
      <c r="AO936" s="75">
        <v>1</v>
      </c>
      <c r="AP936" s="75" t="s">
        <v>83</v>
      </c>
      <c r="AQ936" s="122">
        <v>1</v>
      </c>
      <c r="AR936" s="515" t="s">
        <v>10</v>
      </c>
      <c r="AS936" s="95">
        <v>0</v>
      </c>
      <c r="AT936" s="75">
        <v>0</v>
      </c>
      <c r="AU936" s="75">
        <v>0</v>
      </c>
      <c r="AV936" s="75">
        <v>0</v>
      </c>
      <c r="AW936" s="123">
        <v>0</v>
      </c>
      <c r="AX936" s="516" t="s">
        <v>2994</v>
      </c>
      <c r="AY936" s="75">
        <v>1</v>
      </c>
      <c r="AZ936" s="77" t="s">
        <v>131</v>
      </c>
      <c r="BA936" s="78" t="s">
        <v>131</v>
      </c>
      <c r="BB936" s="78" t="s">
        <v>131</v>
      </c>
      <c r="BC936" s="78" t="s">
        <v>131</v>
      </c>
      <c r="BD936" s="78" t="s">
        <v>131</v>
      </c>
      <c r="BE936" s="78" t="s">
        <v>131</v>
      </c>
      <c r="BF936" s="78" t="s">
        <v>131</v>
      </c>
      <c r="BG936" s="78" t="s">
        <v>132</v>
      </c>
      <c r="BH936" s="75" t="s">
        <v>5970</v>
      </c>
      <c r="BI936" s="295" t="s">
        <v>16</v>
      </c>
      <c r="BJ936" s="546" t="s">
        <v>16</v>
      </c>
      <c r="BK936" s="294" t="s">
        <v>16</v>
      </c>
      <c r="BL936" s="157" t="s">
        <v>16</v>
      </c>
      <c r="BM936" s="548" t="s">
        <v>2343</v>
      </c>
      <c r="BN936" s="548" t="s">
        <v>4161</v>
      </c>
      <c r="BO936" s="157" t="s">
        <v>4327</v>
      </c>
      <c r="BP936" s="548" t="s">
        <v>4314</v>
      </c>
      <c r="BQ936" s="157" t="s">
        <v>4312</v>
      </c>
      <c r="BR936" s="157"/>
    </row>
    <row r="937" spans="1:70" x14ac:dyDescent="0.25">
      <c r="A937" s="19" t="s">
        <v>3686</v>
      </c>
      <c r="B937" s="37" t="s">
        <v>2995</v>
      </c>
      <c r="C937" s="90">
        <v>45092.824363425927</v>
      </c>
      <c r="D937" s="114">
        <v>45092.574363425927</v>
      </c>
      <c r="E937" s="38">
        <v>45092</v>
      </c>
      <c r="F937" s="91">
        <v>2023</v>
      </c>
      <c r="G937" s="93">
        <v>6</v>
      </c>
      <c r="H937" s="37" t="s">
        <v>2654</v>
      </c>
      <c r="I937" s="37"/>
      <c r="J937" s="103">
        <v>-91.227300600000007</v>
      </c>
      <c r="K937" s="40">
        <v>44.2051552</v>
      </c>
      <c r="L937" s="74"/>
      <c r="M937" s="272" t="s">
        <v>2996</v>
      </c>
      <c r="N937" s="74">
        <v>1</v>
      </c>
      <c r="O937" s="94"/>
      <c r="P937" s="118">
        <v>1</v>
      </c>
      <c r="Q937" s="510">
        <v>40</v>
      </c>
      <c r="R937" s="513">
        <v>60</v>
      </c>
      <c r="S937" s="41"/>
      <c r="T937" s="40"/>
      <c r="U937" s="40">
        <v>7</v>
      </c>
      <c r="V937" s="119">
        <v>1</v>
      </c>
      <c r="W937" s="40">
        <v>200</v>
      </c>
      <c r="X937" s="119">
        <v>1</v>
      </c>
      <c r="Y937" s="40">
        <v>63</v>
      </c>
      <c r="Z937" s="119">
        <v>1</v>
      </c>
      <c r="AA937" s="368">
        <v>0</v>
      </c>
      <c r="AB937" s="535">
        <v>2</v>
      </c>
      <c r="AC937" s="39" t="s">
        <v>160</v>
      </c>
      <c r="AD937" s="75" t="s">
        <v>10</v>
      </c>
      <c r="AE937" s="95">
        <v>0</v>
      </c>
      <c r="AF937" s="75">
        <v>0</v>
      </c>
      <c r="AG937" s="75">
        <v>0</v>
      </c>
      <c r="AH937" s="75">
        <v>0</v>
      </c>
      <c r="AI937" s="75">
        <v>0</v>
      </c>
      <c r="AJ937" s="75">
        <v>0</v>
      </c>
      <c r="AK937" s="75">
        <v>0</v>
      </c>
      <c r="AL937" s="95">
        <v>1</v>
      </c>
      <c r="AM937" s="92">
        <v>0</v>
      </c>
      <c r="AN937" s="79" t="s">
        <v>80</v>
      </c>
      <c r="AO937" s="75">
        <v>1</v>
      </c>
      <c r="AP937" s="75" t="s">
        <v>83</v>
      </c>
      <c r="AQ937" s="122">
        <v>1</v>
      </c>
      <c r="AR937" s="515" t="s">
        <v>10</v>
      </c>
      <c r="AS937" s="95">
        <v>0</v>
      </c>
      <c r="AT937" s="75">
        <v>0</v>
      </c>
      <c r="AU937" s="75">
        <v>0</v>
      </c>
      <c r="AV937" s="75">
        <v>0</v>
      </c>
      <c r="AW937" s="123">
        <v>0</v>
      </c>
      <c r="AX937" s="516"/>
      <c r="AY937" s="75">
        <v>0</v>
      </c>
      <c r="AZ937" s="77" t="s">
        <v>131</v>
      </c>
      <c r="BA937" s="78" t="s">
        <v>131</v>
      </c>
      <c r="BB937" s="78" t="s">
        <v>131</v>
      </c>
      <c r="BC937" s="78" t="s">
        <v>131</v>
      </c>
      <c r="BD937" s="78" t="s">
        <v>131</v>
      </c>
      <c r="BE937" s="78" t="s">
        <v>131</v>
      </c>
      <c r="BF937" s="78" t="s">
        <v>131</v>
      </c>
      <c r="BG937" s="78" t="s">
        <v>132</v>
      </c>
      <c r="BH937" s="75" t="s">
        <v>5970</v>
      </c>
      <c r="BI937" s="295" t="s">
        <v>4006</v>
      </c>
      <c r="BJ937" s="546">
        <v>1</v>
      </c>
      <c r="BK937" s="294">
        <v>1</v>
      </c>
      <c r="BL937" s="157">
        <v>1</v>
      </c>
      <c r="BM937" s="548" t="s">
        <v>1340</v>
      </c>
      <c r="BN937" s="548" t="s">
        <v>4158</v>
      </c>
      <c r="BO937" s="157" t="s">
        <v>4529</v>
      </c>
      <c r="BP937" s="548" t="s">
        <v>4530</v>
      </c>
      <c r="BQ937" s="157" t="s">
        <v>4447</v>
      </c>
      <c r="BR937" s="157"/>
    </row>
    <row r="938" spans="1:70" x14ac:dyDescent="0.25">
      <c r="A938" s="19" t="s">
        <v>3686</v>
      </c>
      <c r="B938" s="37" t="s">
        <v>2997</v>
      </c>
      <c r="C938" s="90">
        <v>45092.746446759258</v>
      </c>
      <c r="D938" s="114">
        <v>45092.496446759258</v>
      </c>
      <c r="E938" s="38">
        <v>45092</v>
      </c>
      <c r="F938" s="91">
        <v>2023</v>
      </c>
      <c r="G938" s="93">
        <v>6</v>
      </c>
      <c r="H938" s="37" t="s">
        <v>1361</v>
      </c>
      <c r="I938" s="37"/>
      <c r="J938" s="103">
        <v>-91.599481450479104</v>
      </c>
      <c r="K938" s="40">
        <v>42.854967461938834</v>
      </c>
      <c r="L938" s="74"/>
      <c r="M938" s="272" t="s">
        <v>2998</v>
      </c>
      <c r="N938" s="74">
        <v>1</v>
      </c>
      <c r="O938" s="94"/>
      <c r="P938" s="118">
        <v>1</v>
      </c>
      <c r="Q938" s="510">
        <v>180</v>
      </c>
      <c r="R938" s="513">
        <v>120</v>
      </c>
      <c r="S938" s="41"/>
      <c r="T938" s="40"/>
      <c r="U938" s="40">
        <v>9</v>
      </c>
      <c r="V938" s="119">
        <v>1</v>
      </c>
      <c r="W938" s="40">
        <v>0</v>
      </c>
      <c r="X938" s="119">
        <v>1</v>
      </c>
      <c r="Y938" s="40">
        <v>70</v>
      </c>
      <c r="Z938" s="119">
        <v>1</v>
      </c>
      <c r="AA938" s="368">
        <v>0</v>
      </c>
      <c r="AB938" s="535">
        <v>2</v>
      </c>
      <c r="AC938" s="39" t="s">
        <v>160</v>
      </c>
      <c r="AD938" s="75" t="s">
        <v>8</v>
      </c>
      <c r="AE938" s="95">
        <v>0</v>
      </c>
      <c r="AF938" s="75">
        <v>1</v>
      </c>
      <c r="AG938" s="75">
        <v>0</v>
      </c>
      <c r="AH938" s="75">
        <v>0</v>
      </c>
      <c r="AI938" s="75">
        <v>0</v>
      </c>
      <c r="AJ938" s="75">
        <v>0</v>
      </c>
      <c r="AK938" s="75">
        <v>0</v>
      </c>
      <c r="AL938" s="95">
        <v>0</v>
      </c>
      <c r="AM938" s="92">
        <v>0</v>
      </c>
      <c r="AN938" s="79" t="s">
        <v>80</v>
      </c>
      <c r="AO938" s="75">
        <v>1</v>
      </c>
      <c r="AP938" s="75" t="s">
        <v>83</v>
      </c>
      <c r="AQ938" s="122">
        <v>1</v>
      </c>
      <c r="AR938" s="515" t="s">
        <v>10</v>
      </c>
      <c r="AS938" s="95">
        <v>0</v>
      </c>
      <c r="AT938" s="75">
        <v>0</v>
      </c>
      <c r="AU938" s="75">
        <v>0</v>
      </c>
      <c r="AV938" s="75">
        <v>0</v>
      </c>
      <c r="AW938" s="123">
        <v>0</v>
      </c>
      <c r="AX938" s="516"/>
      <c r="AY938" s="75">
        <v>0</v>
      </c>
      <c r="AZ938" s="77" t="s">
        <v>131</v>
      </c>
      <c r="BA938" s="78" t="s">
        <v>132</v>
      </c>
      <c r="BB938" s="78" t="s">
        <v>131</v>
      </c>
      <c r="BC938" s="78" t="s">
        <v>131</v>
      </c>
      <c r="BD938" s="78" t="s">
        <v>131</v>
      </c>
      <c r="BE938" s="78" t="s">
        <v>131</v>
      </c>
      <c r="BF938" s="78" t="s">
        <v>131</v>
      </c>
      <c r="BG938" s="78" t="s">
        <v>131</v>
      </c>
      <c r="BH938" s="75" t="s">
        <v>5970</v>
      </c>
      <c r="BI938" s="295" t="s">
        <v>2283</v>
      </c>
      <c r="BJ938" s="546">
        <v>1</v>
      </c>
      <c r="BK938" s="294" t="s">
        <v>16</v>
      </c>
      <c r="BL938" s="157" t="s">
        <v>16</v>
      </c>
      <c r="BM938" s="548" t="s">
        <v>1347</v>
      </c>
      <c r="BN938" s="548" t="s">
        <v>4160</v>
      </c>
      <c r="BO938" s="157" t="s">
        <v>4564</v>
      </c>
      <c r="BP938" s="548" t="s">
        <v>2283</v>
      </c>
      <c r="BQ938" s="157" t="s">
        <v>4563</v>
      </c>
      <c r="BR938" s="157"/>
    </row>
    <row r="939" spans="1:70" x14ac:dyDescent="0.25">
      <c r="A939" s="19" t="s">
        <v>3686</v>
      </c>
      <c r="B939" s="37" t="s">
        <v>2999</v>
      </c>
      <c r="C939" s="90">
        <v>45092.733055555553</v>
      </c>
      <c r="D939" s="114">
        <v>45092.483055555553</v>
      </c>
      <c r="E939" s="38">
        <v>45092</v>
      </c>
      <c r="F939" s="91">
        <v>2023</v>
      </c>
      <c r="G939" s="93">
        <v>6</v>
      </c>
      <c r="H939" s="37" t="s">
        <v>1361</v>
      </c>
      <c r="I939" s="37"/>
      <c r="J939" s="103">
        <v>-91.597282877277195</v>
      </c>
      <c r="K939" s="40">
        <v>42.844095840158722</v>
      </c>
      <c r="L939" s="74"/>
      <c r="M939" s="272" t="s">
        <v>3000</v>
      </c>
      <c r="N939" s="74">
        <v>1</v>
      </c>
      <c r="O939" s="94"/>
      <c r="P939" s="118">
        <v>1</v>
      </c>
      <c r="Q939" s="510">
        <v>180</v>
      </c>
      <c r="R939" s="513">
        <v>180</v>
      </c>
      <c r="S939" s="41"/>
      <c r="T939" s="40"/>
      <c r="U939" s="40">
        <v>7.5</v>
      </c>
      <c r="V939" s="119">
        <v>1</v>
      </c>
      <c r="W939" s="40">
        <v>0</v>
      </c>
      <c r="X939" s="119">
        <v>1</v>
      </c>
      <c r="Y939" s="40">
        <v>69</v>
      </c>
      <c r="Z939" s="119">
        <v>1</v>
      </c>
      <c r="AA939" s="368">
        <v>0</v>
      </c>
      <c r="AB939" s="535">
        <v>5</v>
      </c>
      <c r="AC939" s="39" t="s">
        <v>160</v>
      </c>
      <c r="AD939" s="75" t="s">
        <v>8</v>
      </c>
      <c r="AE939" s="95">
        <v>0</v>
      </c>
      <c r="AF939" s="75">
        <v>1</v>
      </c>
      <c r="AG939" s="75">
        <v>0</v>
      </c>
      <c r="AH939" s="75">
        <v>0</v>
      </c>
      <c r="AI939" s="75">
        <v>0</v>
      </c>
      <c r="AJ939" s="75">
        <v>0</v>
      </c>
      <c r="AK939" s="75">
        <v>0</v>
      </c>
      <c r="AL939" s="95">
        <v>0</v>
      </c>
      <c r="AM939" s="92">
        <v>0</v>
      </c>
      <c r="AN939" s="79" t="s">
        <v>80</v>
      </c>
      <c r="AO939" s="75">
        <v>1</v>
      </c>
      <c r="AP939" s="75" t="s">
        <v>84</v>
      </c>
      <c r="AQ939" s="122">
        <v>1</v>
      </c>
      <c r="AR939" s="515" t="s">
        <v>10</v>
      </c>
      <c r="AS939" s="95">
        <v>0</v>
      </c>
      <c r="AT939" s="75">
        <v>0</v>
      </c>
      <c r="AU939" s="75">
        <v>0</v>
      </c>
      <c r="AV939" s="75">
        <v>0</v>
      </c>
      <c r="AW939" s="123">
        <v>0</v>
      </c>
      <c r="AX939" s="516"/>
      <c r="AY939" s="75">
        <v>0</v>
      </c>
      <c r="AZ939" s="77" t="s">
        <v>131</v>
      </c>
      <c r="BA939" s="78" t="s">
        <v>132</v>
      </c>
      <c r="BB939" s="78" t="s">
        <v>131</v>
      </c>
      <c r="BC939" s="78" t="s">
        <v>131</v>
      </c>
      <c r="BD939" s="78" t="s">
        <v>131</v>
      </c>
      <c r="BE939" s="78" t="s">
        <v>131</v>
      </c>
      <c r="BF939" s="78" t="s">
        <v>131</v>
      </c>
      <c r="BG939" s="78" t="s">
        <v>131</v>
      </c>
      <c r="BH939" s="75" t="s">
        <v>5970</v>
      </c>
      <c r="BI939" s="295" t="s">
        <v>2283</v>
      </c>
      <c r="BJ939" s="546">
        <v>1</v>
      </c>
      <c r="BK939" s="294" t="s">
        <v>16</v>
      </c>
      <c r="BL939" s="157" t="s">
        <v>16</v>
      </c>
      <c r="BM939" s="548" t="s">
        <v>1347</v>
      </c>
      <c r="BN939" s="548" t="s">
        <v>4160</v>
      </c>
      <c r="BO939" s="157" t="s">
        <v>4564</v>
      </c>
      <c r="BP939" s="548" t="s">
        <v>2283</v>
      </c>
      <c r="BQ939" s="157" t="s">
        <v>4563</v>
      </c>
      <c r="BR939" s="157"/>
    </row>
    <row r="940" spans="1:70" x14ac:dyDescent="0.25">
      <c r="A940" s="19" t="s">
        <v>3686</v>
      </c>
      <c r="B940" s="37" t="s">
        <v>3001</v>
      </c>
      <c r="C940" s="90">
        <v>45092.712048611109</v>
      </c>
      <c r="D940" s="114">
        <v>45092.462048611109</v>
      </c>
      <c r="E940" s="38">
        <v>45092</v>
      </c>
      <c r="F940" s="91">
        <v>2023</v>
      </c>
      <c r="G940" s="93">
        <v>6</v>
      </c>
      <c r="H940" s="37" t="s">
        <v>1361</v>
      </c>
      <c r="I940" s="37"/>
      <c r="J940" s="103">
        <v>-91.654981970872399</v>
      </c>
      <c r="K940" s="40">
        <v>42.804123340214417</v>
      </c>
      <c r="L940" s="74"/>
      <c r="M940" s="272" t="s">
        <v>3002</v>
      </c>
      <c r="N940" s="74">
        <v>1</v>
      </c>
      <c r="O940" s="94"/>
      <c r="P940" s="118">
        <v>1</v>
      </c>
      <c r="Q940" s="510">
        <v>180</v>
      </c>
      <c r="R940" s="513">
        <v>180</v>
      </c>
      <c r="S940" s="41"/>
      <c r="T940" s="40"/>
      <c r="U940" s="40">
        <v>8</v>
      </c>
      <c r="V940" s="119">
        <v>1</v>
      </c>
      <c r="W940" s="40">
        <v>0</v>
      </c>
      <c r="X940" s="119">
        <v>1</v>
      </c>
      <c r="Y940" s="40">
        <v>65</v>
      </c>
      <c r="Z940" s="119">
        <v>1</v>
      </c>
      <c r="AA940" s="368">
        <v>0</v>
      </c>
      <c r="AB940" s="535">
        <v>5</v>
      </c>
      <c r="AC940" s="39" t="s">
        <v>160</v>
      </c>
      <c r="AD940" s="75" t="s">
        <v>10</v>
      </c>
      <c r="AE940" s="95">
        <v>0</v>
      </c>
      <c r="AF940" s="75">
        <v>0</v>
      </c>
      <c r="AG940" s="75">
        <v>0</v>
      </c>
      <c r="AH940" s="75">
        <v>0</v>
      </c>
      <c r="AI940" s="75">
        <v>0</v>
      </c>
      <c r="AJ940" s="75">
        <v>0</v>
      </c>
      <c r="AK940" s="75">
        <v>0</v>
      </c>
      <c r="AL940" s="95">
        <v>1</v>
      </c>
      <c r="AM940" s="92">
        <v>0</v>
      </c>
      <c r="AN940" s="79" t="s">
        <v>80</v>
      </c>
      <c r="AO940" s="75">
        <v>1</v>
      </c>
      <c r="AP940" s="75" t="s">
        <v>83</v>
      </c>
      <c r="AQ940" s="122">
        <v>1</v>
      </c>
      <c r="AR940" s="515" t="s">
        <v>10</v>
      </c>
      <c r="AS940" s="95">
        <v>0</v>
      </c>
      <c r="AT940" s="75">
        <v>0</v>
      </c>
      <c r="AU940" s="75">
        <v>0</v>
      </c>
      <c r="AV940" s="75">
        <v>0</v>
      </c>
      <c r="AW940" s="123">
        <v>0</v>
      </c>
      <c r="AX940" s="516"/>
      <c r="AY940" s="75">
        <v>0</v>
      </c>
      <c r="AZ940" s="77" t="s">
        <v>131</v>
      </c>
      <c r="BA940" s="78" t="s">
        <v>131</v>
      </c>
      <c r="BB940" s="78" t="s">
        <v>131</v>
      </c>
      <c r="BC940" s="78" t="s">
        <v>131</v>
      </c>
      <c r="BD940" s="78" t="s">
        <v>131</v>
      </c>
      <c r="BE940" s="78" t="s">
        <v>131</v>
      </c>
      <c r="BF940" s="78" t="s">
        <v>131</v>
      </c>
      <c r="BG940" s="78" t="s">
        <v>132</v>
      </c>
      <c r="BH940" s="75" t="s">
        <v>5970</v>
      </c>
      <c r="BI940" s="295" t="s">
        <v>4031</v>
      </c>
      <c r="BJ940" s="546" t="s">
        <v>16</v>
      </c>
      <c r="BK940" s="294" t="s">
        <v>16</v>
      </c>
      <c r="BL940" s="157" t="s">
        <v>16</v>
      </c>
      <c r="BM940" s="548" t="s">
        <v>1348</v>
      </c>
      <c r="BN940" s="548" t="s">
        <v>4160</v>
      </c>
      <c r="BO940" s="157" t="s">
        <v>4565</v>
      </c>
      <c r="BP940" s="548" t="s">
        <v>4567</v>
      </c>
      <c r="BQ940" s="157" t="s">
        <v>4563</v>
      </c>
      <c r="BR940" s="157"/>
    </row>
    <row r="941" spans="1:70" x14ac:dyDescent="0.25">
      <c r="A941" s="19" t="s">
        <v>3686</v>
      </c>
      <c r="B941" s="37" t="s">
        <v>3003</v>
      </c>
      <c r="C941" s="90">
        <v>45092.695856481485</v>
      </c>
      <c r="D941" s="114">
        <v>45092.445856481485</v>
      </c>
      <c r="E941" s="38">
        <v>45092</v>
      </c>
      <c r="F941" s="91">
        <v>2023</v>
      </c>
      <c r="G941" s="93">
        <v>6</v>
      </c>
      <c r="H941" s="37" t="s">
        <v>1361</v>
      </c>
      <c r="I941" s="37"/>
      <c r="J941" s="103">
        <v>-91.607154244642317</v>
      </c>
      <c r="K941" s="40">
        <v>42.816781397017479</v>
      </c>
      <c r="L941" s="74"/>
      <c r="M941" s="272" t="s">
        <v>3004</v>
      </c>
      <c r="N941" s="74">
        <v>1</v>
      </c>
      <c r="O941" s="94"/>
      <c r="P941" s="118">
        <v>1</v>
      </c>
      <c r="Q941" s="510">
        <v>180</v>
      </c>
      <c r="R941" s="513">
        <v>180</v>
      </c>
      <c r="S941" s="41"/>
      <c r="T941" s="40"/>
      <c r="U941" s="40">
        <v>8</v>
      </c>
      <c r="V941" s="119">
        <v>1</v>
      </c>
      <c r="W941" s="40">
        <v>0</v>
      </c>
      <c r="X941" s="119">
        <v>1</v>
      </c>
      <c r="Y941" s="40">
        <v>64</v>
      </c>
      <c r="Z941" s="119">
        <v>1</v>
      </c>
      <c r="AA941" s="368">
        <v>0</v>
      </c>
      <c r="AB941" s="535">
        <v>2</v>
      </c>
      <c r="AC941" s="39" t="s">
        <v>160</v>
      </c>
      <c r="AD941" s="75" t="s">
        <v>8</v>
      </c>
      <c r="AE941" s="95">
        <v>0</v>
      </c>
      <c r="AF941" s="75">
        <v>1</v>
      </c>
      <c r="AG941" s="75">
        <v>0</v>
      </c>
      <c r="AH941" s="75">
        <v>0</v>
      </c>
      <c r="AI941" s="75">
        <v>0</v>
      </c>
      <c r="AJ941" s="75">
        <v>0</v>
      </c>
      <c r="AK941" s="75">
        <v>0</v>
      </c>
      <c r="AL941" s="95">
        <v>0</v>
      </c>
      <c r="AM941" s="92">
        <v>0</v>
      </c>
      <c r="AN941" s="79" t="s">
        <v>80</v>
      </c>
      <c r="AO941" s="75">
        <v>1</v>
      </c>
      <c r="AP941" s="75" t="s">
        <v>83</v>
      </c>
      <c r="AQ941" s="122">
        <v>1</v>
      </c>
      <c r="AR941" s="515" t="s">
        <v>10</v>
      </c>
      <c r="AS941" s="95">
        <v>0</v>
      </c>
      <c r="AT941" s="75">
        <v>0</v>
      </c>
      <c r="AU941" s="75">
        <v>0</v>
      </c>
      <c r="AV941" s="75">
        <v>0</v>
      </c>
      <c r="AW941" s="123">
        <v>0</v>
      </c>
      <c r="AX941" s="516"/>
      <c r="AY941" s="75">
        <v>0</v>
      </c>
      <c r="AZ941" s="77" t="s">
        <v>131</v>
      </c>
      <c r="BA941" s="78" t="s">
        <v>132</v>
      </c>
      <c r="BB941" s="78" t="s">
        <v>131</v>
      </c>
      <c r="BC941" s="78" t="s">
        <v>131</v>
      </c>
      <c r="BD941" s="78" t="s">
        <v>131</v>
      </c>
      <c r="BE941" s="78" t="s">
        <v>131</v>
      </c>
      <c r="BF941" s="78" t="s">
        <v>131</v>
      </c>
      <c r="BG941" s="78" t="s">
        <v>131</v>
      </c>
      <c r="BH941" s="75" t="s">
        <v>5970</v>
      </c>
      <c r="BI941" s="295" t="s">
        <v>4031</v>
      </c>
      <c r="BJ941" s="546">
        <v>1</v>
      </c>
      <c r="BK941" s="294" t="s">
        <v>16</v>
      </c>
      <c r="BL941" s="157" t="s">
        <v>16</v>
      </c>
      <c r="BM941" s="548" t="s">
        <v>1347</v>
      </c>
      <c r="BN941" s="548" t="s">
        <v>4160</v>
      </c>
      <c r="BO941" s="157" t="s">
        <v>4565</v>
      </c>
      <c r="BP941" s="548" t="s">
        <v>4567</v>
      </c>
      <c r="BQ941" s="157" t="s">
        <v>4563</v>
      </c>
      <c r="BR941" s="157"/>
    </row>
    <row r="942" spans="1:70" x14ac:dyDescent="0.25">
      <c r="A942" s="19" t="s">
        <v>3686</v>
      </c>
      <c r="B942" s="37" t="s">
        <v>3005</v>
      </c>
      <c r="C942" s="90">
        <v>45092.687986111108</v>
      </c>
      <c r="D942" s="114">
        <v>45092.437986111108</v>
      </c>
      <c r="E942" s="38">
        <v>45092</v>
      </c>
      <c r="F942" s="91">
        <v>2023</v>
      </c>
      <c r="G942" s="93">
        <v>6</v>
      </c>
      <c r="H942" s="37" t="s">
        <v>2654</v>
      </c>
      <c r="I942" s="37"/>
      <c r="J942" s="103">
        <v>-91.245488100000003</v>
      </c>
      <c r="K942" s="40">
        <v>44.223557900000003</v>
      </c>
      <c r="L942" s="74"/>
      <c r="M942" s="272" t="s">
        <v>3006</v>
      </c>
      <c r="N942" s="74">
        <v>1</v>
      </c>
      <c r="O942" s="94"/>
      <c r="P942" s="118">
        <v>1</v>
      </c>
      <c r="Q942" s="510">
        <v>40</v>
      </c>
      <c r="R942" s="513">
        <v>120</v>
      </c>
      <c r="S942" s="41"/>
      <c r="T942" s="40"/>
      <c r="U942" s="40">
        <v>7</v>
      </c>
      <c r="V942" s="119">
        <v>1</v>
      </c>
      <c r="W942" s="40">
        <v>500</v>
      </c>
      <c r="X942" s="119">
        <v>1</v>
      </c>
      <c r="Y942" s="40">
        <v>58</v>
      </c>
      <c r="Z942" s="119">
        <v>1</v>
      </c>
      <c r="AA942" s="368">
        <v>0</v>
      </c>
      <c r="AB942" s="535">
        <v>0</v>
      </c>
      <c r="AC942" s="39" t="s">
        <v>160</v>
      </c>
      <c r="AD942" s="75" t="s">
        <v>10</v>
      </c>
      <c r="AE942" s="95">
        <v>0</v>
      </c>
      <c r="AF942" s="75">
        <v>0</v>
      </c>
      <c r="AG942" s="75">
        <v>0</v>
      </c>
      <c r="AH942" s="75">
        <v>0</v>
      </c>
      <c r="AI942" s="75">
        <v>0</v>
      </c>
      <c r="AJ942" s="75">
        <v>0</v>
      </c>
      <c r="AK942" s="75">
        <v>0</v>
      </c>
      <c r="AL942" s="95">
        <v>1</v>
      </c>
      <c r="AM942" s="92">
        <v>0</v>
      </c>
      <c r="AN942" s="79" t="s">
        <v>80</v>
      </c>
      <c r="AO942" s="75">
        <v>1</v>
      </c>
      <c r="AP942" s="75" t="s">
        <v>83</v>
      </c>
      <c r="AQ942" s="122">
        <v>1</v>
      </c>
      <c r="AR942" s="515" t="s">
        <v>10</v>
      </c>
      <c r="AS942" s="95">
        <v>0</v>
      </c>
      <c r="AT942" s="75">
        <v>0</v>
      </c>
      <c r="AU942" s="75">
        <v>0</v>
      </c>
      <c r="AV942" s="75">
        <v>0</v>
      </c>
      <c r="AW942" s="123">
        <v>0</v>
      </c>
      <c r="AX942" s="516"/>
      <c r="AY942" s="75">
        <v>0</v>
      </c>
      <c r="AZ942" s="77" t="s">
        <v>131</v>
      </c>
      <c r="BA942" s="78" t="s">
        <v>131</v>
      </c>
      <c r="BB942" s="78" t="s">
        <v>131</v>
      </c>
      <c r="BC942" s="78" t="s">
        <v>131</v>
      </c>
      <c r="BD942" s="78" t="s">
        <v>131</v>
      </c>
      <c r="BE942" s="78" t="s">
        <v>131</v>
      </c>
      <c r="BF942" s="78" t="s">
        <v>131</v>
      </c>
      <c r="BG942" s="78" t="s">
        <v>132</v>
      </c>
      <c r="BH942" s="75" t="s">
        <v>5970</v>
      </c>
      <c r="BI942" s="295" t="s">
        <v>2260</v>
      </c>
      <c r="BJ942" s="546">
        <v>1</v>
      </c>
      <c r="BK942" s="294">
        <v>1</v>
      </c>
      <c r="BL942" s="157">
        <v>1</v>
      </c>
      <c r="BM942" s="548" t="s">
        <v>1340</v>
      </c>
      <c r="BN942" s="548" t="s">
        <v>4158</v>
      </c>
      <c r="BO942" s="157" t="s">
        <v>4529</v>
      </c>
      <c r="BP942" s="548" t="s">
        <v>4530</v>
      </c>
      <c r="BQ942" s="157" t="s">
        <v>4447</v>
      </c>
      <c r="BR942" s="157"/>
    </row>
    <row r="943" spans="1:70" x14ac:dyDescent="0.25">
      <c r="A943" s="19" t="s">
        <v>3686</v>
      </c>
      <c r="B943" s="37" t="s">
        <v>3007</v>
      </c>
      <c r="C943" s="90">
        <v>45092.682708333334</v>
      </c>
      <c r="D943" s="114">
        <v>45092.432708333334</v>
      </c>
      <c r="E943" s="38">
        <v>45092</v>
      </c>
      <c r="F943" s="91">
        <v>2023</v>
      </c>
      <c r="G943" s="93">
        <v>6</v>
      </c>
      <c r="H943" s="37" t="s">
        <v>1361</v>
      </c>
      <c r="I943" s="37"/>
      <c r="J943" s="103">
        <v>-91.607167823325483</v>
      </c>
      <c r="K943" s="40">
        <v>42.821548101532102</v>
      </c>
      <c r="L943" s="74"/>
      <c r="M943" s="272" t="s">
        <v>3008</v>
      </c>
      <c r="N943" s="74">
        <v>1</v>
      </c>
      <c r="O943" s="94"/>
      <c r="P943" s="118">
        <v>1</v>
      </c>
      <c r="Q943" s="510">
        <v>180</v>
      </c>
      <c r="R943" s="513">
        <v>180</v>
      </c>
      <c r="S943" s="41"/>
      <c r="T943" s="40"/>
      <c r="U943" s="40">
        <v>9</v>
      </c>
      <c r="V943" s="119">
        <v>1</v>
      </c>
      <c r="W943" s="40">
        <v>0</v>
      </c>
      <c r="X943" s="119">
        <v>1</v>
      </c>
      <c r="Y943" s="40">
        <v>68</v>
      </c>
      <c r="Z943" s="119">
        <v>1</v>
      </c>
      <c r="AA943" s="368">
        <v>0</v>
      </c>
      <c r="AB943" s="535">
        <v>2</v>
      </c>
      <c r="AC943" s="39" t="s">
        <v>160</v>
      </c>
      <c r="AD943" s="75" t="s">
        <v>1622</v>
      </c>
      <c r="AE943" s="95">
        <v>1</v>
      </c>
      <c r="AF943" s="75">
        <v>1</v>
      </c>
      <c r="AG943" s="75">
        <v>0</v>
      </c>
      <c r="AH943" s="75">
        <v>0</v>
      </c>
      <c r="AI943" s="75">
        <v>0</v>
      </c>
      <c r="AJ943" s="75">
        <v>0</v>
      </c>
      <c r="AK943" s="75">
        <v>0</v>
      </c>
      <c r="AL943" s="95">
        <v>0</v>
      </c>
      <c r="AM943" s="92">
        <v>0</v>
      </c>
      <c r="AN943" s="79" t="s">
        <v>80</v>
      </c>
      <c r="AO943" s="75">
        <v>1</v>
      </c>
      <c r="AP943" s="75" t="s">
        <v>83</v>
      </c>
      <c r="AQ943" s="122">
        <v>1</v>
      </c>
      <c r="AR943" s="515" t="s">
        <v>10</v>
      </c>
      <c r="AS943" s="95">
        <v>0</v>
      </c>
      <c r="AT943" s="75">
        <v>0</v>
      </c>
      <c r="AU943" s="75">
        <v>0</v>
      </c>
      <c r="AV943" s="75">
        <v>0</v>
      </c>
      <c r="AW943" s="123">
        <v>0</v>
      </c>
      <c r="AX943" s="516"/>
      <c r="AY943" s="75">
        <v>0</v>
      </c>
      <c r="AZ943" s="77" t="s">
        <v>132</v>
      </c>
      <c r="BA943" s="78" t="s">
        <v>132</v>
      </c>
      <c r="BB943" s="78" t="s">
        <v>131</v>
      </c>
      <c r="BC943" s="78" t="s">
        <v>131</v>
      </c>
      <c r="BD943" s="78" t="s">
        <v>131</v>
      </c>
      <c r="BE943" s="78" t="s">
        <v>131</v>
      </c>
      <c r="BF943" s="78" t="s">
        <v>131</v>
      </c>
      <c r="BG943" s="78" t="s">
        <v>131</v>
      </c>
      <c r="BH943" s="75" t="s">
        <v>5970</v>
      </c>
      <c r="BI943" s="295" t="s">
        <v>4031</v>
      </c>
      <c r="BJ943" s="546">
        <v>1</v>
      </c>
      <c r="BK943" s="294" t="s">
        <v>16</v>
      </c>
      <c r="BL943" s="157" t="s">
        <v>16</v>
      </c>
      <c r="BM943" s="548" t="s">
        <v>1347</v>
      </c>
      <c r="BN943" s="548" t="s">
        <v>4160</v>
      </c>
      <c r="BO943" s="157" t="s">
        <v>4565</v>
      </c>
      <c r="BP943" s="548" t="s">
        <v>4567</v>
      </c>
      <c r="BQ943" s="157" t="s">
        <v>4563</v>
      </c>
      <c r="BR943" s="157"/>
    </row>
    <row r="944" spans="1:70" x14ac:dyDescent="0.25">
      <c r="A944" s="19" t="s">
        <v>3686</v>
      </c>
      <c r="B944" s="37" t="s">
        <v>3009</v>
      </c>
      <c r="C944" s="90">
        <v>45092.667291666665</v>
      </c>
      <c r="D944" s="114">
        <v>45092.417291666665</v>
      </c>
      <c r="E944" s="38">
        <v>45092</v>
      </c>
      <c r="F944" s="91">
        <v>2023</v>
      </c>
      <c r="G944" s="93">
        <v>6</v>
      </c>
      <c r="H944" s="37" t="s">
        <v>1361</v>
      </c>
      <c r="I944" s="37"/>
      <c r="J944" s="103">
        <v>-91.576925916682526</v>
      </c>
      <c r="K944" s="40">
        <v>42.817925778257489</v>
      </c>
      <c r="L944" s="74"/>
      <c r="M944" s="272" t="s">
        <v>3010</v>
      </c>
      <c r="N944" s="74">
        <v>1</v>
      </c>
      <c r="O944" s="94"/>
      <c r="P944" s="118">
        <v>1</v>
      </c>
      <c r="Q944" s="510">
        <v>180</v>
      </c>
      <c r="R944" s="513">
        <v>180</v>
      </c>
      <c r="S944" s="41"/>
      <c r="T944" s="40"/>
      <c r="U944" s="40">
        <v>8</v>
      </c>
      <c r="V944" s="119">
        <v>1</v>
      </c>
      <c r="W944" s="40">
        <v>0</v>
      </c>
      <c r="X944" s="119">
        <v>1</v>
      </c>
      <c r="Y944" s="40">
        <v>65</v>
      </c>
      <c r="Z944" s="119">
        <v>1</v>
      </c>
      <c r="AA944" s="368">
        <v>0</v>
      </c>
      <c r="AB944" s="535">
        <v>5</v>
      </c>
      <c r="AC944" s="39" t="s">
        <v>160</v>
      </c>
      <c r="AD944" s="75" t="s">
        <v>8</v>
      </c>
      <c r="AE944" s="95">
        <v>0</v>
      </c>
      <c r="AF944" s="75">
        <v>1</v>
      </c>
      <c r="AG944" s="75">
        <v>0</v>
      </c>
      <c r="AH944" s="75">
        <v>0</v>
      </c>
      <c r="AI944" s="75">
        <v>0</v>
      </c>
      <c r="AJ944" s="75">
        <v>0</v>
      </c>
      <c r="AK944" s="75">
        <v>0</v>
      </c>
      <c r="AL944" s="95">
        <v>0</v>
      </c>
      <c r="AM944" s="92">
        <v>0</v>
      </c>
      <c r="AN944" s="79" t="s">
        <v>80</v>
      </c>
      <c r="AO944" s="75">
        <v>1</v>
      </c>
      <c r="AP944" s="75" t="s">
        <v>83</v>
      </c>
      <c r="AQ944" s="122">
        <v>1</v>
      </c>
      <c r="AR944" s="515" t="s">
        <v>10</v>
      </c>
      <c r="AS944" s="95">
        <v>0</v>
      </c>
      <c r="AT944" s="75">
        <v>0</v>
      </c>
      <c r="AU944" s="75">
        <v>0</v>
      </c>
      <c r="AV944" s="75">
        <v>0</v>
      </c>
      <c r="AW944" s="123">
        <v>0</v>
      </c>
      <c r="AX944" s="516"/>
      <c r="AY944" s="75">
        <v>0</v>
      </c>
      <c r="AZ944" s="77" t="s">
        <v>131</v>
      </c>
      <c r="BA944" s="78" t="s">
        <v>132</v>
      </c>
      <c r="BB944" s="78" t="s">
        <v>131</v>
      </c>
      <c r="BC944" s="78" t="s">
        <v>131</v>
      </c>
      <c r="BD944" s="78" t="s">
        <v>131</v>
      </c>
      <c r="BE944" s="78" t="s">
        <v>131</v>
      </c>
      <c r="BF944" s="78" t="s">
        <v>131</v>
      </c>
      <c r="BG944" s="78" t="s">
        <v>131</v>
      </c>
      <c r="BH944" s="75" t="s">
        <v>5970</v>
      </c>
      <c r="BI944" s="295" t="s">
        <v>2284</v>
      </c>
      <c r="BJ944" s="546">
        <v>1</v>
      </c>
      <c r="BK944" s="294" t="s">
        <v>16</v>
      </c>
      <c r="BL944" s="157" t="s">
        <v>16</v>
      </c>
      <c r="BM944" s="548" t="s">
        <v>1347</v>
      </c>
      <c r="BN944" s="548" t="s">
        <v>4160</v>
      </c>
      <c r="BO944" s="157" t="s">
        <v>4565</v>
      </c>
      <c r="BP944" s="548" t="s">
        <v>4567</v>
      </c>
      <c r="BQ944" s="157" t="s">
        <v>4563</v>
      </c>
      <c r="BR944" s="157"/>
    </row>
    <row r="945" spans="1:70" x14ac:dyDescent="0.25">
      <c r="A945" s="19" t="s">
        <v>3686</v>
      </c>
      <c r="B945" s="37" t="s">
        <v>3011</v>
      </c>
      <c r="C945" s="90">
        <v>45092.66138888889</v>
      </c>
      <c r="D945" s="114">
        <v>45092.41138888889</v>
      </c>
      <c r="E945" s="38">
        <v>45092</v>
      </c>
      <c r="F945" s="91">
        <v>2023</v>
      </c>
      <c r="G945" s="93">
        <v>6</v>
      </c>
      <c r="H945" s="37" t="s">
        <v>2654</v>
      </c>
      <c r="I945" s="37"/>
      <c r="J945" s="103">
        <v>-91.263990899999996</v>
      </c>
      <c r="K945" s="40">
        <v>44.226029799999999</v>
      </c>
      <c r="L945" s="74"/>
      <c r="M945" s="272" t="s">
        <v>3012</v>
      </c>
      <c r="N945" s="74">
        <v>1</v>
      </c>
      <c r="O945" s="94"/>
      <c r="P945" s="118">
        <v>1</v>
      </c>
      <c r="Q945" s="510">
        <v>40</v>
      </c>
      <c r="R945" s="513">
        <v>120</v>
      </c>
      <c r="S945" s="41"/>
      <c r="T945" s="40"/>
      <c r="U945" s="40">
        <v>7</v>
      </c>
      <c r="V945" s="119">
        <v>1</v>
      </c>
      <c r="W945" s="40">
        <v>200</v>
      </c>
      <c r="X945" s="119">
        <v>1</v>
      </c>
      <c r="Y945" s="40">
        <v>54</v>
      </c>
      <c r="Z945" s="119">
        <v>1</v>
      </c>
      <c r="AA945" s="368">
        <v>0</v>
      </c>
      <c r="AB945" s="535">
        <v>0</v>
      </c>
      <c r="AC945" s="39" t="s">
        <v>160</v>
      </c>
      <c r="AD945" s="75" t="s">
        <v>10</v>
      </c>
      <c r="AE945" s="95">
        <v>0</v>
      </c>
      <c r="AF945" s="75">
        <v>0</v>
      </c>
      <c r="AG945" s="75">
        <v>0</v>
      </c>
      <c r="AH945" s="75">
        <v>0</v>
      </c>
      <c r="AI945" s="75">
        <v>0</v>
      </c>
      <c r="AJ945" s="75">
        <v>0</v>
      </c>
      <c r="AK945" s="75">
        <v>0</v>
      </c>
      <c r="AL945" s="95">
        <v>1</v>
      </c>
      <c r="AM945" s="92">
        <v>0</v>
      </c>
      <c r="AN945" s="79" t="s">
        <v>80</v>
      </c>
      <c r="AO945" s="75">
        <v>1</v>
      </c>
      <c r="AP945" s="75" t="s">
        <v>83</v>
      </c>
      <c r="AQ945" s="122">
        <v>1</v>
      </c>
      <c r="AR945" s="515" t="s">
        <v>10</v>
      </c>
      <c r="AS945" s="95">
        <v>0</v>
      </c>
      <c r="AT945" s="75">
        <v>0</v>
      </c>
      <c r="AU945" s="75">
        <v>0</v>
      </c>
      <c r="AV945" s="75">
        <v>0</v>
      </c>
      <c r="AW945" s="123">
        <v>0</v>
      </c>
      <c r="AX945" s="516"/>
      <c r="AY945" s="75">
        <v>0</v>
      </c>
      <c r="AZ945" s="77" t="s">
        <v>131</v>
      </c>
      <c r="BA945" s="78" t="s">
        <v>131</v>
      </c>
      <c r="BB945" s="78" t="s">
        <v>131</v>
      </c>
      <c r="BC945" s="78" t="s">
        <v>131</v>
      </c>
      <c r="BD945" s="78" t="s">
        <v>131</v>
      </c>
      <c r="BE945" s="78" t="s">
        <v>131</v>
      </c>
      <c r="BF945" s="78" t="s">
        <v>131</v>
      </c>
      <c r="BG945" s="78" t="s">
        <v>132</v>
      </c>
      <c r="BH945" s="75" t="s">
        <v>5970</v>
      </c>
      <c r="BI945" s="295">
        <v>0</v>
      </c>
      <c r="BJ945" s="546" t="s">
        <v>16</v>
      </c>
      <c r="BK945" s="294" t="s">
        <v>16</v>
      </c>
      <c r="BL945" s="157" t="s">
        <v>16</v>
      </c>
      <c r="BM945" s="548" t="s">
        <v>1340</v>
      </c>
      <c r="BN945" s="548" t="s">
        <v>4158</v>
      </c>
      <c r="BO945" s="157" t="s">
        <v>4529</v>
      </c>
      <c r="BP945" s="548" t="s">
        <v>4530</v>
      </c>
      <c r="BQ945" s="157" t="s">
        <v>4447</v>
      </c>
      <c r="BR945" s="157"/>
    </row>
    <row r="946" spans="1:70" x14ac:dyDescent="0.25">
      <c r="A946" s="19" t="s">
        <v>3686</v>
      </c>
      <c r="B946" s="37" t="s">
        <v>3013</v>
      </c>
      <c r="C946" s="90">
        <v>45092.639722222222</v>
      </c>
      <c r="D946" s="114">
        <v>45092.389722222222</v>
      </c>
      <c r="E946" s="38">
        <v>45092</v>
      </c>
      <c r="F946" s="91">
        <v>2023</v>
      </c>
      <c r="G946" s="93">
        <v>6</v>
      </c>
      <c r="H946" s="37" t="s">
        <v>1361</v>
      </c>
      <c r="I946" s="37"/>
      <c r="J946" s="103">
        <v>-91.590938530947625</v>
      </c>
      <c r="K946" s="40">
        <v>42.780261905903721</v>
      </c>
      <c r="L946" s="74"/>
      <c r="M946" s="272" t="s">
        <v>3014</v>
      </c>
      <c r="N946" s="74">
        <v>1</v>
      </c>
      <c r="O946" s="94"/>
      <c r="P946" s="118">
        <v>1</v>
      </c>
      <c r="Q946" s="510">
        <v>180</v>
      </c>
      <c r="R946" s="513">
        <v>30</v>
      </c>
      <c r="S946" s="41"/>
      <c r="T946" s="40"/>
      <c r="U946" s="40">
        <v>8</v>
      </c>
      <c r="V946" s="119">
        <v>1</v>
      </c>
      <c r="W946" s="40">
        <v>0</v>
      </c>
      <c r="X946" s="119">
        <v>1</v>
      </c>
      <c r="Y946" s="40">
        <v>59</v>
      </c>
      <c r="Z946" s="119">
        <v>1</v>
      </c>
      <c r="AA946" s="368">
        <v>0</v>
      </c>
      <c r="AB946" s="535">
        <v>2</v>
      </c>
      <c r="AC946" s="39" t="s">
        <v>160</v>
      </c>
      <c r="AD946" s="75" t="s">
        <v>3015</v>
      </c>
      <c r="AE946" s="95">
        <v>1</v>
      </c>
      <c r="AF946" s="75">
        <v>1</v>
      </c>
      <c r="AG946" s="75">
        <v>0</v>
      </c>
      <c r="AH946" s="75">
        <v>0</v>
      </c>
      <c r="AI946" s="75">
        <v>1</v>
      </c>
      <c r="AJ946" s="75">
        <v>0</v>
      </c>
      <c r="AK946" s="75">
        <v>0</v>
      </c>
      <c r="AL946" s="95">
        <v>0</v>
      </c>
      <c r="AM946" s="92">
        <v>0</v>
      </c>
      <c r="AN946" s="79" t="s">
        <v>80</v>
      </c>
      <c r="AO946" s="75">
        <v>1</v>
      </c>
      <c r="AP946" s="75" t="s">
        <v>83</v>
      </c>
      <c r="AQ946" s="122">
        <v>1</v>
      </c>
      <c r="AR946" s="515" t="s">
        <v>10</v>
      </c>
      <c r="AS946" s="95">
        <v>0</v>
      </c>
      <c r="AT946" s="75">
        <v>0</v>
      </c>
      <c r="AU946" s="75">
        <v>0</v>
      </c>
      <c r="AV946" s="75">
        <v>0</v>
      </c>
      <c r="AW946" s="123">
        <v>0</v>
      </c>
      <c r="AX946" s="516"/>
      <c r="AY946" s="75">
        <v>0</v>
      </c>
      <c r="AZ946" s="77" t="s">
        <v>132</v>
      </c>
      <c r="BA946" s="78" t="s">
        <v>132</v>
      </c>
      <c r="BB946" s="78" t="s">
        <v>131</v>
      </c>
      <c r="BC946" s="78" t="s">
        <v>131</v>
      </c>
      <c r="BD946" s="78" t="s">
        <v>132</v>
      </c>
      <c r="BE946" s="78" t="s">
        <v>131</v>
      </c>
      <c r="BF946" s="78" t="s">
        <v>131</v>
      </c>
      <c r="BG946" s="78" t="s">
        <v>131</v>
      </c>
      <c r="BH946" s="75" t="s">
        <v>5970</v>
      </c>
      <c r="BI946" s="295" t="s">
        <v>4034</v>
      </c>
      <c r="BJ946" s="546" t="s">
        <v>16</v>
      </c>
      <c r="BK946" s="294" t="s">
        <v>16</v>
      </c>
      <c r="BL946" s="157" t="s">
        <v>16</v>
      </c>
      <c r="BM946" s="548" t="s">
        <v>1348</v>
      </c>
      <c r="BN946" s="548" t="s">
        <v>4160</v>
      </c>
      <c r="BO946" s="157" t="s">
        <v>4565</v>
      </c>
      <c r="BP946" s="548" t="s">
        <v>4567</v>
      </c>
      <c r="BQ946" s="157" t="s">
        <v>4563</v>
      </c>
      <c r="BR946" s="157"/>
    </row>
    <row r="947" spans="1:70" x14ac:dyDescent="0.25">
      <c r="A947" s="19" t="s">
        <v>3686</v>
      </c>
      <c r="B947" s="37" t="s">
        <v>3016</v>
      </c>
      <c r="C947" s="90">
        <v>45092.629513888889</v>
      </c>
      <c r="D947" s="114">
        <v>45092.379513888889</v>
      </c>
      <c r="E947" s="38">
        <v>45092</v>
      </c>
      <c r="F947" s="91">
        <v>2023</v>
      </c>
      <c r="G947" s="93">
        <v>6</v>
      </c>
      <c r="H947" s="37" t="s">
        <v>2654</v>
      </c>
      <c r="I947" s="37"/>
      <c r="J947" s="103">
        <v>-91.255153899999996</v>
      </c>
      <c r="K947" s="40">
        <v>44.226560599999999</v>
      </c>
      <c r="L947" s="74"/>
      <c r="M947" s="272" t="s">
        <v>3017</v>
      </c>
      <c r="N947" s="74">
        <v>1</v>
      </c>
      <c r="O947" s="94"/>
      <c r="P947" s="118">
        <v>1</v>
      </c>
      <c r="Q947" s="510">
        <v>40</v>
      </c>
      <c r="R947" s="513">
        <v>120</v>
      </c>
      <c r="S947" s="41"/>
      <c r="T947" s="40"/>
      <c r="U947" s="40">
        <v>7</v>
      </c>
      <c r="V947" s="119">
        <v>1</v>
      </c>
      <c r="W947" s="40">
        <v>200</v>
      </c>
      <c r="X947" s="119">
        <v>1</v>
      </c>
      <c r="Y947" s="40">
        <v>54</v>
      </c>
      <c r="Z947" s="119">
        <v>1</v>
      </c>
      <c r="AA947" s="368">
        <v>0</v>
      </c>
      <c r="AB947" s="535">
        <v>0</v>
      </c>
      <c r="AC947" s="39" t="s">
        <v>160</v>
      </c>
      <c r="AD947" s="75" t="s">
        <v>10</v>
      </c>
      <c r="AE947" s="95">
        <v>0</v>
      </c>
      <c r="AF947" s="75">
        <v>0</v>
      </c>
      <c r="AG947" s="75">
        <v>0</v>
      </c>
      <c r="AH947" s="75">
        <v>0</v>
      </c>
      <c r="AI947" s="75">
        <v>0</v>
      </c>
      <c r="AJ947" s="75">
        <v>0</v>
      </c>
      <c r="AK947" s="75">
        <v>0</v>
      </c>
      <c r="AL947" s="95">
        <v>1</v>
      </c>
      <c r="AM947" s="92">
        <v>0</v>
      </c>
      <c r="AN947" s="79" t="s">
        <v>80</v>
      </c>
      <c r="AO947" s="75">
        <v>1</v>
      </c>
      <c r="AP947" s="75" t="s">
        <v>83</v>
      </c>
      <c r="AQ947" s="122">
        <v>1</v>
      </c>
      <c r="AR947" s="515" t="s">
        <v>10</v>
      </c>
      <c r="AS947" s="95">
        <v>0</v>
      </c>
      <c r="AT947" s="75">
        <v>0</v>
      </c>
      <c r="AU947" s="75">
        <v>0</v>
      </c>
      <c r="AV947" s="75">
        <v>0</v>
      </c>
      <c r="AW947" s="123">
        <v>0</v>
      </c>
      <c r="AX947" s="516"/>
      <c r="AY947" s="75">
        <v>0</v>
      </c>
      <c r="AZ947" s="77" t="s">
        <v>131</v>
      </c>
      <c r="BA947" s="78" t="s">
        <v>131</v>
      </c>
      <c r="BB947" s="78" t="s">
        <v>131</v>
      </c>
      <c r="BC947" s="78" t="s">
        <v>131</v>
      </c>
      <c r="BD947" s="78" t="s">
        <v>131</v>
      </c>
      <c r="BE947" s="78" t="s">
        <v>131</v>
      </c>
      <c r="BF947" s="78" t="s">
        <v>131</v>
      </c>
      <c r="BG947" s="78" t="s">
        <v>132</v>
      </c>
      <c r="BH947" s="75" t="s">
        <v>5970</v>
      </c>
      <c r="BI947" s="295">
        <v>0</v>
      </c>
      <c r="BJ947" s="546">
        <v>1</v>
      </c>
      <c r="BK947" s="294" t="s">
        <v>16</v>
      </c>
      <c r="BL947" s="157" t="s">
        <v>16</v>
      </c>
      <c r="BM947" s="548" t="s">
        <v>1340</v>
      </c>
      <c r="BN947" s="548" t="s">
        <v>4158</v>
      </c>
      <c r="BO947" s="157" t="s">
        <v>4529</v>
      </c>
      <c r="BP947" s="548" t="s">
        <v>4530</v>
      </c>
      <c r="BQ947" s="157" t="s">
        <v>4447</v>
      </c>
      <c r="BR947" s="157"/>
    </row>
    <row r="948" spans="1:70" x14ac:dyDescent="0.25">
      <c r="A948" s="19" t="s">
        <v>3686</v>
      </c>
      <c r="B948" s="37" t="s">
        <v>3018</v>
      </c>
      <c r="C948" s="90">
        <v>45092.625115740739</v>
      </c>
      <c r="D948" s="114">
        <v>45092.375115740739</v>
      </c>
      <c r="E948" s="38">
        <v>45092</v>
      </c>
      <c r="F948" s="91">
        <v>2023</v>
      </c>
      <c r="G948" s="93">
        <v>6</v>
      </c>
      <c r="H948" s="37" t="s">
        <v>1361</v>
      </c>
      <c r="I948" s="37"/>
      <c r="J948" s="103">
        <v>-91.557099027644441</v>
      </c>
      <c r="K948" s="40">
        <v>42.792537873650708</v>
      </c>
      <c r="L948" s="74"/>
      <c r="M948" s="272" t="s">
        <v>3019</v>
      </c>
      <c r="N948" s="74">
        <v>1</v>
      </c>
      <c r="O948" s="94"/>
      <c r="P948" s="118">
        <v>1</v>
      </c>
      <c r="Q948" s="510">
        <v>180</v>
      </c>
      <c r="R948" s="513">
        <v>180</v>
      </c>
      <c r="S948" s="41"/>
      <c r="T948" s="40"/>
      <c r="U948" s="40">
        <v>8</v>
      </c>
      <c r="V948" s="119">
        <v>1</v>
      </c>
      <c r="W948" s="40">
        <v>0</v>
      </c>
      <c r="X948" s="119">
        <v>1</v>
      </c>
      <c r="Y948" s="40">
        <v>63</v>
      </c>
      <c r="Z948" s="119">
        <v>1</v>
      </c>
      <c r="AA948" s="368">
        <v>0</v>
      </c>
      <c r="AB948" s="535">
        <v>2</v>
      </c>
      <c r="AC948" s="39" t="s">
        <v>160</v>
      </c>
      <c r="AD948" s="75" t="s">
        <v>8</v>
      </c>
      <c r="AE948" s="95">
        <v>0</v>
      </c>
      <c r="AF948" s="75">
        <v>1</v>
      </c>
      <c r="AG948" s="75">
        <v>0</v>
      </c>
      <c r="AH948" s="75">
        <v>0</v>
      </c>
      <c r="AI948" s="75">
        <v>0</v>
      </c>
      <c r="AJ948" s="75">
        <v>0</v>
      </c>
      <c r="AK948" s="75">
        <v>0</v>
      </c>
      <c r="AL948" s="95">
        <v>0</v>
      </c>
      <c r="AM948" s="92">
        <v>0</v>
      </c>
      <c r="AN948" s="79" t="s">
        <v>80</v>
      </c>
      <c r="AO948" s="75">
        <v>1</v>
      </c>
      <c r="AP948" s="75" t="s">
        <v>84</v>
      </c>
      <c r="AQ948" s="122">
        <v>1</v>
      </c>
      <c r="AR948" s="515" t="s">
        <v>10</v>
      </c>
      <c r="AS948" s="95">
        <v>0</v>
      </c>
      <c r="AT948" s="75">
        <v>0</v>
      </c>
      <c r="AU948" s="75">
        <v>0</v>
      </c>
      <c r="AV948" s="75">
        <v>0</v>
      </c>
      <c r="AW948" s="123">
        <v>0</v>
      </c>
      <c r="AX948" s="516"/>
      <c r="AY948" s="75">
        <v>0</v>
      </c>
      <c r="AZ948" s="77" t="s">
        <v>131</v>
      </c>
      <c r="BA948" s="78" t="s">
        <v>132</v>
      </c>
      <c r="BB948" s="78" t="s">
        <v>131</v>
      </c>
      <c r="BC948" s="78" t="s">
        <v>131</v>
      </c>
      <c r="BD948" s="78" t="s">
        <v>131</v>
      </c>
      <c r="BE948" s="78" t="s">
        <v>131</v>
      </c>
      <c r="BF948" s="78" t="s">
        <v>131</v>
      </c>
      <c r="BG948" s="78" t="s">
        <v>131</v>
      </c>
      <c r="BH948" s="75" t="s">
        <v>5970</v>
      </c>
      <c r="BI948" s="295" t="s">
        <v>4034</v>
      </c>
      <c r="BJ948" s="546">
        <v>1</v>
      </c>
      <c r="BK948" s="294" t="s">
        <v>16</v>
      </c>
      <c r="BL948" s="157" t="s">
        <v>16</v>
      </c>
      <c r="BM948" s="548" t="s">
        <v>1347</v>
      </c>
      <c r="BN948" s="548" t="s">
        <v>4160</v>
      </c>
      <c r="BO948" s="157" t="s">
        <v>4565</v>
      </c>
      <c r="BP948" s="548" t="s">
        <v>4567</v>
      </c>
      <c r="BQ948" s="157" t="s">
        <v>4563</v>
      </c>
      <c r="BR948" s="157"/>
    </row>
    <row r="949" spans="1:70" x14ac:dyDescent="0.25">
      <c r="A949" s="19" t="s">
        <v>3686</v>
      </c>
      <c r="B949" s="37" t="s">
        <v>3020</v>
      </c>
      <c r="C949" s="90">
        <v>45092.598495370374</v>
      </c>
      <c r="D949" s="114">
        <v>45092.348495370374</v>
      </c>
      <c r="E949" s="38">
        <v>45092</v>
      </c>
      <c r="F949" s="91">
        <v>2023</v>
      </c>
      <c r="G949" s="93">
        <v>6</v>
      </c>
      <c r="H949" s="37" t="s">
        <v>1361</v>
      </c>
      <c r="I949" s="37"/>
      <c r="J949" s="103">
        <v>-91.561912670816795</v>
      </c>
      <c r="K949" s="40">
        <v>42.757020983884814</v>
      </c>
      <c r="L949" s="74"/>
      <c r="M949" s="272" t="s">
        <v>3021</v>
      </c>
      <c r="N949" s="74">
        <v>1</v>
      </c>
      <c r="O949" s="94"/>
      <c r="P949" s="118">
        <v>1</v>
      </c>
      <c r="Q949" s="510">
        <v>180</v>
      </c>
      <c r="R949" s="513">
        <v>120</v>
      </c>
      <c r="S949" s="41"/>
      <c r="T949" s="40"/>
      <c r="U949" s="40">
        <v>8</v>
      </c>
      <c r="V949" s="119">
        <v>1</v>
      </c>
      <c r="W949" s="40">
        <v>0</v>
      </c>
      <c r="X949" s="119">
        <v>1</v>
      </c>
      <c r="Y949" s="40">
        <v>56</v>
      </c>
      <c r="Z949" s="119">
        <v>1</v>
      </c>
      <c r="AA949" s="368">
        <v>0</v>
      </c>
      <c r="AB949" s="535">
        <v>10</v>
      </c>
      <c r="AC949" s="39" t="s">
        <v>160</v>
      </c>
      <c r="AD949" s="75" t="s">
        <v>8</v>
      </c>
      <c r="AE949" s="95">
        <v>0</v>
      </c>
      <c r="AF949" s="75">
        <v>1</v>
      </c>
      <c r="AG949" s="75">
        <v>0</v>
      </c>
      <c r="AH949" s="75">
        <v>0</v>
      </c>
      <c r="AI949" s="75">
        <v>0</v>
      </c>
      <c r="AJ949" s="75">
        <v>0</v>
      </c>
      <c r="AK949" s="75">
        <v>0</v>
      </c>
      <c r="AL949" s="95">
        <v>0</v>
      </c>
      <c r="AM949" s="92">
        <v>0</v>
      </c>
      <c r="AN949" s="79" t="s">
        <v>80</v>
      </c>
      <c r="AO949" s="75">
        <v>1</v>
      </c>
      <c r="AP949" s="75" t="s">
        <v>83</v>
      </c>
      <c r="AQ949" s="122">
        <v>1</v>
      </c>
      <c r="AR949" s="515" t="s">
        <v>10</v>
      </c>
      <c r="AS949" s="95">
        <v>0</v>
      </c>
      <c r="AT949" s="75">
        <v>0</v>
      </c>
      <c r="AU949" s="75">
        <v>0</v>
      </c>
      <c r="AV949" s="75">
        <v>0</v>
      </c>
      <c r="AW949" s="123">
        <v>0</v>
      </c>
      <c r="AX949" s="516"/>
      <c r="AY949" s="75">
        <v>0</v>
      </c>
      <c r="AZ949" s="77" t="s">
        <v>131</v>
      </c>
      <c r="BA949" s="78" t="s">
        <v>132</v>
      </c>
      <c r="BB949" s="78" t="s">
        <v>131</v>
      </c>
      <c r="BC949" s="78" t="s">
        <v>131</v>
      </c>
      <c r="BD949" s="78" t="s">
        <v>131</v>
      </c>
      <c r="BE949" s="78" t="s">
        <v>131</v>
      </c>
      <c r="BF949" s="78" t="s">
        <v>131</v>
      </c>
      <c r="BG949" s="78" t="s">
        <v>131</v>
      </c>
      <c r="BH949" s="75" t="s">
        <v>5970</v>
      </c>
      <c r="BI949" s="295" t="s">
        <v>16</v>
      </c>
      <c r="BJ949" s="546">
        <v>1</v>
      </c>
      <c r="BK949" s="294" t="s">
        <v>16</v>
      </c>
      <c r="BL949" s="157" t="s">
        <v>16</v>
      </c>
      <c r="BM949" s="548" t="s">
        <v>1347</v>
      </c>
      <c r="BN949" s="548" t="s">
        <v>4160</v>
      </c>
      <c r="BO949" s="157" t="s">
        <v>4568</v>
      </c>
      <c r="BP949" s="548" t="s">
        <v>4036</v>
      </c>
      <c r="BQ949" s="157" t="s">
        <v>4563</v>
      </c>
      <c r="BR949" s="157"/>
    </row>
    <row r="950" spans="1:70" x14ac:dyDescent="0.25">
      <c r="A950" s="19" t="s">
        <v>3686</v>
      </c>
      <c r="B950" s="37" t="s">
        <v>3022</v>
      </c>
      <c r="C950" s="90">
        <v>45092.583032407405</v>
      </c>
      <c r="D950" s="114">
        <v>45092.333032407405</v>
      </c>
      <c r="E950" s="38">
        <v>45092</v>
      </c>
      <c r="F950" s="91">
        <v>2023</v>
      </c>
      <c r="G950" s="93">
        <v>6</v>
      </c>
      <c r="H950" s="37" t="s">
        <v>2654</v>
      </c>
      <c r="I950" s="37"/>
      <c r="J950" s="103">
        <v>-91.239714300000003</v>
      </c>
      <c r="K950" s="40">
        <v>44.210431</v>
      </c>
      <c r="L950" s="74"/>
      <c r="M950" s="272" t="s">
        <v>3023</v>
      </c>
      <c r="N950" s="74">
        <v>1</v>
      </c>
      <c r="O950" s="94"/>
      <c r="P950" s="118">
        <v>1</v>
      </c>
      <c r="Q950" s="510">
        <v>80</v>
      </c>
      <c r="R950" s="513">
        <v>60</v>
      </c>
      <c r="S950" s="41"/>
      <c r="T950" s="40"/>
      <c r="U950" s="40">
        <v>7</v>
      </c>
      <c r="V950" s="119">
        <v>1</v>
      </c>
      <c r="W950" s="40">
        <v>300</v>
      </c>
      <c r="X950" s="119">
        <v>1</v>
      </c>
      <c r="Y950" s="40">
        <v>53</v>
      </c>
      <c r="Z950" s="119">
        <v>1</v>
      </c>
      <c r="AA950" s="368">
        <v>0</v>
      </c>
      <c r="AB950" s="535">
        <v>0</v>
      </c>
      <c r="AC950" s="39" t="s">
        <v>160</v>
      </c>
      <c r="AD950" s="75" t="s">
        <v>10</v>
      </c>
      <c r="AE950" s="95">
        <v>0</v>
      </c>
      <c r="AF950" s="75">
        <v>0</v>
      </c>
      <c r="AG950" s="75">
        <v>0</v>
      </c>
      <c r="AH950" s="75">
        <v>0</v>
      </c>
      <c r="AI950" s="75">
        <v>0</v>
      </c>
      <c r="AJ950" s="75">
        <v>0</v>
      </c>
      <c r="AK950" s="75">
        <v>0</v>
      </c>
      <c r="AL950" s="95">
        <v>1</v>
      </c>
      <c r="AM950" s="92">
        <v>0</v>
      </c>
      <c r="AN950" s="79" t="s">
        <v>80</v>
      </c>
      <c r="AO950" s="75">
        <v>1</v>
      </c>
      <c r="AP950" s="75" t="s">
        <v>83</v>
      </c>
      <c r="AQ950" s="122">
        <v>1</v>
      </c>
      <c r="AR950" s="515" t="s">
        <v>10</v>
      </c>
      <c r="AS950" s="95">
        <v>0</v>
      </c>
      <c r="AT950" s="75">
        <v>0</v>
      </c>
      <c r="AU950" s="75">
        <v>0</v>
      </c>
      <c r="AV950" s="75">
        <v>0</v>
      </c>
      <c r="AW950" s="123">
        <v>0</v>
      </c>
      <c r="AX950" s="516"/>
      <c r="AY950" s="75">
        <v>0</v>
      </c>
      <c r="AZ950" s="77" t="s">
        <v>131</v>
      </c>
      <c r="BA950" s="78" t="s">
        <v>131</v>
      </c>
      <c r="BB950" s="78" t="s">
        <v>131</v>
      </c>
      <c r="BC950" s="78" t="s">
        <v>131</v>
      </c>
      <c r="BD950" s="78" t="s">
        <v>131</v>
      </c>
      <c r="BE950" s="78" t="s">
        <v>131</v>
      </c>
      <c r="BF950" s="78" t="s">
        <v>131</v>
      </c>
      <c r="BG950" s="78" t="s">
        <v>132</v>
      </c>
      <c r="BH950" s="75" t="s">
        <v>5970</v>
      </c>
      <c r="BI950" s="295" t="s">
        <v>2260</v>
      </c>
      <c r="BJ950" s="546">
        <v>1</v>
      </c>
      <c r="BK950" s="294">
        <v>1</v>
      </c>
      <c r="BL950" s="157">
        <v>1</v>
      </c>
      <c r="BM950" s="548" t="s">
        <v>1340</v>
      </c>
      <c r="BN950" s="548" t="s">
        <v>4158</v>
      </c>
      <c r="BO950" s="157" t="s">
        <v>4529</v>
      </c>
      <c r="BP950" s="548" t="s">
        <v>4530</v>
      </c>
      <c r="BQ950" s="157" t="s">
        <v>4447</v>
      </c>
      <c r="BR950" s="157"/>
    </row>
    <row r="951" spans="1:70" x14ac:dyDescent="0.25">
      <c r="A951" s="19" t="s">
        <v>3686</v>
      </c>
      <c r="B951" s="37" t="s">
        <v>3024</v>
      </c>
      <c r="C951" s="90">
        <v>45091.89875</v>
      </c>
      <c r="D951" s="114">
        <v>45091.64875</v>
      </c>
      <c r="E951" s="38">
        <v>45091</v>
      </c>
      <c r="F951" s="91">
        <v>2023</v>
      </c>
      <c r="G951" s="93">
        <v>6</v>
      </c>
      <c r="H951" s="37" t="s">
        <v>2654</v>
      </c>
      <c r="I951" s="37"/>
      <c r="J951" s="103">
        <v>-91.2544659</v>
      </c>
      <c r="K951" s="40">
        <v>44.200283300000002</v>
      </c>
      <c r="L951" s="74"/>
      <c r="M951" s="272" t="s">
        <v>3025</v>
      </c>
      <c r="N951" s="74">
        <v>1</v>
      </c>
      <c r="O951" s="94"/>
      <c r="P951" s="118">
        <v>1</v>
      </c>
      <c r="Q951" s="510">
        <v>40</v>
      </c>
      <c r="R951" s="513">
        <v>60</v>
      </c>
      <c r="S951" s="41"/>
      <c r="T951" s="40"/>
      <c r="U951" s="40">
        <v>7</v>
      </c>
      <c r="V951" s="119">
        <v>0</v>
      </c>
      <c r="W951" s="40"/>
      <c r="X951" s="119">
        <v>1</v>
      </c>
      <c r="Y951" s="40">
        <v>61</v>
      </c>
      <c r="Z951" s="119">
        <v>1</v>
      </c>
      <c r="AA951" s="368">
        <v>0</v>
      </c>
      <c r="AB951" s="535">
        <v>2</v>
      </c>
      <c r="AC951" s="39" t="s">
        <v>160</v>
      </c>
      <c r="AD951" s="75" t="s">
        <v>7</v>
      </c>
      <c r="AE951" s="95">
        <v>1</v>
      </c>
      <c r="AF951" s="75">
        <v>0</v>
      </c>
      <c r="AG951" s="75">
        <v>0</v>
      </c>
      <c r="AH951" s="75">
        <v>0</v>
      </c>
      <c r="AI951" s="75">
        <v>0</v>
      </c>
      <c r="AJ951" s="75">
        <v>0</v>
      </c>
      <c r="AK951" s="75">
        <v>0</v>
      </c>
      <c r="AL951" s="95">
        <v>0</v>
      </c>
      <c r="AM951" s="92">
        <v>0</v>
      </c>
      <c r="AN951" s="79" t="s">
        <v>80</v>
      </c>
      <c r="AO951" s="75">
        <v>1</v>
      </c>
      <c r="AP951" s="75" t="s">
        <v>83</v>
      </c>
      <c r="AQ951" s="122">
        <v>1</v>
      </c>
      <c r="AR951" s="515" t="s">
        <v>10</v>
      </c>
      <c r="AS951" s="95">
        <v>0</v>
      </c>
      <c r="AT951" s="75">
        <v>0</v>
      </c>
      <c r="AU951" s="75">
        <v>0</v>
      </c>
      <c r="AV951" s="75">
        <v>0</v>
      </c>
      <c r="AW951" s="123">
        <v>0</v>
      </c>
      <c r="AX951" s="516"/>
      <c r="AY951" s="75">
        <v>0</v>
      </c>
      <c r="AZ951" s="77" t="s">
        <v>132</v>
      </c>
      <c r="BA951" s="78" t="s">
        <v>131</v>
      </c>
      <c r="BB951" s="78" t="s">
        <v>131</v>
      </c>
      <c r="BC951" s="78" t="s">
        <v>131</v>
      </c>
      <c r="BD951" s="78" t="s">
        <v>131</v>
      </c>
      <c r="BE951" s="78" t="s">
        <v>131</v>
      </c>
      <c r="BF951" s="78" t="s">
        <v>131</v>
      </c>
      <c r="BG951" s="78" t="s">
        <v>131</v>
      </c>
      <c r="BH951" s="75" t="s">
        <v>5970</v>
      </c>
      <c r="BI951" s="295">
        <v>0</v>
      </c>
      <c r="BJ951" s="546" t="s">
        <v>16</v>
      </c>
      <c r="BK951" s="294" t="s">
        <v>16</v>
      </c>
      <c r="BL951" s="157" t="s">
        <v>16</v>
      </c>
      <c r="BM951" s="548" t="s">
        <v>1340</v>
      </c>
      <c r="BN951" s="548" t="s">
        <v>4158</v>
      </c>
      <c r="BO951" s="157" t="s">
        <v>4529</v>
      </c>
      <c r="BP951" s="548" t="s">
        <v>4530</v>
      </c>
      <c r="BQ951" s="157" t="s">
        <v>4447</v>
      </c>
      <c r="BR951" s="157"/>
    </row>
    <row r="952" spans="1:70" x14ac:dyDescent="0.25">
      <c r="A952" s="19" t="s">
        <v>3686</v>
      </c>
      <c r="B952" s="37" t="s">
        <v>3026</v>
      </c>
      <c r="C952" s="90">
        <v>45091.875752314816</v>
      </c>
      <c r="D952" s="114">
        <v>45091.625752314816</v>
      </c>
      <c r="E952" s="38">
        <v>45091</v>
      </c>
      <c r="F952" s="91">
        <v>2023</v>
      </c>
      <c r="G952" s="93">
        <v>6</v>
      </c>
      <c r="H952" s="37" t="s">
        <v>1361</v>
      </c>
      <c r="I952" s="37"/>
      <c r="J952" s="103">
        <v>-91.67565015153184</v>
      </c>
      <c r="K952" s="40">
        <v>42.846316122489839</v>
      </c>
      <c r="L952" s="74"/>
      <c r="M952" s="272" t="s">
        <v>3027</v>
      </c>
      <c r="N952" s="74">
        <v>1</v>
      </c>
      <c r="O952" s="94"/>
      <c r="P952" s="118">
        <v>1</v>
      </c>
      <c r="Q952" s="510">
        <v>180</v>
      </c>
      <c r="R952" s="513">
        <v>120</v>
      </c>
      <c r="S952" s="41"/>
      <c r="T952" s="40"/>
      <c r="U952" s="40">
        <v>9</v>
      </c>
      <c r="V952" s="119">
        <v>1</v>
      </c>
      <c r="W952" s="40">
        <v>0</v>
      </c>
      <c r="X952" s="119">
        <v>1</v>
      </c>
      <c r="Y952" s="40">
        <v>71</v>
      </c>
      <c r="Z952" s="119">
        <v>1</v>
      </c>
      <c r="AA952" s="368">
        <v>0</v>
      </c>
      <c r="AB952" s="535">
        <v>10</v>
      </c>
      <c r="AC952" s="39" t="s">
        <v>160</v>
      </c>
      <c r="AD952" s="75" t="s">
        <v>8</v>
      </c>
      <c r="AE952" s="95">
        <v>0</v>
      </c>
      <c r="AF952" s="75">
        <v>1</v>
      </c>
      <c r="AG952" s="75">
        <v>0</v>
      </c>
      <c r="AH952" s="75">
        <v>0</v>
      </c>
      <c r="AI952" s="75">
        <v>0</v>
      </c>
      <c r="AJ952" s="75">
        <v>0</v>
      </c>
      <c r="AK952" s="75">
        <v>0</v>
      </c>
      <c r="AL952" s="95">
        <v>0</v>
      </c>
      <c r="AM952" s="92">
        <v>0</v>
      </c>
      <c r="AN952" s="79" t="s">
        <v>80</v>
      </c>
      <c r="AO952" s="75">
        <v>1</v>
      </c>
      <c r="AP952" s="75" t="s">
        <v>83</v>
      </c>
      <c r="AQ952" s="122">
        <v>1</v>
      </c>
      <c r="AR952" s="515" t="s">
        <v>10</v>
      </c>
      <c r="AS952" s="95">
        <v>0</v>
      </c>
      <c r="AT952" s="75">
        <v>0</v>
      </c>
      <c r="AU952" s="75">
        <v>0</v>
      </c>
      <c r="AV952" s="75">
        <v>0</v>
      </c>
      <c r="AW952" s="123">
        <v>0</v>
      </c>
      <c r="AX952" s="516"/>
      <c r="AY952" s="75">
        <v>0</v>
      </c>
      <c r="AZ952" s="77" t="s">
        <v>131</v>
      </c>
      <c r="BA952" s="78" t="s">
        <v>132</v>
      </c>
      <c r="BB952" s="78" t="s">
        <v>131</v>
      </c>
      <c r="BC952" s="78" t="s">
        <v>131</v>
      </c>
      <c r="BD952" s="78" t="s">
        <v>131</v>
      </c>
      <c r="BE952" s="78" t="s">
        <v>131</v>
      </c>
      <c r="BF952" s="78" t="s">
        <v>131</v>
      </c>
      <c r="BG952" s="78" t="s">
        <v>131</v>
      </c>
      <c r="BH952" s="75" t="s">
        <v>5970</v>
      </c>
      <c r="BI952" s="295" t="s">
        <v>2248</v>
      </c>
      <c r="BJ952" s="546" t="s">
        <v>16</v>
      </c>
      <c r="BK952" s="294" t="s">
        <v>16</v>
      </c>
      <c r="BL952" s="157" t="s">
        <v>16</v>
      </c>
      <c r="BM952" s="548" t="s">
        <v>1347</v>
      </c>
      <c r="BN952" s="548" t="s">
        <v>4160</v>
      </c>
      <c r="BO952" s="157" t="s">
        <v>4565</v>
      </c>
      <c r="BP952" s="548" t="s">
        <v>4567</v>
      </c>
      <c r="BQ952" s="157" t="s">
        <v>4563</v>
      </c>
      <c r="BR952" s="157"/>
    </row>
    <row r="953" spans="1:70" x14ac:dyDescent="0.25">
      <c r="A953" s="19" t="s">
        <v>3686</v>
      </c>
      <c r="B953" s="37" t="s">
        <v>3028</v>
      </c>
      <c r="C953" s="90">
        <v>45091.865740740737</v>
      </c>
      <c r="D953" s="114">
        <v>45091.615740740737</v>
      </c>
      <c r="E953" s="38">
        <v>45091</v>
      </c>
      <c r="F953" s="91">
        <v>2023</v>
      </c>
      <c r="G953" s="93">
        <v>6</v>
      </c>
      <c r="H953" s="37" t="s">
        <v>1361</v>
      </c>
      <c r="I953" s="37"/>
      <c r="J953" s="103">
        <v>-91.672250703062559</v>
      </c>
      <c r="K953" s="40">
        <v>42.846626797730892</v>
      </c>
      <c r="L953" s="74"/>
      <c r="M953" s="272" t="s">
        <v>3029</v>
      </c>
      <c r="N953" s="74">
        <v>1</v>
      </c>
      <c r="O953" s="94"/>
      <c r="P953" s="118">
        <v>1</v>
      </c>
      <c r="Q953" s="510">
        <v>180</v>
      </c>
      <c r="R953" s="513">
        <v>120</v>
      </c>
      <c r="S953" s="41"/>
      <c r="T953" s="40"/>
      <c r="U953" s="40">
        <v>8</v>
      </c>
      <c r="V953" s="119">
        <v>1</v>
      </c>
      <c r="W953" s="40">
        <v>0</v>
      </c>
      <c r="X953" s="119">
        <v>1</v>
      </c>
      <c r="Y953" s="40">
        <v>69</v>
      </c>
      <c r="Z953" s="119">
        <v>1</v>
      </c>
      <c r="AA953" s="368">
        <v>0</v>
      </c>
      <c r="AB953" s="535">
        <v>2</v>
      </c>
      <c r="AC953" s="39" t="s">
        <v>160</v>
      </c>
      <c r="AD953" s="75" t="s">
        <v>8</v>
      </c>
      <c r="AE953" s="95">
        <v>0</v>
      </c>
      <c r="AF953" s="75">
        <v>1</v>
      </c>
      <c r="AG953" s="75">
        <v>0</v>
      </c>
      <c r="AH953" s="75">
        <v>0</v>
      </c>
      <c r="AI953" s="75">
        <v>0</v>
      </c>
      <c r="AJ953" s="75">
        <v>0</v>
      </c>
      <c r="AK953" s="75">
        <v>0</v>
      </c>
      <c r="AL953" s="95">
        <v>0</v>
      </c>
      <c r="AM953" s="92">
        <v>0</v>
      </c>
      <c r="AN953" s="79" t="s">
        <v>80</v>
      </c>
      <c r="AO953" s="75">
        <v>1</v>
      </c>
      <c r="AP953" s="75" t="s">
        <v>84</v>
      </c>
      <c r="AQ953" s="122">
        <v>1</v>
      </c>
      <c r="AR953" s="515" t="s">
        <v>10</v>
      </c>
      <c r="AS953" s="95">
        <v>0</v>
      </c>
      <c r="AT953" s="75">
        <v>0</v>
      </c>
      <c r="AU953" s="75">
        <v>0</v>
      </c>
      <c r="AV953" s="75">
        <v>0</v>
      </c>
      <c r="AW953" s="123">
        <v>0</v>
      </c>
      <c r="AX953" s="516"/>
      <c r="AY953" s="75">
        <v>0</v>
      </c>
      <c r="AZ953" s="77" t="s">
        <v>131</v>
      </c>
      <c r="BA953" s="78" t="s">
        <v>132</v>
      </c>
      <c r="BB953" s="78" t="s">
        <v>131</v>
      </c>
      <c r="BC953" s="78" t="s">
        <v>131</v>
      </c>
      <c r="BD953" s="78" t="s">
        <v>131</v>
      </c>
      <c r="BE953" s="78" t="s">
        <v>131</v>
      </c>
      <c r="BF953" s="78" t="s">
        <v>131</v>
      </c>
      <c r="BG953" s="78" t="s">
        <v>131</v>
      </c>
      <c r="BH953" s="75" t="s">
        <v>5970</v>
      </c>
      <c r="BI953" s="295" t="s">
        <v>2248</v>
      </c>
      <c r="BJ953" s="546" t="s">
        <v>16</v>
      </c>
      <c r="BK953" s="294" t="s">
        <v>16</v>
      </c>
      <c r="BL953" s="157" t="s">
        <v>16</v>
      </c>
      <c r="BM953" s="548" t="s">
        <v>1347</v>
      </c>
      <c r="BN953" s="548" t="s">
        <v>4160</v>
      </c>
      <c r="BO953" s="157" t="s">
        <v>4565</v>
      </c>
      <c r="BP953" s="548" t="s">
        <v>4567</v>
      </c>
      <c r="BQ953" s="157" t="s">
        <v>4563</v>
      </c>
      <c r="BR953" s="157"/>
    </row>
    <row r="954" spans="1:70" x14ac:dyDescent="0.25">
      <c r="A954" s="19" t="s">
        <v>3686</v>
      </c>
      <c r="B954" s="37" t="s">
        <v>3030</v>
      </c>
      <c r="C954" s="90">
        <v>45091.845833333333</v>
      </c>
      <c r="D954" s="114">
        <v>45091.595833333333</v>
      </c>
      <c r="E954" s="38">
        <v>45091</v>
      </c>
      <c r="F954" s="91">
        <v>2023</v>
      </c>
      <c r="G954" s="93">
        <v>6</v>
      </c>
      <c r="H954" s="37" t="s">
        <v>1361</v>
      </c>
      <c r="I954" s="37"/>
      <c r="J954" s="103">
        <v>-91.631438965063197</v>
      </c>
      <c r="K954" s="40">
        <v>42.8431636467975</v>
      </c>
      <c r="L954" s="74"/>
      <c r="M954" s="272" t="s">
        <v>3031</v>
      </c>
      <c r="N954" s="74">
        <v>1</v>
      </c>
      <c r="O954" s="94"/>
      <c r="P954" s="118">
        <v>1</v>
      </c>
      <c r="Q954" s="510">
        <v>180</v>
      </c>
      <c r="R954" s="513">
        <v>180</v>
      </c>
      <c r="S954" s="41"/>
      <c r="T954" s="40"/>
      <c r="U954" s="40">
        <v>9</v>
      </c>
      <c r="V954" s="119">
        <v>1</v>
      </c>
      <c r="W954" s="40">
        <v>0</v>
      </c>
      <c r="X954" s="119">
        <v>1</v>
      </c>
      <c r="Y954" s="40">
        <v>79</v>
      </c>
      <c r="Z954" s="119">
        <v>1</v>
      </c>
      <c r="AA954" s="368">
        <v>0</v>
      </c>
      <c r="AB954" s="535">
        <v>2</v>
      </c>
      <c r="AC954" s="39" t="s">
        <v>160</v>
      </c>
      <c r="AD954" s="75" t="s">
        <v>3015</v>
      </c>
      <c r="AE954" s="95">
        <v>1</v>
      </c>
      <c r="AF954" s="75">
        <v>1</v>
      </c>
      <c r="AG954" s="75">
        <v>0</v>
      </c>
      <c r="AH954" s="75">
        <v>0</v>
      </c>
      <c r="AI954" s="75">
        <v>1</v>
      </c>
      <c r="AJ954" s="75">
        <v>0</v>
      </c>
      <c r="AK954" s="75">
        <v>0</v>
      </c>
      <c r="AL954" s="95">
        <v>0</v>
      </c>
      <c r="AM954" s="92">
        <v>0</v>
      </c>
      <c r="AN954" s="79" t="s">
        <v>80</v>
      </c>
      <c r="AO954" s="75">
        <v>1</v>
      </c>
      <c r="AP954" s="75" t="s">
        <v>83</v>
      </c>
      <c r="AQ954" s="122">
        <v>1</v>
      </c>
      <c r="AR954" s="515" t="s">
        <v>10</v>
      </c>
      <c r="AS954" s="95">
        <v>0</v>
      </c>
      <c r="AT954" s="75">
        <v>0</v>
      </c>
      <c r="AU954" s="75">
        <v>0</v>
      </c>
      <c r="AV954" s="75">
        <v>0</v>
      </c>
      <c r="AW954" s="123">
        <v>0</v>
      </c>
      <c r="AX954" s="516"/>
      <c r="AY954" s="75">
        <v>0</v>
      </c>
      <c r="AZ954" s="77" t="s">
        <v>132</v>
      </c>
      <c r="BA954" s="78" t="s">
        <v>132</v>
      </c>
      <c r="BB954" s="78" t="s">
        <v>131</v>
      </c>
      <c r="BC954" s="78" t="s">
        <v>131</v>
      </c>
      <c r="BD954" s="78" t="s">
        <v>132</v>
      </c>
      <c r="BE954" s="78" t="s">
        <v>131</v>
      </c>
      <c r="BF954" s="78" t="s">
        <v>131</v>
      </c>
      <c r="BG954" s="78" t="s">
        <v>131</v>
      </c>
      <c r="BH954" s="75" t="s">
        <v>5970</v>
      </c>
      <c r="BI954" s="295" t="s">
        <v>16</v>
      </c>
      <c r="BJ954" s="546" t="s">
        <v>16</v>
      </c>
      <c r="BK954" s="294" t="s">
        <v>16</v>
      </c>
      <c r="BL954" s="157" t="s">
        <v>16</v>
      </c>
      <c r="BM954" s="548" t="s">
        <v>1347</v>
      </c>
      <c r="BN954" s="548" t="s">
        <v>4160</v>
      </c>
      <c r="BO954" s="157" t="s">
        <v>4565</v>
      </c>
      <c r="BP954" s="548" t="s">
        <v>4567</v>
      </c>
      <c r="BQ954" s="157" t="s">
        <v>4563</v>
      </c>
      <c r="BR954" s="157"/>
    </row>
    <row r="955" spans="1:70" x14ac:dyDescent="0.25">
      <c r="A955" s="19" t="s">
        <v>3686</v>
      </c>
      <c r="B955" s="37" t="s">
        <v>3032</v>
      </c>
      <c r="C955" s="90">
        <v>45091.841249999998</v>
      </c>
      <c r="D955" s="114">
        <v>45091.591249999998</v>
      </c>
      <c r="E955" s="38">
        <v>45091</v>
      </c>
      <c r="F955" s="91">
        <v>2023</v>
      </c>
      <c r="G955" s="93">
        <v>6</v>
      </c>
      <c r="H955" s="37" t="s">
        <v>2654</v>
      </c>
      <c r="I955" s="37"/>
      <c r="J955" s="103">
        <v>-91.251013499999999</v>
      </c>
      <c r="K955" s="40">
        <v>44.193811699999998</v>
      </c>
      <c r="L955" s="74"/>
      <c r="M955" s="272" t="s">
        <v>3033</v>
      </c>
      <c r="N955" s="74">
        <v>1</v>
      </c>
      <c r="O955" s="94"/>
      <c r="P955" s="118">
        <v>1</v>
      </c>
      <c r="Q955" s="510">
        <v>40</v>
      </c>
      <c r="R955" s="513">
        <v>120</v>
      </c>
      <c r="S955" s="41"/>
      <c r="T955" s="40"/>
      <c r="U955" s="40">
        <v>7</v>
      </c>
      <c r="V955" s="119">
        <v>1</v>
      </c>
      <c r="W955" s="40">
        <v>200</v>
      </c>
      <c r="X955" s="119">
        <v>1</v>
      </c>
      <c r="Y955" s="40">
        <v>63</v>
      </c>
      <c r="Z955" s="119">
        <v>1</v>
      </c>
      <c r="AA955" s="368">
        <v>0</v>
      </c>
      <c r="AB955" s="535">
        <v>2</v>
      </c>
      <c r="AC955" s="39" t="s">
        <v>160</v>
      </c>
      <c r="AD955" s="75" t="s">
        <v>10</v>
      </c>
      <c r="AE955" s="95">
        <v>0</v>
      </c>
      <c r="AF955" s="75">
        <v>0</v>
      </c>
      <c r="AG955" s="75">
        <v>0</v>
      </c>
      <c r="AH955" s="75">
        <v>0</v>
      </c>
      <c r="AI955" s="75">
        <v>0</v>
      </c>
      <c r="AJ955" s="75">
        <v>0</v>
      </c>
      <c r="AK955" s="75">
        <v>0</v>
      </c>
      <c r="AL955" s="95">
        <v>1</v>
      </c>
      <c r="AM955" s="92">
        <v>0</v>
      </c>
      <c r="AN955" s="79" t="s">
        <v>80</v>
      </c>
      <c r="AO955" s="75">
        <v>1</v>
      </c>
      <c r="AP955" s="75" t="s">
        <v>84</v>
      </c>
      <c r="AQ955" s="122">
        <v>1</v>
      </c>
      <c r="AR955" s="515" t="s">
        <v>10</v>
      </c>
      <c r="AS955" s="95">
        <v>0</v>
      </c>
      <c r="AT955" s="75">
        <v>0</v>
      </c>
      <c r="AU955" s="75">
        <v>0</v>
      </c>
      <c r="AV955" s="75">
        <v>0</v>
      </c>
      <c r="AW955" s="123">
        <v>0</v>
      </c>
      <c r="AX955" s="516"/>
      <c r="AY955" s="75">
        <v>0</v>
      </c>
      <c r="AZ955" s="77" t="s">
        <v>131</v>
      </c>
      <c r="BA955" s="78" t="s">
        <v>131</v>
      </c>
      <c r="BB955" s="78" t="s">
        <v>131</v>
      </c>
      <c r="BC955" s="78" t="s">
        <v>131</v>
      </c>
      <c r="BD955" s="78" t="s">
        <v>131</v>
      </c>
      <c r="BE955" s="78" t="s">
        <v>131</v>
      </c>
      <c r="BF955" s="78" t="s">
        <v>131</v>
      </c>
      <c r="BG955" s="78" t="s">
        <v>132</v>
      </c>
      <c r="BH955" s="75" t="s">
        <v>5970</v>
      </c>
      <c r="BI955" s="295" t="s">
        <v>4006</v>
      </c>
      <c r="BJ955" s="546">
        <v>1</v>
      </c>
      <c r="BK955" s="294">
        <v>1</v>
      </c>
      <c r="BL955" s="157">
        <v>1</v>
      </c>
      <c r="BM955" s="548" t="s">
        <v>1340</v>
      </c>
      <c r="BN955" s="548" t="s">
        <v>4158</v>
      </c>
      <c r="BO955" s="157" t="s">
        <v>4529</v>
      </c>
      <c r="BP955" s="548" t="s">
        <v>4530</v>
      </c>
      <c r="BQ955" s="157" t="s">
        <v>4447</v>
      </c>
      <c r="BR955" s="157"/>
    </row>
    <row r="956" spans="1:70" x14ac:dyDescent="0.25">
      <c r="A956" s="19" t="s">
        <v>3686</v>
      </c>
      <c r="B956" s="37" t="s">
        <v>3034</v>
      </c>
      <c r="C956" s="90">
        <v>45091.828321759262</v>
      </c>
      <c r="D956" s="114">
        <v>45091.578321759262</v>
      </c>
      <c r="E956" s="38">
        <v>45091</v>
      </c>
      <c r="F956" s="91">
        <v>2023</v>
      </c>
      <c r="G956" s="93">
        <v>6</v>
      </c>
      <c r="H956" s="37" t="s">
        <v>1361</v>
      </c>
      <c r="I956" s="37"/>
      <c r="J956" s="103">
        <v>-91.645404221575376</v>
      </c>
      <c r="K956" s="40">
        <v>42.842968348453603</v>
      </c>
      <c r="L956" s="74"/>
      <c r="M956" s="272" t="s">
        <v>3035</v>
      </c>
      <c r="N956" s="74">
        <v>1</v>
      </c>
      <c r="O956" s="94"/>
      <c r="P956" s="118">
        <v>1</v>
      </c>
      <c r="Q956" s="510">
        <v>180</v>
      </c>
      <c r="R956" s="513">
        <v>180</v>
      </c>
      <c r="S956" s="41"/>
      <c r="T956" s="40"/>
      <c r="U956" s="40">
        <v>7.5</v>
      </c>
      <c r="V956" s="119">
        <v>1</v>
      </c>
      <c r="W956" s="40">
        <v>0</v>
      </c>
      <c r="X956" s="119">
        <v>1</v>
      </c>
      <c r="Y956" s="40">
        <v>72</v>
      </c>
      <c r="Z956" s="119">
        <v>1</v>
      </c>
      <c r="AA956" s="368">
        <v>0</v>
      </c>
      <c r="AB956" s="535">
        <v>5</v>
      </c>
      <c r="AC956" s="39" t="s">
        <v>160</v>
      </c>
      <c r="AD956" s="75" t="s">
        <v>1622</v>
      </c>
      <c r="AE956" s="95">
        <v>1</v>
      </c>
      <c r="AF956" s="75">
        <v>1</v>
      </c>
      <c r="AG956" s="75">
        <v>0</v>
      </c>
      <c r="AH956" s="75">
        <v>0</v>
      </c>
      <c r="AI956" s="75">
        <v>0</v>
      </c>
      <c r="AJ956" s="75">
        <v>0</v>
      </c>
      <c r="AK956" s="75">
        <v>0</v>
      </c>
      <c r="AL956" s="95">
        <v>0</v>
      </c>
      <c r="AM956" s="92">
        <v>0</v>
      </c>
      <c r="AN956" s="79" t="s">
        <v>80</v>
      </c>
      <c r="AO956" s="75">
        <v>1</v>
      </c>
      <c r="AP956" s="75" t="s">
        <v>83</v>
      </c>
      <c r="AQ956" s="122">
        <v>1</v>
      </c>
      <c r="AR956" s="515" t="s">
        <v>10</v>
      </c>
      <c r="AS956" s="95">
        <v>0</v>
      </c>
      <c r="AT956" s="75">
        <v>0</v>
      </c>
      <c r="AU956" s="75">
        <v>0</v>
      </c>
      <c r="AV956" s="75">
        <v>0</v>
      </c>
      <c r="AW956" s="123">
        <v>0</v>
      </c>
      <c r="AX956" s="516"/>
      <c r="AY956" s="75">
        <v>0</v>
      </c>
      <c r="AZ956" s="77" t="s">
        <v>132</v>
      </c>
      <c r="BA956" s="78" t="s">
        <v>132</v>
      </c>
      <c r="BB956" s="78" t="s">
        <v>131</v>
      </c>
      <c r="BC956" s="78" t="s">
        <v>131</v>
      </c>
      <c r="BD956" s="78" t="s">
        <v>131</v>
      </c>
      <c r="BE956" s="78" t="s">
        <v>131</v>
      </c>
      <c r="BF956" s="78" t="s">
        <v>131</v>
      </c>
      <c r="BG956" s="78" t="s">
        <v>131</v>
      </c>
      <c r="BH956" s="75" t="s">
        <v>5970</v>
      </c>
      <c r="BI956" s="295" t="s">
        <v>2284</v>
      </c>
      <c r="BJ956" s="546">
        <v>1</v>
      </c>
      <c r="BK956" s="294" t="s">
        <v>16</v>
      </c>
      <c r="BL956" s="157" t="s">
        <v>16</v>
      </c>
      <c r="BM956" s="548" t="s">
        <v>1347</v>
      </c>
      <c r="BN956" s="548" t="s">
        <v>4160</v>
      </c>
      <c r="BO956" s="157" t="s">
        <v>4565</v>
      </c>
      <c r="BP956" s="548" t="s">
        <v>4567</v>
      </c>
      <c r="BQ956" s="157" t="s">
        <v>4563</v>
      </c>
      <c r="BR956" s="157"/>
    </row>
    <row r="957" spans="1:70" x14ac:dyDescent="0.25">
      <c r="A957" s="19" t="s">
        <v>3686</v>
      </c>
      <c r="B957" s="37" t="s">
        <v>3036</v>
      </c>
      <c r="C957" s="90">
        <v>45091.81355324074</v>
      </c>
      <c r="D957" s="114">
        <v>45091.56355324074</v>
      </c>
      <c r="E957" s="38">
        <v>45091</v>
      </c>
      <c r="F957" s="91">
        <v>2023</v>
      </c>
      <c r="G957" s="93">
        <v>6</v>
      </c>
      <c r="H957" s="37" t="s">
        <v>1361</v>
      </c>
      <c r="I957" s="37"/>
      <c r="J957" s="103">
        <v>-91.666221935387384</v>
      </c>
      <c r="K957" s="40">
        <v>42.803136371115968</v>
      </c>
      <c r="L957" s="74"/>
      <c r="M957" s="272" t="s">
        <v>3037</v>
      </c>
      <c r="N957" s="74">
        <v>1</v>
      </c>
      <c r="O957" s="94"/>
      <c r="P957" s="118">
        <v>1</v>
      </c>
      <c r="Q957" s="510">
        <v>180</v>
      </c>
      <c r="R957" s="513">
        <v>180</v>
      </c>
      <c r="S957" s="41"/>
      <c r="T957" s="40"/>
      <c r="U957" s="40">
        <v>8</v>
      </c>
      <c r="V957" s="119">
        <v>1</v>
      </c>
      <c r="W957" s="40">
        <v>0</v>
      </c>
      <c r="X957" s="119">
        <v>1</v>
      </c>
      <c r="Y957" s="40">
        <v>66</v>
      </c>
      <c r="Z957" s="119">
        <v>1</v>
      </c>
      <c r="AA957" s="368">
        <v>0</v>
      </c>
      <c r="AB957" s="535">
        <v>2</v>
      </c>
      <c r="AC957" s="39" t="s">
        <v>160</v>
      </c>
      <c r="AD957" s="75" t="s">
        <v>10</v>
      </c>
      <c r="AE957" s="95">
        <v>0</v>
      </c>
      <c r="AF957" s="75">
        <v>0</v>
      </c>
      <c r="AG957" s="75">
        <v>0</v>
      </c>
      <c r="AH957" s="75">
        <v>0</v>
      </c>
      <c r="AI957" s="75">
        <v>0</v>
      </c>
      <c r="AJ957" s="75">
        <v>0</v>
      </c>
      <c r="AK957" s="75">
        <v>0</v>
      </c>
      <c r="AL957" s="95">
        <v>1</v>
      </c>
      <c r="AM957" s="92">
        <v>0</v>
      </c>
      <c r="AN957" s="79" t="s">
        <v>80</v>
      </c>
      <c r="AO957" s="75">
        <v>1</v>
      </c>
      <c r="AP957" s="75" t="s">
        <v>83</v>
      </c>
      <c r="AQ957" s="122">
        <v>1</v>
      </c>
      <c r="AR957" s="515" t="s">
        <v>10</v>
      </c>
      <c r="AS957" s="95">
        <v>0</v>
      </c>
      <c r="AT957" s="75">
        <v>0</v>
      </c>
      <c r="AU957" s="75">
        <v>0</v>
      </c>
      <c r="AV957" s="75">
        <v>0</v>
      </c>
      <c r="AW957" s="123">
        <v>0</v>
      </c>
      <c r="AX957" s="516" t="s">
        <v>16</v>
      </c>
      <c r="AY957" s="75">
        <v>0</v>
      </c>
      <c r="AZ957" s="77" t="s">
        <v>131</v>
      </c>
      <c r="BA957" s="78" t="s">
        <v>131</v>
      </c>
      <c r="BB957" s="78" t="s">
        <v>131</v>
      </c>
      <c r="BC957" s="78" t="s">
        <v>131</v>
      </c>
      <c r="BD957" s="78" t="s">
        <v>131</v>
      </c>
      <c r="BE957" s="78" t="s">
        <v>131</v>
      </c>
      <c r="BF957" s="78" t="s">
        <v>131</v>
      </c>
      <c r="BG957" s="78" t="s">
        <v>132</v>
      </c>
      <c r="BH957" s="75" t="s">
        <v>5970</v>
      </c>
      <c r="BI957" s="295">
        <v>0</v>
      </c>
      <c r="BJ957" s="546" t="s">
        <v>16</v>
      </c>
      <c r="BK957" s="294" t="s">
        <v>16</v>
      </c>
      <c r="BL957" s="157" t="s">
        <v>16</v>
      </c>
      <c r="BM957" s="548" t="s">
        <v>1348</v>
      </c>
      <c r="BN957" s="548" t="s">
        <v>4160</v>
      </c>
      <c r="BO957" s="157" t="s">
        <v>4569</v>
      </c>
      <c r="BP957" s="548" t="s">
        <v>2299</v>
      </c>
      <c r="BQ957" s="157" t="s">
        <v>4563</v>
      </c>
      <c r="BR957" s="157"/>
    </row>
    <row r="958" spans="1:70" x14ac:dyDescent="0.25">
      <c r="A958" s="19" t="s">
        <v>3686</v>
      </c>
      <c r="B958" s="37" t="s">
        <v>3038</v>
      </c>
      <c r="C958" s="90">
        <v>45091.791388888887</v>
      </c>
      <c r="D958" s="114">
        <v>45091.541388888887</v>
      </c>
      <c r="E958" s="38">
        <v>45091</v>
      </c>
      <c r="F958" s="91">
        <v>2023</v>
      </c>
      <c r="G958" s="93">
        <v>6</v>
      </c>
      <c r="H958" s="37" t="s">
        <v>1361</v>
      </c>
      <c r="I958" s="37"/>
      <c r="J958" s="103">
        <v>-91.667336812328244</v>
      </c>
      <c r="K958" s="40">
        <v>42.810337976592415</v>
      </c>
      <c r="L958" s="74"/>
      <c r="M958" s="272" t="s">
        <v>3039</v>
      </c>
      <c r="N958" s="74">
        <v>1</v>
      </c>
      <c r="O958" s="94"/>
      <c r="P958" s="118">
        <v>1</v>
      </c>
      <c r="Q958" s="510">
        <v>180</v>
      </c>
      <c r="R958" s="513">
        <v>180</v>
      </c>
      <c r="S958" s="41"/>
      <c r="T958" s="40"/>
      <c r="U958" s="40">
        <v>8</v>
      </c>
      <c r="V958" s="119">
        <v>1</v>
      </c>
      <c r="W958" s="40">
        <v>0</v>
      </c>
      <c r="X958" s="119">
        <v>1</v>
      </c>
      <c r="Y958" s="40">
        <v>73</v>
      </c>
      <c r="Z958" s="119">
        <v>1</v>
      </c>
      <c r="AA958" s="368">
        <v>0</v>
      </c>
      <c r="AB958" s="535">
        <v>2</v>
      </c>
      <c r="AC958" s="39" t="s">
        <v>160</v>
      </c>
      <c r="AD958" s="75" t="s">
        <v>8</v>
      </c>
      <c r="AE958" s="95">
        <v>0</v>
      </c>
      <c r="AF958" s="75">
        <v>1</v>
      </c>
      <c r="AG958" s="75">
        <v>0</v>
      </c>
      <c r="AH958" s="75">
        <v>0</v>
      </c>
      <c r="AI958" s="75">
        <v>0</v>
      </c>
      <c r="AJ958" s="75">
        <v>0</v>
      </c>
      <c r="AK958" s="75">
        <v>0</v>
      </c>
      <c r="AL958" s="95">
        <v>0</v>
      </c>
      <c r="AM958" s="92">
        <v>0</v>
      </c>
      <c r="AN958" s="79" t="s">
        <v>80</v>
      </c>
      <c r="AO958" s="75">
        <v>1</v>
      </c>
      <c r="AP958" s="75" t="s">
        <v>84</v>
      </c>
      <c r="AQ958" s="122">
        <v>1</v>
      </c>
      <c r="AR958" s="515" t="s">
        <v>10</v>
      </c>
      <c r="AS958" s="95">
        <v>0</v>
      </c>
      <c r="AT958" s="75">
        <v>0</v>
      </c>
      <c r="AU958" s="75">
        <v>0</v>
      </c>
      <c r="AV958" s="75">
        <v>0</v>
      </c>
      <c r="AW958" s="123">
        <v>0</v>
      </c>
      <c r="AX958" s="516"/>
      <c r="AY958" s="75">
        <v>0</v>
      </c>
      <c r="AZ958" s="77" t="s">
        <v>131</v>
      </c>
      <c r="BA958" s="78" t="s">
        <v>132</v>
      </c>
      <c r="BB958" s="78" t="s">
        <v>131</v>
      </c>
      <c r="BC958" s="78" t="s">
        <v>131</v>
      </c>
      <c r="BD958" s="78" t="s">
        <v>131</v>
      </c>
      <c r="BE958" s="78" t="s">
        <v>131</v>
      </c>
      <c r="BF958" s="78" t="s">
        <v>131</v>
      </c>
      <c r="BG958" s="78" t="s">
        <v>131</v>
      </c>
      <c r="BH958" s="75" t="s">
        <v>5970</v>
      </c>
      <c r="BI958" s="295" t="s">
        <v>2299</v>
      </c>
      <c r="BJ958" s="546">
        <v>1</v>
      </c>
      <c r="BK958" s="294" t="s">
        <v>16</v>
      </c>
      <c r="BL958" s="157" t="s">
        <v>16</v>
      </c>
      <c r="BM958" s="548" t="s">
        <v>1347</v>
      </c>
      <c r="BN958" s="548" t="s">
        <v>4160</v>
      </c>
      <c r="BO958" s="157" t="s">
        <v>4569</v>
      </c>
      <c r="BP958" s="548" t="s">
        <v>2299</v>
      </c>
      <c r="BQ958" s="157" t="s">
        <v>4563</v>
      </c>
      <c r="BR958" s="157"/>
    </row>
    <row r="959" spans="1:70" x14ac:dyDescent="0.25">
      <c r="A959" s="19" t="s">
        <v>3686</v>
      </c>
      <c r="B959" s="37" t="s">
        <v>3040</v>
      </c>
      <c r="C959" s="90">
        <v>45091.780694444446</v>
      </c>
      <c r="D959" s="114">
        <v>45091.530694444446</v>
      </c>
      <c r="E959" s="38">
        <v>45091</v>
      </c>
      <c r="F959" s="91">
        <v>2023</v>
      </c>
      <c r="G959" s="93">
        <v>6</v>
      </c>
      <c r="H959" s="37" t="s">
        <v>2548</v>
      </c>
      <c r="I959" s="37"/>
      <c r="J959" s="103">
        <v>-90.989414627368035</v>
      </c>
      <c r="K959" s="40">
        <v>43.047325831139183</v>
      </c>
      <c r="L959" s="74"/>
      <c r="M959" s="272" t="s">
        <v>3041</v>
      </c>
      <c r="N959" s="74">
        <v>1</v>
      </c>
      <c r="O959" s="94"/>
      <c r="P959" s="118">
        <v>1</v>
      </c>
      <c r="Q959" s="510">
        <v>180</v>
      </c>
      <c r="R959" s="513">
        <v>120</v>
      </c>
      <c r="S959" s="41"/>
      <c r="T959" s="40"/>
      <c r="U959" s="40">
        <v>8</v>
      </c>
      <c r="V959" s="119">
        <v>1</v>
      </c>
      <c r="W959" s="40">
        <v>0</v>
      </c>
      <c r="X959" s="119">
        <v>1</v>
      </c>
      <c r="Y959" s="40">
        <v>61</v>
      </c>
      <c r="Z959" s="119">
        <v>1</v>
      </c>
      <c r="AA959" s="368">
        <v>0</v>
      </c>
      <c r="AB959" s="535">
        <v>2</v>
      </c>
      <c r="AC959" s="39" t="s">
        <v>160</v>
      </c>
      <c r="AD959" s="75" t="s">
        <v>10</v>
      </c>
      <c r="AE959" s="95">
        <v>0</v>
      </c>
      <c r="AF959" s="75">
        <v>0</v>
      </c>
      <c r="AG959" s="75">
        <v>0</v>
      </c>
      <c r="AH959" s="75">
        <v>0</v>
      </c>
      <c r="AI959" s="75">
        <v>0</v>
      </c>
      <c r="AJ959" s="75">
        <v>0</v>
      </c>
      <c r="AK959" s="75">
        <v>0</v>
      </c>
      <c r="AL959" s="95">
        <v>1</v>
      </c>
      <c r="AM959" s="92">
        <v>0</v>
      </c>
      <c r="AN959" s="79" t="s">
        <v>80</v>
      </c>
      <c r="AO959" s="75">
        <v>1</v>
      </c>
      <c r="AP959" s="75" t="s">
        <v>85</v>
      </c>
      <c r="AQ959" s="122">
        <v>1</v>
      </c>
      <c r="AR959" s="515" t="s">
        <v>10</v>
      </c>
      <c r="AS959" s="95">
        <v>0</v>
      </c>
      <c r="AT959" s="75">
        <v>0</v>
      </c>
      <c r="AU959" s="75">
        <v>0</v>
      </c>
      <c r="AV959" s="75">
        <v>0</v>
      </c>
      <c r="AW959" s="123">
        <v>0</v>
      </c>
      <c r="AX959" s="516"/>
      <c r="AY959" s="75">
        <v>0</v>
      </c>
      <c r="AZ959" s="77" t="s">
        <v>131</v>
      </c>
      <c r="BA959" s="78" t="s">
        <v>131</v>
      </c>
      <c r="BB959" s="78" t="s">
        <v>131</v>
      </c>
      <c r="BC959" s="78" t="s">
        <v>131</v>
      </c>
      <c r="BD959" s="78" t="s">
        <v>131</v>
      </c>
      <c r="BE959" s="78" t="s">
        <v>131</v>
      </c>
      <c r="BF959" s="78" t="s">
        <v>131</v>
      </c>
      <c r="BG959" s="78" t="s">
        <v>132</v>
      </c>
      <c r="BH959" s="75" t="s">
        <v>5970</v>
      </c>
      <c r="BI959" s="295" t="s">
        <v>4105</v>
      </c>
      <c r="BJ959" s="546">
        <v>1</v>
      </c>
      <c r="BK959" s="294">
        <v>1</v>
      </c>
      <c r="BL959" s="157">
        <v>1</v>
      </c>
      <c r="BM959" s="548" t="s">
        <v>1342</v>
      </c>
      <c r="BN959" s="548" t="s">
        <v>4158</v>
      </c>
      <c r="BO959" s="157" t="s">
        <v>4570</v>
      </c>
      <c r="BP959" s="548" t="s">
        <v>4105</v>
      </c>
      <c r="BQ959" s="157" t="s">
        <v>4432</v>
      </c>
      <c r="BR959" s="157"/>
    </row>
    <row r="960" spans="1:70" x14ac:dyDescent="0.25">
      <c r="A960" s="19" t="s">
        <v>3686</v>
      </c>
      <c r="B960" s="37" t="s">
        <v>3042</v>
      </c>
      <c r="C960" s="90">
        <v>45091.775104166663</v>
      </c>
      <c r="D960" s="114">
        <v>45091.525104166663</v>
      </c>
      <c r="E960" s="38">
        <v>45091</v>
      </c>
      <c r="F960" s="91">
        <v>2023</v>
      </c>
      <c r="G960" s="93">
        <v>6</v>
      </c>
      <c r="H960" s="37" t="s">
        <v>1361</v>
      </c>
      <c r="I960" s="37"/>
      <c r="J960" s="103">
        <v>-91.720909997906276</v>
      </c>
      <c r="K960" s="40">
        <v>42.824640646616771</v>
      </c>
      <c r="L960" s="74"/>
      <c r="M960" s="272" t="s">
        <v>3043</v>
      </c>
      <c r="N960" s="74">
        <v>1</v>
      </c>
      <c r="O960" s="94"/>
      <c r="P960" s="118">
        <v>1</v>
      </c>
      <c r="Q960" s="510">
        <v>180</v>
      </c>
      <c r="R960" s="513">
        <v>180</v>
      </c>
      <c r="S960" s="41"/>
      <c r="T960" s="40"/>
      <c r="U960" s="40">
        <v>8</v>
      </c>
      <c r="V960" s="119">
        <v>1</v>
      </c>
      <c r="W960" s="40">
        <v>0</v>
      </c>
      <c r="X960" s="119">
        <v>1</v>
      </c>
      <c r="Y960" s="40">
        <v>61</v>
      </c>
      <c r="Z960" s="119">
        <v>1</v>
      </c>
      <c r="AA960" s="368">
        <v>0</v>
      </c>
      <c r="AB960" s="535">
        <v>5</v>
      </c>
      <c r="AC960" s="39" t="s">
        <v>160</v>
      </c>
      <c r="AD960" s="75" t="s">
        <v>10</v>
      </c>
      <c r="AE960" s="95">
        <v>0</v>
      </c>
      <c r="AF960" s="75">
        <v>0</v>
      </c>
      <c r="AG960" s="75">
        <v>0</v>
      </c>
      <c r="AH960" s="75">
        <v>0</v>
      </c>
      <c r="AI960" s="75">
        <v>0</v>
      </c>
      <c r="AJ960" s="75">
        <v>0</v>
      </c>
      <c r="AK960" s="75">
        <v>0</v>
      </c>
      <c r="AL960" s="95">
        <v>1</v>
      </c>
      <c r="AM960" s="92">
        <v>0</v>
      </c>
      <c r="AN960" s="79" t="s">
        <v>80</v>
      </c>
      <c r="AO960" s="75">
        <v>1</v>
      </c>
      <c r="AP960" s="75" t="s">
        <v>83</v>
      </c>
      <c r="AQ960" s="122">
        <v>1</v>
      </c>
      <c r="AR960" s="515" t="s">
        <v>10</v>
      </c>
      <c r="AS960" s="95">
        <v>0</v>
      </c>
      <c r="AT960" s="75">
        <v>0</v>
      </c>
      <c r="AU960" s="75">
        <v>0</v>
      </c>
      <c r="AV960" s="75">
        <v>0</v>
      </c>
      <c r="AW960" s="123">
        <v>0</v>
      </c>
      <c r="AX960" s="516"/>
      <c r="AY960" s="75">
        <v>0</v>
      </c>
      <c r="AZ960" s="77" t="s">
        <v>131</v>
      </c>
      <c r="BA960" s="78" t="s">
        <v>131</v>
      </c>
      <c r="BB960" s="78" t="s">
        <v>131</v>
      </c>
      <c r="BC960" s="78" t="s">
        <v>131</v>
      </c>
      <c r="BD960" s="78" t="s">
        <v>131</v>
      </c>
      <c r="BE960" s="78" t="s">
        <v>131</v>
      </c>
      <c r="BF960" s="78" t="s">
        <v>131</v>
      </c>
      <c r="BG960" s="78" t="s">
        <v>132</v>
      </c>
      <c r="BH960" s="75" t="s">
        <v>5970</v>
      </c>
      <c r="BI960" s="295" t="s">
        <v>2288</v>
      </c>
      <c r="BJ960" s="546">
        <v>1</v>
      </c>
      <c r="BK960" s="294" t="s">
        <v>16</v>
      </c>
      <c r="BL960" s="157" t="s">
        <v>16</v>
      </c>
      <c r="BM960" s="548" t="s">
        <v>1344</v>
      </c>
      <c r="BN960" s="548" t="s">
        <v>4160</v>
      </c>
      <c r="BO960" s="157" t="s">
        <v>4572</v>
      </c>
      <c r="BP960" s="548" t="s">
        <v>4574</v>
      </c>
      <c r="BQ960" s="157" t="s">
        <v>4571</v>
      </c>
      <c r="BR960" s="157"/>
    </row>
    <row r="961" spans="1:70" x14ac:dyDescent="0.25">
      <c r="A961" s="19" t="s">
        <v>3686</v>
      </c>
      <c r="B961" s="37" t="s">
        <v>3044</v>
      </c>
      <c r="C961" s="90">
        <v>45091.756527777776</v>
      </c>
      <c r="D961" s="114">
        <v>45091.506527777776</v>
      </c>
      <c r="E961" s="38">
        <v>45091</v>
      </c>
      <c r="F961" s="91">
        <v>2023</v>
      </c>
      <c r="G961" s="93">
        <v>6</v>
      </c>
      <c r="H961" s="37" t="s">
        <v>1361</v>
      </c>
      <c r="I961" s="37"/>
      <c r="J961" s="103">
        <v>-91.736816503192983</v>
      </c>
      <c r="K961" s="40">
        <v>42.799184722865746</v>
      </c>
      <c r="L961" s="74"/>
      <c r="M961" s="272" t="s">
        <v>3045</v>
      </c>
      <c r="N961" s="74">
        <v>1</v>
      </c>
      <c r="O961" s="94"/>
      <c r="P961" s="118">
        <v>1</v>
      </c>
      <c r="Q961" s="510">
        <v>180</v>
      </c>
      <c r="R961" s="513">
        <v>180</v>
      </c>
      <c r="S961" s="41"/>
      <c r="T961" s="40"/>
      <c r="U961" s="40">
        <v>8</v>
      </c>
      <c r="V961" s="119">
        <v>1</v>
      </c>
      <c r="W961" s="40">
        <v>0</v>
      </c>
      <c r="X961" s="119">
        <v>1</v>
      </c>
      <c r="Y961" s="40">
        <v>65</v>
      </c>
      <c r="Z961" s="119">
        <v>1</v>
      </c>
      <c r="AA961" s="368">
        <v>0</v>
      </c>
      <c r="AB961" s="535">
        <v>10</v>
      </c>
      <c r="AC961" s="39" t="s">
        <v>160</v>
      </c>
      <c r="AD961" s="75" t="s">
        <v>551</v>
      </c>
      <c r="AE961" s="95">
        <v>0</v>
      </c>
      <c r="AF961" s="75">
        <v>0</v>
      </c>
      <c r="AG961" s="75">
        <v>0</v>
      </c>
      <c r="AH961" s="75">
        <v>0</v>
      </c>
      <c r="AI961" s="75">
        <v>1</v>
      </c>
      <c r="AJ961" s="75">
        <v>0</v>
      </c>
      <c r="AK961" s="75">
        <v>0</v>
      </c>
      <c r="AL961" s="95">
        <v>0</v>
      </c>
      <c r="AM961" s="92">
        <v>0</v>
      </c>
      <c r="AN961" s="79" t="s">
        <v>80</v>
      </c>
      <c r="AO961" s="75">
        <v>1</v>
      </c>
      <c r="AP961" s="75" t="s">
        <v>84</v>
      </c>
      <c r="AQ961" s="122">
        <v>1</v>
      </c>
      <c r="AR961" s="515" t="s">
        <v>10</v>
      </c>
      <c r="AS961" s="95">
        <v>0</v>
      </c>
      <c r="AT961" s="75">
        <v>0</v>
      </c>
      <c r="AU961" s="75">
        <v>0</v>
      </c>
      <c r="AV961" s="75">
        <v>0</v>
      </c>
      <c r="AW961" s="123">
        <v>0</v>
      </c>
      <c r="AX961" s="516"/>
      <c r="AY961" s="75">
        <v>0</v>
      </c>
      <c r="AZ961" s="77" t="s">
        <v>131</v>
      </c>
      <c r="BA961" s="78" t="s">
        <v>131</v>
      </c>
      <c r="BB961" s="78" t="s">
        <v>131</v>
      </c>
      <c r="BC961" s="78" t="s">
        <v>131</v>
      </c>
      <c r="BD961" s="78" t="s">
        <v>132</v>
      </c>
      <c r="BE961" s="78" t="s">
        <v>131</v>
      </c>
      <c r="BF961" s="78" t="s">
        <v>131</v>
      </c>
      <c r="BG961" s="78" t="s">
        <v>131</v>
      </c>
      <c r="BH961" s="75" t="s">
        <v>5970</v>
      </c>
      <c r="BI961" s="295">
        <v>0</v>
      </c>
      <c r="BJ961" s="546" t="s">
        <v>16</v>
      </c>
      <c r="BK961" s="294" t="s">
        <v>16</v>
      </c>
      <c r="BL961" s="157" t="s">
        <v>16</v>
      </c>
      <c r="BM961" s="548" t="s">
        <v>1344</v>
      </c>
      <c r="BN961" s="548" t="s">
        <v>4160</v>
      </c>
      <c r="BO961" s="157" t="s">
        <v>4569</v>
      </c>
      <c r="BP961" s="548" t="s">
        <v>2299</v>
      </c>
      <c r="BQ961" s="157" t="s">
        <v>4563</v>
      </c>
      <c r="BR961" s="157"/>
    </row>
    <row r="962" spans="1:70" x14ac:dyDescent="0.25">
      <c r="A962" s="19" t="s">
        <v>3686</v>
      </c>
      <c r="B962" s="37" t="s">
        <v>3046</v>
      </c>
      <c r="C962" s="90">
        <v>45091.7502662037</v>
      </c>
      <c r="D962" s="114">
        <v>45091.5002662037</v>
      </c>
      <c r="E962" s="38">
        <v>45091</v>
      </c>
      <c r="F962" s="91">
        <v>2023</v>
      </c>
      <c r="G962" s="93">
        <v>6</v>
      </c>
      <c r="H962" s="37" t="s">
        <v>2654</v>
      </c>
      <c r="I962" s="37"/>
      <c r="J962" s="103">
        <v>-91.323413299999999</v>
      </c>
      <c r="K962" s="40">
        <v>44.164486099999998</v>
      </c>
      <c r="L962" s="74"/>
      <c r="M962" s="272" t="s">
        <v>3047</v>
      </c>
      <c r="N962" s="74">
        <v>1</v>
      </c>
      <c r="O962" s="94"/>
      <c r="P962" s="118">
        <v>1</v>
      </c>
      <c r="Q962" s="510">
        <v>80</v>
      </c>
      <c r="R962" s="513">
        <v>120</v>
      </c>
      <c r="S962" s="41"/>
      <c r="T962" s="40"/>
      <c r="U962" s="40">
        <v>7</v>
      </c>
      <c r="V962" s="119">
        <v>1</v>
      </c>
      <c r="W962" s="40">
        <v>100</v>
      </c>
      <c r="X962" s="119">
        <v>1</v>
      </c>
      <c r="Y962" s="40">
        <v>62</v>
      </c>
      <c r="Z962" s="119">
        <v>1</v>
      </c>
      <c r="AA962" s="368">
        <v>0</v>
      </c>
      <c r="AB962" s="535">
        <v>2</v>
      </c>
      <c r="AC962" s="39" t="s">
        <v>160</v>
      </c>
      <c r="AD962" s="75" t="s">
        <v>10</v>
      </c>
      <c r="AE962" s="95">
        <v>0</v>
      </c>
      <c r="AF962" s="75">
        <v>0</v>
      </c>
      <c r="AG962" s="75">
        <v>0</v>
      </c>
      <c r="AH962" s="75">
        <v>0</v>
      </c>
      <c r="AI962" s="75">
        <v>0</v>
      </c>
      <c r="AJ962" s="75">
        <v>0</v>
      </c>
      <c r="AK962" s="75">
        <v>0</v>
      </c>
      <c r="AL962" s="95">
        <v>1</v>
      </c>
      <c r="AM962" s="92">
        <v>0</v>
      </c>
      <c r="AN962" s="79" t="s">
        <v>80</v>
      </c>
      <c r="AO962" s="75">
        <v>1</v>
      </c>
      <c r="AP962" s="75" t="s">
        <v>83</v>
      </c>
      <c r="AQ962" s="122">
        <v>1</v>
      </c>
      <c r="AR962" s="515" t="s">
        <v>10</v>
      </c>
      <c r="AS962" s="95">
        <v>0</v>
      </c>
      <c r="AT962" s="75">
        <v>0</v>
      </c>
      <c r="AU962" s="75">
        <v>0</v>
      </c>
      <c r="AV962" s="75">
        <v>0</v>
      </c>
      <c r="AW962" s="123">
        <v>0</v>
      </c>
      <c r="AX962" s="516"/>
      <c r="AY962" s="75">
        <v>0</v>
      </c>
      <c r="AZ962" s="77" t="s">
        <v>131</v>
      </c>
      <c r="BA962" s="78" t="s">
        <v>131</v>
      </c>
      <c r="BB962" s="78" t="s">
        <v>131</v>
      </c>
      <c r="BC962" s="78" t="s">
        <v>131</v>
      </c>
      <c r="BD962" s="78" t="s">
        <v>131</v>
      </c>
      <c r="BE962" s="78" t="s">
        <v>131</v>
      </c>
      <c r="BF962" s="78" t="s">
        <v>131</v>
      </c>
      <c r="BG962" s="78" t="s">
        <v>132</v>
      </c>
      <c r="BH962" s="75" t="s">
        <v>5970</v>
      </c>
      <c r="BI962" s="295" t="s">
        <v>2321</v>
      </c>
      <c r="BJ962" s="546" t="s">
        <v>16</v>
      </c>
      <c r="BK962" s="294">
        <v>1</v>
      </c>
      <c r="BL962" s="157">
        <v>1</v>
      </c>
      <c r="BM962" s="548" t="s">
        <v>1340</v>
      </c>
      <c r="BN962" s="548" t="s">
        <v>4158</v>
      </c>
      <c r="BO962" s="157" t="s">
        <v>4575</v>
      </c>
      <c r="BP962" s="548" t="s">
        <v>2321</v>
      </c>
      <c r="BQ962" s="157" t="s">
        <v>4447</v>
      </c>
      <c r="BR962" s="157"/>
    </row>
    <row r="963" spans="1:70" x14ac:dyDescent="0.25">
      <c r="A963" s="19" t="s">
        <v>3686</v>
      </c>
      <c r="B963" s="37" t="s">
        <v>3048</v>
      </c>
      <c r="C963" s="90">
        <v>45091.738958333335</v>
      </c>
      <c r="D963" s="114">
        <v>45091.488958333335</v>
      </c>
      <c r="E963" s="38">
        <v>45091</v>
      </c>
      <c r="F963" s="91">
        <v>2023</v>
      </c>
      <c r="G963" s="93">
        <v>6</v>
      </c>
      <c r="H963" s="37" t="s">
        <v>1361</v>
      </c>
      <c r="I963" s="37"/>
      <c r="J963" s="103">
        <v>-91.741165705110646</v>
      </c>
      <c r="K963" s="40">
        <v>42.75947419930506</v>
      </c>
      <c r="L963" s="74"/>
      <c r="M963" s="272" t="s">
        <v>3049</v>
      </c>
      <c r="N963" s="74">
        <v>1</v>
      </c>
      <c r="O963" s="94"/>
      <c r="P963" s="118">
        <v>1</v>
      </c>
      <c r="Q963" s="510">
        <v>80</v>
      </c>
      <c r="R963" s="513">
        <v>180</v>
      </c>
      <c r="S963" s="41"/>
      <c r="T963" s="40"/>
      <c r="U963" s="40">
        <v>8</v>
      </c>
      <c r="V963" s="119">
        <v>1</v>
      </c>
      <c r="W963" s="40">
        <v>100</v>
      </c>
      <c r="X963" s="119">
        <v>1</v>
      </c>
      <c r="Y963" s="40">
        <v>66</v>
      </c>
      <c r="Z963" s="119">
        <v>1</v>
      </c>
      <c r="AA963" s="368">
        <v>0</v>
      </c>
      <c r="AB963" s="535">
        <v>10</v>
      </c>
      <c r="AC963" s="39" t="s">
        <v>160</v>
      </c>
      <c r="AD963" s="75" t="s">
        <v>1622</v>
      </c>
      <c r="AE963" s="95">
        <v>1</v>
      </c>
      <c r="AF963" s="75">
        <v>1</v>
      </c>
      <c r="AG963" s="75">
        <v>0</v>
      </c>
      <c r="AH963" s="75">
        <v>0</v>
      </c>
      <c r="AI963" s="75">
        <v>0</v>
      </c>
      <c r="AJ963" s="75">
        <v>0</v>
      </c>
      <c r="AK963" s="75">
        <v>0</v>
      </c>
      <c r="AL963" s="95">
        <v>0</v>
      </c>
      <c r="AM963" s="92">
        <v>0</v>
      </c>
      <c r="AN963" s="79" t="s">
        <v>80</v>
      </c>
      <c r="AO963" s="75">
        <v>1</v>
      </c>
      <c r="AP963" s="75" t="s">
        <v>84</v>
      </c>
      <c r="AQ963" s="122">
        <v>1</v>
      </c>
      <c r="AR963" s="515" t="s">
        <v>10</v>
      </c>
      <c r="AS963" s="95">
        <v>0</v>
      </c>
      <c r="AT963" s="75">
        <v>0</v>
      </c>
      <c r="AU963" s="75">
        <v>0</v>
      </c>
      <c r="AV963" s="75">
        <v>0</v>
      </c>
      <c r="AW963" s="123">
        <v>0</v>
      </c>
      <c r="AX963" s="516"/>
      <c r="AY963" s="75">
        <v>0</v>
      </c>
      <c r="AZ963" s="77" t="s">
        <v>132</v>
      </c>
      <c r="BA963" s="78" t="s">
        <v>132</v>
      </c>
      <c r="BB963" s="78" t="s">
        <v>131</v>
      </c>
      <c r="BC963" s="78" t="s">
        <v>131</v>
      </c>
      <c r="BD963" s="78" t="s">
        <v>131</v>
      </c>
      <c r="BE963" s="78" t="s">
        <v>131</v>
      </c>
      <c r="BF963" s="78" t="s">
        <v>131</v>
      </c>
      <c r="BG963" s="78" t="s">
        <v>131</v>
      </c>
      <c r="BH963" s="75" t="s">
        <v>5970</v>
      </c>
      <c r="BI963" s="295" t="s">
        <v>2260</v>
      </c>
      <c r="BJ963" s="546" t="s">
        <v>16</v>
      </c>
      <c r="BK963" s="294" t="s">
        <v>16</v>
      </c>
      <c r="BL963" s="157" t="s">
        <v>16</v>
      </c>
      <c r="BM963" s="548" t="s">
        <v>1344</v>
      </c>
      <c r="BN963" s="548" t="s">
        <v>4160</v>
      </c>
      <c r="BO963" s="157" t="s">
        <v>4569</v>
      </c>
      <c r="BP963" s="548" t="s">
        <v>2299</v>
      </c>
      <c r="BQ963" s="157" t="s">
        <v>4563</v>
      </c>
      <c r="BR963" s="157"/>
    </row>
    <row r="964" spans="1:70" x14ac:dyDescent="0.25">
      <c r="A964" s="19" t="s">
        <v>3686</v>
      </c>
      <c r="B964" s="37" t="s">
        <v>3050</v>
      </c>
      <c r="C964" s="90">
        <v>45091.737696759257</v>
      </c>
      <c r="D964" s="114">
        <v>45091.487696759257</v>
      </c>
      <c r="E964" s="38">
        <v>45091</v>
      </c>
      <c r="F964" s="91">
        <v>2023</v>
      </c>
      <c r="G964" s="93">
        <v>6</v>
      </c>
      <c r="H964" s="37" t="s">
        <v>2654</v>
      </c>
      <c r="I964" s="37" t="s">
        <v>16</v>
      </c>
      <c r="J964" s="103">
        <v>-91.320996600000001</v>
      </c>
      <c r="K964" s="40">
        <v>44.172005300000002</v>
      </c>
      <c r="L964" s="74"/>
      <c r="M964" s="272" t="s">
        <v>3051</v>
      </c>
      <c r="N964" s="74">
        <v>1</v>
      </c>
      <c r="O964" s="94"/>
      <c r="P964" s="118">
        <v>1</v>
      </c>
      <c r="Q964" s="510">
        <v>80</v>
      </c>
      <c r="R964" s="513">
        <v>120</v>
      </c>
      <c r="S964" s="41"/>
      <c r="T964" s="40"/>
      <c r="U964" s="40">
        <v>7.5</v>
      </c>
      <c r="V964" s="119">
        <v>1</v>
      </c>
      <c r="W964" s="40">
        <v>100</v>
      </c>
      <c r="X964" s="119">
        <v>1</v>
      </c>
      <c r="Y964" s="40">
        <v>61</v>
      </c>
      <c r="Z964" s="119">
        <v>1</v>
      </c>
      <c r="AA964" s="368">
        <v>0</v>
      </c>
      <c r="AB964" s="535">
        <v>2</v>
      </c>
      <c r="AC964" s="39" t="s">
        <v>160</v>
      </c>
      <c r="AD964" s="75" t="s">
        <v>551</v>
      </c>
      <c r="AE964" s="95">
        <v>0</v>
      </c>
      <c r="AF964" s="75">
        <v>0</v>
      </c>
      <c r="AG964" s="75">
        <v>0</v>
      </c>
      <c r="AH964" s="75">
        <v>0</v>
      </c>
      <c r="AI964" s="75">
        <v>1</v>
      </c>
      <c r="AJ964" s="75">
        <v>0</v>
      </c>
      <c r="AK964" s="75">
        <v>0</v>
      </c>
      <c r="AL964" s="95">
        <v>0</v>
      </c>
      <c r="AM964" s="92">
        <v>0</v>
      </c>
      <c r="AN964" s="79" t="s">
        <v>80</v>
      </c>
      <c r="AO964" s="75">
        <v>1</v>
      </c>
      <c r="AP964" s="75" t="s">
        <v>83</v>
      </c>
      <c r="AQ964" s="122">
        <v>1</v>
      </c>
      <c r="AR964" s="515" t="s">
        <v>10</v>
      </c>
      <c r="AS964" s="95">
        <v>0</v>
      </c>
      <c r="AT964" s="75">
        <v>0</v>
      </c>
      <c r="AU964" s="75">
        <v>0</v>
      </c>
      <c r="AV964" s="75">
        <v>0</v>
      </c>
      <c r="AW964" s="123">
        <v>0</v>
      </c>
      <c r="AX964" s="516"/>
      <c r="AY964" s="75">
        <v>0</v>
      </c>
      <c r="AZ964" s="77" t="s">
        <v>131</v>
      </c>
      <c r="BA964" s="78" t="s">
        <v>131</v>
      </c>
      <c r="BB964" s="78" t="s">
        <v>131</v>
      </c>
      <c r="BC964" s="78" t="s">
        <v>131</v>
      </c>
      <c r="BD964" s="78" t="s">
        <v>132</v>
      </c>
      <c r="BE964" s="78" t="s">
        <v>131</v>
      </c>
      <c r="BF964" s="78" t="s">
        <v>131</v>
      </c>
      <c r="BG964" s="78" t="s">
        <v>131</v>
      </c>
      <c r="BH964" s="75" t="s">
        <v>5970</v>
      </c>
      <c r="BI964" s="295" t="s">
        <v>2321</v>
      </c>
      <c r="BJ964" s="546" t="s">
        <v>16</v>
      </c>
      <c r="BK964" s="294">
        <v>1</v>
      </c>
      <c r="BL964" s="157">
        <v>1</v>
      </c>
      <c r="BM964" s="548" t="s">
        <v>1340</v>
      </c>
      <c r="BN964" s="548" t="s">
        <v>4158</v>
      </c>
      <c r="BO964" s="157" t="s">
        <v>4575</v>
      </c>
      <c r="BP964" s="548" t="s">
        <v>2321</v>
      </c>
      <c r="BQ964" s="157" t="s">
        <v>4447</v>
      </c>
      <c r="BR964" s="157"/>
    </row>
    <row r="965" spans="1:70" x14ac:dyDescent="0.25">
      <c r="A965" s="19" t="s">
        <v>3686</v>
      </c>
      <c r="B965" s="37" t="s">
        <v>3052</v>
      </c>
      <c r="C965" s="90">
        <v>45091.722974537035</v>
      </c>
      <c r="D965" s="114">
        <v>45091.472974537035</v>
      </c>
      <c r="E965" s="38">
        <v>45091</v>
      </c>
      <c r="F965" s="91">
        <v>2023</v>
      </c>
      <c r="G965" s="93">
        <v>6</v>
      </c>
      <c r="H965" s="37" t="s">
        <v>1361</v>
      </c>
      <c r="I965" s="37"/>
      <c r="J965" s="103">
        <v>-91.726576583545395</v>
      </c>
      <c r="K965" s="40">
        <v>42.794699273112037</v>
      </c>
      <c r="L965" s="74"/>
      <c r="M965" s="272" t="s">
        <v>3053</v>
      </c>
      <c r="N965" s="74">
        <v>1</v>
      </c>
      <c r="O965" s="94"/>
      <c r="P965" s="118">
        <v>1</v>
      </c>
      <c r="Q965" s="510">
        <v>180</v>
      </c>
      <c r="R965" s="513">
        <v>180</v>
      </c>
      <c r="S965" s="41"/>
      <c r="T965" s="40"/>
      <c r="U965" s="40">
        <v>7</v>
      </c>
      <c r="V965" s="119">
        <v>1</v>
      </c>
      <c r="W965" s="40">
        <v>0</v>
      </c>
      <c r="X965" s="119">
        <v>1</v>
      </c>
      <c r="Y965" s="40">
        <v>69</v>
      </c>
      <c r="Z965" s="119">
        <v>1</v>
      </c>
      <c r="AA965" s="368">
        <v>0</v>
      </c>
      <c r="AB965" s="535">
        <v>5</v>
      </c>
      <c r="AC965" s="39" t="s">
        <v>160</v>
      </c>
      <c r="AD965" s="75" t="s">
        <v>8</v>
      </c>
      <c r="AE965" s="95">
        <v>0</v>
      </c>
      <c r="AF965" s="75">
        <v>1</v>
      </c>
      <c r="AG965" s="75">
        <v>0</v>
      </c>
      <c r="AH965" s="75">
        <v>0</v>
      </c>
      <c r="AI965" s="75">
        <v>0</v>
      </c>
      <c r="AJ965" s="75">
        <v>0</v>
      </c>
      <c r="AK965" s="75">
        <v>0</v>
      </c>
      <c r="AL965" s="95">
        <v>0</v>
      </c>
      <c r="AM965" s="92">
        <v>0</v>
      </c>
      <c r="AN965" s="79" t="s">
        <v>80</v>
      </c>
      <c r="AO965" s="75">
        <v>1</v>
      </c>
      <c r="AP965" s="75" t="s">
        <v>83</v>
      </c>
      <c r="AQ965" s="122">
        <v>1</v>
      </c>
      <c r="AR965" s="515" t="s">
        <v>10</v>
      </c>
      <c r="AS965" s="95">
        <v>0</v>
      </c>
      <c r="AT965" s="75">
        <v>0</v>
      </c>
      <c r="AU965" s="75">
        <v>0</v>
      </c>
      <c r="AV965" s="75">
        <v>0</v>
      </c>
      <c r="AW965" s="123">
        <v>0</v>
      </c>
      <c r="AX965" s="516"/>
      <c r="AY965" s="75">
        <v>0</v>
      </c>
      <c r="AZ965" s="77" t="s">
        <v>131</v>
      </c>
      <c r="BA965" s="78" t="s">
        <v>132</v>
      </c>
      <c r="BB965" s="78" t="s">
        <v>131</v>
      </c>
      <c r="BC965" s="78" t="s">
        <v>131</v>
      </c>
      <c r="BD965" s="78" t="s">
        <v>131</v>
      </c>
      <c r="BE965" s="78" t="s">
        <v>131</v>
      </c>
      <c r="BF965" s="78" t="s">
        <v>131</v>
      </c>
      <c r="BG965" s="78" t="s">
        <v>131</v>
      </c>
      <c r="BH965" s="75" t="s">
        <v>5970</v>
      </c>
      <c r="BI965" s="295" t="s">
        <v>16</v>
      </c>
      <c r="BJ965" s="546">
        <v>1</v>
      </c>
      <c r="BK965" s="294" t="s">
        <v>16</v>
      </c>
      <c r="BL965" s="157" t="s">
        <v>16</v>
      </c>
      <c r="BM965" s="548" t="s">
        <v>1344</v>
      </c>
      <c r="BN965" s="548" t="s">
        <v>4160</v>
      </c>
      <c r="BO965" s="157" t="s">
        <v>4569</v>
      </c>
      <c r="BP965" s="548" t="s">
        <v>2299</v>
      </c>
      <c r="BQ965" s="157" t="s">
        <v>4563</v>
      </c>
      <c r="BR965" s="157"/>
    </row>
    <row r="966" spans="1:70" x14ac:dyDescent="0.25">
      <c r="A966" s="19" t="s">
        <v>3686</v>
      </c>
      <c r="B966" s="37" t="s">
        <v>3054</v>
      </c>
      <c r="C966" s="90">
        <v>45091.722129629627</v>
      </c>
      <c r="D966" s="114">
        <v>45091.472129629627</v>
      </c>
      <c r="E966" s="38">
        <v>45091</v>
      </c>
      <c r="F966" s="91">
        <v>2023</v>
      </c>
      <c r="G966" s="93">
        <v>6</v>
      </c>
      <c r="H966" s="37" t="s">
        <v>2654</v>
      </c>
      <c r="I966" s="37"/>
      <c r="J966" s="103">
        <v>-91.311645400000003</v>
      </c>
      <c r="K966" s="40">
        <v>44.203385300000001</v>
      </c>
      <c r="L966" s="74"/>
      <c r="M966" s="272" t="s">
        <v>3055</v>
      </c>
      <c r="N966" s="74">
        <v>1</v>
      </c>
      <c r="O966" s="94"/>
      <c r="P966" s="118">
        <v>1</v>
      </c>
      <c r="Q966" s="510">
        <v>80</v>
      </c>
      <c r="R966" s="513">
        <v>120</v>
      </c>
      <c r="S966" s="41"/>
      <c r="T966" s="40"/>
      <c r="U966" s="40">
        <v>7.5</v>
      </c>
      <c r="V966" s="119">
        <v>1</v>
      </c>
      <c r="W966" s="40">
        <v>100</v>
      </c>
      <c r="X966" s="119">
        <v>1</v>
      </c>
      <c r="Y966" s="40">
        <v>61</v>
      </c>
      <c r="Z966" s="119">
        <v>1</v>
      </c>
      <c r="AA966" s="368">
        <v>0</v>
      </c>
      <c r="AB966" s="535">
        <v>2</v>
      </c>
      <c r="AC966" s="39" t="s">
        <v>160</v>
      </c>
      <c r="AD966" s="75" t="s">
        <v>10</v>
      </c>
      <c r="AE966" s="95">
        <v>0</v>
      </c>
      <c r="AF966" s="75">
        <v>0</v>
      </c>
      <c r="AG966" s="75">
        <v>0</v>
      </c>
      <c r="AH966" s="75">
        <v>0</v>
      </c>
      <c r="AI966" s="75">
        <v>0</v>
      </c>
      <c r="AJ966" s="75">
        <v>0</v>
      </c>
      <c r="AK966" s="75">
        <v>0</v>
      </c>
      <c r="AL966" s="95">
        <v>1</v>
      </c>
      <c r="AM966" s="92">
        <v>0</v>
      </c>
      <c r="AN966" s="79" t="s">
        <v>80</v>
      </c>
      <c r="AO966" s="75">
        <v>1</v>
      </c>
      <c r="AP966" s="75" t="s">
        <v>83</v>
      </c>
      <c r="AQ966" s="122">
        <v>1</v>
      </c>
      <c r="AR966" s="515" t="s">
        <v>10</v>
      </c>
      <c r="AS966" s="95">
        <v>0</v>
      </c>
      <c r="AT966" s="75">
        <v>0</v>
      </c>
      <c r="AU966" s="75">
        <v>0</v>
      </c>
      <c r="AV966" s="75">
        <v>0</v>
      </c>
      <c r="AW966" s="123">
        <v>0</v>
      </c>
      <c r="AX966" s="516"/>
      <c r="AY966" s="75">
        <v>0</v>
      </c>
      <c r="AZ966" s="77" t="s">
        <v>131</v>
      </c>
      <c r="BA966" s="78" t="s">
        <v>131</v>
      </c>
      <c r="BB966" s="78" t="s">
        <v>131</v>
      </c>
      <c r="BC966" s="78" t="s">
        <v>131</v>
      </c>
      <c r="BD966" s="78" t="s">
        <v>131</v>
      </c>
      <c r="BE966" s="78" t="s">
        <v>131</v>
      </c>
      <c r="BF966" s="78" t="s">
        <v>131</v>
      </c>
      <c r="BG966" s="78" t="s">
        <v>132</v>
      </c>
      <c r="BH966" s="75" t="s">
        <v>5970</v>
      </c>
      <c r="BI966" s="295" t="s">
        <v>2321</v>
      </c>
      <c r="BJ966" s="546">
        <v>1</v>
      </c>
      <c r="BK966" s="294">
        <v>1</v>
      </c>
      <c r="BL966" s="157">
        <v>1</v>
      </c>
      <c r="BM966" s="548" t="s">
        <v>1340</v>
      </c>
      <c r="BN966" s="548" t="s">
        <v>4158</v>
      </c>
      <c r="BO966" s="157" t="s">
        <v>4575</v>
      </c>
      <c r="BP966" s="548" t="s">
        <v>2321</v>
      </c>
      <c r="BQ966" s="157" t="s">
        <v>4447</v>
      </c>
      <c r="BR966" s="157"/>
    </row>
    <row r="967" spans="1:70" x14ac:dyDescent="0.25">
      <c r="A967" s="19" t="s">
        <v>3686</v>
      </c>
      <c r="B967" s="37" t="s">
        <v>3056</v>
      </c>
      <c r="C967" s="90">
        <v>45091.705983796295</v>
      </c>
      <c r="D967" s="114">
        <v>45091.455983796295</v>
      </c>
      <c r="E967" s="38">
        <v>45091</v>
      </c>
      <c r="F967" s="91">
        <v>2023</v>
      </c>
      <c r="G967" s="93">
        <v>6</v>
      </c>
      <c r="H967" s="37" t="s">
        <v>1361</v>
      </c>
      <c r="I967" s="37"/>
      <c r="J967" s="103">
        <v>-91.700786389495875</v>
      </c>
      <c r="K967" s="40">
        <v>42.767411400603841</v>
      </c>
      <c r="L967" s="74"/>
      <c r="M967" s="272" t="s">
        <v>3057</v>
      </c>
      <c r="N967" s="74">
        <v>1</v>
      </c>
      <c r="O967" s="94"/>
      <c r="P967" s="118">
        <v>1</v>
      </c>
      <c r="Q967" s="510">
        <v>0</v>
      </c>
      <c r="R967" s="513">
        <v>30</v>
      </c>
      <c r="S967" s="41"/>
      <c r="T967" s="40"/>
      <c r="U967" s="40">
        <v>7</v>
      </c>
      <c r="V967" s="119">
        <v>1</v>
      </c>
      <c r="W967" s="40">
        <v>200</v>
      </c>
      <c r="X967" s="119">
        <v>0</v>
      </c>
      <c r="Y967" s="40"/>
      <c r="Z967" s="119">
        <v>1</v>
      </c>
      <c r="AA967" s="368">
        <v>0</v>
      </c>
      <c r="AB967" s="535">
        <v>10</v>
      </c>
      <c r="AC967" s="39" t="s">
        <v>160</v>
      </c>
      <c r="AD967" s="75" t="s">
        <v>3015</v>
      </c>
      <c r="AE967" s="95">
        <v>1</v>
      </c>
      <c r="AF967" s="75">
        <v>1</v>
      </c>
      <c r="AG967" s="75">
        <v>0</v>
      </c>
      <c r="AH967" s="75">
        <v>0</v>
      </c>
      <c r="AI967" s="75">
        <v>1</v>
      </c>
      <c r="AJ967" s="75">
        <v>0</v>
      </c>
      <c r="AK967" s="75">
        <v>0</v>
      </c>
      <c r="AL967" s="95">
        <v>0</v>
      </c>
      <c r="AM967" s="92">
        <v>0</v>
      </c>
      <c r="AN967" s="79" t="s">
        <v>80</v>
      </c>
      <c r="AO967" s="75">
        <v>1</v>
      </c>
      <c r="AP967" s="75" t="s">
        <v>84</v>
      </c>
      <c r="AQ967" s="122">
        <v>1</v>
      </c>
      <c r="AR967" s="515" t="s">
        <v>10</v>
      </c>
      <c r="AS967" s="95">
        <v>0</v>
      </c>
      <c r="AT967" s="75">
        <v>0</v>
      </c>
      <c r="AU967" s="75">
        <v>0</v>
      </c>
      <c r="AV967" s="75">
        <v>0</v>
      </c>
      <c r="AW967" s="123">
        <v>0</v>
      </c>
      <c r="AX967" s="516"/>
      <c r="AY967" s="75">
        <v>0</v>
      </c>
      <c r="AZ967" s="77" t="s">
        <v>132</v>
      </c>
      <c r="BA967" s="78" t="s">
        <v>132</v>
      </c>
      <c r="BB967" s="78" t="s">
        <v>131</v>
      </c>
      <c r="BC967" s="78" t="s">
        <v>131</v>
      </c>
      <c r="BD967" s="78" t="s">
        <v>132</v>
      </c>
      <c r="BE967" s="78" t="s">
        <v>131</v>
      </c>
      <c r="BF967" s="78" t="s">
        <v>131</v>
      </c>
      <c r="BG967" s="78" t="s">
        <v>131</v>
      </c>
      <c r="BH967" s="75" t="s">
        <v>5970</v>
      </c>
      <c r="BI967" s="295" t="s">
        <v>2298</v>
      </c>
      <c r="BJ967" s="546" t="s">
        <v>16</v>
      </c>
      <c r="BK967" s="294" t="s">
        <v>16</v>
      </c>
      <c r="BL967" s="157" t="s">
        <v>16</v>
      </c>
      <c r="BM967" s="548" t="s">
        <v>1348</v>
      </c>
      <c r="BN967" s="548" t="s">
        <v>4160</v>
      </c>
      <c r="BO967" s="157" t="s">
        <v>4569</v>
      </c>
      <c r="BP967" s="548" t="s">
        <v>2299</v>
      </c>
      <c r="BQ967" s="157" t="s">
        <v>4563</v>
      </c>
      <c r="BR967" s="157"/>
    </row>
    <row r="968" spans="1:70" x14ac:dyDescent="0.25">
      <c r="A968" s="19" t="s">
        <v>3686</v>
      </c>
      <c r="B968" s="37" t="s">
        <v>3058</v>
      </c>
      <c r="C968" s="90">
        <v>45091.689293981479</v>
      </c>
      <c r="D968" s="114">
        <v>45091.439293981479</v>
      </c>
      <c r="E968" s="38">
        <v>45091</v>
      </c>
      <c r="F968" s="91">
        <v>2023</v>
      </c>
      <c r="G968" s="93">
        <v>6</v>
      </c>
      <c r="H968" s="37" t="s">
        <v>1361</v>
      </c>
      <c r="I968" s="37"/>
      <c r="J968" s="103">
        <v>-91.70692898341612</v>
      </c>
      <c r="K968" s="40">
        <v>42.744820411356855</v>
      </c>
      <c r="L968" s="74"/>
      <c r="M968" s="272" t="s">
        <v>3059</v>
      </c>
      <c r="N968" s="74">
        <v>1</v>
      </c>
      <c r="O968" s="94"/>
      <c r="P968" s="118">
        <v>1</v>
      </c>
      <c r="Q968" s="510">
        <v>120</v>
      </c>
      <c r="R968" s="513">
        <v>180</v>
      </c>
      <c r="S968" s="41"/>
      <c r="T968" s="40"/>
      <c r="U968" s="40">
        <v>7</v>
      </c>
      <c r="V968" s="119">
        <v>0</v>
      </c>
      <c r="W968" s="40"/>
      <c r="X968" s="119">
        <v>1</v>
      </c>
      <c r="Y968" s="40">
        <v>69</v>
      </c>
      <c r="Z968" s="119">
        <v>1</v>
      </c>
      <c r="AA968" s="368">
        <v>0</v>
      </c>
      <c r="AB968" s="535">
        <v>5</v>
      </c>
      <c r="AC968" s="39" t="s">
        <v>160</v>
      </c>
      <c r="AD968" s="75" t="s">
        <v>1622</v>
      </c>
      <c r="AE968" s="95">
        <v>1</v>
      </c>
      <c r="AF968" s="75">
        <v>1</v>
      </c>
      <c r="AG968" s="75">
        <v>0</v>
      </c>
      <c r="AH968" s="75">
        <v>0</v>
      </c>
      <c r="AI968" s="75">
        <v>0</v>
      </c>
      <c r="AJ968" s="75">
        <v>0</v>
      </c>
      <c r="AK968" s="75">
        <v>0</v>
      </c>
      <c r="AL968" s="95">
        <v>0</v>
      </c>
      <c r="AM968" s="92">
        <v>0</v>
      </c>
      <c r="AN968" s="79" t="s">
        <v>80</v>
      </c>
      <c r="AO968" s="75">
        <v>1</v>
      </c>
      <c r="AP968" s="75" t="s">
        <v>84</v>
      </c>
      <c r="AQ968" s="122">
        <v>1</v>
      </c>
      <c r="AR968" s="515" t="s">
        <v>10</v>
      </c>
      <c r="AS968" s="95">
        <v>0</v>
      </c>
      <c r="AT968" s="75">
        <v>0</v>
      </c>
      <c r="AU968" s="75">
        <v>0</v>
      </c>
      <c r="AV968" s="75">
        <v>0</v>
      </c>
      <c r="AW968" s="123">
        <v>0</v>
      </c>
      <c r="AX968" s="516"/>
      <c r="AY968" s="75">
        <v>0</v>
      </c>
      <c r="AZ968" s="77" t="s">
        <v>132</v>
      </c>
      <c r="BA968" s="78" t="s">
        <v>132</v>
      </c>
      <c r="BB968" s="78" t="s">
        <v>131</v>
      </c>
      <c r="BC968" s="78" t="s">
        <v>131</v>
      </c>
      <c r="BD968" s="78" t="s">
        <v>131</v>
      </c>
      <c r="BE968" s="78" t="s">
        <v>131</v>
      </c>
      <c r="BF968" s="78" t="s">
        <v>131</v>
      </c>
      <c r="BG968" s="78" t="s">
        <v>131</v>
      </c>
      <c r="BH968" s="75" t="s">
        <v>5970</v>
      </c>
      <c r="BI968" s="295" t="s">
        <v>2299</v>
      </c>
      <c r="BJ968" s="546" t="s">
        <v>16</v>
      </c>
      <c r="BK968" s="294" t="s">
        <v>16</v>
      </c>
      <c r="BL968" s="157" t="s">
        <v>16</v>
      </c>
      <c r="BM968" s="548" t="s">
        <v>1348</v>
      </c>
      <c r="BN968" s="548" t="s">
        <v>4160</v>
      </c>
      <c r="BO968" s="157" t="s">
        <v>4569</v>
      </c>
      <c r="BP968" s="548" t="s">
        <v>2299</v>
      </c>
      <c r="BQ968" s="157" t="s">
        <v>4563</v>
      </c>
      <c r="BR968" s="157"/>
    </row>
    <row r="969" spans="1:70" x14ac:dyDescent="0.25">
      <c r="A969" s="19" t="s">
        <v>3686</v>
      </c>
      <c r="B969" s="37" t="s">
        <v>3060</v>
      </c>
      <c r="C969" s="90">
        <v>45091.68645833333</v>
      </c>
      <c r="D969" s="114">
        <v>45091.43645833333</v>
      </c>
      <c r="E969" s="38">
        <v>45091</v>
      </c>
      <c r="F969" s="91">
        <v>2023</v>
      </c>
      <c r="G969" s="93">
        <v>6</v>
      </c>
      <c r="H969" s="37" t="s">
        <v>2400</v>
      </c>
      <c r="I969" s="37"/>
      <c r="J969" s="103">
        <v>-91.018014300000004</v>
      </c>
      <c r="K969" s="40">
        <v>43.074202</v>
      </c>
      <c r="L969" s="74"/>
      <c r="M969" s="272" t="s">
        <v>3061</v>
      </c>
      <c r="N969" s="74">
        <v>1</v>
      </c>
      <c r="O969" s="94"/>
      <c r="P969" s="118">
        <v>1</v>
      </c>
      <c r="Q969" s="510">
        <v>120</v>
      </c>
      <c r="R969" s="513">
        <v>180</v>
      </c>
      <c r="S969" s="41"/>
      <c r="T969" s="40"/>
      <c r="U969" s="40">
        <v>8</v>
      </c>
      <c r="V969" s="119">
        <v>1</v>
      </c>
      <c r="W969" s="40">
        <v>0</v>
      </c>
      <c r="X969" s="119">
        <v>1</v>
      </c>
      <c r="Y969" s="40">
        <v>58</v>
      </c>
      <c r="Z969" s="119">
        <v>1</v>
      </c>
      <c r="AA969" s="368">
        <v>0</v>
      </c>
      <c r="AB969" s="535">
        <v>2</v>
      </c>
      <c r="AC969" s="39" t="s">
        <v>160</v>
      </c>
      <c r="AD969" s="75" t="s">
        <v>10</v>
      </c>
      <c r="AE969" s="95">
        <v>0</v>
      </c>
      <c r="AF969" s="75">
        <v>0</v>
      </c>
      <c r="AG969" s="75">
        <v>0</v>
      </c>
      <c r="AH969" s="75">
        <v>0</v>
      </c>
      <c r="AI969" s="75">
        <v>0</v>
      </c>
      <c r="AJ969" s="75">
        <v>0</v>
      </c>
      <c r="AK969" s="75">
        <v>0</v>
      </c>
      <c r="AL969" s="95">
        <v>1</v>
      </c>
      <c r="AM969" s="92">
        <v>0</v>
      </c>
      <c r="AN969" s="79" t="s">
        <v>80</v>
      </c>
      <c r="AO969" s="75">
        <v>1</v>
      </c>
      <c r="AP969" s="75" t="s">
        <v>83</v>
      </c>
      <c r="AQ969" s="122">
        <v>1</v>
      </c>
      <c r="AR969" s="515" t="s">
        <v>10</v>
      </c>
      <c r="AS969" s="95">
        <v>0</v>
      </c>
      <c r="AT969" s="75">
        <v>0</v>
      </c>
      <c r="AU969" s="75">
        <v>0</v>
      </c>
      <c r="AV969" s="75">
        <v>0</v>
      </c>
      <c r="AW969" s="123">
        <v>0</v>
      </c>
      <c r="AX969" s="516" t="s">
        <v>3062</v>
      </c>
      <c r="AY969" s="75">
        <v>1</v>
      </c>
      <c r="AZ969" s="77" t="s">
        <v>131</v>
      </c>
      <c r="BA969" s="78" t="s">
        <v>131</v>
      </c>
      <c r="BB969" s="78" t="s">
        <v>131</v>
      </c>
      <c r="BC969" s="78" t="s">
        <v>131</v>
      </c>
      <c r="BD969" s="78" t="s">
        <v>131</v>
      </c>
      <c r="BE969" s="78" t="s">
        <v>131</v>
      </c>
      <c r="BF969" s="78" t="s">
        <v>131</v>
      </c>
      <c r="BG969" s="78" t="s">
        <v>132</v>
      </c>
      <c r="BH969" s="75" t="s">
        <v>5970</v>
      </c>
      <c r="BI969" s="295" t="s">
        <v>16</v>
      </c>
      <c r="BJ969" s="546">
        <v>1</v>
      </c>
      <c r="BK969" s="294">
        <v>1</v>
      </c>
      <c r="BL969" s="157">
        <v>1</v>
      </c>
      <c r="BM969" s="548" t="s">
        <v>1342</v>
      </c>
      <c r="BN969" s="548" t="s">
        <v>4158</v>
      </c>
      <c r="BO969" s="157" t="s">
        <v>4570</v>
      </c>
      <c r="BP969" s="548" t="s">
        <v>4105</v>
      </c>
      <c r="BQ969" s="157" t="s">
        <v>4432</v>
      </c>
      <c r="BR969" s="157"/>
    </row>
    <row r="970" spans="1:70" x14ac:dyDescent="0.25">
      <c r="A970" s="19" t="s">
        <v>3686</v>
      </c>
      <c r="B970" s="37" t="s">
        <v>3063</v>
      </c>
      <c r="C970" s="90">
        <v>45091.673622685186</v>
      </c>
      <c r="D970" s="114">
        <v>45091.423622685186</v>
      </c>
      <c r="E970" s="38">
        <v>45091</v>
      </c>
      <c r="F970" s="91">
        <v>2023</v>
      </c>
      <c r="G970" s="93">
        <v>6</v>
      </c>
      <c r="H970" s="37" t="s">
        <v>1361</v>
      </c>
      <c r="I970" s="37"/>
      <c r="J970" s="103">
        <v>-91.666429387490879</v>
      </c>
      <c r="K970" s="40">
        <v>42.754307552280608</v>
      </c>
      <c r="L970" s="74"/>
      <c r="M970" s="272" t="s">
        <v>3064</v>
      </c>
      <c r="N970" s="74">
        <v>1</v>
      </c>
      <c r="O970" s="94"/>
      <c r="P970" s="118">
        <v>1</v>
      </c>
      <c r="Q970" s="510">
        <v>0</v>
      </c>
      <c r="R970" s="513">
        <v>30</v>
      </c>
      <c r="S970" s="41"/>
      <c r="T970" s="40"/>
      <c r="U970" s="40">
        <v>7.5</v>
      </c>
      <c r="V970" s="119">
        <v>1</v>
      </c>
      <c r="W970" s="40">
        <v>0</v>
      </c>
      <c r="X970" s="119">
        <v>1</v>
      </c>
      <c r="Y970" s="40">
        <v>64</v>
      </c>
      <c r="Z970" s="119">
        <v>1</v>
      </c>
      <c r="AA970" s="368">
        <v>0</v>
      </c>
      <c r="AB970" s="535">
        <v>2</v>
      </c>
      <c r="AC970" s="39" t="s">
        <v>160</v>
      </c>
      <c r="AD970" s="75" t="s">
        <v>10</v>
      </c>
      <c r="AE970" s="95">
        <v>0</v>
      </c>
      <c r="AF970" s="75">
        <v>0</v>
      </c>
      <c r="AG970" s="75">
        <v>0</v>
      </c>
      <c r="AH970" s="75">
        <v>0</v>
      </c>
      <c r="AI970" s="75">
        <v>0</v>
      </c>
      <c r="AJ970" s="75">
        <v>0</v>
      </c>
      <c r="AK970" s="75">
        <v>0</v>
      </c>
      <c r="AL970" s="95">
        <v>1</v>
      </c>
      <c r="AM970" s="92">
        <v>0</v>
      </c>
      <c r="AN970" s="79" t="s">
        <v>80</v>
      </c>
      <c r="AO970" s="75">
        <v>1</v>
      </c>
      <c r="AP970" s="75" t="s">
        <v>84</v>
      </c>
      <c r="AQ970" s="122">
        <v>1</v>
      </c>
      <c r="AR970" s="515" t="s">
        <v>10</v>
      </c>
      <c r="AS970" s="95">
        <v>0</v>
      </c>
      <c r="AT970" s="75">
        <v>0</v>
      </c>
      <c r="AU970" s="75">
        <v>0</v>
      </c>
      <c r="AV970" s="75">
        <v>0</v>
      </c>
      <c r="AW970" s="123">
        <v>0</v>
      </c>
      <c r="AX970" s="516"/>
      <c r="AY970" s="75">
        <v>0</v>
      </c>
      <c r="AZ970" s="77" t="s">
        <v>131</v>
      </c>
      <c r="BA970" s="78" t="s">
        <v>131</v>
      </c>
      <c r="BB970" s="78" t="s">
        <v>131</v>
      </c>
      <c r="BC970" s="78" t="s">
        <v>131</v>
      </c>
      <c r="BD970" s="78" t="s">
        <v>131</v>
      </c>
      <c r="BE970" s="78" t="s">
        <v>131</v>
      </c>
      <c r="BF970" s="78" t="s">
        <v>131</v>
      </c>
      <c r="BG970" s="78" t="s">
        <v>132</v>
      </c>
      <c r="BH970" s="75" t="s">
        <v>5970</v>
      </c>
      <c r="BI970" s="295" t="s">
        <v>2299</v>
      </c>
      <c r="BJ970" s="546">
        <v>1</v>
      </c>
      <c r="BK970" s="294" t="s">
        <v>16</v>
      </c>
      <c r="BL970" s="157" t="s">
        <v>16</v>
      </c>
      <c r="BM970" s="548" t="s">
        <v>1348</v>
      </c>
      <c r="BN970" s="548" t="s">
        <v>4160</v>
      </c>
      <c r="BO970" s="157" t="s">
        <v>4569</v>
      </c>
      <c r="BP970" s="548" t="s">
        <v>2299</v>
      </c>
      <c r="BQ970" s="157" t="s">
        <v>4563</v>
      </c>
      <c r="BR970" s="157"/>
    </row>
    <row r="971" spans="1:70" x14ac:dyDescent="0.25">
      <c r="A971" s="19" t="s">
        <v>3686</v>
      </c>
      <c r="B971" s="37" t="s">
        <v>3065</v>
      </c>
      <c r="C971" s="90">
        <v>45091.673437500001</v>
      </c>
      <c r="D971" s="114">
        <v>45091.423437500001</v>
      </c>
      <c r="E971" s="38">
        <v>45091</v>
      </c>
      <c r="F971" s="91">
        <v>2023</v>
      </c>
      <c r="G971" s="93">
        <v>6</v>
      </c>
      <c r="H971" s="37" t="s">
        <v>2654</v>
      </c>
      <c r="I971" s="37"/>
      <c r="J971" s="103">
        <v>-91.3381823</v>
      </c>
      <c r="K971" s="40">
        <v>44.2372516</v>
      </c>
      <c r="L971" s="74"/>
      <c r="M971" s="272" t="s">
        <v>3066</v>
      </c>
      <c r="N971" s="74">
        <v>1</v>
      </c>
      <c r="O971" s="94"/>
      <c r="P971" s="118">
        <v>1</v>
      </c>
      <c r="Q971" s="510">
        <v>120</v>
      </c>
      <c r="R971" s="513">
        <v>120</v>
      </c>
      <c r="S971" s="41"/>
      <c r="T971" s="40"/>
      <c r="U971" s="40">
        <v>7.5</v>
      </c>
      <c r="V971" s="119">
        <v>1</v>
      </c>
      <c r="W971" s="40">
        <v>0</v>
      </c>
      <c r="X971" s="119">
        <v>1</v>
      </c>
      <c r="Y971" s="40">
        <v>52</v>
      </c>
      <c r="Z971" s="119">
        <v>1</v>
      </c>
      <c r="AA971" s="368">
        <v>0</v>
      </c>
      <c r="AB971" s="535">
        <v>2</v>
      </c>
      <c r="AC971" s="39" t="s">
        <v>160</v>
      </c>
      <c r="AD971" s="75" t="s">
        <v>10</v>
      </c>
      <c r="AE971" s="95">
        <v>0</v>
      </c>
      <c r="AF971" s="75">
        <v>0</v>
      </c>
      <c r="AG971" s="75">
        <v>0</v>
      </c>
      <c r="AH971" s="75">
        <v>0</v>
      </c>
      <c r="AI971" s="75">
        <v>0</v>
      </c>
      <c r="AJ971" s="75">
        <v>0</v>
      </c>
      <c r="AK971" s="75">
        <v>0</v>
      </c>
      <c r="AL971" s="95">
        <v>1</v>
      </c>
      <c r="AM971" s="92">
        <v>0</v>
      </c>
      <c r="AN971" s="79" t="s">
        <v>80</v>
      </c>
      <c r="AO971" s="75">
        <v>1</v>
      </c>
      <c r="AP971" s="75" t="s">
        <v>83</v>
      </c>
      <c r="AQ971" s="122">
        <v>1</v>
      </c>
      <c r="AR971" s="515" t="s">
        <v>10</v>
      </c>
      <c r="AS971" s="95">
        <v>0</v>
      </c>
      <c r="AT971" s="75">
        <v>0</v>
      </c>
      <c r="AU971" s="75">
        <v>0</v>
      </c>
      <c r="AV971" s="75">
        <v>0</v>
      </c>
      <c r="AW971" s="123">
        <v>0</v>
      </c>
      <c r="AX971" s="516"/>
      <c r="AY971" s="75">
        <v>0</v>
      </c>
      <c r="AZ971" s="77" t="s">
        <v>131</v>
      </c>
      <c r="BA971" s="78" t="s">
        <v>131</v>
      </c>
      <c r="BB971" s="78" t="s">
        <v>131</v>
      </c>
      <c r="BC971" s="78" t="s">
        <v>131</v>
      </c>
      <c r="BD971" s="78" t="s">
        <v>131</v>
      </c>
      <c r="BE971" s="78" t="s">
        <v>131</v>
      </c>
      <c r="BF971" s="78" t="s">
        <v>131</v>
      </c>
      <c r="BG971" s="78" t="s">
        <v>132</v>
      </c>
      <c r="BH971" s="75" t="s">
        <v>5970</v>
      </c>
      <c r="BI971" s="295" t="s">
        <v>2321</v>
      </c>
      <c r="BJ971" s="546">
        <v>1</v>
      </c>
      <c r="BK971" s="294">
        <v>1</v>
      </c>
      <c r="BL971" s="157">
        <v>1</v>
      </c>
      <c r="BM971" s="548" t="s">
        <v>1340</v>
      </c>
      <c r="BN971" s="548" t="s">
        <v>4158</v>
      </c>
      <c r="BO971" s="157" t="s">
        <v>4575</v>
      </c>
      <c r="BP971" s="548" t="s">
        <v>2321</v>
      </c>
      <c r="BQ971" s="157" t="s">
        <v>4447</v>
      </c>
      <c r="BR971" s="157"/>
    </row>
    <row r="972" spans="1:70" x14ac:dyDescent="0.25">
      <c r="A972" s="19" t="s">
        <v>3686</v>
      </c>
      <c r="B972" s="37" t="s">
        <v>3067</v>
      </c>
      <c r="C972" s="90">
        <v>45091.667673611111</v>
      </c>
      <c r="D972" s="114">
        <v>45091.417673611111</v>
      </c>
      <c r="E972" s="38">
        <v>45091</v>
      </c>
      <c r="F972" s="91">
        <v>2023</v>
      </c>
      <c r="G972" s="93">
        <v>6</v>
      </c>
      <c r="H972" s="37" t="s">
        <v>2400</v>
      </c>
      <c r="I972" s="37" t="s">
        <v>16</v>
      </c>
      <c r="J972" s="103">
        <v>-91.026649199999994</v>
      </c>
      <c r="K972" s="40">
        <v>43.0774513</v>
      </c>
      <c r="L972" s="74"/>
      <c r="M972" s="272" t="s">
        <v>3068</v>
      </c>
      <c r="N972" s="74">
        <v>1</v>
      </c>
      <c r="O972" s="94"/>
      <c r="P972" s="118">
        <v>1</v>
      </c>
      <c r="Q972" s="510">
        <v>120</v>
      </c>
      <c r="R972" s="513">
        <v>180</v>
      </c>
      <c r="S972" s="41"/>
      <c r="T972" s="40"/>
      <c r="U972" s="40">
        <v>7.5</v>
      </c>
      <c r="V972" s="119">
        <v>1</v>
      </c>
      <c r="W972" s="40">
        <v>0</v>
      </c>
      <c r="X972" s="119">
        <v>1</v>
      </c>
      <c r="Y972" s="40">
        <v>57</v>
      </c>
      <c r="Z972" s="119">
        <v>1</v>
      </c>
      <c r="AA972" s="368">
        <v>0</v>
      </c>
      <c r="AB972" s="535">
        <v>2</v>
      </c>
      <c r="AC972" s="39" t="s">
        <v>160</v>
      </c>
      <c r="AD972" s="75" t="s">
        <v>10</v>
      </c>
      <c r="AE972" s="95">
        <v>0</v>
      </c>
      <c r="AF972" s="75">
        <v>0</v>
      </c>
      <c r="AG972" s="75">
        <v>0</v>
      </c>
      <c r="AH972" s="75">
        <v>0</v>
      </c>
      <c r="AI972" s="75">
        <v>0</v>
      </c>
      <c r="AJ972" s="75">
        <v>0</v>
      </c>
      <c r="AK972" s="75">
        <v>0</v>
      </c>
      <c r="AL972" s="95">
        <v>1</v>
      </c>
      <c r="AM972" s="92">
        <v>0</v>
      </c>
      <c r="AN972" s="79" t="s">
        <v>80</v>
      </c>
      <c r="AO972" s="75">
        <v>1</v>
      </c>
      <c r="AP972" s="75" t="s">
        <v>83</v>
      </c>
      <c r="AQ972" s="122">
        <v>1</v>
      </c>
      <c r="AR972" s="515" t="s">
        <v>10</v>
      </c>
      <c r="AS972" s="95">
        <v>0</v>
      </c>
      <c r="AT972" s="75">
        <v>0</v>
      </c>
      <c r="AU972" s="75">
        <v>0</v>
      </c>
      <c r="AV972" s="75">
        <v>0</v>
      </c>
      <c r="AW972" s="123">
        <v>0</v>
      </c>
      <c r="AX972" s="516" t="s">
        <v>3069</v>
      </c>
      <c r="AY972" s="75">
        <v>1</v>
      </c>
      <c r="AZ972" s="77" t="s">
        <v>131</v>
      </c>
      <c r="BA972" s="78" t="s">
        <v>131</v>
      </c>
      <c r="BB972" s="78" t="s">
        <v>131</v>
      </c>
      <c r="BC972" s="78" t="s">
        <v>131</v>
      </c>
      <c r="BD972" s="78" t="s">
        <v>131</v>
      </c>
      <c r="BE972" s="78" t="s">
        <v>131</v>
      </c>
      <c r="BF972" s="78" t="s">
        <v>131</v>
      </c>
      <c r="BG972" s="78" t="s">
        <v>132</v>
      </c>
      <c r="BH972" s="75" t="s">
        <v>5970</v>
      </c>
      <c r="BI972" s="295" t="s">
        <v>4105</v>
      </c>
      <c r="BJ972" s="546">
        <v>1</v>
      </c>
      <c r="BK972" s="294">
        <v>1</v>
      </c>
      <c r="BL972" s="157">
        <v>1</v>
      </c>
      <c r="BM972" s="548" t="s">
        <v>1342</v>
      </c>
      <c r="BN972" s="548" t="s">
        <v>4158</v>
      </c>
      <c r="BO972" s="157" t="s">
        <v>4570</v>
      </c>
      <c r="BP972" s="548" t="s">
        <v>4105</v>
      </c>
      <c r="BQ972" s="157" t="s">
        <v>4432</v>
      </c>
      <c r="BR972" s="157"/>
    </row>
    <row r="973" spans="1:70" x14ac:dyDescent="0.25">
      <c r="A973" s="19" t="s">
        <v>3686</v>
      </c>
      <c r="B973" s="37" t="s">
        <v>3070</v>
      </c>
      <c r="C973" s="90">
        <v>45091.655601851853</v>
      </c>
      <c r="D973" s="114">
        <v>45091.405601851853</v>
      </c>
      <c r="E973" s="38">
        <v>45091</v>
      </c>
      <c r="F973" s="91">
        <v>2023</v>
      </c>
      <c r="G973" s="93">
        <v>6</v>
      </c>
      <c r="H973" s="37" t="s">
        <v>1361</v>
      </c>
      <c r="I973" s="37"/>
      <c r="J973" s="103">
        <v>-91.672716233964707</v>
      </c>
      <c r="K973" s="40">
        <v>42.770965327548581</v>
      </c>
      <c r="L973" s="74"/>
      <c r="M973" s="272" t="s">
        <v>3071</v>
      </c>
      <c r="N973" s="74">
        <v>1</v>
      </c>
      <c r="O973" s="94"/>
      <c r="P973" s="118">
        <v>1</v>
      </c>
      <c r="Q973" s="510">
        <v>40</v>
      </c>
      <c r="R973" s="513">
        <v>30</v>
      </c>
      <c r="S973" s="41"/>
      <c r="T973" s="40"/>
      <c r="U973" s="40">
        <v>7</v>
      </c>
      <c r="V973" s="119">
        <v>1</v>
      </c>
      <c r="W973" s="40">
        <v>100</v>
      </c>
      <c r="X973" s="119">
        <v>1</v>
      </c>
      <c r="Y973" s="40">
        <v>63</v>
      </c>
      <c r="Z973" s="119">
        <v>1</v>
      </c>
      <c r="AA973" s="368">
        <v>0</v>
      </c>
      <c r="AB973" s="535">
        <v>2</v>
      </c>
      <c r="AC973" s="39" t="s">
        <v>160</v>
      </c>
      <c r="AD973" s="75" t="s">
        <v>8</v>
      </c>
      <c r="AE973" s="95">
        <v>0</v>
      </c>
      <c r="AF973" s="75">
        <v>1</v>
      </c>
      <c r="AG973" s="75">
        <v>0</v>
      </c>
      <c r="AH973" s="75">
        <v>0</v>
      </c>
      <c r="AI973" s="75">
        <v>0</v>
      </c>
      <c r="AJ973" s="75">
        <v>0</v>
      </c>
      <c r="AK973" s="75">
        <v>0</v>
      </c>
      <c r="AL973" s="95">
        <v>0</v>
      </c>
      <c r="AM973" s="92">
        <v>0</v>
      </c>
      <c r="AN973" s="79" t="s">
        <v>80</v>
      </c>
      <c r="AO973" s="75">
        <v>1</v>
      </c>
      <c r="AP973" s="75" t="s">
        <v>83</v>
      </c>
      <c r="AQ973" s="122">
        <v>1</v>
      </c>
      <c r="AR973" s="515" t="s">
        <v>10</v>
      </c>
      <c r="AS973" s="95">
        <v>0</v>
      </c>
      <c r="AT973" s="75">
        <v>0</v>
      </c>
      <c r="AU973" s="75">
        <v>0</v>
      </c>
      <c r="AV973" s="75">
        <v>0</v>
      </c>
      <c r="AW973" s="123">
        <v>0</v>
      </c>
      <c r="AX973" s="516"/>
      <c r="AY973" s="75">
        <v>0</v>
      </c>
      <c r="AZ973" s="77" t="s">
        <v>131</v>
      </c>
      <c r="BA973" s="78" t="s">
        <v>132</v>
      </c>
      <c r="BB973" s="78" t="s">
        <v>131</v>
      </c>
      <c r="BC973" s="78" t="s">
        <v>131</v>
      </c>
      <c r="BD973" s="78" t="s">
        <v>131</v>
      </c>
      <c r="BE973" s="78" t="s">
        <v>131</v>
      </c>
      <c r="BF973" s="78" t="s">
        <v>131</v>
      </c>
      <c r="BG973" s="78" t="s">
        <v>131</v>
      </c>
      <c r="BH973" s="75" t="s">
        <v>5970</v>
      </c>
      <c r="BI973" s="295" t="s">
        <v>2299</v>
      </c>
      <c r="BJ973" s="546">
        <v>1</v>
      </c>
      <c r="BK973" s="294" t="s">
        <v>16</v>
      </c>
      <c r="BL973" s="157" t="s">
        <v>16</v>
      </c>
      <c r="BM973" s="548" t="s">
        <v>1348</v>
      </c>
      <c r="BN973" s="548" t="s">
        <v>4160</v>
      </c>
      <c r="BO973" s="157" t="s">
        <v>4569</v>
      </c>
      <c r="BP973" s="548" t="s">
        <v>2299</v>
      </c>
      <c r="BQ973" s="157" t="s">
        <v>4563</v>
      </c>
      <c r="BR973" s="157"/>
    </row>
    <row r="974" spans="1:70" x14ac:dyDescent="0.25">
      <c r="A974" s="19" t="s">
        <v>3686</v>
      </c>
      <c r="B974" s="37" t="s">
        <v>3072</v>
      </c>
      <c r="C974" s="90">
        <v>45091.603252314817</v>
      </c>
      <c r="D974" s="114">
        <v>45091.353252314817</v>
      </c>
      <c r="E974" s="38">
        <v>45091</v>
      </c>
      <c r="F974" s="91">
        <v>2023</v>
      </c>
      <c r="G974" s="93">
        <v>6</v>
      </c>
      <c r="H974" s="37" t="s">
        <v>1361</v>
      </c>
      <c r="I974" s="37" t="s">
        <v>16</v>
      </c>
      <c r="J974" s="103">
        <v>-91.685911025937344</v>
      </c>
      <c r="K974" s="40">
        <v>42.805041912982986</v>
      </c>
      <c r="L974" s="74"/>
      <c r="M974" s="272" t="s">
        <v>3073</v>
      </c>
      <c r="N974" s="74">
        <v>1</v>
      </c>
      <c r="O974" s="94"/>
      <c r="P974" s="118">
        <v>1</v>
      </c>
      <c r="Q974" s="510">
        <v>180</v>
      </c>
      <c r="R974" s="513">
        <v>180</v>
      </c>
      <c r="S974" s="41"/>
      <c r="T974" s="40"/>
      <c r="U974" s="40">
        <v>8</v>
      </c>
      <c r="V974" s="119">
        <v>1</v>
      </c>
      <c r="W974" s="40">
        <v>100</v>
      </c>
      <c r="X974" s="119">
        <v>1</v>
      </c>
      <c r="Y974" s="40">
        <v>62</v>
      </c>
      <c r="Z974" s="119">
        <v>1</v>
      </c>
      <c r="AA974" s="368">
        <v>0</v>
      </c>
      <c r="AB974" s="535">
        <v>2</v>
      </c>
      <c r="AC974" s="39" t="s">
        <v>160</v>
      </c>
      <c r="AD974" s="75" t="s">
        <v>10</v>
      </c>
      <c r="AE974" s="95">
        <v>0</v>
      </c>
      <c r="AF974" s="75">
        <v>0</v>
      </c>
      <c r="AG974" s="75">
        <v>0</v>
      </c>
      <c r="AH974" s="75">
        <v>0</v>
      </c>
      <c r="AI974" s="75">
        <v>0</v>
      </c>
      <c r="AJ974" s="75">
        <v>0</v>
      </c>
      <c r="AK974" s="75">
        <v>0</v>
      </c>
      <c r="AL974" s="95">
        <v>1</v>
      </c>
      <c r="AM974" s="92">
        <v>0</v>
      </c>
      <c r="AN974" s="79" t="s">
        <v>80</v>
      </c>
      <c r="AO974" s="75">
        <v>1</v>
      </c>
      <c r="AP974" s="75" t="s">
        <v>83</v>
      </c>
      <c r="AQ974" s="122">
        <v>1</v>
      </c>
      <c r="AR974" s="515" t="s">
        <v>10</v>
      </c>
      <c r="AS974" s="95">
        <v>0</v>
      </c>
      <c r="AT974" s="75">
        <v>0</v>
      </c>
      <c r="AU974" s="75">
        <v>0</v>
      </c>
      <c r="AV974" s="75">
        <v>0</v>
      </c>
      <c r="AW974" s="123">
        <v>0</v>
      </c>
      <c r="AX974" s="516"/>
      <c r="AY974" s="75">
        <v>0</v>
      </c>
      <c r="AZ974" s="77" t="s">
        <v>131</v>
      </c>
      <c r="BA974" s="78" t="s">
        <v>131</v>
      </c>
      <c r="BB974" s="78" t="s">
        <v>131</v>
      </c>
      <c r="BC974" s="78" t="s">
        <v>131</v>
      </c>
      <c r="BD974" s="78" t="s">
        <v>131</v>
      </c>
      <c r="BE974" s="78" t="s">
        <v>131</v>
      </c>
      <c r="BF974" s="78" t="s">
        <v>131</v>
      </c>
      <c r="BG974" s="78" t="s">
        <v>132</v>
      </c>
      <c r="BH974" s="75" t="s">
        <v>5970</v>
      </c>
      <c r="BI974" s="295" t="s">
        <v>2260</v>
      </c>
      <c r="BJ974" s="546">
        <v>1</v>
      </c>
      <c r="BK974" s="294" t="s">
        <v>16</v>
      </c>
      <c r="BL974" s="157" t="s">
        <v>16</v>
      </c>
      <c r="BM974" s="548" t="s">
        <v>1348</v>
      </c>
      <c r="BN974" s="548" t="s">
        <v>4160</v>
      </c>
      <c r="BO974" s="157" t="s">
        <v>4569</v>
      </c>
      <c r="BP974" s="548" t="s">
        <v>2299</v>
      </c>
      <c r="BQ974" s="157" t="s">
        <v>4563</v>
      </c>
      <c r="BR974" s="157"/>
    </row>
    <row r="975" spans="1:70" x14ac:dyDescent="0.25">
      <c r="A975" s="19" t="s">
        <v>3686</v>
      </c>
      <c r="B975" s="37" t="s">
        <v>3074</v>
      </c>
      <c r="C975" s="90">
        <v>45091.589039351849</v>
      </c>
      <c r="D975" s="114">
        <v>45091.339039351849</v>
      </c>
      <c r="E975" s="38">
        <v>45091</v>
      </c>
      <c r="F975" s="91">
        <v>2023</v>
      </c>
      <c r="G975" s="93">
        <v>6</v>
      </c>
      <c r="H975" s="37" t="s">
        <v>2654</v>
      </c>
      <c r="I975" s="37"/>
      <c r="J975" s="103">
        <v>-91.323910299999994</v>
      </c>
      <c r="K975" s="40">
        <v>44.225473399999998</v>
      </c>
      <c r="L975" s="74"/>
      <c r="M975" s="272" t="s">
        <v>3075</v>
      </c>
      <c r="N975" s="74">
        <v>1</v>
      </c>
      <c r="O975" s="94"/>
      <c r="P975" s="118">
        <v>1</v>
      </c>
      <c r="Q975" s="510">
        <v>80</v>
      </c>
      <c r="R975" s="513">
        <v>120</v>
      </c>
      <c r="S975" s="41"/>
      <c r="T975" s="40"/>
      <c r="U975" s="40">
        <v>7</v>
      </c>
      <c r="V975" s="119">
        <v>1</v>
      </c>
      <c r="W975" s="40">
        <v>0</v>
      </c>
      <c r="X975" s="119">
        <v>1</v>
      </c>
      <c r="Y975" s="40">
        <v>52</v>
      </c>
      <c r="Z975" s="119">
        <v>1</v>
      </c>
      <c r="AA975" s="368">
        <v>0</v>
      </c>
      <c r="AB975" s="535">
        <v>2</v>
      </c>
      <c r="AC975" s="39" t="s">
        <v>160</v>
      </c>
      <c r="AD975" s="75" t="s">
        <v>10</v>
      </c>
      <c r="AE975" s="95">
        <v>0</v>
      </c>
      <c r="AF975" s="75">
        <v>0</v>
      </c>
      <c r="AG975" s="75">
        <v>0</v>
      </c>
      <c r="AH975" s="75">
        <v>0</v>
      </c>
      <c r="AI975" s="75">
        <v>0</v>
      </c>
      <c r="AJ975" s="75">
        <v>0</v>
      </c>
      <c r="AK975" s="75">
        <v>0</v>
      </c>
      <c r="AL975" s="95">
        <v>1</v>
      </c>
      <c r="AM975" s="92">
        <v>0</v>
      </c>
      <c r="AN975" s="79" t="s">
        <v>80</v>
      </c>
      <c r="AO975" s="75">
        <v>1</v>
      </c>
      <c r="AP975" s="75" t="s">
        <v>83</v>
      </c>
      <c r="AQ975" s="122">
        <v>1</v>
      </c>
      <c r="AR975" s="515" t="s">
        <v>10</v>
      </c>
      <c r="AS975" s="95">
        <v>0</v>
      </c>
      <c r="AT975" s="75">
        <v>0</v>
      </c>
      <c r="AU975" s="75">
        <v>0</v>
      </c>
      <c r="AV975" s="75">
        <v>0</v>
      </c>
      <c r="AW975" s="123">
        <v>0</v>
      </c>
      <c r="AX975" s="516"/>
      <c r="AY975" s="75">
        <v>0</v>
      </c>
      <c r="AZ975" s="77" t="s">
        <v>131</v>
      </c>
      <c r="BA975" s="78" t="s">
        <v>131</v>
      </c>
      <c r="BB975" s="78" t="s">
        <v>131</v>
      </c>
      <c r="BC975" s="78" t="s">
        <v>131</v>
      </c>
      <c r="BD975" s="78" t="s">
        <v>131</v>
      </c>
      <c r="BE975" s="78" t="s">
        <v>131</v>
      </c>
      <c r="BF975" s="78" t="s">
        <v>131</v>
      </c>
      <c r="BG975" s="78" t="s">
        <v>132</v>
      </c>
      <c r="BH975" s="75" t="s">
        <v>5970</v>
      </c>
      <c r="BI975" s="295" t="s">
        <v>2321</v>
      </c>
      <c r="BJ975" s="546">
        <v>1</v>
      </c>
      <c r="BK975" s="294">
        <v>1</v>
      </c>
      <c r="BL975" s="157">
        <v>1</v>
      </c>
      <c r="BM975" s="548" t="s">
        <v>1340</v>
      </c>
      <c r="BN975" s="548" t="s">
        <v>4158</v>
      </c>
      <c r="BO975" s="157" t="s">
        <v>4575</v>
      </c>
      <c r="BP975" s="548" t="s">
        <v>2321</v>
      </c>
      <c r="BQ975" s="157" t="s">
        <v>4447</v>
      </c>
      <c r="BR975" s="157"/>
    </row>
    <row r="976" spans="1:70" x14ac:dyDescent="0.25">
      <c r="A976" s="19" t="s">
        <v>3686</v>
      </c>
      <c r="B976" s="37" t="s">
        <v>3076</v>
      </c>
      <c r="C976" s="90">
        <v>45091.576909722222</v>
      </c>
      <c r="D976" s="114">
        <v>45091.326909722222</v>
      </c>
      <c r="E976" s="38">
        <v>45091</v>
      </c>
      <c r="F976" s="91">
        <v>2023</v>
      </c>
      <c r="G976" s="93">
        <v>6</v>
      </c>
      <c r="H976" s="37" t="s">
        <v>2548</v>
      </c>
      <c r="I976" s="37"/>
      <c r="J976" s="103">
        <v>-91.027090041318317</v>
      </c>
      <c r="K976" s="40">
        <v>43.089170790619171</v>
      </c>
      <c r="L976" s="74"/>
      <c r="M976" s="272" t="s">
        <v>3077</v>
      </c>
      <c r="N976" s="74">
        <v>1</v>
      </c>
      <c r="O976" s="94"/>
      <c r="P976" s="118">
        <v>1</v>
      </c>
      <c r="Q976" s="510">
        <v>180</v>
      </c>
      <c r="R976" s="513">
        <v>180</v>
      </c>
      <c r="S976" s="41"/>
      <c r="T976" s="40"/>
      <c r="U976" s="40">
        <v>8</v>
      </c>
      <c r="V976" s="119">
        <v>1</v>
      </c>
      <c r="W976" s="40">
        <v>0</v>
      </c>
      <c r="X976" s="119">
        <v>1</v>
      </c>
      <c r="Y976" s="40">
        <v>52</v>
      </c>
      <c r="Z976" s="119">
        <v>1</v>
      </c>
      <c r="AA976" s="368">
        <v>0</v>
      </c>
      <c r="AB976" s="535">
        <v>2</v>
      </c>
      <c r="AC976" s="39" t="s">
        <v>160</v>
      </c>
      <c r="AD976" s="75" t="s">
        <v>10</v>
      </c>
      <c r="AE976" s="95">
        <v>0</v>
      </c>
      <c r="AF976" s="75">
        <v>0</v>
      </c>
      <c r="AG976" s="75">
        <v>0</v>
      </c>
      <c r="AH976" s="75">
        <v>0</v>
      </c>
      <c r="AI976" s="75">
        <v>0</v>
      </c>
      <c r="AJ976" s="75">
        <v>0</v>
      </c>
      <c r="AK976" s="75">
        <v>0</v>
      </c>
      <c r="AL976" s="95">
        <v>1</v>
      </c>
      <c r="AM976" s="92">
        <v>0</v>
      </c>
      <c r="AN976" s="79" t="s">
        <v>80</v>
      </c>
      <c r="AO976" s="75">
        <v>1</v>
      </c>
      <c r="AP976" s="75" t="s">
        <v>83</v>
      </c>
      <c r="AQ976" s="122">
        <v>1</v>
      </c>
      <c r="AR976" s="515" t="s">
        <v>10</v>
      </c>
      <c r="AS976" s="95">
        <v>0</v>
      </c>
      <c r="AT976" s="75">
        <v>0</v>
      </c>
      <c r="AU976" s="75">
        <v>0</v>
      </c>
      <c r="AV976" s="75">
        <v>0</v>
      </c>
      <c r="AW976" s="123">
        <v>0</v>
      </c>
      <c r="AX976" s="516"/>
      <c r="AY976" s="75">
        <v>0</v>
      </c>
      <c r="AZ976" s="77" t="s">
        <v>131</v>
      </c>
      <c r="BA976" s="78" t="s">
        <v>131</v>
      </c>
      <c r="BB976" s="78" t="s">
        <v>131</v>
      </c>
      <c r="BC976" s="78" t="s">
        <v>131</v>
      </c>
      <c r="BD976" s="78" t="s">
        <v>131</v>
      </c>
      <c r="BE976" s="78" t="s">
        <v>131</v>
      </c>
      <c r="BF976" s="78" t="s">
        <v>131</v>
      </c>
      <c r="BG976" s="78" t="s">
        <v>132</v>
      </c>
      <c r="BH976" s="75" t="s">
        <v>5970</v>
      </c>
      <c r="BI976" s="295" t="s">
        <v>4105</v>
      </c>
      <c r="BJ976" s="546">
        <v>1</v>
      </c>
      <c r="BK976" s="294" t="s">
        <v>16</v>
      </c>
      <c r="BL976" s="157" t="s">
        <v>16</v>
      </c>
      <c r="BM976" s="548" t="s">
        <v>1342</v>
      </c>
      <c r="BN976" s="548" t="s">
        <v>4158</v>
      </c>
      <c r="BO976" s="157" t="s">
        <v>4570</v>
      </c>
      <c r="BP976" s="548" t="s">
        <v>4105</v>
      </c>
      <c r="BQ976" s="157" t="s">
        <v>4432</v>
      </c>
      <c r="BR976" s="157"/>
    </row>
    <row r="977" spans="1:70" x14ac:dyDescent="0.25">
      <c r="A977" s="19" t="s">
        <v>3686</v>
      </c>
      <c r="B977" s="37" t="s">
        <v>3078</v>
      </c>
      <c r="C977" s="90">
        <v>45090.994895833333</v>
      </c>
      <c r="D977" s="114">
        <v>45090.744895833333</v>
      </c>
      <c r="E977" s="38">
        <v>45090</v>
      </c>
      <c r="F977" s="91">
        <v>2023</v>
      </c>
      <c r="G977" s="93">
        <v>6</v>
      </c>
      <c r="H977" s="37" t="s">
        <v>1391</v>
      </c>
      <c r="I977" s="37" t="s">
        <v>960</v>
      </c>
      <c r="J977" s="103">
        <v>-93.009014139038527</v>
      </c>
      <c r="K977" s="40">
        <v>44.657258908305927</v>
      </c>
      <c r="L977" s="74"/>
      <c r="M977" s="272" t="s">
        <v>16</v>
      </c>
      <c r="N977" s="74">
        <v>0</v>
      </c>
      <c r="O977" s="94"/>
      <c r="P977" s="118">
        <v>1</v>
      </c>
      <c r="Q977" s="510">
        <v>180</v>
      </c>
      <c r="R977" s="513">
        <v>180</v>
      </c>
      <c r="S977" s="41"/>
      <c r="T977" s="40"/>
      <c r="U977" s="40">
        <v>7.5</v>
      </c>
      <c r="V977" s="119">
        <v>1</v>
      </c>
      <c r="W977" s="40">
        <v>100</v>
      </c>
      <c r="X977" s="119">
        <v>1</v>
      </c>
      <c r="Y977" s="40">
        <v>64</v>
      </c>
      <c r="Z977" s="119">
        <v>1</v>
      </c>
      <c r="AA977" s="368">
        <v>0</v>
      </c>
      <c r="AB977" s="535">
        <v>5</v>
      </c>
      <c r="AC977" s="39" t="s">
        <v>160</v>
      </c>
      <c r="AD977" s="75" t="s">
        <v>16</v>
      </c>
      <c r="AE977" s="95">
        <v>-1</v>
      </c>
      <c r="AF977" s="75">
        <v>-1</v>
      </c>
      <c r="AG977" s="75">
        <v>-1</v>
      </c>
      <c r="AH977" s="75">
        <v>-1</v>
      </c>
      <c r="AI977" s="75">
        <v>-1</v>
      </c>
      <c r="AJ977" s="75">
        <v>-1</v>
      </c>
      <c r="AK977" s="75">
        <v>-1</v>
      </c>
      <c r="AL977" s="95">
        <v>-1</v>
      </c>
      <c r="AM977" s="92">
        <v>1</v>
      </c>
      <c r="AN977" s="79" t="s">
        <v>80</v>
      </c>
      <c r="AO977" s="75">
        <v>1</v>
      </c>
      <c r="AP977" s="75" t="s">
        <v>83</v>
      </c>
      <c r="AQ977" s="122">
        <v>1</v>
      </c>
      <c r="AR977" s="515" t="s">
        <v>10</v>
      </c>
      <c r="AS977" s="95">
        <v>0</v>
      </c>
      <c r="AT977" s="75">
        <v>0</v>
      </c>
      <c r="AU977" s="75">
        <v>0</v>
      </c>
      <c r="AV977" s="75">
        <v>0</v>
      </c>
      <c r="AW977" s="123">
        <v>0</v>
      </c>
      <c r="AX977" s="516"/>
      <c r="AY977" s="75">
        <v>0</v>
      </c>
      <c r="AZ977" s="77" t="s">
        <v>5971</v>
      </c>
      <c r="BA977" s="78" t="s">
        <v>5971</v>
      </c>
      <c r="BB977" s="78" t="s">
        <v>5971</v>
      </c>
      <c r="BC977" s="78" t="s">
        <v>5971</v>
      </c>
      <c r="BD977" s="78" t="s">
        <v>5971</v>
      </c>
      <c r="BE977" s="78" t="s">
        <v>5971</v>
      </c>
      <c r="BF977" s="78" t="s">
        <v>5971</v>
      </c>
      <c r="BG977" s="78" t="s">
        <v>5971</v>
      </c>
      <c r="BH977" s="75" t="s">
        <v>5971</v>
      </c>
      <c r="BI977" s="295" t="s">
        <v>2225</v>
      </c>
      <c r="BJ977" s="546">
        <v>1</v>
      </c>
      <c r="BK977" s="294" t="s">
        <v>16</v>
      </c>
      <c r="BL977" s="157" t="s">
        <v>16</v>
      </c>
      <c r="BM977" s="548" t="s">
        <v>2343</v>
      </c>
      <c r="BN977" s="548" t="s">
        <v>4161</v>
      </c>
      <c r="BO977" s="157" t="s">
        <v>4293</v>
      </c>
      <c r="BP977" s="548" t="s">
        <v>2225</v>
      </c>
      <c r="BQ977" s="157" t="s">
        <v>4292</v>
      </c>
      <c r="BR977" s="157"/>
    </row>
    <row r="978" spans="1:70" x14ac:dyDescent="0.25">
      <c r="A978" s="19" t="s">
        <v>3686</v>
      </c>
      <c r="B978" s="37" t="s">
        <v>3079</v>
      </c>
      <c r="C978" s="90">
        <v>45090.738935185182</v>
      </c>
      <c r="D978" s="114">
        <v>45090.488935185182</v>
      </c>
      <c r="E978" s="38">
        <v>45090</v>
      </c>
      <c r="F978" s="91">
        <v>2023</v>
      </c>
      <c r="G978" s="93">
        <v>6</v>
      </c>
      <c r="H978" s="37" t="s">
        <v>1361</v>
      </c>
      <c r="I978" s="37"/>
      <c r="J978" s="103">
        <v>-91.831520274367023</v>
      </c>
      <c r="K978" s="40">
        <v>42.818122794891536</v>
      </c>
      <c r="L978" s="74"/>
      <c r="M978" s="272" t="s">
        <v>3080</v>
      </c>
      <c r="N978" s="74">
        <v>1</v>
      </c>
      <c r="O978" s="94"/>
      <c r="P978" s="118">
        <v>1</v>
      </c>
      <c r="Q978" s="510">
        <v>120</v>
      </c>
      <c r="R978" s="513">
        <v>180</v>
      </c>
      <c r="S978" s="41"/>
      <c r="T978" s="40"/>
      <c r="U978" s="40">
        <v>8</v>
      </c>
      <c r="V978" s="119">
        <v>1</v>
      </c>
      <c r="W978" s="40">
        <v>100</v>
      </c>
      <c r="X978" s="119">
        <v>1</v>
      </c>
      <c r="Y978" s="40">
        <v>59</v>
      </c>
      <c r="Z978" s="119">
        <v>1</v>
      </c>
      <c r="AA978" s="368">
        <v>0</v>
      </c>
      <c r="AB978" s="535">
        <v>10</v>
      </c>
      <c r="AC978" s="39" t="s">
        <v>160</v>
      </c>
      <c r="AD978" s="75" t="s">
        <v>8</v>
      </c>
      <c r="AE978" s="95">
        <v>0</v>
      </c>
      <c r="AF978" s="75">
        <v>1</v>
      </c>
      <c r="AG978" s="75">
        <v>0</v>
      </c>
      <c r="AH978" s="75">
        <v>0</v>
      </c>
      <c r="AI978" s="75">
        <v>0</v>
      </c>
      <c r="AJ978" s="75">
        <v>0</v>
      </c>
      <c r="AK978" s="75">
        <v>0</v>
      </c>
      <c r="AL978" s="95">
        <v>0</v>
      </c>
      <c r="AM978" s="92">
        <v>0</v>
      </c>
      <c r="AN978" s="79" t="s">
        <v>80</v>
      </c>
      <c r="AO978" s="75">
        <v>1</v>
      </c>
      <c r="AP978" s="75" t="s">
        <v>84</v>
      </c>
      <c r="AQ978" s="122">
        <v>1</v>
      </c>
      <c r="AR978" s="515" t="s">
        <v>10</v>
      </c>
      <c r="AS978" s="95">
        <v>0</v>
      </c>
      <c r="AT978" s="75">
        <v>0</v>
      </c>
      <c r="AU978" s="75">
        <v>0</v>
      </c>
      <c r="AV978" s="75">
        <v>0</v>
      </c>
      <c r="AW978" s="123">
        <v>0</v>
      </c>
      <c r="AX978" s="516"/>
      <c r="AY978" s="75">
        <v>0</v>
      </c>
      <c r="AZ978" s="77" t="s">
        <v>131</v>
      </c>
      <c r="BA978" s="78" t="s">
        <v>132</v>
      </c>
      <c r="BB978" s="78" t="s">
        <v>131</v>
      </c>
      <c r="BC978" s="78" t="s">
        <v>131</v>
      </c>
      <c r="BD978" s="78" t="s">
        <v>131</v>
      </c>
      <c r="BE978" s="78" t="s">
        <v>131</v>
      </c>
      <c r="BF978" s="78" t="s">
        <v>131</v>
      </c>
      <c r="BG978" s="78" t="s">
        <v>131</v>
      </c>
      <c r="BH978" s="75" t="s">
        <v>5970</v>
      </c>
      <c r="BI978" s="295">
        <v>0</v>
      </c>
      <c r="BJ978" s="546" t="s">
        <v>16</v>
      </c>
      <c r="BK978" s="294" t="s">
        <v>16</v>
      </c>
      <c r="BL978" s="157" t="s">
        <v>16</v>
      </c>
      <c r="BM978" s="548" t="s">
        <v>1344</v>
      </c>
      <c r="BN978" s="548" t="s">
        <v>4160</v>
      </c>
      <c r="BO978" s="157" t="s">
        <v>4576</v>
      </c>
      <c r="BP978" s="548" t="s">
        <v>4577</v>
      </c>
      <c r="BQ978" s="157" t="s">
        <v>4571</v>
      </c>
      <c r="BR978" s="157"/>
    </row>
    <row r="979" spans="1:70" x14ac:dyDescent="0.25">
      <c r="A979" s="19" t="s">
        <v>3686</v>
      </c>
      <c r="B979" s="37" t="s">
        <v>3081</v>
      </c>
      <c r="C979" s="90">
        <v>45090.724930555552</v>
      </c>
      <c r="D979" s="114">
        <v>45090.474930555552</v>
      </c>
      <c r="E979" s="38">
        <v>45090</v>
      </c>
      <c r="F979" s="91">
        <v>2023</v>
      </c>
      <c r="G979" s="93">
        <v>6</v>
      </c>
      <c r="H979" s="37" t="s">
        <v>1361</v>
      </c>
      <c r="I979" s="37"/>
      <c r="J979" s="103">
        <v>-91.809970988046203</v>
      </c>
      <c r="K979" s="40">
        <v>42.818777337710202</v>
      </c>
      <c r="L979" s="74"/>
      <c r="M979" s="272" t="s">
        <v>3082</v>
      </c>
      <c r="N979" s="74">
        <v>1</v>
      </c>
      <c r="O979" s="94"/>
      <c r="P979" s="118">
        <v>1</v>
      </c>
      <c r="Q979" s="510">
        <v>180</v>
      </c>
      <c r="R979" s="513">
        <v>180</v>
      </c>
      <c r="S979" s="41"/>
      <c r="T979" s="40"/>
      <c r="U979" s="40">
        <v>8</v>
      </c>
      <c r="V979" s="119">
        <v>1</v>
      </c>
      <c r="W979" s="40">
        <v>100</v>
      </c>
      <c r="X979" s="119">
        <v>1</v>
      </c>
      <c r="Y979" s="40">
        <v>65</v>
      </c>
      <c r="Z979" s="119">
        <v>1</v>
      </c>
      <c r="AA979" s="368">
        <v>0</v>
      </c>
      <c r="AB979" s="535">
        <v>10</v>
      </c>
      <c r="AC979" s="39" t="s">
        <v>160</v>
      </c>
      <c r="AD979" s="75" t="s">
        <v>8</v>
      </c>
      <c r="AE979" s="95">
        <v>0</v>
      </c>
      <c r="AF979" s="75">
        <v>1</v>
      </c>
      <c r="AG979" s="75">
        <v>0</v>
      </c>
      <c r="AH979" s="75">
        <v>0</v>
      </c>
      <c r="AI979" s="75">
        <v>0</v>
      </c>
      <c r="AJ979" s="75">
        <v>0</v>
      </c>
      <c r="AK979" s="75">
        <v>0</v>
      </c>
      <c r="AL979" s="95">
        <v>0</v>
      </c>
      <c r="AM979" s="92">
        <v>0</v>
      </c>
      <c r="AN979" s="79" t="s">
        <v>80</v>
      </c>
      <c r="AO979" s="75">
        <v>1</v>
      </c>
      <c r="AP979" s="75" t="s">
        <v>83</v>
      </c>
      <c r="AQ979" s="122">
        <v>1</v>
      </c>
      <c r="AR979" s="515" t="s">
        <v>10</v>
      </c>
      <c r="AS979" s="95">
        <v>0</v>
      </c>
      <c r="AT979" s="75">
        <v>0</v>
      </c>
      <c r="AU979" s="75">
        <v>0</v>
      </c>
      <c r="AV979" s="75">
        <v>0</v>
      </c>
      <c r="AW979" s="123">
        <v>0</v>
      </c>
      <c r="AX979" s="516"/>
      <c r="AY979" s="75">
        <v>0</v>
      </c>
      <c r="AZ979" s="77" t="s">
        <v>131</v>
      </c>
      <c r="BA979" s="78" t="s">
        <v>132</v>
      </c>
      <c r="BB979" s="78" t="s">
        <v>131</v>
      </c>
      <c r="BC979" s="78" t="s">
        <v>131</v>
      </c>
      <c r="BD979" s="78" t="s">
        <v>131</v>
      </c>
      <c r="BE979" s="78" t="s">
        <v>131</v>
      </c>
      <c r="BF979" s="78" t="s">
        <v>131</v>
      </c>
      <c r="BG979" s="78" t="s">
        <v>131</v>
      </c>
      <c r="BH979" s="75" t="s">
        <v>5970</v>
      </c>
      <c r="BI979" s="295" t="s">
        <v>16</v>
      </c>
      <c r="BJ979" s="546" t="s">
        <v>16</v>
      </c>
      <c r="BK979" s="294" t="s">
        <v>16</v>
      </c>
      <c r="BL979" s="157" t="s">
        <v>16</v>
      </c>
      <c r="BM979" s="548" t="s">
        <v>1344</v>
      </c>
      <c r="BN979" s="548" t="s">
        <v>4160</v>
      </c>
      <c r="BO979" s="157" t="s">
        <v>4572</v>
      </c>
      <c r="BP979" s="548" t="s">
        <v>4574</v>
      </c>
      <c r="BQ979" s="157" t="s">
        <v>4571</v>
      </c>
      <c r="BR979" s="157"/>
    </row>
    <row r="980" spans="1:70" x14ac:dyDescent="0.25">
      <c r="A980" s="19" t="s">
        <v>3686</v>
      </c>
      <c r="B980" s="37" t="s">
        <v>3083</v>
      </c>
      <c r="C980" s="90">
        <v>45090.699571759258</v>
      </c>
      <c r="D980" s="114">
        <v>45090.449571759258</v>
      </c>
      <c r="E980" s="38">
        <v>45090</v>
      </c>
      <c r="F980" s="91">
        <v>2023</v>
      </c>
      <c r="G980" s="93">
        <v>6</v>
      </c>
      <c r="H980" s="37" t="s">
        <v>1361</v>
      </c>
      <c r="I980" s="37"/>
      <c r="J980" s="103">
        <v>-91.930739712055725</v>
      </c>
      <c r="K980" s="40">
        <v>42.832639622541919</v>
      </c>
      <c r="L980" s="74"/>
      <c r="M980" s="272" t="s">
        <v>3084</v>
      </c>
      <c r="N980" s="74">
        <v>1</v>
      </c>
      <c r="O980" s="94"/>
      <c r="P980" s="118">
        <v>1</v>
      </c>
      <c r="Q980" s="510">
        <v>40</v>
      </c>
      <c r="R980" s="513">
        <v>180</v>
      </c>
      <c r="S980" s="41"/>
      <c r="T980" s="40"/>
      <c r="U980" s="40">
        <v>7.5</v>
      </c>
      <c r="V980" s="119">
        <v>1</v>
      </c>
      <c r="W980" s="40">
        <v>0</v>
      </c>
      <c r="X980" s="119">
        <v>1</v>
      </c>
      <c r="Y980" s="40">
        <v>58</v>
      </c>
      <c r="Z980" s="119">
        <v>1</v>
      </c>
      <c r="AA980" s="368">
        <v>0</v>
      </c>
      <c r="AB980" s="535">
        <v>10</v>
      </c>
      <c r="AC980" s="39" t="s">
        <v>160</v>
      </c>
      <c r="AD980" s="75" t="s">
        <v>8</v>
      </c>
      <c r="AE980" s="95">
        <v>0</v>
      </c>
      <c r="AF980" s="75">
        <v>1</v>
      </c>
      <c r="AG980" s="75">
        <v>0</v>
      </c>
      <c r="AH980" s="75">
        <v>0</v>
      </c>
      <c r="AI980" s="75">
        <v>0</v>
      </c>
      <c r="AJ980" s="75">
        <v>0</v>
      </c>
      <c r="AK980" s="75">
        <v>0</v>
      </c>
      <c r="AL980" s="95">
        <v>0</v>
      </c>
      <c r="AM980" s="92">
        <v>0</v>
      </c>
      <c r="AN980" s="79" t="s">
        <v>80</v>
      </c>
      <c r="AO980" s="75">
        <v>1</v>
      </c>
      <c r="AP980" s="75" t="s">
        <v>84</v>
      </c>
      <c r="AQ980" s="122">
        <v>1</v>
      </c>
      <c r="AR980" s="515" t="s">
        <v>10</v>
      </c>
      <c r="AS980" s="95">
        <v>0</v>
      </c>
      <c r="AT980" s="75">
        <v>0</v>
      </c>
      <c r="AU980" s="75">
        <v>0</v>
      </c>
      <c r="AV980" s="75">
        <v>0</v>
      </c>
      <c r="AW980" s="123">
        <v>0</v>
      </c>
      <c r="AX980" s="516"/>
      <c r="AY980" s="75">
        <v>0</v>
      </c>
      <c r="AZ980" s="77" t="s">
        <v>131</v>
      </c>
      <c r="BA980" s="78" t="s">
        <v>132</v>
      </c>
      <c r="BB980" s="78" t="s">
        <v>131</v>
      </c>
      <c r="BC980" s="78" t="s">
        <v>131</v>
      </c>
      <c r="BD980" s="78" t="s">
        <v>131</v>
      </c>
      <c r="BE980" s="78" t="s">
        <v>131</v>
      </c>
      <c r="BF980" s="78" t="s">
        <v>131</v>
      </c>
      <c r="BG980" s="78" t="s">
        <v>131</v>
      </c>
      <c r="BH980" s="75" t="s">
        <v>5970</v>
      </c>
      <c r="BI980" s="295" t="s">
        <v>16</v>
      </c>
      <c r="BJ980" s="546" t="s">
        <v>16</v>
      </c>
      <c r="BK980" s="294" t="s">
        <v>16</v>
      </c>
      <c r="BL980" s="157" t="s">
        <v>16</v>
      </c>
      <c r="BM980" s="548" t="s">
        <v>1347</v>
      </c>
      <c r="BN980" s="548" t="s">
        <v>4160</v>
      </c>
      <c r="BO980" s="157" t="s">
        <v>4578</v>
      </c>
      <c r="BP980" s="548" t="s">
        <v>4573</v>
      </c>
      <c r="BQ980" s="157" t="s">
        <v>4571</v>
      </c>
      <c r="BR980" s="157"/>
    </row>
    <row r="981" spans="1:70" x14ac:dyDescent="0.25">
      <c r="A981" s="19" t="s">
        <v>3686</v>
      </c>
      <c r="B981" s="37" t="s">
        <v>3085</v>
      </c>
      <c r="C981" s="90">
        <v>45090.691064814811</v>
      </c>
      <c r="D981" s="114">
        <v>45090.441064814811</v>
      </c>
      <c r="E981" s="38">
        <v>45090</v>
      </c>
      <c r="F981" s="91">
        <v>2023</v>
      </c>
      <c r="G981" s="93">
        <v>6</v>
      </c>
      <c r="H981" s="37" t="s">
        <v>2654</v>
      </c>
      <c r="I981" s="37"/>
      <c r="J981" s="103">
        <v>-91.3016516</v>
      </c>
      <c r="K981" s="40">
        <v>44.218559599999999</v>
      </c>
      <c r="L981" s="74"/>
      <c r="M981" s="272" t="s">
        <v>3086</v>
      </c>
      <c r="N981" s="74">
        <v>1</v>
      </c>
      <c r="O981" s="94"/>
      <c r="P981" s="118">
        <v>1</v>
      </c>
      <c r="Q981" s="510">
        <v>80</v>
      </c>
      <c r="R981" s="513">
        <v>120</v>
      </c>
      <c r="S981" s="41"/>
      <c r="T981" s="40"/>
      <c r="U981" s="40">
        <v>7</v>
      </c>
      <c r="V981" s="119">
        <v>1</v>
      </c>
      <c r="W981" s="40">
        <v>100</v>
      </c>
      <c r="X981" s="119">
        <v>1</v>
      </c>
      <c r="Y981" s="40">
        <v>55</v>
      </c>
      <c r="Z981" s="119">
        <v>1</v>
      </c>
      <c r="AA981" s="368">
        <v>0</v>
      </c>
      <c r="AB981" s="535">
        <v>0</v>
      </c>
      <c r="AC981" s="39" t="s">
        <v>160</v>
      </c>
      <c r="AD981" s="75" t="s">
        <v>10</v>
      </c>
      <c r="AE981" s="95">
        <v>0</v>
      </c>
      <c r="AF981" s="75">
        <v>0</v>
      </c>
      <c r="AG981" s="75">
        <v>0</v>
      </c>
      <c r="AH981" s="75">
        <v>0</v>
      </c>
      <c r="AI981" s="75">
        <v>0</v>
      </c>
      <c r="AJ981" s="75">
        <v>0</v>
      </c>
      <c r="AK981" s="75">
        <v>0</v>
      </c>
      <c r="AL981" s="95">
        <v>1</v>
      </c>
      <c r="AM981" s="92">
        <v>0</v>
      </c>
      <c r="AN981" s="79" t="s">
        <v>80</v>
      </c>
      <c r="AO981" s="75">
        <v>1</v>
      </c>
      <c r="AP981" s="75" t="s">
        <v>83</v>
      </c>
      <c r="AQ981" s="122">
        <v>1</v>
      </c>
      <c r="AR981" s="515" t="s">
        <v>10</v>
      </c>
      <c r="AS981" s="95">
        <v>0</v>
      </c>
      <c r="AT981" s="75">
        <v>0</v>
      </c>
      <c r="AU981" s="75">
        <v>0</v>
      </c>
      <c r="AV981" s="75">
        <v>0</v>
      </c>
      <c r="AW981" s="123">
        <v>0</v>
      </c>
      <c r="AX981" s="516"/>
      <c r="AY981" s="75">
        <v>0</v>
      </c>
      <c r="AZ981" s="77" t="s">
        <v>131</v>
      </c>
      <c r="BA981" s="78" t="s">
        <v>131</v>
      </c>
      <c r="BB981" s="78" t="s">
        <v>131</v>
      </c>
      <c r="BC981" s="78" t="s">
        <v>131</v>
      </c>
      <c r="BD981" s="78" t="s">
        <v>131</v>
      </c>
      <c r="BE981" s="78" t="s">
        <v>131</v>
      </c>
      <c r="BF981" s="78" t="s">
        <v>131</v>
      </c>
      <c r="BG981" s="78" t="s">
        <v>132</v>
      </c>
      <c r="BH981" s="75" t="s">
        <v>5970</v>
      </c>
      <c r="BI981" s="295" t="s">
        <v>16</v>
      </c>
      <c r="BJ981" s="546">
        <v>1</v>
      </c>
      <c r="BK981" s="294" t="s">
        <v>16</v>
      </c>
      <c r="BL981" s="157" t="s">
        <v>16</v>
      </c>
      <c r="BM981" s="548" t="s">
        <v>1340</v>
      </c>
      <c r="BN981" s="548" t="s">
        <v>4158</v>
      </c>
      <c r="BO981" s="157" t="s">
        <v>4575</v>
      </c>
      <c r="BP981" s="548" t="s">
        <v>2321</v>
      </c>
      <c r="BQ981" s="157" t="s">
        <v>4447</v>
      </c>
      <c r="BR981" s="157"/>
    </row>
    <row r="982" spans="1:70" x14ac:dyDescent="0.25">
      <c r="A982" s="19" t="s">
        <v>3686</v>
      </c>
      <c r="B982" s="37" t="s">
        <v>3087</v>
      </c>
      <c r="C982" s="90">
        <v>45090.684652777774</v>
      </c>
      <c r="D982" s="114">
        <v>45090.434652777774</v>
      </c>
      <c r="E982" s="38">
        <v>45090</v>
      </c>
      <c r="F982" s="91">
        <v>2023</v>
      </c>
      <c r="G982" s="93">
        <v>6</v>
      </c>
      <c r="H982" s="37" t="s">
        <v>1361</v>
      </c>
      <c r="I982" s="37"/>
      <c r="J982" s="103">
        <v>-91.922494853000998</v>
      </c>
      <c r="K982" s="40">
        <v>42.798837628255413</v>
      </c>
      <c r="L982" s="74"/>
      <c r="M982" s="272" t="s">
        <v>3088</v>
      </c>
      <c r="N982" s="74">
        <v>1</v>
      </c>
      <c r="O982" s="94"/>
      <c r="P982" s="118">
        <v>1</v>
      </c>
      <c r="Q982" s="510">
        <v>180</v>
      </c>
      <c r="R982" s="513">
        <v>180</v>
      </c>
      <c r="S982" s="41"/>
      <c r="T982" s="40"/>
      <c r="U982" s="40">
        <v>8</v>
      </c>
      <c r="V982" s="119">
        <v>1</v>
      </c>
      <c r="W982" s="40">
        <v>100</v>
      </c>
      <c r="X982" s="119">
        <v>1</v>
      </c>
      <c r="Y982" s="40">
        <v>62</v>
      </c>
      <c r="Z982" s="119">
        <v>1</v>
      </c>
      <c r="AA982" s="368">
        <v>0</v>
      </c>
      <c r="AB982" s="535">
        <v>5</v>
      </c>
      <c r="AC982" s="39" t="s">
        <v>160</v>
      </c>
      <c r="AD982" s="75" t="s">
        <v>8</v>
      </c>
      <c r="AE982" s="95">
        <v>0</v>
      </c>
      <c r="AF982" s="75">
        <v>1</v>
      </c>
      <c r="AG982" s="75">
        <v>0</v>
      </c>
      <c r="AH982" s="75">
        <v>0</v>
      </c>
      <c r="AI982" s="75">
        <v>0</v>
      </c>
      <c r="AJ982" s="75">
        <v>0</v>
      </c>
      <c r="AK982" s="75">
        <v>0</v>
      </c>
      <c r="AL982" s="95">
        <v>0</v>
      </c>
      <c r="AM982" s="92">
        <v>0</v>
      </c>
      <c r="AN982" s="79" t="s">
        <v>80</v>
      </c>
      <c r="AO982" s="75">
        <v>1</v>
      </c>
      <c r="AP982" s="75" t="s">
        <v>84</v>
      </c>
      <c r="AQ982" s="122">
        <v>1</v>
      </c>
      <c r="AR982" s="515" t="s">
        <v>10</v>
      </c>
      <c r="AS982" s="95">
        <v>0</v>
      </c>
      <c r="AT982" s="75">
        <v>0</v>
      </c>
      <c r="AU982" s="75">
        <v>0</v>
      </c>
      <c r="AV982" s="75">
        <v>0</v>
      </c>
      <c r="AW982" s="123">
        <v>0</v>
      </c>
      <c r="AX982" s="516"/>
      <c r="AY982" s="75">
        <v>0</v>
      </c>
      <c r="AZ982" s="77" t="s">
        <v>131</v>
      </c>
      <c r="BA982" s="78" t="s">
        <v>132</v>
      </c>
      <c r="BB982" s="78" t="s">
        <v>131</v>
      </c>
      <c r="BC982" s="78" t="s">
        <v>131</v>
      </c>
      <c r="BD982" s="78" t="s">
        <v>131</v>
      </c>
      <c r="BE982" s="78" t="s">
        <v>131</v>
      </c>
      <c r="BF982" s="78" t="s">
        <v>131</v>
      </c>
      <c r="BG982" s="78" t="s">
        <v>131</v>
      </c>
      <c r="BH982" s="75" t="s">
        <v>5970</v>
      </c>
      <c r="BI982" s="295">
        <v>0</v>
      </c>
      <c r="BJ982" s="546" t="s">
        <v>16</v>
      </c>
      <c r="BK982" s="294" t="s">
        <v>16</v>
      </c>
      <c r="BL982" s="157" t="s">
        <v>16</v>
      </c>
      <c r="BM982" s="548" t="s">
        <v>1348</v>
      </c>
      <c r="BN982" s="548" t="s">
        <v>4160</v>
      </c>
      <c r="BO982" s="157" t="s">
        <v>4579</v>
      </c>
      <c r="BP982" s="548" t="s">
        <v>4033</v>
      </c>
      <c r="BQ982" s="157" t="s">
        <v>4571</v>
      </c>
      <c r="BR982" s="157"/>
    </row>
    <row r="983" spans="1:70" x14ac:dyDescent="0.25">
      <c r="A983" s="19" t="s">
        <v>3686</v>
      </c>
      <c r="B983" s="37" t="s">
        <v>3089</v>
      </c>
      <c r="C983" s="90">
        <v>45090.673101851855</v>
      </c>
      <c r="D983" s="114">
        <v>45090.423101851855</v>
      </c>
      <c r="E983" s="38">
        <v>45090</v>
      </c>
      <c r="F983" s="91">
        <v>2023</v>
      </c>
      <c r="G983" s="93">
        <v>6</v>
      </c>
      <c r="H983" s="37" t="s">
        <v>1361</v>
      </c>
      <c r="I983" s="37"/>
      <c r="J983" s="103">
        <v>-91.919960919853224</v>
      </c>
      <c r="K983" s="40">
        <v>42.795203318859258</v>
      </c>
      <c r="L983" s="74"/>
      <c r="M983" s="272" t="s">
        <v>3090</v>
      </c>
      <c r="N983" s="74">
        <v>1</v>
      </c>
      <c r="O983" s="94"/>
      <c r="P983" s="118">
        <v>1</v>
      </c>
      <c r="Q983" s="510">
        <v>180</v>
      </c>
      <c r="R983" s="513">
        <v>180</v>
      </c>
      <c r="S983" s="41"/>
      <c r="T983" s="40"/>
      <c r="U983" s="40">
        <v>9</v>
      </c>
      <c r="V983" s="119">
        <v>1</v>
      </c>
      <c r="W983" s="40">
        <v>0</v>
      </c>
      <c r="X983" s="119">
        <v>1</v>
      </c>
      <c r="Y983" s="40">
        <v>62</v>
      </c>
      <c r="Z983" s="119">
        <v>1</v>
      </c>
      <c r="AA983" s="368">
        <v>0</v>
      </c>
      <c r="AB983" s="535">
        <v>10</v>
      </c>
      <c r="AC983" s="39" t="s">
        <v>160</v>
      </c>
      <c r="AD983" s="75" t="s">
        <v>10</v>
      </c>
      <c r="AE983" s="95">
        <v>0</v>
      </c>
      <c r="AF983" s="75">
        <v>0</v>
      </c>
      <c r="AG983" s="75">
        <v>0</v>
      </c>
      <c r="AH983" s="75">
        <v>0</v>
      </c>
      <c r="AI983" s="75">
        <v>0</v>
      </c>
      <c r="AJ983" s="75">
        <v>0</v>
      </c>
      <c r="AK983" s="75">
        <v>0</v>
      </c>
      <c r="AL983" s="95">
        <v>1</v>
      </c>
      <c r="AM983" s="92">
        <v>0</v>
      </c>
      <c r="AN983" s="79" t="s">
        <v>80</v>
      </c>
      <c r="AO983" s="75">
        <v>1</v>
      </c>
      <c r="AP983" s="75" t="s">
        <v>84</v>
      </c>
      <c r="AQ983" s="122">
        <v>1</v>
      </c>
      <c r="AR983" s="515" t="s">
        <v>10</v>
      </c>
      <c r="AS983" s="95">
        <v>0</v>
      </c>
      <c r="AT983" s="75">
        <v>0</v>
      </c>
      <c r="AU983" s="75">
        <v>0</v>
      </c>
      <c r="AV983" s="75">
        <v>0</v>
      </c>
      <c r="AW983" s="123">
        <v>0</v>
      </c>
      <c r="AX983" s="516"/>
      <c r="AY983" s="75">
        <v>0</v>
      </c>
      <c r="AZ983" s="77" t="s">
        <v>131</v>
      </c>
      <c r="BA983" s="78" t="s">
        <v>131</v>
      </c>
      <c r="BB983" s="78" t="s">
        <v>131</v>
      </c>
      <c r="BC983" s="78" t="s">
        <v>131</v>
      </c>
      <c r="BD983" s="78" t="s">
        <v>131</v>
      </c>
      <c r="BE983" s="78" t="s">
        <v>131</v>
      </c>
      <c r="BF983" s="78" t="s">
        <v>131</v>
      </c>
      <c r="BG983" s="78" t="s">
        <v>132</v>
      </c>
      <c r="BH983" s="75" t="s">
        <v>5970</v>
      </c>
      <c r="BI983" s="295">
        <v>0</v>
      </c>
      <c r="BJ983" s="546" t="s">
        <v>16</v>
      </c>
      <c r="BK983" s="294" t="s">
        <v>16</v>
      </c>
      <c r="BL983" s="157" t="s">
        <v>16</v>
      </c>
      <c r="BM983" s="548" t="s">
        <v>1348</v>
      </c>
      <c r="BN983" s="548" t="s">
        <v>4160</v>
      </c>
      <c r="BO983" s="157" t="s">
        <v>4579</v>
      </c>
      <c r="BP983" s="548" t="s">
        <v>4033</v>
      </c>
      <c r="BQ983" s="157" t="s">
        <v>4571</v>
      </c>
      <c r="BR983" s="157"/>
    </row>
    <row r="984" spans="1:70" x14ac:dyDescent="0.25">
      <c r="A984" s="19" t="s">
        <v>3686</v>
      </c>
      <c r="B984" s="37" t="s">
        <v>3091</v>
      </c>
      <c r="C984" s="90">
        <v>45090.659143518518</v>
      </c>
      <c r="D984" s="114">
        <v>45090.409143518518</v>
      </c>
      <c r="E984" s="38">
        <v>45090</v>
      </c>
      <c r="F984" s="91">
        <v>2023</v>
      </c>
      <c r="G984" s="93">
        <v>6</v>
      </c>
      <c r="H984" s="37" t="s">
        <v>1361</v>
      </c>
      <c r="I984" s="37"/>
      <c r="J984" s="103">
        <v>-91.885247351687298</v>
      </c>
      <c r="K984" s="40">
        <v>42.802779930683599</v>
      </c>
      <c r="L984" s="74"/>
      <c r="M984" s="272" t="s">
        <v>3092</v>
      </c>
      <c r="N984" s="74">
        <v>1</v>
      </c>
      <c r="O984" s="94"/>
      <c r="P984" s="118">
        <v>1</v>
      </c>
      <c r="Q984" s="510">
        <v>80</v>
      </c>
      <c r="R984" s="513">
        <v>180</v>
      </c>
      <c r="S984" s="41"/>
      <c r="T984" s="40"/>
      <c r="U984" s="40">
        <v>8</v>
      </c>
      <c r="V984" s="119">
        <v>1</v>
      </c>
      <c r="W984" s="40">
        <v>300</v>
      </c>
      <c r="X984" s="119">
        <v>1</v>
      </c>
      <c r="Y984" s="40">
        <v>63</v>
      </c>
      <c r="Z984" s="119">
        <v>1</v>
      </c>
      <c r="AA984" s="368">
        <v>0</v>
      </c>
      <c r="AB984" s="535">
        <v>5</v>
      </c>
      <c r="AC984" s="39" t="s">
        <v>160</v>
      </c>
      <c r="AD984" s="75" t="s">
        <v>8</v>
      </c>
      <c r="AE984" s="95">
        <v>0</v>
      </c>
      <c r="AF984" s="75">
        <v>1</v>
      </c>
      <c r="AG984" s="75">
        <v>0</v>
      </c>
      <c r="AH984" s="75">
        <v>0</v>
      </c>
      <c r="AI984" s="75">
        <v>0</v>
      </c>
      <c r="AJ984" s="75">
        <v>0</v>
      </c>
      <c r="AK984" s="75">
        <v>0</v>
      </c>
      <c r="AL984" s="95">
        <v>0</v>
      </c>
      <c r="AM984" s="92">
        <v>0</v>
      </c>
      <c r="AN984" s="79" t="s">
        <v>80</v>
      </c>
      <c r="AO984" s="75">
        <v>1</v>
      </c>
      <c r="AP984" s="75" t="s">
        <v>84</v>
      </c>
      <c r="AQ984" s="122">
        <v>1</v>
      </c>
      <c r="AR984" s="515" t="s">
        <v>10</v>
      </c>
      <c r="AS984" s="95">
        <v>0</v>
      </c>
      <c r="AT984" s="75">
        <v>0</v>
      </c>
      <c r="AU984" s="75">
        <v>0</v>
      </c>
      <c r="AV984" s="75">
        <v>0</v>
      </c>
      <c r="AW984" s="123">
        <v>0</v>
      </c>
      <c r="AX984" s="516"/>
      <c r="AY984" s="75">
        <v>0</v>
      </c>
      <c r="AZ984" s="77" t="s">
        <v>131</v>
      </c>
      <c r="BA984" s="78" t="s">
        <v>132</v>
      </c>
      <c r="BB984" s="78" t="s">
        <v>131</v>
      </c>
      <c r="BC984" s="78" t="s">
        <v>131</v>
      </c>
      <c r="BD984" s="78" t="s">
        <v>131</v>
      </c>
      <c r="BE984" s="78" t="s">
        <v>131</v>
      </c>
      <c r="BF984" s="78" t="s">
        <v>131</v>
      </c>
      <c r="BG984" s="78" t="s">
        <v>131</v>
      </c>
      <c r="BH984" s="75" t="s">
        <v>5970</v>
      </c>
      <c r="BI984" s="295" t="s">
        <v>4033</v>
      </c>
      <c r="BJ984" s="546">
        <v>1</v>
      </c>
      <c r="BK984" s="294" t="s">
        <v>16</v>
      </c>
      <c r="BL984" s="157" t="s">
        <v>16</v>
      </c>
      <c r="BM984" s="548" t="s">
        <v>1348</v>
      </c>
      <c r="BN984" s="548" t="s">
        <v>4160</v>
      </c>
      <c r="BO984" s="157" t="s">
        <v>4579</v>
      </c>
      <c r="BP984" s="548" t="s">
        <v>4033</v>
      </c>
      <c r="BQ984" s="157" t="s">
        <v>4571</v>
      </c>
      <c r="BR984" s="157"/>
    </row>
    <row r="985" spans="1:70" x14ac:dyDescent="0.25">
      <c r="A985" s="19" t="s">
        <v>3686</v>
      </c>
      <c r="B985" s="37" t="s">
        <v>3093</v>
      </c>
      <c r="C985" s="90">
        <v>45090.640092592592</v>
      </c>
      <c r="D985" s="114">
        <v>45090.390092592592</v>
      </c>
      <c r="E985" s="38">
        <v>45090</v>
      </c>
      <c r="F985" s="91">
        <v>2023</v>
      </c>
      <c r="G985" s="93">
        <v>6</v>
      </c>
      <c r="H985" s="37" t="s">
        <v>1361</v>
      </c>
      <c r="I985" s="37"/>
      <c r="J985" s="103">
        <v>-91.862340532328801</v>
      </c>
      <c r="K985" s="40">
        <v>42.771748448761898</v>
      </c>
      <c r="L985" s="74"/>
      <c r="M985" s="272" t="s">
        <v>3094</v>
      </c>
      <c r="N985" s="74">
        <v>1</v>
      </c>
      <c r="O985" s="94"/>
      <c r="P985" s="118">
        <v>1</v>
      </c>
      <c r="Q985" s="510">
        <v>120</v>
      </c>
      <c r="R985" s="513">
        <v>180</v>
      </c>
      <c r="S985" s="41"/>
      <c r="T985" s="40"/>
      <c r="U985" s="40">
        <v>7.5</v>
      </c>
      <c r="V985" s="119">
        <v>1</v>
      </c>
      <c r="W985" s="40">
        <v>100</v>
      </c>
      <c r="X985" s="119">
        <v>1</v>
      </c>
      <c r="Y985" s="40">
        <v>62</v>
      </c>
      <c r="Z985" s="119">
        <v>1</v>
      </c>
      <c r="AA985" s="368">
        <v>0</v>
      </c>
      <c r="AB985" s="535">
        <v>5</v>
      </c>
      <c r="AC985" s="39" t="s">
        <v>160</v>
      </c>
      <c r="AD985" s="75" t="s">
        <v>10</v>
      </c>
      <c r="AE985" s="95">
        <v>0</v>
      </c>
      <c r="AF985" s="75">
        <v>0</v>
      </c>
      <c r="AG985" s="75">
        <v>0</v>
      </c>
      <c r="AH985" s="75">
        <v>0</v>
      </c>
      <c r="AI985" s="75">
        <v>0</v>
      </c>
      <c r="AJ985" s="75">
        <v>0</v>
      </c>
      <c r="AK985" s="75">
        <v>0</v>
      </c>
      <c r="AL985" s="95">
        <v>1</v>
      </c>
      <c r="AM985" s="92">
        <v>0</v>
      </c>
      <c r="AN985" s="79" t="s">
        <v>80</v>
      </c>
      <c r="AO985" s="75">
        <v>1</v>
      </c>
      <c r="AP985" s="75" t="s">
        <v>84</v>
      </c>
      <c r="AQ985" s="122">
        <v>1</v>
      </c>
      <c r="AR985" s="515" t="s">
        <v>10</v>
      </c>
      <c r="AS985" s="95">
        <v>0</v>
      </c>
      <c r="AT985" s="75">
        <v>0</v>
      </c>
      <c r="AU985" s="75">
        <v>0</v>
      </c>
      <c r="AV985" s="75">
        <v>0</v>
      </c>
      <c r="AW985" s="123">
        <v>0</v>
      </c>
      <c r="AX985" s="516"/>
      <c r="AY985" s="75">
        <v>0</v>
      </c>
      <c r="AZ985" s="77" t="s">
        <v>131</v>
      </c>
      <c r="BA985" s="78" t="s">
        <v>131</v>
      </c>
      <c r="BB985" s="78" t="s">
        <v>131</v>
      </c>
      <c r="BC985" s="78" t="s">
        <v>131</v>
      </c>
      <c r="BD985" s="78" t="s">
        <v>131</v>
      </c>
      <c r="BE985" s="78" t="s">
        <v>131</v>
      </c>
      <c r="BF985" s="78" t="s">
        <v>131</v>
      </c>
      <c r="BG985" s="78" t="s">
        <v>132</v>
      </c>
      <c r="BH985" s="75" t="s">
        <v>5970</v>
      </c>
      <c r="BI985" s="295">
        <v>0</v>
      </c>
      <c r="BJ985" s="546" t="s">
        <v>16</v>
      </c>
      <c r="BK985" s="294" t="s">
        <v>16</v>
      </c>
      <c r="BL985" s="157" t="s">
        <v>16</v>
      </c>
      <c r="BM985" s="548" t="s">
        <v>1348</v>
      </c>
      <c r="BN985" s="548" t="s">
        <v>4160</v>
      </c>
      <c r="BO985" s="157" t="s">
        <v>4579</v>
      </c>
      <c r="BP985" s="548" t="s">
        <v>4033</v>
      </c>
      <c r="BQ985" s="157" t="s">
        <v>4571</v>
      </c>
      <c r="BR985" s="157"/>
    </row>
    <row r="986" spans="1:70" x14ac:dyDescent="0.25">
      <c r="A986" s="19" t="s">
        <v>3686</v>
      </c>
      <c r="B986" s="37" t="s">
        <v>3095</v>
      </c>
      <c r="C986" s="90">
        <v>45090.623900462961</v>
      </c>
      <c r="D986" s="114">
        <v>45090.373900462961</v>
      </c>
      <c r="E986" s="38">
        <v>45090</v>
      </c>
      <c r="F986" s="91">
        <v>2023</v>
      </c>
      <c r="G986" s="93">
        <v>6</v>
      </c>
      <c r="H986" s="37" t="s">
        <v>1361</v>
      </c>
      <c r="I986" s="37"/>
      <c r="J986" s="103">
        <v>-91.804622495632444</v>
      </c>
      <c r="K986" s="40">
        <v>42.75598489683378</v>
      </c>
      <c r="L986" s="74"/>
      <c r="M986" s="272" t="s">
        <v>3096</v>
      </c>
      <c r="N986" s="74">
        <v>1</v>
      </c>
      <c r="O986" s="94"/>
      <c r="P986" s="118">
        <v>1</v>
      </c>
      <c r="Q986" s="510">
        <v>180</v>
      </c>
      <c r="R986" s="513">
        <v>180</v>
      </c>
      <c r="S986" s="41"/>
      <c r="T986" s="40"/>
      <c r="U986" s="40">
        <v>7</v>
      </c>
      <c r="V986" s="119">
        <v>1</v>
      </c>
      <c r="W986" s="40">
        <v>100</v>
      </c>
      <c r="X986" s="119">
        <v>1</v>
      </c>
      <c r="Y986" s="40">
        <v>60</v>
      </c>
      <c r="Z986" s="119">
        <v>1</v>
      </c>
      <c r="AA986" s="368">
        <v>0</v>
      </c>
      <c r="AB986" s="535">
        <v>5</v>
      </c>
      <c r="AC986" s="39" t="s">
        <v>160</v>
      </c>
      <c r="AD986" s="75" t="s">
        <v>10</v>
      </c>
      <c r="AE986" s="95">
        <v>0</v>
      </c>
      <c r="AF986" s="75">
        <v>0</v>
      </c>
      <c r="AG986" s="75">
        <v>0</v>
      </c>
      <c r="AH986" s="75">
        <v>0</v>
      </c>
      <c r="AI986" s="75">
        <v>0</v>
      </c>
      <c r="AJ986" s="75">
        <v>0</v>
      </c>
      <c r="AK986" s="75">
        <v>0</v>
      </c>
      <c r="AL986" s="95">
        <v>1</v>
      </c>
      <c r="AM986" s="92">
        <v>0</v>
      </c>
      <c r="AN986" s="79" t="s">
        <v>80</v>
      </c>
      <c r="AO986" s="75">
        <v>1</v>
      </c>
      <c r="AP986" s="75" t="s">
        <v>84</v>
      </c>
      <c r="AQ986" s="122">
        <v>1</v>
      </c>
      <c r="AR986" s="515" t="s">
        <v>10</v>
      </c>
      <c r="AS986" s="95">
        <v>0</v>
      </c>
      <c r="AT986" s="75">
        <v>0</v>
      </c>
      <c r="AU986" s="75">
        <v>0</v>
      </c>
      <c r="AV986" s="75">
        <v>0</v>
      </c>
      <c r="AW986" s="123">
        <v>0</v>
      </c>
      <c r="AX986" s="516"/>
      <c r="AY986" s="75">
        <v>0</v>
      </c>
      <c r="AZ986" s="77" t="s">
        <v>131</v>
      </c>
      <c r="BA986" s="78" t="s">
        <v>131</v>
      </c>
      <c r="BB986" s="78" t="s">
        <v>131</v>
      </c>
      <c r="BC986" s="78" t="s">
        <v>131</v>
      </c>
      <c r="BD986" s="78" t="s">
        <v>131</v>
      </c>
      <c r="BE986" s="78" t="s">
        <v>131</v>
      </c>
      <c r="BF986" s="78" t="s">
        <v>131</v>
      </c>
      <c r="BG986" s="78" t="s">
        <v>132</v>
      </c>
      <c r="BH986" s="75" t="s">
        <v>5970</v>
      </c>
      <c r="BI986" s="295" t="s">
        <v>4033</v>
      </c>
      <c r="BJ986" s="546" t="s">
        <v>16</v>
      </c>
      <c r="BK986" s="294" t="s">
        <v>16</v>
      </c>
      <c r="BL986" s="157" t="s">
        <v>16</v>
      </c>
      <c r="BM986" s="548" t="s">
        <v>1344</v>
      </c>
      <c r="BN986" s="548" t="s">
        <v>4160</v>
      </c>
      <c r="BO986" s="157" t="s">
        <v>4579</v>
      </c>
      <c r="BP986" s="548" t="s">
        <v>4033</v>
      </c>
      <c r="BQ986" s="157" t="s">
        <v>4571</v>
      </c>
      <c r="BR986" s="157"/>
    </row>
    <row r="987" spans="1:70" x14ac:dyDescent="0.25">
      <c r="A987" s="19" t="s">
        <v>3686</v>
      </c>
      <c r="B987" s="37" t="s">
        <v>3097</v>
      </c>
      <c r="C987" s="90">
        <v>45090.61246527778</v>
      </c>
      <c r="D987" s="114">
        <v>45090.36246527778</v>
      </c>
      <c r="E987" s="38">
        <v>45090</v>
      </c>
      <c r="F987" s="91">
        <v>2023</v>
      </c>
      <c r="G987" s="93">
        <v>6</v>
      </c>
      <c r="H987" s="37" t="s">
        <v>2654</v>
      </c>
      <c r="I987" s="37"/>
      <c r="J987" s="103">
        <v>-91.297630699999999</v>
      </c>
      <c r="K987" s="40">
        <v>44.196555099999998</v>
      </c>
      <c r="L987" s="74"/>
      <c r="M987" s="272" t="s">
        <v>3098</v>
      </c>
      <c r="N987" s="74">
        <v>1</v>
      </c>
      <c r="O987" s="94"/>
      <c r="P987" s="118">
        <v>1</v>
      </c>
      <c r="Q987" s="510">
        <v>40</v>
      </c>
      <c r="R987" s="513">
        <v>0</v>
      </c>
      <c r="S987" s="41"/>
      <c r="T987" s="40"/>
      <c r="U987" s="40">
        <v>7</v>
      </c>
      <c r="V987" s="119">
        <v>1</v>
      </c>
      <c r="W987" s="40">
        <v>200</v>
      </c>
      <c r="X987" s="119">
        <v>1</v>
      </c>
      <c r="Y987" s="40">
        <v>53</v>
      </c>
      <c r="Z987" s="119">
        <v>1</v>
      </c>
      <c r="AA987" s="368">
        <v>0</v>
      </c>
      <c r="AB987" s="535">
        <v>0</v>
      </c>
      <c r="AC987" s="39" t="s">
        <v>160</v>
      </c>
      <c r="AD987" s="75" t="s">
        <v>10</v>
      </c>
      <c r="AE987" s="95">
        <v>0</v>
      </c>
      <c r="AF987" s="75">
        <v>0</v>
      </c>
      <c r="AG987" s="75">
        <v>0</v>
      </c>
      <c r="AH987" s="75">
        <v>0</v>
      </c>
      <c r="AI987" s="75">
        <v>0</v>
      </c>
      <c r="AJ987" s="75">
        <v>0</v>
      </c>
      <c r="AK987" s="75">
        <v>0</v>
      </c>
      <c r="AL987" s="95">
        <v>1</v>
      </c>
      <c r="AM987" s="92">
        <v>0</v>
      </c>
      <c r="AN987" s="79" t="s">
        <v>80</v>
      </c>
      <c r="AO987" s="75">
        <v>1</v>
      </c>
      <c r="AP987" s="75" t="s">
        <v>83</v>
      </c>
      <c r="AQ987" s="122">
        <v>1</v>
      </c>
      <c r="AR987" s="515" t="s">
        <v>13</v>
      </c>
      <c r="AS987" s="95">
        <v>1</v>
      </c>
      <c r="AT987" s="75">
        <v>0</v>
      </c>
      <c r="AU987" s="75">
        <v>0</v>
      </c>
      <c r="AV987" s="75">
        <v>0</v>
      </c>
      <c r="AW987" s="123">
        <v>0</v>
      </c>
      <c r="AX987" s="516"/>
      <c r="AY987" s="75">
        <v>0</v>
      </c>
      <c r="AZ987" s="77" t="s">
        <v>131</v>
      </c>
      <c r="BA987" s="78" t="s">
        <v>131</v>
      </c>
      <c r="BB987" s="78" t="s">
        <v>131</v>
      </c>
      <c r="BC987" s="78" t="s">
        <v>131</v>
      </c>
      <c r="BD987" s="78" t="s">
        <v>131</v>
      </c>
      <c r="BE987" s="78" t="s">
        <v>131</v>
      </c>
      <c r="BF987" s="78" t="s">
        <v>131</v>
      </c>
      <c r="BG987" s="78" t="s">
        <v>132</v>
      </c>
      <c r="BH987" s="75" t="s">
        <v>5970</v>
      </c>
      <c r="BI987" s="295">
        <v>0</v>
      </c>
      <c r="BJ987" s="546" t="s">
        <v>16</v>
      </c>
      <c r="BK987" s="294" t="s">
        <v>16</v>
      </c>
      <c r="BL987" s="157" t="s">
        <v>16</v>
      </c>
      <c r="BM987" s="548" t="s">
        <v>1340</v>
      </c>
      <c r="BN987" s="548" t="s">
        <v>4158</v>
      </c>
      <c r="BO987" s="157" t="s">
        <v>4575</v>
      </c>
      <c r="BP987" s="548" t="s">
        <v>2321</v>
      </c>
      <c r="BQ987" s="157" t="s">
        <v>4447</v>
      </c>
      <c r="BR987" s="157"/>
    </row>
    <row r="988" spans="1:70" x14ac:dyDescent="0.25">
      <c r="A988" s="19" t="s">
        <v>3686</v>
      </c>
      <c r="B988" s="37" t="s">
        <v>3099</v>
      </c>
      <c r="C988" s="90">
        <v>45090.607442129629</v>
      </c>
      <c r="D988" s="114">
        <v>45090.357442129629</v>
      </c>
      <c r="E988" s="38">
        <v>45090</v>
      </c>
      <c r="F988" s="91">
        <v>2023</v>
      </c>
      <c r="G988" s="93">
        <v>6</v>
      </c>
      <c r="H988" s="37" t="s">
        <v>1361</v>
      </c>
      <c r="I988" s="37"/>
      <c r="J988" s="103">
        <v>-91.843417044814515</v>
      </c>
      <c r="K988" s="40">
        <v>42.742269462945629</v>
      </c>
      <c r="L988" s="74"/>
      <c r="M988" s="272" t="s">
        <v>3100</v>
      </c>
      <c r="N988" s="74">
        <v>1</v>
      </c>
      <c r="O988" s="94"/>
      <c r="P988" s="118">
        <v>1</v>
      </c>
      <c r="Q988" s="510">
        <v>180</v>
      </c>
      <c r="R988" s="513">
        <v>180</v>
      </c>
      <c r="S988" s="41"/>
      <c r="T988" s="40"/>
      <c r="U988" s="40">
        <v>8</v>
      </c>
      <c r="V988" s="119">
        <v>1</v>
      </c>
      <c r="W988" s="40">
        <v>100</v>
      </c>
      <c r="X988" s="119">
        <v>1</v>
      </c>
      <c r="Y988" s="40">
        <v>60</v>
      </c>
      <c r="Z988" s="119">
        <v>1</v>
      </c>
      <c r="AA988" s="368">
        <v>0</v>
      </c>
      <c r="AB988" s="535">
        <v>5</v>
      </c>
      <c r="AC988" s="39" t="s">
        <v>160</v>
      </c>
      <c r="AD988" s="75" t="s">
        <v>8</v>
      </c>
      <c r="AE988" s="95">
        <v>0</v>
      </c>
      <c r="AF988" s="75">
        <v>1</v>
      </c>
      <c r="AG988" s="75">
        <v>0</v>
      </c>
      <c r="AH988" s="75">
        <v>0</v>
      </c>
      <c r="AI988" s="75">
        <v>0</v>
      </c>
      <c r="AJ988" s="75">
        <v>0</v>
      </c>
      <c r="AK988" s="75">
        <v>0</v>
      </c>
      <c r="AL988" s="95">
        <v>0</v>
      </c>
      <c r="AM988" s="92">
        <v>0</v>
      </c>
      <c r="AN988" s="79" t="s">
        <v>80</v>
      </c>
      <c r="AO988" s="75">
        <v>1</v>
      </c>
      <c r="AP988" s="75" t="s">
        <v>84</v>
      </c>
      <c r="AQ988" s="122">
        <v>1</v>
      </c>
      <c r="AR988" s="515" t="s">
        <v>10</v>
      </c>
      <c r="AS988" s="95">
        <v>0</v>
      </c>
      <c r="AT988" s="75">
        <v>0</v>
      </c>
      <c r="AU988" s="75">
        <v>0</v>
      </c>
      <c r="AV988" s="75">
        <v>0</v>
      </c>
      <c r="AW988" s="123">
        <v>0</v>
      </c>
      <c r="AX988" s="516"/>
      <c r="AY988" s="75">
        <v>0</v>
      </c>
      <c r="AZ988" s="77" t="s">
        <v>131</v>
      </c>
      <c r="BA988" s="78" t="s">
        <v>132</v>
      </c>
      <c r="BB988" s="78" t="s">
        <v>131</v>
      </c>
      <c r="BC988" s="78" t="s">
        <v>131</v>
      </c>
      <c r="BD988" s="78" t="s">
        <v>131</v>
      </c>
      <c r="BE988" s="78" t="s">
        <v>131</v>
      </c>
      <c r="BF988" s="78" t="s">
        <v>131</v>
      </c>
      <c r="BG988" s="78" t="s">
        <v>131</v>
      </c>
      <c r="BH988" s="75" t="s">
        <v>5970</v>
      </c>
      <c r="BI988" s="295" t="s">
        <v>4033</v>
      </c>
      <c r="BJ988" s="546">
        <v>1</v>
      </c>
      <c r="BK988" s="294" t="s">
        <v>16</v>
      </c>
      <c r="BL988" s="157" t="s">
        <v>16</v>
      </c>
      <c r="BM988" s="548" t="s">
        <v>1348</v>
      </c>
      <c r="BN988" s="548" t="s">
        <v>4160</v>
      </c>
      <c r="BO988" s="157" t="s">
        <v>4579</v>
      </c>
      <c r="BP988" s="548" t="s">
        <v>4033</v>
      </c>
      <c r="BQ988" s="157" t="s">
        <v>4571</v>
      </c>
      <c r="BR988" s="157"/>
    </row>
    <row r="989" spans="1:70" x14ac:dyDescent="0.25">
      <c r="A989" s="19" t="s">
        <v>3686</v>
      </c>
      <c r="B989" s="37" t="s">
        <v>3101</v>
      </c>
      <c r="C989" s="90">
        <v>45090.596284722225</v>
      </c>
      <c r="D989" s="114">
        <v>45090.346284722225</v>
      </c>
      <c r="E989" s="38">
        <v>45090</v>
      </c>
      <c r="F989" s="91">
        <v>2023</v>
      </c>
      <c r="G989" s="93">
        <v>6</v>
      </c>
      <c r="H989" s="37" t="s">
        <v>1361</v>
      </c>
      <c r="I989" s="37"/>
      <c r="J989" s="103">
        <v>-91.843628352593484</v>
      </c>
      <c r="K989" s="40">
        <v>42.738355700897742</v>
      </c>
      <c r="L989" s="74"/>
      <c r="M989" s="272" t="s">
        <v>3102</v>
      </c>
      <c r="N989" s="74">
        <v>1</v>
      </c>
      <c r="O989" s="94"/>
      <c r="P989" s="118">
        <v>1</v>
      </c>
      <c r="Q989" s="510">
        <v>120</v>
      </c>
      <c r="R989" s="513">
        <v>180</v>
      </c>
      <c r="S989" s="41"/>
      <c r="T989" s="40"/>
      <c r="U989" s="40">
        <v>7.5</v>
      </c>
      <c r="V989" s="119">
        <v>1</v>
      </c>
      <c r="W989" s="40">
        <v>0</v>
      </c>
      <c r="X989" s="119">
        <v>1</v>
      </c>
      <c r="Y989" s="40">
        <v>59</v>
      </c>
      <c r="Z989" s="119">
        <v>1</v>
      </c>
      <c r="AA989" s="368">
        <v>0</v>
      </c>
      <c r="AB989" s="535">
        <v>10</v>
      </c>
      <c r="AC989" s="39" t="s">
        <v>160</v>
      </c>
      <c r="AD989" s="75" t="s">
        <v>365</v>
      </c>
      <c r="AE989" s="95">
        <v>0</v>
      </c>
      <c r="AF989" s="75">
        <v>1</v>
      </c>
      <c r="AG989" s="75">
        <v>1</v>
      </c>
      <c r="AH989" s="75">
        <v>0</v>
      </c>
      <c r="AI989" s="75">
        <v>0</v>
      </c>
      <c r="AJ989" s="75">
        <v>0</v>
      </c>
      <c r="AK989" s="75">
        <v>0</v>
      </c>
      <c r="AL989" s="95">
        <v>0</v>
      </c>
      <c r="AM989" s="92">
        <v>0</v>
      </c>
      <c r="AN989" s="79" t="s">
        <v>80</v>
      </c>
      <c r="AO989" s="75">
        <v>1</v>
      </c>
      <c r="AP989" s="75" t="s">
        <v>84</v>
      </c>
      <c r="AQ989" s="122">
        <v>1</v>
      </c>
      <c r="AR989" s="515" t="s">
        <v>10</v>
      </c>
      <c r="AS989" s="95">
        <v>0</v>
      </c>
      <c r="AT989" s="75">
        <v>0</v>
      </c>
      <c r="AU989" s="75">
        <v>0</v>
      </c>
      <c r="AV989" s="75">
        <v>0</v>
      </c>
      <c r="AW989" s="123">
        <v>0</v>
      </c>
      <c r="AX989" s="516"/>
      <c r="AY989" s="75">
        <v>0</v>
      </c>
      <c r="AZ989" s="77" t="s">
        <v>131</v>
      </c>
      <c r="BA989" s="78" t="s">
        <v>132</v>
      </c>
      <c r="BB989" s="78" t="s">
        <v>132</v>
      </c>
      <c r="BC989" s="78" t="s">
        <v>131</v>
      </c>
      <c r="BD989" s="78" t="s">
        <v>131</v>
      </c>
      <c r="BE989" s="78" t="s">
        <v>131</v>
      </c>
      <c r="BF989" s="78" t="s">
        <v>131</v>
      </c>
      <c r="BG989" s="78" t="s">
        <v>131</v>
      </c>
      <c r="BH989" s="75" t="s">
        <v>5970</v>
      </c>
      <c r="BI989" s="295" t="s">
        <v>4033</v>
      </c>
      <c r="BJ989" s="546">
        <v>1</v>
      </c>
      <c r="BK989" s="294" t="s">
        <v>16</v>
      </c>
      <c r="BL989" s="157" t="s">
        <v>16</v>
      </c>
      <c r="BM989" s="548" t="s">
        <v>1348</v>
      </c>
      <c r="BN989" s="548" t="s">
        <v>4160</v>
      </c>
      <c r="BO989" s="157" t="s">
        <v>4579</v>
      </c>
      <c r="BP989" s="548" t="s">
        <v>4033</v>
      </c>
      <c r="BQ989" s="157" t="s">
        <v>4571</v>
      </c>
      <c r="BR989" s="157"/>
    </row>
    <row r="990" spans="1:70" x14ac:dyDescent="0.25">
      <c r="A990" s="19" t="s">
        <v>3686</v>
      </c>
      <c r="B990" s="37" t="s">
        <v>3103</v>
      </c>
      <c r="C990" s="90">
        <v>45089.938761574071</v>
      </c>
      <c r="D990" s="114">
        <v>45089.688761574071</v>
      </c>
      <c r="E990" s="38">
        <v>45089</v>
      </c>
      <c r="F990" s="91">
        <v>2023</v>
      </c>
      <c r="G990" s="93">
        <v>6</v>
      </c>
      <c r="H990" s="37" t="s">
        <v>2761</v>
      </c>
      <c r="I990" s="37" t="s">
        <v>1411</v>
      </c>
      <c r="J990" s="103">
        <v>-93.232321220392322</v>
      </c>
      <c r="K990" s="40">
        <v>44.846288896587843</v>
      </c>
      <c r="L990" s="74"/>
      <c r="M990" s="272" t="s">
        <v>3104</v>
      </c>
      <c r="N990" s="74">
        <v>1</v>
      </c>
      <c r="O990" s="94"/>
      <c r="P990" s="118">
        <v>0</v>
      </c>
      <c r="Q990" s="510"/>
      <c r="R990" s="513"/>
      <c r="S990" s="41"/>
      <c r="T990" s="40"/>
      <c r="U990" s="40"/>
      <c r="V990" s="119">
        <v>1</v>
      </c>
      <c r="W990" s="40">
        <v>0</v>
      </c>
      <c r="X990" s="119">
        <v>1</v>
      </c>
      <c r="Y990" s="40">
        <v>60</v>
      </c>
      <c r="Z990" s="119">
        <v>0</v>
      </c>
      <c r="AA990" s="368" t="s">
        <v>16</v>
      </c>
      <c r="AB990" s="535" t="s">
        <v>16</v>
      </c>
      <c r="AC990" s="39" t="s">
        <v>160</v>
      </c>
      <c r="AD990" s="75" t="s">
        <v>10</v>
      </c>
      <c r="AE990" s="95">
        <v>0</v>
      </c>
      <c r="AF990" s="75">
        <v>0</v>
      </c>
      <c r="AG990" s="75">
        <v>0</v>
      </c>
      <c r="AH990" s="75">
        <v>0</v>
      </c>
      <c r="AI990" s="75">
        <v>0</v>
      </c>
      <c r="AJ990" s="75">
        <v>0</v>
      </c>
      <c r="AK990" s="75">
        <v>0</v>
      </c>
      <c r="AL990" s="95">
        <v>1</v>
      </c>
      <c r="AM990" s="92">
        <v>0</v>
      </c>
      <c r="AN990" s="79" t="s">
        <v>81</v>
      </c>
      <c r="AO990" s="75">
        <v>1</v>
      </c>
      <c r="AP990" s="75" t="s">
        <v>83</v>
      </c>
      <c r="AQ990" s="122">
        <v>1</v>
      </c>
      <c r="AR990" s="515" t="s">
        <v>13</v>
      </c>
      <c r="AS990" s="95">
        <v>1</v>
      </c>
      <c r="AT990" s="75">
        <v>0</v>
      </c>
      <c r="AU990" s="75">
        <v>0</v>
      </c>
      <c r="AV990" s="75">
        <v>0</v>
      </c>
      <c r="AW990" s="123">
        <v>0</v>
      </c>
      <c r="AX990" s="516" t="s">
        <v>3105</v>
      </c>
      <c r="AY990" s="75">
        <v>1</v>
      </c>
      <c r="AZ990" s="77" t="s">
        <v>131</v>
      </c>
      <c r="BA990" s="78" t="s">
        <v>131</v>
      </c>
      <c r="BB990" s="78" t="s">
        <v>131</v>
      </c>
      <c r="BC990" s="78" t="s">
        <v>131</v>
      </c>
      <c r="BD990" s="78" t="s">
        <v>131</v>
      </c>
      <c r="BE990" s="78" t="s">
        <v>131</v>
      </c>
      <c r="BF990" s="78" t="s">
        <v>131</v>
      </c>
      <c r="BG990" s="78" t="s">
        <v>132</v>
      </c>
      <c r="BH990" s="75" t="s">
        <v>5970</v>
      </c>
      <c r="BI990" s="295" t="s">
        <v>16</v>
      </c>
      <c r="BJ990" s="546" t="s">
        <v>16</v>
      </c>
      <c r="BK990" s="294" t="s">
        <v>16</v>
      </c>
      <c r="BL990" s="157" t="s">
        <v>16</v>
      </c>
      <c r="BM990" s="548" t="s">
        <v>2343</v>
      </c>
      <c r="BN990" s="548" t="s">
        <v>4161</v>
      </c>
      <c r="BO990" s="157" t="s">
        <v>4327</v>
      </c>
      <c r="BP990" s="548" t="s">
        <v>4314</v>
      </c>
      <c r="BQ990" s="157" t="s">
        <v>4312</v>
      </c>
      <c r="BR990" s="157"/>
    </row>
    <row r="991" spans="1:70" x14ac:dyDescent="0.25">
      <c r="A991" s="19" t="s">
        <v>3686</v>
      </c>
      <c r="B991" s="37" t="s">
        <v>3106</v>
      </c>
      <c r="C991" s="90">
        <v>45089.865671296298</v>
      </c>
      <c r="D991" s="114">
        <v>45089.615671296298</v>
      </c>
      <c r="E991" s="38">
        <v>45089</v>
      </c>
      <c r="F991" s="91">
        <v>2023</v>
      </c>
      <c r="G991" s="93">
        <v>6</v>
      </c>
      <c r="H991" s="37" t="s">
        <v>2548</v>
      </c>
      <c r="I991" s="37"/>
      <c r="J991" s="103">
        <v>-90.66650839754756</v>
      </c>
      <c r="K991" s="40">
        <v>43.265698015199021</v>
      </c>
      <c r="L991" s="74"/>
      <c r="M991" s="272" t="s">
        <v>3107</v>
      </c>
      <c r="N991" s="74">
        <v>1</v>
      </c>
      <c r="O991" s="94"/>
      <c r="P991" s="118">
        <v>1</v>
      </c>
      <c r="Q991" s="510">
        <v>180</v>
      </c>
      <c r="R991" s="513">
        <v>120</v>
      </c>
      <c r="S991" s="41"/>
      <c r="T991" s="40"/>
      <c r="U991" s="40">
        <v>7</v>
      </c>
      <c r="V991" s="119">
        <v>1</v>
      </c>
      <c r="W991" s="40">
        <v>0</v>
      </c>
      <c r="X991" s="119">
        <v>1</v>
      </c>
      <c r="Y991" s="40">
        <v>59</v>
      </c>
      <c r="Z991" s="119">
        <v>1</v>
      </c>
      <c r="AA991" s="368">
        <v>0</v>
      </c>
      <c r="AB991" s="535">
        <v>0</v>
      </c>
      <c r="AC991" s="39" t="s">
        <v>160</v>
      </c>
      <c r="AD991" s="75" t="s">
        <v>10</v>
      </c>
      <c r="AE991" s="95">
        <v>0</v>
      </c>
      <c r="AF991" s="75">
        <v>0</v>
      </c>
      <c r="AG991" s="75">
        <v>0</v>
      </c>
      <c r="AH991" s="75">
        <v>0</v>
      </c>
      <c r="AI991" s="75">
        <v>0</v>
      </c>
      <c r="AJ991" s="75">
        <v>0</v>
      </c>
      <c r="AK991" s="75">
        <v>0</v>
      </c>
      <c r="AL991" s="95">
        <v>1</v>
      </c>
      <c r="AM991" s="92">
        <v>0</v>
      </c>
      <c r="AN991" s="79" t="s">
        <v>80</v>
      </c>
      <c r="AO991" s="75">
        <v>1</v>
      </c>
      <c r="AP991" s="75" t="s">
        <v>83</v>
      </c>
      <c r="AQ991" s="122">
        <v>1</v>
      </c>
      <c r="AR991" s="515" t="s">
        <v>10</v>
      </c>
      <c r="AS991" s="95">
        <v>0</v>
      </c>
      <c r="AT991" s="75">
        <v>0</v>
      </c>
      <c r="AU991" s="75">
        <v>0</v>
      </c>
      <c r="AV991" s="75">
        <v>0</v>
      </c>
      <c r="AW991" s="123">
        <v>0</v>
      </c>
      <c r="AX991" s="516"/>
      <c r="AY991" s="75">
        <v>0</v>
      </c>
      <c r="AZ991" s="77" t="s">
        <v>131</v>
      </c>
      <c r="BA991" s="78" t="s">
        <v>131</v>
      </c>
      <c r="BB991" s="78" t="s">
        <v>131</v>
      </c>
      <c r="BC991" s="78" t="s">
        <v>131</v>
      </c>
      <c r="BD991" s="78" t="s">
        <v>131</v>
      </c>
      <c r="BE991" s="78" t="s">
        <v>131</v>
      </c>
      <c r="BF991" s="78" t="s">
        <v>131</v>
      </c>
      <c r="BG991" s="78" t="s">
        <v>132</v>
      </c>
      <c r="BH991" s="75" t="s">
        <v>5970</v>
      </c>
      <c r="BI991" s="295" t="s">
        <v>4097</v>
      </c>
      <c r="BJ991" s="546">
        <v>1</v>
      </c>
      <c r="BK991" s="294">
        <v>1</v>
      </c>
      <c r="BL991" s="157">
        <v>1</v>
      </c>
      <c r="BM991" s="548" t="s">
        <v>1345</v>
      </c>
      <c r="BN991" s="548" t="s">
        <v>4158</v>
      </c>
      <c r="BO991" s="157" t="s">
        <v>4580</v>
      </c>
      <c r="BP991" s="548" t="s">
        <v>4097</v>
      </c>
      <c r="BQ991" s="157" t="s">
        <v>4427</v>
      </c>
      <c r="BR991" s="157"/>
    </row>
    <row r="992" spans="1:70" x14ac:dyDescent="0.25">
      <c r="A992" s="19" t="s">
        <v>3686</v>
      </c>
      <c r="B992" s="37" t="s">
        <v>3108</v>
      </c>
      <c r="C992" s="90">
        <v>45089.822476851848</v>
      </c>
      <c r="D992" s="114">
        <v>45089.572476851848</v>
      </c>
      <c r="E992" s="38">
        <v>45089</v>
      </c>
      <c r="F992" s="91">
        <v>2023</v>
      </c>
      <c r="G992" s="93">
        <v>6</v>
      </c>
      <c r="H992" s="37" t="s">
        <v>201</v>
      </c>
      <c r="I992" s="37"/>
      <c r="J992" s="103">
        <v>-92.732189243955602</v>
      </c>
      <c r="K992" s="40">
        <v>44.831183577327408</v>
      </c>
      <c r="L992" s="74"/>
      <c r="M992" s="272" t="s">
        <v>16</v>
      </c>
      <c r="N992" s="74">
        <v>0</v>
      </c>
      <c r="O992" s="94"/>
      <c r="P992" s="118">
        <v>1</v>
      </c>
      <c r="Q992" s="510">
        <v>180</v>
      </c>
      <c r="R992" s="513">
        <v>120</v>
      </c>
      <c r="S992" s="41"/>
      <c r="T992" s="40"/>
      <c r="U992" s="40">
        <v>8</v>
      </c>
      <c r="V992" s="119">
        <v>1</v>
      </c>
      <c r="W992" s="40">
        <v>0</v>
      </c>
      <c r="X992" s="119">
        <v>1</v>
      </c>
      <c r="Y992" s="40">
        <v>62</v>
      </c>
      <c r="Z992" s="119">
        <v>1</v>
      </c>
      <c r="AA992" s="368">
        <v>0</v>
      </c>
      <c r="AB992" s="535">
        <v>5</v>
      </c>
      <c r="AC992" s="39" t="s">
        <v>160</v>
      </c>
      <c r="AD992" s="75" t="s">
        <v>8</v>
      </c>
      <c r="AE992" s="95">
        <v>0</v>
      </c>
      <c r="AF992" s="75">
        <v>1</v>
      </c>
      <c r="AG992" s="75">
        <v>0</v>
      </c>
      <c r="AH992" s="75">
        <v>0</v>
      </c>
      <c r="AI992" s="75">
        <v>0</v>
      </c>
      <c r="AJ992" s="75">
        <v>0</v>
      </c>
      <c r="AK992" s="75">
        <v>0</v>
      </c>
      <c r="AL992" s="95">
        <v>0</v>
      </c>
      <c r="AM992" s="92">
        <v>0</v>
      </c>
      <c r="AN992" s="79" t="s">
        <v>80</v>
      </c>
      <c r="AO992" s="75">
        <v>1</v>
      </c>
      <c r="AP992" s="75" t="s">
        <v>83</v>
      </c>
      <c r="AQ992" s="122">
        <v>1</v>
      </c>
      <c r="AR992" s="515" t="s">
        <v>10</v>
      </c>
      <c r="AS992" s="95">
        <v>0</v>
      </c>
      <c r="AT992" s="75">
        <v>0</v>
      </c>
      <c r="AU992" s="75">
        <v>0</v>
      </c>
      <c r="AV992" s="75">
        <v>0</v>
      </c>
      <c r="AW992" s="123">
        <v>0</v>
      </c>
      <c r="AX992" s="516" t="s">
        <v>1537</v>
      </c>
      <c r="AY992" s="75">
        <v>1</v>
      </c>
      <c r="AZ992" s="77" t="s">
        <v>131</v>
      </c>
      <c r="BA992" s="78" t="s">
        <v>132</v>
      </c>
      <c r="BB992" s="78" t="s">
        <v>131</v>
      </c>
      <c r="BC992" s="78" t="s">
        <v>131</v>
      </c>
      <c r="BD992" s="78" t="s">
        <v>131</v>
      </c>
      <c r="BE992" s="78" t="s">
        <v>131</v>
      </c>
      <c r="BF992" s="78" t="s">
        <v>131</v>
      </c>
      <c r="BG992" s="78" t="s">
        <v>131</v>
      </c>
      <c r="BH992" s="75" t="s">
        <v>5970</v>
      </c>
      <c r="BI992" s="295" t="s">
        <v>2227</v>
      </c>
      <c r="BJ992" s="546">
        <v>1</v>
      </c>
      <c r="BK992" s="294" t="s">
        <v>16</v>
      </c>
      <c r="BL992" s="157" t="s">
        <v>16</v>
      </c>
      <c r="BM992" s="548" t="s">
        <v>578</v>
      </c>
      <c r="BN992" s="548" t="s">
        <v>578</v>
      </c>
      <c r="BO992" s="157" t="s">
        <v>4341</v>
      </c>
      <c r="BP992" s="548" t="s">
        <v>4343</v>
      </c>
      <c r="BQ992" s="157" t="s">
        <v>4309</v>
      </c>
      <c r="BR992" s="157"/>
    </row>
    <row r="993" spans="1:70" x14ac:dyDescent="0.25">
      <c r="A993" s="19" t="s">
        <v>3686</v>
      </c>
      <c r="B993" s="37" t="s">
        <v>3109</v>
      </c>
      <c r="C993" s="90">
        <v>45089.74858796296</v>
      </c>
      <c r="D993" s="114">
        <v>45089.49858796296</v>
      </c>
      <c r="E993" s="38">
        <v>45089</v>
      </c>
      <c r="F993" s="91">
        <v>2023</v>
      </c>
      <c r="G993" s="93">
        <v>6</v>
      </c>
      <c r="H993" s="37" t="s">
        <v>2548</v>
      </c>
      <c r="I993" s="37"/>
      <c r="J993" s="103">
        <v>-90.710821302763236</v>
      </c>
      <c r="K993" s="40">
        <v>43.277608368800003</v>
      </c>
      <c r="L993" s="74"/>
      <c r="M993" s="272" t="s">
        <v>3110</v>
      </c>
      <c r="N993" s="74">
        <v>1</v>
      </c>
      <c r="O993" s="94"/>
      <c r="P993" s="118">
        <v>1</v>
      </c>
      <c r="Q993" s="510">
        <v>180</v>
      </c>
      <c r="R993" s="513">
        <v>180</v>
      </c>
      <c r="S993" s="41"/>
      <c r="T993" s="40"/>
      <c r="U993" s="40">
        <v>8</v>
      </c>
      <c r="V993" s="119">
        <v>0</v>
      </c>
      <c r="W993" s="40"/>
      <c r="X993" s="119">
        <v>1</v>
      </c>
      <c r="Y993" s="40">
        <v>54</v>
      </c>
      <c r="Z993" s="119">
        <v>1</v>
      </c>
      <c r="AA993" s="368">
        <v>0</v>
      </c>
      <c r="AB993" s="535">
        <v>2</v>
      </c>
      <c r="AC993" s="39" t="s">
        <v>160</v>
      </c>
      <c r="AD993" s="75" t="s">
        <v>7</v>
      </c>
      <c r="AE993" s="95">
        <v>1</v>
      </c>
      <c r="AF993" s="75">
        <v>0</v>
      </c>
      <c r="AG993" s="75">
        <v>0</v>
      </c>
      <c r="AH993" s="75">
        <v>0</v>
      </c>
      <c r="AI993" s="75">
        <v>0</v>
      </c>
      <c r="AJ993" s="75">
        <v>0</v>
      </c>
      <c r="AK993" s="75">
        <v>0</v>
      </c>
      <c r="AL993" s="95">
        <v>0</v>
      </c>
      <c r="AM993" s="92">
        <v>0</v>
      </c>
      <c r="AN993" s="79" t="s">
        <v>80</v>
      </c>
      <c r="AO993" s="75">
        <v>1</v>
      </c>
      <c r="AP993" s="75" t="s">
        <v>83</v>
      </c>
      <c r="AQ993" s="122">
        <v>1</v>
      </c>
      <c r="AR993" s="515" t="s">
        <v>10</v>
      </c>
      <c r="AS993" s="95">
        <v>0</v>
      </c>
      <c r="AT993" s="75">
        <v>0</v>
      </c>
      <c r="AU993" s="75">
        <v>0</v>
      </c>
      <c r="AV993" s="75">
        <v>0</v>
      </c>
      <c r="AW993" s="123">
        <v>0</v>
      </c>
      <c r="AX993" s="516"/>
      <c r="AY993" s="75">
        <v>0</v>
      </c>
      <c r="AZ993" s="77" t="s">
        <v>132</v>
      </c>
      <c r="BA993" s="78" t="s">
        <v>131</v>
      </c>
      <c r="BB993" s="78" t="s">
        <v>131</v>
      </c>
      <c r="BC993" s="78" t="s">
        <v>131</v>
      </c>
      <c r="BD993" s="78" t="s">
        <v>131</v>
      </c>
      <c r="BE993" s="78" t="s">
        <v>131</v>
      </c>
      <c r="BF993" s="78" t="s">
        <v>131</v>
      </c>
      <c r="BG993" s="78" t="s">
        <v>131</v>
      </c>
      <c r="BH993" s="75" t="s">
        <v>5970</v>
      </c>
      <c r="BI993" s="295">
        <v>0</v>
      </c>
      <c r="BJ993" s="546">
        <v>1</v>
      </c>
      <c r="BK993" s="294">
        <v>1</v>
      </c>
      <c r="BL993" s="157">
        <v>1</v>
      </c>
      <c r="BM993" s="548" t="s">
        <v>1342</v>
      </c>
      <c r="BN993" s="548" t="s">
        <v>4158</v>
      </c>
      <c r="BO993" s="157" t="s">
        <v>4580</v>
      </c>
      <c r="BP993" s="548" t="s">
        <v>4097</v>
      </c>
      <c r="BQ993" s="157" t="s">
        <v>4427</v>
      </c>
      <c r="BR993" s="157"/>
    </row>
    <row r="994" spans="1:70" x14ac:dyDescent="0.25">
      <c r="A994" s="19" t="s">
        <v>3686</v>
      </c>
      <c r="B994" s="37" t="s">
        <v>3111</v>
      </c>
      <c r="C994" s="90">
        <v>45089.70207175926</v>
      </c>
      <c r="D994" s="114">
        <v>45089.45207175926</v>
      </c>
      <c r="E994" s="38">
        <v>45089</v>
      </c>
      <c r="F994" s="91">
        <v>2023</v>
      </c>
      <c r="G994" s="93">
        <v>6</v>
      </c>
      <c r="H994" s="37" t="s">
        <v>2548</v>
      </c>
      <c r="I994" s="37"/>
      <c r="J994" s="103">
        <v>-90.705814043603937</v>
      </c>
      <c r="K994" s="40">
        <v>43.286711695100443</v>
      </c>
      <c r="L994" s="74"/>
      <c r="M994" s="272" t="s">
        <v>3112</v>
      </c>
      <c r="N994" s="74">
        <v>1</v>
      </c>
      <c r="O994" s="94"/>
      <c r="P994" s="118">
        <v>1</v>
      </c>
      <c r="Q994" s="510">
        <v>180</v>
      </c>
      <c r="R994" s="513">
        <v>180</v>
      </c>
      <c r="S994" s="41"/>
      <c r="T994" s="40"/>
      <c r="U994" s="40">
        <v>7.5</v>
      </c>
      <c r="V994" s="119">
        <v>1</v>
      </c>
      <c r="W994" s="40">
        <v>0</v>
      </c>
      <c r="X994" s="119">
        <v>1</v>
      </c>
      <c r="Y994" s="40">
        <v>56</v>
      </c>
      <c r="Z994" s="119">
        <v>1</v>
      </c>
      <c r="AA994" s="368">
        <v>0</v>
      </c>
      <c r="AB994" s="535">
        <v>0</v>
      </c>
      <c r="AC994" s="39" t="s">
        <v>160</v>
      </c>
      <c r="AD994" s="75" t="s">
        <v>10</v>
      </c>
      <c r="AE994" s="95">
        <v>0</v>
      </c>
      <c r="AF994" s="75">
        <v>0</v>
      </c>
      <c r="AG994" s="75">
        <v>0</v>
      </c>
      <c r="AH994" s="75">
        <v>0</v>
      </c>
      <c r="AI994" s="75">
        <v>0</v>
      </c>
      <c r="AJ994" s="75">
        <v>0</v>
      </c>
      <c r="AK994" s="75">
        <v>0</v>
      </c>
      <c r="AL994" s="95">
        <v>1</v>
      </c>
      <c r="AM994" s="92">
        <v>0</v>
      </c>
      <c r="AN994" s="79" t="s">
        <v>80</v>
      </c>
      <c r="AO994" s="75">
        <v>1</v>
      </c>
      <c r="AP994" s="75" t="s">
        <v>83</v>
      </c>
      <c r="AQ994" s="122">
        <v>1</v>
      </c>
      <c r="AR994" s="515" t="s">
        <v>10</v>
      </c>
      <c r="AS994" s="95">
        <v>0</v>
      </c>
      <c r="AT994" s="75">
        <v>0</v>
      </c>
      <c r="AU994" s="75">
        <v>0</v>
      </c>
      <c r="AV994" s="75">
        <v>0</v>
      </c>
      <c r="AW994" s="123">
        <v>0</v>
      </c>
      <c r="AX994" s="516"/>
      <c r="AY994" s="75">
        <v>0</v>
      </c>
      <c r="AZ994" s="77" t="s">
        <v>131</v>
      </c>
      <c r="BA994" s="78" t="s">
        <v>131</v>
      </c>
      <c r="BB994" s="78" t="s">
        <v>131</v>
      </c>
      <c r="BC994" s="78" t="s">
        <v>131</v>
      </c>
      <c r="BD994" s="78" t="s">
        <v>131</v>
      </c>
      <c r="BE994" s="78" t="s">
        <v>131</v>
      </c>
      <c r="BF994" s="78" t="s">
        <v>131</v>
      </c>
      <c r="BG994" s="78" t="s">
        <v>132</v>
      </c>
      <c r="BH994" s="75" t="s">
        <v>5970</v>
      </c>
      <c r="BI994" s="295" t="s">
        <v>4097</v>
      </c>
      <c r="BJ994" s="546">
        <v>1</v>
      </c>
      <c r="BK994" s="294">
        <v>1</v>
      </c>
      <c r="BL994" s="157">
        <v>1</v>
      </c>
      <c r="BM994" s="548" t="s">
        <v>1342</v>
      </c>
      <c r="BN994" s="548" t="s">
        <v>4158</v>
      </c>
      <c r="BO994" s="157" t="s">
        <v>4580</v>
      </c>
      <c r="BP994" s="548" t="s">
        <v>4097</v>
      </c>
      <c r="BQ994" s="157" t="s">
        <v>4427</v>
      </c>
      <c r="BR994" s="157"/>
    </row>
    <row r="995" spans="1:70" x14ac:dyDescent="0.25">
      <c r="A995" s="19" t="s">
        <v>3686</v>
      </c>
      <c r="B995" s="37" t="s">
        <v>3113</v>
      </c>
      <c r="C995" s="90">
        <v>45089.681574074071</v>
      </c>
      <c r="D995" s="114">
        <v>45089.431574074071</v>
      </c>
      <c r="E995" s="38">
        <v>45089</v>
      </c>
      <c r="F995" s="91">
        <v>2023</v>
      </c>
      <c r="G995" s="93">
        <v>6</v>
      </c>
      <c r="H995" s="37" t="s">
        <v>1386</v>
      </c>
      <c r="I995" s="37"/>
      <c r="J995" s="103">
        <v>-92.294242699999998</v>
      </c>
      <c r="K995" s="40">
        <v>43.728050600000003</v>
      </c>
      <c r="L995" s="74"/>
      <c r="M995" s="272" t="s">
        <v>16</v>
      </c>
      <c r="N995" s="74">
        <v>0</v>
      </c>
      <c r="O995" s="94"/>
      <c r="P995" s="118">
        <v>1</v>
      </c>
      <c r="Q995" s="510">
        <v>40</v>
      </c>
      <c r="R995" s="513">
        <v>180</v>
      </c>
      <c r="S995" s="41"/>
      <c r="T995" s="40"/>
      <c r="U995" s="40">
        <v>7.5</v>
      </c>
      <c r="V995" s="119">
        <v>1</v>
      </c>
      <c r="W995" s="40">
        <v>0</v>
      </c>
      <c r="X995" s="119">
        <v>1</v>
      </c>
      <c r="Y995" s="40">
        <v>56</v>
      </c>
      <c r="Z995" s="119">
        <v>1</v>
      </c>
      <c r="AA995" s="368">
        <v>0</v>
      </c>
      <c r="AB995" s="535">
        <v>5</v>
      </c>
      <c r="AC995" s="39" t="s">
        <v>160</v>
      </c>
      <c r="AD995" s="75" t="s">
        <v>10</v>
      </c>
      <c r="AE995" s="95">
        <v>0</v>
      </c>
      <c r="AF995" s="75">
        <v>0</v>
      </c>
      <c r="AG995" s="75">
        <v>0</v>
      </c>
      <c r="AH995" s="75">
        <v>0</v>
      </c>
      <c r="AI995" s="75">
        <v>0</v>
      </c>
      <c r="AJ995" s="75">
        <v>0</v>
      </c>
      <c r="AK995" s="75">
        <v>0</v>
      </c>
      <c r="AL995" s="95">
        <v>1</v>
      </c>
      <c r="AM995" s="92">
        <v>0</v>
      </c>
      <c r="AN995" s="79" t="s">
        <v>80</v>
      </c>
      <c r="AO995" s="75">
        <v>1</v>
      </c>
      <c r="AP995" s="75" t="s">
        <v>83</v>
      </c>
      <c r="AQ995" s="122">
        <v>1</v>
      </c>
      <c r="AR995" s="515" t="s">
        <v>10</v>
      </c>
      <c r="AS995" s="95">
        <v>0</v>
      </c>
      <c r="AT995" s="75">
        <v>0</v>
      </c>
      <c r="AU995" s="75">
        <v>0</v>
      </c>
      <c r="AV995" s="75">
        <v>0</v>
      </c>
      <c r="AW995" s="123">
        <v>0</v>
      </c>
      <c r="AX995" s="516"/>
      <c r="AY995" s="75">
        <v>0</v>
      </c>
      <c r="AZ995" s="77" t="s">
        <v>131</v>
      </c>
      <c r="BA995" s="78" t="s">
        <v>131</v>
      </c>
      <c r="BB995" s="78" t="s">
        <v>131</v>
      </c>
      <c r="BC995" s="78" t="s">
        <v>131</v>
      </c>
      <c r="BD995" s="78" t="s">
        <v>131</v>
      </c>
      <c r="BE995" s="78" t="s">
        <v>131</v>
      </c>
      <c r="BF995" s="78" t="s">
        <v>131</v>
      </c>
      <c r="BG995" s="78" t="s">
        <v>132</v>
      </c>
      <c r="BH995" s="75" t="s">
        <v>5970</v>
      </c>
      <c r="BI995" s="295" t="s">
        <v>2230</v>
      </c>
      <c r="BJ995" s="546">
        <v>1</v>
      </c>
      <c r="BK995" s="294" t="s">
        <v>16</v>
      </c>
      <c r="BL995" s="157" t="s">
        <v>16</v>
      </c>
      <c r="BM995" s="548" t="s">
        <v>1339</v>
      </c>
      <c r="BN995" s="548" t="s">
        <v>1339</v>
      </c>
      <c r="BO995" s="157" t="s">
        <v>4227</v>
      </c>
      <c r="BP995" s="548" t="s">
        <v>2230</v>
      </c>
      <c r="BQ995" s="157" t="s">
        <v>4226</v>
      </c>
      <c r="BR995" s="157"/>
    </row>
    <row r="996" spans="1:70" x14ac:dyDescent="0.25">
      <c r="A996" s="19" t="s">
        <v>3686</v>
      </c>
      <c r="B996" s="37" t="s">
        <v>3114</v>
      </c>
      <c r="C996" s="90">
        <v>45089.644328703704</v>
      </c>
      <c r="D996" s="114">
        <v>45089.394328703704</v>
      </c>
      <c r="E996" s="38">
        <v>45089</v>
      </c>
      <c r="F996" s="91">
        <v>2023</v>
      </c>
      <c r="G996" s="93">
        <v>6</v>
      </c>
      <c r="H996" s="37" t="s">
        <v>2548</v>
      </c>
      <c r="I996" s="37"/>
      <c r="J996" s="103">
        <v>-90.714516823423878</v>
      </c>
      <c r="K996" s="40">
        <v>43.292397790285342</v>
      </c>
      <c r="L996" s="74"/>
      <c r="M996" s="272" t="s">
        <v>3115</v>
      </c>
      <c r="N996" s="74">
        <v>1</v>
      </c>
      <c r="O996" s="94"/>
      <c r="P996" s="118">
        <v>1</v>
      </c>
      <c r="Q996" s="510">
        <v>180</v>
      </c>
      <c r="R996" s="513">
        <v>120</v>
      </c>
      <c r="S996" s="41"/>
      <c r="T996" s="40"/>
      <c r="U996" s="40">
        <v>7.5</v>
      </c>
      <c r="V996" s="119">
        <v>1</v>
      </c>
      <c r="W996" s="40">
        <v>0</v>
      </c>
      <c r="X996" s="119">
        <v>1</v>
      </c>
      <c r="Y996" s="40">
        <v>51</v>
      </c>
      <c r="Z996" s="119">
        <v>1</v>
      </c>
      <c r="AA996" s="368">
        <v>0</v>
      </c>
      <c r="AB996" s="535">
        <v>2</v>
      </c>
      <c r="AC996" s="39" t="s">
        <v>160</v>
      </c>
      <c r="AD996" s="75" t="s">
        <v>16</v>
      </c>
      <c r="AE996" s="95">
        <v>-1</v>
      </c>
      <c r="AF996" s="75">
        <v>-1</v>
      </c>
      <c r="AG996" s="75">
        <v>-1</v>
      </c>
      <c r="AH996" s="75">
        <v>-1</v>
      </c>
      <c r="AI996" s="75">
        <v>-1</v>
      </c>
      <c r="AJ996" s="75">
        <v>-1</v>
      </c>
      <c r="AK996" s="75">
        <v>-1</v>
      </c>
      <c r="AL996" s="95">
        <v>-1</v>
      </c>
      <c r="AM996" s="92">
        <v>1</v>
      </c>
      <c r="AN996" s="79" t="s">
        <v>80</v>
      </c>
      <c r="AO996" s="75">
        <v>1</v>
      </c>
      <c r="AP996" s="75" t="s">
        <v>83</v>
      </c>
      <c r="AQ996" s="122">
        <v>1</v>
      </c>
      <c r="AR996" s="515" t="s">
        <v>10</v>
      </c>
      <c r="AS996" s="95">
        <v>0</v>
      </c>
      <c r="AT996" s="75">
        <v>0</v>
      </c>
      <c r="AU996" s="75">
        <v>0</v>
      </c>
      <c r="AV996" s="75">
        <v>0</v>
      </c>
      <c r="AW996" s="123">
        <v>0</v>
      </c>
      <c r="AX996" s="516"/>
      <c r="AY996" s="75">
        <v>0</v>
      </c>
      <c r="AZ996" s="77" t="s">
        <v>5971</v>
      </c>
      <c r="BA996" s="78" t="s">
        <v>5971</v>
      </c>
      <c r="BB996" s="78" t="s">
        <v>5971</v>
      </c>
      <c r="BC996" s="78" t="s">
        <v>5971</v>
      </c>
      <c r="BD996" s="78" t="s">
        <v>5971</v>
      </c>
      <c r="BE996" s="78" t="s">
        <v>5971</v>
      </c>
      <c r="BF996" s="78" t="s">
        <v>5971</v>
      </c>
      <c r="BG996" s="78" t="s">
        <v>5971</v>
      </c>
      <c r="BH996" s="75" t="s">
        <v>5971</v>
      </c>
      <c r="BI996" s="295" t="s">
        <v>16</v>
      </c>
      <c r="BJ996" s="546">
        <v>1</v>
      </c>
      <c r="BK996" s="294">
        <v>1</v>
      </c>
      <c r="BL996" s="157">
        <v>1</v>
      </c>
      <c r="BM996" s="548" t="s">
        <v>1342</v>
      </c>
      <c r="BN996" s="548" t="s">
        <v>4158</v>
      </c>
      <c r="BO996" s="157" t="s">
        <v>4580</v>
      </c>
      <c r="BP996" s="548" t="s">
        <v>4097</v>
      </c>
      <c r="BQ996" s="157" t="s">
        <v>4427</v>
      </c>
      <c r="BR996" s="157"/>
    </row>
    <row r="997" spans="1:70" x14ac:dyDescent="0.25">
      <c r="A997" s="19" t="s">
        <v>3686</v>
      </c>
      <c r="B997" s="37" t="s">
        <v>3116</v>
      </c>
      <c r="C997" s="90">
        <v>45089.641331018516</v>
      </c>
      <c r="D997" s="114">
        <v>45089.391331018516</v>
      </c>
      <c r="E997" s="38">
        <v>45089</v>
      </c>
      <c r="F997" s="91">
        <v>2023</v>
      </c>
      <c r="G997" s="93">
        <v>6</v>
      </c>
      <c r="H997" s="37" t="s">
        <v>1386</v>
      </c>
      <c r="I997" s="37"/>
      <c r="J997" s="103">
        <v>-92.342136699999998</v>
      </c>
      <c r="K997" s="40">
        <v>43.603189299999997</v>
      </c>
      <c r="L997" s="74"/>
      <c r="M997" s="272" t="s">
        <v>16</v>
      </c>
      <c r="N997" s="74">
        <v>0</v>
      </c>
      <c r="O997" s="94"/>
      <c r="P997" s="118">
        <v>1</v>
      </c>
      <c r="Q997" s="510">
        <v>120</v>
      </c>
      <c r="R997" s="513">
        <v>180</v>
      </c>
      <c r="S997" s="41"/>
      <c r="T997" s="40"/>
      <c r="U997" s="40">
        <v>7.5</v>
      </c>
      <c r="V997" s="119">
        <v>1</v>
      </c>
      <c r="W997" s="40">
        <v>0</v>
      </c>
      <c r="X997" s="119">
        <v>1</v>
      </c>
      <c r="Y997" s="40">
        <v>53</v>
      </c>
      <c r="Z997" s="119">
        <v>1</v>
      </c>
      <c r="AA997" s="368">
        <v>0</v>
      </c>
      <c r="AB997" s="535">
        <v>5</v>
      </c>
      <c r="AC997" s="39" t="s">
        <v>160</v>
      </c>
      <c r="AD997" s="75" t="s">
        <v>10</v>
      </c>
      <c r="AE997" s="95">
        <v>0</v>
      </c>
      <c r="AF997" s="75">
        <v>0</v>
      </c>
      <c r="AG997" s="75">
        <v>0</v>
      </c>
      <c r="AH997" s="75">
        <v>0</v>
      </c>
      <c r="AI997" s="75">
        <v>0</v>
      </c>
      <c r="AJ997" s="75">
        <v>0</v>
      </c>
      <c r="AK997" s="75">
        <v>0</v>
      </c>
      <c r="AL997" s="95">
        <v>1</v>
      </c>
      <c r="AM997" s="92">
        <v>0</v>
      </c>
      <c r="AN997" s="79" t="s">
        <v>80</v>
      </c>
      <c r="AO997" s="75">
        <v>1</v>
      </c>
      <c r="AP997" s="75" t="s">
        <v>83</v>
      </c>
      <c r="AQ997" s="122">
        <v>1</v>
      </c>
      <c r="AR997" s="515" t="s">
        <v>10</v>
      </c>
      <c r="AS997" s="95">
        <v>0</v>
      </c>
      <c r="AT997" s="75">
        <v>0</v>
      </c>
      <c r="AU997" s="75">
        <v>0</v>
      </c>
      <c r="AV997" s="75">
        <v>0</v>
      </c>
      <c r="AW997" s="123">
        <v>0</v>
      </c>
      <c r="AX997" s="516"/>
      <c r="AY997" s="75">
        <v>0</v>
      </c>
      <c r="AZ997" s="77" t="s">
        <v>131</v>
      </c>
      <c r="BA997" s="78" t="s">
        <v>131</v>
      </c>
      <c r="BB997" s="78" t="s">
        <v>131</v>
      </c>
      <c r="BC997" s="78" t="s">
        <v>131</v>
      </c>
      <c r="BD997" s="78" t="s">
        <v>131</v>
      </c>
      <c r="BE997" s="78" t="s">
        <v>131</v>
      </c>
      <c r="BF997" s="78" t="s">
        <v>131</v>
      </c>
      <c r="BG997" s="78" t="s">
        <v>132</v>
      </c>
      <c r="BH997" s="75" t="s">
        <v>5970</v>
      </c>
      <c r="BI997" s="295" t="s">
        <v>2294</v>
      </c>
      <c r="BJ997" s="546">
        <v>1</v>
      </c>
      <c r="BK997" s="294" t="s">
        <v>16</v>
      </c>
      <c r="BL997" s="157" t="s">
        <v>16</v>
      </c>
      <c r="BM997" s="548" t="s">
        <v>1339</v>
      </c>
      <c r="BN997" s="548" t="s">
        <v>1339</v>
      </c>
      <c r="BO997" s="157" t="s">
        <v>4230</v>
      </c>
      <c r="BP997" s="548" t="s">
        <v>4231</v>
      </c>
      <c r="BQ997" s="157" t="s">
        <v>4229</v>
      </c>
      <c r="BR997" s="157"/>
    </row>
    <row r="998" spans="1:70" x14ac:dyDescent="0.25">
      <c r="A998" s="19" t="s">
        <v>3686</v>
      </c>
      <c r="B998" s="37" t="s">
        <v>3117</v>
      </c>
      <c r="C998" s="90">
        <v>45089.570740740739</v>
      </c>
      <c r="D998" s="114">
        <v>45089.320740740739</v>
      </c>
      <c r="E998" s="38">
        <v>45089</v>
      </c>
      <c r="F998" s="91">
        <v>2023</v>
      </c>
      <c r="G998" s="93">
        <v>6</v>
      </c>
      <c r="H998" s="37" t="s">
        <v>2654</v>
      </c>
      <c r="I998" s="37"/>
      <c r="J998" s="103">
        <v>-91.325642400000007</v>
      </c>
      <c r="K998" s="40">
        <v>44.149360100000003</v>
      </c>
      <c r="L998" s="74"/>
      <c r="M998" s="272" t="s">
        <v>3118</v>
      </c>
      <c r="N998" s="74">
        <v>1</v>
      </c>
      <c r="O998" s="94"/>
      <c r="P998" s="118">
        <v>1</v>
      </c>
      <c r="Q998" s="510">
        <v>80</v>
      </c>
      <c r="R998" s="513">
        <v>120</v>
      </c>
      <c r="S998" s="41"/>
      <c r="T998" s="40"/>
      <c r="U998" s="40">
        <v>7</v>
      </c>
      <c r="V998" s="119">
        <v>1</v>
      </c>
      <c r="W998" s="40">
        <v>100</v>
      </c>
      <c r="X998" s="119">
        <v>1</v>
      </c>
      <c r="Y998" s="40">
        <v>49</v>
      </c>
      <c r="Z998" s="119">
        <v>1</v>
      </c>
      <c r="AA998" s="368">
        <v>0</v>
      </c>
      <c r="AB998" s="535">
        <v>2</v>
      </c>
      <c r="AC998" s="39" t="s">
        <v>160</v>
      </c>
      <c r="AD998" s="75" t="s">
        <v>10</v>
      </c>
      <c r="AE998" s="95">
        <v>0</v>
      </c>
      <c r="AF998" s="75">
        <v>0</v>
      </c>
      <c r="AG998" s="75">
        <v>0</v>
      </c>
      <c r="AH998" s="75">
        <v>0</v>
      </c>
      <c r="AI998" s="75">
        <v>0</v>
      </c>
      <c r="AJ998" s="75">
        <v>0</v>
      </c>
      <c r="AK998" s="75">
        <v>0</v>
      </c>
      <c r="AL998" s="95">
        <v>1</v>
      </c>
      <c r="AM998" s="92">
        <v>0</v>
      </c>
      <c r="AN998" s="79" t="s">
        <v>80</v>
      </c>
      <c r="AO998" s="75">
        <v>1</v>
      </c>
      <c r="AP998" s="75" t="s">
        <v>83</v>
      </c>
      <c r="AQ998" s="122">
        <v>1</v>
      </c>
      <c r="AR998" s="515" t="s">
        <v>10</v>
      </c>
      <c r="AS998" s="95">
        <v>0</v>
      </c>
      <c r="AT998" s="75">
        <v>0</v>
      </c>
      <c r="AU998" s="75">
        <v>0</v>
      </c>
      <c r="AV998" s="75">
        <v>0</v>
      </c>
      <c r="AW998" s="123">
        <v>0</v>
      </c>
      <c r="AX998" s="516"/>
      <c r="AY998" s="75">
        <v>0</v>
      </c>
      <c r="AZ998" s="77" t="s">
        <v>131</v>
      </c>
      <c r="BA998" s="78" t="s">
        <v>131</v>
      </c>
      <c r="BB998" s="78" t="s">
        <v>131</v>
      </c>
      <c r="BC998" s="78" t="s">
        <v>131</v>
      </c>
      <c r="BD998" s="78" t="s">
        <v>131</v>
      </c>
      <c r="BE998" s="78" t="s">
        <v>131</v>
      </c>
      <c r="BF998" s="78" t="s">
        <v>131</v>
      </c>
      <c r="BG998" s="78" t="s">
        <v>132</v>
      </c>
      <c r="BH998" s="75" t="s">
        <v>5970</v>
      </c>
      <c r="BI998" s="295" t="s">
        <v>307</v>
      </c>
      <c r="BJ998" s="546">
        <v>1</v>
      </c>
      <c r="BK998" s="294">
        <v>1</v>
      </c>
      <c r="BL998" s="157">
        <v>1</v>
      </c>
      <c r="BM998" s="548" t="s">
        <v>1340</v>
      </c>
      <c r="BN998" s="548" t="s">
        <v>4158</v>
      </c>
      <c r="BO998" s="157" t="s">
        <v>4575</v>
      </c>
      <c r="BP998" s="548" t="s">
        <v>2321</v>
      </c>
      <c r="BQ998" s="157" t="s">
        <v>4447</v>
      </c>
      <c r="BR998" s="157"/>
    </row>
    <row r="999" spans="1:70" x14ac:dyDescent="0.25">
      <c r="A999" s="19" t="s">
        <v>3686</v>
      </c>
      <c r="B999" s="37" t="s">
        <v>3119</v>
      </c>
      <c r="C999" s="90">
        <v>45089.562418981484</v>
      </c>
      <c r="D999" s="114">
        <v>45089.312418981484</v>
      </c>
      <c r="E999" s="38">
        <v>45089</v>
      </c>
      <c r="F999" s="91">
        <v>2023</v>
      </c>
      <c r="G999" s="93">
        <v>6</v>
      </c>
      <c r="H999" s="37" t="s">
        <v>2548</v>
      </c>
      <c r="I999" s="37"/>
      <c r="J999" s="103">
        <v>-90.724108024257376</v>
      </c>
      <c r="K999" s="40">
        <v>43.30325973608236</v>
      </c>
      <c r="L999" s="74"/>
      <c r="M999" s="272" t="s">
        <v>3120</v>
      </c>
      <c r="N999" s="74">
        <v>1</v>
      </c>
      <c r="O999" s="94"/>
      <c r="P999" s="118">
        <v>1</v>
      </c>
      <c r="Q999" s="510">
        <v>180</v>
      </c>
      <c r="R999" s="513">
        <v>180</v>
      </c>
      <c r="S999" s="41"/>
      <c r="T999" s="40"/>
      <c r="U999" s="40">
        <v>7.5</v>
      </c>
      <c r="V999" s="119">
        <v>1</v>
      </c>
      <c r="W999" s="40">
        <v>0</v>
      </c>
      <c r="X999" s="119">
        <v>1</v>
      </c>
      <c r="Y999" s="40">
        <v>50</v>
      </c>
      <c r="Z999" s="119">
        <v>1</v>
      </c>
      <c r="AA999" s="368">
        <v>0</v>
      </c>
      <c r="AB999" s="535">
        <v>2</v>
      </c>
      <c r="AC999" s="39" t="s">
        <v>160</v>
      </c>
      <c r="AD999" s="75" t="s">
        <v>10</v>
      </c>
      <c r="AE999" s="95">
        <v>0</v>
      </c>
      <c r="AF999" s="75">
        <v>0</v>
      </c>
      <c r="AG999" s="75">
        <v>0</v>
      </c>
      <c r="AH999" s="75">
        <v>0</v>
      </c>
      <c r="AI999" s="75">
        <v>0</v>
      </c>
      <c r="AJ999" s="75">
        <v>0</v>
      </c>
      <c r="AK999" s="75">
        <v>0</v>
      </c>
      <c r="AL999" s="95">
        <v>1</v>
      </c>
      <c r="AM999" s="92">
        <v>0</v>
      </c>
      <c r="AN999" s="79" t="s">
        <v>80</v>
      </c>
      <c r="AO999" s="75">
        <v>1</v>
      </c>
      <c r="AP999" s="75" t="s">
        <v>83</v>
      </c>
      <c r="AQ999" s="122">
        <v>1</v>
      </c>
      <c r="AR999" s="515" t="s">
        <v>10</v>
      </c>
      <c r="AS999" s="95">
        <v>0</v>
      </c>
      <c r="AT999" s="75">
        <v>0</v>
      </c>
      <c r="AU999" s="75">
        <v>0</v>
      </c>
      <c r="AV999" s="75">
        <v>0</v>
      </c>
      <c r="AW999" s="123">
        <v>0</v>
      </c>
      <c r="AX999" s="516"/>
      <c r="AY999" s="75">
        <v>0</v>
      </c>
      <c r="AZ999" s="77" t="s">
        <v>131</v>
      </c>
      <c r="BA999" s="78" t="s">
        <v>131</v>
      </c>
      <c r="BB999" s="78" t="s">
        <v>131</v>
      </c>
      <c r="BC999" s="78" t="s">
        <v>131</v>
      </c>
      <c r="BD999" s="78" t="s">
        <v>131</v>
      </c>
      <c r="BE999" s="78" t="s">
        <v>131</v>
      </c>
      <c r="BF999" s="78" t="s">
        <v>131</v>
      </c>
      <c r="BG999" s="78" t="s">
        <v>132</v>
      </c>
      <c r="BH999" s="75" t="s">
        <v>5970</v>
      </c>
      <c r="BI999" s="295" t="s">
        <v>4097</v>
      </c>
      <c r="BJ999" s="546">
        <v>1</v>
      </c>
      <c r="BK999" s="294">
        <v>1</v>
      </c>
      <c r="BL999" s="157">
        <v>1</v>
      </c>
      <c r="BM999" s="548" t="s">
        <v>1342</v>
      </c>
      <c r="BN999" s="548" t="s">
        <v>4158</v>
      </c>
      <c r="BO999" s="157" t="s">
        <v>4580</v>
      </c>
      <c r="BP999" s="548" t="s">
        <v>4097</v>
      </c>
      <c r="BQ999" s="157" t="s">
        <v>4427</v>
      </c>
      <c r="BR999" s="157"/>
    </row>
    <row r="1000" spans="1:70" x14ac:dyDescent="0.25">
      <c r="A1000" s="19" t="s">
        <v>3686</v>
      </c>
      <c r="B1000" s="37" t="s">
        <v>3121</v>
      </c>
      <c r="C1000" s="90">
        <v>45087.678587962961</v>
      </c>
      <c r="D1000" s="114">
        <v>45087.428587962961</v>
      </c>
      <c r="E1000" s="38">
        <v>45087</v>
      </c>
      <c r="F1000" s="91">
        <v>2023</v>
      </c>
      <c r="G1000" s="93">
        <v>6</v>
      </c>
      <c r="H1000" s="37" t="s">
        <v>3122</v>
      </c>
      <c r="I1000" s="37" t="s">
        <v>16</v>
      </c>
      <c r="J1000" s="103">
        <v>-91.759275045307362</v>
      </c>
      <c r="K1000" s="40">
        <v>43.288844015835821</v>
      </c>
      <c r="L1000" s="74"/>
      <c r="M1000" s="272" t="s">
        <v>3123</v>
      </c>
      <c r="N1000" s="74">
        <v>1</v>
      </c>
      <c r="O1000" s="94"/>
      <c r="P1000" s="118">
        <v>1</v>
      </c>
      <c r="Q1000" s="510">
        <v>180</v>
      </c>
      <c r="R1000" s="513">
        <v>180</v>
      </c>
      <c r="S1000" s="41"/>
      <c r="T1000" s="40"/>
      <c r="U1000" s="40">
        <v>8</v>
      </c>
      <c r="V1000" s="119">
        <v>1</v>
      </c>
      <c r="W1000" s="40">
        <v>100</v>
      </c>
      <c r="X1000" s="119">
        <v>0</v>
      </c>
      <c r="Y1000" s="40"/>
      <c r="Z1000" s="119">
        <v>0</v>
      </c>
      <c r="AA1000" s="368" t="s">
        <v>16</v>
      </c>
      <c r="AB1000" s="535" t="s">
        <v>16</v>
      </c>
      <c r="AC1000" s="39" t="s">
        <v>160</v>
      </c>
      <c r="AD1000" s="75" t="s">
        <v>8</v>
      </c>
      <c r="AE1000" s="95">
        <v>0</v>
      </c>
      <c r="AF1000" s="75">
        <v>1</v>
      </c>
      <c r="AG1000" s="75">
        <v>0</v>
      </c>
      <c r="AH1000" s="75">
        <v>0</v>
      </c>
      <c r="AI1000" s="75">
        <v>0</v>
      </c>
      <c r="AJ1000" s="75">
        <v>0</v>
      </c>
      <c r="AK1000" s="75">
        <v>0</v>
      </c>
      <c r="AL1000" s="95">
        <v>0</v>
      </c>
      <c r="AM1000" s="92">
        <v>0</v>
      </c>
      <c r="AN1000" s="79" t="s">
        <v>80</v>
      </c>
      <c r="AO1000" s="75">
        <v>1</v>
      </c>
      <c r="AP1000" s="75" t="s">
        <v>83</v>
      </c>
      <c r="AQ1000" s="122">
        <v>1</v>
      </c>
      <c r="AR1000" s="515" t="s">
        <v>10</v>
      </c>
      <c r="AS1000" s="95">
        <v>0</v>
      </c>
      <c r="AT1000" s="75">
        <v>0</v>
      </c>
      <c r="AU1000" s="75">
        <v>0</v>
      </c>
      <c r="AV1000" s="75">
        <v>0</v>
      </c>
      <c r="AW1000" s="123">
        <v>0</v>
      </c>
      <c r="AX1000" s="516" t="s">
        <v>16</v>
      </c>
      <c r="AY1000" s="75">
        <v>0</v>
      </c>
      <c r="AZ1000" s="77" t="s">
        <v>131</v>
      </c>
      <c r="BA1000" s="78" t="s">
        <v>132</v>
      </c>
      <c r="BB1000" s="78" t="s">
        <v>131</v>
      </c>
      <c r="BC1000" s="78" t="s">
        <v>131</v>
      </c>
      <c r="BD1000" s="78" t="s">
        <v>131</v>
      </c>
      <c r="BE1000" s="78" t="s">
        <v>131</v>
      </c>
      <c r="BF1000" s="78" t="s">
        <v>131</v>
      </c>
      <c r="BG1000" s="78" t="s">
        <v>131</v>
      </c>
      <c r="BH1000" s="75" t="s">
        <v>5970</v>
      </c>
      <c r="BI1000" s="295" t="s">
        <v>2235</v>
      </c>
      <c r="BJ1000" s="546">
        <v>1</v>
      </c>
      <c r="BK1000" s="294" t="s">
        <v>16</v>
      </c>
      <c r="BL1000" s="157" t="s">
        <v>16</v>
      </c>
      <c r="BM1000" s="548" t="s">
        <v>1344</v>
      </c>
      <c r="BN1000" s="548" t="s">
        <v>1344</v>
      </c>
      <c r="BO1000" s="157" t="s">
        <v>4491</v>
      </c>
      <c r="BP1000" s="548" t="s">
        <v>2254</v>
      </c>
      <c r="BQ1000" s="157" t="s">
        <v>4377</v>
      </c>
      <c r="BR1000" s="157"/>
    </row>
    <row r="1001" spans="1:70" x14ac:dyDescent="0.25">
      <c r="A1001" s="19" t="s">
        <v>3686</v>
      </c>
      <c r="B1001" s="37" t="s">
        <v>3124</v>
      </c>
      <c r="C1001" s="90">
        <v>45087.678518518522</v>
      </c>
      <c r="D1001" s="114">
        <v>45087.428518518522</v>
      </c>
      <c r="E1001" s="38">
        <v>45087</v>
      </c>
      <c r="F1001" s="91">
        <v>2023</v>
      </c>
      <c r="G1001" s="93">
        <v>6</v>
      </c>
      <c r="H1001" s="37" t="s">
        <v>192</v>
      </c>
      <c r="I1001" s="37" t="s">
        <v>16</v>
      </c>
      <c r="J1001" s="103">
        <v>-91.759266927923775</v>
      </c>
      <c r="K1001" s="40">
        <v>43.288833168375575</v>
      </c>
      <c r="L1001" s="74"/>
      <c r="M1001" s="272" t="s">
        <v>3125</v>
      </c>
      <c r="N1001" s="74">
        <v>1</v>
      </c>
      <c r="O1001" s="94"/>
      <c r="P1001" s="118">
        <v>1</v>
      </c>
      <c r="Q1001" s="510">
        <v>180</v>
      </c>
      <c r="R1001" s="513">
        <v>180</v>
      </c>
      <c r="S1001" s="41"/>
      <c r="T1001" s="40"/>
      <c r="U1001" s="40">
        <v>9</v>
      </c>
      <c r="V1001" s="119">
        <v>1</v>
      </c>
      <c r="W1001" s="40">
        <v>100</v>
      </c>
      <c r="X1001" s="119">
        <v>1</v>
      </c>
      <c r="Y1001" s="40">
        <v>0</v>
      </c>
      <c r="Z1001" s="119">
        <v>0</v>
      </c>
      <c r="AA1001" s="368" t="s">
        <v>16</v>
      </c>
      <c r="AB1001" s="535" t="s">
        <v>16</v>
      </c>
      <c r="AC1001" s="39"/>
      <c r="AD1001" s="75" t="s">
        <v>8</v>
      </c>
      <c r="AE1001" s="95">
        <v>0</v>
      </c>
      <c r="AF1001" s="75">
        <v>1</v>
      </c>
      <c r="AG1001" s="75">
        <v>0</v>
      </c>
      <c r="AH1001" s="75">
        <v>0</v>
      </c>
      <c r="AI1001" s="75">
        <v>0</v>
      </c>
      <c r="AJ1001" s="75">
        <v>0</v>
      </c>
      <c r="AK1001" s="75">
        <v>0</v>
      </c>
      <c r="AL1001" s="95">
        <v>0</v>
      </c>
      <c r="AM1001" s="92">
        <v>0</v>
      </c>
      <c r="AN1001" s="79" t="s">
        <v>80</v>
      </c>
      <c r="AO1001" s="75">
        <v>1</v>
      </c>
      <c r="AP1001" s="75" t="s">
        <v>83</v>
      </c>
      <c r="AQ1001" s="122">
        <v>1</v>
      </c>
      <c r="AR1001" s="515" t="s">
        <v>10</v>
      </c>
      <c r="AS1001" s="95">
        <v>0</v>
      </c>
      <c r="AT1001" s="75">
        <v>0</v>
      </c>
      <c r="AU1001" s="75">
        <v>0</v>
      </c>
      <c r="AV1001" s="75">
        <v>0</v>
      </c>
      <c r="AW1001" s="123">
        <v>0</v>
      </c>
      <c r="AX1001" s="516" t="s">
        <v>3126</v>
      </c>
      <c r="AY1001" s="75">
        <v>1</v>
      </c>
      <c r="AZ1001" s="77" t="s">
        <v>131</v>
      </c>
      <c r="BA1001" s="78" t="s">
        <v>132</v>
      </c>
      <c r="BB1001" s="78" t="s">
        <v>131</v>
      </c>
      <c r="BC1001" s="78" t="s">
        <v>131</v>
      </c>
      <c r="BD1001" s="78" t="s">
        <v>131</v>
      </c>
      <c r="BE1001" s="78" t="s">
        <v>131</v>
      </c>
      <c r="BF1001" s="78" t="s">
        <v>131</v>
      </c>
      <c r="BG1001" s="78" t="s">
        <v>131</v>
      </c>
      <c r="BH1001" s="75" t="s">
        <v>5970</v>
      </c>
      <c r="BI1001" s="295" t="s">
        <v>2235</v>
      </c>
      <c r="BJ1001" s="546">
        <v>1</v>
      </c>
      <c r="BK1001" s="294" t="s">
        <v>16</v>
      </c>
      <c r="BL1001" s="157" t="s">
        <v>16</v>
      </c>
      <c r="BM1001" s="548" t="s">
        <v>1344</v>
      </c>
      <c r="BN1001" s="548" t="s">
        <v>1344</v>
      </c>
      <c r="BO1001" s="157" t="s">
        <v>4491</v>
      </c>
      <c r="BP1001" s="548" t="s">
        <v>2254</v>
      </c>
      <c r="BQ1001" s="157" t="s">
        <v>4377</v>
      </c>
      <c r="BR1001" s="157"/>
    </row>
    <row r="1002" spans="1:70" x14ac:dyDescent="0.25">
      <c r="A1002" s="19" t="s">
        <v>3686</v>
      </c>
      <c r="B1002" s="37" t="s">
        <v>3127</v>
      </c>
      <c r="C1002" s="90">
        <v>45087.607743055552</v>
      </c>
      <c r="D1002" s="114">
        <v>45087.357743055552</v>
      </c>
      <c r="E1002" s="38">
        <v>45087</v>
      </c>
      <c r="F1002" s="91">
        <v>2023</v>
      </c>
      <c r="G1002" s="93">
        <v>6</v>
      </c>
      <c r="H1002" s="37" t="s">
        <v>1416</v>
      </c>
      <c r="I1002" s="37" t="s">
        <v>16</v>
      </c>
      <c r="J1002" s="103">
        <v>-93.009613056055798</v>
      </c>
      <c r="K1002" s="40">
        <v>44.656454491678552</v>
      </c>
      <c r="L1002" s="74"/>
      <c r="M1002" s="272" t="s">
        <v>3128</v>
      </c>
      <c r="N1002" s="74">
        <v>1</v>
      </c>
      <c r="O1002" s="94"/>
      <c r="P1002" s="118">
        <v>1</v>
      </c>
      <c r="Q1002" s="510">
        <v>80</v>
      </c>
      <c r="R1002" s="513">
        <v>120</v>
      </c>
      <c r="S1002" s="41"/>
      <c r="T1002" s="40"/>
      <c r="U1002" s="40">
        <v>7</v>
      </c>
      <c r="V1002" s="119">
        <v>1</v>
      </c>
      <c r="W1002" s="40">
        <v>200</v>
      </c>
      <c r="X1002" s="119">
        <v>1</v>
      </c>
      <c r="Y1002" s="40">
        <v>59</v>
      </c>
      <c r="Z1002" s="119">
        <v>1</v>
      </c>
      <c r="AA1002" s="368">
        <v>0</v>
      </c>
      <c r="AB1002" s="535">
        <v>2</v>
      </c>
      <c r="AC1002" s="39" t="s">
        <v>160</v>
      </c>
      <c r="AD1002" s="75" t="s">
        <v>10</v>
      </c>
      <c r="AE1002" s="95">
        <v>0</v>
      </c>
      <c r="AF1002" s="75">
        <v>0</v>
      </c>
      <c r="AG1002" s="75">
        <v>0</v>
      </c>
      <c r="AH1002" s="75">
        <v>0</v>
      </c>
      <c r="AI1002" s="75">
        <v>0</v>
      </c>
      <c r="AJ1002" s="75">
        <v>0</v>
      </c>
      <c r="AK1002" s="75">
        <v>0</v>
      </c>
      <c r="AL1002" s="95">
        <v>1</v>
      </c>
      <c r="AM1002" s="92">
        <v>0</v>
      </c>
      <c r="AN1002" s="79" t="s">
        <v>81</v>
      </c>
      <c r="AO1002" s="75">
        <v>1</v>
      </c>
      <c r="AP1002" s="75" t="s">
        <v>83</v>
      </c>
      <c r="AQ1002" s="122">
        <v>1</v>
      </c>
      <c r="AR1002" s="515" t="s">
        <v>10</v>
      </c>
      <c r="AS1002" s="95">
        <v>0</v>
      </c>
      <c r="AT1002" s="75">
        <v>0</v>
      </c>
      <c r="AU1002" s="75">
        <v>0</v>
      </c>
      <c r="AV1002" s="75">
        <v>0</v>
      </c>
      <c r="AW1002" s="123">
        <v>0</v>
      </c>
      <c r="AX1002" s="516"/>
      <c r="AY1002" s="75">
        <v>0</v>
      </c>
      <c r="AZ1002" s="77" t="s">
        <v>131</v>
      </c>
      <c r="BA1002" s="78" t="s">
        <v>131</v>
      </c>
      <c r="BB1002" s="78" t="s">
        <v>131</v>
      </c>
      <c r="BC1002" s="78" t="s">
        <v>131</v>
      </c>
      <c r="BD1002" s="78" t="s">
        <v>131</v>
      </c>
      <c r="BE1002" s="78" t="s">
        <v>131</v>
      </c>
      <c r="BF1002" s="78" t="s">
        <v>131</v>
      </c>
      <c r="BG1002" s="78" t="s">
        <v>132</v>
      </c>
      <c r="BH1002" s="75" t="s">
        <v>5970</v>
      </c>
      <c r="BI1002" s="295" t="s">
        <v>2225</v>
      </c>
      <c r="BJ1002" s="546">
        <v>1</v>
      </c>
      <c r="BK1002" s="294" t="s">
        <v>16</v>
      </c>
      <c r="BL1002" s="157" t="s">
        <v>16</v>
      </c>
      <c r="BM1002" s="548" t="s">
        <v>2343</v>
      </c>
      <c r="BN1002" s="548" t="s">
        <v>4161</v>
      </c>
      <c r="BO1002" s="157" t="s">
        <v>4293</v>
      </c>
      <c r="BP1002" s="548" t="s">
        <v>2225</v>
      </c>
      <c r="BQ1002" s="157" t="s">
        <v>4292</v>
      </c>
      <c r="BR1002" s="157"/>
    </row>
    <row r="1003" spans="1:70" x14ac:dyDescent="0.25">
      <c r="A1003" s="19" t="s">
        <v>3686</v>
      </c>
      <c r="B1003" s="37" t="s">
        <v>3129</v>
      </c>
      <c r="C1003" s="90">
        <v>45086.802106481482</v>
      </c>
      <c r="D1003" s="114">
        <v>45086.552106481482</v>
      </c>
      <c r="E1003" s="38">
        <v>45086</v>
      </c>
      <c r="F1003" s="91">
        <v>2023</v>
      </c>
      <c r="G1003" s="93">
        <v>6</v>
      </c>
      <c r="H1003" s="37" t="s">
        <v>599</v>
      </c>
      <c r="I1003" s="37" t="s">
        <v>2361</v>
      </c>
      <c r="J1003" s="103">
        <v>-92.442677757961235</v>
      </c>
      <c r="K1003" s="40">
        <v>44.621268582616374</v>
      </c>
      <c r="L1003" s="74"/>
      <c r="M1003" s="272" t="s">
        <v>16</v>
      </c>
      <c r="N1003" s="74">
        <v>0</v>
      </c>
      <c r="O1003" s="94"/>
      <c r="P1003" s="118">
        <v>1</v>
      </c>
      <c r="Q1003" s="510">
        <v>180</v>
      </c>
      <c r="R1003" s="513">
        <v>60</v>
      </c>
      <c r="S1003" s="41"/>
      <c r="T1003" s="40"/>
      <c r="U1003" s="40">
        <v>8</v>
      </c>
      <c r="V1003" s="119">
        <v>1</v>
      </c>
      <c r="W1003" s="40">
        <v>0</v>
      </c>
      <c r="X1003" s="119">
        <v>1</v>
      </c>
      <c r="Y1003" s="40">
        <v>62</v>
      </c>
      <c r="Z1003" s="119">
        <v>1</v>
      </c>
      <c r="AA1003" s="368">
        <v>0</v>
      </c>
      <c r="AB1003" s="535">
        <v>5</v>
      </c>
      <c r="AC1003" s="39" t="s">
        <v>160</v>
      </c>
      <c r="AD1003" s="75" t="s">
        <v>10</v>
      </c>
      <c r="AE1003" s="95">
        <v>0</v>
      </c>
      <c r="AF1003" s="75">
        <v>0</v>
      </c>
      <c r="AG1003" s="75">
        <v>0</v>
      </c>
      <c r="AH1003" s="75">
        <v>0</v>
      </c>
      <c r="AI1003" s="75">
        <v>0</v>
      </c>
      <c r="AJ1003" s="75">
        <v>0</v>
      </c>
      <c r="AK1003" s="75">
        <v>0</v>
      </c>
      <c r="AL1003" s="95">
        <v>1</v>
      </c>
      <c r="AM1003" s="92">
        <v>0</v>
      </c>
      <c r="AN1003" s="79" t="s">
        <v>80</v>
      </c>
      <c r="AO1003" s="75">
        <v>1</v>
      </c>
      <c r="AP1003" s="75" t="s">
        <v>83</v>
      </c>
      <c r="AQ1003" s="122">
        <v>1</v>
      </c>
      <c r="AR1003" s="515" t="s">
        <v>10</v>
      </c>
      <c r="AS1003" s="95">
        <v>0</v>
      </c>
      <c r="AT1003" s="75">
        <v>0</v>
      </c>
      <c r="AU1003" s="75">
        <v>0</v>
      </c>
      <c r="AV1003" s="75">
        <v>0</v>
      </c>
      <c r="AW1003" s="123">
        <v>0</v>
      </c>
      <c r="AX1003" s="516"/>
      <c r="AY1003" s="75">
        <v>0</v>
      </c>
      <c r="AZ1003" s="77" t="s">
        <v>131</v>
      </c>
      <c r="BA1003" s="78" t="s">
        <v>131</v>
      </c>
      <c r="BB1003" s="78" t="s">
        <v>131</v>
      </c>
      <c r="BC1003" s="78" t="s">
        <v>131</v>
      </c>
      <c r="BD1003" s="78" t="s">
        <v>131</v>
      </c>
      <c r="BE1003" s="78" t="s">
        <v>131</v>
      </c>
      <c r="BF1003" s="78" t="s">
        <v>131</v>
      </c>
      <c r="BG1003" s="78" t="s">
        <v>132</v>
      </c>
      <c r="BH1003" s="75" t="s">
        <v>5970</v>
      </c>
      <c r="BI1003" s="295" t="s">
        <v>2289</v>
      </c>
      <c r="BJ1003" s="546">
        <v>1</v>
      </c>
      <c r="BK1003" s="294" t="s">
        <v>16</v>
      </c>
      <c r="BL1003" s="157" t="s">
        <v>16</v>
      </c>
      <c r="BM1003" s="548" t="s">
        <v>578</v>
      </c>
      <c r="BN1003" s="548" t="s">
        <v>544</v>
      </c>
      <c r="BO1003" s="157" t="s">
        <v>4283</v>
      </c>
      <c r="BP1003" s="548" t="s">
        <v>2289</v>
      </c>
      <c r="BQ1003" s="157" t="s">
        <v>4214</v>
      </c>
      <c r="BR1003" s="157"/>
    </row>
    <row r="1004" spans="1:70" x14ac:dyDescent="0.25">
      <c r="A1004" s="19" t="s">
        <v>3686</v>
      </c>
      <c r="B1004" s="37" t="s">
        <v>3130</v>
      </c>
      <c r="C1004" s="90">
        <v>45086.560416666667</v>
      </c>
      <c r="D1004" s="114">
        <v>45086.310416666667</v>
      </c>
      <c r="E1004" s="38">
        <v>45086</v>
      </c>
      <c r="F1004" s="91">
        <v>2023</v>
      </c>
      <c r="G1004" s="93">
        <v>6</v>
      </c>
      <c r="H1004" s="37" t="s">
        <v>2797</v>
      </c>
      <c r="I1004" s="37"/>
      <c r="J1004" s="103">
        <v>-92.471558837901284</v>
      </c>
      <c r="K1004" s="40">
        <v>44.527964475650677</v>
      </c>
      <c r="L1004" s="74"/>
      <c r="M1004" s="272" t="s">
        <v>16</v>
      </c>
      <c r="N1004" s="74">
        <v>0</v>
      </c>
      <c r="O1004" s="94"/>
      <c r="P1004" s="118">
        <v>1</v>
      </c>
      <c r="Q1004" s="510">
        <v>80</v>
      </c>
      <c r="R1004" s="513">
        <v>180</v>
      </c>
      <c r="S1004" s="41"/>
      <c r="T1004" s="40"/>
      <c r="U1004" s="40">
        <v>7.5</v>
      </c>
      <c r="V1004" s="119">
        <v>0</v>
      </c>
      <c r="W1004" s="40"/>
      <c r="X1004" s="119">
        <v>1</v>
      </c>
      <c r="Y1004" s="40">
        <v>56</v>
      </c>
      <c r="Z1004" s="119">
        <v>0</v>
      </c>
      <c r="AA1004" s="368" t="s">
        <v>16</v>
      </c>
      <c r="AB1004" s="535" t="s">
        <v>16</v>
      </c>
      <c r="AC1004" s="39" t="s">
        <v>160</v>
      </c>
      <c r="AD1004" s="75" t="s">
        <v>9</v>
      </c>
      <c r="AE1004" s="95">
        <v>0</v>
      </c>
      <c r="AF1004" s="75">
        <v>0</v>
      </c>
      <c r="AG1004" s="75">
        <v>1</v>
      </c>
      <c r="AH1004" s="75">
        <v>0</v>
      </c>
      <c r="AI1004" s="75">
        <v>0</v>
      </c>
      <c r="AJ1004" s="75">
        <v>0</v>
      </c>
      <c r="AK1004" s="75">
        <v>0</v>
      </c>
      <c r="AL1004" s="95">
        <v>0</v>
      </c>
      <c r="AM1004" s="92">
        <v>0</v>
      </c>
      <c r="AN1004" s="79"/>
      <c r="AO1004" s="75">
        <v>0</v>
      </c>
      <c r="AP1004" s="75" t="s">
        <v>83</v>
      </c>
      <c r="AQ1004" s="122">
        <v>1</v>
      </c>
      <c r="AR1004" s="515" t="s">
        <v>10</v>
      </c>
      <c r="AS1004" s="95">
        <v>0</v>
      </c>
      <c r="AT1004" s="75">
        <v>0</v>
      </c>
      <c r="AU1004" s="75">
        <v>0</v>
      </c>
      <c r="AV1004" s="75">
        <v>0</v>
      </c>
      <c r="AW1004" s="123">
        <v>0</v>
      </c>
      <c r="AX1004" s="516"/>
      <c r="AY1004" s="75">
        <v>0</v>
      </c>
      <c r="AZ1004" s="77" t="s">
        <v>131</v>
      </c>
      <c r="BA1004" s="78" t="s">
        <v>131</v>
      </c>
      <c r="BB1004" s="78" t="s">
        <v>132</v>
      </c>
      <c r="BC1004" s="78" t="s">
        <v>131</v>
      </c>
      <c r="BD1004" s="78" t="s">
        <v>131</v>
      </c>
      <c r="BE1004" s="78" t="s">
        <v>131</v>
      </c>
      <c r="BF1004" s="78" t="s">
        <v>131</v>
      </c>
      <c r="BG1004" s="78" t="s">
        <v>131</v>
      </c>
      <c r="BH1004" s="75" t="s">
        <v>5970</v>
      </c>
      <c r="BI1004" s="295" t="s">
        <v>3963</v>
      </c>
      <c r="BJ1004" s="546">
        <v>1</v>
      </c>
      <c r="BK1004" s="294" t="s">
        <v>16</v>
      </c>
      <c r="BL1004" s="157" t="s">
        <v>16</v>
      </c>
      <c r="BM1004" s="548" t="s">
        <v>2343</v>
      </c>
      <c r="BN1004" s="548" t="s">
        <v>4161</v>
      </c>
      <c r="BO1004" s="157" t="s">
        <v>4581</v>
      </c>
      <c r="BP1004" s="548" t="s">
        <v>3963</v>
      </c>
      <c r="BQ1004" s="157" t="s">
        <v>4307</v>
      </c>
      <c r="BR1004" s="157"/>
    </row>
    <row r="1005" spans="1:70" x14ac:dyDescent="0.25">
      <c r="A1005" s="19" t="s">
        <v>3686</v>
      </c>
      <c r="B1005" s="37" t="s">
        <v>3131</v>
      </c>
      <c r="C1005" s="90">
        <v>45086.063043981485</v>
      </c>
      <c r="D1005" s="114">
        <v>45085.813043981485</v>
      </c>
      <c r="E1005" s="38">
        <v>45085</v>
      </c>
      <c r="F1005" s="91">
        <v>2023</v>
      </c>
      <c r="G1005" s="93">
        <v>6</v>
      </c>
      <c r="H1005" s="37" t="s">
        <v>621</v>
      </c>
      <c r="I1005" s="37" t="s">
        <v>960</v>
      </c>
      <c r="J1005" s="103">
        <v>-93.009000476536343</v>
      </c>
      <c r="K1005" s="40">
        <v>44.657221483108266</v>
      </c>
      <c r="L1005" s="74"/>
      <c r="M1005" s="272" t="s">
        <v>16</v>
      </c>
      <c r="N1005" s="74">
        <v>0</v>
      </c>
      <c r="O1005" s="94"/>
      <c r="P1005" s="118">
        <v>1</v>
      </c>
      <c r="Q1005" s="510">
        <v>180</v>
      </c>
      <c r="R1005" s="513">
        <v>180</v>
      </c>
      <c r="S1005" s="41"/>
      <c r="T1005" s="40"/>
      <c r="U1005" s="40">
        <v>8</v>
      </c>
      <c r="V1005" s="119">
        <v>1</v>
      </c>
      <c r="W1005" s="40">
        <v>0</v>
      </c>
      <c r="X1005" s="119">
        <v>1</v>
      </c>
      <c r="Y1005" s="40">
        <v>64</v>
      </c>
      <c r="Z1005" s="119">
        <v>1</v>
      </c>
      <c r="AA1005" s="368">
        <v>0</v>
      </c>
      <c r="AB1005" s="535">
        <v>5</v>
      </c>
      <c r="AC1005" s="39" t="s">
        <v>160</v>
      </c>
      <c r="AD1005" s="75" t="s">
        <v>10</v>
      </c>
      <c r="AE1005" s="95">
        <v>0</v>
      </c>
      <c r="AF1005" s="75">
        <v>0</v>
      </c>
      <c r="AG1005" s="75">
        <v>0</v>
      </c>
      <c r="AH1005" s="75">
        <v>0</v>
      </c>
      <c r="AI1005" s="75">
        <v>0</v>
      </c>
      <c r="AJ1005" s="75">
        <v>0</v>
      </c>
      <c r="AK1005" s="75">
        <v>0</v>
      </c>
      <c r="AL1005" s="95">
        <v>1</v>
      </c>
      <c r="AM1005" s="92">
        <v>0</v>
      </c>
      <c r="AN1005" s="79" t="s">
        <v>80</v>
      </c>
      <c r="AO1005" s="75">
        <v>1</v>
      </c>
      <c r="AP1005" s="75" t="s">
        <v>83</v>
      </c>
      <c r="AQ1005" s="122">
        <v>1</v>
      </c>
      <c r="AR1005" s="515" t="s">
        <v>10</v>
      </c>
      <c r="AS1005" s="95">
        <v>0</v>
      </c>
      <c r="AT1005" s="75">
        <v>0</v>
      </c>
      <c r="AU1005" s="75">
        <v>0</v>
      </c>
      <c r="AV1005" s="75">
        <v>0</v>
      </c>
      <c r="AW1005" s="123">
        <v>0</v>
      </c>
      <c r="AX1005" s="516"/>
      <c r="AY1005" s="75">
        <v>0</v>
      </c>
      <c r="AZ1005" s="77" t="s">
        <v>131</v>
      </c>
      <c r="BA1005" s="78" t="s">
        <v>131</v>
      </c>
      <c r="BB1005" s="78" t="s">
        <v>131</v>
      </c>
      <c r="BC1005" s="78" t="s">
        <v>131</v>
      </c>
      <c r="BD1005" s="78" t="s">
        <v>131</v>
      </c>
      <c r="BE1005" s="78" t="s">
        <v>131</v>
      </c>
      <c r="BF1005" s="78" t="s">
        <v>131</v>
      </c>
      <c r="BG1005" s="78" t="s">
        <v>132</v>
      </c>
      <c r="BH1005" s="75" t="s">
        <v>5970</v>
      </c>
      <c r="BI1005" s="295" t="s">
        <v>2225</v>
      </c>
      <c r="BJ1005" s="546">
        <v>1</v>
      </c>
      <c r="BK1005" s="294" t="s">
        <v>16</v>
      </c>
      <c r="BL1005" s="157" t="s">
        <v>16</v>
      </c>
      <c r="BM1005" s="548" t="s">
        <v>2343</v>
      </c>
      <c r="BN1005" s="548" t="s">
        <v>4161</v>
      </c>
      <c r="BO1005" s="157" t="s">
        <v>4293</v>
      </c>
      <c r="BP1005" s="548" t="s">
        <v>2225</v>
      </c>
      <c r="BQ1005" s="157" t="s">
        <v>4292</v>
      </c>
      <c r="BR1005" s="157"/>
    </row>
    <row r="1006" spans="1:70" x14ac:dyDescent="0.25">
      <c r="A1006" s="19" t="s">
        <v>3686</v>
      </c>
      <c r="B1006" s="37" t="s">
        <v>3132</v>
      </c>
      <c r="C1006" s="90">
        <v>45085.86210648148</v>
      </c>
      <c r="D1006" s="114">
        <v>45085.61210648148</v>
      </c>
      <c r="E1006" s="38">
        <v>45085</v>
      </c>
      <c r="F1006" s="91">
        <v>2023</v>
      </c>
      <c r="G1006" s="93">
        <v>6</v>
      </c>
      <c r="H1006" s="37" t="s">
        <v>1361</v>
      </c>
      <c r="I1006" s="37"/>
      <c r="J1006" s="103">
        <v>-91.805131612431083</v>
      </c>
      <c r="K1006" s="40">
        <v>42.790179625193389</v>
      </c>
      <c r="L1006" s="74"/>
      <c r="M1006" s="272" t="s">
        <v>3133</v>
      </c>
      <c r="N1006" s="74">
        <v>1</v>
      </c>
      <c r="O1006" s="94"/>
      <c r="P1006" s="118">
        <v>1</v>
      </c>
      <c r="Q1006" s="510">
        <v>80</v>
      </c>
      <c r="R1006" s="513">
        <v>180</v>
      </c>
      <c r="S1006" s="41"/>
      <c r="T1006" s="40"/>
      <c r="U1006" s="40">
        <v>8</v>
      </c>
      <c r="V1006" s="119">
        <v>1</v>
      </c>
      <c r="W1006" s="40">
        <v>0</v>
      </c>
      <c r="X1006" s="119">
        <v>1</v>
      </c>
      <c r="Y1006" s="40">
        <v>72</v>
      </c>
      <c r="Z1006" s="119">
        <v>1</v>
      </c>
      <c r="AA1006" s="368">
        <v>0</v>
      </c>
      <c r="AB1006" s="535">
        <v>10</v>
      </c>
      <c r="AC1006" s="39" t="s">
        <v>160</v>
      </c>
      <c r="AD1006" s="75" t="s">
        <v>8</v>
      </c>
      <c r="AE1006" s="95">
        <v>0</v>
      </c>
      <c r="AF1006" s="75">
        <v>1</v>
      </c>
      <c r="AG1006" s="75">
        <v>0</v>
      </c>
      <c r="AH1006" s="75">
        <v>0</v>
      </c>
      <c r="AI1006" s="75">
        <v>0</v>
      </c>
      <c r="AJ1006" s="75">
        <v>0</v>
      </c>
      <c r="AK1006" s="75">
        <v>0</v>
      </c>
      <c r="AL1006" s="95">
        <v>0</v>
      </c>
      <c r="AM1006" s="92">
        <v>0</v>
      </c>
      <c r="AN1006" s="79" t="s">
        <v>80</v>
      </c>
      <c r="AO1006" s="75">
        <v>1</v>
      </c>
      <c r="AP1006" s="75" t="s">
        <v>83</v>
      </c>
      <c r="AQ1006" s="122">
        <v>1</v>
      </c>
      <c r="AR1006" s="515" t="s">
        <v>16</v>
      </c>
      <c r="AS1006" s="95">
        <v>-1</v>
      </c>
      <c r="AT1006" s="75">
        <v>-1</v>
      </c>
      <c r="AU1006" s="75">
        <v>-1</v>
      </c>
      <c r="AV1006" s="75">
        <v>-1</v>
      </c>
      <c r="AW1006" s="123">
        <v>1</v>
      </c>
      <c r="AX1006" s="516"/>
      <c r="AY1006" s="75">
        <v>0</v>
      </c>
      <c r="AZ1006" s="77" t="s">
        <v>131</v>
      </c>
      <c r="BA1006" s="78" t="s">
        <v>132</v>
      </c>
      <c r="BB1006" s="78" t="s">
        <v>131</v>
      </c>
      <c r="BC1006" s="78" t="s">
        <v>131</v>
      </c>
      <c r="BD1006" s="78" t="s">
        <v>131</v>
      </c>
      <c r="BE1006" s="78" t="s">
        <v>131</v>
      </c>
      <c r="BF1006" s="78" t="s">
        <v>131</v>
      </c>
      <c r="BG1006" s="78" t="s">
        <v>131</v>
      </c>
      <c r="BH1006" s="75" t="s">
        <v>5970</v>
      </c>
      <c r="BI1006" s="295">
        <v>0</v>
      </c>
      <c r="BJ1006" s="546" t="s">
        <v>16</v>
      </c>
      <c r="BK1006" s="294" t="s">
        <v>16</v>
      </c>
      <c r="BL1006" s="157" t="s">
        <v>16</v>
      </c>
      <c r="BM1006" s="548" t="s">
        <v>1344</v>
      </c>
      <c r="BN1006" s="548" t="s">
        <v>4160</v>
      </c>
      <c r="BO1006" s="157" t="s">
        <v>4572</v>
      </c>
      <c r="BP1006" s="548" t="s">
        <v>4574</v>
      </c>
      <c r="BQ1006" s="157" t="s">
        <v>4571</v>
      </c>
      <c r="BR1006" s="157"/>
    </row>
    <row r="1007" spans="1:70" x14ac:dyDescent="0.25">
      <c r="A1007" s="19" t="s">
        <v>3686</v>
      </c>
      <c r="B1007" s="37" t="s">
        <v>3134</v>
      </c>
      <c r="C1007" s="90">
        <v>45085.852685185186</v>
      </c>
      <c r="D1007" s="114">
        <v>45085.602685185186</v>
      </c>
      <c r="E1007" s="38">
        <v>45085</v>
      </c>
      <c r="F1007" s="91">
        <v>2023</v>
      </c>
      <c r="G1007" s="93">
        <v>6</v>
      </c>
      <c r="H1007" s="37" t="s">
        <v>1361</v>
      </c>
      <c r="I1007" s="37"/>
      <c r="J1007" s="103">
        <v>-91.805631509136219</v>
      </c>
      <c r="K1007" s="40">
        <v>42.811795380006366</v>
      </c>
      <c r="L1007" s="74"/>
      <c r="M1007" s="272" t="s">
        <v>3135</v>
      </c>
      <c r="N1007" s="74">
        <v>1</v>
      </c>
      <c r="O1007" s="94"/>
      <c r="P1007" s="118">
        <v>1</v>
      </c>
      <c r="Q1007" s="510">
        <v>180</v>
      </c>
      <c r="R1007" s="513">
        <v>180</v>
      </c>
      <c r="S1007" s="41"/>
      <c r="T1007" s="40"/>
      <c r="U1007" s="40">
        <v>8</v>
      </c>
      <c r="V1007" s="119">
        <v>1</v>
      </c>
      <c r="W1007" s="40">
        <v>0</v>
      </c>
      <c r="X1007" s="119">
        <v>1</v>
      </c>
      <c r="Y1007" s="40">
        <v>66</v>
      </c>
      <c r="Z1007" s="119">
        <v>1</v>
      </c>
      <c r="AA1007" s="368">
        <v>0</v>
      </c>
      <c r="AB1007" s="535">
        <v>10</v>
      </c>
      <c r="AC1007" s="39" t="s">
        <v>160</v>
      </c>
      <c r="AD1007" s="75" t="s">
        <v>10</v>
      </c>
      <c r="AE1007" s="95">
        <v>0</v>
      </c>
      <c r="AF1007" s="75">
        <v>0</v>
      </c>
      <c r="AG1007" s="75">
        <v>0</v>
      </c>
      <c r="AH1007" s="75">
        <v>0</v>
      </c>
      <c r="AI1007" s="75">
        <v>0</v>
      </c>
      <c r="AJ1007" s="75">
        <v>0</v>
      </c>
      <c r="AK1007" s="75">
        <v>0</v>
      </c>
      <c r="AL1007" s="95">
        <v>1</v>
      </c>
      <c r="AM1007" s="92">
        <v>0</v>
      </c>
      <c r="AN1007" s="79" t="s">
        <v>80</v>
      </c>
      <c r="AO1007" s="75">
        <v>1</v>
      </c>
      <c r="AP1007" s="75" t="s">
        <v>83</v>
      </c>
      <c r="AQ1007" s="122">
        <v>1</v>
      </c>
      <c r="AR1007" s="515" t="s">
        <v>16</v>
      </c>
      <c r="AS1007" s="95">
        <v>-1</v>
      </c>
      <c r="AT1007" s="75">
        <v>-1</v>
      </c>
      <c r="AU1007" s="75">
        <v>-1</v>
      </c>
      <c r="AV1007" s="75">
        <v>-1</v>
      </c>
      <c r="AW1007" s="123">
        <v>1</v>
      </c>
      <c r="AX1007" s="516"/>
      <c r="AY1007" s="75">
        <v>0</v>
      </c>
      <c r="AZ1007" s="77" t="s">
        <v>131</v>
      </c>
      <c r="BA1007" s="78" t="s">
        <v>131</v>
      </c>
      <c r="BB1007" s="78" t="s">
        <v>131</v>
      </c>
      <c r="BC1007" s="78" t="s">
        <v>131</v>
      </c>
      <c r="BD1007" s="78" t="s">
        <v>131</v>
      </c>
      <c r="BE1007" s="78" t="s">
        <v>131</v>
      </c>
      <c r="BF1007" s="78" t="s">
        <v>131</v>
      </c>
      <c r="BG1007" s="78" t="s">
        <v>132</v>
      </c>
      <c r="BH1007" s="75" t="s">
        <v>5970</v>
      </c>
      <c r="BI1007" s="295" t="s">
        <v>4032</v>
      </c>
      <c r="BJ1007" s="546" t="s">
        <v>16</v>
      </c>
      <c r="BK1007" s="294" t="s">
        <v>16</v>
      </c>
      <c r="BL1007" s="157" t="s">
        <v>16</v>
      </c>
      <c r="BM1007" s="548" t="s">
        <v>1344</v>
      </c>
      <c r="BN1007" s="548" t="s">
        <v>4160</v>
      </c>
      <c r="BO1007" s="157" t="s">
        <v>4572</v>
      </c>
      <c r="BP1007" s="548" t="s">
        <v>4574</v>
      </c>
      <c r="BQ1007" s="157" t="s">
        <v>4571</v>
      </c>
      <c r="BR1007" s="157"/>
    </row>
    <row r="1008" spans="1:70" x14ac:dyDescent="0.25">
      <c r="A1008" s="19" t="s">
        <v>3686</v>
      </c>
      <c r="B1008" s="37" t="s">
        <v>3136</v>
      </c>
      <c r="C1008" s="90">
        <v>45085.83630787037</v>
      </c>
      <c r="D1008" s="114">
        <v>45085.58630787037</v>
      </c>
      <c r="E1008" s="38">
        <v>45085</v>
      </c>
      <c r="F1008" s="91">
        <v>2023</v>
      </c>
      <c r="G1008" s="93">
        <v>6</v>
      </c>
      <c r="H1008" s="37" t="s">
        <v>3137</v>
      </c>
      <c r="I1008" s="37"/>
      <c r="J1008" s="103">
        <v>-91.802306811736244</v>
      </c>
      <c r="K1008" s="40">
        <v>42.847006007795926</v>
      </c>
      <c r="L1008" s="74"/>
      <c r="M1008" s="272" t="s">
        <v>3138</v>
      </c>
      <c r="N1008" s="74">
        <v>1</v>
      </c>
      <c r="O1008" s="94"/>
      <c r="P1008" s="118">
        <v>1</v>
      </c>
      <c r="Q1008" s="510">
        <v>180</v>
      </c>
      <c r="R1008" s="513">
        <v>180</v>
      </c>
      <c r="S1008" s="41"/>
      <c r="T1008" s="40"/>
      <c r="U1008" s="40">
        <v>7</v>
      </c>
      <c r="V1008" s="119">
        <v>1</v>
      </c>
      <c r="W1008" s="40">
        <v>0</v>
      </c>
      <c r="X1008" s="119">
        <v>1</v>
      </c>
      <c r="Y1008" s="40">
        <v>61</v>
      </c>
      <c r="Z1008" s="119">
        <v>1</v>
      </c>
      <c r="AA1008" s="368">
        <v>0</v>
      </c>
      <c r="AB1008" s="535">
        <v>10</v>
      </c>
      <c r="AC1008" s="39" t="s">
        <v>160</v>
      </c>
      <c r="AD1008" s="75" t="s">
        <v>10</v>
      </c>
      <c r="AE1008" s="95">
        <v>0</v>
      </c>
      <c r="AF1008" s="75">
        <v>0</v>
      </c>
      <c r="AG1008" s="75">
        <v>0</v>
      </c>
      <c r="AH1008" s="75">
        <v>0</v>
      </c>
      <c r="AI1008" s="75">
        <v>0</v>
      </c>
      <c r="AJ1008" s="75">
        <v>0</v>
      </c>
      <c r="AK1008" s="75">
        <v>0</v>
      </c>
      <c r="AL1008" s="95">
        <v>1</v>
      </c>
      <c r="AM1008" s="92">
        <v>0</v>
      </c>
      <c r="AN1008" s="79" t="s">
        <v>80</v>
      </c>
      <c r="AO1008" s="75">
        <v>1</v>
      </c>
      <c r="AP1008" s="75" t="s">
        <v>83</v>
      </c>
      <c r="AQ1008" s="122">
        <v>1</v>
      </c>
      <c r="AR1008" s="515" t="s">
        <v>16</v>
      </c>
      <c r="AS1008" s="95">
        <v>-1</v>
      </c>
      <c r="AT1008" s="75">
        <v>-1</v>
      </c>
      <c r="AU1008" s="75">
        <v>-1</v>
      </c>
      <c r="AV1008" s="75">
        <v>-1</v>
      </c>
      <c r="AW1008" s="123">
        <v>1</v>
      </c>
      <c r="AX1008" s="516"/>
      <c r="AY1008" s="75">
        <v>0</v>
      </c>
      <c r="AZ1008" s="77" t="s">
        <v>131</v>
      </c>
      <c r="BA1008" s="78" t="s">
        <v>131</v>
      </c>
      <c r="BB1008" s="78" t="s">
        <v>131</v>
      </c>
      <c r="BC1008" s="78" t="s">
        <v>131</v>
      </c>
      <c r="BD1008" s="78" t="s">
        <v>131</v>
      </c>
      <c r="BE1008" s="78" t="s">
        <v>131</v>
      </c>
      <c r="BF1008" s="78" t="s">
        <v>131</v>
      </c>
      <c r="BG1008" s="78" t="s">
        <v>132</v>
      </c>
      <c r="BH1008" s="75" t="s">
        <v>5970</v>
      </c>
      <c r="BI1008" s="295" t="s">
        <v>16</v>
      </c>
      <c r="BJ1008" s="546">
        <v>1</v>
      </c>
      <c r="BK1008" s="294" t="s">
        <v>16</v>
      </c>
      <c r="BL1008" s="157" t="s">
        <v>16</v>
      </c>
      <c r="BM1008" s="548" t="s">
        <v>1344</v>
      </c>
      <c r="BN1008" s="548" t="s">
        <v>544</v>
      </c>
      <c r="BO1008" s="157" t="s">
        <v>4572</v>
      </c>
      <c r="BP1008" s="548" t="s">
        <v>4574</v>
      </c>
      <c r="BQ1008" s="157" t="s">
        <v>4571</v>
      </c>
      <c r="BR1008" s="157"/>
    </row>
    <row r="1009" spans="1:70" x14ac:dyDescent="0.25">
      <c r="A1009" s="19" t="s">
        <v>3686</v>
      </c>
      <c r="B1009" s="37" t="s">
        <v>3139</v>
      </c>
      <c r="C1009" s="90">
        <v>45085.826874999999</v>
      </c>
      <c r="D1009" s="114">
        <v>45085.576874999999</v>
      </c>
      <c r="E1009" s="38">
        <v>45085</v>
      </c>
      <c r="F1009" s="91">
        <v>2023</v>
      </c>
      <c r="G1009" s="93">
        <v>6</v>
      </c>
      <c r="H1009" s="37" t="s">
        <v>1361</v>
      </c>
      <c r="I1009" s="37"/>
      <c r="J1009" s="103">
        <v>-91.819287976335559</v>
      </c>
      <c r="K1009" s="40">
        <v>42.843047012614868</v>
      </c>
      <c r="L1009" s="74"/>
      <c r="M1009" s="272" t="s">
        <v>3140</v>
      </c>
      <c r="N1009" s="74">
        <v>1</v>
      </c>
      <c r="O1009" s="94"/>
      <c r="P1009" s="118">
        <v>1</v>
      </c>
      <c r="Q1009" s="510">
        <v>180</v>
      </c>
      <c r="R1009" s="513">
        <v>180</v>
      </c>
      <c r="S1009" s="41"/>
      <c r="T1009" s="40"/>
      <c r="U1009" s="40">
        <v>8</v>
      </c>
      <c r="V1009" s="119">
        <v>1</v>
      </c>
      <c r="W1009" s="40">
        <v>200</v>
      </c>
      <c r="X1009" s="119">
        <v>1</v>
      </c>
      <c r="Y1009" s="40">
        <v>75</v>
      </c>
      <c r="Z1009" s="119">
        <v>1</v>
      </c>
      <c r="AA1009" s="368">
        <v>0</v>
      </c>
      <c r="AB1009" s="535">
        <v>5</v>
      </c>
      <c r="AC1009" s="39" t="s">
        <v>160</v>
      </c>
      <c r="AD1009" s="75" t="s">
        <v>8</v>
      </c>
      <c r="AE1009" s="95">
        <v>0</v>
      </c>
      <c r="AF1009" s="75">
        <v>1</v>
      </c>
      <c r="AG1009" s="75">
        <v>0</v>
      </c>
      <c r="AH1009" s="75">
        <v>0</v>
      </c>
      <c r="AI1009" s="75">
        <v>0</v>
      </c>
      <c r="AJ1009" s="75">
        <v>0</v>
      </c>
      <c r="AK1009" s="75">
        <v>0</v>
      </c>
      <c r="AL1009" s="95">
        <v>0</v>
      </c>
      <c r="AM1009" s="92">
        <v>0</v>
      </c>
      <c r="AN1009" s="79" t="s">
        <v>80</v>
      </c>
      <c r="AO1009" s="75">
        <v>1</v>
      </c>
      <c r="AP1009" s="75" t="s">
        <v>84</v>
      </c>
      <c r="AQ1009" s="122">
        <v>1</v>
      </c>
      <c r="AR1009" s="515" t="s">
        <v>10</v>
      </c>
      <c r="AS1009" s="95">
        <v>0</v>
      </c>
      <c r="AT1009" s="75">
        <v>0</v>
      </c>
      <c r="AU1009" s="75">
        <v>0</v>
      </c>
      <c r="AV1009" s="75">
        <v>0</v>
      </c>
      <c r="AW1009" s="123">
        <v>0</v>
      </c>
      <c r="AX1009" s="516"/>
      <c r="AY1009" s="75">
        <v>0</v>
      </c>
      <c r="AZ1009" s="77" t="s">
        <v>131</v>
      </c>
      <c r="BA1009" s="78" t="s">
        <v>132</v>
      </c>
      <c r="BB1009" s="78" t="s">
        <v>131</v>
      </c>
      <c r="BC1009" s="78" t="s">
        <v>131</v>
      </c>
      <c r="BD1009" s="78" t="s">
        <v>131</v>
      </c>
      <c r="BE1009" s="78" t="s">
        <v>131</v>
      </c>
      <c r="BF1009" s="78" t="s">
        <v>131</v>
      </c>
      <c r="BG1009" s="78" t="s">
        <v>131</v>
      </c>
      <c r="BH1009" s="75" t="s">
        <v>5970</v>
      </c>
      <c r="BI1009" s="295" t="s">
        <v>2284</v>
      </c>
      <c r="BJ1009" s="546">
        <v>1</v>
      </c>
      <c r="BK1009" s="294" t="s">
        <v>16</v>
      </c>
      <c r="BL1009" s="157" t="s">
        <v>16</v>
      </c>
      <c r="BM1009" s="548" t="s">
        <v>1344</v>
      </c>
      <c r="BN1009" s="548" t="s">
        <v>4160</v>
      </c>
      <c r="BO1009" s="157" t="s">
        <v>4572</v>
      </c>
      <c r="BP1009" s="548" t="s">
        <v>4574</v>
      </c>
      <c r="BQ1009" s="157" t="s">
        <v>4571</v>
      </c>
      <c r="BR1009" s="157"/>
    </row>
    <row r="1010" spans="1:70" x14ac:dyDescent="0.25">
      <c r="A1010" s="19" t="s">
        <v>3686</v>
      </c>
      <c r="B1010" s="37" t="s">
        <v>3141</v>
      </c>
      <c r="C1010" s="90">
        <v>45085.813668981478</v>
      </c>
      <c r="D1010" s="114">
        <v>45085.563668981478</v>
      </c>
      <c r="E1010" s="38">
        <v>45085</v>
      </c>
      <c r="F1010" s="91">
        <v>2023</v>
      </c>
      <c r="G1010" s="93">
        <v>6</v>
      </c>
      <c r="H1010" s="37" t="s">
        <v>1361</v>
      </c>
      <c r="I1010" s="37"/>
      <c r="J1010" s="103">
        <v>-91.835819939236913</v>
      </c>
      <c r="K1010" s="40">
        <v>42.845492642412751</v>
      </c>
      <c r="L1010" s="74"/>
      <c r="M1010" s="272" t="s">
        <v>3142</v>
      </c>
      <c r="N1010" s="74">
        <v>1</v>
      </c>
      <c r="O1010" s="94"/>
      <c r="P1010" s="118">
        <v>1</v>
      </c>
      <c r="Q1010" s="510">
        <v>120</v>
      </c>
      <c r="R1010" s="513">
        <v>180</v>
      </c>
      <c r="S1010" s="41"/>
      <c r="T1010" s="40"/>
      <c r="U1010" s="40">
        <v>7.5</v>
      </c>
      <c r="V1010" s="119">
        <v>1</v>
      </c>
      <c r="W1010" s="40">
        <v>200</v>
      </c>
      <c r="X1010" s="119">
        <v>1</v>
      </c>
      <c r="Y1010" s="40">
        <v>66</v>
      </c>
      <c r="Z1010" s="119">
        <v>1</v>
      </c>
      <c r="AA1010" s="368">
        <v>0</v>
      </c>
      <c r="AB1010" s="535">
        <v>5</v>
      </c>
      <c r="AC1010" s="39" t="s">
        <v>160</v>
      </c>
      <c r="AD1010" s="75" t="s">
        <v>10</v>
      </c>
      <c r="AE1010" s="95">
        <v>0</v>
      </c>
      <c r="AF1010" s="75">
        <v>0</v>
      </c>
      <c r="AG1010" s="75">
        <v>0</v>
      </c>
      <c r="AH1010" s="75">
        <v>0</v>
      </c>
      <c r="AI1010" s="75">
        <v>0</v>
      </c>
      <c r="AJ1010" s="75">
        <v>0</v>
      </c>
      <c r="AK1010" s="75">
        <v>0</v>
      </c>
      <c r="AL1010" s="95">
        <v>1</v>
      </c>
      <c r="AM1010" s="92">
        <v>0</v>
      </c>
      <c r="AN1010" s="79" t="s">
        <v>80</v>
      </c>
      <c r="AO1010" s="75">
        <v>1</v>
      </c>
      <c r="AP1010" s="75" t="s">
        <v>83</v>
      </c>
      <c r="AQ1010" s="122">
        <v>1</v>
      </c>
      <c r="AR1010" s="515" t="s">
        <v>16</v>
      </c>
      <c r="AS1010" s="95">
        <v>-1</v>
      </c>
      <c r="AT1010" s="75">
        <v>-1</v>
      </c>
      <c r="AU1010" s="75">
        <v>-1</v>
      </c>
      <c r="AV1010" s="75">
        <v>-1</v>
      </c>
      <c r="AW1010" s="123">
        <v>1</v>
      </c>
      <c r="AX1010" s="516"/>
      <c r="AY1010" s="75">
        <v>0</v>
      </c>
      <c r="AZ1010" s="77" t="s">
        <v>131</v>
      </c>
      <c r="BA1010" s="78" t="s">
        <v>131</v>
      </c>
      <c r="BB1010" s="78" t="s">
        <v>131</v>
      </c>
      <c r="BC1010" s="78" t="s">
        <v>131</v>
      </c>
      <c r="BD1010" s="78" t="s">
        <v>131</v>
      </c>
      <c r="BE1010" s="78" t="s">
        <v>131</v>
      </c>
      <c r="BF1010" s="78" t="s">
        <v>131</v>
      </c>
      <c r="BG1010" s="78" t="s">
        <v>132</v>
      </c>
      <c r="BH1010" s="75" t="s">
        <v>5970</v>
      </c>
      <c r="BI1010" s="295" t="s">
        <v>4030</v>
      </c>
      <c r="BJ1010" s="546">
        <v>1</v>
      </c>
      <c r="BK1010" s="294" t="s">
        <v>16</v>
      </c>
      <c r="BL1010" s="157" t="s">
        <v>16</v>
      </c>
      <c r="BM1010" s="548" t="s">
        <v>1344</v>
      </c>
      <c r="BN1010" s="548" t="s">
        <v>4160</v>
      </c>
      <c r="BO1010" s="157" t="s">
        <v>4576</v>
      </c>
      <c r="BP1010" s="548" t="s">
        <v>4577</v>
      </c>
      <c r="BQ1010" s="157" t="s">
        <v>4571</v>
      </c>
      <c r="BR1010" s="157"/>
    </row>
    <row r="1011" spans="1:70" x14ac:dyDescent="0.25">
      <c r="A1011" s="19" t="s">
        <v>3686</v>
      </c>
      <c r="B1011" s="37" t="s">
        <v>3143</v>
      </c>
      <c r="C1011" s="90">
        <v>45085.807986111111</v>
      </c>
      <c r="D1011" s="114">
        <v>45085.557986111111</v>
      </c>
      <c r="E1011" s="38">
        <v>45085</v>
      </c>
      <c r="F1011" s="91">
        <v>2023</v>
      </c>
      <c r="G1011" s="93">
        <v>6</v>
      </c>
      <c r="H1011" s="37" t="s">
        <v>188</v>
      </c>
      <c r="I1011" s="37"/>
      <c r="J1011" s="103">
        <v>-91.013874700000002</v>
      </c>
      <c r="K1011" s="40">
        <v>44.181277999999999</v>
      </c>
      <c r="L1011" s="74"/>
      <c r="M1011" s="272" t="s">
        <v>3144</v>
      </c>
      <c r="N1011" s="74">
        <v>1</v>
      </c>
      <c r="O1011" s="94"/>
      <c r="P1011" s="118">
        <v>1</v>
      </c>
      <c r="Q1011" s="510">
        <v>40</v>
      </c>
      <c r="R1011" s="513">
        <v>120</v>
      </c>
      <c r="S1011" s="41"/>
      <c r="T1011" s="40"/>
      <c r="U1011" s="40">
        <v>6.5</v>
      </c>
      <c r="V1011" s="119">
        <v>1</v>
      </c>
      <c r="W1011" s="40">
        <v>500</v>
      </c>
      <c r="X1011" s="119">
        <v>1</v>
      </c>
      <c r="Y1011" s="40">
        <v>60</v>
      </c>
      <c r="Z1011" s="119">
        <v>1</v>
      </c>
      <c r="AA1011" s="368">
        <v>0</v>
      </c>
      <c r="AB1011" s="535">
        <v>5</v>
      </c>
      <c r="AC1011" s="39" t="s">
        <v>160</v>
      </c>
      <c r="AD1011" s="75" t="s">
        <v>10</v>
      </c>
      <c r="AE1011" s="95">
        <v>0</v>
      </c>
      <c r="AF1011" s="75">
        <v>0</v>
      </c>
      <c r="AG1011" s="75">
        <v>0</v>
      </c>
      <c r="AH1011" s="75">
        <v>0</v>
      </c>
      <c r="AI1011" s="75">
        <v>0</v>
      </c>
      <c r="AJ1011" s="75">
        <v>0</v>
      </c>
      <c r="AK1011" s="75">
        <v>0</v>
      </c>
      <c r="AL1011" s="95">
        <v>1</v>
      </c>
      <c r="AM1011" s="92">
        <v>0</v>
      </c>
      <c r="AN1011" s="79" t="s">
        <v>80</v>
      </c>
      <c r="AO1011" s="75">
        <v>1</v>
      </c>
      <c r="AP1011" s="75" t="s">
        <v>83</v>
      </c>
      <c r="AQ1011" s="122">
        <v>1</v>
      </c>
      <c r="AR1011" s="515" t="s">
        <v>10</v>
      </c>
      <c r="AS1011" s="95">
        <v>0</v>
      </c>
      <c r="AT1011" s="75">
        <v>0</v>
      </c>
      <c r="AU1011" s="75">
        <v>0</v>
      </c>
      <c r="AV1011" s="75">
        <v>0</v>
      </c>
      <c r="AW1011" s="123">
        <v>0</v>
      </c>
      <c r="AX1011" s="516" t="s">
        <v>3145</v>
      </c>
      <c r="AY1011" s="75">
        <v>1</v>
      </c>
      <c r="AZ1011" s="77" t="s">
        <v>131</v>
      </c>
      <c r="BA1011" s="78" t="s">
        <v>131</v>
      </c>
      <c r="BB1011" s="78" t="s">
        <v>131</v>
      </c>
      <c r="BC1011" s="78" t="s">
        <v>131</v>
      </c>
      <c r="BD1011" s="78" t="s">
        <v>131</v>
      </c>
      <c r="BE1011" s="78" t="s">
        <v>131</v>
      </c>
      <c r="BF1011" s="78" t="s">
        <v>131</v>
      </c>
      <c r="BG1011" s="78" t="s">
        <v>132</v>
      </c>
      <c r="BH1011" s="75" t="s">
        <v>5970</v>
      </c>
      <c r="BI1011" s="295" t="s">
        <v>4017</v>
      </c>
      <c r="BJ1011" s="546" t="s">
        <v>16</v>
      </c>
      <c r="BK1011" s="294" t="s">
        <v>16</v>
      </c>
      <c r="BL1011" s="157" t="s">
        <v>16</v>
      </c>
      <c r="BM1011" s="548" t="s">
        <v>1342</v>
      </c>
      <c r="BN1011" s="548" t="s">
        <v>4158</v>
      </c>
      <c r="BO1011" s="157" t="s">
        <v>4582</v>
      </c>
      <c r="BP1011" s="548" t="s">
        <v>4000</v>
      </c>
      <c r="BQ1011" s="157" t="s">
        <v>4449</v>
      </c>
      <c r="BR1011" s="157"/>
    </row>
    <row r="1012" spans="1:70" x14ac:dyDescent="0.25">
      <c r="A1012" s="19" t="s">
        <v>3686</v>
      </c>
      <c r="B1012" s="37" t="s">
        <v>3146</v>
      </c>
      <c r="C1012" s="90">
        <v>45085.800532407404</v>
      </c>
      <c r="D1012" s="114">
        <v>45085.550532407404</v>
      </c>
      <c r="E1012" s="38">
        <v>45085</v>
      </c>
      <c r="F1012" s="91">
        <v>2023</v>
      </c>
      <c r="G1012" s="93">
        <v>6</v>
      </c>
      <c r="H1012" s="37" t="s">
        <v>1361</v>
      </c>
      <c r="I1012" s="37"/>
      <c r="J1012" s="103">
        <v>-91.870853528465958</v>
      </c>
      <c r="K1012" s="40">
        <v>42.846851809921532</v>
      </c>
      <c r="L1012" s="74"/>
      <c r="M1012" s="272" t="s">
        <v>3147</v>
      </c>
      <c r="N1012" s="74">
        <v>1</v>
      </c>
      <c r="O1012" s="94"/>
      <c r="P1012" s="118">
        <v>1</v>
      </c>
      <c r="Q1012" s="510">
        <v>180</v>
      </c>
      <c r="R1012" s="513">
        <v>180</v>
      </c>
      <c r="S1012" s="41"/>
      <c r="T1012" s="40"/>
      <c r="U1012" s="40">
        <v>8</v>
      </c>
      <c r="V1012" s="119">
        <v>1</v>
      </c>
      <c r="W1012" s="40">
        <v>100</v>
      </c>
      <c r="X1012" s="119">
        <v>1</v>
      </c>
      <c r="Y1012" s="40">
        <v>63</v>
      </c>
      <c r="Z1012" s="119">
        <v>1</v>
      </c>
      <c r="AA1012" s="368">
        <v>0</v>
      </c>
      <c r="AB1012" s="535">
        <v>10</v>
      </c>
      <c r="AC1012" s="39" t="s">
        <v>160</v>
      </c>
      <c r="AD1012" s="75" t="s">
        <v>8</v>
      </c>
      <c r="AE1012" s="95">
        <v>0</v>
      </c>
      <c r="AF1012" s="75">
        <v>1</v>
      </c>
      <c r="AG1012" s="75">
        <v>0</v>
      </c>
      <c r="AH1012" s="75">
        <v>0</v>
      </c>
      <c r="AI1012" s="75">
        <v>0</v>
      </c>
      <c r="AJ1012" s="75">
        <v>0</v>
      </c>
      <c r="AK1012" s="75">
        <v>0</v>
      </c>
      <c r="AL1012" s="95">
        <v>0</v>
      </c>
      <c r="AM1012" s="92">
        <v>0</v>
      </c>
      <c r="AN1012" s="79" t="s">
        <v>80</v>
      </c>
      <c r="AO1012" s="75">
        <v>1</v>
      </c>
      <c r="AP1012" s="75" t="s">
        <v>83</v>
      </c>
      <c r="AQ1012" s="122">
        <v>1</v>
      </c>
      <c r="AR1012" s="515" t="s">
        <v>10</v>
      </c>
      <c r="AS1012" s="95">
        <v>0</v>
      </c>
      <c r="AT1012" s="75">
        <v>0</v>
      </c>
      <c r="AU1012" s="75">
        <v>0</v>
      </c>
      <c r="AV1012" s="75">
        <v>0</v>
      </c>
      <c r="AW1012" s="123">
        <v>0</v>
      </c>
      <c r="AX1012" s="516"/>
      <c r="AY1012" s="75">
        <v>0</v>
      </c>
      <c r="AZ1012" s="77" t="s">
        <v>131</v>
      </c>
      <c r="BA1012" s="78" t="s">
        <v>132</v>
      </c>
      <c r="BB1012" s="78" t="s">
        <v>131</v>
      </c>
      <c r="BC1012" s="78" t="s">
        <v>131</v>
      </c>
      <c r="BD1012" s="78" t="s">
        <v>131</v>
      </c>
      <c r="BE1012" s="78" t="s">
        <v>131</v>
      </c>
      <c r="BF1012" s="78" t="s">
        <v>131</v>
      </c>
      <c r="BG1012" s="78" t="s">
        <v>131</v>
      </c>
      <c r="BH1012" s="75" t="s">
        <v>5970</v>
      </c>
      <c r="BI1012" s="295">
        <v>0</v>
      </c>
      <c r="BJ1012" s="546" t="s">
        <v>16</v>
      </c>
      <c r="BK1012" s="294" t="s">
        <v>16</v>
      </c>
      <c r="BL1012" s="157" t="s">
        <v>16</v>
      </c>
      <c r="BM1012" s="548" t="s">
        <v>1347</v>
      </c>
      <c r="BN1012" s="548" t="s">
        <v>4160</v>
      </c>
      <c r="BO1012" s="157" t="s">
        <v>4576</v>
      </c>
      <c r="BP1012" s="548" t="s">
        <v>4577</v>
      </c>
      <c r="BQ1012" s="157" t="s">
        <v>4571</v>
      </c>
      <c r="BR1012" s="157"/>
    </row>
    <row r="1013" spans="1:70" x14ac:dyDescent="0.25">
      <c r="A1013" s="19" t="s">
        <v>3686</v>
      </c>
      <c r="B1013" s="37" t="s">
        <v>3148</v>
      </c>
      <c r="C1013" s="90">
        <v>45085.786122685182</v>
      </c>
      <c r="D1013" s="114">
        <v>45085.536122685182</v>
      </c>
      <c r="E1013" s="38">
        <v>45085</v>
      </c>
      <c r="F1013" s="91">
        <v>2023</v>
      </c>
      <c r="G1013" s="93">
        <v>6</v>
      </c>
      <c r="H1013" s="37" t="s">
        <v>3137</v>
      </c>
      <c r="I1013" s="37"/>
      <c r="J1013" s="103">
        <v>-91.917365973475</v>
      </c>
      <c r="K1013" s="40">
        <v>42.847256225363765</v>
      </c>
      <c r="L1013" s="74"/>
      <c r="M1013" s="272" t="s">
        <v>3149</v>
      </c>
      <c r="N1013" s="74">
        <v>1</v>
      </c>
      <c r="O1013" s="94"/>
      <c r="P1013" s="118">
        <v>1</v>
      </c>
      <c r="Q1013" s="510">
        <v>180</v>
      </c>
      <c r="R1013" s="513">
        <v>180</v>
      </c>
      <c r="S1013" s="41"/>
      <c r="T1013" s="40"/>
      <c r="U1013" s="40">
        <v>7.5</v>
      </c>
      <c r="V1013" s="119">
        <v>1</v>
      </c>
      <c r="W1013" s="40">
        <v>0</v>
      </c>
      <c r="X1013" s="119">
        <v>1</v>
      </c>
      <c r="Y1013" s="40">
        <v>67</v>
      </c>
      <c r="Z1013" s="119">
        <v>1</v>
      </c>
      <c r="AA1013" s="368">
        <v>0</v>
      </c>
      <c r="AB1013" s="535">
        <v>5</v>
      </c>
      <c r="AC1013" s="39" t="s">
        <v>160</v>
      </c>
      <c r="AD1013" s="75" t="s">
        <v>8</v>
      </c>
      <c r="AE1013" s="95">
        <v>0</v>
      </c>
      <c r="AF1013" s="75">
        <v>1</v>
      </c>
      <c r="AG1013" s="75">
        <v>0</v>
      </c>
      <c r="AH1013" s="75">
        <v>0</v>
      </c>
      <c r="AI1013" s="75">
        <v>0</v>
      </c>
      <c r="AJ1013" s="75">
        <v>0</v>
      </c>
      <c r="AK1013" s="75">
        <v>0</v>
      </c>
      <c r="AL1013" s="95">
        <v>0</v>
      </c>
      <c r="AM1013" s="92">
        <v>0</v>
      </c>
      <c r="AN1013" s="79" t="s">
        <v>80</v>
      </c>
      <c r="AO1013" s="75">
        <v>1</v>
      </c>
      <c r="AP1013" s="75" t="s">
        <v>83</v>
      </c>
      <c r="AQ1013" s="122">
        <v>1</v>
      </c>
      <c r="AR1013" s="515" t="s">
        <v>16</v>
      </c>
      <c r="AS1013" s="95">
        <v>-1</v>
      </c>
      <c r="AT1013" s="75">
        <v>-1</v>
      </c>
      <c r="AU1013" s="75">
        <v>-1</v>
      </c>
      <c r="AV1013" s="75">
        <v>-1</v>
      </c>
      <c r="AW1013" s="123">
        <v>1</v>
      </c>
      <c r="AX1013" s="516"/>
      <c r="AY1013" s="75">
        <v>0</v>
      </c>
      <c r="AZ1013" s="77" t="s">
        <v>131</v>
      </c>
      <c r="BA1013" s="78" t="s">
        <v>132</v>
      </c>
      <c r="BB1013" s="78" t="s">
        <v>131</v>
      </c>
      <c r="BC1013" s="78" t="s">
        <v>131</v>
      </c>
      <c r="BD1013" s="78" t="s">
        <v>131</v>
      </c>
      <c r="BE1013" s="78" t="s">
        <v>131</v>
      </c>
      <c r="BF1013" s="78" t="s">
        <v>131</v>
      </c>
      <c r="BG1013" s="78" t="s">
        <v>131</v>
      </c>
      <c r="BH1013" s="75" t="s">
        <v>5970</v>
      </c>
      <c r="BI1013" s="295" t="s">
        <v>4029</v>
      </c>
      <c r="BJ1013" s="546">
        <v>1</v>
      </c>
      <c r="BK1013" s="294" t="s">
        <v>16</v>
      </c>
      <c r="BL1013" s="157" t="s">
        <v>16</v>
      </c>
      <c r="BM1013" s="548" t="s">
        <v>1347</v>
      </c>
      <c r="BN1013" s="548" t="s">
        <v>544</v>
      </c>
      <c r="BO1013" s="157" t="s">
        <v>4583</v>
      </c>
      <c r="BP1013" s="548" t="s">
        <v>4029</v>
      </c>
      <c r="BQ1013" s="157" t="s">
        <v>4571</v>
      </c>
      <c r="BR1013" s="157"/>
    </row>
    <row r="1014" spans="1:70" x14ac:dyDescent="0.25">
      <c r="A1014" s="19" t="s">
        <v>3686</v>
      </c>
      <c r="B1014" s="37" t="s">
        <v>3150</v>
      </c>
      <c r="C1014" s="90">
        <v>45085.774456018517</v>
      </c>
      <c r="D1014" s="114">
        <v>45085.524456018517</v>
      </c>
      <c r="E1014" s="38">
        <v>45085</v>
      </c>
      <c r="F1014" s="91">
        <v>2023</v>
      </c>
      <c r="G1014" s="93">
        <v>6</v>
      </c>
      <c r="H1014" s="37" t="s">
        <v>3137</v>
      </c>
      <c r="I1014" s="37"/>
      <c r="J1014" s="103">
        <v>-91.947715561218544</v>
      </c>
      <c r="K1014" s="40">
        <v>42.847439428834988</v>
      </c>
      <c r="L1014" s="74"/>
      <c r="M1014" s="272" t="s">
        <v>3151</v>
      </c>
      <c r="N1014" s="74">
        <v>1</v>
      </c>
      <c r="O1014" s="94"/>
      <c r="P1014" s="118">
        <v>1</v>
      </c>
      <c r="Q1014" s="510">
        <v>180</v>
      </c>
      <c r="R1014" s="513">
        <v>180</v>
      </c>
      <c r="S1014" s="41"/>
      <c r="T1014" s="40"/>
      <c r="U1014" s="40">
        <v>8</v>
      </c>
      <c r="V1014" s="119">
        <v>1</v>
      </c>
      <c r="W1014" s="40">
        <v>100</v>
      </c>
      <c r="X1014" s="119">
        <v>1</v>
      </c>
      <c r="Y1014" s="40">
        <v>71</v>
      </c>
      <c r="Z1014" s="119">
        <v>1</v>
      </c>
      <c r="AA1014" s="368">
        <v>0</v>
      </c>
      <c r="AB1014" s="535">
        <v>5</v>
      </c>
      <c r="AC1014" s="39" t="s">
        <v>160</v>
      </c>
      <c r="AD1014" s="75" t="s">
        <v>439</v>
      </c>
      <c r="AE1014" s="95">
        <v>0</v>
      </c>
      <c r="AF1014" s="75">
        <v>1</v>
      </c>
      <c r="AG1014" s="75">
        <v>0</v>
      </c>
      <c r="AH1014" s="75">
        <v>0</v>
      </c>
      <c r="AI1014" s="75">
        <v>1</v>
      </c>
      <c r="AJ1014" s="75">
        <v>0</v>
      </c>
      <c r="AK1014" s="75">
        <v>0</v>
      </c>
      <c r="AL1014" s="95">
        <v>0</v>
      </c>
      <c r="AM1014" s="92">
        <v>0</v>
      </c>
      <c r="AN1014" s="79" t="s">
        <v>80</v>
      </c>
      <c r="AO1014" s="75">
        <v>1</v>
      </c>
      <c r="AP1014" s="75" t="s">
        <v>84</v>
      </c>
      <c r="AQ1014" s="122">
        <v>1</v>
      </c>
      <c r="AR1014" s="515" t="s">
        <v>16</v>
      </c>
      <c r="AS1014" s="95">
        <v>-1</v>
      </c>
      <c r="AT1014" s="75">
        <v>-1</v>
      </c>
      <c r="AU1014" s="75">
        <v>-1</v>
      </c>
      <c r="AV1014" s="75">
        <v>-1</v>
      </c>
      <c r="AW1014" s="123">
        <v>1</v>
      </c>
      <c r="AX1014" s="516"/>
      <c r="AY1014" s="75">
        <v>0</v>
      </c>
      <c r="AZ1014" s="77" t="s">
        <v>131</v>
      </c>
      <c r="BA1014" s="78" t="s">
        <v>132</v>
      </c>
      <c r="BB1014" s="78" t="s">
        <v>131</v>
      </c>
      <c r="BC1014" s="78" t="s">
        <v>131</v>
      </c>
      <c r="BD1014" s="78" t="s">
        <v>132</v>
      </c>
      <c r="BE1014" s="78" t="s">
        <v>131</v>
      </c>
      <c r="BF1014" s="78" t="s">
        <v>131</v>
      </c>
      <c r="BG1014" s="78" t="s">
        <v>131</v>
      </c>
      <c r="BH1014" s="75" t="s">
        <v>5970</v>
      </c>
      <c r="BI1014" s="295" t="s">
        <v>2284</v>
      </c>
      <c r="BJ1014" s="546">
        <v>1</v>
      </c>
      <c r="BK1014" s="294" t="s">
        <v>16</v>
      </c>
      <c r="BL1014" s="157" t="s">
        <v>16</v>
      </c>
      <c r="BM1014" s="548" t="s">
        <v>1348</v>
      </c>
      <c r="BN1014" s="548" t="s">
        <v>544</v>
      </c>
      <c r="BO1014" s="157" t="s">
        <v>4578</v>
      </c>
      <c r="BP1014" s="548" t="s">
        <v>4573</v>
      </c>
      <c r="BQ1014" s="157" t="s">
        <v>4571</v>
      </c>
      <c r="BR1014" s="157"/>
    </row>
    <row r="1015" spans="1:70" x14ac:dyDescent="0.25">
      <c r="A1015" s="19" t="s">
        <v>3686</v>
      </c>
      <c r="B1015" s="37" t="s">
        <v>3152</v>
      </c>
      <c r="C1015" s="90">
        <v>45085.76761574074</v>
      </c>
      <c r="D1015" s="114">
        <v>45085.51761574074</v>
      </c>
      <c r="E1015" s="38">
        <v>45085</v>
      </c>
      <c r="F1015" s="91">
        <v>2023</v>
      </c>
      <c r="G1015" s="93">
        <v>6</v>
      </c>
      <c r="H1015" s="37" t="s">
        <v>188</v>
      </c>
      <c r="I1015" s="37"/>
      <c r="J1015" s="103">
        <v>-91.014368500000003</v>
      </c>
      <c r="K1015" s="40">
        <v>44.176417899999997</v>
      </c>
      <c r="L1015" s="74"/>
      <c r="M1015" s="272" t="s">
        <v>3153</v>
      </c>
      <c r="N1015" s="74">
        <v>1</v>
      </c>
      <c r="O1015" s="94"/>
      <c r="P1015" s="118">
        <v>0</v>
      </c>
      <c r="Q1015" s="510"/>
      <c r="R1015" s="513"/>
      <c r="S1015" s="41"/>
      <c r="T1015" s="40"/>
      <c r="U1015" s="40"/>
      <c r="V1015" s="119">
        <v>1</v>
      </c>
      <c r="W1015" s="40">
        <v>300</v>
      </c>
      <c r="X1015" s="119">
        <v>1</v>
      </c>
      <c r="Y1015" s="40">
        <v>62</v>
      </c>
      <c r="Z1015" s="119">
        <v>0</v>
      </c>
      <c r="AA1015" s="368" t="s">
        <v>16</v>
      </c>
      <c r="AB1015" s="535" t="s">
        <v>16</v>
      </c>
      <c r="AC1015" s="39" t="s">
        <v>160</v>
      </c>
      <c r="AD1015" s="75" t="s">
        <v>10</v>
      </c>
      <c r="AE1015" s="95">
        <v>0</v>
      </c>
      <c r="AF1015" s="75">
        <v>0</v>
      </c>
      <c r="AG1015" s="75">
        <v>0</v>
      </c>
      <c r="AH1015" s="75">
        <v>0</v>
      </c>
      <c r="AI1015" s="75">
        <v>0</v>
      </c>
      <c r="AJ1015" s="75">
        <v>0</v>
      </c>
      <c r="AK1015" s="75">
        <v>0</v>
      </c>
      <c r="AL1015" s="95">
        <v>1</v>
      </c>
      <c r="AM1015" s="92">
        <v>0</v>
      </c>
      <c r="AN1015" s="79" t="s">
        <v>80</v>
      </c>
      <c r="AO1015" s="75">
        <v>1</v>
      </c>
      <c r="AP1015" s="75" t="s">
        <v>83</v>
      </c>
      <c r="AQ1015" s="122">
        <v>1</v>
      </c>
      <c r="AR1015" s="515" t="s">
        <v>10</v>
      </c>
      <c r="AS1015" s="95">
        <v>0</v>
      </c>
      <c r="AT1015" s="75">
        <v>0</v>
      </c>
      <c r="AU1015" s="75">
        <v>0</v>
      </c>
      <c r="AV1015" s="75">
        <v>0</v>
      </c>
      <c r="AW1015" s="123">
        <v>0</v>
      </c>
      <c r="AX1015" s="516"/>
      <c r="AY1015" s="75">
        <v>0</v>
      </c>
      <c r="AZ1015" s="77" t="s">
        <v>131</v>
      </c>
      <c r="BA1015" s="78" t="s">
        <v>131</v>
      </c>
      <c r="BB1015" s="78" t="s">
        <v>131</v>
      </c>
      <c r="BC1015" s="78" t="s">
        <v>131</v>
      </c>
      <c r="BD1015" s="78" t="s">
        <v>131</v>
      </c>
      <c r="BE1015" s="78" t="s">
        <v>131</v>
      </c>
      <c r="BF1015" s="78" t="s">
        <v>131</v>
      </c>
      <c r="BG1015" s="78" t="s">
        <v>132</v>
      </c>
      <c r="BH1015" s="75" t="s">
        <v>5970</v>
      </c>
      <c r="BI1015" s="295" t="s">
        <v>16</v>
      </c>
      <c r="BJ1015" s="546" t="s">
        <v>16</v>
      </c>
      <c r="BK1015" s="294" t="s">
        <v>16</v>
      </c>
      <c r="BL1015" s="157" t="s">
        <v>16</v>
      </c>
      <c r="BM1015" s="548" t="s">
        <v>1342</v>
      </c>
      <c r="BN1015" s="548" t="s">
        <v>4158</v>
      </c>
      <c r="BO1015" s="157" t="s">
        <v>4582</v>
      </c>
      <c r="BP1015" s="548" t="s">
        <v>4000</v>
      </c>
      <c r="BQ1015" s="157" t="s">
        <v>4449</v>
      </c>
      <c r="BR1015" s="157"/>
    </row>
    <row r="1016" spans="1:70" x14ac:dyDescent="0.25">
      <c r="A1016" s="19" t="s">
        <v>3686</v>
      </c>
      <c r="B1016" s="37" t="s">
        <v>3154</v>
      </c>
      <c r="C1016" s="90">
        <v>45085.765416666669</v>
      </c>
      <c r="D1016" s="114">
        <v>45085.515416666669</v>
      </c>
      <c r="E1016" s="38">
        <v>45085</v>
      </c>
      <c r="F1016" s="91">
        <v>2023</v>
      </c>
      <c r="G1016" s="93">
        <v>6</v>
      </c>
      <c r="H1016" s="37" t="s">
        <v>3137</v>
      </c>
      <c r="I1016" s="37"/>
      <c r="J1016" s="103">
        <v>-91.973492127430617</v>
      </c>
      <c r="K1016" s="40">
        <v>42.847284408461597</v>
      </c>
      <c r="L1016" s="74"/>
      <c r="M1016" s="272" t="s">
        <v>3155</v>
      </c>
      <c r="N1016" s="74">
        <v>1</v>
      </c>
      <c r="O1016" s="94"/>
      <c r="P1016" s="118">
        <v>1</v>
      </c>
      <c r="Q1016" s="510">
        <v>40</v>
      </c>
      <c r="R1016" s="513">
        <v>180</v>
      </c>
      <c r="S1016" s="41"/>
      <c r="T1016" s="40"/>
      <c r="U1016" s="40">
        <v>7.5</v>
      </c>
      <c r="V1016" s="119">
        <v>0</v>
      </c>
      <c r="W1016" s="40"/>
      <c r="X1016" s="119">
        <v>1</v>
      </c>
      <c r="Y1016" s="40">
        <v>55</v>
      </c>
      <c r="Z1016" s="119">
        <v>1</v>
      </c>
      <c r="AA1016" s="368">
        <v>0</v>
      </c>
      <c r="AB1016" s="535">
        <v>10</v>
      </c>
      <c r="AC1016" s="39" t="s">
        <v>160</v>
      </c>
      <c r="AD1016" s="75" t="s">
        <v>7</v>
      </c>
      <c r="AE1016" s="95">
        <v>1</v>
      </c>
      <c r="AF1016" s="75">
        <v>0</v>
      </c>
      <c r="AG1016" s="75">
        <v>0</v>
      </c>
      <c r="AH1016" s="75">
        <v>0</v>
      </c>
      <c r="AI1016" s="75">
        <v>0</v>
      </c>
      <c r="AJ1016" s="75">
        <v>0</v>
      </c>
      <c r="AK1016" s="75">
        <v>0</v>
      </c>
      <c r="AL1016" s="95">
        <v>0</v>
      </c>
      <c r="AM1016" s="92">
        <v>0</v>
      </c>
      <c r="AN1016" s="79" t="s">
        <v>80</v>
      </c>
      <c r="AO1016" s="75">
        <v>1</v>
      </c>
      <c r="AP1016" s="75" t="s">
        <v>83</v>
      </c>
      <c r="AQ1016" s="122">
        <v>1</v>
      </c>
      <c r="AR1016" s="515" t="s">
        <v>16</v>
      </c>
      <c r="AS1016" s="95">
        <v>-1</v>
      </c>
      <c r="AT1016" s="75">
        <v>-1</v>
      </c>
      <c r="AU1016" s="75">
        <v>-1</v>
      </c>
      <c r="AV1016" s="75">
        <v>-1</v>
      </c>
      <c r="AW1016" s="123">
        <v>1</v>
      </c>
      <c r="AX1016" s="516"/>
      <c r="AY1016" s="75">
        <v>0</v>
      </c>
      <c r="AZ1016" s="77" t="s">
        <v>132</v>
      </c>
      <c r="BA1016" s="78" t="s">
        <v>131</v>
      </c>
      <c r="BB1016" s="78" t="s">
        <v>131</v>
      </c>
      <c r="BC1016" s="78" t="s">
        <v>131</v>
      </c>
      <c r="BD1016" s="78" t="s">
        <v>131</v>
      </c>
      <c r="BE1016" s="78" t="s">
        <v>131</v>
      </c>
      <c r="BF1016" s="78" t="s">
        <v>131</v>
      </c>
      <c r="BG1016" s="78" t="s">
        <v>131</v>
      </c>
      <c r="BH1016" s="75" t="s">
        <v>5970</v>
      </c>
      <c r="BI1016" s="295" t="s">
        <v>16</v>
      </c>
      <c r="BJ1016" s="546" t="s">
        <v>16</v>
      </c>
      <c r="BK1016" s="294" t="s">
        <v>16</v>
      </c>
      <c r="BL1016" s="157" t="s">
        <v>16</v>
      </c>
      <c r="BM1016" s="548" t="s">
        <v>1348</v>
      </c>
      <c r="BN1016" s="548" t="s">
        <v>544</v>
      </c>
      <c r="BO1016" s="157" t="s">
        <v>4578</v>
      </c>
      <c r="BP1016" s="548" t="s">
        <v>4573</v>
      </c>
      <c r="BQ1016" s="157" t="s">
        <v>4571</v>
      </c>
      <c r="BR1016" s="157"/>
    </row>
    <row r="1017" spans="1:70" x14ac:dyDescent="0.25">
      <c r="A1017" s="19" t="s">
        <v>3686</v>
      </c>
      <c r="B1017" s="37" t="s">
        <v>3156</v>
      </c>
      <c r="C1017" s="90">
        <v>45085.744212962964</v>
      </c>
      <c r="D1017" s="114">
        <v>45085.494212962964</v>
      </c>
      <c r="E1017" s="38">
        <v>45085</v>
      </c>
      <c r="F1017" s="91">
        <v>2023</v>
      </c>
      <c r="G1017" s="93">
        <v>6</v>
      </c>
      <c r="H1017" s="37" t="s">
        <v>3137</v>
      </c>
      <c r="I1017" s="37"/>
      <c r="J1017" s="103">
        <v>-91.977329107439857</v>
      </c>
      <c r="K1017" s="40">
        <v>42.862109788522311</v>
      </c>
      <c r="L1017" s="74"/>
      <c r="M1017" s="272" t="s">
        <v>3157</v>
      </c>
      <c r="N1017" s="74">
        <v>1</v>
      </c>
      <c r="O1017" s="94"/>
      <c r="P1017" s="118">
        <v>1</v>
      </c>
      <c r="Q1017" s="510">
        <v>180</v>
      </c>
      <c r="R1017" s="513">
        <v>180</v>
      </c>
      <c r="S1017" s="41"/>
      <c r="T1017" s="40"/>
      <c r="U1017" s="40">
        <v>8</v>
      </c>
      <c r="V1017" s="119">
        <v>1</v>
      </c>
      <c r="W1017" s="40">
        <v>0</v>
      </c>
      <c r="X1017" s="119">
        <v>1</v>
      </c>
      <c r="Y1017" s="40">
        <v>72</v>
      </c>
      <c r="Z1017" s="119">
        <v>1</v>
      </c>
      <c r="AA1017" s="368">
        <v>0</v>
      </c>
      <c r="AB1017" s="535">
        <v>5</v>
      </c>
      <c r="AC1017" s="39" t="s">
        <v>160</v>
      </c>
      <c r="AD1017" s="75" t="s">
        <v>8</v>
      </c>
      <c r="AE1017" s="95">
        <v>0</v>
      </c>
      <c r="AF1017" s="75">
        <v>1</v>
      </c>
      <c r="AG1017" s="75">
        <v>0</v>
      </c>
      <c r="AH1017" s="75">
        <v>0</v>
      </c>
      <c r="AI1017" s="75">
        <v>0</v>
      </c>
      <c r="AJ1017" s="75">
        <v>0</v>
      </c>
      <c r="AK1017" s="75">
        <v>0</v>
      </c>
      <c r="AL1017" s="95">
        <v>0</v>
      </c>
      <c r="AM1017" s="92">
        <v>0</v>
      </c>
      <c r="AN1017" s="79" t="s">
        <v>80</v>
      </c>
      <c r="AO1017" s="75">
        <v>1</v>
      </c>
      <c r="AP1017" s="75" t="s">
        <v>84</v>
      </c>
      <c r="AQ1017" s="122">
        <v>1</v>
      </c>
      <c r="AR1017" s="515" t="s">
        <v>16</v>
      </c>
      <c r="AS1017" s="95">
        <v>-1</v>
      </c>
      <c r="AT1017" s="75">
        <v>-1</v>
      </c>
      <c r="AU1017" s="75">
        <v>-1</v>
      </c>
      <c r="AV1017" s="75">
        <v>-1</v>
      </c>
      <c r="AW1017" s="123">
        <v>1</v>
      </c>
      <c r="AX1017" s="516"/>
      <c r="AY1017" s="75">
        <v>0</v>
      </c>
      <c r="AZ1017" s="77" t="s">
        <v>131</v>
      </c>
      <c r="BA1017" s="78" t="s">
        <v>132</v>
      </c>
      <c r="BB1017" s="78" t="s">
        <v>131</v>
      </c>
      <c r="BC1017" s="78" t="s">
        <v>131</v>
      </c>
      <c r="BD1017" s="78" t="s">
        <v>131</v>
      </c>
      <c r="BE1017" s="78" t="s">
        <v>131</v>
      </c>
      <c r="BF1017" s="78" t="s">
        <v>131</v>
      </c>
      <c r="BG1017" s="78" t="s">
        <v>131</v>
      </c>
      <c r="BH1017" s="75" t="s">
        <v>5970</v>
      </c>
      <c r="BI1017" s="295" t="s">
        <v>16</v>
      </c>
      <c r="BJ1017" s="546" t="s">
        <v>16</v>
      </c>
      <c r="BK1017" s="294" t="s">
        <v>16</v>
      </c>
      <c r="BL1017" s="157" t="s">
        <v>16</v>
      </c>
      <c r="BM1017" s="548" t="s">
        <v>1348</v>
      </c>
      <c r="BN1017" s="548" t="s">
        <v>544</v>
      </c>
      <c r="BO1017" s="157" t="s">
        <v>4578</v>
      </c>
      <c r="BP1017" s="548" t="s">
        <v>4573</v>
      </c>
      <c r="BQ1017" s="157" t="s">
        <v>4571</v>
      </c>
      <c r="BR1017" s="157"/>
    </row>
    <row r="1018" spans="1:70" x14ac:dyDescent="0.25">
      <c r="A1018" s="19" t="s">
        <v>3686</v>
      </c>
      <c r="B1018" s="37" t="s">
        <v>3158</v>
      </c>
      <c r="C1018" s="90">
        <v>45085.734131944446</v>
      </c>
      <c r="D1018" s="114">
        <v>45085.484131944446</v>
      </c>
      <c r="E1018" s="38">
        <v>45085</v>
      </c>
      <c r="F1018" s="91">
        <v>2023</v>
      </c>
      <c r="G1018" s="93">
        <v>6</v>
      </c>
      <c r="H1018" s="37" t="s">
        <v>3137</v>
      </c>
      <c r="I1018" s="37"/>
      <c r="J1018" s="103">
        <v>-91.960231999899506</v>
      </c>
      <c r="K1018" s="40">
        <v>42.861929049551968</v>
      </c>
      <c r="L1018" s="74"/>
      <c r="M1018" s="272" t="s">
        <v>3159</v>
      </c>
      <c r="N1018" s="74">
        <v>1</v>
      </c>
      <c r="O1018" s="94"/>
      <c r="P1018" s="118">
        <v>1</v>
      </c>
      <c r="Q1018" s="510">
        <v>180</v>
      </c>
      <c r="R1018" s="513">
        <v>180</v>
      </c>
      <c r="S1018" s="41"/>
      <c r="T1018" s="40"/>
      <c r="U1018" s="40">
        <v>8</v>
      </c>
      <c r="V1018" s="119">
        <v>1</v>
      </c>
      <c r="W1018" s="40">
        <v>0</v>
      </c>
      <c r="X1018" s="119">
        <v>1</v>
      </c>
      <c r="Y1018" s="40">
        <v>65</v>
      </c>
      <c r="Z1018" s="119">
        <v>1</v>
      </c>
      <c r="AA1018" s="368">
        <v>0</v>
      </c>
      <c r="AB1018" s="535">
        <v>5</v>
      </c>
      <c r="AC1018" s="39" t="s">
        <v>160</v>
      </c>
      <c r="AD1018" s="75" t="s">
        <v>10</v>
      </c>
      <c r="AE1018" s="95">
        <v>0</v>
      </c>
      <c r="AF1018" s="75">
        <v>0</v>
      </c>
      <c r="AG1018" s="75">
        <v>0</v>
      </c>
      <c r="AH1018" s="75">
        <v>0</v>
      </c>
      <c r="AI1018" s="75">
        <v>0</v>
      </c>
      <c r="AJ1018" s="75">
        <v>0</v>
      </c>
      <c r="AK1018" s="75">
        <v>0</v>
      </c>
      <c r="AL1018" s="95">
        <v>1</v>
      </c>
      <c r="AM1018" s="92">
        <v>0</v>
      </c>
      <c r="AN1018" s="79" t="s">
        <v>80</v>
      </c>
      <c r="AO1018" s="75">
        <v>1</v>
      </c>
      <c r="AP1018" s="75" t="s">
        <v>85</v>
      </c>
      <c r="AQ1018" s="122">
        <v>1</v>
      </c>
      <c r="AR1018" s="515" t="s">
        <v>16</v>
      </c>
      <c r="AS1018" s="95">
        <v>-1</v>
      </c>
      <c r="AT1018" s="75">
        <v>-1</v>
      </c>
      <c r="AU1018" s="75">
        <v>-1</v>
      </c>
      <c r="AV1018" s="75">
        <v>-1</v>
      </c>
      <c r="AW1018" s="123">
        <v>1</v>
      </c>
      <c r="AX1018" s="516"/>
      <c r="AY1018" s="75">
        <v>0</v>
      </c>
      <c r="AZ1018" s="77" t="s">
        <v>131</v>
      </c>
      <c r="BA1018" s="78" t="s">
        <v>131</v>
      </c>
      <c r="BB1018" s="78" t="s">
        <v>131</v>
      </c>
      <c r="BC1018" s="78" t="s">
        <v>131</v>
      </c>
      <c r="BD1018" s="78" t="s">
        <v>131</v>
      </c>
      <c r="BE1018" s="78" t="s">
        <v>131</v>
      </c>
      <c r="BF1018" s="78" t="s">
        <v>131</v>
      </c>
      <c r="BG1018" s="78" t="s">
        <v>132</v>
      </c>
      <c r="BH1018" s="75" t="s">
        <v>5970</v>
      </c>
      <c r="BI1018" s="295">
        <v>0</v>
      </c>
      <c r="BJ1018" s="546" t="s">
        <v>16</v>
      </c>
      <c r="BK1018" s="294" t="s">
        <v>16</v>
      </c>
      <c r="BL1018" s="157" t="s">
        <v>16</v>
      </c>
      <c r="BM1018" s="548" t="s">
        <v>1348</v>
      </c>
      <c r="BN1018" s="548" t="s">
        <v>544</v>
      </c>
      <c r="BO1018" s="157" t="s">
        <v>4578</v>
      </c>
      <c r="BP1018" s="548" t="s">
        <v>4573</v>
      </c>
      <c r="BQ1018" s="157" t="s">
        <v>4571</v>
      </c>
      <c r="BR1018" s="157"/>
    </row>
    <row r="1019" spans="1:70" x14ac:dyDescent="0.25">
      <c r="A1019" s="19" t="s">
        <v>3686</v>
      </c>
      <c r="B1019" s="37" t="s">
        <v>3160</v>
      </c>
      <c r="C1019" s="90">
        <v>45085.725462962961</v>
      </c>
      <c r="D1019" s="114">
        <v>45085.475462962961</v>
      </c>
      <c r="E1019" s="38">
        <v>45085</v>
      </c>
      <c r="F1019" s="91">
        <v>2023</v>
      </c>
      <c r="G1019" s="93">
        <v>6</v>
      </c>
      <c r="H1019" s="37" t="s">
        <v>188</v>
      </c>
      <c r="I1019" s="37"/>
      <c r="J1019" s="103">
        <v>-90.992592400000007</v>
      </c>
      <c r="K1019" s="40">
        <v>44.155010400000002</v>
      </c>
      <c r="L1019" s="74"/>
      <c r="M1019" s="272" t="s">
        <v>3161</v>
      </c>
      <c r="N1019" s="74">
        <v>1</v>
      </c>
      <c r="O1019" s="94"/>
      <c r="P1019" s="118">
        <v>1</v>
      </c>
      <c r="Q1019" s="510">
        <v>40</v>
      </c>
      <c r="R1019" s="513">
        <v>120</v>
      </c>
      <c r="S1019" s="41"/>
      <c r="T1019" s="40"/>
      <c r="U1019" s="40">
        <v>7</v>
      </c>
      <c r="V1019" s="119">
        <v>1</v>
      </c>
      <c r="W1019" s="40">
        <v>300</v>
      </c>
      <c r="X1019" s="119">
        <v>1</v>
      </c>
      <c r="Y1019" s="40">
        <v>61</v>
      </c>
      <c r="Z1019" s="119">
        <v>1</v>
      </c>
      <c r="AA1019" s="368">
        <v>0</v>
      </c>
      <c r="AB1019" s="535">
        <v>2</v>
      </c>
      <c r="AC1019" s="39" t="s">
        <v>160</v>
      </c>
      <c r="AD1019" s="75" t="s">
        <v>8</v>
      </c>
      <c r="AE1019" s="95">
        <v>0</v>
      </c>
      <c r="AF1019" s="75">
        <v>1</v>
      </c>
      <c r="AG1019" s="75">
        <v>0</v>
      </c>
      <c r="AH1019" s="75">
        <v>0</v>
      </c>
      <c r="AI1019" s="75">
        <v>0</v>
      </c>
      <c r="AJ1019" s="75">
        <v>0</v>
      </c>
      <c r="AK1019" s="75">
        <v>0</v>
      </c>
      <c r="AL1019" s="95">
        <v>0</v>
      </c>
      <c r="AM1019" s="92">
        <v>0</v>
      </c>
      <c r="AN1019" s="79" t="s">
        <v>80</v>
      </c>
      <c r="AO1019" s="75">
        <v>1</v>
      </c>
      <c r="AP1019" s="75" t="s">
        <v>83</v>
      </c>
      <c r="AQ1019" s="122">
        <v>1</v>
      </c>
      <c r="AR1019" s="515" t="s">
        <v>10</v>
      </c>
      <c r="AS1019" s="95">
        <v>0</v>
      </c>
      <c r="AT1019" s="75">
        <v>0</v>
      </c>
      <c r="AU1019" s="75">
        <v>0</v>
      </c>
      <c r="AV1019" s="75">
        <v>0</v>
      </c>
      <c r="AW1019" s="123">
        <v>0</v>
      </c>
      <c r="AX1019" s="516" t="s">
        <v>3162</v>
      </c>
      <c r="AY1019" s="75">
        <v>1</v>
      </c>
      <c r="AZ1019" s="77" t="s">
        <v>131</v>
      </c>
      <c r="BA1019" s="78" t="s">
        <v>132</v>
      </c>
      <c r="BB1019" s="78" t="s">
        <v>131</v>
      </c>
      <c r="BC1019" s="78" t="s">
        <v>131</v>
      </c>
      <c r="BD1019" s="78" t="s">
        <v>131</v>
      </c>
      <c r="BE1019" s="78" t="s">
        <v>131</v>
      </c>
      <c r="BF1019" s="78" t="s">
        <v>131</v>
      </c>
      <c r="BG1019" s="78" t="s">
        <v>131</v>
      </c>
      <c r="BH1019" s="75" t="s">
        <v>5970</v>
      </c>
      <c r="BI1019" s="295" t="s">
        <v>3999</v>
      </c>
      <c r="BJ1019" s="546" t="s">
        <v>16</v>
      </c>
      <c r="BK1019" s="294" t="s">
        <v>16</v>
      </c>
      <c r="BL1019" s="157" t="s">
        <v>16</v>
      </c>
      <c r="BM1019" s="548" t="s">
        <v>1342</v>
      </c>
      <c r="BN1019" s="548" t="s">
        <v>4158</v>
      </c>
      <c r="BO1019" s="157" t="s">
        <v>4582</v>
      </c>
      <c r="BP1019" s="548" t="s">
        <v>4000</v>
      </c>
      <c r="BQ1019" s="157" t="s">
        <v>4449</v>
      </c>
      <c r="BR1019" s="157"/>
    </row>
    <row r="1020" spans="1:70" x14ac:dyDescent="0.25">
      <c r="A1020" s="19" t="s">
        <v>3686</v>
      </c>
      <c r="B1020" s="37" t="s">
        <v>3163</v>
      </c>
      <c r="C1020" s="90">
        <v>45085.717488425929</v>
      </c>
      <c r="D1020" s="114">
        <v>45085.467488425929</v>
      </c>
      <c r="E1020" s="38">
        <v>45085</v>
      </c>
      <c r="F1020" s="91">
        <v>2023</v>
      </c>
      <c r="G1020" s="93">
        <v>6</v>
      </c>
      <c r="H1020" s="37" t="s">
        <v>3137</v>
      </c>
      <c r="I1020" s="37"/>
      <c r="J1020" s="103">
        <v>-91.977235341941196</v>
      </c>
      <c r="K1020" s="40">
        <v>42.891013363971354</v>
      </c>
      <c r="L1020" s="74"/>
      <c r="M1020" s="272" t="s">
        <v>3164</v>
      </c>
      <c r="N1020" s="74">
        <v>1</v>
      </c>
      <c r="O1020" s="94"/>
      <c r="P1020" s="118">
        <v>1</v>
      </c>
      <c r="Q1020" s="510">
        <v>180</v>
      </c>
      <c r="R1020" s="513">
        <v>180</v>
      </c>
      <c r="S1020" s="41"/>
      <c r="T1020" s="40"/>
      <c r="U1020" s="40">
        <v>8</v>
      </c>
      <c r="V1020" s="119">
        <v>1</v>
      </c>
      <c r="W1020" s="40">
        <v>0</v>
      </c>
      <c r="X1020" s="119">
        <v>1</v>
      </c>
      <c r="Y1020" s="40">
        <v>66</v>
      </c>
      <c r="Z1020" s="119">
        <v>1</v>
      </c>
      <c r="AA1020" s="368">
        <v>0</v>
      </c>
      <c r="AB1020" s="535">
        <v>2</v>
      </c>
      <c r="AC1020" s="39" t="s">
        <v>160</v>
      </c>
      <c r="AD1020" s="75" t="s">
        <v>8</v>
      </c>
      <c r="AE1020" s="95">
        <v>0</v>
      </c>
      <c r="AF1020" s="75">
        <v>1</v>
      </c>
      <c r="AG1020" s="75">
        <v>0</v>
      </c>
      <c r="AH1020" s="75">
        <v>0</v>
      </c>
      <c r="AI1020" s="75">
        <v>0</v>
      </c>
      <c r="AJ1020" s="75">
        <v>0</v>
      </c>
      <c r="AK1020" s="75">
        <v>0</v>
      </c>
      <c r="AL1020" s="95">
        <v>0</v>
      </c>
      <c r="AM1020" s="92">
        <v>0</v>
      </c>
      <c r="AN1020" s="79" t="s">
        <v>80</v>
      </c>
      <c r="AO1020" s="75">
        <v>1</v>
      </c>
      <c r="AP1020" s="75" t="s">
        <v>84</v>
      </c>
      <c r="AQ1020" s="122">
        <v>1</v>
      </c>
      <c r="AR1020" s="515" t="s">
        <v>16</v>
      </c>
      <c r="AS1020" s="95">
        <v>-1</v>
      </c>
      <c r="AT1020" s="75">
        <v>-1</v>
      </c>
      <c r="AU1020" s="75">
        <v>-1</v>
      </c>
      <c r="AV1020" s="75">
        <v>-1</v>
      </c>
      <c r="AW1020" s="123">
        <v>1</v>
      </c>
      <c r="AX1020" s="516"/>
      <c r="AY1020" s="75">
        <v>0</v>
      </c>
      <c r="AZ1020" s="77" t="s">
        <v>131</v>
      </c>
      <c r="BA1020" s="78" t="s">
        <v>132</v>
      </c>
      <c r="BB1020" s="78" t="s">
        <v>131</v>
      </c>
      <c r="BC1020" s="78" t="s">
        <v>131</v>
      </c>
      <c r="BD1020" s="78" t="s">
        <v>131</v>
      </c>
      <c r="BE1020" s="78" t="s">
        <v>131</v>
      </c>
      <c r="BF1020" s="78" t="s">
        <v>131</v>
      </c>
      <c r="BG1020" s="78" t="s">
        <v>131</v>
      </c>
      <c r="BH1020" s="75" t="s">
        <v>5970</v>
      </c>
      <c r="BI1020" s="295">
        <v>0</v>
      </c>
      <c r="BJ1020" s="546" t="s">
        <v>16</v>
      </c>
      <c r="BK1020" s="294" t="s">
        <v>16</v>
      </c>
      <c r="BL1020" s="157" t="s">
        <v>16</v>
      </c>
      <c r="BM1020" s="548" t="s">
        <v>1348</v>
      </c>
      <c r="BN1020" s="548" t="s">
        <v>544</v>
      </c>
      <c r="BO1020" s="157" t="s">
        <v>4578</v>
      </c>
      <c r="BP1020" s="548" t="s">
        <v>4573</v>
      </c>
      <c r="BQ1020" s="157" t="s">
        <v>4571</v>
      </c>
      <c r="BR1020" s="157"/>
    </row>
    <row r="1021" spans="1:70" x14ac:dyDescent="0.25">
      <c r="A1021" s="19" t="s">
        <v>3686</v>
      </c>
      <c r="B1021" s="37" t="s">
        <v>3165</v>
      </c>
      <c r="C1021" s="90">
        <v>45085.705810185187</v>
      </c>
      <c r="D1021" s="114">
        <v>45085.455810185187</v>
      </c>
      <c r="E1021" s="38">
        <v>45085</v>
      </c>
      <c r="F1021" s="91">
        <v>2023</v>
      </c>
      <c r="G1021" s="93">
        <v>6</v>
      </c>
      <c r="H1021" s="37" t="s">
        <v>3137</v>
      </c>
      <c r="I1021" s="37"/>
      <c r="J1021" s="103">
        <v>-92.000376235375725</v>
      </c>
      <c r="K1021" s="40">
        <v>42.898307946979742</v>
      </c>
      <c r="L1021" s="74"/>
      <c r="M1021" s="272" t="s">
        <v>3166</v>
      </c>
      <c r="N1021" s="74">
        <v>1</v>
      </c>
      <c r="O1021" s="94"/>
      <c r="P1021" s="118">
        <v>1</v>
      </c>
      <c r="Q1021" s="510">
        <v>180</v>
      </c>
      <c r="R1021" s="513">
        <v>180</v>
      </c>
      <c r="S1021" s="41"/>
      <c r="T1021" s="40"/>
      <c r="U1021" s="40">
        <v>8</v>
      </c>
      <c r="V1021" s="119">
        <v>1</v>
      </c>
      <c r="W1021" s="40">
        <v>0</v>
      </c>
      <c r="X1021" s="119">
        <v>1</v>
      </c>
      <c r="Y1021" s="40">
        <v>69</v>
      </c>
      <c r="Z1021" s="119">
        <v>1</v>
      </c>
      <c r="AA1021" s="368">
        <v>0</v>
      </c>
      <c r="AB1021" s="535">
        <v>10</v>
      </c>
      <c r="AC1021" s="39" t="s">
        <v>160</v>
      </c>
      <c r="AD1021" s="75" t="s">
        <v>10</v>
      </c>
      <c r="AE1021" s="95">
        <v>0</v>
      </c>
      <c r="AF1021" s="75">
        <v>0</v>
      </c>
      <c r="AG1021" s="75">
        <v>0</v>
      </c>
      <c r="AH1021" s="75">
        <v>0</v>
      </c>
      <c r="AI1021" s="75">
        <v>0</v>
      </c>
      <c r="AJ1021" s="75">
        <v>0</v>
      </c>
      <c r="AK1021" s="75">
        <v>0</v>
      </c>
      <c r="AL1021" s="95">
        <v>1</v>
      </c>
      <c r="AM1021" s="92">
        <v>0</v>
      </c>
      <c r="AN1021" s="79" t="s">
        <v>80</v>
      </c>
      <c r="AO1021" s="75">
        <v>1</v>
      </c>
      <c r="AP1021" s="75" t="s">
        <v>83</v>
      </c>
      <c r="AQ1021" s="122">
        <v>1</v>
      </c>
      <c r="AR1021" s="515" t="s">
        <v>16</v>
      </c>
      <c r="AS1021" s="95">
        <v>-1</v>
      </c>
      <c r="AT1021" s="75">
        <v>-1</v>
      </c>
      <c r="AU1021" s="75">
        <v>-1</v>
      </c>
      <c r="AV1021" s="75">
        <v>-1</v>
      </c>
      <c r="AW1021" s="123">
        <v>1</v>
      </c>
      <c r="AX1021" s="516"/>
      <c r="AY1021" s="75">
        <v>0</v>
      </c>
      <c r="AZ1021" s="77" t="s">
        <v>131</v>
      </c>
      <c r="BA1021" s="78" t="s">
        <v>131</v>
      </c>
      <c r="BB1021" s="78" t="s">
        <v>131</v>
      </c>
      <c r="BC1021" s="78" t="s">
        <v>131</v>
      </c>
      <c r="BD1021" s="78" t="s">
        <v>131</v>
      </c>
      <c r="BE1021" s="78" t="s">
        <v>131</v>
      </c>
      <c r="BF1021" s="78" t="s">
        <v>131</v>
      </c>
      <c r="BG1021" s="78" t="s">
        <v>132</v>
      </c>
      <c r="BH1021" s="75" t="s">
        <v>5970</v>
      </c>
      <c r="BI1021" s="295" t="s">
        <v>2284</v>
      </c>
      <c r="BJ1021" s="546" t="s">
        <v>16</v>
      </c>
      <c r="BK1021" s="294" t="s">
        <v>16</v>
      </c>
      <c r="BL1021" s="157" t="s">
        <v>16</v>
      </c>
      <c r="BM1021" s="548" t="s">
        <v>1344</v>
      </c>
      <c r="BN1021" s="548" t="s">
        <v>544</v>
      </c>
      <c r="BO1021" s="157" t="s">
        <v>4578</v>
      </c>
      <c r="BP1021" s="548" t="s">
        <v>4573</v>
      </c>
      <c r="BQ1021" s="157" t="s">
        <v>4571</v>
      </c>
      <c r="BR1021" s="157"/>
    </row>
    <row r="1022" spans="1:70" x14ac:dyDescent="0.25">
      <c r="A1022" s="19" t="s">
        <v>3686</v>
      </c>
      <c r="B1022" s="37" t="s">
        <v>3167</v>
      </c>
      <c r="C1022" s="90">
        <v>45085.690486111111</v>
      </c>
      <c r="D1022" s="114">
        <v>45085.440486111111</v>
      </c>
      <c r="E1022" s="38">
        <v>45085</v>
      </c>
      <c r="F1022" s="91">
        <v>2023</v>
      </c>
      <c r="G1022" s="93">
        <v>6</v>
      </c>
      <c r="H1022" s="37" t="s">
        <v>3137</v>
      </c>
      <c r="I1022" s="37"/>
      <c r="J1022" s="103">
        <v>-91.94144235362964</v>
      </c>
      <c r="K1022" s="40">
        <v>42.89082816534988</v>
      </c>
      <c r="L1022" s="74"/>
      <c r="M1022" s="272" t="s">
        <v>3168</v>
      </c>
      <c r="N1022" s="74">
        <v>1</v>
      </c>
      <c r="O1022" s="94"/>
      <c r="P1022" s="118">
        <v>1</v>
      </c>
      <c r="Q1022" s="510">
        <v>80</v>
      </c>
      <c r="R1022" s="513">
        <v>180</v>
      </c>
      <c r="S1022" s="41"/>
      <c r="T1022" s="40"/>
      <c r="U1022" s="40">
        <v>8</v>
      </c>
      <c r="V1022" s="119">
        <v>1</v>
      </c>
      <c r="W1022" s="40">
        <v>100</v>
      </c>
      <c r="X1022" s="119">
        <v>1</v>
      </c>
      <c r="Y1022" s="40">
        <v>65</v>
      </c>
      <c r="Z1022" s="119">
        <v>1</v>
      </c>
      <c r="AA1022" s="368">
        <v>0</v>
      </c>
      <c r="AB1022" s="535">
        <v>5</v>
      </c>
      <c r="AC1022" s="39" t="s">
        <v>160</v>
      </c>
      <c r="AD1022" s="75" t="s">
        <v>8</v>
      </c>
      <c r="AE1022" s="95">
        <v>0</v>
      </c>
      <c r="AF1022" s="75">
        <v>1</v>
      </c>
      <c r="AG1022" s="75">
        <v>0</v>
      </c>
      <c r="AH1022" s="75">
        <v>0</v>
      </c>
      <c r="AI1022" s="75">
        <v>0</v>
      </c>
      <c r="AJ1022" s="75">
        <v>0</v>
      </c>
      <c r="AK1022" s="75">
        <v>0</v>
      </c>
      <c r="AL1022" s="95">
        <v>0</v>
      </c>
      <c r="AM1022" s="92">
        <v>0</v>
      </c>
      <c r="AN1022" s="79" t="s">
        <v>80</v>
      </c>
      <c r="AO1022" s="75">
        <v>1</v>
      </c>
      <c r="AP1022" s="75" t="s">
        <v>84</v>
      </c>
      <c r="AQ1022" s="122">
        <v>1</v>
      </c>
      <c r="AR1022" s="515" t="s">
        <v>16</v>
      </c>
      <c r="AS1022" s="95">
        <v>-1</v>
      </c>
      <c r="AT1022" s="75">
        <v>-1</v>
      </c>
      <c r="AU1022" s="75">
        <v>-1</v>
      </c>
      <c r="AV1022" s="75">
        <v>-1</v>
      </c>
      <c r="AW1022" s="123">
        <v>1</v>
      </c>
      <c r="AX1022" s="516"/>
      <c r="AY1022" s="75">
        <v>0</v>
      </c>
      <c r="AZ1022" s="77" t="s">
        <v>131</v>
      </c>
      <c r="BA1022" s="78" t="s">
        <v>132</v>
      </c>
      <c r="BB1022" s="78" t="s">
        <v>131</v>
      </c>
      <c r="BC1022" s="78" t="s">
        <v>131</v>
      </c>
      <c r="BD1022" s="78" t="s">
        <v>131</v>
      </c>
      <c r="BE1022" s="78" t="s">
        <v>131</v>
      </c>
      <c r="BF1022" s="78" t="s">
        <v>131</v>
      </c>
      <c r="BG1022" s="78" t="s">
        <v>131</v>
      </c>
      <c r="BH1022" s="75" t="s">
        <v>5970</v>
      </c>
      <c r="BI1022" s="295" t="s">
        <v>4029</v>
      </c>
      <c r="BJ1022" s="546" t="s">
        <v>16</v>
      </c>
      <c r="BK1022" s="294" t="s">
        <v>16</v>
      </c>
      <c r="BL1022" s="157" t="s">
        <v>16</v>
      </c>
      <c r="BM1022" s="548" t="s">
        <v>1344</v>
      </c>
      <c r="BN1022" s="548" t="s">
        <v>544</v>
      </c>
      <c r="BO1022" s="157" t="s">
        <v>4583</v>
      </c>
      <c r="BP1022" s="548" t="s">
        <v>4029</v>
      </c>
      <c r="BQ1022" s="157" t="s">
        <v>4571</v>
      </c>
      <c r="BR1022" s="157"/>
    </row>
    <row r="1023" spans="1:70" x14ac:dyDescent="0.25">
      <c r="A1023" s="19" t="s">
        <v>3686</v>
      </c>
      <c r="B1023" s="37" t="s">
        <v>3169</v>
      </c>
      <c r="C1023" s="90">
        <v>45085.68209490741</v>
      </c>
      <c r="D1023" s="114">
        <v>45085.43209490741</v>
      </c>
      <c r="E1023" s="38">
        <v>45085</v>
      </c>
      <c r="F1023" s="91">
        <v>2023</v>
      </c>
      <c r="G1023" s="93">
        <v>6</v>
      </c>
      <c r="H1023" s="37" t="s">
        <v>3137</v>
      </c>
      <c r="I1023" s="37"/>
      <c r="J1023" s="103">
        <v>-91.926213429935117</v>
      </c>
      <c r="K1023" s="40">
        <v>42.890856080011758</v>
      </c>
      <c r="L1023" s="74"/>
      <c r="M1023" s="272" t="s">
        <v>3170</v>
      </c>
      <c r="N1023" s="74">
        <v>1</v>
      </c>
      <c r="O1023" s="94"/>
      <c r="P1023" s="118">
        <v>1</v>
      </c>
      <c r="Q1023" s="510">
        <v>120</v>
      </c>
      <c r="R1023" s="513">
        <v>180</v>
      </c>
      <c r="S1023" s="41"/>
      <c r="T1023" s="40"/>
      <c r="U1023" s="40">
        <v>7.5</v>
      </c>
      <c r="V1023" s="119">
        <v>1</v>
      </c>
      <c r="W1023" s="40">
        <v>100</v>
      </c>
      <c r="X1023" s="119">
        <v>1</v>
      </c>
      <c r="Y1023" s="40">
        <v>66</v>
      </c>
      <c r="Z1023" s="119">
        <v>1</v>
      </c>
      <c r="AA1023" s="368">
        <v>0</v>
      </c>
      <c r="AB1023" s="535">
        <v>5</v>
      </c>
      <c r="AC1023" s="39" t="s">
        <v>160</v>
      </c>
      <c r="AD1023" s="75" t="s">
        <v>439</v>
      </c>
      <c r="AE1023" s="95">
        <v>0</v>
      </c>
      <c r="AF1023" s="75">
        <v>1</v>
      </c>
      <c r="AG1023" s="75">
        <v>0</v>
      </c>
      <c r="AH1023" s="75">
        <v>0</v>
      </c>
      <c r="AI1023" s="75">
        <v>1</v>
      </c>
      <c r="AJ1023" s="75">
        <v>0</v>
      </c>
      <c r="AK1023" s="75">
        <v>0</v>
      </c>
      <c r="AL1023" s="95">
        <v>0</v>
      </c>
      <c r="AM1023" s="92">
        <v>0</v>
      </c>
      <c r="AN1023" s="79" t="s">
        <v>80</v>
      </c>
      <c r="AO1023" s="75">
        <v>1</v>
      </c>
      <c r="AP1023" s="75" t="s">
        <v>84</v>
      </c>
      <c r="AQ1023" s="122">
        <v>1</v>
      </c>
      <c r="AR1023" s="515" t="s">
        <v>16</v>
      </c>
      <c r="AS1023" s="95">
        <v>-1</v>
      </c>
      <c r="AT1023" s="75">
        <v>-1</v>
      </c>
      <c r="AU1023" s="75">
        <v>-1</v>
      </c>
      <c r="AV1023" s="75">
        <v>-1</v>
      </c>
      <c r="AW1023" s="123">
        <v>1</v>
      </c>
      <c r="AX1023" s="516"/>
      <c r="AY1023" s="75">
        <v>0</v>
      </c>
      <c r="AZ1023" s="77" t="s">
        <v>131</v>
      </c>
      <c r="BA1023" s="78" t="s">
        <v>132</v>
      </c>
      <c r="BB1023" s="78" t="s">
        <v>131</v>
      </c>
      <c r="BC1023" s="78" t="s">
        <v>131</v>
      </c>
      <c r="BD1023" s="78" t="s">
        <v>132</v>
      </c>
      <c r="BE1023" s="78" t="s">
        <v>131</v>
      </c>
      <c r="BF1023" s="78" t="s">
        <v>131</v>
      </c>
      <c r="BG1023" s="78" t="s">
        <v>131</v>
      </c>
      <c r="BH1023" s="75" t="s">
        <v>5970</v>
      </c>
      <c r="BI1023" s="295">
        <v>0</v>
      </c>
      <c r="BJ1023" s="546" t="s">
        <v>16</v>
      </c>
      <c r="BK1023" s="294" t="s">
        <v>16</v>
      </c>
      <c r="BL1023" s="157" t="s">
        <v>16</v>
      </c>
      <c r="BM1023" s="548" t="s">
        <v>1344</v>
      </c>
      <c r="BN1023" s="548" t="s">
        <v>544</v>
      </c>
      <c r="BO1023" s="157" t="s">
        <v>4583</v>
      </c>
      <c r="BP1023" s="548" t="s">
        <v>4029</v>
      </c>
      <c r="BQ1023" s="157" t="s">
        <v>4571</v>
      </c>
      <c r="BR1023" s="157"/>
    </row>
    <row r="1024" spans="1:70" x14ac:dyDescent="0.25">
      <c r="A1024" s="19" t="s">
        <v>3686</v>
      </c>
      <c r="B1024" s="37" t="s">
        <v>3171</v>
      </c>
      <c r="C1024" s="90">
        <v>45085.667118055557</v>
      </c>
      <c r="D1024" s="114">
        <v>45085.417118055557</v>
      </c>
      <c r="E1024" s="38">
        <v>45085</v>
      </c>
      <c r="F1024" s="91">
        <v>2023</v>
      </c>
      <c r="G1024" s="93">
        <v>6</v>
      </c>
      <c r="H1024" s="37" t="s">
        <v>188</v>
      </c>
      <c r="I1024" s="37"/>
      <c r="J1024" s="103">
        <v>-90.996142899999995</v>
      </c>
      <c r="K1024" s="40">
        <v>44.126700300000003</v>
      </c>
      <c r="L1024" s="74"/>
      <c r="M1024" s="272" t="s">
        <v>3172</v>
      </c>
      <c r="N1024" s="74">
        <v>1</v>
      </c>
      <c r="O1024" s="94"/>
      <c r="P1024" s="118">
        <v>1</v>
      </c>
      <c r="Q1024" s="510">
        <v>40</v>
      </c>
      <c r="R1024" s="513">
        <v>60</v>
      </c>
      <c r="S1024" s="41"/>
      <c r="T1024" s="40"/>
      <c r="U1024" s="40">
        <v>7</v>
      </c>
      <c r="V1024" s="119">
        <v>1</v>
      </c>
      <c r="W1024" s="40">
        <v>100</v>
      </c>
      <c r="X1024" s="119">
        <v>1</v>
      </c>
      <c r="Y1024" s="40">
        <v>58</v>
      </c>
      <c r="Z1024" s="119">
        <v>1</v>
      </c>
      <c r="AA1024" s="368">
        <v>0</v>
      </c>
      <c r="AB1024" s="535">
        <v>2</v>
      </c>
      <c r="AC1024" s="39" t="s">
        <v>160</v>
      </c>
      <c r="AD1024" s="75" t="s">
        <v>10</v>
      </c>
      <c r="AE1024" s="95">
        <v>0</v>
      </c>
      <c r="AF1024" s="75">
        <v>0</v>
      </c>
      <c r="AG1024" s="75">
        <v>0</v>
      </c>
      <c r="AH1024" s="75">
        <v>0</v>
      </c>
      <c r="AI1024" s="75">
        <v>0</v>
      </c>
      <c r="AJ1024" s="75">
        <v>0</v>
      </c>
      <c r="AK1024" s="75">
        <v>0</v>
      </c>
      <c r="AL1024" s="95">
        <v>1</v>
      </c>
      <c r="AM1024" s="92">
        <v>0</v>
      </c>
      <c r="AN1024" s="79" t="s">
        <v>80</v>
      </c>
      <c r="AO1024" s="75">
        <v>1</v>
      </c>
      <c r="AP1024" s="75" t="s">
        <v>83</v>
      </c>
      <c r="AQ1024" s="122">
        <v>1</v>
      </c>
      <c r="AR1024" s="515" t="s">
        <v>10</v>
      </c>
      <c r="AS1024" s="95">
        <v>0</v>
      </c>
      <c r="AT1024" s="75">
        <v>0</v>
      </c>
      <c r="AU1024" s="75">
        <v>0</v>
      </c>
      <c r="AV1024" s="75">
        <v>0</v>
      </c>
      <c r="AW1024" s="123">
        <v>0</v>
      </c>
      <c r="AX1024" s="516" t="s">
        <v>3173</v>
      </c>
      <c r="AY1024" s="75">
        <v>1</v>
      </c>
      <c r="AZ1024" s="77" t="s">
        <v>131</v>
      </c>
      <c r="BA1024" s="78" t="s">
        <v>131</v>
      </c>
      <c r="BB1024" s="78" t="s">
        <v>131</v>
      </c>
      <c r="BC1024" s="78" t="s">
        <v>131</v>
      </c>
      <c r="BD1024" s="78" t="s">
        <v>131</v>
      </c>
      <c r="BE1024" s="78" t="s">
        <v>131</v>
      </c>
      <c r="BF1024" s="78" t="s">
        <v>131</v>
      </c>
      <c r="BG1024" s="78" t="s">
        <v>132</v>
      </c>
      <c r="BH1024" s="75" t="s">
        <v>5970</v>
      </c>
      <c r="BI1024" s="295" t="s">
        <v>4000</v>
      </c>
      <c r="BJ1024" s="546" t="s">
        <v>16</v>
      </c>
      <c r="BK1024" s="294" t="s">
        <v>16</v>
      </c>
      <c r="BL1024" s="157" t="s">
        <v>16</v>
      </c>
      <c r="BM1024" s="548" t="s">
        <v>1342</v>
      </c>
      <c r="BN1024" s="548" t="s">
        <v>4158</v>
      </c>
      <c r="BO1024" s="157" t="s">
        <v>4582</v>
      </c>
      <c r="BP1024" s="548" t="s">
        <v>4000</v>
      </c>
      <c r="BQ1024" s="157" t="s">
        <v>4449</v>
      </c>
      <c r="BR1024" s="157"/>
    </row>
    <row r="1025" spans="1:70" x14ac:dyDescent="0.25">
      <c r="A1025" s="19" t="s">
        <v>3686</v>
      </c>
      <c r="B1025" s="37" t="s">
        <v>3174</v>
      </c>
      <c r="C1025" s="90">
        <v>45085.665416666663</v>
      </c>
      <c r="D1025" s="114">
        <v>45085.415416666663</v>
      </c>
      <c r="E1025" s="38">
        <v>45085</v>
      </c>
      <c r="F1025" s="91">
        <v>2023</v>
      </c>
      <c r="G1025" s="93">
        <v>6</v>
      </c>
      <c r="H1025" s="37" t="s">
        <v>3137</v>
      </c>
      <c r="I1025" s="37"/>
      <c r="J1025" s="103">
        <v>-91.854891045557366</v>
      </c>
      <c r="K1025" s="40">
        <v>42.906046215789807</v>
      </c>
      <c r="L1025" s="74"/>
      <c r="M1025" s="272" t="s">
        <v>3175</v>
      </c>
      <c r="N1025" s="74">
        <v>1</v>
      </c>
      <c r="O1025" s="94"/>
      <c r="P1025" s="118">
        <v>1</v>
      </c>
      <c r="Q1025" s="510">
        <v>80</v>
      </c>
      <c r="R1025" s="513">
        <v>180</v>
      </c>
      <c r="S1025" s="41"/>
      <c r="T1025" s="40"/>
      <c r="U1025" s="40">
        <v>7.5</v>
      </c>
      <c r="V1025" s="119">
        <v>1</v>
      </c>
      <c r="W1025" s="40">
        <v>0</v>
      </c>
      <c r="X1025" s="119">
        <v>0</v>
      </c>
      <c r="Y1025" s="40"/>
      <c r="Z1025" s="119">
        <v>1</v>
      </c>
      <c r="AA1025" s="368">
        <v>0</v>
      </c>
      <c r="AB1025" s="535">
        <v>10</v>
      </c>
      <c r="AC1025" s="39" t="s">
        <v>160</v>
      </c>
      <c r="AD1025" s="75" t="s">
        <v>365</v>
      </c>
      <c r="AE1025" s="95">
        <v>0</v>
      </c>
      <c r="AF1025" s="75">
        <v>1</v>
      </c>
      <c r="AG1025" s="75">
        <v>1</v>
      </c>
      <c r="AH1025" s="75">
        <v>0</v>
      </c>
      <c r="AI1025" s="75">
        <v>0</v>
      </c>
      <c r="AJ1025" s="75">
        <v>0</v>
      </c>
      <c r="AK1025" s="75">
        <v>0</v>
      </c>
      <c r="AL1025" s="95">
        <v>0</v>
      </c>
      <c r="AM1025" s="92">
        <v>0</v>
      </c>
      <c r="AN1025" s="79" t="s">
        <v>80</v>
      </c>
      <c r="AO1025" s="75">
        <v>1</v>
      </c>
      <c r="AP1025" s="75" t="s">
        <v>83</v>
      </c>
      <c r="AQ1025" s="122">
        <v>1</v>
      </c>
      <c r="AR1025" s="515" t="s">
        <v>10</v>
      </c>
      <c r="AS1025" s="95">
        <v>0</v>
      </c>
      <c r="AT1025" s="75">
        <v>0</v>
      </c>
      <c r="AU1025" s="75">
        <v>0</v>
      </c>
      <c r="AV1025" s="75">
        <v>0</v>
      </c>
      <c r="AW1025" s="123">
        <v>0</v>
      </c>
      <c r="AX1025" s="516"/>
      <c r="AY1025" s="75">
        <v>0</v>
      </c>
      <c r="AZ1025" s="77" t="s">
        <v>131</v>
      </c>
      <c r="BA1025" s="78" t="s">
        <v>132</v>
      </c>
      <c r="BB1025" s="78" t="s">
        <v>132</v>
      </c>
      <c r="BC1025" s="78" t="s">
        <v>131</v>
      </c>
      <c r="BD1025" s="78" t="s">
        <v>131</v>
      </c>
      <c r="BE1025" s="78" t="s">
        <v>131</v>
      </c>
      <c r="BF1025" s="78" t="s">
        <v>131</v>
      </c>
      <c r="BG1025" s="78" t="s">
        <v>131</v>
      </c>
      <c r="BH1025" s="75" t="s">
        <v>5970</v>
      </c>
      <c r="BI1025" s="295">
        <v>0</v>
      </c>
      <c r="BJ1025" s="546" t="s">
        <v>16</v>
      </c>
      <c r="BK1025" s="294" t="s">
        <v>16</v>
      </c>
      <c r="BL1025" s="157" t="s">
        <v>16</v>
      </c>
      <c r="BM1025" s="548" t="s">
        <v>1344</v>
      </c>
      <c r="BN1025" s="548" t="s">
        <v>544</v>
      </c>
      <c r="BO1025" s="157" t="s">
        <v>4576</v>
      </c>
      <c r="BP1025" s="548" t="s">
        <v>4577</v>
      </c>
      <c r="BQ1025" s="157" t="s">
        <v>4571</v>
      </c>
      <c r="BR1025" s="157"/>
    </row>
    <row r="1026" spans="1:70" x14ac:dyDescent="0.25">
      <c r="A1026" s="19" t="s">
        <v>3686</v>
      </c>
      <c r="B1026" s="37" t="s">
        <v>3176</v>
      </c>
      <c r="C1026" s="90">
        <v>45085.661192129628</v>
      </c>
      <c r="D1026" s="114">
        <v>45085.411192129628</v>
      </c>
      <c r="E1026" s="38">
        <v>45085</v>
      </c>
      <c r="F1026" s="91">
        <v>2023</v>
      </c>
      <c r="G1026" s="93">
        <v>6</v>
      </c>
      <c r="H1026" s="37" t="s">
        <v>188</v>
      </c>
      <c r="I1026" s="37"/>
      <c r="J1026" s="103">
        <v>-90.996247499999996</v>
      </c>
      <c r="K1026" s="40">
        <v>44.126285000000003</v>
      </c>
      <c r="L1026" s="74"/>
      <c r="M1026" s="272" t="s">
        <v>3177</v>
      </c>
      <c r="N1026" s="74">
        <v>1</v>
      </c>
      <c r="O1026" s="94"/>
      <c r="P1026" s="118">
        <v>1</v>
      </c>
      <c r="Q1026" s="510">
        <v>40</v>
      </c>
      <c r="R1026" s="513">
        <v>120</v>
      </c>
      <c r="S1026" s="41"/>
      <c r="T1026" s="40"/>
      <c r="U1026" s="40">
        <v>7</v>
      </c>
      <c r="V1026" s="119">
        <v>1</v>
      </c>
      <c r="W1026" s="40">
        <v>0</v>
      </c>
      <c r="X1026" s="119">
        <v>1</v>
      </c>
      <c r="Y1026" s="40">
        <v>57</v>
      </c>
      <c r="Z1026" s="119">
        <v>1</v>
      </c>
      <c r="AA1026" s="368">
        <v>0</v>
      </c>
      <c r="AB1026" s="535">
        <v>2</v>
      </c>
      <c r="AC1026" s="39" t="s">
        <v>160</v>
      </c>
      <c r="AD1026" s="75" t="s">
        <v>10</v>
      </c>
      <c r="AE1026" s="95">
        <v>0</v>
      </c>
      <c r="AF1026" s="75">
        <v>0</v>
      </c>
      <c r="AG1026" s="75">
        <v>0</v>
      </c>
      <c r="AH1026" s="75">
        <v>0</v>
      </c>
      <c r="AI1026" s="75">
        <v>0</v>
      </c>
      <c r="AJ1026" s="75">
        <v>0</v>
      </c>
      <c r="AK1026" s="75">
        <v>0</v>
      </c>
      <c r="AL1026" s="95">
        <v>1</v>
      </c>
      <c r="AM1026" s="92">
        <v>0</v>
      </c>
      <c r="AN1026" s="79" t="s">
        <v>80</v>
      </c>
      <c r="AO1026" s="75">
        <v>1</v>
      </c>
      <c r="AP1026" s="75" t="s">
        <v>83</v>
      </c>
      <c r="AQ1026" s="122">
        <v>1</v>
      </c>
      <c r="AR1026" s="515" t="s">
        <v>10</v>
      </c>
      <c r="AS1026" s="95">
        <v>0</v>
      </c>
      <c r="AT1026" s="75">
        <v>0</v>
      </c>
      <c r="AU1026" s="75">
        <v>0</v>
      </c>
      <c r="AV1026" s="75">
        <v>0</v>
      </c>
      <c r="AW1026" s="123">
        <v>0</v>
      </c>
      <c r="AX1026" s="516" t="s">
        <v>3178</v>
      </c>
      <c r="AY1026" s="75">
        <v>1</v>
      </c>
      <c r="AZ1026" s="77" t="s">
        <v>131</v>
      </c>
      <c r="BA1026" s="78" t="s">
        <v>131</v>
      </c>
      <c r="BB1026" s="78" t="s">
        <v>131</v>
      </c>
      <c r="BC1026" s="78" t="s">
        <v>131</v>
      </c>
      <c r="BD1026" s="78" t="s">
        <v>131</v>
      </c>
      <c r="BE1026" s="78" t="s">
        <v>131</v>
      </c>
      <c r="BF1026" s="78" t="s">
        <v>131</v>
      </c>
      <c r="BG1026" s="78" t="s">
        <v>132</v>
      </c>
      <c r="BH1026" s="75" t="s">
        <v>5970</v>
      </c>
      <c r="BI1026" s="295" t="s">
        <v>4000</v>
      </c>
      <c r="BJ1026" s="546" t="s">
        <v>16</v>
      </c>
      <c r="BK1026" s="294" t="s">
        <v>16</v>
      </c>
      <c r="BL1026" s="157" t="s">
        <v>16</v>
      </c>
      <c r="BM1026" s="548" t="s">
        <v>1342</v>
      </c>
      <c r="BN1026" s="548" t="s">
        <v>4158</v>
      </c>
      <c r="BO1026" s="157" t="s">
        <v>4582</v>
      </c>
      <c r="BP1026" s="548" t="s">
        <v>4000</v>
      </c>
      <c r="BQ1026" s="157" t="s">
        <v>4449</v>
      </c>
      <c r="BR1026" s="157"/>
    </row>
    <row r="1027" spans="1:70" x14ac:dyDescent="0.25">
      <c r="A1027" s="19" t="s">
        <v>3686</v>
      </c>
      <c r="B1027" s="37" t="s">
        <v>3179</v>
      </c>
      <c r="C1027" s="90">
        <v>45085.653564814813</v>
      </c>
      <c r="D1027" s="114">
        <v>45085.403564814813</v>
      </c>
      <c r="E1027" s="38">
        <v>45085</v>
      </c>
      <c r="F1027" s="91">
        <v>2023</v>
      </c>
      <c r="G1027" s="93">
        <v>6</v>
      </c>
      <c r="H1027" s="37" t="s">
        <v>3137</v>
      </c>
      <c r="I1027" s="37"/>
      <c r="J1027" s="103">
        <v>-91.877205792906324</v>
      </c>
      <c r="K1027" s="40">
        <v>42.906068002087999</v>
      </c>
      <c r="L1027" s="74"/>
      <c r="M1027" s="272" t="s">
        <v>3180</v>
      </c>
      <c r="N1027" s="74">
        <v>1</v>
      </c>
      <c r="O1027" s="94"/>
      <c r="P1027" s="118">
        <v>1</v>
      </c>
      <c r="Q1027" s="510">
        <v>120</v>
      </c>
      <c r="R1027" s="513">
        <v>180</v>
      </c>
      <c r="S1027" s="41"/>
      <c r="T1027" s="40"/>
      <c r="U1027" s="40">
        <v>7.5</v>
      </c>
      <c r="V1027" s="119">
        <v>1</v>
      </c>
      <c r="W1027" s="40">
        <v>0</v>
      </c>
      <c r="X1027" s="119">
        <v>1</v>
      </c>
      <c r="Y1027" s="40">
        <v>63</v>
      </c>
      <c r="Z1027" s="119">
        <v>1</v>
      </c>
      <c r="AA1027" s="368">
        <v>0</v>
      </c>
      <c r="AB1027" s="535">
        <v>5</v>
      </c>
      <c r="AC1027" s="39" t="s">
        <v>160</v>
      </c>
      <c r="AD1027" s="75" t="s">
        <v>7</v>
      </c>
      <c r="AE1027" s="95">
        <v>1</v>
      </c>
      <c r="AF1027" s="75">
        <v>0</v>
      </c>
      <c r="AG1027" s="75">
        <v>0</v>
      </c>
      <c r="AH1027" s="75">
        <v>0</v>
      </c>
      <c r="AI1027" s="75">
        <v>0</v>
      </c>
      <c r="AJ1027" s="75">
        <v>0</v>
      </c>
      <c r="AK1027" s="75">
        <v>0</v>
      </c>
      <c r="AL1027" s="95">
        <v>0</v>
      </c>
      <c r="AM1027" s="92">
        <v>0</v>
      </c>
      <c r="AN1027" s="79" t="s">
        <v>80</v>
      </c>
      <c r="AO1027" s="75">
        <v>1</v>
      </c>
      <c r="AP1027" s="75" t="s">
        <v>83</v>
      </c>
      <c r="AQ1027" s="122">
        <v>1</v>
      </c>
      <c r="AR1027" s="515" t="s">
        <v>16</v>
      </c>
      <c r="AS1027" s="95">
        <v>-1</v>
      </c>
      <c r="AT1027" s="75">
        <v>-1</v>
      </c>
      <c r="AU1027" s="75">
        <v>-1</v>
      </c>
      <c r="AV1027" s="75">
        <v>-1</v>
      </c>
      <c r="AW1027" s="123">
        <v>1</v>
      </c>
      <c r="AX1027" s="516"/>
      <c r="AY1027" s="75">
        <v>0</v>
      </c>
      <c r="AZ1027" s="77" t="s">
        <v>132</v>
      </c>
      <c r="BA1027" s="78" t="s">
        <v>131</v>
      </c>
      <c r="BB1027" s="78" t="s">
        <v>131</v>
      </c>
      <c r="BC1027" s="78" t="s">
        <v>131</v>
      </c>
      <c r="BD1027" s="78" t="s">
        <v>131</v>
      </c>
      <c r="BE1027" s="78" t="s">
        <v>131</v>
      </c>
      <c r="BF1027" s="78" t="s">
        <v>131</v>
      </c>
      <c r="BG1027" s="78" t="s">
        <v>131</v>
      </c>
      <c r="BH1027" s="75" t="s">
        <v>5970</v>
      </c>
      <c r="BI1027" s="295" t="s">
        <v>4030</v>
      </c>
      <c r="BJ1027" s="546" t="s">
        <v>16</v>
      </c>
      <c r="BK1027" s="294" t="s">
        <v>16</v>
      </c>
      <c r="BL1027" s="157" t="s">
        <v>16</v>
      </c>
      <c r="BM1027" s="548" t="s">
        <v>1344</v>
      </c>
      <c r="BN1027" s="548" t="s">
        <v>544</v>
      </c>
      <c r="BO1027" s="157" t="s">
        <v>4576</v>
      </c>
      <c r="BP1027" s="548" t="s">
        <v>4577</v>
      </c>
      <c r="BQ1027" s="157" t="s">
        <v>4571</v>
      </c>
      <c r="BR1027" s="157"/>
    </row>
    <row r="1028" spans="1:70" x14ac:dyDescent="0.25">
      <c r="A1028" s="19" t="s">
        <v>3686</v>
      </c>
      <c r="B1028" s="37" t="s">
        <v>3181</v>
      </c>
      <c r="C1028" s="90">
        <v>45085.649918981479</v>
      </c>
      <c r="D1028" s="114">
        <v>45085.399918981479</v>
      </c>
      <c r="E1028" s="38">
        <v>45085</v>
      </c>
      <c r="F1028" s="91">
        <v>2023</v>
      </c>
      <c r="G1028" s="93">
        <v>6</v>
      </c>
      <c r="H1028" s="37" t="s">
        <v>188</v>
      </c>
      <c r="I1028" s="37"/>
      <c r="J1028" s="103">
        <v>-90.996553399999996</v>
      </c>
      <c r="K1028" s="40">
        <v>44.126626100000003</v>
      </c>
      <c r="L1028" s="74"/>
      <c r="M1028" s="272" t="s">
        <v>3182</v>
      </c>
      <c r="N1028" s="74">
        <v>1</v>
      </c>
      <c r="O1028" s="94"/>
      <c r="P1028" s="118">
        <v>1</v>
      </c>
      <c r="Q1028" s="510">
        <v>80</v>
      </c>
      <c r="R1028" s="513">
        <v>120</v>
      </c>
      <c r="S1028" s="41"/>
      <c r="T1028" s="40"/>
      <c r="U1028" s="40">
        <v>7</v>
      </c>
      <c r="V1028" s="119">
        <v>1</v>
      </c>
      <c r="W1028" s="40">
        <v>500</v>
      </c>
      <c r="X1028" s="119">
        <v>1</v>
      </c>
      <c r="Y1028" s="40">
        <v>57</v>
      </c>
      <c r="Z1028" s="119">
        <v>1</v>
      </c>
      <c r="AA1028" s="368">
        <v>0</v>
      </c>
      <c r="AB1028" s="535">
        <v>10</v>
      </c>
      <c r="AC1028" s="39" t="s">
        <v>160</v>
      </c>
      <c r="AD1028" s="75" t="s">
        <v>10</v>
      </c>
      <c r="AE1028" s="95">
        <v>0</v>
      </c>
      <c r="AF1028" s="75">
        <v>0</v>
      </c>
      <c r="AG1028" s="75">
        <v>0</v>
      </c>
      <c r="AH1028" s="75">
        <v>0</v>
      </c>
      <c r="AI1028" s="75">
        <v>0</v>
      </c>
      <c r="AJ1028" s="75">
        <v>0</v>
      </c>
      <c r="AK1028" s="75">
        <v>0</v>
      </c>
      <c r="AL1028" s="95">
        <v>1</v>
      </c>
      <c r="AM1028" s="92">
        <v>0</v>
      </c>
      <c r="AN1028" s="79" t="s">
        <v>80</v>
      </c>
      <c r="AO1028" s="75">
        <v>1</v>
      </c>
      <c r="AP1028" s="75" t="s">
        <v>83</v>
      </c>
      <c r="AQ1028" s="122">
        <v>1</v>
      </c>
      <c r="AR1028" s="515" t="s">
        <v>10</v>
      </c>
      <c r="AS1028" s="95">
        <v>0</v>
      </c>
      <c r="AT1028" s="75">
        <v>0</v>
      </c>
      <c r="AU1028" s="75">
        <v>0</v>
      </c>
      <c r="AV1028" s="75">
        <v>0</v>
      </c>
      <c r="AW1028" s="123">
        <v>0</v>
      </c>
      <c r="AX1028" s="516"/>
      <c r="AY1028" s="75">
        <v>0</v>
      </c>
      <c r="AZ1028" s="77" t="s">
        <v>131</v>
      </c>
      <c r="BA1028" s="78" t="s">
        <v>131</v>
      </c>
      <c r="BB1028" s="78" t="s">
        <v>131</v>
      </c>
      <c r="BC1028" s="78" t="s">
        <v>131</v>
      </c>
      <c r="BD1028" s="78" t="s">
        <v>131</v>
      </c>
      <c r="BE1028" s="78" t="s">
        <v>131</v>
      </c>
      <c r="BF1028" s="78" t="s">
        <v>131</v>
      </c>
      <c r="BG1028" s="78" t="s">
        <v>132</v>
      </c>
      <c r="BH1028" s="75" t="s">
        <v>5970</v>
      </c>
      <c r="BI1028" s="295" t="s">
        <v>4000</v>
      </c>
      <c r="BJ1028" s="546" t="s">
        <v>16</v>
      </c>
      <c r="BK1028" s="294" t="s">
        <v>16</v>
      </c>
      <c r="BL1028" s="157" t="s">
        <v>16</v>
      </c>
      <c r="BM1028" s="548" t="s">
        <v>1342</v>
      </c>
      <c r="BN1028" s="548" t="s">
        <v>4158</v>
      </c>
      <c r="BO1028" s="157" t="s">
        <v>4582</v>
      </c>
      <c r="BP1028" s="548" t="s">
        <v>4000</v>
      </c>
      <c r="BQ1028" s="157" t="s">
        <v>4449</v>
      </c>
      <c r="BR1028" s="157"/>
    </row>
    <row r="1029" spans="1:70" x14ac:dyDescent="0.25">
      <c r="A1029" s="19" t="s">
        <v>3686</v>
      </c>
      <c r="B1029" s="37" t="s">
        <v>3183</v>
      </c>
      <c r="C1029" s="90">
        <v>45085.637164351851</v>
      </c>
      <c r="D1029" s="114">
        <v>45085.387164351851</v>
      </c>
      <c r="E1029" s="38">
        <v>45085</v>
      </c>
      <c r="F1029" s="91">
        <v>2023</v>
      </c>
      <c r="G1029" s="93">
        <v>6</v>
      </c>
      <c r="H1029" s="37" t="s">
        <v>3137</v>
      </c>
      <c r="I1029" s="37"/>
      <c r="J1029" s="103">
        <v>-91.972076849681685</v>
      </c>
      <c r="K1029" s="40">
        <v>42.935558450544072</v>
      </c>
      <c r="L1029" s="74"/>
      <c r="M1029" s="272" t="s">
        <v>3184</v>
      </c>
      <c r="N1029" s="74">
        <v>1</v>
      </c>
      <c r="O1029" s="94"/>
      <c r="P1029" s="118">
        <v>1</v>
      </c>
      <c r="Q1029" s="510">
        <v>180</v>
      </c>
      <c r="R1029" s="513">
        <v>180</v>
      </c>
      <c r="S1029" s="41"/>
      <c r="T1029" s="40"/>
      <c r="U1029" s="40">
        <v>7.5</v>
      </c>
      <c r="V1029" s="119">
        <v>1</v>
      </c>
      <c r="W1029" s="40">
        <v>0</v>
      </c>
      <c r="X1029" s="119">
        <v>1</v>
      </c>
      <c r="Y1029" s="40">
        <v>61</v>
      </c>
      <c r="Z1029" s="119">
        <v>1</v>
      </c>
      <c r="AA1029" s="368">
        <v>0</v>
      </c>
      <c r="AB1029" s="535">
        <v>5</v>
      </c>
      <c r="AC1029" s="39" t="s">
        <v>160</v>
      </c>
      <c r="AD1029" s="75" t="s">
        <v>551</v>
      </c>
      <c r="AE1029" s="95">
        <v>0</v>
      </c>
      <c r="AF1029" s="75">
        <v>0</v>
      </c>
      <c r="AG1029" s="75">
        <v>0</v>
      </c>
      <c r="AH1029" s="75">
        <v>0</v>
      </c>
      <c r="AI1029" s="75">
        <v>1</v>
      </c>
      <c r="AJ1029" s="75">
        <v>0</v>
      </c>
      <c r="AK1029" s="75">
        <v>0</v>
      </c>
      <c r="AL1029" s="95">
        <v>0</v>
      </c>
      <c r="AM1029" s="92">
        <v>0</v>
      </c>
      <c r="AN1029" s="79" t="s">
        <v>80</v>
      </c>
      <c r="AO1029" s="75">
        <v>1</v>
      </c>
      <c r="AP1029" s="75" t="s">
        <v>85</v>
      </c>
      <c r="AQ1029" s="122">
        <v>1</v>
      </c>
      <c r="AR1029" s="515" t="s">
        <v>16</v>
      </c>
      <c r="AS1029" s="95">
        <v>-1</v>
      </c>
      <c r="AT1029" s="75">
        <v>-1</v>
      </c>
      <c r="AU1029" s="75">
        <v>-1</v>
      </c>
      <c r="AV1029" s="75">
        <v>-1</v>
      </c>
      <c r="AW1029" s="123">
        <v>1</v>
      </c>
      <c r="AX1029" s="516"/>
      <c r="AY1029" s="75">
        <v>0</v>
      </c>
      <c r="AZ1029" s="77" t="s">
        <v>131</v>
      </c>
      <c r="BA1029" s="78" t="s">
        <v>131</v>
      </c>
      <c r="BB1029" s="78" t="s">
        <v>131</v>
      </c>
      <c r="BC1029" s="78" t="s">
        <v>131</v>
      </c>
      <c r="BD1029" s="78" t="s">
        <v>132</v>
      </c>
      <c r="BE1029" s="78" t="s">
        <v>131</v>
      </c>
      <c r="BF1029" s="78" t="s">
        <v>131</v>
      </c>
      <c r="BG1029" s="78" t="s">
        <v>131</v>
      </c>
      <c r="BH1029" s="75" t="s">
        <v>5970</v>
      </c>
      <c r="BI1029" s="295">
        <v>0</v>
      </c>
      <c r="BJ1029" s="546" t="s">
        <v>16</v>
      </c>
      <c r="BK1029" s="294" t="s">
        <v>16</v>
      </c>
      <c r="BL1029" s="157" t="s">
        <v>16</v>
      </c>
      <c r="BM1029" s="548" t="s">
        <v>1344</v>
      </c>
      <c r="BN1029" s="548" t="s">
        <v>544</v>
      </c>
      <c r="BO1029" s="157" t="s">
        <v>4583</v>
      </c>
      <c r="BP1029" s="548" t="s">
        <v>4029</v>
      </c>
      <c r="BQ1029" s="157" t="s">
        <v>4571</v>
      </c>
      <c r="BR1029" s="157"/>
    </row>
    <row r="1030" spans="1:70" x14ac:dyDescent="0.25">
      <c r="A1030" s="19" t="s">
        <v>3686</v>
      </c>
      <c r="B1030" s="37" t="s">
        <v>3185</v>
      </c>
      <c r="C1030" s="90">
        <v>45085.624606481484</v>
      </c>
      <c r="D1030" s="114">
        <v>45085.374606481484</v>
      </c>
      <c r="E1030" s="38">
        <v>45085</v>
      </c>
      <c r="F1030" s="91">
        <v>2023</v>
      </c>
      <c r="G1030" s="93">
        <v>6</v>
      </c>
      <c r="H1030" s="37" t="s">
        <v>3137</v>
      </c>
      <c r="I1030" s="37"/>
      <c r="J1030" s="103">
        <v>-91.933003486172964</v>
      </c>
      <c r="K1030" s="40">
        <v>42.935523251250103</v>
      </c>
      <c r="L1030" s="74"/>
      <c r="M1030" s="272" t="s">
        <v>3186</v>
      </c>
      <c r="N1030" s="74">
        <v>1</v>
      </c>
      <c r="O1030" s="94"/>
      <c r="P1030" s="118">
        <v>1</v>
      </c>
      <c r="Q1030" s="510">
        <v>80</v>
      </c>
      <c r="R1030" s="513">
        <v>180</v>
      </c>
      <c r="S1030" s="41"/>
      <c r="T1030" s="40"/>
      <c r="U1030" s="40">
        <v>7.5</v>
      </c>
      <c r="V1030" s="119">
        <v>1</v>
      </c>
      <c r="W1030" s="40">
        <v>0</v>
      </c>
      <c r="X1030" s="119">
        <v>1</v>
      </c>
      <c r="Y1030" s="40">
        <v>59</v>
      </c>
      <c r="Z1030" s="119">
        <v>1</v>
      </c>
      <c r="AA1030" s="368">
        <v>0</v>
      </c>
      <c r="AB1030" s="535">
        <v>5</v>
      </c>
      <c r="AC1030" s="39" t="s">
        <v>160</v>
      </c>
      <c r="AD1030" s="75" t="s">
        <v>10</v>
      </c>
      <c r="AE1030" s="95">
        <v>0</v>
      </c>
      <c r="AF1030" s="75">
        <v>0</v>
      </c>
      <c r="AG1030" s="75">
        <v>0</v>
      </c>
      <c r="AH1030" s="75">
        <v>0</v>
      </c>
      <c r="AI1030" s="75">
        <v>0</v>
      </c>
      <c r="AJ1030" s="75">
        <v>0</v>
      </c>
      <c r="AK1030" s="75">
        <v>0</v>
      </c>
      <c r="AL1030" s="95">
        <v>1</v>
      </c>
      <c r="AM1030" s="92">
        <v>0</v>
      </c>
      <c r="AN1030" s="79" t="s">
        <v>80</v>
      </c>
      <c r="AO1030" s="75">
        <v>1</v>
      </c>
      <c r="AP1030" s="75" t="s">
        <v>83</v>
      </c>
      <c r="AQ1030" s="122">
        <v>1</v>
      </c>
      <c r="AR1030" s="515" t="s">
        <v>16</v>
      </c>
      <c r="AS1030" s="95">
        <v>-1</v>
      </c>
      <c r="AT1030" s="75">
        <v>-1</v>
      </c>
      <c r="AU1030" s="75">
        <v>-1</v>
      </c>
      <c r="AV1030" s="75">
        <v>-1</v>
      </c>
      <c r="AW1030" s="123">
        <v>1</v>
      </c>
      <c r="AX1030" s="516"/>
      <c r="AY1030" s="75">
        <v>0</v>
      </c>
      <c r="AZ1030" s="77" t="s">
        <v>131</v>
      </c>
      <c r="BA1030" s="78" t="s">
        <v>131</v>
      </c>
      <c r="BB1030" s="78" t="s">
        <v>131</v>
      </c>
      <c r="BC1030" s="78" t="s">
        <v>131</v>
      </c>
      <c r="BD1030" s="78" t="s">
        <v>131</v>
      </c>
      <c r="BE1030" s="78" t="s">
        <v>131</v>
      </c>
      <c r="BF1030" s="78" t="s">
        <v>131</v>
      </c>
      <c r="BG1030" s="78" t="s">
        <v>132</v>
      </c>
      <c r="BH1030" s="75" t="s">
        <v>5970</v>
      </c>
      <c r="BI1030" s="295" t="s">
        <v>4029</v>
      </c>
      <c r="BJ1030" s="546" t="s">
        <v>16</v>
      </c>
      <c r="BK1030" s="294" t="s">
        <v>16</v>
      </c>
      <c r="BL1030" s="157" t="s">
        <v>16</v>
      </c>
      <c r="BM1030" s="548" t="s">
        <v>1344</v>
      </c>
      <c r="BN1030" s="548" t="s">
        <v>544</v>
      </c>
      <c r="BO1030" s="157" t="s">
        <v>4583</v>
      </c>
      <c r="BP1030" s="548" t="s">
        <v>4029</v>
      </c>
      <c r="BQ1030" s="157" t="s">
        <v>4571</v>
      </c>
      <c r="BR1030" s="157"/>
    </row>
    <row r="1031" spans="1:70" x14ac:dyDescent="0.25">
      <c r="A1031" s="19" t="s">
        <v>3686</v>
      </c>
      <c r="B1031" s="37" t="s">
        <v>3187</v>
      </c>
      <c r="C1031" s="90">
        <v>45084.94940972222</v>
      </c>
      <c r="D1031" s="114">
        <v>45084.69940972222</v>
      </c>
      <c r="E1031" s="38">
        <v>45084</v>
      </c>
      <c r="F1031" s="91">
        <v>2023</v>
      </c>
      <c r="G1031" s="93">
        <v>6</v>
      </c>
      <c r="H1031" s="37" t="s">
        <v>188</v>
      </c>
      <c r="I1031" s="37"/>
      <c r="J1031" s="103">
        <v>-91.065070899999995</v>
      </c>
      <c r="K1031" s="40">
        <v>44.289148900000001</v>
      </c>
      <c r="L1031" s="74"/>
      <c r="M1031" s="272" t="s">
        <v>3188</v>
      </c>
      <c r="N1031" s="74">
        <v>1</v>
      </c>
      <c r="O1031" s="94"/>
      <c r="P1031" s="118">
        <v>1</v>
      </c>
      <c r="Q1031" s="510">
        <v>0</v>
      </c>
      <c r="R1031" s="513">
        <v>30</v>
      </c>
      <c r="S1031" s="41"/>
      <c r="T1031" s="40"/>
      <c r="U1031" s="40">
        <v>6.5</v>
      </c>
      <c r="V1031" s="119">
        <v>1</v>
      </c>
      <c r="W1031" s="40">
        <v>100</v>
      </c>
      <c r="X1031" s="119">
        <v>1</v>
      </c>
      <c r="Y1031" s="40">
        <v>68</v>
      </c>
      <c r="Z1031" s="119">
        <v>1</v>
      </c>
      <c r="AA1031" s="368">
        <v>0</v>
      </c>
      <c r="AB1031" s="535">
        <v>2</v>
      </c>
      <c r="AC1031" s="39" t="s">
        <v>160</v>
      </c>
      <c r="AD1031" s="75" t="s">
        <v>10</v>
      </c>
      <c r="AE1031" s="95">
        <v>0</v>
      </c>
      <c r="AF1031" s="75">
        <v>0</v>
      </c>
      <c r="AG1031" s="75">
        <v>0</v>
      </c>
      <c r="AH1031" s="75">
        <v>0</v>
      </c>
      <c r="AI1031" s="75">
        <v>0</v>
      </c>
      <c r="AJ1031" s="75">
        <v>0</v>
      </c>
      <c r="AK1031" s="75">
        <v>0</v>
      </c>
      <c r="AL1031" s="95">
        <v>1</v>
      </c>
      <c r="AM1031" s="92">
        <v>0</v>
      </c>
      <c r="AN1031" s="79" t="s">
        <v>80</v>
      </c>
      <c r="AO1031" s="75">
        <v>1</v>
      </c>
      <c r="AP1031" s="75" t="s">
        <v>84</v>
      </c>
      <c r="AQ1031" s="122">
        <v>1</v>
      </c>
      <c r="AR1031" s="515" t="s">
        <v>10</v>
      </c>
      <c r="AS1031" s="95">
        <v>0</v>
      </c>
      <c r="AT1031" s="75">
        <v>0</v>
      </c>
      <c r="AU1031" s="75">
        <v>0</v>
      </c>
      <c r="AV1031" s="75">
        <v>0</v>
      </c>
      <c r="AW1031" s="123">
        <v>0</v>
      </c>
      <c r="AX1031" s="516" t="s">
        <v>3189</v>
      </c>
      <c r="AY1031" s="75">
        <v>1</v>
      </c>
      <c r="AZ1031" s="77" t="s">
        <v>131</v>
      </c>
      <c r="BA1031" s="78" t="s">
        <v>131</v>
      </c>
      <c r="BB1031" s="78" t="s">
        <v>131</v>
      </c>
      <c r="BC1031" s="78" t="s">
        <v>131</v>
      </c>
      <c r="BD1031" s="78" t="s">
        <v>131</v>
      </c>
      <c r="BE1031" s="78" t="s">
        <v>131</v>
      </c>
      <c r="BF1031" s="78" t="s">
        <v>131</v>
      </c>
      <c r="BG1031" s="78" t="s">
        <v>132</v>
      </c>
      <c r="BH1031" s="75" t="s">
        <v>5970</v>
      </c>
      <c r="BI1031" s="295" t="s">
        <v>16</v>
      </c>
      <c r="BJ1031" s="546">
        <v>1</v>
      </c>
      <c r="BK1031" s="294">
        <v>1</v>
      </c>
      <c r="BL1031" s="157">
        <v>1</v>
      </c>
      <c r="BM1031" s="548" t="s">
        <v>1340</v>
      </c>
      <c r="BN1031" s="548" t="s">
        <v>4158</v>
      </c>
      <c r="BO1031" s="157" t="s">
        <v>4483</v>
      </c>
      <c r="BP1031" s="548" t="s">
        <v>2321</v>
      </c>
      <c r="BQ1031" s="157" t="s">
        <v>4460</v>
      </c>
      <c r="BR1031" s="157"/>
    </row>
    <row r="1032" spans="1:70" x14ac:dyDescent="0.25">
      <c r="A1032" s="19" t="s">
        <v>3686</v>
      </c>
      <c r="B1032" s="37" t="s">
        <v>3190</v>
      </c>
      <c r="C1032" s="90">
        <v>45084.927997685183</v>
      </c>
      <c r="D1032" s="114">
        <v>45084.677997685183</v>
      </c>
      <c r="E1032" s="38">
        <v>45084</v>
      </c>
      <c r="F1032" s="91">
        <v>2023</v>
      </c>
      <c r="G1032" s="93">
        <v>6</v>
      </c>
      <c r="H1032" s="37" t="s">
        <v>188</v>
      </c>
      <c r="I1032" s="37"/>
      <c r="J1032" s="103">
        <v>-91.065390399999998</v>
      </c>
      <c r="K1032" s="40">
        <v>44.295400200000003</v>
      </c>
      <c r="L1032" s="74"/>
      <c r="M1032" s="272" t="s">
        <v>3191</v>
      </c>
      <c r="N1032" s="74">
        <v>1</v>
      </c>
      <c r="O1032" s="94"/>
      <c r="P1032" s="118">
        <v>1</v>
      </c>
      <c r="Q1032" s="510">
        <v>0</v>
      </c>
      <c r="R1032" s="513">
        <v>60</v>
      </c>
      <c r="S1032" s="41"/>
      <c r="T1032" s="40"/>
      <c r="U1032" s="40">
        <v>6</v>
      </c>
      <c r="V1032" s="119">
        <v>1</v>
      </c>
      <c r="W1032" s="40">
        <v>200</v>
      </c>
      <c r="X1032" s="119">
        <v>1</v>
      </c>
      <c r="Y1032" s="40">
        <v>57</v>
      </c>
      <c r="Z1032" s="119">
        <v>1</v>
      </c>
      <c r="AA1032" s="368">
        <v>0</v>
      </c>
      <c r="AB1032" s="535">
        <v>5</v>
      </c>
      <c r="AC1032" s="39" t="s">
        <v>160</v>
      </c>
      <c r="AD1032" s="75" t="s">
        <v>7</v>
      </c>
      <c r="AE1032" s="95">
        <v>1</v>
      </c>
      <c r="AF1032" s="75">
        <v>0</v>
      </c>
      <c r="AG1032" s="75">
        <v>0</v>
      </c>
      <c r="AH1032" s="75">
        <v>0</v>
      </c>
      <c r="AI1032" s="75">
        <v>0</v>
      </c>
      <c r="AJ1032" s="75">
        <v>0</v>
      </c>
      <c r="AK1032" s="75">
        <v>0</v>
      </c>
      <c r="AL1032" s="95">
        <v>0</v>
      </c>
      <c r="AM1032" s="92">
        <v>0</v>
      </c>
      <c r="AN1032" s="79" t="s">
        <v>80</v>
      </c>
      <c r="AO1032" s="75">
        <v>1</v>
      </c>
      <c r="AP1032" s="75" t="s">
        <v>83</v>
      </c>
      <c r="AQ1032" s="122">
        <v>1</v>
      </c>
      <c r="AR1032" s="515" t="s">
        <v>10</v>
      </c>
      <c r="AS1032" s="95">
        <v>0</v>
      </c>
      <c r="AT1032" s="75">
        <v>0</v>
      </c>
      <c r="AU1032" s="75">
        <v>0</v>
      </c>
      <c r="AV1032" s="75">
        <v>0</v>
      </c>
      <c r="AW1032" s="123">
        <v>0</v>
      </c>
      <c r="AX1032" s="516" t="s">
        <v>3192</v>
      </c>
      <c r="AY1032" s="75">
        <v>1</v>
      </c>
      <c r="AZ1032" s="77" t="s">
        <v>132</v>
      </c>
      <c r="BA1032" s="78" t="s">
        <v>131</v>
      </c>
      <c r="BB1032" s="78" t="s">
        <v>131</v>
      </c>
      <c r="BC1032" s="78" t="s">
        <v>131</v>
      </c>
      <c r="BD1032" s="78" t="s">
        <v>131</v>
      </c>
      <c r="BE1032" s="78" t="s">
        <v>131</v>
      </c>
      <c r="BF1032" s="78" t="s">
        <v>131</v>
      </c>
      <c r="BG1032" s="78" t="s">
        <v>131</v>
      </c>
      <c r="BH1032" s="75" t="s">
        <v>5970</v>
      </c>
      <c r="BI1032" s="295" t="s">
        <v>2321</v>
      </c>
      <c r="BJ1032" s="546">
        <v>1</v>
      </c>
      <c r="BK1032" s="294">
        <v>1</v>
      </c>
      <c r="BL1032" s="157">
        <v>1</v>
      </c>
      <c r="BM1032" s="548" t="s">
        <v>1340</v>
      </c>
      <c r="BN1032" s="548" t="s">
        <v>4158</v>
      </c>
      <c r="BO1032" s="157" t="s">
        <v>4483</v>
      </c>
      <c r="BP1032" s="548" t="s">
        <v>2321</v>
      </c>
      <c r="BQ1032" s="157" t="s">
        <v>4460</v>
      </c>
      <c r="BR1032" s="157"/>
    </row>
    <row r="1033" spans="1:70" x14ac:dyDescent="0.25">
      <c r="A1033" s="19" t="s">
        <v>3686</v>
      </c>
      <c r="B1033" s="37" t="s">
        <v>3193</v>
      </c>
      <c r="C1033" s="90">
        <v>45084.91678240741</v>
      </c>
      <c r="D1033" s="114">
        <v>45084.66678240741</v>
      </c>
      <c r="E1033" s="38">
        <v>45084</v>
      </c>
      <c r="F1033" s="91">
        <v>2023</v>
      </c>
      <c r="G1033" s="93">
        <v>6</v>
      </c>
      <c r="H1033" s="37" t="s">
        <v>188</v>
      </c>
      <c r="I1033" s="37"/>
      <c r="J1033" s="103">
        <v>-91.065575300000006</v>
      </c>
      <c r="K1033" s="40">
        <v>44.290666799999997</v>
      </c>
      <c r="L1033" s="74"/>
      <c r="M1033" s="272" t="s">
        <v>3194</v>
      </c>
      <c r="N1033" s="74">
        <v>1</v>
      </c>
      <c r="O1033" s="94"/>
      <c r="P1033" s="118">
        <v>1</v>
      </c>
      <c r="Q1033" s="510">
        <v>40</v>
      </c>
      <c r="R1033" s="513">
        <v>30</v>
      </c>
      <c r="S1033" s="41"/>
      <c r="T1033" s="40"/>
      <c r="U1033" s="40">
        <v>6.5</v>
      </c>
      <c r="V1033" s="119">
        <v>1</v>
      </c>
      <c r="W1033" s="40">
        <v>100</v>
      </c>
      <c r="X1033" s="119">
        <v>1</v>
      </c>
      <c r="Y1033" s="40">
        <v>68</v>
      </c>
      <c r="Z1033" s="119">
        <v>1</v>
      </c>
      <c r="AA1033" s="368">
        <v>0</v>
      </c>
      <c r="AB1033" s="535">
        <v>2</v>
      </c>
      <c r="AC1033" s="39" t="s">
        <v>160</v>
      </c>
      <c r="AD1033" s="75" t="s">
        <v>10</v>
      </c>
      <c r="AE1033" s="95">
        <v>0</v>
      </c>
      <c r="AF1033" s="75">
        <v>0</v>
      </c>
      <c r="AG1033" s="75">
        <v>0</v>
      </c>
      <c r="AH1033" s="75">
        <v>0</v>
      </c>
      <c r="AI1033" s="75">
        <v>0</v>
      </c>
      <c r="AJ1033" s="75">
        <v>0</v>
      </c>
      <c r="AK1033" s="75">
        <v>0</v>
      </c>
      <c r="AL1033" s="95">
        <v>1</v>
      </c>
      <c r="AM1033" s="92">
        <v>0</v>
      </c>
      <c r="AN1033" s="79" t="s">
        <v>80</v>
      </c>
      <c r="AO1033" s="75">
        <v>1</v>
      </c>
      <c r="AP1033" s="75" t="s">
        <v>83</v>
      </c>
      <c r="AQ1033" s="122">
        <v>1</v>
      </c>
      <c r="AR1033" s="515" t="s">
        <v>10</v>
      </c>
      <c r="AS1033" s="95">
        <v>0</v>
      </c>
      <c r="AT1033" s="75">
        <v>0</v>
      </c>
      <c r="AU1033" s="75">
        <v>0</v>
      </c>
      <c r="AV1033" s="75">
        <v>0</v>
      </c>
      <c r="AW1033" s="123">
        <v>0</v>
      </c>
      <c r="AX1033" s="516" t="s">
        <v>3195</v>
      </c>
      <c r="AY1033" s="75">
        <v>1</v>
      </c>
      <c r="AZ1033" s="77" t="s">
        <v>131</v>
      </c>
      <c r="BA1033" s="78" t="s">
        <v>131</v>
      </c>
      <c r="BB1033" s="78" t="s">
        <v>131</v>
      </c>
      <c r="BC1033" s="78" t="s">
        <v>131</v>
      </c>
      <c r="BD1033" s="78" t="s">
        <v>131</v>
      </c>
      <c r="BE1033" s="78" t="s">
        <v>131</v>
      </c>
      <c r="BF1033" s="78" t="s">
        <v>131</v>
      </c>
      <c r="BG1033" s="78" t="s">
        <v>132</v>
      </c>
      <c r="BH1033" s="75" t="s">
        <v>5970</v>
      </c>
      <c r="BI1033" s="295" t="s">
        <v>16</v>
      </c>
      <c r="BJ1033" s="546">
        <v>1</v>
      </c>
      <c r="BK1033" s="294">
        <v>1</v>
      </c>
      <c r="BL1033" s="157">
        <v>1</v>
      </c>
      <c r="BM1033" s="548" t="s">
        <v>1340</v>
      </c>
      <c r="BN1033" s="548" t="s">
        <v>4158</v>
      </c>
      <c r="BO1033" s="157" t="s">
        <v>4483</v>
      </c>
      <c r="BP1033" s="548" t="s">
        <v>2321</v>
      </c>
      <c r="BQ1033" s="157" t="s">
        <v>4460</v>
      </c>
      <c r="BR1033" s="157"/>
    </row>
    <row r="1034" spans="1:70" x14ac:dyDescent="0.25">
      <c r="A1034" s="19" t="s">
        <v>3686</v>
      </c>
      <c r="B1034" s="37" t="s">
        <v>3196</v>
      </c>
      <c r="C1034" s="90">
        <v>45084.901354166665</v>
      </c>
      <c r="D1034" s="114">
        <v>45084.651354166665</v>
      </c>
      <c r="E1034" s="38">
        <v>45084</v>
      </c>
      <c r="F1034" s="91">
        <v>2023</v>
      </c>
      <c r="G1034" s="93">
        <v>6</v>
      </c>
      <c r="H1034" s="37" t="s">
        <v>188</v>
      </c>
      <c r="I1034" s="37"/>
      <c r="J1034" s="103">
        <v>-91.084692099999998</v>
      </c>
      <c r="K1034" s="40">
        <v>44.290872200000003</v>
      </c>
      <c r="L1034" s="74"/>
      <c r="M1034" s="272" t="s">
        <v>3197</v>
      </c>
      <c r="N1034" s="74">
        <v>1</v>
      </c>
      <c r="O1034" s="94"/>
      <c r="P1034" s="118">
        <v>1</v>
      </c>
      <c r="Q1034" s="510">
        <v>0</v>
      </c>
      <c r="R1034" s="513">
        <v>60</v>
      </c>
      <c r="S1034" s="41"/>
      <c r="T1034" s="40"/>
      <c r="U1034" s="40">
        <v>6.5</v>
      </c>
      <c r="V1034" s="119">
        <v>1</v>
      </c>
      <c r="W1034" s="40">
        <v>100</v>
      </c>
      <c r="X1034" s="119">
        <v>1</v>
      </c>
      <c r="Y1034" s="40">
        <v>81</v>
      </c>
      <c r="Z1034" s="119">
        <v>1</v>
      </c>
      <c r="AA1034" s="368">
        <v>0</v>
      </c>
      <c r="AB1034" s="535">
        <v>5</v>
      </c>
      <c r="AC1034" s="39" t="s">
        <v>160</v>
      </c>
      <c r="AD1034" s="75" t="s">
        <v>10</v>
      </c>
      <c r="AE1034" s="95">
        <v>0</v>
      </c>
      <c r="AF1034" s="75">
        <v>0</v>
      </c>
      <c r="AG1034" s="75">
        <v>0</v>
      </c>
      <c r="AH1034" s="75">
        <v>0</v>
      </c>
      <c r="AI1034" s="75">
        <v>0</v>
      </c>
      <c r="AJ1034" s="75">
        <v>0</v>
      </c>
      <c r="AK1034" s="75">
        <v>0</v>
      </c>
      <c r="AL1034" s="95">
        <v>1</v>
      </c>
      <c r="AM1034" s="92">
        <v>0</v>
      </c>
      <c r="AN1034" s="79" t="s">
        <v>80</v>
      </c>
      <c r="AO1034" s="75">
        <v>1</v>
      </c>
      <c r="AP1034" s="75" t="s">
        <v>83</v>
      </c>
      <c r="AQ1034" s="122">
        <v>1</v>
      </c>
      <c r="AR1034" s="515" t="s">
        <v>10</v>
      </c>
      <c r="AS1034" s="95">
        <v>0</v>
      </c>
      <c r="AT1034" s="75">
        <v>0</v>
      </c>
      <c r="AU1034" s="75">
        <v>0</v>
      </c>
      <c r="AV1034" s="75">
        <v>0</v>
      </c>
      <c r="AW1034" s="123">
        <v>0</v>
      </c>
      <c r="AX1034" s="516"/>
      <c r="AY1034" s="75">
        <v>0</v>
      </c>
      <c r="AZ1034" s="77" t="s">
        <v>131</v>
      </c>
      <c r="BA1034" s="78" t="s">
        <v>131</v>
      </c>
      <c r="BB1034" s="78" t="s">
        <v>131</v>
      </c>
      <c r="BC1034" s="78" t="s">
        <v>131</v>
      </c>
      <c r="BD1034" s="78" t="s">
        <v>131</v>
      </c>
      <c r="BE1034" s="78" t="s">
        <v>131</v>
      </c>
      <c r="BF1034" s="78" t="s">
        <v>131</v>
      </c>
      <c r="BG1034" s="78" t="s">
        <v>132</v>
      </c>
      <c r="BH1034" s="75" t="s">
        <v>5970</v>
      </c>
      <c r="BI1034" s="295">
        <v>0</v>
      </c>
      <c r="BJ1034" s="546" t="s">
        <v>16</v>
      </c>
      <c r="BK1034" s="294" t="s">
        <v>16</v>
      </c>
      <c r="BL1034" s="157" t="s">
        <v>16</v>
      </c>
      <c r="BM1034" s="548" t="s">
        <v>1340</v>
      </c>
      <c r="BN1034" s="548" t="s">
        <v>4158</v>
      </c>
      <c r="BO1034" s="157" t="s">
        <v>4483</v>
      </c>
      <c r="BP1034" s="548" t="s">
        <v>2321</v>
      </c>
      <c r="BQ1034" s="157" t="s">
        <v>4460</v>
      </c>
      <c r="BR1034" s="157"/>
    </row>
    <row r="1035" spans="1:70" x14ac:dyDescent="0.25">
      <c r="A1035" s="19" t="s">
        <v>3686</v>
      </c>
      <c r="B1035" s="37" t="s">
        <v>3198</v>
      </c>
      <c r="C1035" s="90">
        <v>45084.861377314817</v>
      </c>
      <c r="D1035" s="114">
        <v>45084.611377314817</v>
      </c>
      <c r="E1035" s="38">
        <v>45084</v>
      </c>
      <c r="F1035" s="91">
        <v>2023</v>
      </c>
      <c r="G1035" s="93">
        <v>6</v>
      </c>
      <c r="H1035" s="37" t="s">
        <v>188</v>
      </c>
      <c r="I1035" s="37"/>
      <c r="J1035" s="103">
        <v>-91.125813100000002</v>
      </c>
      <c r="K1035" s="40">
        <v>44.319150499999999</v>
      </c>
      <c r="L1035" s="74"/>
      <c r="M1035" s="272" t="s">
        <v>3199</v>
      </c>
      <c r="N1035" s="74">
        <v>1</v>
      </c>
      <c r="O1035" s="94"/>
      <c r="P1035" s="118">
        <v>1</v>
      </c>
      <c r="Q1035" s="510">
        <v>40</v>
      </c>
      <c r="R1035" s="513">
        <v>60</v>
      </c>
      <c r="S1035" s="41"/>
      <c r="T1035" s="40"/>
      <c r="U1035" s="40">
        <v>6.5</v>
      </c>
      <c r="V1035" s="119">
        <v>1</v>
      </c>
      <c r="W1035" s="40">
        <v>100</v>
      </c>
      <c r="X1035" s="119">
        <v>1</v>
      </c>
      <c r="Y1035" s="40">
        <v>67</v>
      </c>
      <c r="Z1035" s="119">
        <v>1</v>
      </c>
      <c r="AA1035" s="368">
        <v>0</v>
      </c>
      <c r="AB1035" s="535">
        <v>2</v>
      </c>
      <c r="AC1035" s="39" t="s">
        <v>160</v>
      </c>
      <c r="AD1035" s="75" t="s">
        <v>10</v>
      </c>
      <c r="AE1035" s="95">
        <v>0</v>
      </c>
      <c r="AF1035" s="75">
        <v>0</v>
      </c>
      <c r="AG1035" s="75">
        <v>0</v>
      </c>
      <c r="AH1035" s="75">
        <v>0</v>
      </c>
      <c r="AI1035" s="75">
        <v>0</v>
      </c>
      <c r="AJ1035" s="75">
        <v>0</v>
      </c>
      <c r="AK1035" s="75">
        <v>0</v>
      </c>
      <c r="AL1035" s="95">
        <v>1</v>
      </c>
      <c r="AM1035" s="92">
        <v>0</v>
      </c>
      <c r="AN1035" s="79" t="s">
        <v>80</v>
      </c>
      <c r="AO1035" s="75">
        <v>1</v>
      </c>
      <c r="AP1035" s="75" t="s">
        <v>83</v>
      </c>
      <c r="AQ1035" s="122">
        <v>1</v>
      </c>
      <c r="AR1035" s="515" t="s">
        <v>10</v>
      </c>
      <c r="AS1035" s="95">
        <v>0</v>
      </c>
      <c r="AT1035" s="75">
        <v>0</v>
      </c>
      <c r="AU1035" s="75">
        <v>0</v>
      </c>
      <c r="AV1035" s="75">
        <v>0</v>
      </c>
      <c r="AW1035" s="123">
        <v>0</v>
      </c>
      <c r="AX1035" s="516" t="s">
        <v>3200</v>
      </c>
      <c r="AY1035" s="75">
        <v>1</v>
      </c>
      <c r="AZ1035" s="77" t="s">
        <v>131</v>
      </c>
      <c r="BA1035" s="78" t="s">
        <v>131</v>
      </c>
      <c r="BB1035" s="78" t="s">
        <v>131</v>
      </c>
      <c r="BC1035" s="78" t="s">
        <v>131</v>
      </c>
      <c r="BD1035" s="78" t="s">
        <v>131</v>
      </c>
      <c r="BE1035" s="78" t="s">
        <v>131</v>
      </c>
      <c r="BF1035" s="78" t="s">
        <v>131</v>
      </c>
      <c r="BG1035" s="78" t="s">
        <v>132</v>
      </c>
      <c r="BH1035" s="75" t="s">
        <v>5970</v>
      </c>
      <c r="BI1035" s="295" t="s">
        <v>16</v>
      </c>
      <c r="BJ1035" s="546">
        <v>1</v>
      </c>
      <c r="BK1035" s="294">
        <v>1</v>
      </c>
      <c r="BL1035" s="157">
        <v>1</v>
      </c>
      <c r="BM1035" s="548" t="s">
        <v>1340</v>
      </c>
      <c r="BN1035" s="548" t="s">
        <v>4158</v>
      </c>
      <c r="BO1035" s="157" t="s">
        <v>4483</v>
      </c>
      <c r="BP1035" s="548" t="s">
        <v>2321</v>
      </c>
      <c r="BQ1035" s="157" t="s">
        <v>4460</v>
      </c>
      <c r="BR1035" s="157"/>
    </row>
    <row r="1036" spans="1:70" x14ac:dyDescent="0.25">
      <c r="A1036" s="19" t="s">
        <v>3686</v>
      </c>
      <c r="B1036" s="37" t="s">
        <v>3201</v>
      </c>
      <c r="C1036" s="90">
        <v>45084.768136574072</v>
      </c>
      <c r="D1036" s="114">
        <v>45084.518136574072</v>
      </c>
      <c r="E1036" s="38">
        <v>45084</v>
      </c>
      <c r="F1036" s="91">
        <v>2023</v>
      </c>
      <c r="G1036" s="93">
        <v>6</v>
      </c>
      <c r="H1036" s="37" t="s">
        <v>2548</v>
      </c>
      <c r="I1036" s="37"/>
      <c r="J1036" s="103">
        <v>-91.071249211513177</v>
      </c>
      <c r="K1036" s="40">
        <v>44.183150810997255</v>
      </c>
      <c r="L1036" s="74"/>
      <c r="M1036" s="272" t="s">
        <v>3202</v>
      </c>
      <c r="N1036" s="74">
        <v>1</v>
      </c>
      <c r="O1036" s="94"/>
      <c r="P1036" s="118">
        <v>1</v>
      </c>
      <c r="Q1036" s="510">
        <v>120</v>
      </c>
      <c r="R1036" s="513">
        <v>180</v>
      </c>
      <c r="S1036" s="41"/>
      <c r="T1036" s="40"/>
      <c r="U1036" s="40">
        <v>7</v>
      </c>
      <c r="V1036" s="119">
        <v>1</v>
      </c>
      <c r="W1036" s="40">
        <v>100</v>
      </c>
      <c r="X1036" s="119">
        <v>1</v>
      </c>
      <c r="Y1036" s="40">
        <v>60</v>
      </c>
      <c r="Z1036" s="119">
        <v>1</v>
      </c>
      <c r="AA1036" s="368">
        <v>0</v>
      </c>
      <c r="AB1036" s="535">
        <v>0</v>
      </c>
      <c r="AC1036" s="39" t="s">
        <v>160</v>
      </c>
      <c r="AD1036" s="75" t="s">
        <v>7</v>
      </c>
      <c r="AE1036" s="95">
        <v>1</v>
      </c>
      <c r="AF1036" s="75">
        <v>0</v>
      </c>
      <c r="AG1036" s="75">
        <v>0</v>
      </c>
      <c r="AH1036" s="75">
        <v>0</v>
      </c>
      <c r="AI1036" s="75">
        <v>0</v>
      </c>
      <c r="AJ1036" s="75">
        <v>0</v>
      </c>
      <c r="AK1036" s="75">
        <v>0</v>
      </c>
      <c r="AL1036" s="95">
        <v>0</v>
      </c>
      <c r="AM1036" s="92">
        <v>0</v>
      </c>
      <c r="AN1036" s="79" t="s">
        <v>80</v>
      </c>
      <c r="AO1036" s="75">
        <v>1</v>
      </c>
      <c r="AP1036" s="75" t="s">
        <v>83</v>
      </c>
      <c r="AQ1036" s="122">
        <v>1</v>
      </c>
      <c r="AR1036" s="515" t="s">
        <v>10</v>
      </c>
      <c r="AS1036" s="95">
        <v>0</v>
      </c>
      <c r="AT1036" s="75">
        <v>0</v>
      </c>
      <c r="AU1036" s="75">
        <v>0</v>
      </c>
      <c r="AV1036" s="75">
        <v>0</v>
      </c>
      <c r="AW1036" s="123">
        <v>0</v>
      </c>
      <c r="AX1036" s="516"/>
      <c r="AY1036" s="75">
        <v>0</v>
      </c>
      <c r="AZ1036" s="77" t="s">
        <v>132</v>
      </c>
      <c r="BA1036" s="78" t="s">
        <v>131</v>
      </c>
      <c r="BB1036" s="78" t="s">
        <v>131</v>
      </c>
      <c r="BC1036" s="78" t="s">
        <v>131</v>
      </c>
      <c r="BD1036" s="78" t="s">
        <v>131</v>
      </c>
      <c r="BE1036" s="78" t="s">
        <v>131</v>
      </c>
      <c r="BF1036" s="78" t="s">
        <v>131</v>
      </c>
      <c r="BG1036" s="78" t="s">
        <v>131</v>
      </c>
      <c r="BH1036" s="75" t="s">
        <v>5970</v>
      </c>
      <c r="BI1036" s="295">
        <v>0</v>
      </c>
      <c r="BJ1036" s="546">
        <v>1</v>
      </c>
      <c r="BK1036" s="294">
        <v>1</v>
      </c>
      <c r="BL1036" s="157">
        <v>1</v>
      </c>
      <c r="BM1036" s="548" t="s">
        <v>1342</v>
      </c>
      <c r="BN1036" s="548" t="s">
        <v>4158</v>
      </c>
      <c r="BO1036" s="157" t="s">
        <v>4582</v>
      </c>
      <c r="BP1036" s="548" t="s">
        <v>4000</v>
      </c>
      <c r="BQ1036" s="157" t="s">
        <v>4449</v>
      </c>
      <c r="BR1036" s="157"/>
    </row>
    <row r="1037" spans="1:70" x14ac:dyDescent="0.25">
      <c r="A1037" s="19" t="s">
        <v>3686</v>
      </c>
      <c r="B1037" s="37" t="s">
        <v>3203</v>
      </c>
      <c r="C1037" s="90">
        <v>45084.758680555555</v>
      </c>
      <c r="D1037" s="114">
        <v>45084.508680555555</v>
      </c>
      <c r="E1037" s="38">
        <v>45084</v>
      </c>
      <c r="F1037" s="91">
        <v>2023</v>
      </c>
      <c r="G1037" s="93">
        <v>6</v>
      </c>
      <c r="H1037" s="37" t="s">
        <v>188</v>
      </c>
      <c r="I1037" s="37"/>
      <c r="J1037" s="103">
        <v>-91.0489812</v>
      </c>
      <c r="K1037" s="40">
        <v>44.283708500000003</v>
      </c>
      <c r="L1037" s="74"/>
      <c r="M1037" s="272" t="s">
        <v>3204</v>
      </c>
      <c r="N1037" s="74">
        <v>1</v>
      </c>
      <c r="O1037" s="94"/>
      <c r="P1037" s="118">
        <v>1</v>
      </c>
      <c r="Q1037" s="510">
        <v>0</v>
      </c>
      <c r="R1037" s="513">
        <v>60</v>
      </c>
      <c r="S1037" s="41"/>
      <c r="T1037" s="40"/>
      <c r="U1037" s="40">
        <v>6.5</v>
      </c>
      <c r="V1037" s="119">
        <v>1</v>
      </c>
      <c r="W1037" s="40">
        <v>100</v>
      </c>
      <c r="X1037" s="119">
        <v>1</v>
      </c>
      <c r="Y1037" s="40">
        <v>66</v>
      </c>
      <c r="Z1037" s="119">
        <v>1</v>
      </c>
      <c r="AA1037" s="368">
        <v>0</v>
      </c>
      <c r="AB1037" s="535">
        <v>2</v>
      </c>
      <c r="AC1037" s="39" t="s">
        <v>160</v>
      </c>
      <c r="AD1037" s="75" t="s">
        <v>10</v>
      </c>
      <c r="AE1037" s="95">
        <v>0</v>
      </c>
      <c r="AF1037" s="75">
        <v>0</v>
      </c>
      <c r="AG1037" s="75">
        <v>0</v>
      </c>
      <c r="AH1037" s="75">
        <v>0</v>
      </c>
      <c r="AI1037" s="75">
        <v>0</v>
      </c>
      <c r="AJ1037" s="75">
        <v>0</v>
      </c>
      <c r="AK1037" s="75">
        <v>0</v>
      </c>
      <c r="AL1037" s="95">
        <v>1</v>
      </c>
      <c r="AM1037" s="92">
        <v>0</v>
      </c>
      <c r="AN1037" s="79" t="s">
        <v>80</v>
      </c>
      <c r="AO1037" s="75">
        <v>1</v>
      </c>
      <c r="AP1037" s="75" t="s">
        <v>84</v>
      </c>
      <c r="AQ1037" s="122">
        <v>1</v>
      </c>
      <c r="AR1037" s="515" t="s">
        <v>10</v>
      </c>
      <c r="AS1037" s="95">
        <v>0</v>
      </c>
      <c r="AT1037" s="75">
        <v>0</v>
      </c>
      <c r="AU1037" s="75">
        <v>0</v>
      </c>
      <c r="AV1037" s="75">
        <v>0</v>
      </c>
      <c r="AW1037" s="123">
        <v>0</v>
      </c>
      <c r="AX1037" s="516" t="s">
        <v>3205</v>
      </c>
      <c r="AY1037" s="75">
        <v>1</v>
      </c>
      <c r="AZ1037" s="77" t="s">
        <v>131</v>
      </c>
      <c r="BA1037" s="78" t="s">
        <v>131</v>
      </c>
      <c r="BB1037" s="78" t="s">
        <v>131</v>
      </c>
      <c r="BC1037" s="78" t="s">
        <v>131</v>
      </c>
      <c r="BD1037" s="78" t="s">
        <v>131</v>
      </c>
      <c r="BE1037" s="78" t="s">
        <v>131</v>
      </c>
      <c r="BF1037" s="78" t="s">
        <v>131</v>
      </c>
      <c r="BG1037" s="78" t="s">
        <v>132</v>
      </c>
      <c r="BH1037" s="75" t="s">
        <v>5970</v>
      </c>
      <c r="BI1037" s="295" t="s">
        <v>2321</v>
      </c>
      <c r="BJ1037" s="546">
        <v>1</v>
      </c>
      <c r="BK1037" s="294">
        <v>1</v>
      </c>
      <c r="BL1037" s="157">
        <v>1</v>
      </c>
      <c r="BM1037" s="548" t="s">
        <v>1340</v>
      </c>
      <c r="BN1037" s="548" t="s">
        <v>4158</v>
      </c>
      <c r="BO1037" s="157" t="s">
        <v>4483</v>
      </c>
      <c r="BP1037" s="548" t="s">
        <v>2321</v>
      </c>
      <c r="BQ1037" s="157" t="s">
        <v>4460</v>
      </c>
      <c r="BR1037" s="157"/>
    </row>
    <row r="1038" spans="1:70" x14ac:dyDescent="0.25">
      <c r="A1038" s="19" t="s">
        <v>3686</v>
      </c>
      <c r="B1038" s="37" t="s">
        <v>3206</v>
      </c>
      <c r="C1038" s="90">
        <v>45084.736655092594</v>
      </c>
      <c r="D1038" s="114">
        <v>45084.486655092594</v>
      </c>
      <c r="E1038" s="38">
        <v>45084</v>
      </c>
      <c r="F1038" s="91">
        <v>2023</v>
      </c>
      <c r="G1038" s="93">
        <v>6</v>
      </c>
      <c r="H1038" s="37" t="s">
        <v>2475</v>
      </c>
      <c r="I1038" s="37"/>
      <c r="J1038" s="103">
        <v>-89.875339464743973</v>
      </c>
      <c r="K1038" s="40">
        <v>42.962583886251778</v>
      </c>
      <c r="L1038" s="74"/>
      <c r="M1038" s="272" t="s">
        <v>3207</v>
      </c>
      <c r="N1038" s="74">
        <v>1</v>
      </c>
      <c r="O1038" s="94"/>
      <c r="P1038" s="118">
        <v>0</v>
      </c>
      <c r="Q1038" s="510"/>
      <c r="R1038" s="513"/>
      <c r="S1038" s="41"/>
      <c r="T1038" s="40"/>
      <c r="U1038" s="40"/>
      <c r="V1038" s="119">
        <v>1</v>
      </c>
      <c r="W1038" s="40">
        <v>100</v>
      </c>
      <c r="X1038" s="119">
        <v>1</v>
      </c>
      <c r="Y1038" s="40">
        <v>62</v>
      </c>
      <c r="Z1038" s="119">
        <v>0</v>
      </c>
      <c r="AA1038" s="368" t="s">
        <v>16</v>
      </c>
      <c r="AB1038" s="535" t="s">
        <v>16</v>
      </c>
      <c r="AC1038" s="39" t="s">
        <v>160</v>
      </c>
      <c r="AD1038" s="75" t="s">
        <v>10</v>
      </c>
      <c r="AE1038" s="95">
        <v>0</v>
      </c>
      <c r="AF1038" s="75">
        <v>0</v>
      </c>
      <c r="AG1038" s="75">
        <v>0</v>
      </c>
      <c r="AH1038" s="75">
        <v>0</v>
      </c>
      <c r="AI1038" s="75">
        <v>0</v>
      </c>
      <c r="AJ1038" s="75">
        <v>0</v>
      </c>
      <c r="AK1038" s="75">
        <v>0</v>
      </c>
      <c r="AL1038" s="95">
        <v>1</v>
      </c>
      <c r="AM1038" s="92">
        <v>0</v>
      </c>
      <c r="AN1038" s="79" t="s">
        <v>81</v>
      </c>
      <c r="AO1038" s="75">
        <v>1</v>
      </c>
      <c r="AP1038" s="75" t="s">
        <v>84</v>
      </c>
      <c r="AQ1038" s="122">
        <v>1</v>
      </c>
      <c r="AR1038" s="515" t="s">
        <v>10</v>
      </c>
      <c r="AS1038" s="95">
        <v>0</v>
      </c>
      <c r="AT1038" s="75">
        <v>0</v>
      </c>
      <c r="AU1038" s="75">
        <v>0</v>
      </c>
      <c r="AV1038" s="75">
        <v>0</v>
      </c>
      <c r="AW1038" s="123">
        <v>0</v>
      </c>
      <c r="AX1038" s="516"/>
      <c r="AY1038" s="75">
        <v>0</v>
      </c>
      <c r="AZ1038" s="77" t="s">
        <v>131</v>
      </c>
      <c r="BA1038" s="78" t="s">
        <v>131</v>
      </c>
      <c r="BB1038" s="78" t="s">
        <v>131</v>
      </c>
      <c r="BC1038" s="78" t="s">
        <v>131</v>
      </c>
      <c r="BD1038" s="78" t="s">
        <v>131</v>
      </c>
      <c r="BE1038" s="78" t="s">
        <v>131</v>
      </c>
      <c r="BF1038" s="78" t="s">
        <v>131</v>
      </c>
      <c r="BG1038" s="78" t="s">
        <v>132</v>
      </c>
      <c r="BH1038" s="75" t="s">
        <v>5970</v>
      </c>
      <c r="BI1038" s="295" t="s">
        <v>4045</v>
      </c>
      <c r="BJ1038" s="546">
        <v>1</v>
      </c>
      <c r="BK1038" s="294" t="s">
        <v>16</v>
      </c>
      <c r="BL1038" s="157" t="s">
        <v>16</v>
      </c>
      <c r="BM1038" s="548" t="s">
        <v>1345</v>
      </c>
      <c r="BN1038" s="548" t="s">
        <v>4162</v>
      </c>
      <c r="BO1038" s="157" t="s">
        <v>4584</v>
      </c>
      <c r="BP1038" s="548" t="s">
        <v>4585</v>
      </c>
      <c r="BQ1038" s="157" t="s">
        <v>4281</v>
      </c>
      <c r="BR1038" s="157"/>
    </row>
    <row r="1039" spans="1:70" x14ac:dyDescent="0.25">
      <c r="A1039" s="19" t="s">
        <v>3686</v>
      </c>
      <c r="B1039" s="37" t="s">
        <v>3208</v>
      </c>
      <c r="C1039" s="90">
        <v>45084.70826388889</v>
      </c>
      <c r="D1039" s="114">
        <v>45084.45826388889</v>
      </c>
      <c r="E1039" s="38">
        <v>45084</v>
      </c>
      <c r="F1039" s="91">
        <v>2023</v>
      </c>
      <c r="G1039" s="93">
        <v>6</v>
      </c>
      <c r="H1039" s="37" t="s">
        <v>188</v>
      </c>
      <c r="I1039" s="37"/>
      <c r="J1039" s="103">
        <v>-91.009014100000002</v>
      </c>
      <c r="K1039" s="40">
        <v>44.284617500000003</v>
      </c>
      <c r="L1039" s="74"/>
      <c r="M1039" s="272" t="s">
        <v>3209</v>
      </c>
      <c r="N1039" s="74">
        <v>1</v>
      </c>
      <c r="O1039" s="94"/>
      <c r="P1039" s="118">
        <v>1</v>
      </c>
      <c r="Q1039" s="510">
        <v>0</v>
      </c>
      <c r="R1039" s="513">
        <v>30</v>
      </c>
      <c r="S1039" s="41"/>
      <c r="T1039" s="40"/>
      <c r="U1039" s="40">
        <v>6</v>
      </c>
      <c r="V1039" s="119">
        <v>1</v>
      </c>
      <c r="W1039" s="40">
        <v>0</v>
      </c>
      <c r="X1039" s="119">
        <v>1</v>
      </c>
      <c r="Y1039" s="40">
        <v>57</v>
      </c>
      <c r="Z1039" s="119">
        <v>1</v>
      </c>
      <c r="AA1039" s="368">
        <v>0</v>
      </c>
      <c r="AB1039" s="535">
        <v>0</v>
      </c>
      <c r="AC1039" s="39" t="s">
        <v>160</v>
      </c>
      <c r="AD1039" s="75" t="s">
        <v>10</v>
      </c>
      <c r="AE1039" s="95">
        <v>0</v>
      </c>
      <c r="AF1039" s="75">
        <v>0</v>
      </c>
      <c r="AG1039" s="75">
        <v>0</v>
      </c>
      <c r="AH1039" s="75">
        <v>0</v>
      </c>
      <c r="AI1039" s="75">
        <v>0</v>
      </c>
      <c r="AJ1039" s="75">
        <v>0</v>
      </c>
      <c r="AK1039" s="75">
        <v>0</v>
      </c>
      <c r="AL1039" s="95">
        <v>1</v>
      </c>
      <c r="AM1039" s="92">
        <v>0</v>
      </c>
      <c r="AN1039" s="79" t="s">
        <v>80</v>
      </c>
      <c r="AO1039" s="75">
        <v>1</v>
      </c>
      <c r="AP1039" s="75" t="s">
        <v>83</v>
      </c>
      <c r="AQ1039" s="122">
        <v>1</v>
      </c>
      <c r="AR1039" s="515" t="s">
        <v>10</v>
      </c>
      <c r="AS1039" s="95">
        <v>0</v>
      </c>
      <c r="AT1039" s="75">
        <v>0</v>
      </c>
      <c r="AU1039" s="75">
        <v>0</v>
      </c>
      <c r="AV1039" s="75">
        <v>0</v>
      </c>
      <c r="AW1039" s="123">
        <v>0</v>
      </c>
      <c r="AX1039" s="516" t="s">
        <v>3210</v>
      </c>
      <c r="AY1039" s="75">
        <v>1</v>
      </c>
      <c r="AZ1039" s="77" t="s">
        <v>131</v>
      </c>
      <c r="BA1039" s="78" t="s">
        <v>131</v>
      </c>
      <c r="BB1039" s="78" t="s">
        <v>131</v>
      </c>
      <c r="BC1039" s="78" t="s">
        <v>131</v>
      </c>
      <c r="BD1039" s="78" t="s">
        <v>131</v>
      </c>
      <c r="BE1039" s="78" t="s">
        <v>131</v>
      </c>
      <c r="BF1039" s="78" t="s">
        <v>131</v>
      </c>
      <c r="BG1039" s="78" t="s">
        <v>132</v>
      </c>
      <c r="BH1039" s="75" t="s">
        <v>5970</v>
      </c>
      <c r="BI1039" s="295">
        <v>0</v>
      </c>
      <c r="BJ1039" s="546" t="s">
        <v>16</v>
      </c>
      <c r="BK1039" s="294" t="s">
        <v>16</v>
      </c>
      <c r="BL1039" s="157" t="s">
        <v>16</v>
      </c>
      <c r="BM1039" s="548" t="s">
        <v>1340</v>
      </c>
      <c r="BN1039" s="548" t="s">
        <v>4158</v>
      </c>
      <c r="BO1039" s="157" t="s">
        <v>4483</v>
      </c>
      <c r="BP1039" s="548" t="s">
        <v>2321</v>
      </c>
      <c r="BQ1039" s="157" t="s">
        <v>4460</v>
      </c>
      <c r="BR1039" s="157"/>
    </row>
    <row r="1040" spans="1:70" x14ac:dyDescent="0.25">
      <c r="A1040" s="19" t="s">
        <v>3686</v>
      </c>
      <c r="B1040" s="37" t="s">
        <v>3211</v>
      </c>
      <c r="C1040" s="90">
        <v>45084.688379629632</v>
      </c>
      <c r="D1040" s="114">
        <v>45084.438379629632</v>
      </c>
      <c r="E1040" s="38">
        <v>45084</v>
      </c>
      <c r="F1040" s="91">
        <v>2023</v>
      </c>
      <c r="G1040" s="93">
        <v>6</v>
      </c>
      <c r="H1040" s="37" t="s">
        <v>188</v>
      </c>
      <c r="I1040" s="37"/>
      <c r="J1040" s="103">
        <v>-91.034114799999998</v>
      </c>
      <c r="K1040" s="40">
        <v>44.2873947</v>
      </c>
      <c r="L1040" s="74"/>
      <c r="M1040" s="272" t="s">
        <v>3212</v>
      </c>
      <c r="N1040" s="74">
        <v>1</v>
      </c>
      <c r="O1040" s="94"/>
      <c r="P1040" s="118">
        <v>1</v>
      </c>
      <c r="Q1040" s="510">
        <v>0</v>
      </c>
      <c r="R1040" s="513">
        <v>60</v>
      </c>
      <c r="S1040" s="41"/>
      <c r="T1040" s="40"/>
      <c r="U1040" s="40">
        <v>6</v>
      </c>
      <c r="V1040" s="119">
        <v>1</v>
      </c>
      <c r="W1040" s="40">
        <v>0</v>
      </c>
      <c r="X1040" s="119">
        <v>1</v>
      </c>
      <c r="Y1040" s="40">
        <v>57</v>
      </c>
      <c r="Z1040" s="119">
        <v>1</v>
      </c>
      <c r="AA1040" s="368">
        <v>0</v>
      </c>
      <c r="AB1040" s="535">
        <v>2</v>
      </c>
      <c r="AC1040" s="39" t="s">
        <v>160</v>
      </c>
      <c r="AD1040" s="75" t="s">
        <v>10</v>
      </c>
      <c r="AE1040" s="95">
        <v>0</v>
      </c>
      <c r="AF1040" s="75">
        <v>0</v>
      </c>
      <c r="AG1040" s="75">
        <v>0</v>
      </c>
      <c r="AH1040" s="75">
        <v>0</v>
      </c>
      <c r="AI1040" s="75">
        <v>0</v>
      </c>
      <c r="AJ1040" s="75">
        <v>0</v>
      </c>
      <c r="AK1040" s="75">
        <v>0</v>
      </c>
      <c r="AL1040" s="95">
        <v>1</v>
      </c>
      <c r="AM1040" s="92">
        <v>0</v>
      </c>
      <c r="AN1040" s="79" t="s">
        <v>80</v>
      </c>
      <c r="AO1040" s="75">
        <v>1</v>
      </c>
      <c r="AP1040" s="75" t="s">
        <v>83</v>
      </c>
      <c r="AQ1040" s="122">
        <v>1</v>
      </c>
      <c r="AR1040" s="515" t="s">
        <v>10</v>
      </c>
      <c r="AS1040" s="95">
        <v>0</v>
      </c>
      <c r="AT1040" s="75">
        <v>0</v>
      </c>
      <c r="AU1040" s="75">
        <v>0</v>
      </c>
      <c r="AV1040" s="75">
        <v>0</v>
      </c>
      <c r="AW1040" s="123">
        <v>0</v>
      </c>
      <c r="AX1040" s="516" t="s">
        <v>3213</v>
      </c>
      <c r="AY1040" s="75">
        <v>1</v>
      </c>
      <c r="AZ1040" s="77" t="s">
        <v>131</v>
      </c>
      <c r="BA1040" s="78" t="s">
        <v>131</v>
      </c>
      <c r="BB1040" s="78" t="s">
        <v>131</v>
      </c>
      <c r="BC1040" s="78" t="s">
        <v>131</v>
      </c>
      <c r="BD1040" s="78" t="s">
        <v>131</v>
      </c>
      <c r="BE1040" s="78" t="s">
        <v>131</v>
      </c>
      <c r="BF1040" s="78" t="s">
        <v>131</v>
      </c>
      <c r="BG1040" s="78" t="s">
        <v>132</v>
      </c>
      <c r="BH1040" s="75" t="s">
        <v>5970</v>
      </c>
      <c r="BI1040" s="295">
        <v>0</v>
      </c>
      <c r="BJ1040" s="546">
        <v>1</v>
      </c>
      <c r="BK1040" s="294">
        <v>1</v>
      </c>
      <c r="BL1040" s="157">
        <v>1</v>
      </c>
      <c r="BM1040" s="548" t="s">
        <v>1340</v>
      </c>
      <c r="BN1040" s="548" t="s">
        <v>4158</v>
      </c>
      <c r="BO1040" s="157" t="s">
        <v>4483</v>
      </c>
      <c r="BP1040" s="548" t="s">
        <v>2321</v>
      </c>
      <c r="BQ1040" s="157" t="s">
        <v>4460</v>
      </c>
      <c r="BR1040" s="157"/>
    </row>
    <row r="1041" spans="1:70" x14ac:dyDescent="0.25">
      <c r="A1041" s="19" t="s">
        <v>3686</v>
      </c>
      <c r="B1041" s="37" t="s">
        <v>3214</v>
      </c>
      <c r="C1041" s="90">
        <v>45084.667407407411</v>
      </c>
      <c r="D1041" s="114">
        <v>45084.417407407411</v>
      </c>
      <c r="E1041" s="38">
        <v>45084</v>
      </c>
      <c r="F1041" s="91">
        <v>2023</v>
      </c>
      <c r="G1041" s="93">
        <v>6</v>
      </c>
      <c r="H1041" s="37" t="s">
        <v>188</v>
      </c>
      <c r="I1041" s="37"/>
      <c r="J1041" s="103">
        <v>-91.008753499999997</v>
      </c>
      <c r="K1041" s="40">
        <v>44.2942976</v>
      </c>
      <c r="L1041" s="74"/>
      <c r="M1041" s="272" t="s">
        <v>3215</v>
      </c>
      <c r="N1041" s="74">
        <v>1</v>
      </c>
      <c r="O1041" s="94"/>
      <c r="P1041" s="118">
        <v>1</v>
      </c>
      <c r="Q1041" s="510">
        <v>0</v>
      </c>
      <c r="R1041" s="513">
        <v>30</v>
      </c>
      <c r="S1041" s="41"/>
      <c r="T1041" s="40"/>
      <c r="U1041" s="40">
        <v>6</v>
      </c>
      <c r="V1041" s="119">
        <v>1</v>
      </c>
      <c r="W1041" s="40">
        <v>0</v>
      </c>
      <c r="X1041" s="119">
        <v>1</v>
      </c>
      <c r="Y1041" s="40">
        <v>58</v>
      </c>
      <c r="Z1041" s="119">
        <v>1</v>
      </c>
      <c r="AA1041" s="368">
        <v>0</v>
      </c>
      <c r="AB1041" s="535">
        <v>1</v>
      </c>
      <c r="AC1041" s="39" t="s">
        <v>160</v>
      </c>
      <c r="AD1041" s="75" t="s">
        <v>10</v>
      </c>
      <c r="AE1041" s="95">
        <v>0</v>
      </c>
      <c r="AF1041" s="75">
        <v>0</v>
      </c>
      <c r="AG1041" s="75">
        <v>0</v>
      </c>
      <c r="AH1041" s="75">
        <v>0</v>
      </c>
      <c r="AI1041" s="75">
        <v>0</v>
      </c>
      <c r="AJ1041" s="75">
        <v>0</v>
      </c>
      <c r="AK1041" s="75">
        <v>0</v>
      </c>
      <c r="AL1041" s="95">
        <v>1</v>
      </c>
      <c r="AM1041" s="92">
        <v>0</v>
      </c>
      <c r="AN1041" s="79" t="s">
        <v>80</v>
      </c>
      <c r="AO1041" s="75">
        <v>1</v>
      </c>
      <c r="AP1041" s="75" t="s">
        <v>83</v>
      </c>
      <c r="AQ1041" s="122">
        <v>1</v>
      </c>
      <c r="AR1041" s="515" t="s">
        <v>10</v>
      </c>
      <c r="AS1041" s="95">
        <v>0</v>
      </c>
      <c r="AT1041" s="75">
        <v>0</v>
      </c>
      <c r="AU1041" s="75">
        <v>0</v>
      </c>
      <c r="AV1041" s="75">
        <v>0</v>
      </c>
      <c r="AW1041" s="123">
        <v>0</v>
      </c>
      <c r="AX1041" s="516" t="s">
        <v>3216</v>
      </c>
      <c r="AY1041" s="75">
        <v>1</v>
      </c>
      <c r="AZ1041" s="77" t="s">
        <v>131</v>
      </c>
      <c r="BA1041" s="78" t="s">
        <v>131</v>
      </c>
      <c r="BB1041" s="78" t="s">
        <v>131</v>
      </c>
      <c r="BC1041" s="78" t="s">
        <v>131</v>
      </c>
      <c r="BD1041" s="78" t="s">
        <v>131</v>
      </c>
      <c r="BE1041" s="78" t="s">
        <v>131</v>
      </c>
      <c r="BF1041" s="78" t="s">
        <v>131</v>
      </c>
      <c r="BG1041" s="78" t="s">
        <v>132</v>
      </c>
      <c r="BH1041" s="75" t="s">
        <v>5970</v>
      </c>
      <c r="BI1041" s="295">
        <v>0</v>
      </c>
      <c r="BJ1041" s="546">
        <v>1</v>
      </c>
      <c r="BK1041" s="294">
        <v>1</v>
      </c>
      <c r="BL1041" s="157">
        <v>1</v>
      </c>
      <c r="BM1041" s="548" t="s">
        <v>1340</v>
      </c>
      <c r="BN1041" s="548" t="s">
        <v>4158</v>
      </c>
      <c r="BO1041" s="157" t="s">
        <v>4483</v>
      </c>
      <c r="BP1041" s="548" t="s">
        <v>2321</v>
      </c>
      <c r="BQ1041" s="157" t="s">
        <v>4460</v>
      </c>
      <c r="BR1041" s="157"/>
    </row>
    <row r="1042" spans="1:70" x14ac:dyDescent="0.25">
      <c r="A1042" s="19" t="s">
        <v>3686</v>
      </c>
      <c r="B1042" s="37" t="s">
        <v>3217</v>
      </c>
      <c r="C1042" s="90">
        <v>45084.659629629627</v>
      </c>
      <c r="D1042" s="114">
        <v>45084.409629629627</v>
      </c>
      <c r="E1042" s="38">
        <v>45084</v>
      </c>
      <c r="F1042" s="91">
        <v>2023</v>
      </c>
      <c r="G1042" s="93">
        <v>6</v>
      </c>
      <c r="H1042" s="37" t="s">
        <v>188</v>
      </c>
      <c r="I1042" s="37"/>
      <c r="J1042" s="103">
        <v>-91.008654500000006</v>
      </c>
      <c r="K1042" s="40">
        <v>44.295032800000001</v>
      </c>
      <c r="L1042" s="74"/>
      <c r="M1042" s="272" t="s">
        <v>3218</v>
      </c>
      <c r="N1042" s="74">
        <v>1</v>
      </c>
      <c r="O1042" s="94"/>
      <c r="P1042" s="118">
        <v>1</v>
      </c>
      <c r="Q1042" s="510">
        <v>40</v>
      </c>
      <c r="R1042" s="513">
        <v>60</v>
      </c>
      <c r="S1042" s="41"/>
      <c r="T1042" s="40"/>
      <c r="U1042" s="40">
        <v>7</v>
      </c>
      <c r="V1042" s="119">
        <v>1</v>
      </c>
      <c r="W1042" s="40">
        <v>0</v>
      </c>
      <c r="X1042" s="119">
        <v>1</v>
      </c>
      <c r="Y1042" s="40">
        <v>59</v>
      </c>
      <c r="Z1042" s="119">
        <v>1</v>
      </c>
      <c r="AA1042" s="368">
        <v>0</v>
      </c>
      <c r="AB1042" s="535">
        <v>0</v>
      </c>
      <c r="AC1042" s="39" t="s">
        <v>160</v>
      </c>
      <c r="AD1042" s="75" t="s">
        <v>10</v>
      </c>
      <c r="AE1042" s="95">
        <v>0</v>
      </c>
      <c r="AF1042" s="75">
        <v>0</v>
      </c>
      <c r="AG1042" s="75">
        <v>0</v>
      </c>
      <c r="AH1042" s="75">
        <v>0</v>
      </c>
      <c r="AI1042" s="75">
        <v>0</v>
      </c>
      <c r="AJ1042" s="75">
        <v>0</v>
      </c>
      <c r="AK1042" s="75">
        <v>0</v>
      </c>
      <c r="AL1042" s="95">
        <v>1</v>
      </c>
      <c r="AM1042" s="92">
        <v>0</v>
      </c>
      <c r="AN1042" s="79" t="s">
        <v>80</v>
      </c>
      <c r="AO1042" s="75">
        <v>1</v>
      </c>
      <c r="AP1042" s="75" t="s">
        <v>83</v>
      </c>
      <c r="AQ1042" s="122">
        <v>1</v>
      </c>
      <c r="AR1042" s="515" t="s">
        <v>10</v>
      </c>
      <c r="AS1042" s="95">
        <v>0</v>
      </c>
      <c r="AT1042" s="75">
        <v>0</v>
      </c>
      <c r="AU1042" s="75">
        <v>0</v>
      </c>
      <c r="AV1042" s="75">
        <v>0</v>
      </c>
      <c r="AW1042" s="123">
        <v>0</v>
      </c>
      <c r="AX1042" s="516" t="s">
        <v>3219</v>
      </c>
      <c r="AY1042" s="75">
        <v>1</v>
      </c>
      <c r="AZ1042" s="77" t="s">
        <v>131</v>
      </c>
      <c r="BA1042" s="78" t="s">
        <v>131</v>
      </c>
      <c r="BB1042" s="78" t="s">
        <v>131</v>
      </c>
      <c r="BC1042" s="78" t="s">
        <v>131</v>
      </c>
      <c r="BD1042" s="78" t="s">
        <v>131</v>
      </c>
      <c r="BE1042" s="78" t="s">
        <v>131</v>
      </c>
      <c r="BF1042" s="78" t="s">
        <v>131</v>
      </c>
      <c r="BG1042" s="78" t="s">
        <v>132</v>
      </c>
      <c r="BH1042" s="75" t="s">
        <v>5970</v>
      </c>
      <c r="BI1042" s="295">
        <v>0</v>
      </c>
      <c r="BJ1042" s="546">
        <v>1</v>
      </c>
      <c r="BK1042" s="294">
        <v>1</v>
      </c>
      <c r="BL1042" s="157">
        <v>1</v>
      </c>
      <c r="BM1042" s="548" t="s">
        <v>1340</v>
      </c>
      <c r="BN1042" s="548" t="s">
        <v>4158</v>
      </c>
      <c r="BO1042" s="157" t="s">
        <v>4483</v>
      </c>
      <c r="BP1042" s="548" t="s">
        <v>2321</v>
      </c>
      <c r="BQ1042" s="157" t="s">
        <v>4460</v>
      </c>
      <c r="BR1042" s="157"/>
    </row>
    <row r="1043" spans="1:70" x14ac:dyDescent="0.25">
      <c r="A1043" s="19" t="s">
        <v>3686</v>
      </c>
      <c r="B1043" s="37" t="s">
        <v>3220</v>
      </c>
      <c r="C1043" s="90">
        <v>45084.630393518521</v>
      </c>
      <c r="D1043" s="114">
        <v>45084.380393518521</v>
      </c>
      <c r="E1043" s="38">
        <v>45084</v>
      </c>
      <c r="F1043" s="91">
        <v>2023</v>
      </c>
      <c r="G1043" s="93">
        <v>6</v>
      </c>
      <c r="H1043" s="37" t="s">
        <v>188</v>
      </c>
      <c r="I1043" s="37"/>
      <c r="J1043" s="103">
        <v>-91.003869100000003</v>
      </c>
      <c r="K1043" s="40">
        <v>44.295311900000002</v>
      </c>
      <c r="L1043" s="74"/>
      <c r="M1043" s="272" t="s">
        <v>3221</v>
      </c>
      <c r="N1043" s="74">
        <v>1</v>
      </c>
      <c r="O1043" s="94"/>
      <c r="P1043" s="118">
        <v>1</v>
      </c>
      <c r="Q1043" s="510">
        <v>40</v>
      </c>
      <c r="R1043" s="513">
        <v>30</v>
      </c>
      <c r="S1043" s="41"/>
      <c r="T1043" s="40"/>
      <c r="U1043" s="40">
        <v>6.5</v>
      </c>
      <c r="V1043" s="119">
        <v>1</v>
      </c>
      <c r="W1043" s="40">
        <v>0</v>
      </c>
      <c r="X1043" s="119">
        <v>1</v>
      </c>
      <c r="Y1043" s="40">
        <v>59</v>
      </c>
      <c r="Z1043" s="119">
        <v>1</v>
      </c>
      <c r="AA1043" s="368">
        <v>0</v>
      </c>
      <c r="AB1043" s="535">
        <v>1</v>
      </c>
      <c r="AC1043" s="39" t="s">
        <v>160</v>
      </c>
      <c r="AD1043" s="75" t="s">
        <v>10</v>
      </c>
      <c r="AE1043" s="95">
        <v>0</v>
      </c>
      <c r="AF1043" s="75">
        <v>0</v>
      </c>
      <c r="AG1043" s="75">
        <v>0</v>
      </c>
      <c r="AH1043" s="75">
        <v>0</v>
      </c>
      <c r="AI1043" s="75">
        <v>0</v>
      </c>
      <c r="AJ1043" s="75">
        <v>0</v>
      </c>
      <c r="AK1043" s="75">
        <v>0</v>
      </c>
      <c r="AL1043" s="95">
        <v>1</v>
      </c>
      <c r="AM1043" s="92">
        <v>0</v>
      </c>
      <c r="AN1043" s="79" t="s">
        <v>80</v>
      </c>
      <c r="AO1043" s="75">
        <v>1</v>
      </c>
      <c r="AP1043" s="75" t="s">
        <v>83</v>
      </c>
      <c r="AQ1043" s="122">
        <v>1</v>
      </c>
      <c r="AR1043" s="515" t="s">
        <v>10</v>
      </c>
      <c r="AS1043" s="95">
        <v>0</v>
      </c>
      <c r="AT1043" s="75">
        <v>0</v>
      </c>
      <c r="AU1043" s="75">
        <v>0</v>
      </c>
      <c r="AV1043" s="75">
        <v>0</v>
      </c>
      <c r="AW1043" s="123">
        <v>0</v>
      </c>
      <c r="AX1043" s="516"/>
      <c r="AY1043" s="75">
        <v>0</v>
      </c>
      <c r="AZ1043" s="77" t="s">
        <v>131</v>
      </c>
      <c r="BA1043" s="78" t="s">
        <v>131</v>
      </c>
      <c r="BB1043" s="78" t="s">
        <v>131</v>
      </c>
      <c r="BC1043" s="78" t="s">
        <v>131</v>
      </c>
      <c r="BD1043" s="78" t="s">
        <v>131</v>
      </c>
      <c r="BE1043" s="78" t="s">
        <v>131</v>
      </c>
      <c r="BF1043" s="78" t="s">
        <v>131</v>
      </c>
      <c r="BG1043" s="78" t="s">
        <v>132</v>
      </c>
      <c r="BH1043" s="75" t="s">
        <v>5970</v>
      </c>
      <c r="BI1043" s="295">
        <v>0</v>
      </c>
      <c r="BJ1043" s="546">
        <v>1</v>
      </c>
      <c r="BK1043" s="294">
        <v>1</v>
      </c>
      <c r="BL1043" s="157">
        <v>1</v>
      </c>
      <c r="BM1043" s="548" t="s">
        <v>1340</v>
      </c>
      <c r="BN1043" s="548" t="s">
        <v>4158</v>
      </c>
      <c r="BO1043" s="157" t="s">
        <v>4483</v>
      </c>
      <c r="BP1043" s="548" t="s">
        <v>2321</v>
      </c>
      <c r="BQ1043" s="157" t="s">
        <v>4460</v>
      </c>
      <c r="BR1043" s="157"/>
    </row>
    <row r="1044" spans="1:70" x14ac:dyDescent="0.25">
      <c r="A1044" s="19" t="s">
        <v>3686</v>
      </c>
      <c r="B1044" s="37" t="s">
        <v>3222</v>
      </c>
      <c r="C1044" s="90">
        <v>45084.617407407408</v>
      </c>
      <c r="D1044" s="114">
        <v>45084.367407407408</v>
      </c>
      <c r="E1044" s="38">
        <v>45084</v>
      </c>
      <c r="F1044" s="91">
        <v>2023</v>
      </c>
      <c r="G1044" s="93">
        <v>6</v>
      </c>
      <c r="H1044" s="37" t="s">
        <v>1386</v>
      </c>
      <c r="I1044" s="37"/>
      <c r="J1044" s="103">
        <v>-91.813367600000007</v>
      </c>
      <c r="K1044" s="40">
        <v>43.597739900000001</v>
      </c>
      <c r="L1044" s="74"/>
      <c r="M1044" s="272" t="s">
        <v>16</v>
      </c>
      <c r="N1044" s="74">
        <v>0</v>
      </c>
      <c r="O1044" s="94"/>
      <c r="P1044" s="118">
        <v>1</v>
      </c>
      <c r="Q1044" s="510">
        <v>180</v>
      </c>
      <c r="R1044" s="513">
        <v>180</v>
      </c>
      <c r="S1044" s="41"/>
      <c r="T1044" s="40"/>
      <c r="U1044" s="40">
        <v>8</v>
      </c>
      <c r="V1044" s="119">
        <v>1</v>
      </c>
      <c r="W1044" s="40">
        <v>0</v>
      </c>
      <c r="X1044" s="119">
        <v>1</v>
      </c>
      <c r="Y1044" s="40">
        <v>57</v>
      </c>
      <c r="Z1044" s="119">
        <v>1</v>
      </c>
      <c r="AA1044" s="368">
        <v>0</v>
      </c>
      <c r="AB1044" s="535">
        <v>5</v>
      </c>
      <c r="AC1044" s="39"/>
      <c r="AD1044" s="75" t="s">
        <v>10</v>
      </c>
      <c r="AE1044" s="95">
        <v>0</v>
      </c>
      <c r="AF1044" s="75">
        <v>0</v>
      </c>
      <c r="AG1044" s="75">
        <v>0</v>
      </c>
      <c r="AH1044" s="75">
        <v>0</v>
      </c>
      <c r="AI1044" s="75">
        <v>0</v>
      </c>
      <c r="AJ1044" s="75">
        <v>0</v>
      </c>
      <c r="AK1044" s="75">
        <v>0</v>
      </c>
      <c r="AL1044" s="95">
        <v>1</v>
      </c>
      <c r="AM1044" s="92">
        <v>0</v>
      </c>
      <c r="AN1044" s="79" t="s">
        <v>80</v>
      </c>
      <c r="AO1044" s="75">
        <v>1</v>
      </c>
      <c r="AP1044" s="75" t="s">
        <v>83</v>
      </c>
      <c r="AQ1044" s="122">
        <v>1</v>
      </c>
      <c r="AR1044" s="515" t="s">
        <v>10</v>
      </c>
      <c r="AS1044" s="95">
        <v>0</v>
      </c>
      <c r="AT1044" s="75">
        <v>0</v>
      </c>
      <c r="AU1044" s="75">
        <v>0</v>
      </c>
      <c r="AV1044" s="75">
        <v>0</v>
      </c>
      <c r="AW1044" s="123">
        <v>0</v>
      </c>
      <c r="AX1044" s="516"/>
      <c r="AY1044" s="75">
        <v>0</v>
      </c>
      <c r="AZ1044" s="77" t="s">
        <v>131</v>
      </c>
      <c r="BA1044" s="78" t="s">
        <v>131</v>
      </c>
      <c r="BB1044" s="78" t="s">
        <v>131</v>
      </c>
      <c r="BC1044" s="78" t="s">
        <v>131</v>
      </c>
      <c r="BD1044" s="78" t="s">
        <v>131</v>
      </c>
      <c r="BE1044" s="78" t="s">
        <v>131</v>
      </c>
      <c r="BF1044" s="78" t="s">
        <v>131</v>
      </c>
      <c r="BG1044" s="78" t="s">
        <v>132</v>
      </c>
      <c r="BH1044" s="75" t="s">
        <v>5970</v>
      </c>
      <c r="BI1044" s="295" t="s">
        <v>2271</v>
      </c>
      <c r="BJ1044" s="546">
        <v>1</v>
      </c>
      <c r="BK1044" s="294">
        <v>1</v>
      </c>
      <c r="BL1044" s="157">
        <v>1</v>
      </c>
      <c r="BM1044" s="548" t="s">
        <v>1341</v>
      </c>
      <c r="BN1044" s="548" t="s">
        <v>1339</v>
      </c>
      <c r="BO1044" s="157" t="s">
        <v>4245</v>
      </c>
      <c r="BP1044" s="548" t="s">
        <v>2271</v>
      </c>
      <c r="BQ1044" s="157" t="s">
        <v>4232</v>
      </c>
      <c r="BR1044" s="157"/>
    </row>
    <row r="1045" spans="1:70" x14ac:dyDescent="0.25">
      <c r="A1045" s="19" t="s">
        <v>3686</v>
      </c>
      <c r="B1045" s="37" t="s">
        <v>3223</v>
      </c>
      <c r="C1045" s="90">
        <v>45084.594594907408</v>
      </c>
      <c r="D1045" s="114">
        <v>45084.344594907408</v>
      </c>
      <c r="E1045" s="38">
        <v>45084</v>
      </c>
      <c r="F1045" s="91">
        <v>2023</v>
      </c>
      <c r="G1045" s="93">
        <v>6</v>
      </c>
      <c r="H1045" s="37" t="s">
        <v>188</v>
      </c>
      <c r="I1045" s="37"/>
      <c r="J1045" s="103">
        <v>-90.963678599999994</v>
      </c>
      <c r="K1045" s="40">
        <v>44.284213200000003</v>
      </c>
      <c r="L1045" s="74"/>
      <c r="M1045" s="272" t="s">
        <v>3224</v>
      </c>
      <c r="N1045" s="74">
        <v>1</v>
      </c>
      <c r="O1045" s="94"/>
      <c r="P1045" s="118">
        <v>1</v>
      </c>
      <c r="Q1045" s="510">
        <v>0</v>
      </c>
      <c r="R1045" s="513">
        <v>30</v>
      </c>
      <c r="S1045" s="41"/>
      <c r="T1045" s="40"/>
      <c r="U1045" s="40">
        <v>6</v>
      </c>
      <c r="V1045" s="119">
        <v>1</v>
      </c>
      <c r="W1045" s="40">
        <v>200</v>
      </c>
      <c r="X1045" s="119">
        <v>1</v>
      </c>
      <c r="Y1045" s="40">
        <v>54</v>
      </c>
      <c r="Z1045" s="119">
        <v>1</v>
      </c>
      <c r="AA1045" s="368">
        <v>0</v>
      </c>
      <c r="AB1045" s="535">
        <v>2</v>
      </c>
      <c r="AC1045" s="39" t="s">
        <v>160</v>
      </c>
      <c r="AD1045" s="75" t="s">
        <v>7</v>
      </c>
      <c r="AE1045" s="95">
        <v>1</v>
      </c>
      <c r="AF1045" s="75">
        <v>0</v>
      </c>
      <c r="AG1045" s="75">
        <v>0</v>
      </c>
      <c r="AH1045" s="75">
        <v>0</v>
      </c>
      <c r="AI1045" s="75">
        <v>0</v>
      </c>
      <c r="AJ1045" s="75">
        <v>0</v>
      </c>
      <c r="AK1045" s="75">
        <v>0</v>
      </c>
      <c r="AL1045" s="95">
        <v>0</v>
      </c>
      <c r="AM1045" s="92">
        <v>0</v>
      </c>
      <c r="AN1045" s="79" t="s">
        <v>80</v>
      </c>
      <c r="AO1045" s="75">
        <v>1</v>
      </c>
      <c r="AP1045" s="75" t="s">
        <v>83</v>
      </c>
      <c r="AQ1045" s="122">
        <v>1</v>
      </c>
      <c r="AR1045" s="515" t="s">
        <v>10</v>
      </c>
      <c r="AS1045" s="95">
        <v>0</v>
      </c>
      <c r="AT1045" s="75">
        <v>0</v>
      </c>
      <c r="AU1045" s="75">
        <v>0</v>
      </c>
      <c r="AV1045" s="75">
        <v>0</v>
      </c>
      <c r="AW1045" s="123">
        <v>0</v>
      </c>
      <c r="AX1045" s="516" t="s">
        <v>3225</v>
      </c>
      <c r="AY1045" s="75">
        <v>1</v>
      </c>
      <c r="AZ1045" s="77" t="s">
        <v>132</v>
      </c>
      <c r="BA1045" s="78" t="s">
        <v>131</v>
      </c>
      <c r="BB1045" s="78" t="s">
        <v>131</v>
      </c>
      <c r="BC1045" s="78" t="s">
        <v>131</v>
      </c>
      <c r="BD1045" s="78" t="s">
        <v>131</v>
      </c>
      <c r="BE1045" s="78" t="s">
        <v>131</v>
      </c>
      <c r="BF1045" s="78" t="s">
        <v>131</v>
      </c>
      <c r="BG1045" s="78" t="s">
        <v>131</v>
      </c>
      <c r="BH1045" s="75" t="s">
        <v>5970</v>
      </c>
      <c r="BI1045" s="295">
        <v>0</v>
      </c>
      <c r="BJ1045" s="546" t="s">
        <v>16</v>
      </c>
      <c r="BK1045" s="294" t="s">
        <v>16</v>
      </c>
      <c r="BL1045" s="157" t="s">
        <v>16</v>
      </c>
      <c r="BM1045" s="548" t="s">
        <v>1340</v>
      </c>
      <c r="BN1045" s="548" t="s">
        <v>4158</v>
      </c>
      <c r="BO1045" s="157" t="s">
        <v>4586</v>
      </c>
      <c r="BP1045" s="548" t="s">
        <v>3997</v>
      </c>
      <c r="BQ1045" s="157" t="s">
        <v>4537</v>
      </c>
      <c r="BR1045" s="157"/>
    </row>
    <row r="1046" spans="1:70" x14ac:dyDescent="0.25">
      <c r="A1046" s="19" t="s">
        <v>3686</v>
      </c>
      <c r="B1046" s="37" t="s">
        <v>3226</v>
      </c>
      <c r="C1046" s="90">
        <v>45084.591192129628</v>
      </c>
      <c r="D1046" s="114">
        <v>45084.341192129628</v>
      </c>
      <c r="E1046" s="38">
        <v>45084</v>
      </c>
      <c r="F1046" s="91">
        <v>2023</v>
      </c>
      <c r="G1046" s="93">
        <v>6</v>
      </c>
      <c r="H1046" s="37" t="s">
        <v>2548</v>
      </c>
      <c r="I1046" s="37"/>
      <c r="J1046" s="103">
        <v>-91.029465861250841</v>
      </c>
      <c r="K1046" s="40">
        <v>44.205175423048658</v>
      </c>
      <c r="L1046" s="74"/>
      <c r="M1046" s="272" t="s">
        <v>3227</v>
      </c>
      <c r="N1046" s="74">
        <v>1</v>
      </c>
      <c r="O1046" s="94"/>
      <c r="P1046" s="118">
        <v>1</v>
      </c>
      <c r="Q1046" s="510">
        <v>80</v>
      </c>
      <c r="R1046" s="513">
        <v>180</v>
      </c>
      <c r="S1046" s="41"/>
      <c r="T1046" s="40"/>
      <c r="U1046" s="40">
        <v>6.5</v>
      </c>
      <c r="V1046" s="119">
        <v>1</v>
      </c>
      <c r="W1046" s="40">
        <v>100</v>
      </c>
      <c r="X1046" s="119">
        <v>1</v>
      </c>
      <c r="Y1046" s="40">
        <v>55</v>
      </c>
      <c r="Z1046" s="119">
        <v>1</v>
      </c>
      <c r="AA1046" s="368">
        <v>0</v>
      </c>
      <c r="AB1046" s="535">
        <v>0</v>
      </c>
      <c r="AC1046" s="39" t="s">
        <v>160</v>
      </c>
      <c r="AD1046" s="75" t="s">
        <v>10</v>
      </c>
      <c r="AE1046" s="95">
        <v>0</v>
      </c>
      <c r="AF1046" s="75">
        <v>0</v>
      </c>
      <c r="AG1046" s="75">
        <v>0</v>
      </c>
      <c r="AH1046" s="75">
        <v>0</v>
      </c>
      <c r="AI1046" s="75">
        <v>0</v>
      </c>
      <c r="AJ1046" s="75">
        <v>0</v>
      </c>
      <c r="AK1046" s="75">
        <v>0</v>
      </c>
      <c r="AL1046" s="95">
        <v>1</v>
      </c>
      <c r="AM1046" s="92">
        <v>0</v>
      </c>
      <c r="AN1046" s="79" t="s">
        <v>80</v>
      </c>
      <c r="AO1046" s="75">
        <v>1</v>
      </c>
      <c r="AP1046" s="75" t="s">
        <v>83</v>
      </c>
      <c r="AQ1046" s="122">
        <v>1</v>
      </c>
      <c r="AR1046" s="515" t="s">
        <v>10</v>
      </c>
      <c r="AS1046" s="95">
        <v>0</v>
      </c>
      <c r="AT1046" s="75">
        <v>0</v>
      </c>
      <c r="AU1046" s="75">
        <v>0</v>
      </c>
      <c r="AV1046" s="75">
        <v>0</v>
      </c>
      <c r="AW1046" s="123">
        <v>0</v>
      </c>
      <c r="AX1046" s="516"/>
      <c r="AY1046" s="75">
        <v>0</v>
      </c>
      <c r="AZ1046" s="77" t="s">
        <v>131</v>
      </c>
      <c r="BA1046" s="78" t="s">
        <v>131</v>
      </c>
      <c r="BB1046" s="78" t="s">
        <v>131</v>
      </c>
      <c r="BC1046" s="78" t="s">
        <v>131</v>
      </c>
      <c r="BD1046" s="78" t="s">
        <v>131</v>
      </c>
      <c r="BE1046" s="78" t="s">
        <v>131</v>
      </c>
      <c r="BF1046" s="78" t="s">
        <v>131</v>
      </c>
      <c r="BG1046" s="78" t="s">
        <v>132</v>
      </c>
      <c r="BH1046" s="75" t="s">
        <v>5970</v>
      </c>
      <c r="BI1046" s="295" t="s">
        <v>4000</v>
      </c>
      <c r="BJ1046" s="546">
        <v>1</v>
      </c>
      <c r="BK1046" s="294">
        <v>1</v>
      </c>
      <c r="BL1046" s="157">
        <v>1</v>
      </c>
      <c r="BM1046" s="548" t="s">
        <v>1342</v>
      </c>
      <c r="BN1046" s="548" t="s">
        <v>4158</v>
      </c>
      <c r="BO1046" s="157" t="s">
        <v>4582</v>
      </c>
      <c r="BP1046" s="548" t="s">
        <v>4000</v>
      </c>
      <c r="BQ1046" s="157" t="s">
        <v>4449</v>
      </c>
      <c r="BR1046" s="157"/>
    </row>
    <row r="1047" spans="1:70" x14ac:dyDescent="0.25">
      <c r="A1047" s="19" t="s">
        <v>3686</v>
      </c>
      <c r="B1047" s="37" t="s">
        <v>3228</v>
      </c>
      <c r="C1047" s="90">
        <v>45083.891863425924</v>
      </c>
      <c r="D1047" s="114">
        <v>45083.641863425924</v>
      </c>
      <c r="E1047" s="38">
        <v>45083</v>
      </c>
      <c r="F1047" s="91">
        <v>2023</v>
      </c>
      <c r="G1047" s="93">
        <v>6</v>
      </c>
      <c r="H1047" s="37" t="s">
        <v>188</v>
      </c>
      <c r="I1047" s="37"/>
      <c r="J1047" s="103">
        <v>-90.898498399999994</v>
      </c>
      <c r="K1047" s="40">
        <v>44.288378600000001</v>
      </c>
      <c r="L1047" s="74"/>
      <c r="M1047" s="272" t="s">
        <v>3229</v>
      </c>
      <c r="N1047" s="74">
        <v>1</v>
      </c>
      <c r="O1047" s="94"/>
      <c r="P1047" s="118">
        <v>1</v>
      </c>
      <c r="Q1047" s="510">
        <v>0</v>
      </c>
      <c r="R1047" s="513">
        <v>60</v>
      </c>
      <c r="S1047" s="41"/>
      <c r="T1047" s="40"/>
      <c r="U1047" s="40">
        <v>6.5</v>
      </c>
      <c r="V1047" s="119">
        <v>1</v>
      </c>
      <c r="W1047" s="40">
        <v>300</v>
      </c>
      <c r="X1047" s="119">
        <v>1</v>
      </c>
      <c r="Y1047" s="40">
        <v>64</v>
      </c>
      <c r="Z1047" s="119">
        <v>1</v>
      </c>
      <c r="AA1047" s="368">
        <v>0</v>
      </c>
      <c r="AB1047" s="535">
        <v>2</v>
      </c>
      <c r="AC1047" s="39" t="s">
        <v>160</v>
      </c>
      <c r="AD1047" s="75" t="s">
        <v>10</v>
      </c>
      <c r="AE1047" s="95">
        <v>0</v>
      </c>
      <c r="AF1047" s="75">
        <v>0</v>
      </c>
      <c r="AG1047" s="75">
        <v>0</v>
      </c>
      <c r="AH1047" s="75">
        <v>0</v>
      </c>
      <c r="AI1047" s="75">
        <v>0</v>
      </c>
      <c r="AJ1047" s="75">
        <v>0</v>
      </c>
      <c r="AK1047" s="75">
        <v>0</v>
      </c>
      <c r="AL1047" s="95">
        <v>1</v>
      </c>
      <c r="AM1047" s="92">
        <v>0</v>
      </c>
      <c r="AN1047" s="79" t="s">
        <v>80</v>
      </c>
      <c r="AO1047" s="75">
        <v>1</v>
      </c>
      <c r="AP1047" s="75" t="s">
        <v>83</v>
      </c>
      <c r="AQ1047" s="122">
        <v>1</v>
      </c>
      <c r="AR1047" s="515" t="s">
        <v>10</v>
      </c>
      <c r="AS1047" s="95">
        <v>0</v>
      </c>
      <c r="AT1047" s="75">
        <v>0</v>
      </c>
      <c r="AU1047" s="75">
        <v>0</v>
      </c>
      <c r="AV1047" s="75">
        <v>0</v>
      </c>
      <c r="AW1047" s="123">
        <v>0</v>
      </c>
      <c r="AX1047" s="516" t="s">
        <v>3230</v>
      </c>
      <c r="AY1047" s="75">
        <v>1</v>
      </c>
      <c r="AZ1047" s="77" t="s">
        <v>131</v>
      </c>
      <c r="BA1047" s="78" t="s">
        <v>131</v>
      </c>
      <c r="BB1047" s="78" t="s">
        <v>131</v>
      </c>
      <c r="BC1047" s="78" t="s">
        <v>131</v>
      </c>
      <c r="BD1047" s="78" t="s">
        <v>131</v>
      </c>
      <c r="BE1047" s="78" t="s">
        <v>131</v>
      </c>
      <c r="BF1047" s="78" t="s">
        <v>131</v>
      </c>
      <c r="BG1047" s="78" t="s">
        <v>132</v>
      </c>
      <c r="BH1047" s="75" t="s">
        <v>5970</v>
      </c>
      <c r="BI1047" s="295" t="s">
        <v>3998</v>
      </c>
      <c r="BJ1047" s="546">
        <v>1</v>
      </c>
      <c r="BK1047" s="294">
        <v>1</v>
      </c>
      <c r="BL1047" s="157">
        <v>1</v>
      </c>
      <c r="BM1047" s="548" t="s">
        <v>1340</v>
      </c>
      <c r="BN1047" s="548" t="s">
        <v>4158</v>
      </c>
      <c r="BO1047" s="157" t="s">
        <v>4586</v>
      </c>
      <c r="BP1047" s="548" t="s">
        <v>3997</v>
      </c>
      <c r="BQ1047" s="157" t="s">
        <v>4537</v>
      </c>
      <c r="BR1047" s="157"/>
    </row>
    <row r="1048" spans="1:70" x14ac:dyDescent="0.25">
      <c r="A1048" s="19" t="s">
        <v>3686</v>
      </c>
      <c r="B1048" s="37" t="s">
        <v>3231</v>
      </c>
      <c r="C1048" s="90">
        <v>45083.783715277779</v>
      </c>
      <c r="D1048" s="114">
        <v>45083.533715277779</v>
      </c>
      <c r="E1048" s="38">
        <v>45083</v>
      </c>
      <c r="F1048" s="91">
        <v>2023</v>
      </c>
      <c r="G1048" s="93">
        <v>6</v>
      </c>
      <c r="H1048" s="37" t="s">
        <v>188</v>
      </c>
      <c r="I1048" s="37"/>
      <c r="J1048" s="103">
        <v>-90.930220399999996</v>
      </c>
      <c r="K1048" s="40">
        <v>44.322172000000002</v>
      </c>
      <c r="L1048" s="74"/>
      <c r="M1048" s="272" t="s">
        <v>3232</v>
      </c>
      <c r="N1048" s="74">
        <v>1</v>
      </c>
      <c r="O1048" s="94"/>
      <c r="P1048" s="118">
        <v>1</v>
      </c>
      <c r="Q1048" s="510">
        <v>40</v>
      </c>
      <c r="R1048" s="513">
        <v>60</v>
      </c>
      <c r="S1048" s="41"/>
      <c r="T1048" s="40"/>
      <c r="U1048" s="40">
        <v>6</v>
      </c>
      <c r="V1048" s="119">
        <v>1</v>
      </c>
      <c r="W1048" s="40">
        <v>300</v>
      </c>
      <c r="X1048" s="119">
        <v>1</v>
      </c>
      <c r="Y1048" s="40">
        <v>62</v>
      </c>
      <c r="Z1048" s="119">
        <v>1</v>
      </c>
      <c r="AA1048" s="368">
        <v>0</v>
      </c>
      <c r="AB1048" s="535">
        <v>2</v>
      </c>
      <c r="AC1048" s="39" t="s">
        <v>160</v>
      </c>
      <c r="AD1048" s="75" t="s">
        <v>7</v>
      </c>
      <c r="AE1048" s="95">
        <v>1</v>
      </c>
      <c r="AF1048" s="75">
        <v>0</v>
      </c>
      <c r="AG1048" s="75">
        <v>0</v>
      </c>
      <c r="AH1048" s="75">
        <v>0</v>
      </c>
      <c r="AI1048" s="75">
        <v>0</v>
      </c>
      <c r="AJ1048" s="75">
        <v>0</v>
      </c>
      <c r="AK1048" s="75">
        <v>0</v>
      </c>
      <c r="AL1048" s="95">
        <v>0</v>
      </c>
      <c r="AM1048" s="92">
        <v>0</v>
      </c>
      <c r="AN1048" s="79" t="s">
        <v>80</v>
      </c>
      <c r="AO1048" s="75">
        <v>1</v>
      </c>
      <c r="AP1048" s="75" t="s">
        <v>83</v>
      </c>
      <c r="AQ1048" s="122">
        <v>1</v>
      </c>
      <c r="AR1048" s="515" t="s">
        <v>10</v>
      </c>
      <c r="AS1048" s="95">
        <v>0</v>
      </c>
      <c r="AT1048" s="75">
        <v>0</v>
      </c>
      <c r="AU1048" s="75">
        <v>0</v>
      </c>
      <c r="AV1048" s="75">
        <v>0</v>
      </c>
      <c r="AW1048" s="123">
        <v>0</v>
      </c>
      <c r="AX1048" s="516" t="s">
        <v>3233</v>
      </c>
      <c r="AY1048" s="75">
        <v>1</v>
      </c>
      <c r="AZ1048" s="77" t="s">
        <v>132</v>
      </c>
      <c r="BA1048" s="78" t="s">
        <v>131</v>
      </c>
      <c r="BB1048" s="78" t="s">
        <v>131</v>
      </c>
      <c r="BC1048" s="78" t="s">
        <v>131</v>
      </c>
      <c r="BD1048" s="78" t="s">
        <v>131</v>
      </c>
      <c r="BE1048" s="78" t="s">
        <v>131</v>
      </c>
      <c r="BF1048" s="78" t="s">
        <v>131</v>
      </c>
      <c r="BG1048" s="78" t="s">
        <v>131</v>
      </c>
      <c r="BH1048" s="75" t="s">
        <v>5970</v>
      </c>
      <c r="BI1048" s="295" t="s">
        <v>3995</v>
      </c>
      <c r="BJ1048" s="546">
        <v>1</v>
      </c>
      <c r="BK1048" s="294" t="s">
        <v>16</v>
      </c>
      <c r="BL1048" s="157" t="s">
        <v>16</v>
      </c>
      <c r="BM1048" s="548" t="s">
        <v>1340</v>
      </c>
      <c r="BN1048" s="548" t="s">
        <v>4158</v>
      </c>
      <c r="BO1048" s="157" t="s">
        <v>4586</v>
      </c>
      <c r="BP1048" s="548" t="s">
        <v>3997</v>
      </c>
      <c r="BQ1048" s="157" t="s">
        <v>4537</v>
      </c>
      <c r="BR1048" s="157"/>
    </row>
    <row r="1049" spans="1:70" x14ac:dyDescent="0.25">
      <c r="A1049" s="19" t="s">
        <v>3686</v>
      </c>
      <c r="B1049" s="37" t="s">
        <v>3234</v>
      </c>
      <c r="C1049" s="90">
        <v>45083.75984953704</v>
      </c>
      <c r="D1049" s="114">
        <v>45083.50984953704</v>
      </c>
      <c r="E1049" s="38">
        <v>45083</v>
      </c>
      <c r="F1049" s="91">
        <v>2023</v>
      </c>
      <c r="G1049" s="93">
        <v>6</v>
      </c>
      <c r="H1049" s="37" t="s">
        <v>2654</v>
      </c>
      <c r="I1049" s="37"/>
      <c r="J1049" s="103">
        <v>-90.950741399999998</v>
      </c>
      <c r="K1049" s="40">
        <v>44.298795900000002</v>
      </c>
      <c r="L1049" s="74"/>
      <c r="M1049" s="272" t="s">
        <v>3235</v>
      </c>
      <c r="N1049" s="74">
        <v>1</v>
      </c>
      <c r="O1049" s="94"/>
      <c r="P1049" s="118">
        <v>1</v>
      </c>
      <c r="Q1049" s="510">
        <v>0</v>
      </c>
      <c r="R1049" s="513">
        <v>60</v>
      </c>
      <c r="S1049" s="41"/>
      <c r="T1049" s="40"/>
      <c r="U1049" s="40">
        <v>6.5</v>
      </c>
      <c r="V1049" s="119">
        <v>1</v>
      </c>
      <c r="W1049" s="40">
        <v>500</v>
      </c>
      <c r="X1049" s="119">
        <v>1</v>
      </c>
      <c r="Y1049" s="40">
        <v>59</v>
      </c>
      <c r="Z1049" s="119">
        <v>1</v>
      </c>
      <c r="AA1049" s="368">
        <v>0</v>
      </c>
      <c r="AB1049" s="535">
        <v>1</v>
      </c>
      <c r="AC1049" s="39" t="s">
        <v>160</v>
      </c>
      <c r="AD1049" s="75" t="s">
        <v>10</v>
      </c>
      <c r="AE1049" s="95">
        <v>0</v>
      </c>
      <c r="AF1049" s="75">
        <v>0</v>
      </c>
      <c r="AG1049" s="75">
        <v>0</v>
      </c>
      <c r="AH1049" s="75">
        <v>0</v>
      </c>
      <c r="AI1049" s="75">
        <v>0</v>
      </c>
      <c r="AJ1049" s="75">
        <v>0</v>
      </c>
      <c r="AK1049" s="75">
        <v>0</v>
      </c>
      <c r="AL1049" s="95">
        <v>1</v>
      </c>
      <c r="AM1049" s="92">
        <v>0</v>
      </c>
      <c r="AN1049" s="79" t="s">
        <v>80</v>
      </c>
      <c r="AO1049" s="75">
        <v>1</v>
      </c>
      <c r="AP1049" s="75" t="s">
        <v>83</v>
      </c>
      <c r="AQ1049" s="122">
        <v>1</v>
      </c>
      <c r="AR1049" s="515" t="s">
        <v>10</v>
      </c>
      <c r="AS1049" s="95">
        <v>0</v>
      </c>
      <c r="AT1049" s="75">
        <v>0</v>
      </c>
      <c r="AU1049" s="75">
        <v>0</v>
      </c>
      <c r="AV1049" s="75">
        <v>0</v>
      </c>
      <c r="AW1049" s="123">
        <v>0</v>
      </c>
      <c r="AX1049" s="516"/>
      <c r="AY1049" s="75">
        <v>0</v>
      </c>
      <c r="AZ1049" s="77" t="s">
        <v>131</v>
      </c>
      <c r="BA1049" s="78" t="s">
        <v>131</v>
      </c>
      <c r="BB1049" s="78" t="s">
        <v>131</v>
      </c>
      <c r="BC1049" s="78" t="s">
        <v>131</v>
      </c>
      <c r="BD1049" s="78" t="s">
        <v>131</v>
      </c>
      <c r="BE1049" s="78" t="s">
        <v>131</v>
      </c>
      <c r="BF1049" s="78" t="s">
        <v>131</v>
      </c>
      <c r="BG1049" s="78" t="s">
        <v>132</v>
      </c>
      <c r="BH1049" s="75" t="s">
        <v>5970</v>
      </c>
      <c r="BI1049" s="295" t="s">
        <v>3997</v>
      </c>
      <c r="BJ1049" s="546">
        <v>1</v>
      </c>
      <c r="BK1049" s="294" t="s">
        <v>16</v>
      </c>
      <c r="BL1049" s="157" t="s">
        <v>16</v>
      </c>
      <c r="BM1049" s="548" t="s">
        <v>1340</v>
      </c>
      <c r="BN1049" s="548" t="s">
        <v>4158</v>
      </c>
      <c r="BO1049" s="157" t="s">
        <v>4586</v>
      </c>
      <c r="BP1049" s="548" t="s">
        <v>3997</v>
      </c>
      <c r="BQ1049" s="157" t="s">
        <v>4537</v>
      </c>
      <c r="BR1049" s="157"/>
    </row>
    <row r="1050" spans="1:70" x14ac:dyDescent="0.25">
      <c r="A1050" s="19" t="s">
        <v>3686</v>
      </c>
      <c r="B1050" s="37" t="s">
        <v>3236</v>
      </c>
      <c r="C1050" s="90">
        <v>45083.747314814813</v>
      </c>
      <c r="D1050" s="114">
        <v>45083.497314814813</v>
      </c>
      <c r="E1050" s="38">
        <v>45083</v>
      </c>
      <c r="F1050" s="91">
        <v>2023</v>
      </c>
      <c r="G1050" s="93">
        <v>6</v>
      </c>
      <c r="H1050" s="37" t="s">
        <v>188</v>
      </c>
      <c r="I1050" s="37"/>
      <c r="J1050" s="103">
        <v>-90.902679699999993</v>
      </c>
      <c r="K1050" s="40">
        <v>44.297010299999997</v>
      </c>
      <c r="L1050" s="74"/>
      <c r="M1050" s="272" t="s">
        <v>3237</v>
      </c>
      <c r="N1050" s="74">
        <v>1</v>
      </c>
      <c r="O1050" s="94"/>
      <c r="P1050" s="118">
        <v>1</v>
      </c>
      <c r="Q1050" s="510">
        <v>40</v>
      </c>
      <c r="R1050" s="513">
        <v>60</v>
      </c>
      <c r="S1050" s="41"/>
      <c r="T1050" s="40"/>
      <c r="U1050" s="40">
        <v>7</v>
      </c>
      <c r="V1050" s="119">
        <v>1</v>
      </c>
      <c r="W1050" s="40">
        <v>200</v>
      </c>
      <c r="X1050" s="119">
        <v>1</v>
      </c>
      <c r="Y1050" s="40">
        <v>61</v>
      </c>
      <c r="Z1050" s="119">
        <v>1</v>
      </c>
      <c r="AA1050" s="368">
        <v>0</v>
      </c>
      <c r="AB1050" s="535">
        <v>5</v>
      </c>
      <c r="AC1050" s="39" t="s">
        <v>160</v>
      </c>
      <c r="AD1050" s="75" t="s">
        <v>10</v>
      </c>
      <c r="AE1050" s="95">
        <v>0</v>
      </c>
      <c r="AF1050" s="75">
        <v>0</v>
      </c>
      <c r="AG1050" s="75">
        <v>0</v>
      </c>
      <c r="AH1050" s="75">
        <v>0</v>
      </c>
      <c r="AI1050" s="75">
        <v>0</v>
      </c>
      <c r="AJ1050" s="75">
        <v>0</v>
      </c>
      <c r="AK1050" s="75">
        <v>0</v>
      </c>
      <c r="AL1050" s="95">
        <v>1</v>
      </c>
      <c r="AM1050" s="92">
        <v>0</v>
      </c>
      <c r="AN1050" s="79" t="s">
        <v>80</v>
      </c>
      <c r="AO1050" s="75">
        <v>1</v>
      </c>
      <c r="AP1050" s="75" t="s">
        <v>83</v>
      </c>
      <c r="AQ1050" s="122">
        <v>1</v>
      </c>
      <c r="AR1050" s="515" t="s">
        <v>10</v>
      </c>
      <c r="AS1050" s="95">
        <v>0</v>
      </c>
      <c r="AT1050" s="75">
        <v>0</v>
      </c>
      <c r="AU1050" s="75">
        <v>0</v>
      </c>
      <c r="AV1050" s="75">
        <v>0</v>
      </c>
      <c r="AW1050" s="123">
        <v>0</v>
      </c>
      <c r="AX1050" s="516" t="s">
        <v>3238</v>
      </c>
      <c r="AY1050" s="75">
        <v>1</v>
      </c>
      <c r="AZ1050" s="77" t="s">
        <v>131</v>
      </c>
      <c r="BA1050" s="78" t="s">
        <v>131</v>
      </c>
      <c r="BB1050" s="78" t="s">
        <v>131</v>
      </c>
      <c r="BC1050" s="78" t="s">
        <v>131</v>
      </c>
      <c r="BD1050" s="78" t="s">
        <v>131</v>
      </c>
      <c r="BE1050" s="78" t="s">
        <v>131</v>
      </c>
      <c r="BF1050" s="78" t="s">
        <v>131</v>
      </c>
      <c r="BG1050" s="78" t="s">
        <v>132</v>
      </c>
      <c r="BH1050" s="75" t="s">
        <v>5970</v>
      </c>
      <c r="BI1050" s="295" t="s">
        <v>3998</v>
      </c>
      <c r="BJ1050" s="546">
        <v>1</v>
      </c>
      <c r="BK1050" s="294" t="s">
        <v>16</v>
      </c>
      <c r="BL1050" s="157" t="s">
        <v>16</v>
      </c>
      <c r="BM1050" s="548" t="s">
        <v>1340</v>
      </c>
      <c r="BN1050" s="548" t="s">
        <v>4158</v>
      </c>
      <c r="BO1050" s="157" t="s">
        <v>4586</v>
      </c>
      <c r="BP1050" s="548" t="s">
        <v>3997</v>
      </c>
      <c r="BQ1050" s="157" t="s">
        <v>4537</v>
      </c>
      <c r="BR1050" s="157"/>
    </row>
    <row r="1051" spans="1:70" x14ac:dyDescent="0.25">
      <c r="A1051" s="19" t="s">
        <v>3686</v>
      </c>
      <c r="B1051" s="37" t="s">
        <v>3239</v>
      </c>
      <c r="C1051" s="90">
        <v>45083.590254629627</v>
      </c>
      <c r="D1051" s="114">
        <v>45083.340254629627</v>
      </c>
      <c r="E1051" s="38">
        <v>45083</v>
      </c>
      <c r="F1051" s="91">
        <v>2023</v>
      </c>
      <c r="G1051" s="93">
        <v>6</v>
      </c>
      <c r="H1051" s="37" t="s">
        <v>188</v>
      </c>
      <c r="I1051" s="37"/>
      <c r="J1051" s="103">
        <v>-90.897474000000003</v>
      </c>
      <c r="K1051" s="40">
        <v>44.314135299999997</v>
      </c>
      <c r="L1051" s="74"/>
      <c r="M1051" s="272" t="s">
        <v>3240</v>
      </c>
      <c r="N1051" s="74">
        <v>1</v>
      </c>
      <c r="O1051" s="94"/>
      <c r="P1051" s="118">
        <v>1</v>
      </c>
      <c r="Q1051" s="510">
        <v>0</v>
      </c>
      <c r="R1051" s="513">
        <v>60</v>
      </c>
      <c r="S1051" s="41"/>
      <c r="T1051" s="40"/>
      <c r="U1051" s="40">
        <v>6</v>
      </c>
      <c r="V1051" s="119">
        <v>1</v>
      </c>
      <c r="W1051" s="40">
        <v>100</v>
      </c>
      <c r="X1051" s="119">
        <v>0</v>
      </c>
      <c r="Y1051" s="40"/>
      <c r="Z1051" s="119">
        <v>1</v>
      </c>
      <c r="AA1051" s="368">
        <v>0</v>
      </c>
      <c r="AB1051" s="535">
        <v>0</v>
      </c>
      <c r="AC1051" s="39" t="s">
        <v>160</v>
      </c>
      <c r="AD1051" s="75" t="s">
        <v>7</v>
      </c>
      <c r="AE1051" s="95">
        <v>1</v>
      </c>
      <c r="AF1051" s="75">
        <v>0</v>
      </c>
      <c r="AG1051" s="75">
        <v>0</v>
      </c>
      <c r="AH1051" s="75">
        <v>0</v>
      </c>
      <c r="AI1051" s="75">
        <v>0</v>
      </c>
      <c r="AJ1051" s="75">
        <v>0</v>
      </c>
      <c r="AK1051" s="75">
        <v>0</v>
      </c>
      <c r="AL1051" s="95">
        <v>0</v>
      </c>
      <c r="AM1051" s="92">
        <v>0</v>
      </c>
      <c r="AN1051" s="79" t="s">
        <v>80</v>
      </c>
      <c r="AO1051" s="75">
        <v>1</v>
      </c>
      <c r="AP1051" s="75" t="s">
        <v>83</v>
      </c>
      <c r="AQ1051" s="122">
        <v>1</v>
      </c>
      <c r="AR1051" s="515" t="s">
        <v>10</v>
      </c>
      <c r="AS1051" s="95">
        <v>0</v>
      </c>
      <c r="AT1051" s="75">
        <v>0</v>
      </c>
      <c r="AU1051" s="75">
        <v>0</v>
      </c>
      <c r="AV1051" s="75">
        <v>0</v>
      </c>
      <c r="AW1051" s="123">
        <v>0</v>
      </c>
      <c r="AX1051" s="516" t="s">
        <v>3241</v>
      </c>
      <c r="AY1051" s="75">
        <v>1</v>
      </c>
      <c r="AZ1051" s="77" t="s">
        <v>132</v>
      </c>
      <c r="BA1051" s="78" t="s">
        <v>131</v>
      </c>
      <c r="BB1051" s="78" t="s">
        <v>131</v>
      </c>
      <c r="BC1051" s="78" t="s">
        <v>131</v>
      </c>
      <c r="BD1051" s="78" t="s">
        <v>131</v>
      </c>
      <c r="BE1051" s="78" t="s">
        <v>131</v>
      </c>
      <c r="BF1051" s="78" t="s">
        <v>131</v>
      </c>
      <c r="BG1051" s="78" t="s">
        <v>131</v>
      </c>
      <c r="BH1051" s="75" t="s">
        <v>5970</v>
      </c>
      <c r="BI1051" s="295">
        <v>0</v>
      </c>
      <c r="BJ1051" s="546">
        <v>1</v>
      </c>
      <c r="BK1051" s="294" t="s">
        <v>16</v>
      </c>
      <c r="BL1051" s="157" t="s">
        <v>16</v>
      </c>
      <c r="BM1051" s="548" t="s">
        <v>1340</v>
      </c>
      <c r="BN1051" s="548" t="s">
        <v>4158</v>
      </c>
      <c r="BO1051" s="157" t="s">
        <v>4586</v>
      </c>
      <c r="BP1051" s="548" t="s">
        <v>3997</v>
      </c>
      <c r="BQ1051" s="157" t="s">
        <v>4537</v>
      </c>
      <c r="BR1051" s="157"/>
    </row>
    <row r="1052" spans="1:70" x14ac:dyDescent="0.25">
      <c r="A1052" s="19" t="s">
        <v>3686</v>
      </c>
      <c r="B1052" s="37" t="s">
        <v>3242</v>
      </c>
      <c r="C1052" s="90">
        <v>45082.842858796299</v>
      </c>
      <c r="D1052" s="114">
        <v>45082.592858796299</v>
      </c>
      <c r="E1052" s="38">
        <v>45082</v>
      </c>
      <c r="F1052" s="91">
        <v>2023</v>
      </c>
      <c r="G1052" s="93">
        <v>6</v>
      </c>
      <c r="H1052" s="37" t="s">
        <v>188</v>
      </c>
      <c r="I1052" s="37" t="s">
        <v>16</v>
      </c>
      <c r="J1052" s="103">
        <v>-90.849818600000006</v>
      </c>
      <c r="K1052" s="40">
        <v>44.278404899999998</v>
      </c>
      <c r="L1052" s="74"/>
      <c r="M1052" s="272" t="s">
        <v>3243</v>
      </c>
      <c r="N1052" s="74">
        <v>1</v>
      </c>
      <c r="O1052" s="94"/>
      <c r="P1052" s="118">
        <v>1</v>
      </c>
      <c r="Q1052" s="510">
        <v>40</v>
      </c>
      <c r="R1052" s="513">
        <v>60</v>
      </c>
      <c r="S1052" s="41"/>
      <c r="T1052" s="40"/>
      <c r="U1052" s="40">
        <v>7</v>
      </c>
      <c r="V1052" s="119">
        <v>1</v>
      </c>
      <c r="W1052" s="40">
        <v>0</v>
      </c>
      <c r="X1052" s="119">
        <v>1</v>
      </c>
      <c r="Y1052" s="40">
        <v>62</v>
      </c>
      <c r="Z1052" s="119">
        <v>1</v>
      </c>
      <c r="AA1052" s="368">
        <v>0</v>
      </c>
      <c r="AB1052" s="535">
        <v>1</v>
      </c>
      <c r="AC1052" s="39" t="s">
        <v>160</v>
      </c>
      <c r="AD1052" s="75" t="s">
        <v>7</v>
      </c>
      <c r="AE1052" s="95">
        <v>1</v>
      </c>
      <c r="AF1052" s="75">
        <v>0</v>
      </c>
      <c r="AG1052" s="75">
        <v>0</v>
      </c>
      <c r="AH1052" s="75">
        <v>0</v>
      </c>
      <c r="AI1052" s="75">
        <v>0</v>
      </c>
      <c r="AJ1052" s="75">
        <v>0</v>
      </c>
      <c r="AK1052" s="75">
        <v>0</v>
      </c>
      <c r="AL1052" s="95">
        <v>0</v>
      </c>
      <c r="AM1052" s="92">
        <v>0</v>
      </c>
      <c r="AN1052" s="79" t="s">
        <v>80</v>
      </c>
      <c r="AO1052" s="75">
        <v>1</v>
      </c>
      <c r="AP1052" s="75" t="s">
        <v>83</v>
      </c>
      <c r="AQ1052" s="122">
        <v>1</v>
      </c>
      <c r="AR1052" s="515" t="s">
        <v>10</v>
      </c>
      <c r="AS1052" s="95">
        <v>0</v>
      </c>
      <c r="AT1052" s="75">
        <v>0</v>
      </c>
      <c r="AU1052" s="75">
        <v>0</v>
      </c>
      <c r="AV1052" s="75">
        <v>0</v>
      </c>
      <c r="AW1052" s="123">
        <v>0</v>
      </c>
      <c r="AX1052" s="516" t="s">
        <v>3244</v>
      </c>
      <c r="AY1052" s="75">
        <v>1</v>
      </c>
      <c r="AZ1052" s="77" t="s">
        <v>132</v>
      </c>
      <c r="BA1052" s="78" t="s">
        <v>131</v>
      </c>
      <c r="BB1052" s="78" t="s">
        <v>131</v>
      </c>
      <c r="BC1052" s="78" t="s">
        <v>131</v>
      </c>
      <c r="BD1052" s="78" t="s">
        <v>131</v>
      </c>
      <c r="BE1052" s="78" t="s">
        <v>131</v>
      </c>
      <c r="BF1052" s="78" t="s">
        <v>131</v>
      </c>
      <c r="BG1052" s="78" t="s">
        <v>131</v>
      </c>
      <c r="BH1052" s="75" t="s">
        <v>5970</v>
      </c>
      <c r="BI1052" s="295" t="s">
        <v>4005</v>
      </c>
      <c r="BJ1052" s="546" t="s">
        <v>16</v>
      </c>
      <c r="BK1052" s="294" t="s">
        <v>16</v>
      </c>
      <c r="BL1052" s="157" t="s">
        <v>16</v>
      </c>
      <c r="BM1052" s="548" t="s">
        <v>1340</v>
      </c>
      <c r="BN1052" s="548" t="s">
        <v>4158</v>
      </c>
      <c r="BO1052" s="157" t="s">
        <v>4538</v>
      </c>
      <c r="BP1052" s="548" t="s">
        <v>4539</v>
      </c>
      <c r="BQ1052" s="157" t="s">
        <v>4537</v>
      </c>
      <c r="BR1052" s="157"/>
    </row>
    <row r="1053" spans="1:70" x14ac:dyDescent="0.25">
      <c r="A1053" s="19" t="s">
        <v>3686</v>
      </c>
      <c r="B1053" s="37" t="s">
        <v>3245</v>
      </c>
      <c r="C1053" s="90">
        <v>45082.799502314818</v>
      </c>
      <c r="D1053" s="114">
        <v>45082.549502314818</v>
      </c>
      <c r="E1053" s="38">
        <v>45082</v>
      </c>
      <c r="F1053" s="91">
        <v>2023</v>
      </c>
      <c r="G1053" s="93">
        <v>6</v>
      </c>
      <c r="H1053" s="37" t="s">
        <v>2548</v>
      </c>
      <c r="I1053" s="37" t="s">
        <v>16</v>
      </c>
      <c r="J1053" s="103">
        <v>-90.829057088439797</v>
      </c>
      <c r="K1053" s="40">
        <v>44.286397539913054</v>
      </c>
      <c r="L1053" s="74"/>
      <c r="M1053" s="272" t="s">
        <v>16</v>
      </c>
      <c r="N1053" s="74">
        <v>0</v>
      </c>
      <c r="O1053" s="94"/>
      <c r="P1053" s="118">
        <v>1</v>
      </c>
      <c r="Q1053" s="510">
        <v>40</v>
      </c>
      <c r="R1053" s="513">
        <v>30</v>
      </c>
      <c r="S1053" s="41"/>
      <c r="T1053" s="40"/>
      <c r="U1053" s="40">
        <v>6</v>
      </c>
      <c r="V1053" s="119">
        <v>1</v>
      </c>
      <c r="W1053" s="40">
        <v>0</v>
      </c>
      <c r="X1053" s="119">
        <v>1</v>
      </c>
      <c r="Y1053" s="40">
        <v>63</v>
      </c>
      <c r="Z1053" s="119">
        <v>1</v>
      </c>
      <c r="AA1053" s="368">
        <v>0</v>
      </c>
      <c r="AB1053" s="535">
        <v>0</v>
      </c>
      <c r="AC1053" s="39" t="s">
        <v>160</v>
      </c>
      <c r="AD1053" s="75" t="s">
        <v>7</v>
      </c>
      <c r="AE1053" s="95">
        <v>1</v>
      </c>
      <c r="AF1053" s="75">
        <v>0</v>
      </c>
      <c r="AG1053" s="75">
        <v>0</v>
      </c>
      <c r="AH1053" s="75">
        <v>0</v>
      </c>
      <c r="AI1053" s="75">
        <v>0</v>
      </c>
      <c r="AJ1053" s="75">
        <v>0</v>
      </c>
      <c r="AK1053" s="75">
        <v>0</v>
      </c>
      <c r="AL1053" s="95">
        <v>0</v>
      </c>
      <c r="AM1053" s="92">
        <v>0</v>
      </c>
      <c r="AN1053" s="79" t="s">
        <v>80</v>
      </c>
      <c r="AO1053" s="75">
        <v>1</v>
      </c>
      <c r="AP1053" s="75" t="s">
        <v>84</v>
      </c>
      <c r="AQ1053" s="122">
        <v>1</v>
      </c>
      <c r="AR1053" s="515" t="s">
        <v>10</v>
      </c>
      <c r="AS1053" s="95">
        <v>0</v>
      </c>
      <c r="AT1053" s="75">
        <v>0</v>
      </c>
      <c r="AU1053" s="75">
        <v>0</v>
      </c>
      <c r="AV1053" s="75">
        <v>0</v>
      </c>
      <c r="AW1053" s="123">
        <v>0</v>
      </c>
      <c r="AX1053" s="516" t="s">
        <v>3246</v>
      </c>
      <c r="AY1053" s="75">
        <v>1</v>
      </c>
      <c r="AZ1053" s="77" t="s">
        <v>132</v>
      </c>
      <c r="BA1053" s="78" t="s">
        <v>131</v>
      </c>
      <c r="BB1053" s="78" t="s">
        <v>131</v>
      </c>
      <c r="BC1053" s="78" t="s">
        <v>131</v>
      </c>
      <c r="BD1053" s="78" t="s">
        <v>131</v>
      </c>
      <c r="BE1053" s="78" t="s">
        <v>131</v>
      </c>
      <c r="BF1053" s="78" t="s">
        <v>131</v>
      </c>
      <c r="BG1053" s="78" t="s">
        <v>131</v>
      </c>
      <c r="BH1053" s="75" t="s">
        <v>5970</v>
      </c>
      <c r="BI1053" s="295" t="s">
        <v>4003</v>
      </c>
      <c r="BJ1053" s="546">
        <v>1</v>
      </c>
      <c r="BK1053" s="294" t="s">
        <v>16</v>
      </c>
      <c r="BL1053" s="157" t="s">
        <v>16</v>
      </c>
      <c r="BM1053" s="548" t="s">
        <v>1340</v>
      </c>
      <c r="BN1053" s="548" t="s">
        <v>4158</v>
      </c>
      <c r="BO1053" s="157" t="s">
        <v>4538</v>
      </c>
      <c r="BP1053" s="548" t="s">
        <v>4539</v>
      </c>
      <c r="BQ1053" s="157" t="s">
        <v>4537</v>
      </c>
      <c r="BR1053" s="157"/>
    </row>
    <row r="1054" spans="1:70" x14ac:dyDescent="0.25">
      <c r="A1054" s="19" t="s">
        <v>3686</v>
      </c>
      <c r="B1054" s="37" t="s">
        <v>3247</v>
      </c>
      <c r="C1054" s="90">
        <v>45081.727037037039</v>
      </c>
      <c r="D1054" s="114">
        <v>45081.477037037039</v>
      </c>
      <c r="E1054" s="38">
        <v>45081</v>
      </c>
      <c r="F1054" s="91">
        <v>2023</v>
      </c>
      <c r="G1054" s="93">
        <v>6</v>
      </c>
      <c r="H1054" s="37" t="s">
        <v>3137</v>
      </c>
      <c r="I1054" s="37"/>
      <c r="J1054" s="103">
        <v>-91.552019910386917</v>
      </c>
      <c r="K1054" s="40">
        <v>43.486911757215786</v>
      </c>
      <c r="L1054" s="74"/>
      <c r="M1054" s="272" t="s">
        <v>3248</v>
      </c>
      <c r="N1054" s="74">
        <v>1</v>
      </c>
      <c r="O1054" s="94"/>
      <c r="P1054" s="118">
        <v>1</v>
      </c>
      <c r="Q1054" s="510">
        <v>80</v>
      </c>
      <c r="R1054" s="513">
        <v>180</v>
      </c>
      <c r="S1054" s="41"/>
      <c r="T1054" s="40"/>
      <c r="U1054" s="40">
        <v>8</v>
      </c>
      <c r="V1054" s="119">
        <v>1</v>
      </c>
      <c r="W1054" s="40">
        <v>0</v>
      </c>
      <c r="X1054" s="119">
        <v>1</v>
      </c>
      <c r="Y1054" s="40">
        <v>60</v>
      </c>
      <c r="Z1054" s="119">
        <v>1</v>
      </c>
      <c r="AA1054" s="368">
        <v>0</v>
      </c>
      <c r="AB1054" s="535">
        <v>5</v>
      </c>
      <c r="AC1054" s="39" t="s">
        <v>160</v>
      </c>
      <c r="AD1054" s="75" t="s">
        <v>8</v>
      </c>
      <c r="AE1054" s="95">
        <v>0</v>
      </c>
      <c r="AF1054" s="75">
        <v>1</v>
      </c>
      <c r="AG1054" s="75">
        <v>0</v>
      </c>
      <c r="AH1054" s="75">
        <v>0</v>
      </c>
      <c r="AI1054" s="75">
        <v>0</v>
      </c>
      <c r="AJ1054" s="75">
        <v>0</v>
      </c>
      <c r="AK1054" s="75">
        <v>0</v>
      </c>
      <c r="AL1054" s="95">
        <v>0</v>
      </c>
      <c r="AM1054" s="92">
        <v>0</v>
      </c>
      <c r="AN1054" s="79" t="s">
        <v>80</v>
      </c>
      <c r="AO1054" s="75">
        <v>1</v>
      </c>
      <c r="AP1054" s="75" t="s">
        <v>83</v>
      </c>
      <c r="AQ1054" s="122">
        <v>1</v>
      </c>
      <c r="AR1054" s="515" t="s">
        <v>16</v>
      </c>
      <c r="AS1054" s="95">
        <v>-1</v>
      </c>
      <c r="AT1054" s="75">
        <v>-1</v>
      </c>
      <c r="AU1054" s="75">
        <v>-1</v>
      </c>
      <c r="AV1054" s="75">
        <v>-1</v>
      </c>
      <c r="AW1054" s="123">
        <v>1</v>
      </c>
      <c r="AX1054" s="516"/>
      <c r="AY1054" s="75">
        <v>0</v>
      </c>
      <c r="AZ1054" s="77" t="s">
        <v>131</v>
      </c>
      <c r="BA1054" s="78" t="s">
        <v>132</v>
      </c>
      <c r="BB1054" s="78" t="s">
        <v>131</v>
      </c>
      <c r="BC1054" s="78" t="s">
        <v>131</v>
      </c>
      <c r="BD1054" s="78" t="s">
        <v>131</v>
      </c>
      <c r="BE1054" s="78" t="s">
        <v>131</v>
      </c>
      <c r="BF1054" s="78" t="s">
        <v>131</v>
      </c>
      <c r="BG1054" s="78" t="s">
        <v>131</v>
      </c>
      <c r="BH1054" s="75" t="s">
        <v>5970</v>
      </c>
      <c r="BI1054" s="295" t="s">
        <v>4041</v>
      </c>
      <c r="BJ1054" s="546">
        <v>1</v>
      </c>
      <c r="BK1054" s="294" t="s">
        <v>16</v>
      </c>
      <c r="BL1054" s="157" t="s">
        <v>16</v>
      </c>
      <c r="BM1054" s="548" t="s">
        <v>1344</v>
      </c>
      <c r="BN1054" s="548" t="s">
        <v>544</v>
      </c>
      <c r="BO1054" s="157" t="s">
        <v>4242</v>
      </c>
      <c r="BP1054" s="548" t="s">
        <v>4041</v>
      </c>
      <c r="BQ1054" s="157" t="s">
        <v>4241</v>
      </c>
      <c r="BR1054" s="157"/>
    </row>
    <row r="1055" spans="1:70" x14ac:dyDescent="0.25">
      <c r="A1055" s="19" t="s">
        <v>3686</v>
      </c>
      <c r="B1055" s="37" t="s">
        <v>3249</v>
      </c>
      <c r="C1055" s="90">
        <v>45081.704953703702</v>
      </c>
      <c r="D1055" s="114">
        <v>45081.454953703702</v>
      </c>
      <c r="E1055" s="38">
        <v>45081</v>
      </c>
      <c r="F1055" s="91">
        <v>2023</v>
      </c>
      <c r="G1055" s="93">
        <v>6</v>
      </c>
      <c r="H1055" s="37" t="s">
        <v>1361</v>
      </c>
      <c r="I1055" s="37"/>
      <c r="J1055" s="103">
        <v>-91.636379929344756</v>
      </c>
      <c r="K1055" s="40">
        <v>43.482805872376531</v>
      </c>
      <c r="L1055" s="74"/>
      <c r="M1055" s="272" t="s">
        <v>3250</v>
      </c>
      <c r="N1055" s="74">
        <v>1</v>
      </c>
      <c r="O1055" s="94"/>
      <c r="P1055" s="118">
        <v>0</v>
      </c>
      <c r="Q1055" s="510"/>
      <c r="R1055" s="513"/>
      <c r="S1055" s="41"/>
      <c r="T1055" s="40"/>
      <c r="U1055" s="40"/>
      <c r="V1055" s="119">
        <v>1</v>
      </c>
      <c r="W1055" s="40">
        <v>100</v>
      </c>
      <c r="X1055" s="119">
        <v>1</v>
      </c>
      <c r="Y1055" s="40">
        <v>62</v>
      </c>
      <c r="Z1055" s="119">
        <v>1</v>
      </c>
      <c r="AA1055" s="368">
        <v>0</v>
      </c>
      <c r="AB1055" s="535">
        <v>5</v>
      </c>
      <c r="AC1055" s="39" t="s">
        <v>160</v>
      </c>
      <c r="AD1055" s="75" t="s">
        <v>10</v>
      </c>
      <c r="AE1055" s="95">
        <v>0</v>
      </c>
      <c r="AF1055" s="75">
        <v>0</v>
      </c>
      <c r="AG1055" s="75">
        <v>0</v>
      </c>
      <c r="AH1055" s="75">
        <v>0</v>
      </c>
      <c r="AI1055" s="75">
        <v>0</v>
      </c>
      <c r="AJ1055" s="75">
        <v>0</v>
      </c>
      <c r="AK1055" s="75">
        <v>0</v>
      </c>
      <c r="AL1055" s="95">
        <v>1</v>
      </c>
      <c r="AM1055" s="92">
        <v>0</v>
      </c>
      <c r="AN1055" s="79"/>
      <c r="AO1055" s="75">
        <v>0</v>
      </c>
      <c r="AP1055" s="75"/>
      <c r="AQ1055" s="122">
        <v>0</v>
      </c>
      <c r="AR1055" s="515" t="s">
        <v>16</v>
      </c>
      <c r="AS1055" s="95">
        <v>-1</v>
      </c>
      <c r="AT1055" s="75">
        <v>-1</v>
      </c>
      <c r="AU1055" s="75">
        <v>-1</v>
      </c>
      <c r="AV1055" s="75">
        <v>-1</v>
      </c>
      <c r="AW1055" s="123">
        <v>1</v>
      </c>
      <c r="AX1055" s="516"/>
      <c r="AY1055" s="75">
        <v>0</v>
      </c>
      <c r="AZ1055" s="77" t="s">
        <v>131</v>
      </c>
      <c r="BA1055" s="78" t="s">
        <v>131</v>
      </c>
      <c r="BB1055" s="78" t="s">
        <v>131</v>
      </c>
      <c r="BC1055" s="78" t="s">
        <v>131</v>
      </c>
      <c r="BD1055" s="78" t="s">
        <v>131</v>
      </c>
      <c r="BE1055" s="78" t="s">
        <v>131</v>
      </c>
      <c r="BF1055" s="78" t="s">
        <v>131</v>
      </c>
      <c r="BG1055" s="78" t="s">
        <v>132</v>
      </c>
      <c r="BH1055" s="75" t="s">
        <v>5970</v>
      </c>
      <c r="BI1055" s="295" t="s">
        <v>4042</v>
      </c>
      <c r="BJ1055" s="546">
        <v>1</v>
      </c>
      <c r="BK1055" s="294" t="s">
        <v>16</v>
      </c>
      <c r="BL1055" s="157" t="s">
        <v>16</v>
      </c>
      <c r="BM1055" s="548" t="s">
        <v>1344</v>
      </c>
      <c r="BN1055" s="548" t="s">
        <v>4160</v>
      </c>
      <c r="BO1055" s="157" t="s">
        <v>4443</v>
      </c>
      <c r="BP1055" s="548" t="s">
        <v>4042</v>
      </c>
      <c r="BQ1055" s="157" t="s">
        <v>4241</v>
      </c>
      <c r="BR1055" s="157"/>
    </row>
    <row r="1056" spans="1:70" x14ac:dyDescent="0.25">
      <c r="A1056" s="19" t="s">
        <v>3686</v>
      </c>
      <c r="B1056" s="37" t="s">
        <v>3251</v>
      </c>
      <c r="C1056" s="90">
        <v>45081.689976851849</v>
      </c>
      <c r="D1056" s="114">
        <v>45081.439976851849</v>
      </c>
      <c r="E1056" s="38">
        <v>45081</v>
      </c>
      <c r="F1056" s="91">
        <v>2023</v>
      </c>
      <c r="G1056" s="93">
        <v>6</v>
      </c>
      <c r="H1056" s="37" t="s">
        <v>2475</v>
      </c>
      <c r="I1056" s="37" t="s">
        <v>146</v>
      </c>
      <c r="J1056" s="103">
        <v>-89.280350619866297</v>
      </c>
      <c r="K1056" s="40">
        <v>43.206270198858803</v>
      </c>
      <c r="L1056" s="74"/>
      <c r="M1056" s="272" t="s">
        <v>3252</v>
      </c>
      <c r="N1056" s="74">
        <v>1</v>
      </c>
      <c r="O1056" s="94"/>
      <c r="P1056" s="118">
        <v>1</v>
      </c>
      <c r="Q1056" s="510">
        <v>180</v>
      </c>
      <c r="R1056" s="513">
        <v>180</v>
      </c>
      <c r="S1056" s="41"/>
      <c r="T1056" s="40"/>
      <c r="U1056" s="40">
        <v>7.5</v>
      </c>
      <c r="V1056" s="119">
        <v>1</v>
      </c>
      <c r="W1056" s="40">
        <v>0</v>
      </c>
      <c r="X1056" s="119">
        <v>1</v>
      </c>
      <c r="Y1056" s="40">
        <v>49</v>
      </c>
      <c r="Z1056" s="119">
        <v>1</v>
      </c>
      <c r="AA1056" s="368">
        <v>0</v>
      </c>
      <c r="AB1056" s="535">
        <v>0</v>
      </c>
      <c r="AC1056" s="39" t="s">
        <v>162</v>
      </c>
      <c r="AD1056" s="75" t="s">
        <v>10</v>
      </c>
      <c r="AE1056" s="95">
        <v>0</v>
      </c>
      <c r="AF1056" s="75">
        <v>0</v>
      </c>
      <c r="AG1056" s="75">
        <v>0</v>
      </c>
      <c r="AH1056" s="75">
        <v>0</v>
      </c>
      <c r="AI1056" s="75">
        <v>0</v>
      </c>
      <c r="AJ1056" s="75">
        <v>0</v>
      </c>
      <c r="AK1056" s="75">
        <v>0</v>
      </c>
      <c r="AL1056" s="95">
        <v>1</v>
      </c>
      <c r="AM1056" s="92">
        <v>0</v>
      </c>
      <c r="AN1056" s="79" t="s">
        <v>80</v>
      </c>
      <c r="AO1056" s="75">
        <v>1</v>
      </c>
      <c r="AP1056" s="75" t="s">
        <v>83</v>
      </c>
      <c r="AQ1056" s="122">
        <v>1</v>
      </c>
      <c r="AR1056" s="515" t="s">
        <v>10</v>
      </c>
      <c r="AS1056" s="95">
        <v>0</v>
      </c>
      <c r="AT1056" s="75">
        <v>0</v>
      </c>
      <c r="AU1056" s="75">
        <v>0</v>
      </c>
      <c r="AV1056" s="75">
        <v>0</v>
      </c>
      <c r="AW1056" s="123">
        <v>0</v>
      </c>
      <c r="AX1056" s="516" t="s">
        <v>3253</v>
      </c>
      <c r="AY1056" s="75">
        <v>1</v>
      </c>
      <c r="AZ1056" s="77" t="s">
        <v>131</v>
      </c>
      <c r="BA1056" s="78" t="s">
        <v>131</v>
      </c>
      <c r="BB1056" s="78" t="s">
        <v>131</v>
      </c>
      <c r="BC1056" s="78" t="s">
        <v>131</v>
      </c>
      <c r="BD1056" s="78" t="s">
        <v>131</v>
      </c>
      <c r="BE1056" s="78" t="s">
        <v>131</v>
      </c>
      <c r="BF1056" s="78" t="s">
        <v>131</v>
      </c>
      <c r="BG1056" s="78" t="s">
        <v>132</v>
      </c>
      <c r="BH1056" s="75" t="s">
        <v>5970</v>
      </c>
      <c r="BI1056" s="295" t="s">
        <v>4028</v>
      </c>
      <c r="BJ1056" s="546" t="s">
        <v>16</v>
      </c>
      <c r="BK1056" s="294" t="s">
        <v>16</v>
      </c>
      <c r="BL1056" s="157" t="s">
        <v>16</v>
      </c>
      <c r="BM1056" s="548" t="s">
        <v>1343</v>
      </c>
      <c r="BN1056" s="548" t="s">
        <v>4162</v>
      </c>
      <c r="BO1056" s="157" t="s">
        <v>4588</v>
      </c>
      <c r="BP1056" s="548" t="s">
        <v>4028</v>
      </c>
      <c r="BQ1056" s="157" t="s">
        <v>4587</v>
      </c>
      <c r="BR1056" s="157"/>
    </row>
    <row r="1057" spans="1:70" x14ac:dyDescent="0.25">
      <c r="A1057" s="19" t="s">
        <v>3686</v>
      </c>
      <c r="B1057" s="37" t="s">
        <v>3254</v>
      </c>
      <c r="C1057" s="90">
        <v>45081.677442129629</v>
      </c>
      <c r="D1057" s="114">
        <v>45081.427442129629</v>
      </c>
      <c r="E1057" s="38">
        <v>45081</v>
      </c>
      <c r="F1057" s="91">
        <v>2023</v>
      </c>
      <c r="G1057" s="93">
        <v>6</v>
      </c>
      <c r="H1057" s="37" t="s">
        <v>3137</v>
      </c>
      <c r="I1057" s="37"/>
      <c r="J1057" s="103">
        <v>-91.689055386049901</v>
      </c>
      <c r="K1057" s="40">
        <v>43.445564578906563</v>
      </c>
      <c r="L1057" s="74"/>
      <c r="M1057" s="272" t="s">
        <v>3255</v>
      </c>
      <c r="N1057" s="74">
        <v>1</v>
      </c>
      <c r="O1057" s="94"/>
      <c r="P1057" s="118">
        <v>1</v>
      </c>
      <c r="Q1057" s="510">
        <v>180</v>
      </c>
      <c r="R1057" s="513">
        <v>180</v>
      </c>
      <c r="S1057" s="41"/>
      <c r="T1057" s="40"/>
      <c r="U1057" s="40">
        <v>7.5</v>
      </c>
      <c r="V1057" s="119">
        <v>1</v>
      </c>
      <c r="W1057" s="40">
        <v>0</v>
      </c>
      <c r="X1057" s="119">
        <v>1</v>
      </c>
      <c r="Y1057" s="40">
        <v>50</v>
      </c>
      <c r="Z1057" s="119">
        <v>1</v>
      </c>
      <c r="AA1057" s="368">
        <v>0</v>
      </c>
      <c r="AB1057" s="535">
        <v>2</v>
      </c>
      <c r="AC1057" s="39" t="s">
        <v>160</v>
      </c>
      <c r="AD1057" s="75" t="s">
        <v>10</v>
      </c>
      <c r="AE1057" s="95">
        <v>0</v>
      </c>
      <c r="AF1057" s="75">
        <v>0</v>
      </c>
      <c r="AG1057" s="75">
        <v>0</v>
      </c>
      <c r="AH1057" s="75">
        <v>0</v>
      </c>
      <c r="AI1057" s="75">
        <v>0</v>
      </c>
      <c r="AJ1057" s="75">
        <v>0</v>
      </c>
      <c r="AK1057" s="75">
        <v>0</v>
      </c>
      <c r="AL1057" s="95">
        <v>1</v>
      </c>
      <c r="AM1057" s="92">
        <v>0</v>
      </c>
      <c r="AN1057" s="79" t="s">
        <v>80</v>
      </c>
      <c r="AO1057" s="75">
        <v>1</v>
      </c>
      <c r="AP1057" s="75" t="s">
        <v>83</v>
      </c>
      <c r="AQ1057" s="122">
        <v>1</v>
      </c>
      <c r="AR1057" s="515" t="s">
        <v>16</v>
      </c>
      <c r="AS1057" s="95">
        <v>-1</v>
      </c>
      <c r="AT1057" s="75">
        <v>-1</v>
      </c>
      <c r="AU1057" s="75">
        <v>-1</v>
      </c>
      <c r="AV1057" s="75">
        <v>-1</v>
      </c>
      <c r="AW1057" s="123">
        <v>1</v>
      </c>
      <c r="AX1057" s="516"/>
      <c r="AY1057" s="75">
        <v>0</v>
      </c>
      <c r="AZ1057" s="77" t="s">
        <v>131</v>
      </c>
      <c r="BA1057" s="78" t="s">
        <v>131</v>
      </c>
      <c r="BB1057" s="78" t="s">
        <v>131</v>
      </c>
      <c r="BC1057" s="78" t="s">
        <v>131</v>
      </c>
      <c r="BD1057" s="78" t="s">
        <v>131</v>
      </c>
      <c r="BE1057" s="78" t="s">
        <v>131</v>
      </c>
      <c r="BF1057" s="78" t="s">
        <v>131</v>
      </c>
      <c r="BG1057" s="78" t="s">
        <v>132</v>
      </c>
      <c r="BH1057" s="75" t="s">
        <v>5970</v>
      </c>
      <c r="BI1057" s="295" t="s">
        <v>2316</v>
      </c>
      <c r="BJ1057" s="546">
        <v>1</v>
      </c>
      <c r="BK1057" s="294" t="s">
        <v>16</v>
      </c>
      <c r="BL1057" s="157" t="s">
        <v>16</v>
      </c>
      <c r="BM1057" s="548" t="s">
        <v>1344</v>
      </c>
      <c r="BN1057" s="548" t="s">
        <v>544</v>
      </c>
      <c r="BO1057" s="157" t="s">
        <v>4244</v>
      </c>
      <c r="BP1057" s="548" t="s">
        <v>2260</v>
      </c>
      <c r="BQ1057" s="157" t="s">
        <v>4241</v>
      </c>
      <c r="BR1057" s="157"/>
    </row>
    <row r="1058" spans="1:70" x14ac:dyDescent="0.25">
      <c r="A1058" s="19" t="s">
        <v>3686</v>
      </c>
      <c r="B1058" s="37" t="s">
        <v>3256</v>
      </c>
      <c r="C1058" s="90">
        <v>45081.66846064815</v>
      </c>
      <c r="D1058" s="114">
        <v>45081.41846064815</v>
      </c>
      <c r="E1058" s="38">
        <v>45081</v>
      </c>
      <c r="F1058" s="91">
        <v>2023</v>
      </c>
      <c r="G1058" s="93">
        <v>6</v>
      </c>
      <c r="H1058" s="37" t="s">
        <v>2475</v>
      </c>
      <c r="I1058" s="37"/>
      <c r="J1058" s="103">
        <v>-89.320366636766323</v>
      </c>
      <c r="K1058" s="40">
        <v>43.186177210494755</v>
      </c>
      <c r="L1058" s="74"/>
      <c r="M1058" s="272" t="s">
        <v>3257</v>
      </c>
      <c r="N1058" s="74">
        <v>1</v>
      </c>
      <c r="O1058" s="94"/>
      <c r="P1058" s="118">
        <v>1</v>
      </c>
      <c r="Q1058" s="510">
        <v>120</v>
      </c>
      <c r="R1058" s="513">
        <v>120</v>
      </c>
      <c r="S1058" s="41"/>
      <c r="T1058" s="40"/>
      <c r="U1058" s="40">
        <v>7</v>
      </c>
      <c r="V1058" s="119">
        <v>1</v>
      </c>
      <c r="W1058" s="40">
        <v>0</v>
      </c>
      <c r="X1058" s="119">
        <v>1</v>
      </c>
      <c r="Y1058" s="40">
        <v>56</v>
      </c>
      <c r="Z1058" s="119">
        <v>1</v>
      </c>
      <c r="AA1058" s="368">
        <v>0</v>
      </c>
      <c r="AB1058" s="535">
        <v>0</v>
      </c>
      <c r="AC1058" s="39" t="s">
        <v>160</v>
      </c>
      <c r="AD1058" s="75" t="s">
        <v>10</v>
      </c>
      <c r="AE1058" s="95">
        <v>0</v>
      </c>
      <c r="AF1058" s="75">
        <v>0</v>
      </c>
      <c r="AG1058" s="75">
        <v>0</v>
      </c>
      <c r="AH1058" s="75">
        <v>0</v>
      </c>
      <c r="AI1058" s="75">
        <v>0</v>
      </c>
      <c r="AJ1058" s="75">
        <v>0</v>
      </c>
      <c r="AK1058" s="75">
        <v>0</v>
      </c>
      <c r="AL1058" s="95">
        <v>1</v>
      </c>
      <c r="AM1058" s="92">
        <v>0</v>
      </c>
      <c r="AN1058" s="79" t="s">
        <v>80</v>
      </c>
      <c r="AO1058" s="75">
        <v>1</v>
      </c>
      <c r="AP1058" s="75" t="s">
        <v>83</v>
      </c>
      <c r="AQ1058" s="122">
        <v>1</v>
      </c>
      <c r="AR1058" s="515" t="s">
        <v>10</v>
      </c>
      <c r="AS1058" s="95">
        <v>0</v>
      </c>
      <c r="AT1058" s="75">
        <v>0</v>
      </c>
      <c r="AU1058" s="75">
        <v>0</v>
      </c>
      <c r="AV1058" s="75">
        <v>0</v>
      </c>
      <c r="AW1058" s="123">
        <v>0</v>
      </c>
      <c r="AX1058" s="516" t="s">
        <v>3258</v>
      </c>
      <c r="AY1058" s="75">
        <v>1</v>
      </c>
      <c r="AZ1058" s="77" t="s">
        <v>131</v>
      </c>
      <c r="BA1058" s="78" t="s">
        <v>131</v>
      </c>
      <c r="BB1058" s="78" t="s">
        <v>131</v>
      </c>
      <c r="BC1058" s="78" t="s">
        <v>131</v>
      </c>
      <c r="BD1058" s="78" t="s">
        <v>131</v>
      </c>
      <c r="BE1058" s="78" t="s">
        <v>131</v>
      </c>
      <c r="BF1058" s="78" t="s">
        <v>131</v>
      </c>
      <c r="BG1058" s="78" t="s">
        <v>132</v>
      </c>
      <c r="BH1058" s="75" t="s">
        <v>5970</v>
      </c>
      <c r="BI1058" s="295" t="s">
        <v>16</v>
      </c>
      <c r="BJ1058" s="546">
        <v>1</v>
      </c>
      <c r="BK1058" s="294" t="s">
        <v>16</v>
      </c>
      <c r="BL1058" s="157" t="s">
        <v>16</v>
      </c>
      <c r="BM1058" s="548" t="s">
        <v>1343</v>
      </c>
      <c r="BN1058" s="548" t="s">
        <v>4162</v>
      </c>
      <c r="BO1058" s="157" t="s">
        <v>4588</v>
      </c>
      <c r="BP1058" s="548" t="s">
        <v>4028</v>
      </c>
      <c r="BQ1058" s="157" t="s">
        <v>4587</v>
      </c>
      <c r="BR1058" s="157"/>
    </row>
    <row r="1059" spans="1:70" x14ac:dyDescent="0.25">
      <c r="A1059" s="19" t="s">
        <v>3686</v>
      </c>
      <c r="B1059" s="37" t="s">
        <v>3259</v>
      </c>
      <c r="C1059" s="90">
        <v>45081.633668981478</v>
      </c>
      <c r="D1059" s="114">
        <v>45081.383668981478</v>
      </c>
      <c r="E1059" s="38">
        <v>45081</v>
      </c>
      <c r="F1059" s="91">
        <v>2023</v>
      </c>
      <c r="G1059" s="93">
        <v>6</v>
      </c>
      <c r="H1059" s="37" t="s">
        <v>1361</v>
      </c>
      <c r="I1059" s="37"/>
      <c r="J1059" s="103">
        <v>-91.590677602301895</v>
      </c>
      <c r="K1059" s="40">
        <v>43.395027816336039</v>
      </c>
      <c r="L1059" s="74"/>
      <c r="M1059" s="272" t="s">
        <v>3260</v>
      </c>
      <c r="N1059" s="74">
        <v>1</v>
      </c>
      <c r="O1059" s="94"/>
      <c r="P1059" s="118">
        <v>1</v>
      </c>
      <c r="Q1059" s="510">
        <v>180</v>
      </c>
      <c r="R1059" s="513">
        <v>180</v>
      </c>
      <c r="S1059" s="41"/>
      <c r="T1059" s="40"/>
      <c r="U1059" s="40">
        <v>8</v>
      </c>
      <c r="V1059" s="119">
        <v>1</v>
      </c>
      <c r="W1059" s="40">
        <v>0</v>
      </c>
      <c r="X1059" s="119">
        <v>1</v>
      </c>
      <c r="Y1059" s="40">
        <v>60</v>
      </c>
      <c r="Z1059" s="119">
        <v>1</v>
      </c>
      <c r="AA1059" s="368">
        <v>0</v>
      </c>
      <c r="AB1059" s="535">
        <v>2</v>
      </c>
      <c r="AC1059" s="39" t="s">
        <v>160</v>
      </c>
      <c r="AD1059" s="75" t="s">
        <v>10</v>
      </c>
      <c r="AE1059" s="95">
        <v>0</v>
      </c>
      <c r="AF1059" s="75">
        <v>0</v>
      </c>
      <c r="AG1059" s="75">
        <v>0</v>
      </c>
      <c r="AH1059" s="75">
        <v>0</v>
      </c>
      <c r="AI1059" s="75">
        <v>0</v>
      </c>
      <c r="AJ1059" s="75">
        <v>0</v>
      </c>
      <c r="AK1059" s="75">
        <v>0</v>
      </c>
      <c r="AL1059" s="95">
        <v>1</v>
      </c>
      <c r="AM1059" s="92">
        <v>0</v>
      </c>
      <c r="AN1059" s="79" t="s">
        <v>80</v>
      </c>
      <c r="AO1059" s="75">
        <v>1</v>
      </c>
      <c r="AP1059" s="75" t="s">
        <v>83</v>
      </c>
      <c r="AQ1059" s="122">
        <v>1</v>
      </c>
      <c r="AR1059" s="515" t="s">
        <v>10</v>
      </c>
      <c r="AS1059" s="95">
        <v>0</v>
      </c>
      <c r="AT1059" s="75">
        <v>0</v>
      </c>
      <c r="AU1059" s="75">
        <v>0</v>
      </c>
      <c r="AV1059" s="75">
        <v>0</v>
      </c>
      <c r="AW1059" s="123">
        <v>0</v>
      </c>
      <c r="AX1059" s="516"/>
      <c r="AY1059" s="75">
        <v>0</v>
      </c>
      <c r="AZ1059" s="77" t="s">
        <v>131</v>
      </c>
      <c r="BA1059" s="78" t="s">
        <v>131</v>
      </c>
      <c r="BB1059" s="78" t="s">
        <v>131</v>
      </c>
      <c r="BC1059" s="78" t="s">
        <v>131</v>
      </c>
      <c r="BD1059" s="78" t="s">
        <v>131</v>
      </c>
      <c r="BE1059" s="78" t="s">
        <v>131</v>
      </c>
      <c r="BF1059" s="78" t="s">
        <v>131</v>
      </c>
      <c r="BG1059" s="78" t="s">
        <v>132</v>
      </c>
      <c r="BH1059" s="75" t="s">
        <v>5970</v>
      </c>
      <c r="BI1059" s="295" t="s">
        <v>4043</v>
      </c>
      <c r="BJ1059" s="546">
        <v>1</v>
      </c>
      <c r="BK1059" s="294" t="s">
        <v>16</v>
      </c>
      <c r="BL1059" s="157" t="s">
        <v>16</v>
      </c>
      <c r="BM1059" s="548" t="s">
        <v>1344</v>
      </c>
      <c r="BN1059" s="548" t="s">
        <v>4160</v>
      </c>
      <c r="BO1059" s="157" t="s">
        <v>4589</v>
      </c>
      <c r="BP1059" s="548" t="s">
        <v>4590</v>
      </c>
      <c r="BQ1059" s="157" t="s">
        <v>4243</v>
      </c>
      <c r="BR1059" s="157"/>
    </row>
    <row r="1060" spans="1:70" x14ac:dyDescent="0.25">
      <c r="A1060" s="19" t="s">
        <v>3686</v>
      </c>
      <c r="B1060" s="37" t="s">
        <v>3261</v>
      </c>
      <c r="C1060" s="90">
        <v>45080.791643518518</v>
      </c>
      <c r="D1060" s="114">
        <v>45080.541643518518</v>
      </c>
      <c r="E1060" s="38">
        <v>45080</v>
      </c>
      <c r="F1060" s="91">
        <v>2023</v>
      </c>
      <c r="G1060" s="93">
        <v>6</v>
      </c>
      <c r="H1060" s="37" t="s">
        <v>3262</v>
      </c>
      <c r="I1060" s="37" t="s">
        <v>16</v>
      </c>
      <c r="J1060" s="103">
        <v>-92.4333271</v>
      </c>
      <c r="K1060" s="40">
        <v>44.291789600000001</v>
      </c>
      <c r="L1060" s="74"/>
      <c r="M1060" s="272" t="s">
        <v>3263</v>
      </c>
      <c r="N1060" s="74">
        <v>1</v>
      </c>
      <c r="O1060" s="94"/>
      <c r="P1060" s="118">
        <v>1</v>
      </c>
      <c r="Q1060" s="510">
        <v>0</v>
      </c>
      <c r="R1060" s="513">
        <v>60</v>
      </c>
      <c r="S1060" s="41"/>
      <c r="T1060" s="40"/>
      <c r="U1060" s="40">
        <v>7</v>
      </c>
      <c r="V1060" s="119">
        <v>0</v>
      </c>
      <c r="W1060" s="40"/>
      <c r="X1060" s="119">
        <v>0</v>
      </c>
      <c r="Y1060" s="40"/>
      <c r="Z1060" s="119">
        <v>1</v>
      </c>
      <c r="AA1060" s="368">
        <v>0</v>
      </c>
      <c r="AB1060" s="535">
        <v>10</v>
      </c>
      <c r="AC1060" s="39"/>
      <c r="AD1060" s="75" t="s">
        <v>10</v>
      </c>
      <c r="AE1060" s="95">
        <v>0</v>
      </c>
      <c r="AF1060" s="75">
        <v>0</v>
      </c>
      <c r="AG1060" s="75">
        <v>0</v>
      </c>
      <c r="AH1060" s="75">
        <v>0</v>
      </c>
      <c r="AI1060" s="75">
        <v>0</v>
      </c>
      <c r="AJ1060" s="75">
        <v>0</v>
      </c>
      <c r="AK1060" s="75">
        <v>0</v>
      </c>
      <c r="AL1060" s="95">
        <v>1</v>
      </c>
      <c r="AM1060" s="92">
        <v>0</v>
      </c>
      <c r="AN1060" s="79" t="s">
        <v>80</v>
      </c>
      <c r="AO1060" s="75">
        <v>1</v>
      </c>
      <c r="AP1060" s="75" t="s">
        <v>83</v>
      </c>
      <c r="AQ1060" s="122">
        <v>1</v>
      </c>
      <c r="AR1060" s="515" t="s">
        <v>10</v>
      </c>
      <c r="AS1060" s="95">
        <v>0</v>
      </c>
      <c r="AT1060" s="75">
        <v>0</v>
      </c>
      <c r="AU1060" s="75">
        <v>0</v>
      </c>
      <c r="AV1060" s="75">
        <v>0</v>
      </c>
      <c r="AW1060" s="123">
        <v>0</v>
      </c>
      <c r="AX1060" s="516"/>
      <c r="AY1060" s="75">
        <v>0</v>
      </c>
      <c r="AZ1060" s="77" t="s">
        <v>131</v>
      </c>
      <c r="BA1060" s="78" t="s">
        <v>131</v>
      </c>
      <c r="BB1060" s="78" t="s">
        <v>131</v>
      </c>
      <c r="BC1060" s="78" t="s">
        <v>131</v>
      </c>
      <c r="BD1060" s="78" t="s">
        <v>131</v>
      </c>
      <c r="BE1060" s="78" t="s">
        <v>131</v>
      </c>
      <c r="BF1060" s="78" t="s">
        <v>131</v>
      </c>
      <c r="BG1060" s="78" t="s">
        <v>132</v>
      </c>
      <c r="BH1060" s="75" t="s">
        <v>5970</v>
      </c>
      <c r="BI1060" s="295" t="s">
        <v>2234</v>
      </c>
      <c r="BJ1060" s="546">
        <v>1</v>
      </c>
      <c r="BK1060" s="294">
        <v>1</v>
      </c>
      <c r="BL1060" s="157">
        <v>1</v>
      </c>
      <c r="BM1060" s="548" t="s">
        <v>1339</v>
      </c>
      <c r="BN1060" s="548" t="s">
        <v>1339</v>
      </c>
      <c r="BO1060" s="157" t="s">
        <v>4331</v>
      </c>
      <c r="BP1060" s="548" t="s">
        <v>2234</v>
      </c>
      <c r="BQ1060" s="157" t="s">
        <v>4330</v>
      </c>
      <c r="BR1060" s="157"/>
    </row>
    <row r="1061" spans="1:70" x14ac:dyDescent="0.25">
      <c r="A1061" s="19" t="s">
        <v>3686</v>
      </c>
      <c r="B1061" s="37" t="s">
        <v>3264</v>
      </c>
      <c r="C1061" s="90">
        <v>45080.781956018516</v>
      </c>
      <c r="D1061" s="114">
        <v>45080.531956018516</v>
      </c>
      <c r="E1061" s="38">
        <v>45080</v>
      </c>
      <c r="F1061" s="91">
        <v>2023</v>
      </c>
      <c r="G1061" s="93">
        <v>6</v>
      </c>
      <c r="H1061" s="37" t="s">
        <v>3262</v>
      </c>
      <c r="I1061" s="37"/>
      <c r="J1061" s="103">
        <v>-92.433329299999997</v>
      </c>
      <c r="K1061" s="40">
        <v>44.291792399999999</v>
      </c>
      <c r="L1061" s="74"/>
      <c r="M1061" s="272" t="s">
        <v>3265</v>
      </c>
      <c r="N1061" s="74">
        <v>1</v>
      </c>
      <c r="O1061" s="94"/>
      <c r="P1061" s="118">
        <v>1</v>
      </c>
      <c r="Q1061" s="510">
        <v>240</v>
      </c>
      <c r="R1061" s="513">
        <v>120</v>
      </c>
      <c r="S1061" s="41"/>
      <c r="T1061" s="40"/>
      <c r="U1061" s="40">
        <v>8</v>
      </c>
      <c r="V1061" s="119">
        <v>1</v>
      </c>
      <c r="W1061" s="40">
        <v>200</v>
      </c>
      <c r="X1061" s="119">
        <v>1</v>
      </c>
      <c r="Y1061" s="40">
        <v>57</v>
      </c>
      <c r="Z1061" s="119">
        <v>1</v>
      </c>
      <c r="AA1061" s="368">
        <v>0</v>
      </c>
      <c r="AB1061" s="535">
        <v>10</v>
      </c>
      <c r="AC1061" s="39" t="s">
        <v>160</v>
      </c>
      <c r="AD1061" s="75" t="s">
        <v>10</v>
      </c>
      <c r="AE1061" s="95">
        <v>0</v>
      </c>
      <c r="AF1061" s="75">
        <v>0</v>
      </c>
      <c r="AG1061" s="75">
        <v>0</v>
      </c>
      <c r="AH1061" s="75">
        <v>0</v>
      </c>
      <c r="AI1061" s="75">
        <v>0</v>
      </c>
      <c r="AJ1061" s="75">
        <v>0</v>
      </c>
      <c r="AK1061" s="75">
        <v>0</v>
      </c>
      <c r="AL1061" s="95">
        <v>1</v>
      </c>
      <c r="AM1061" s="92">
        <v>0</v>
      </c>
      <c r="AN1061" s="79" t="s">
        <v>80</v>
      </c>
      <c r="AO1061" s="75">
        <v>1</v>
      </c>
      <c r="AP1061" s="75" t="s">
        <v>83</v>
      </c>
      <c r="AQ1061" s="122">
        <v>1</v>
      </c>
      <c r="AR1061" s="515" t="s">
        <v>10</v>
      </c>
      <c r="AS1061" s="95">
        <v>0</v>
      </c>
      <c r="AT1061" s="75">
        <v>0</v>
      </c>
      <c r="AU1061" s="75">
        <v>0</v>
      </c>
      <c r="AV1061" s="75">
        <v>0</v>
      </c>
      <c r="AW1061" s="123">
        <v>0</v>
      </c>
      <c r="AX1061" s="516"/>
      <c r="AY1061" s="75">
        <v>0</v>
      </c>
      <c r="AZ1061" s="77" t="s">
        <v>131</v>
      </c>
      <c r="BA1061" s="78" t="s">
        <v>131</v>
      </c>
      <c r="BB1061" s="78" t="s">
        <v>131</v>
      </c>
      <c r="BC1061" s="78" t="s">
        <v>131</v>
      </c>
      <c r="BD1061" s="78" t="s">
        <v>131</v>
      </c>
      <c r="BE1061" s="78" t="s">
        <v>131</v>
      </c>
      <c r="BF1061" s="78" t="s">
        <v>131</v>
      </c>
      <c r="BG1061" s="78" t="s">
        <v>132</v>
      </c>
      <c r="BH1061" s="75" t="s">
        <v>5970</v>
      </c>
      <c r="BI1061" s="295" t="s">
        <v>2234</v>
      </c>
      <c r="BJ1061" s="546">
        <v>1</v>
      </c>
      <c r="BK1061" s="294">
        <v>1</v>
      </c>
      <c r="BL1061" s="157">
        <v>1</v>
      </c>
      <c r="BM1061" s="548" t="s">
        <v>1339</v>
      </c>
      <c r="BN1061" s="548" t="s">
        <v>1339</v>
      </c>
      <c r="BO1061" s="157" t="s">
        <v>4331</v>
      </c>
      <c r="BP1061" s="548" t="s">
        <v>2234</v>
      </c>
      <c r="BQ1061" s="157" t="s">
        <v>4330</v>
      </c>
      <c r="BR1061" s="157"/>
    </row>
    <row r="1062" spans="1:70" x14ac:dyDescent="0.25">
      <c r="A1062" s="19" t="s">
        <v>3686</v>
      </c>
      <c r="B1062" s="37" t="s">
        <v>3266</v>
      </c>
      <c r="C1062" s="90">
        <v>45080.687951388885</v>
      </c>
      <c r="D1062" s="114">
        <v>45080.437951388885</v>
      </c>
      <c r="E1062" s="38">
        <v>45080</v>
      </c>
      <c r="F1062" s="91">
        <v>2023</v>
      </c>
      <c r="G1062" s="93">
        <v>6</v>
      </c>
      <c r="H1062" s="37" t="s">
        <v>1433</v>
      </c>
      <c r="I1062" s="37"/>
      <c r="J1062" s="103">
        <v>-92.621333031760514</v>
      </c>
      <c r="K1062" s="40">
        <v>44.875115084403589</v>
      </c>
      <c r="L1062" s="74"/>
      <c r="M1062" s="272" t="s">
        <v>16</v>
      </c>
      <c r="N1062" s="74">
        <v>0</v>
      </c>
      <c r="O1062" s="94"/>
      <c r="P1062" s="118">
        <v>1</v>
      </c>
      <c r="Q1062" s="510">
        <v>120</v>
      </c>
      <c r="R1062" s="513">
        <v>180</v>
      </c>
      <c r="S1062" s="41"/>
      <c r="T1062" s="40"/>
      <c r="U1062" s="40">
        <v>7.5</v>
      </c>
      <c r="V1062" s="119">
        <v>1</v>
      </c>
      <c r="W1062" s="40">
        <v>0</v>
      </c>
      <c r="X1062" s="119">
        <v>1</v>
      </c>
      <c r="Y1062" s="40">
        <v>58</v>
      </c>
      <c r="Z1062" s="119">
        <v>0</v>
      </c>
      <c r="AA1062" s="368" t="s">
        <v>16</v>
      </c>
      <c r="AB1062" s="535" t="s">
        <v>16</v>
      </c>
      <c r="AC1062" s="39" t="s">
        <v>160</v>
      </c>
      <c r="AD1062" s="75" t="s">
        <v>16</v>
      </c>
      <c r="AE1062" s="95">
        <v>-1</v>
      </c>
      <c r="AF1062" s="75">
        <v>-1</v>
      </c>
      <c r="AG1062" s="75">
        <v>-1</v>
      </c>
      <c r="AH1062" s="75">
        <v>-1</v>
      </c>
      <c r="AI1062" s="75">
        <v>-1</v>
      </c>
      <c r="AJ1062" s="75">
        <v>-1</v>
      </c>
      <c r="AK1062" s="75">
        <v>-1</v>
      </c>
      <c r="AL1062" s="95">
        <v>-1</v>
      </c>
      <c r="AM1062" s="92">
        <v>1</v>
      </c>
      <c r="AN1062" s="79"/>
      <c r="AO1062" s="75">
        <v>0</v>
      </c>
      <c r="AP1062" s="75"/>
      <c r="AQ1062" s="122">
        <v>0</v>
      </c>
      <c r="AR1062" s="515" t="s">
        <v>16</v>
      </c>
      <c r="AS1062" s="95">
        <v>-1</v>
      </c>
      <c r="AT1062" s="75">
        <v>-1</v>
      </c>
      <c r="AU1062" s="75">
        <v>-1</v>
      </c>
      <c r="AV1062" s="75">
        <v>-1</v>
      </c>
      <c r="AW1062" s="123">
        <v>1</v>
      </c>
      <c r="AX1062" s="516" t="s">
        <v>3267</v>
      </c>
      <c r="AY1062" s="75">
        <v>1</v>
      </c>
      <c r="AZ1062" s="77" t="s">
        <v>5971</v>
      </c>
      <c r="BA1062" s="78" t="s">
        <v>5971</v>
      </c>
      <c r="BB1062" s="78" t="s">
        <v>5971</v>
      </c>
      <c r="BC1062" s="78" t="s">
        <v>5971</v>
      </c>
      <c r="BD1062" s="78" t="s">
        <v>5971</v>
      </c>
      <c r="BE1062" s="78" t="s">
        <v>5971</v>
      </c>
      <c r="BF1062" s="78" t="s">
        <v>5971</v>
      </c>
      <c r="BG1062" s="78" t="s">
        <v>5971</v>
      </c>
      <c r="BH1062" s="75" t="s">
        <v>5971</v>
      </c>
      <c r="BI1062" s="295" t="s">
        <v>2227</v>
      </c>
      <c r="BJ1062" s="546">
        <v>1</v>
      </c>
      <c r="BK1062" s="294" t="s">
        <v>16</v>
      </c>
      <c r="BL1062" s="157" t="s">
        <v>16</v>
      </c>
      <c r="BM1062" s="548" t="s">
        <v>578</v>
      </c>
      <c r="BN1062" s="548" t="s">
        <v>4159</v>
      </c>
      <c r="BO1062" s="157" t="s">
        <v>4311</v>
      </c>
      <c r="BP1062" s="548" t="s">
        <v>4395</v>
      </c>
      <c r="BQ1062" s="157" t="s">
        <v>4309</v>
      </c>
      <c r="BR1062" s="157"/>
    </row>
    <row r="1063" spans="1:70" x14ac:dyDescent="0.25">
      <c r="A1063" s="19" t="s">
        <v>3686</v>
      </c>
      <c r="B1063" s="37" t="s">
        <v>3268</v>
      </c>
      <c r="C1063" s="90">
        <v>45080.633634259262</v>
      </c>
      <c r="D1063" s="114">
        <v>45080.383634259262</v>
      </c>
      <c r="E1063" s="38">
        <v>45080</v>
      </c>
      <c r="F1063" s="91">
        <v>2023</v>
      </c>
      <c r="G1063" s="93">
        <v>6</v>
      </c>
      <c r="H1063" s="37" t="s">
        <v>603</v>
      </c>
      <c r="I1063" s="37" t="s">
        <v>753</v>
      </c>
      <c r="J1063" s="103">
        <v>-92.802122999999995</v>
      </c>
      <c r="K1063" s="40">
        <v>44.543073900000003</v>
      </c>
      <c r="L1063" s="74"/>
      <c r="M1063" s="272" t="s">
        <v>3269</v>
      </c>
      <c r="N1063" s="74">
        <v>1</v>
      </c>
      <c r="O1063" s="94"/>
      <c r="P1063" s="118">
        <v>1</v>
      </c>
      <c r="Q1063" s="510">
        <v>80</v>
      </c>
      <c r="R1063" s="513">
        <v>120</v>
      </c>
      <c r="S1063" s="41"/>
      <c r="T1063" s="40"/>
      <c r="U1063" s="40">
        <v>7.5</v>
      </c>
      <c r="V1063" s="119">
        <v>1</v>
      </c>
      <c r="W1063" s="40">
        <v>100</v>
      </c>
      <c r="X1063" s="119">
        <v>1</v>
      </c>
      <c r="Y1063" s="40">
        <v>55</v>
      </c>
      <c r="Z1063" s="119">
        <v>1</v>
      </c>
      <c r="AA1063" s="368">
        <v>0</v>
      </c>
      <c r="AB1063" s="535">
        <v>20</v>
      </c>
      <c r="AC1063" s="39" t="s">
        <v>160</v>
      </c>
      <c r="AD1063" s="75" t="s">
        <v>16</v>
      </c>
      <c r="AE1063" s="95">
        <v>-1</v>
      </c>
      <c r="AF1063" s="75">
        <v>-1</v>
      </c>
      <c r="AG1063" s="75">
        <v>-1</v>
      </c>
      <c r="AH1063" s="75">
        <v>-1</v>
      </c>
      <c r="AI1063" s="75">
        <v>-1</v>
      </c>
      <c r="AJ1063" s="75">
        <v>-1</v>
      </c>
      <c r="AK1063" s="75">
        <v>-1</v>
      </c>
      <c r="AL1063" s="95">
        <v>-1</v>
      </c>
      <c r="AM1063" s="92">
        <v>1</v>
      </c>
      <c r="AN1063" s="79" t="s">
        <v>80</v>
      </c>
      <c r="AO1063" s="75">
        <v>1</v>
      </c>
      <c r="AP1063" s="75" t="s">
        <v>83</v>
      </c>
      <c r="AQ1063" s="122">
        <v>1</v>
      </c>
      <c r="AR1063" s="515" t="s">
        <v>10</v>
      </c>
      <c r="AS1063" s="95">
        <v>0</v>
      </c>
      <c r="AT1063" s="75">
        <v>0</v>
      </c>
      <c r="AU1063" s="75">
        <v>0</v>
      </c>
      <c r="AV1063" s="75">
        <v>0</v>
      </c>
      <c r="AW1063" s="123">
        <v>0</v>
      </c>
      <c r="AX1063" s="516"/>
      <c r="AY1063" s="75">
        <v>0</v>
      </c>
      <c r="AZ1063" s="77" t="s">
        <v>5971</v>
      </c>
      <c r="BA1063" s="78" t="s">
        <v>5971</v>
      </c>
      <c r="BB1063" s="78" t="s">
        <v>5971</v>
      </c>
      <c r="BC1063" s="78" t="s">
        <v>5971</v>
      </c>
      <c r="BD1063" s="78" t="s">
        <v>5971</v>
      </c>
      <c r="BE1063" s="78" t="s">
        <v>5971</v>
      </c>
      <c r="BF1063" s="78" t="s">
        <v>5971</v>
      </c>
      <c r="BG1063" s="78" t="s">
        <v>5971</v>
      </c>
      <c r="BH1063" s="75" t="s">
        <v>5971</v>
      </c>
      <c r="BI1063" s="295" t="s">
        <v>2224</v>
      </c>
      <c r="BJ1063" s="546">
        <v>1</v>
      </c>
      <c r="BK1063" s="294">
        <v>1</v>
      </c>
      <c r="BL1063" s="157">
        <v>1</v>
      </c>
      <c r="BM1063" s="548" t="s">
        <v>2343</v>
      </c>
      <c r="BN1063" s="548" t="s">
        <v>4161</v>
      </c>
      <c r="BO1063" s="157" t="s">
        <v>4510</v>
      </c>
      <c r="BP1063" s="548" t="s">
        <v>753</v>
      </c>
      <c r="BQ1063" s="157" t="s">
        <v>4389</v>
      </c>
      <c r="BR1063" s="157"/>
    </row>
    <row r="1064" spans="1:70" x14ac:dyDescent="0.25">
      <c r="A1064" s="19" t="s">
        <v>3686</v>
      </c>
      <c r="B1064" s="37" t="s">
        <v>3270</v>
      </c>
      <c r="C1064" s="90">
        <v>45080.574120370373</v>
      </c>
      <c r="D1064" s="114">
        <v>45080.324120370373</v>
      </c>
      <c r="E1064" s="38">
        <v>45080</v>
      </c>
      <c r="F1064" s="91">
        <v>2023</v>
      </c>
      <c r="G1064" s="93">
        <v>6</v>
      </c>
      <c r="H1064" s="37" t="s">
        <v>1410</v>
      </c>
      <c r="I1064" s="37" t="s">
        <v>1411</v>
      </c>
      <c r="J1064" s="103">
        <v>-93.231411153159343</v>
      </c>
      <c r="K1064" s="40">
        <v>44.846848418384752</v>
      </c>
      <c r="L1064" s="74"/>
      <c r="M1064" s="272" t="s">
        <v>3271</v>
      </c>
      <c r="N1064" s="74">
        <v>1</v>
      </c>
      <c r="O1064" s="94"/>
      <c r="P1064" s="118">
        <v>1</v>
      </c>
      <c r="Q1064" s="510">
        <v>180</v>
      </c>
      <c r="R1064" s="513">
        <v>180</v>
      </c>
      <c r="S1064" s="41"/>
      <c r="T1064" s="40"/>
      <c r="U1064" s="40">
        <v>8</v>
      </c>
      <c r="V1064" s="119">
        <v>1</v>
      </c>
      <c r="W1064" s="40">
        <v>0</v>
      </c>
      <c r="X1064" s="119">
        <v>1</v>
      </c>
      <c r="Y1064" s="40">
        <v>55</v>
      </c>
      <c r="Z1064" s="119">
        <v>1</v>
      </c>
      <c r="AA1064" s="368">
        <v>0</v>
      </c>
      <c r="AB1064" s="535">
        <v>0</v>
      </c>
      <c r="AC1064" s="39" t="s">
        <v>160</v>
      </c>
      <c r="AD1064" s="75" t="s">
        <v>10</v>
      </c>
      <c r="AE1064" s="95">
        <v>0</v>
      </c>
      <c r="AF1064" s="75">
        <v>0</v>
      </c>
      <c r="AG1064" s="75">
        <v>0</v>
      </c>
      <c r="AH1064" s="75">
        <v>0</v>
      </c>
      <c r="AI1064" s="75">
        <v>0</v>
      </c>
      <c r="AJ1064" s="75">
        <v>0</v>
      </c>
      <c r="AK1064" s="75">
        <v>0</v>
      </c>
      <c r="AL1064" s="95">
        <v>1</v>
      </c>
      <c r="AM1064" s="92">
        <v>0</v>
      </c>
      <c r="AN1064" s="79" t="s">
        <v>195</v>
      </c>
      <c r="AO1064" s="75">
        <v>1</v>
      </c>
      <c r="AP1064" s="75" t="s">
        <v>83</v>
      </c>
      <c r="AQ1064" s="122">
        <v>1</v>
      </c>
      <c r="AR1064" s="515" t="s">
        <v>10</v>
      </c>
      <c r="AS1064" s="95">
        <v>0</v>
      </c>
      <c r="AT1064" s="75">
        <v>0</v>
      </c>
      <c r="AU1064" s="75">
        <v>0</v>
      </c>
      <c r="AV1064" s="75">
        <v>0</v>
      </c>
      <c r="AW1064" s="123">
        <v>0</v>
      </c>
      <c r="AX1064" s="516" t="s">
        <v>3272</v>
      </c>
      <c r="AY1064" s="75">
        <v>1</v>
      </c>
      <c r="AZ1064" s="77" t="s">
        <v>131</v>
      </c>
      <c r="BA1064" s="78" t="s">
        <v>131</v>
      </c>
      <c r="BB1064" s="78" t="s">
        <v>131</v>
      </c>
      <c r="BC1064" s="78" t="s">
        <v>131</v>
      </c>
      <c r="BD1064" s="78" t="s">
        <v>131</v>
      </c>
      <c r="BE1064" s="78" t="s">
        <v>131</v>
      </c>
      <c r="BF1064" s="78" t="s">
        <v>131</v>
      </c>
      <c r="BG1064" s="78" t="s">
        <v>132</v>
      </c>
      <c r="BH1064" s="75" t="s">
        <v>5970</v>
      </c>
      <c r="BI1064" s="295" t="s">
        <v>16</v>
      </c>
      <c r="BJ1064" s="546" t="s">
        <v>16</v>
      </c>
      <c r="BK1064" s="294" t="s">
        <v>16</v>
      </c>
      <c r="BL1064" s="157" t="s">
        <v>16</v>
      </c>
      <c r="BM1064" s="548" t="s">
        <v>2343</v>
      </c>
      <c r="BN1064" s="548" t="s">
        <v>4161</v>
      </c>
      <c r="BO1064" s="157" t="s">
        <v>4327</v>
      </c>
      <c r="BP1064" s="548" t="s">
        <v>4314</v>
      </c>
      <c r="BQ1064" s="157" t="s">
        <v>4312</v>
      </c>
      <c r="BR1064" s="157"/>
    </row>
    <row r="1065" spans="1:70" x14ac:dyDescent="0.25">
      <c r="A1065" s="19" t="s">
        <v>3686</v>
      </c>
      <c r="B1065" s="37" t="s">
        <v>3273</v>
      </c>
      <c r="C1065" s="90">
        <v>45079.992627314816</v>
      </c>
      <c r="D1065" s="114">
        <v>45079.742627314816</v>
      </c>
      <c r="E1065" s="38">
        <v>45079</v>
      </c>
      <c r="F1065" s="91">
        <v>2023</v>
      </c>
      <c r="G1065" s="93">
        <v>6</v>
      </c>
      <c r="H1065" s="37" t="s">
        <v>1391</v>
      </c>
      <c r="I1065" s="37" t="s">
        <v>960</v>
      </c>
      <c r="J1065" s="103">
        <v>-93.009080607530663</v>
      </c>
      <c r="K1065" s="40">
        <v>44.657304547768696</v>
      </c>
      <c r="L1065" s="74"/>
      <c r="M1065" s="272" t="s">
        <v>16</v>
      </c>
      <c r="N1065" s="74">
        <v>0</v>
      </c>
      <c r="O1065" s="94"/>
      <c r="P1065" s="118">
        <v>1</v>
      </c>
      <c r="Q1065" s="510">
        <v>180</v>
      </c>
      <c r="R1065" s="513">
        <v>180</v>
      </c>
      <c r="S1065" s="41"/>
      <c r="T1065" s="40"/>
      <c r="U1065" s="40">
        <v>7.5</v>
      </c>
      <c r="V1065" s="119">
        <v>1</v>
      </c>
      <c r="W1065" s="40">
        <v>200</v>
      </c>
      <c r="X1065" s="119">
        <v>1</v>
      </c>
      <c r="Y1065" s="40">
        <v>68</v>
      </c>
      <c r="Z1065" s="119">
        <v>1</v>
      </c>
      <c r="AA1065" s="368">
        <v>0</v>
      </c>
      <c r="AB1065" s="535">
        <v>0</v>
      </c>
      <c r="AC1065" s="39" t="s">
        <v>160</v>
      </c>
      <c r="AD1065" s="75" t="s">
        <v>10</v>
      </c>
      <c r="AE1065" s="95">
        <v>0</v>
      </c>
      <c r="AF1065" s="75">
        <v>0</v>
      </c>
      <c r="AG1065" s="75">
        <v>0</v>
      </c>
      <c r="AH1065" s="75">
        <v>0</v>
      </c>
      <c r="AI1065" s="75">
        <v>0</v>
      </c>
      <c r="AJ1065" s="75">
        <v>0</v>
      </c>
      <c r="AK1065" s="75">
        <v>0</v>
      </c>
      <c r="AL1065" s="95">
        <v>1</v>
      </c>
      <c r="AM1065" s="92">
        <v>0</v>
      </c>
      <c r="AN1065" s="79" t="s">
        <v>81</v>
      </c>
      <c r="AO1065" s="75">
        <v>1</v>
      </c>
      <c r="AP1065" s="75" t="s">
        <v>83</v>
      </c>
      <c r="AQ1065" s="122">
        <v>1</v>
      </c>
      <c r="AR1065" s="515" t="s">
        <v>35</v>
      </c>
      <c r="AS1065" s="95">
        <v>0</v>
      </c>
      <c r="AT1065" s="75">
        <v>1</v>
      </c>
      <c r="AU1065" s="75">
        <v>0</v>
      </c>
      <c r="AV1065" s="75">
        <v>0</v>
      </c>
      <c r="AW1065" s="123">
        <v>0</v>
      </c>
      <c r="AX1065" s="516"/>
      <c r="AY1065" s="75">
        <v>0</v>
      </c>
      <c r="AZ1065" s="77" t="s">
        <v>131</v>
      </c>
      <c r="BA1065" s="78" t="s">
        <v>131</v>
      </c>
      <c r="BB1065" s="78" t="s">
        <v>131</v>
      </c>
      <c r="BC1065" s="78" t="s">
        <v>131</v>
      </c>
      <c r="BD1065" s="78" t="s">
        <v>131</v>
      </c>
      <c r="BE1065" s="78" t="s">
        <v>131</v>
      </c>
      <c r="BF1065" s="78" t="s">
        <v>131</v>
      </c>
      <c r="BG1065" s="78" t="s">
        <v>132</v>
      </c>
      <c r="BH1065" s="75" t="s">
        <v>5970</v>
      </c>
      <c r="BI1065" s="295" t="s">
        <v>2225</v>
      </c>
      <c r="BJ1065" s="546">
        <v>1</v>
      </c>
      <c r="BK1065" s="294" t="s">
        <v>16</v>
      </c>
      <c r="BL1065" s="157" t="s">
        <v>16</v>
      </c>
      <c r="BM1065" s="548" t="s">
        <v>2343</v>
      </c>
      <c r="BN1065" s="548" t="s">
        <v>4161</v>
      </c>
      <c r="BO1065" s="157" t="s">
        <v>4293</v>
      </c>
      <c r="BP1065" s="548" t="s">
        <v>2225</v>
      </c>
      <c r="BQ1065" s="157" t="s">
        <v>4292</v>
      </c>
      <c r="BR1065" s="157"/>
    </row>
    <row r="1066" spans="1:70" x14ac:dyDescent="0.25">
      <c r="A1066" s="19" t="s">
        <v>3686</v>
      </c>
      <c r="B1066" s="37" t="s">
        <v>3274</v>
      </c>
      <c r="C1066" s="90">
        <v>45079.869247685187</v>
      </c>
      <c r="D1066" s="114">
        <v>45079.619247685187</v>
      </c>
      <c r="E1066" s="38">
        <v>45079</v>
      </c>
      <c r="F1066" s="91">
        <v>2023</v>
      </c>
      <c r="G1066" s="93">
        <v>6</v>
      </c>
      <c r="H1066" s="37" t="s">
        <v>3137</v>
      </c>
      <c r="I1066" s="37"/>
      <c r="J1066" s="103">
        <v>-91.694778186137199</v>
      </c>
      <c r="K1066" s="40">
        <v>42.890033171613879</v>
      </c>
      <c r="L1066" s="74"/>
      <c r="M1066" s="272" t="s">
        <v>3275</v>
      </c>
      <c r="N1066" s="74">
        <v>1</v>
      </c>
      <c r="O1066" s="94"/>
      <c r="P1066" s="118">
        <v>1</v>
      </c>
      <c r="Q1066" s="510">
        <v>180</v>
      </c>
      <c r="R1066" s="513">
        <v>180</v>
      </c>
      <c r="S1066" s="41"/>
      <c r="T1066" s="40"/>
      <c r="U1066" s="40">
        <v>8</v>
      </c>
      <c r="V1066" s="119">
        <v>1</v>
      </c>
      <c r="W1066" s="40">
        <v>200</v>
      </c>
      <c r="X1066" s="119">
        <v>1</v>
      </c>
      <c r="Y1066" s="40">
        <v>81</v>
      </c>
      <c r="Z1066" s="119">
        <v>1</v>
      </c>
      <c r="AA1066" s="368">
        <v>0</v>
      </c>
      <c r="AB1066" s="535">
        <v>5</v>
      </c>
      <c r="AC1066" s="39" t="s">
        <v>160</v>
      </c>
      <c r="AD1066" s="75" t="s">
        <v>7</v>
      </c>
      <c r="AE1066" s="95">
        <v>1</v>
      </c>
      <c r="AF1066" s="75">
        <v>0</v>
      </c>
      <c r="AG1066" s="75">
        <v>0</v>
      </c>
      <c r="AH1066" s="75">
        <v>0</v>
      </c>
      <c r="AI1066" s="75">
        <v>0</v>
      </c>
      <c r="AJ1066" s="75">
        <v>0</v>
      </c>
      <c r="AK1066" s="75">
        <v>0</v>
      </c>
      <c r="AL1066" s="95">
        <v>0</v>
      </c>
      <c r="AM1066" s="92">
        <v>0</v>
      </c>
      <c r="AN1066" s="79" t="s">
        <v>80</v>
      </c>
      <c r="AO1066" s="75">
        <v>1</v>
      </c>
      <c r="AP1066" s="75" t="s">
        <v>84</v>
      </c>
      <c r="AQ1066" s="122">
        <v>1</v>
      </c>
      <c r="AR1066" s="515" t="s">
        <v>16</v>
      </c>
      <c r="AS1066" s="95">
        <v>-1</v>
      </c>
      <c r="AT1066" s="75">
        <v>-1</v>
      </c>
      <c r="AU1066" s="75">
        <v>-1</v>
      </c>
      <c r="AV1066" s="75">
        <v>-1</v>
      </c>
      <c r="AW1066" s="123">
        <v>1</v>
      </c>
      <c r="AX1066" s="516"/>
      <c r="AY1066" s="75">
        <v>0</v>
      </c>
      <c r="AZ1066" s="77" t="s">
        <v>132</v>
      </c>
      <c r="BA1066" s="78" t="s">
        <v>131</v>
      </c>
      <c r="BB1066" s="78" t="s">
        <v>131</v>
      </c>
      <c r="BC1066" s="78" t="s">
        <v>131</v>
      </c>
      <c r="BD1066" s="78" t="s">
        <v>131</v>
      </c>
      <c r="BE1066" s="78" t="s">
        <v>131</v>
      </c>
      <c r="BF1066" s="78" t="s">
        <v>131</v>
      </c>
      <c r="BG1066" s="78" t="s">
        <v>131</v>
      </c>
      <c r="BH1066" s="75" t="s">
        <v>5970</v>
      </c>
      <c r="BI1066" s="295" t="s">
        <v>2283</v>
      </c>
      <c r="BJ1066" s="546">
        <v>1</v>
      </c>
      <c r="BK1066" s="294" t="s">
        <v>16</v>
      </c>
      <c r="BL1066" s="157" t="s">
        <v>16</v>
      </c>
      <c r="BM1066" s="548" t="s">
        <v>1347</v>
      </c>
      <c r="BN1066" s="548" t="s">
        <v>544</v>
      </c>
      <c r="BO1066" s="157" t="s">
        <v>4564</v>
      </c>
      <c r="BP1066" s="548" t="s">
        <v>2283</v>
      </c>
      <c r="BQ1066" s="157" t="s">
        <v>4563</v>
      </c>
      <c r="BR1066" s="157"/>
    </row>
    <row r="1067" spans="1:70" x14ac:dyDescent="0.25">
      <c r="A1067" s="19" t="s">
        <v>3686</v>
      </c>
      <c r="B1067" s="37" t="s">
        <v>3276</v>
      </c>
      <c r="C1067" s="90">
        <v>45079.8434375</v>
      </c>
      <c r="D1067" s="114">
        <v>45079.5934375</v>
      </c>
      <c r="E1067" s="38">
        <v>45079</v>
      </c>
      <c r="F1067" s="91">
        <v>2023</v>
      </c>
      <c r="G1067" s="93">
        <v>6</v>
      </c>
      <c r="H1067" s="37" t="s">
        <v>2534</v>
      </c>
      <c r="I1067" s="37"/>
      <c r="J1067" s="103">
        <v>-92.641795942580956</v>
      </c>
      <c r="K1067" s="40">
        <v>44.849899669783134</v>
      </c>
      <c r="L1067" s="74"/>
      <c r="M1067" s="272" t="s">
        <v>16</v>
      </c>
      <c r="N1067" s="74">
        <v>0</v>
      </c>
      <c r="O1067" s="94"/>
      <c r="P1067" s="118">
        <v>1</v>
      </c>
      <c r="Q1067" s="510">
        <v>40</v>
      </c>
      <c r="R1067" s="513">
        <v>180</v>
      </c>
      <c r="S1067" s="41"/>
      <c r="T1067" s="40"/>
      <c r="U1067" s="40">
        <v>7</v>
      </c>
      <c r="V1067" s="119">
        <v>1</v>
      </c>
      <c r="W1067" s="40">
        <v>0</v>
      </c>
      <c r="X1067" s="119">
        <v>1</v>
      </c>
      <c r="Y1067" s="40">
        <v>68</v>
      </c>
      <c r="Z1067" s="119">
        <v>1</v>
      </c>
      <c r="AA1067" s="368">
        <v>0</v>
      </c>
      <c r="AB1067" s="535">
        <v>5</v>
      </c>
      <c r="AC1067" s="39" t="s">
        <v>160</v>
      </c>
      <c r="AD1067" s="75" t="s">
        <v>8</v>
      </c>
      <c r="AE1067" s="95">
        <v>0</v>
      </c>
      <c r="AF1067" s="75">
        <v>1</v>
      </c>
      <c r="AG1067" s="75">
        <v>0</v>
      </c>
      <c r="AH1067" s="75">
        <v>0</v>
      </c>
      <c r="AI1067" s="75">
        <v>0</v>
      </c>
      <c r="AJ1067" s="75">
        <v>0</v>
      </c>
      <c r="AK1067" s="75">
        <v>0</v>
      </c>
      <c r="AL1067" s="95">
        <v>0</v>
      </c>
      <c r="AM1067" s="92">
        <v>0</v>
      </c>
      <c r="AN1067" s="79" t="s">
        <v>80</v>
      </c>
      <c r="AO1067" s="75">
        <v>1</v>
      </c>
      <c r="AP1067" s="75" t="s">
        <v>83</v>
      </c>
      <c r="AQ1067" s="122">
        <v>1</v>
      </c>
      <c r="AR1067" s="515" t="s">
        <v>10</v>
      </c>
      <c r="AS1067" s="95">
        <v>0</v>
      </c>
      <c r="AT1067" s="75">
        <v>0</v>
      </c>
      <c r="AU1067" s="75">
        <v>0</v>
      </c>
      <c r="AV1067" s="75">
        <v>0</v>
      </c>
      <c r="AW1067" s="123">
        <v>0</v>
      </c>
      <c r="AX1067" s="516" t="s">
        <v>3277</v>
      </c>
      <c r="AY1067" s="75">
        <v>1</v>
      </c>
      <c r="AZ1067" s="77" t="s">
        <v>131</v>
      </c>
      <c r="BA1067" s="78" t="s">
        <v>132</v>
      </c>
      <c r="BB1067" s="78" t="s">
        <v>131</v>
      </c>
      <c r="BC1067" s="78" t="s">
        <v>131</v>
      </c>
      <c r="BD1067" s="78" t="s">
        <v>131</v>
      </c>
      <c r="BE1067" s="78" t="s">
        <v>131</v>
      </c>
      <c r="BF1067" s="78" t="s">
        <v>131</v>
      </c>
      <c r="BG1067" s="78" t="s">
        <v>131</v>
      </c>
      <c r="BH1067" s="75" t="s">
        <v>5970</v>
      </c>
      <c r="BI1067" s="295" t="s">
        <v>2227</v>
      </c>
      <c r="BJ1067" s="546">
        <v>1</v>
      </c>
      <c r="BK1067" s="294">
        <v>1</v>
      </c>
      <c r="BL1067" s="157">
        <v>1</v>
      </c>
      <c r="BM1067" s="548" t="s">
        <v>578</v>
      </c>
      <c r="BN1067" s="548" t="s">
        <v>4159</v>
      </c>
      <c r="BO1067" s="157" t="s">
        <v>4341</v>
      </c>
      <c r="BP1067" s="548" t="s">
        <v>4343</v>
      </c>
      <c r="BQ1067" s="157" t="s">
        <v>4309</v>
      </c>
      <c r="BR1067" s="157"/>
    </row>
    <row r="1068" spans="1:70" x14ac:dyDescent="0.25">
      <c r="A1068" s="19" t="s">
        <v>3686</v>
      </c>
      <c r="B1068" s="37" t="s">
        <v>3278</v>
      </c>
      <c r="C1068" s="90">
        <v>45079.832361111112</v>
      </c>
      <c r="D1068" s="114">
        <v>45079.582361111112</v>
      </c>
      <c r="E1068" s="38">
        <v>45079</v>
      </c>
      <c r="F1068" s="91">
        <v>2023</v>
      </c>
      <c r="G1068" s="93">
        <v>6</v>
      </c>
      <c r="H1068" s="37" t="s">
        <v>3137</v>
      </c>
      <c r="I1068" s="37"/>
      <c r="J1068" s="103">
        <v>-91.682562892645095</v>
      </c>
      <c r="K1068" s="40">
        <v>42.88232704775546</v>
      </c>
      <c r="L1068" s="74"/>
      <c r="M1068" s="272" t="s">
        <v>3279</v>
      </c>
      <c r="N1068" s="74">
        <v>1</v>
      </c>
      <c r="O1068" s="94"/>
      <c r="P1068" s="118">
        <v>1</v>
      </c>
      <c r="Q1068" s="510">
        <v>180</v>
      </c>
      <c r="R1068" s="513">
        <v>180</v>
      </c>
      <c r="S1068" s="41"/>
      <c r="T1068" s="40"/>
      <c r="U1068" s="40">
        <v>8</v>
      </c>
      <c r="V1068" s="119">
        <v>1</v>
      </c>
      <c r="W1068" s="40">
        <v>100</v>
      </c>
      <c r="X1068" s="119">
        <v>1</v>
      </c>
      <c r="Y1068" s="40">
        <v>64</v>
      </c>
      <c r="Z1068" s="119">
        <v>1</v>
      </c>
      <c r="AA1068" s="368">
        <v>0</v>
      </c>
      <c r="AB1068" s="535">
        <v>5</v>
      </c>
      <c r="AC1068" s="39" t="s">
        <v>160</v>
      </c>
      <c r="AD1068" s="75" t="s">
        <v>8</v>
      </c>
      <c r="AE1068" s="95">
        <v>0</v>
      </c>
      <c r="AF1068" s="75">
        <v>1</v>
      </c>
      <c r="AG1068" s="75">
        <v>0</v>
      </c>
      <c r="AH1068" s="75">
        <v>0</v>
      </c>
      <c r="AI1068" s="75">
        <v>0</v>
      </c>
      <c r="AJ1068" s="75">
        <v>0</v>
      </c>
      <c r="AK1068" s="75">
        <v>0</v>
      </c>
      <c r="AL1068" s="95">
        <v>0</v>
      </c>
      <c r="AM1068" s="92">
        <v>0</v>
      </c>
      <c r="AN1068" s="79" t="s">
        <v>80</v>
      </c>
      <c r="AO1068" s="75">
        <v>1</v>
      </c>
      <c r="AP1068" s="75" t="s">
        <v>83</v>
      </c>
      <c r="AQ1068" s="122">
        <v>1</v>
      </c>
      <c r="AR1068" s="515" t="s">
        <v>16</v>
      </c>
      <c r="AS1068" s="95">
        <v>-1</v>
      </c>
      <c r="AT1068" s="75">
        <v>-1</v>
      </c>
      <c r="AU1068" s="75">
        <v>-1</v>
      </c>
      <c r="AV1068" s="75">
        <v>-1</v>
      </c>
      <c r="AW1068" s="123">
        <v>1</v>
      </c>
      <c r="AX1068" s="516"/>
      <c r="AY1068" s="75">
        <v>0</v>
      </c>
      <c r="AZ1068" s="77" t="s">
        <v>131</v>
      </c>
      <c r="BA1068" s="78" t="s">
        <v>132</v>
      </c>
      <c r="BB1068" s="78" t="s">
        <v>131</v>
      </c>
      <c r="BC1068" s="78" t="s">
        <v>131</v>
      </c>
      <c r="BD1068" s="78" t="s">
        <v>131</v>
      </c>
      <c r="BE1068" s="78" t="s">
        <v>131</v>
      </c>
      <c r="BF1068" s="78" t="s">
        <v>131</v>
      </c>
      <c r="BG1068" s="78" t="s">
        <v>131</v>
      </c>
      <c r="BH1068" s="75" t="s">
        <v>5970</v>
      </c>
      <c r="BI1068" s="295" t="s">
        <v>16</v>
      </c>
      <c r="BJ1068" s="546">
        <v>1</v>
      </c>
      <c r="BK1068" s="294" t="s">
        <v>16</v>
      </c>
      <c r="BL1068" s="157" t="s">
        <v>16</v>
      </c>
      <c r="BM1068" s="548" t="s">
        <v>1344</v>
      </c>
      <c r="BN1068" s="548" t="s">
        <v>544</v>
      </c>
      <c r="BO1068" s="157" t="s">
        <v>4564</v>
      </c>
      <c r="BP1068" s="548" t="s">
        <v>2283</v>
      </c>
      <c r="BQ1068" s="157" t="s">
        <v>4563</v>
      </c>
      <c r="BR1068" s="157"/>
    </row>
    <row r="1069" spans="1:70" x14ac:dyDescent="0.25">
      <c r="A1069" s="19" t="s">
        <v>3686</v>
      </c>
      <c r="B1069" s="37" t="s">
        <v>3280</v>
      </c>
      <c r="C1069" s="90">
        <v>45079.830185185187</v>
      </c>
      <c r="D1069" s="114">
        <v>45079.580185185187</v>
      </c>
      <c r="E1069" s="38">
        <v>45079</v>
      </c>
      <c r="F1069" s="91">
        <v>2023</v>
      </c>
      <c r="G1069" s="93">
        <v>6</v>
      </c>
      <c r="H1069" s="37" t="s">
        <v>2423</v>
      </c>
      <c r="I1069" s="37"/>
      <c r="J1069" s="103">
        <v>-92.644035400000007</v>
      </c>
      <c r="K1069" s="40">
        <v>44.8443532</v>
      </c>
      <c r="L1069" s="74"/>
      <c r="M1069" s="272" t="s">
        <v>16</v>
      </c>
      <c r="N1069" s="74">
        <v>0</v>
      </c>
      <c r="O1069" s="94"/>
      <c r="P1069" s="118">
        <v>1</v>
      </c>
      <c r="Q1069" s="510">
        <v>80</v>
      </c>
      <c r="R1069" s="513">
        <v>180</v>
      </c>
      <c r="S1069" s="41"/>
      <c r="T1069" s="40"/>
      <c r="U1069" s="40">
        <v>7.5</v>
      </c>
      <c r="V1069" s="119">
        <v>1</v>
      </c>
      <c r="W1069" s="40">
        <v>0</v>
      </c>
      <c r="X1069" s="119">
        <v>1</v>
      </c>
      <c r="Y1069" s="40">
        <v>68</v>
      </c>
      <c r="Z1069" s="119">
        <v>1</v>
      </c>
      <c r="AA1069" s="368">
        <v>0</v>
      </c>
      <c r="AB1069" s="535">
        <v>2</v>
      </c>
      <c r="AC1069" s="39" t="s">
        <v>160</v>
      </c>
      <c r="AD1069" s="75" t="s">
        <v>10</v>
      </c>
      <c r="AE1069" s="95">
        <v>0</v>
      </c>
      <c r="AF1069" s="75">
        <v>0</v>
      </c>
      <c r="AG1069" s="75">
        <v>0</v>
      </c>
      <c r="AH1069" s="75">
        <v>0</v>
      </c>
      <c r="AI1069" s="75">
        <v>0</v>
      </c>
      <c r="AJ1069" s="75">
        <v>0</v>
      </c>
      <c r="AK1069" s="75">
        <v>0</v>
      </c>
      <c r="AL1069" s="95">
        <v>1</v>
      </c>
      <c r="AM1069" s="92">
        <v>0</v>
      </c>
      <c r="AN1069" s="79" t="s">
        <v>80</v>
      </c>
      <c r="AO1069" s="75">
        <v>1</v>
      </c>
      <c r="AP1069" s="75" t="s">
        <v>83</v>
      </c>
      <c r="AQ1069" s="122">
        <v>1</v>
      </c>
      <c r="AR1069" s="515" t="s">
        <v>10</v>
      </c>
      <c r="AS1069" s="95">
        <v>0</v>
      </c>
      <c r="AT1069" s="75">
        <v>0</v>
      </c>
      <c r="AU1069" s="75">
        <v>0</v>
      </c>
      <c r="AV1069" s="75">
        <v>0</v>
      </c>
      <c r="AW1069" s="123">
        <v>0</v>
      </c>
      <c r="AX1069" s="516" t="s">
        <v>3281</v>
      </c>
      <c r="AY1069" s="75">
        <v>1</v>
      </c>
      <c r="AZ1069" s="77" t="s">
        <v>131</v>
      </c>
      <c r="BA1069" s="78" t="s">
        <v>131</v>
      </c>
      <c r="BB1069" s="78" t="s">
        <v>131</v>
      </c>
      <c r="BC1069" s="78" t="s">
        <v>131</v>
      </c>
      <c r="BD1069" s="78" t="s">
        <v>131</v>
      </c>
      <c r="BE1069" s="78" t="s">
        <v>131</v>
      </c>
      <c r="BF1069" s="78" t="s">
        <v>131</v>
      </c>
      <c r="BG1069" s="78" t="s">
        <v>132</v>
      </c>
      <c r="BH1069" s="75" t="s">
        <v>5970</v>
      </c>
      <c r="BI1069" s="295" t="s">
        <v>2227</v>
      </c>
      <c r="BJ1069" s="546">
        <v>1</v>
      </c>
      <c r="BK1069" s="294">
        <v>1</v>
      </c>
      <c r="BL1069" s="157">
        <v>1</v>
      </c>
      <c r="BM1069" s="548" t="s">
        <v>578</v>
      </c>
      <c r="BN1069" s="548" t="s">
        <v>4159</v>
      </c>
      <c r="BO1069" s="157" t="s">
        <v>4341</v>
      </c>
      <c r="BP1069" s="548" t="s">
        <v>4343</v>
      </c>
      <c r="BQ1069" s="157" t="s">
        <v>4309</v>
      </c>
      <c r="BR1069" s="157"/>
    </row>
    <row r="1070" spans="1:70" x14ac:dyDescent="0.25">
      <c r="A1070" s="19" t="s">
        <v>3686</v>
      </c>
      <c r="B1070" s="37" t="s">
        <v>3282</v>
      </c>
      <c r="C1070" s="90">
        <v>45079.824733796297</v>
      </c>
      <c r="D1070" s="114">
        <v>45079.574733796297</v>
      </c>
      <c r="E1070" s="38">
        <v>45079</v>
      </c>
      <c r="F1070" s="91">
        <v>2023</v>
      </c>
      <c r="G1070" s="93">
        <v>6</v>
      </c>
      <c r="H1070" s="37" t="s">
        <v>3283</v>
      </c>
      <c r="I1070" s="37"/>
      <c r="J1070" s="103">
        <v>-93.384248663440516</v>
      </c>
      <c r="K1070" s="40">
        <v>44.77954538413826</v>
      </c>
      <c r="L1070" s="74"/>
      <c r="M1070" s="272" t="s">
        <v>3284</v>
      </c>
      <c r="N1070" s="74">
        <v>1</v>
      </c>
      <c r="O1070" s="94"/>
      <c r="P1070" s="118">
        <v>1</v>
      </c>
      <c r="Q1070" s="510">
        <v>180</v>
      </c>
      <c r="R1070" s="513">
        <v>180</v>
      </c>
      <c r="S1070" s="41"/>
      <c r="T1070" s="40"/>
      <c r="U1070" s="40">
        <v>7</v>
      </c>
      <c r="V1070" s="119">
        <v>0</v>
      </c>
      <c r="W1070" s="40"/>
      <c r="X1070" s="119">
        <v>0</v>
      </c>
      <c r="Y1070" s="40"/>
      <c r="Z1070" s="119">
        <v>0</v>
      </c>
      <c r="AA1070" s="368" t="s">
        <v>16</v>
      </c>
      <c r="AB1070" s="535" t="s">
        <v>16</v>
      </c>
      <c r="AC1070" s="39"/>
      <c r="AD1070" s="75" t="s">
        <v>16</v>
      </c>
      <c r="AE1070" s="95">
        <v>-1</v>
      </c>
      <c r="AF1070" s="75">
        <v>-1</v>
      </c>
      <c r="AG1070" s="75">
        <v>-1</v>
      </c>
      <c r="AH1070" s="75">
        <v>-1</v>
      </c>
      <c r="AI1070" s="75">
        <v>-1</v>
      </c>
      <c r="AJ1070" s="75">
        <v>-1</v>
      </c>
      <c r="AK1070" s="75">
        <v>-1</v>
      </c>
      <c r="AL1070" s="95">
        <v>-1</v>
      </c>
      <c r="AM1070" s="92">
        <v>1</v>
      </c>
      <c r="AN1070" s="79"/>
      <c r="AO1070" s="75">
        <v>0</v>
      </c>
      <c r="AP1070" s="75"/>
      <c r="AQ1070" s="122">
        <v>0</v>
      </c>
      <c r="AR1070" s="515" t="s">
        <v>16</v>
      </c>
      <c r="AS1070" s="95">
        <v>-1</v>
      </c>
      <c r="AT1070" s="75">
        <v>-1</v>
      </c>
      <c r="AU1070" s="75">
        <v>-1</v>
      </c>
      <c r="AV1070" s="75">
        <v>-1</v>
      </c>
      <c r="AW1070" s="123">
        <v>1</v>
      </c>
      <c r="AX1070" s="516"/>
      <c r="AY1070" s="75">
        <v>0</v>
      </c>
      <c r="AZ1070" s="77" t="s">
        <v>5971</v>
      </c>
      <c r="BA1070" s="78" t="s">
        <v>5971</v>
      </c>
      <c r="BB1070" s="78" t="s">
        <v>5971</v>
      </c>
      <c r="BC1070" s="78" t="s">
        <v>5971</v>
      </c>
      <c r="BD1070" s="78" t="s">
        <v>5971</v>
      </c>
      <c r="BE1070" s="78" t="s">
        <v>5971</v>
      </c>
      <c r="BF1070" s="78" t="s">
        <v>5971</v>
      </c>
      <c r="BG1070" s="78" t="s">
        <v>5971</v>
      </c>
      <c r="BH1070" s="75" t="s">
        <v>5971</v>
      </c>
      <c r="BI1070" s="295" t="s">
        <v>2277</v>
      </c>
      <c r="BJ1070" s="546">
        <v>1</v>
      </c>
      <c r="BK1070" s="294" t="s">
        <v>16</v>
      </c>
      <c r="BL1070" s="157" t="s">
        <v>16</v>
      </c>
      <c r="BM1070" s="548" t="s">
        <v>2343</v>
      </c>
      <c r="BN1070" s="548" t="s">
        <v>4161</v>
      </c>
      <c r="BO1070" s="157" t="s">
        <v>4313</v>
      </c>
      <c r="BP1070" s="548" t="s">
        <v>4315</v>
      </c>
      <c r="BQ1070" s="157" t="s">
        <v>4312</v>
      </c>
      <c r="BR1070" s="157"/>
    </row>
    <row r="1071" spans="1:70" x14ac:dyDescent="0.25">
      <c r="A1071" s="19" t="s">
        <v>3686</v>
      </c>
      <c r="B1071" s="37" t="s">
        <v>3285</v>
      </c>
      <c r="C1071" s="90">
        <v>45079.821377314816</v>
      </c>
      <c r="D1071" s="114">
        <v>45079.571377314816</v>
      </c>
      <c r="E1071" s="38">
        <v>45079</v>
      </c>
      <c r="F1071" s="91">
        <v>2023</v>
      </c>
      <c r="G1071" s="93">
        <v>6</v>
      </c>
      <c r="H1071" s="37" t="s">
        <v>3283</v>
      </c>
      <c r="I1071" s="37" t="s">
        <v>16</v>
      </c>
      <c r="J1071" s="103">
        <v>-93.384250267559835</v>
      </c>
      <c r="K1071" s="40">
        <v>44.779418294157772</v>
      </c>
      <c r="L1071" s="74"/>
      <c r="M1071" s="272" t="s">
        <v>16</v>
      </c>
      <c r="N1071" s="74">
        <v>0</v>
      </c>
      <c r="O1071" s="94"/>
      <c r="P1071" s="118">
        <v>1</v>
      </c>
      <c r="Q1071" s="510">
        <v>180</v>
      </c>
      <c r="R1071" s="513">
        <v>120</v>
      </c>
      <c r="S1071" s="41"/>
      <c r="T1071" s="40"/>
      <c r="U1071" s="40">
        <v>7</v>
      </c>
      <c r="V1071" s="119">
        <v>0</v>
      </c>
      <c r="W1071" s="40"/>
      <c r="X1071" s="119">
        <v>1</v>
      </c>
      <c r="Y1071" s="40">
        <v>58</v>
      </c>
      <c r="Z1071" s="119">
        <v>0</v>
      </c>
      <c r="AA1071" s="368" t="s">
        <v>16</v>
      </c>
      <c r="AB1071" s="535" t="s">
        <v>16</v>
      </c>
      <c r="AC1071" s="39" t="s">
        <v>160</v>
      </c>
      <c r="AD1071" s="75" t="s">
        <v>16</v>
      </c>
      <c r="AE1071" s="95">
        <v>-1</v>
      </c>
      <c r="AF1071" s="75">
        <v>-1</v>
      </c>
      <c r="AG1071" s="75">
        <v>-1</v>
      </c>
      <c r="AH1071" s="75">
        <v>-1</v>
      </c>
      <c r="AI1071" s="75">
        <v>-1</v>
      </c>
      <c r="AJ1071" s="75">
        <v>-1</v>
      </c>
      <c r="AK1071" s="75">
        <v>-1</v>
      </c>
      <c r="AL1071" s="95">
        <v>-1</v>
      </c>
      <c r="AM1071" s="92">
        <v>1</v>
      </c>
      <c r="AN1071" s="79" t="s">
        <v>81</v>
      </c>
      <c r="AO1071" s="75">
        <v>1</v>
      </c>
      <c r="AP1071" s="75" t="s">
        <v>83</v>
      </c>
      <c r="AQ1071" s="122">
        <v>1</v>
      </c>
      <c r="AR1071" s="515" t="s">
        <v>10</v>
      </c>
      <c r="AS1071" s="95">
        <v>0</v>
      </c>
      <c r="AT1071" s="75">
        <v>0</v>
      </c>
      <c r="AU1071" s="75">
        <v>0</v>
      </c>
      <c r="AV1071" s="75">
        <v>0</v>
      </c>
      <c r="AW1071" s="123">
        <v>0</v>
      </c>
      <c r="AX1071" s="516"/>
      <c r="AY1071" s="75">
        <v>0</v>
      </c>
      <c r="AZ1071" s="77" t="s">
        <v>5971</v>
      </c>
      <c r="BA1071" s="78" t="s">
        <v>5971</v>
      </c>
      <c r="BB1071" s="78" t="s">
        <v>5971</v>
      </c>
      <c r="BC1071" s="78" t="s">
        <v>5971</v>
      </c>
      <c r="BD1071" s="78" t="s">
        <v>5971</v>
      </c>
      <c r="BE1071" s="78" t="s">
        <v>5971</v>
      </c>
      <c r="BF1071" s="78" t="s">
        <v>5971</v>
      </c>
      <c r="BG1071" s="78" t="s">
        <v>5971</v>
      </c>
      <c r="BH1071" s="75" t="s">
        <v>5971</v>
      </c>
      <c r="BI1071" s="295" t="s">
        <v>2277</v>
      </c>
      <c r="BJ1071" s="546">
        <v>1</v>
      </c>
      <c r="BK1071" s="294" t="s">
        <v>16</v>
      </c>
      <c r="BL1071" s="157" t="s">
        <v>16</v>
      </c>
      <c r="BM1071" s="548" t="s">
        <v>2343</v>
      </c>
      <c r="BN1071" s="548" t="s">
        <v>4161</v>
      </c>
      <c r="BO1071" s="157" t="s">
        <v>4313</v>
      </c>
      <c r="BP1071" s="548" t="s">
        <v>4315</v>
      </c>
      <c r="BQ1071" s="157" t="s">
        <v>4312</v>
      </c>
      <c r="BR1071" s="157"/>
    </row>
    <row r="1072" spans="1:70" x14ac:dyDescent="0.25">
      <c r="A1072" s="19" t="s">
        <v>3686</v>
      </c>
      <c r="B1072" s="37" t="s">
        <v>3286</v>
      </c>
      <c r="C1072" s="90">
        <v>45079.802754629629</v>
      </c>
      <c r="D1072" s="114">
        <v>45079.552754629629</v>
      </c>
      <c r="E1072" s="38">
        <v>45079</v>
      </c>
      <c r="F1072" s="91">
        <v>2023</v>
      </c>
      <c r="G1072" s="93">
        <v>6</v>
      </c>
      <c r="H1072" s="37" t="s">
        <v>2534</v>
      </c>
      <c r="I1072" s="37" t="s">
        <v>16</v>
      </c>
      <c r="J1072" s="103">
        <v>-92.732062843142046</v>
      </c>
      <c r="K1072" s="40">
        <v>44.831061549684506</v>
      </c>
      <c r="L1072" s="74"/>
      <c r="M1072" s="272" t="s">
        <v>3287</v>
      </c>
      <c r="N1072" s="74">
        <v>1</v>
      </c>
      <c r="O1072" s="94"/>
      <c r="P1072" s="118">
        <v>1</v>
      </c>
      <c r="Q1072" s="510">
        <v>0</v>
      </c>
      <c r="R1072" s="513">
        <v>60</v>
      </c>
      <c r="S1072" s="41"/>
      <c r="T1072" s="40"/>
      <c r="U1072" s="40">
        <v>7</v>
      </c>
      <c r="V1072" s="119">
        <v>1</v>
      </c>
      <c r="W1072" s="40">
        <v>0</v>
      </c>
      <c r="X1072" s="119">
        <v>1</v>
      </c>
      <c r="Y1072" s="40">
        <v>69</v>
      </c>
      <c r="Z1072" s="119">
        <v>1</v>
      </c>
      <c r="AA1072" s="368">
        <v>0</v>
      </c>
      <c r="AB1072" s="535">
        <v>5</v>
      </c>
      <c r="AC1072" s="39" t="s">
        <v>160</v>
      </c>
      <c r="AD1072" s="75" t="s">
        <v>10</v>
      </c>
      <c r="AE1072" s="95">
        <v>0</v>
      </c>
      <c r="AF1072" s="75">
        <v>0</v>
      </c>
      <c r="AG1072" s="75">
        <v>0</v>
      </c>
      <c r="AH1072" s="75">
        <v>0</v>
      </c>
      <c r="AI1072" s="75">
        <v>0</v>
      </c>
      <c r="AJ1072" s="75">
        <v>0</v>
      </c>
      <c r="AK1072" s="75">
        <v>0</v>
      </c>
      <c r="AL1072" s="95">
        <v>1</v>
      </c>
      <c r="AM1072" s="92">
        <v>0</v>
      </c>
      <c r="AN1072" s="79" t="s">
        <v>80</v>
      </c>
      <c r="AO1072" s="75">
        <v>1</v>
      </c>
      <c r="AP1072" s="75" t="s">
        <v>83</v>
      </c>
      <c r="AQ1072" s="122">
        <v>1</v>
      </c>
      <c r="AR1072" s="515" t="s">
        <v>10</v>
      </c>
      <c r="AS1072" s="95">
        <v>0</v>
      </c>
      <c r="AT1072" s="75">
        <v>0</v>
      </c>
      <c r="AU1072" s="75">
        <v>0</v>
      </c>
      <c r="AV1072" s="75">
        <v>0</v>
      </c>
      <c r="AW1072" s="123">
        <v>0</v>
      </c>
      <c r="AX1072" s="516" t="s">
        <v>3277</v>
      </c>
      <c r="AY1072" s="75">
        <v>1</v>
      </c>
      <c r="AZ1072" s="77" t="s">
        <v>131</v>
      </c>
      <c r="BA1072" s="78" t="s">
        <v>131</v>
      </c>
      <c r="BB1072" s="78" t="s">
        <v>131</v>
      </c>
      <c r="BC1072" s="78" t="s">
        <v>131</v>
      </c>
      <c r="BD1072" s="78" t="s">
        <v>131</v>
      </c>
      <c r="BE1072" s="78" t="s">
        <v>131</v>
      </c>
      <c r="BF1072" s="78" t="s">
        <v>131</v>
      </c>
      <c r="BG1072" s="78" t="s">
        <v>132</v>
      </c>
      <c r="BH1072" s="75" t="s">
        <v>5970</v>
      </c>
      <c r="BI1072" s="295" t="s">
        <v>2227</v>
      </c>
      <c r="BJ1072" s="546">
        <v>1</v>
      </c>
      <c r="BK1072" s="294" t="s">
        <v>16</v>
      </c>
      <c r="BL1072" s="157" t="s">
        <v>16</v>
      </c>
      <c r="BM1072" s="548" t="s">
        <v>578</v>
      </c>
      <c r="BN1072" s="548" t="s">
        <v>4159</v>
      </c>
      <c r="BO1072" s="157" t="s">
        <v>4341</v>
      </c>
      <c r="BP1072" s="548" t="s">
        <v>4343</v>
      </c>
      <c r="BQ1072" s="157" t="s">
        <v>4309</v>
      </c>
      <c r="BR1072" s="157"/>
    </row>
    <row r="1073" spans="1:70" x14ac:dyDescent="0.25">
      <c r="A1073" s="19" t="s">
        <v>3686</v>
      </c>
      <c r="B1073" s="37" t="s">
        <v>3288</v>
      </c>
      <c r="C1073" s="90">
        <v>45079.730428240742</v>
      </c>
      <c r="D1073" s="114">
        <v>45079.480428240742</v>
      </c>
      <c r="E1073" s="38">
        <v>45079</v>
      </c>
      <c r="F1073" s="91">
        <v>2023</v>
      </c>
      <c r="G1073" s="93">
        <v>6</v>
      </c>
      <c r="H1073" s="37" t="s">
        <v>2423</v>
      </c>
      <c r="I1073" s="37"/>
      <c r="J1073" s="103">
        <v>-92.631911799999997</v>
      </c>
      <c r="K1073" s="40">
        <v>44.855443999999999</v>
      </c>
      <c r="L1073" s="74"/>
      <c r="M1073" s="272" t="s">
        <v>16</v>
      </c>
      <c r="N1073" s="74">
        <v>0</v>
      </c>
      <c r="O1073" s="94"/>
      <c r="P1073" s="118">
        <v>1</v>
      </c>
      <c r="Q1073" s="510">
        <v>80</v>
      </c>
      <c r="R1073" s="513">
        <v>180</v>
      </c>
      <c r="S1073" s="41"/>
      <c r="T1073" s="40"/>
      <c r="U1073" s="40">
        <v>7.5</v>
      </c>
      <c r="V1073" s="119">
        <v>1</v>
      </c>
      <c r="W1073" s="40">
        <v>0</v>
      </c>
      <c r="X1073" s="119">
        <v>1</v>
      </c>
      <c r="Y1073" s="40">
        <v>68</v>
      </c>
      <c r="Z1073" s="119">
        <v>1</v>
      </c>
      <c r="AA1073" s="368">
        <v>0</v>
      </c>
      <c r="AB1073" s="535">
        <v>5</v>
      </c>
      <c r="AC1073" s="39" t="s">
        <v>186</v>
      </c>
      <c r="AD1073" s="75" t="s">
        <v>9</v>
      </c>
      <c r="AE1073" s="95">
        <v>0</v>
      </c>
      <c r="AF1073" s="75">
        <v>0</v>
      </c>
      <c r="AG1073" s="75">
        <v>1</v>
      </c>
      <c r="AH1073" s="75">
        <v>0</v>
      </c>
      <c r="AI1073" s="75">
        <v>0</v>
      </c>
      <c r="AJ1073" s="75">
        <v>0</v>
      </c>
      <c r="AK1073" s="75">
        <v>0</v>
      </c>
      <c r="AL1073" s="95">
        <v>0</v>
      </c>
      <c r="AM1073" s="92">
        <v>0</v>
      </c>
      <c r="AN1073" s="79" t="s">
        <v>80</v>
      </c>
      <c r="AO1073" s="75">
        <v>1</v>
      </c>
      <c r="AP1073" s="75" t="s">
        <v>84</v>
      </c>
      <c r="AQ1073" s="122">
        <v>1</v>
      </c>
      <c r="AR1073" s="515" t="s">
        <v>10</v>
      </c>
      <c r="AS1073" s="95">
        <v>0</v>
      </c>
      <c r="AT1073" s="75">
        <v>0</v>
      </c>
      <c r="AU1073" s="75">
        <v>0</v>
      </c>
      <c r="AV1073" s="75">
        <v>0</v>
      </c>
      <c r="AW1073" s="123">
        <v>0</v>
      </c>
      <c r="AX1073" s="516" t="s">
        <v>1520</v>
      </c>
      <c r="AY1073" s="75">
        <v>1</v>
      </c>
      <c r="AZ1073" s="77" t="s">
        <v>131</v>
      </c>
      <c r="BA1073" s="78" t="s">
        <v>131</v>
      </c>
      <c r="BB1073" s="78" t="s">
        <v>132</v>
      </c>
      <c r="BC1073" s="78" t="s">
        <v>131</v>
      </c>
      <c r="BD1073" s="78" t="s">
        <v>131</v>
      </c>
      <c r="BE1073" s="78" t="s">
        <v>131</v>
      </c>
      <c r="BF1073" s="78" t="s">
        <v>131</v>
      </c>
      <c r="BG1073" s="78" t="s">
        <v>131</v>
      </c>
      <c r="BH1073" s="75" t="s">
        <v>5970</v>
      </c>
      <c r="BI1073" s="295" t="s">
        <v>2227</v>
      </c>
      <c r="BJ1073" s="546">
        <v>1</v>
      </c>
      <c r="BK1073" s="294">
        <v>1</v>
      </c>
      <c r="BL1073" s="157">
        <v>1</v>
      </c>
      <c r="BM1073" s="548" t="s">
        <v>578</v>
      </c>
      <c r="BN1073" s="548" t="s">
        <v>4159</v>
      </c>
      <c r="BO1073" s="157" t="s">
        <v>4311</v>
      </c>
      <c r="BP1073" s="548" t="s">
        <v>4395</v>
      </c>
      <c r="BQ1073" s="157" t="s">
        <v>4309</v>
      </c>
      <c r="BR1073" s="157"/>
    </row>
    <row r="1074" spans="1:70" x14ac:dyDescent="0.25">
      <c r="A1074" s="19" t="s">
        <v>3686</v>
      </c>
      <c r="B1074" s="37" t="s">
        <v>3289</v>
      </c>
      <c r="C1074" s="90">
        <v>45079.707662037035</v>
      </c>
      <c r="D1074" s="114">
        <v>45079.457662037035</v>
      </c>
      <c r="E1074" s="38">
        <v>45079</v>
      </c>
      <c r="F1074" s="91">
        <v>2023</v>
      </c>
      <c r="G1074" s="93">
        <v>6</v>
      </c>
      <c r="H1074" s="37" t="s">
        <v>2534</v>
      </c>
      <c r="I1074" s="37"/>
      <c r="J1074" s="103">
        <v>-92.638148529624516</v>
      </c>
      <c r="K1074" s="40">
        <v>44.851706101980447</v>
      </c>
      <c r="L1074" s="74"/>
      <c r="M1074" s="272" t="s">
        <v>16</v>
      </c>
      <c r="N1074" s="74">
        <v>0</v>
      </c>
      <c r="O1074" s="94"/>
      <c r="P1074" s="118">
        <v>1</v>
      </c>
      <c r="Q1074" s="510">
        <v>0</v>
      </c>
      <c r="R1074" s="513">
        <v>30</v>
      </c>
      <c r="S1074" s="41"/>
      <c r="T1074" s="40"/>
      <c r="U1074" s="40">
        <v>7.5</v>
      </c>
      <c r="V1074" s="119">
        <v>1</v>
      </c>
      <c r="W1074" s="40">
        <v>0</v>
      </c>
      <c r="X1074" s="119">
        <v>1</v>
      </c>
      <c r="Y1074" s="40">
        <v>65</v>
      </c>
      <c r="Z1074" s="119">
        <v>1</v>
      </c>
      <c r="AA1074" s="368">
        <v>0</v>
      </c>
      <c r="AB1074" s="535">
        <v>5</v>
      </c>
      <c r="AC1074" s="39" t="s">
        <v>160</v>
      </c>
      <c r="AD1074" s="75" t="s">
        <v>9</v>
      </c>
      <c r="AE1074" s="95">
        <v>0</v>
      </c>
      <c r="AF1074" s="75">
        <v>0</v>
      </c>
      <c r="AG1074" s="75">
        <v>1</v>
      </c>
      <c r="AH1074" s="75">
        <v>0</v>
      </c>
      <c r="AI1074" s="75">
        <v>0</v>
      </c>
      <c r="AJ1074" s="75">
        <v>0</v>
      </c>
      <c r="AK1074" s="75">
        <v>0</v>
      </c>
      <c r="AL1074" s="95">
        <v>0</v>
      </c>
      <c r="AM1074" s="92">
        <v>0</v>
      </c>
      <c r="AN1074" s="79" t="s">
        <v>81</v>
      </c>
      <c r="AO1074" s="75">
        <v>1</v>
      </c>
      <c r="AP1074" s="75" t="s">
        <v>83</v>
      </c>
      <c r="AQ1074" s="122">
        <v>1</v>
      </c>
      <c r="AR1074" s="515" t="s">
        <v>10</v>
      </c>
      <c r="AS1074" s="95">
        <v>0</v>
      </c>
      <c r="AT1074" s="75">
        <v>0</v>
      </c>
      <c r="AU1074" s="75">
        <v>0</v>
      </c>
      <c r="AV1074" s="75">
        <v>0</v>
      </c>
      <c r="AW1074" s="123">
        <v>0</v>
      </c>
      <c r="AX1074" s="516" t="s">
        <v>3277</v>
      </c>
      <c r="AY1074" s="75">
        <v>1</v>
      </c>
      <c r="AZ1074" s="77" t="s">
        <v>131</v>
      </c>
      <c r="BA1074" s="78" t="s">
        <v>131</v>
      </c>
      <c r="BB1074" s="78" t="s">
        <v>132</v>
      </c>
      <c r="BC1074" s="78" t="s">
        <v>131</v>
      </c>
      <c r="BD1074" s="78" t="s">
        <v>131</v>
      </c>
      <c r="BE1074" s="78" t="s">
        <v>131</v>
      </c>
      <c r="BF1074" s="78" t="s">
        <v>131</v>
      </c>
      <c r="BG1074" s="78" t="s">
        <v>131</v>
      </c>
      <c r="BH1074" s="75" t="s">
        <v>5970</v>
      </c>
      <c r="BI1074" s="295" t="s">
        <v>2227</v>
      </c>
      <c r="BJ1074" s="546">
        <v>1</v>
      </c>
      <c r="BK1074" s="294">
        <v>1</v>
      </c>
      <c r="BL1074" s="157">
        <v>1</v>
      </c>
      <c r="BM1074" s="548" t="s">
        <v>578</v>
      </c>
      <c r="BN1074" s="548" t="s">
        <v>4159</v>
      </c>
      <c r="BO1074" s="157" t="s">
        <v>4341</v>
      </c>
      <c r="BP1074" s="548" t="s">
        <v>4343</v>
      </c>
      <c r="BQ1074" s="157" t="s">
        <v>4309</v>
      </c>
      <c r="BR1074" s="157"/>
    </row>
    <row r="1075" spans="1:70" x14ac:dyDescent="0.25">
      <c r="A1075" s="19" t="s">
        <v>3686</v>
      </c>
      <c r="B1075" s="37" t="s">
        <v>3290</v>
      </c>
      <c r="C1075" s="90">
        <v>45079.689293981479</v>
      </c>
      <c r="D1075" s="114">
        <v>45079.439293981479</v>
      </c>
      <c r="E1075" s="38">
        <v>45079</v>
      </c>
      <c r="F1075" s="91">
        <v>2023</v>
      </c>
      <c r="G1075" s="93">
        <v>6</v>
      </c>
      <c r="H1075" s="37" t="s">
        <v>2423</v>
      </c>
      <c r="I1075" s="37"/>
      <c r="J1075" s="103">
        <v>-92.636262599999995</v>
      </c>
      <c r="K1075" s="40">
        <v>44.8545984</v>
      </c>
      <c r="L1075" s="74"/>
      <c r="M1075" s="272" t="s">
        <v>16</v>
      </c>
      <c r="N1075" s="74">
        <v>0</v>
      </c>
      <c r="O1075" s="94"/>
      <c r="P1075" s="118">
        <v>1</v>
      </c>
      <c r="Q1075" s="510">
        <v>120</v>
      </c>
      <c r="R1075" s="513">
        <v>180</v>
      </c>
      <c r="S1075" s="41"/>
      <c r="T1075" s="40"/>
      <c r="U1075" s="40">
        <v>7.5</v>
      </c>
      <c r="V1075" s="119">
        <v>1</v>
      </c>
      <c r="W1075" s="40">
        <v>0</v>
      </c>
      <c r="X1075" s="119">
        <v>1</v>
      </c>
      <c r="Y1075" s="40">
        <v>63</v>
      </c>
      <c r="Z1075" s="119">
        <v>1</v>
      </c>
      <c r="AA1075" s="368">
        <v>0</v>
      </c>
      <c r="AB1075" s="535">
        <v>5</v>
      </c>
      <c r="AC1075" s="39" t="s">
        <v>160</v>
      </c>
      <c r="AD1075" s="75" t="s">
        <v>9</v>
      </c>
      <c r="AE1075" s="95">
        <v>0</v>
      </c>
      <c r="AF1075" s="75">
        <v>0</v>
      </c>
      <c r="AG1075" s="75">
        <v>1</v>
      </c>
      <c r="AH1075" s="75">
        <v>0</v>
      </c>
      <c r="AI1075" s="75">
        <v>0</v>
      </c>
      <c r="AJ1075" s="75">
        <v>0</v>
      </c>
      <c r="AK1075" s="75">
        <v>0</v>
      </c>
      <c r="AL1075" s="95">
        <v>0</v>
      </c>
      <c r="AM1075" s="92">
        <v>0</v>
      </c>
      <c r="AN1075" s="79" t="s">
        <v>80</v>
      </c>
      <c r="AO1075" s="75">
        <v>1</v>
      </c>
      <c r="AP1075" s="75" t="s">
        <v>83</v>
      </c>
      <c r="AQ1075" s="122">
        <v>1</v>
      </c>
      <c r="AR1075" s="515" t="s">
        <v>10</v>
      </c>
      <c r="AS1075" s="95">
        <v>0</v>
      </c>
      <c r="AT1075" s="75">
        <v>0</v>
      </c>
      <c r="AU1075" s="75">
        <v>0</v>
      </c>
      <c r="AV1075" s="75">
        <v>0</v>
      </c>
      <c r="AW1075" s="123">
        <v>0</v>
      </c>
      <c r="AX1075" s="516" t="s">
        <v>1520</v>
      </c>
      <c r="AY1075" s="75">
        <v>1</v>
      </c>
      <c r="AZ1075" s="77" t="s">
        <v>131</v>
      </c>
      <c r="BA1075" s="78" t="s">
        <v>131</v>
      </c>
      <c r="BB1075" s="78" t="s">
        <v>132</v>
      </c>
      <c r="BC1075" s="78" t="s">
        <v>131</v>
      </c>
      <c r="BD1075" s="78" t="s">
        <v>131</v>
      </c>
      <c r="BE1075" s="78" t="s">
        <v>131</v>
      </c>
      <c r="BF1075" s="78" t="s">
        <v>131</v>
      </c>
      <c r="BG1075" s="78" t="s">
        <v>131</v>
      </c>
      <c r="BH1075" s="75" t="s">
        <v>5970</v>
      </c>
      <c r="BI1075" s="295" t="s">
        <v>2227</v>
      </c>
      <c r="BJ1075" s="546">
        <v>1</v>
      </c>
      <c r="BK1075" s="294">
        <v>1</v>
      </c>
      <c r="BL1075" s="157">
        <v>1</v>
      </c>
      <c r="BM1075" s="548" t="s">
        <v>578</v>
      </c>
      <c r="BN1075" s="548" t="s">
        <v>4159</v>
      </c>
      <c r="BO1075" s="157" t="s">
        <v>4341</v>
      </c>
      <c r="BP1075" s="548" t="s">
        <v>4343</v>
      </c>
      <c r="BQ1075" s="157" t="s">
        <v>4309</v>
      </c>
      <c r="BR1075" s="157"/>
    </row>
    <row r="1076" spans="1:70" x14ac:dyDescent="0.25">
      <c r="A1076" s="19" t="s">
        <v>3686</v>
      </c>
      <c r="B1076" s="37" t="s">
        <v>3291</v>
      </c>
      <c r="C1076" s="90">
        <v>45078.814409722225</v>
      </c>
      <c r="D1076" s="114">
        <v>45078.564409722225</v>
      </c>
      <c r="E1076" s="38">
        <v>45078</v>
      </c>
      <c r="F1076" s="91">
        <v>2023</v>
      </c>
      <c r="G1076" s="93">
        <v>6</v>
      </c>
      <c r="H1076" s="37" t="s">
        <v>2434</v>
      </c>
      <c r="I1076" s="37"/>
      <c r="J1076" s="103">
        <v>-91.998607343618843</v>
      </c>
      <c r="K1076" s="40">
        <v>44.090023302610696</v>
      </c>
      <c r="L1076" s="74"/>
      <c r="M1076" s="272" t="s">
        <v>16</v>
      </c>
      <c r="N1076" s="74">
        <v>0</v>
      </c>
      <c r="O1076" s="94"/>
      <c r="P1076" s="118">
        <v>0</v>
      </c>
      <c r="Q1076" s="510"/>
      <c r="R1076" s="513"/>
      <c r="S1076" s="41"/>
      <c r="T1076" s="40"/>
      <c r="U1076" s="40"/>
      <c r="V1076" s="119">
        <v>1</v>
      </c>
      <c r="W1076" s="40">
        <v>0</v>
      </c>
      <c r="X1076" s="119">
        <v>0</v>
      </c>
      <c r="Y1076" s="40"/>
      <c r="Z1076" s="119">
        <v>0</v>
      </c>
      <c r="AA1076" s="368" t="s">
        <v>16</v>
      </c>
      <c r="AB1076" s="535" t="s">
        <v>16</v>
      </c>
      <c r="AC1076" s="39" t="s">
        <v>160</v>
      </c>
      <c r="AD1076" s="75" t="s">
        <v>16</v>
      </c>
      <c r="AE1076" s="95">
        <v>-1</v>
      </c>
      <c r="AF1076" s="75">
        <v>-1</v>
      </c>
      <c r="AG1076" s="75">
        <v>-1</v>
      </c>
      <c r="AH1076" s="75">
        <v>-1</v>
      </c>
      <c r="AI1076" s="75">
        <v>-1</v>
      </c>
      <c r="AJ1076" s="75">
        <v>-1</v>
      </c>
      <c r="AK1076" s="75">
        <v>-1</v>
      </c>
      <c r="AL1076" s="95">
        <v>-1</v>
      </c>
      <c r="AM1076" s="92">
        <v>1</v>
      </c>
      <c r="AN1076" s="79"/>
      <c r="AO1076" s="75">
        <v>0</v>
      </c>
      <c r="AP1076" s="75"/>
      <c r="AQ1076" s="122">
        <v>0</v>
      </c>
      <c r="AR1076" s="515" t="s">
        <v>16</v>
      </c>
      <c r="AS1076" s="95">
        <v>-1</v>
      </c>
      <c r="AT1076" s="75">
        <v>-1</v>
      </c>
      <c r="AU1076" s="75">
        <v>-1</v>
      </c>
      <c r="AV1076" s="75">
        <v>-1</v>
      </c>
      <c r="AW1076" s="123">
        <v>1</v>
      </c>
      <c r="AX1076" s="516"/>
      <c r="AY1076" s="75">
        <v>0</v>
      </c>
      <c r="AZ1076" s="77" t="s">
        <v>5971</v>
      </c>
      <c r="BA1076" s="78" t="s">
        <v>5971</v>
      </c>
      <c r="BB1076" s="78" t="s">
        <v>5971</v>
      </c>
      <c r="BC1076" s="78" t="s">
        <v>5971</v>
      </c>
      <c r="BD1076" s="78" t="s">
        <v>5971</v>
      </c>
      <c r="BE1076" s="78" t="s">
        <v>5971</v>
      </c>
      <c r="BF1076" s="78" t="s">
        <v>5971</v>
      </c>
      <c r="BG1076" s="78" t="s">
        <v>5971</v>
      </c>
      <c r="BH1076" s="75" t="s">
        <v>5971</v>
      </c>
      <c r="BI1076" s="295" t="s">
        <v>2255</v>
      </c>
      <c r="BJ1076" s="546">
        <v>1</v>
      </c>
      <c r="BK1076" s="294" t="s">
        <v>16</v>
      </c>
      <c r="BL1076" s="157" t="s">
        <v>16</v>
      </c>
      <c r="BM1076" s="548" t="s">
        <v>1339</v>
      </c>
      <c r="BN1076" s="548" t="s">
        <v>544</v>
      </c>
      <c r="BO1076" s="157" t="s">
        <v>4362</v>
      </c>
      <c r="BP1076" s="548" t="s">
        <v>4363</v>
      </c>
      <c r="BQ1076" s="157" t="s">
        <v>4361</v>
      </c>
      <c r="BR1076" s="157"/>
    </row>
    <row r="1077" spans="1:70" x14ac:dyDescent="0.25">
      <c r="A1077" s="19" t="s">
        <v>3686</v>
      </c>
      <c r="B1077" s="37" t="s">
        <v>3292</v>
      </c>
      <c r="C1077" s="90">
        <v>45078.790659722225</v>
      </c>
      <c r="D1077" s="114">
        <v>45078.540659722225</v>
      </c>
      <c r="E1077" s="38">
        <v>45078</v>
      </c>
      <c r="F1077" s="91">
        <v>2023</v>
      </c>
      <c r="G1077" s="93">
        <v>6</v>
      </c>
      <c r="H1077" s="37" t="s">
        <v>2434</v>
      </c>
      <c r="I1077" s="37"/>
      <c r="J1077" s="103">
        <v>-91.812004325103516</v>
      </c>
      <c r="K1077" s="40">
        <v>44.00135949943887</v>
      </c>
      <c r="L1077" s="74"/>
      <c r="M1077" s="272" t="s">
        <v>16</v>
      </c>
      <c r="N1077" s="74">
        <v>0</v>
      </c>
      <c r="O1077" s="94"/>
      <c r="P1077" s="118">
        <v>0</v>
      </c>
      <c r="Q1077" s="510"/>
      <c r="R1077" s="513"/>
      <c r="S1077" s="41"/>
      <c r="T1077" s="40"/>
      <c r="U1077" s="40"/>
      <c r="V1077" s="119">
        <v>1</v>
      </c>
      <c r="W1077" s="40">
        <v>500</v>
      </c>
      <c r="X1077" s="119">
        <v>0</v>
      </c>
      <c r="Y1077" s="40"/>
      <c r="Z1077" s="119">
        <v>0</v>
      </c>
      <c r="AA1077" s="368" t="s">
        <v>16</v>
      </c>
      <c r="AB1077" s="535" t="s">
        <v>16</v>
      </c>
      <c r="AC1077" s="39" t="s">
        <v>160</v>
      </c>
      <c r="AD1077" s="75" t="s">
        <v>16</v>
      </c>
      <c r="AE1077" s="95">
        <v>-1</v>
      </c>
      <c r="AF1077" s="75">
        <v>-1</v>
      </c>
      <c r="AG1077" s="75">
        <v>-1</v>
      </c>
      <c r="AH1077" s="75">
        <v>-1</v>
      </c>
      <c r="AI1077" s="75">
        <v>-1</v>
      </c>
      <c r="AJ1077" s="75">
        <v>-1</v>
      </c>
      <c r="AK1077" s="75">
        <v>-1</v>
      </c>
      <c r="AL1077" s="95">
        <v>-1</v>
      </c>
      <c r="AM1077" s="92">
        <v>1</v>
      </c>
      <c r="AN1077" s="79"/>
      <c r="AO1077" s="75">
        <v>0</v>
      </c>
      <c r="AP1077" s="75"/>
      <c r="AQ1077" s="122">
        <v>0</v>
      </c>
      <c r="AR1077" s="515" t="s">
        <v>16</v>
      </c>
      <c r="AS1077" s="95">
        <v>-1</v>
      </c>
      <c r="AT1077" s="75">
        <v>-1</v>
      </c>
      <c r="AU1077" s="75">
        <v>-1</v>
      </c>
      <c r="AV1077" s="75">
        <v>-1</v>
      </c>
      <c r="AW1077" s="123">
        <v>1</v>
      </c>
      <c r="AX1077" s="516" t="s">
        <v>16</v>
      </c>
      <c r="AY1077" s="75">
        <v>0</v>
      </c>
      <c r="AZ1077" s="77" t="s">
        <v>5971</v>
      </c>
      <c r="BA1077" s="78" t="s">
        <v>5971</v>
      </c>
      <c r="BB1077" s="78" t="s">
        <v>5971</v>
      </c>
      <c r="BC1077" s="78" t="s">
        <v>5971</v>
      </c>
      <c r="BD1077" s="78" t="s">
        <v>5971</v>
      </c>
      <c r="BE1077" s="78" t="s">
        <v>5971</v>
      </c>
      <c r="BF1077" s="78" t="s">
        <v>5971</v>
      </c>
      <c r="BG1077" s="78" t="s">
        <v>5971</v>
      </c>
      <c r="BH1077" s="75" t="s">
        <v>5971</v>
      </c>
      <c r="BI1077" s="295" t="s">
        <v>313</v>
      </c>
      <c r="BJ1077" s="546">
        <v>1</v>
      </c>
      <c r="BK1077" s="294">
        <v>1</v>
      </c>
      <c r="BL1077" s="157">
        <v>1</v>
      </c>
      <c r="BM1077" s="548" t="s">
        <v>1341</v>
      </c>
      <c r="BN1077" s="548" t="s">
        <v>544</v>
      </c>
      <c r="BO1077" s="157" t="s">
        <v>4360</v>
      </c>
      <c r="BP1077" s="548" t="s">
        <v>313</v>
      </c>
      <c r="BQ1077" s="157" t="s">
        <v>4359</v>
      </c>
      <c r="BR1077" s="157"/>
    </row>
    <row r="1078" spans="1:70" x14ac:dyDescent="0.25">
      <c r="A1078" s="19" t="s">
        <v>3686</v>
      </c>
      <c r="B1078" s="37" t="s">
        <v>3293</v>
      </c>
      <c r="C1078" s="90">
        <v>45078.73809027778</v>
      </c>
      <c r="D1078" s="114">
        <v>45078.48809027778</v>
      </c>
      <c r="E1078" s="38">
        <v>45078</v>
      </c>
      <c r="F1078" s="91">
        <v>2023</v>
      </c>
      <c r="G1078" s="93">
        <v>6</v>
      </c>
      <c r="H1078" s="37" t="s">
        <v>2548</v>
      </c>
      <c r="I1078" s="37"/>
      <c r="J1078" s="103">
        <v>-91.170502183765578</v>
      </c>
      <c r="K1078" s="40">
        <v>43.972949708543922</v>
      </c>
      <c r="L1078" s="74"/>
      <c r="M1078" s="272" t="s">
        <v>3294</v>
      </c>
      <c r="N1078" s="74">
        <v>1</v>
      </c>
      <c r="O1078" s="94"/>
      <c r="P1078" s="118">
        <v>1</v>
      </c>
      <c r="Q1078" s="510">
        <v>180</v>
      </c>
      <c r="R1078" s="513">
        <v>120</v>
      </c>
      <c r="S1078" s="41"/>
      <c r="T1078" s="40"/>
      <c r="U1078" s="40">
        <v>8</v>
      </c>
      <c r="V1078" s="119">
        <v>1</v>
      </c>
      <c r="W1078" s="40">
        <v>100</v>
      </c>
      <c r="X1078" s="119">
        <v>1</v>
      </c>
      <c r="Y1078" s="40">
        <v>59</v>
      </c>
      <c r="Z1078" s="119">
        <v>1</v>
      </c>
      <c r="AA1078" s="368">
        <v>0</v>
      </c>
      <c r="AB1078" s="535">
        <v>0</v>
      </c>
      <c r="AC1078" s="39" t="s">
        <v>160</v>
      </c>
      <c r="AD1078" s="75" t="s">
        <v>7</v>
      </c>
      <c r="AE1078" s="95">
        <v>1</v>
      </c>
      <c r="AF1078" s="75">
        <v>0</v>
      </c>
      <c r="AG1078" s="75">
        <v>0</v>
      </c>
      <c r="AH1078" s="75">
        <v>0</v>
      </c>
      <c r="AI1078" s="75">
        <v>0</v>
      </c>
      <c r="AJ1078" s="75">
        <v>0</v>
      </c>
      <c r="AK1078" s="75">
        <v>0</v>
      </c>
      <c r="AL1078" s="95">
        <v>0</v>
      </c>
      <c r="AM1078" s="92">
        <v>0</v>
      </c>
      <c r="AN1078" s="79" t="s">
        <v>80</v>
      </c>
      <c r="AO1078" s="75">
        <v>1</v>
      </c>
      <c r="AP1078" s="75" t="s">
        <v>84</v>
      </c>
      <c r="AQ1078" s="122">
        <v>1</v>
      </c>
      <c r="AR1078" s="515" t="s">
        <v>10</v>
      </c>
      <c r="AS1078" s="95">
        <v>0</v>
      </c>
      <c r="AT1078" s="75">
        <v>0</v>
      </c>
      <c r="AU1078" s="75">
        <v>0</v>
      </c>
      <c r="AV1078" s="75">
        <v>0</v>
      </c>
      <c r="AW1078" s="123">
        <v>0</v>
      </c>
      <c r="AX1078" s="516"/>
      <c r="AY1078" s="75">
        <v>0</v>
      </c>
      <c r="AZ1078" s="77" t="s">
        <v>132</v>
      </c>
      <c r="BA1078" s="78" t="s">
        <v>131</v>
      </c>
      <c r="BB1078" s="78" t="s">
        <v>131</v>
      </c>
      <c r="BC1078" s="78" t="s">
        <v>131</v>
      </c>
      <c r="BD1078" s="78" t="s">
        <v>131</v>
      </c>
      <c r="BE1078" s="78" t="s">
        <v>131</v>
      </c>
      <c r="BF1078" s="78" t="s">
        <v>131</v>
      </c>
      <c r="BG1078" s="78" t="s">
        <v>131</v>
      </c>
      <c r="BH1078" s="75" t="s">
        <v>5970</v>
      </c>
      <c r="BI1078" s="295" t="s">
        <v>3969</v>
      </c>
      <c r="BJ1078" s="546">
        <v>1</v>
      </c>
      <c r="BK1078" s="294">
        <v>1</v>
      </c>
      <c r="BL1078" s="157">
        <v>1</v>
      </c>
      <c r="BM1078" s="548" t="s">
        <v>1342</v>
      </c>
      <c r="BN1078" s="548" t="s">
        <v>4158</v>
      </c>
      <c r="BO1078" s="157" t="s">
        <v>4591</v>
      </c>
      <c r="BP1078" s="548" t="s">
        <v>3969</v>
      </c>
      <c r="BQ1078" s="157" t="s">
        <v>4452</v>
      </c>
      <c r="BR1078" s="157"/>
    </row>
    <row r="1079" spans="1:70" x14ac:dyDescent="0.25">
      <c r="A1079" s="19" t="s">
        <v>3686</v>
      </c>
      <c r="B1079" s="37" t="s">
        <v>3295</v>
      </c>
      <c r="C1079" s="90">
        <v>45078.695335648146</v>
      </c>
      <c r="D1079" s="114">
        <v>45078.445335648146</v>
      </c>
      <c r="E1079" s="38">
        <v>45078</v>
      </c>
      <c r="F1079" s="91">
        <v>2023</v>
      </c>
      <c r="G1079" s="93">
        <v>6</v>
      </c>
      <c r="H1079" s="37" t="s">
        <v>1364</v>
      </c>
      <c r="I1079" s="37" t="s">
        <v>958</v>
      </c>
      <c r="J1079" s="103">
        <v>-92.575601700000007</v>
      </c>
      <c r="K1079" s="40">
        <v>44.488363300000003</v>
      </c>
      <c r="L1079" s="74"/>
      <c r="M1079" s="272" t="s">
        <v>3296</v>
      </c>
      <c r="N1079" s="74">
        <v>1</v>
      </c>
      <c r="O1079" s="94"/>
      <c r="P1079" s="118">
        <v>1</v>
      </c>
      <c r="Q1079" s="510">
        <v>120</v>
      </c>
      <c r="R1079" s="513">
        <v>180</v>
      </c>
      <c r="S1079" s="41"/>
      <c r="T1079" s="40"/>
      <c r="U1079" s="40">
        <v>8.5</v>
      </c>
      <c r="V1079" s="119">
        <v>1</v>
      </c>
      <c r="W1079" s="40">
        <v>100</v>
      </c>
      <c r="X1079" s="119">
        <v>1</v>
      </c>
      <c r="Y1079" s="40">
        <v>62</v>
      </c>
      <c r="Z1079" s="119">
        <v>1</v>
      </c>
      <c r="AA1079" s="368">
        <v>0</v>
      </c>
      <c r="AB1079" s="535">
        <v>2</v>
      </c>
      <c r="AC1079" s="39" t="s">
        <v>160</v>
      </c>
      <c r="AD1079" s="75" t="s">
        <v>10</v>
      </c>
      <c r="AE1079" s="95">
        <v>0</v>
      </c>
      <c r="AF1079" s="75">
        <v>0</v>
      </c>
      <c r="AG1079" s="75">
        <v>0</v>
      </c>
      <c r="AH1079" s="75">
        <v>0</v>
      </c>
      <c r="AI1079" s="75">
        <v>0</v>
      </c>
      <c r="AJ1079" s="75">
        <v>0</v>
      </c>
      <c r="AK1079" s="75">
        <v>0</v>
      </c>
      <c r="AL1079" s="95">
        <v>1</v>
      </c>
      <c r="AM1079" s="92">
        <v>0</v>
      </c>
      <c r="AN1079" s="79" t="s">
        <v>81</v>
      </c>
      <c r="AO1079" s="75">
        <v>1</v>
      </c>
      <c r="AP1079" s="75" t="s">
        <v>83</v>
      </c>
      <c r="AQ1079" s="122">
        <v>1</v>
      </c>
      <c r="AR1079" s="515" t="s">
        <v>10</v>
      </c>
      <c r="AS1079" s="95">
        <v>0</v>
      </c>
      <c r="AT1079" s="75">
        <v>0</v>
      </c>
      <c r="AU1079" s="75">
        <v>0</v>
      </c>
      <c r="AV1079" s="75">
        <v>0</v>
      </c>
      <c r="AW1079" s="123">
        <v>0</v>
      </c>
      <c r="AX1079" s="516" t="s">
        <v>3297</v>
      </c>
      <c r="AY1079" s="75">
        <v>1</v>
      </c>
      <c r="AZ1079" s="77" t="s">
        <v>131</v>
      </c>
      <c r="BA1079" s="78" t="s">
        <v>131</v>
      </c>
      <c r="BB1079" s="78" t="s">
        <v>131</v>
      </c>
      <c r="BC1079" s="78" t="s">
        <v>131</v>
      </c>
      <c r="BD1079" s="78" t="s">
        <v>131</v>
      </c>
      <c r="BE1079" s="78" t="s">
        <v>131</v>
      </c>
      <c r="BF1079" s="78" t="s">
        <v>131</v>
      </c>
      <c r="BG1079" s="78" t="s">
        <v>132</v>
      </c>
      <c r="BH1079" s="75" t="s">
        <v>5970</v>
      </c>
      <c r="BI1079" s="295" t="s">
        <v>2238</v>
      </c>
      <c r="BJ1079" s="546">
        <v>1</v>
      </c>
      <c r="BK1079" s="294" t="s">
        <v>16</v>
      </c>
      <c r="BL1079" s="157" t="s">
        <v>16</v>
      </c>
      <c r="BM1079" s="548" t="s">
        <v>2343</v>
      </c>
      <c r="BN1079" s="548" t="s">
        <v>4161</v>
      </c>
      <c r="BO1079" s="157" t="s">
        <v>4308</v>
      </c>
      <c r="BP1079" s="548" t="s">
        <v>2238</v>
      </c>
      <c r="BQ1079" s="157" t="s">
        <v>4307</v>
      </c>
      <c r="BR1079" s="157"/>
    </row>
    <row r="1080" spans="1:70" x14ac:dyDescent="0.25">
      <c r="A1080" s="19" t="s">
        <v>3686</v>
      </c>
      <c r="B1080" s="37" t="s">
        <v>3298</v>
      </c>
      <c r="C1080" s="90">
        <v>45078.676932870374</v>
      </c>
      <c r="D1080" s="114">
        <v>45078.426932870374</v>
      </c>
      <c r="E1080" s="38">
        <v>45078</v>
      </c>
      <c r="F1080" s="91">
        <v>2023</v>
      </c>
      <c r="G1080" s="93">
        <v>6</v>
      </c>
      <c r="H1080" s="37" t="s">
        <v>1364</v>
      </c>
      <c r="I1080" s="37" t="s">
        <v>959</v>
      </c>
      <c r="J1080" s="103">
        <v>-92.597030000000004</v>
      </c>
      <c r="K1080" s="40">
        <v>44.472631700000001</v>
      </c>
      <c r="L1080" s="74"/>
      <c r="M1080" s="272" t="s">
        <v>3299</v>
      </c>
      <c r="N1080" s="74">
        <v>1</v>
      </c>
      <c r="O1080" s="94"/>
      <c r="P1080" s="118">
        <v>1</v>
      </c>
      <c r="Q1080" s="510">
        <v>80</v>
      </c>
      <c r="R1080" s="513">
        <v>120</v>
      </c>
      <c r="S1080" s="41"/>
      <c r="T1080" s="40"/>
      <c r="U1080" s="40">
        <v>8</v>
      </c>
      <c r="V1080" s="119">
        <v>1</v>
      </c>
      <c r="W1080" s="40">
        <v>100</v>
      </c>
      <c r="X1080" s="119">
        <v>1</v>
      </c>
      <c r="Y1080" s="40">
        <v>57</v>
      </c>
      <c r="Z1080" s="119">
        <v>1</v>
      </c>
      <c r="AA1080" s="368">
        <v>0</v>
      </c>
      <c r="AB1080" s="535">
        <v>5</v>
      </c>
      <c r="AC1080" s="39" t="s">
        <v>160</v>
      </c>
      <c r="AD1080" s="75" t="s">
        <v>10</v>
      </c>
      <c r="AE1080" s="95">
        <v>0</v>
      </c>
      <c r="AF1080" s="75">
        <v>0</v>
      </c>
      <c r="AG1080" s="75">
        <v>0</v>
      </c>
      <c r="AH1080" s="75">
        <v>0</v>
      </c>
      <c r="AI1080" s="75">
        <v>0</v>
      </c>
      <c r="AJ1080" s="75">
        <v>0</v>
      </c>
      <c r="AK1080" s="75">
        <v>0</v>
      </c>
      <c r="AL1080" s="95">
        <v>1</v>
      </c>
      <c r="AM1080" s="92">
        <v>0</v>
      </c>
      <c r="AN1080" s="79" t="s">
        <v>81</v>
      </c>
      <c r="AO1080" s="75">
        <v>1</v>
      </c>
      <c r="AP1080" s="75" t="s">
        <v>83</v>
      </c>
      <c r="AQ1080" s="122">
        <v>1</v>
      </c>
      <c r="AR1080" s="515" t="s">
        <v>10</v>
      </c>
      <c r="AS1080" s="95">
        <v>0</v>
      </c>
      <c r="AT1080" s="75">
        <v>0</v>
      </c>
      <c r="AU1080" s="75">
        <v>0</v>
      </c>
      <c r="AV1080" s="75">
        <v>0</v>
      </c>
      <c r="AW1080" s="123">
        <v>0</v>
      </c>
      <c r="AX1080" s="516" t="s">
        <v>3300</v>
      </c>
      <c r="AY1080" s="75">
        <v>1</v>
      </c>
      <c r="AZ1080" s="77" t="s">
        <v>131</v>
      </c>
      <c r="BA1080" s="78" t="s">
        <v>131</v>
      </c>
      <c r="BB1080" s="78" t="s">
        <v>131</v>
      </c>
      <c r="BC1080" s="78" t="s">
        <v>131</v>
      </c>
      <c r="BD1080" s="78" t="s">
        <v>131</v>
      </c>
      <c r="BE1080" s="78" t="s">
        <v>131</v>
      </c>
      <c r="BF1080" s="78" t="s">
        <v>131</v>
      </c>
      <c r="BG1080" s="78" t="s">
        <v>132</v>
      </c>
      <c r="BH1080" s="75" t="s">
        <v>5970</v>
      </c>
      <c r="BI1080" s="295" t="s">
        <v>2238</v>
      </c>
      <c r="BJ1080" s="546">
        <v>1</v>
      </c>
      <c r="BK1080" s="294" t="s">
        <v>16</v>
      </c>
      <c r="BL1080" s="157" t="s">
        <v>16</v>
      </c>
      <c r="BM1080" s="548" t="s">
        <v>2343</v>
      </c>
      <c r="BN1080" s="548" t="s">
        <v>4161</v>
      </c>
      <c r="BO1080" s="157" t="s">
        <v>4308</v>
      </c>
      <c r="BP1080" s="548" t="s">
        <v>2238</v>
      </c>
      <c r="BQ1080" s="157" t="s">
        <v>4307</v>
      </c>
      <c r="BR1080" s="157"/>
    </row>
    <row r="1081" spans="1:70" x14ac:dyDescent="0.25">
      <c r="A1081" s="19" t="s">
        <v>3686</v>
      </c>
      <c r="B1081" s="37" t="s">
        <v>3301</v>
      </c>
      <c r="C1081" s="90">
        <v>45078.663645833331</v>
      </c>
      <c r="D1081" s="114">
        <v>45078.413645833331</v>
      </c>
      <c r="E1081" s="38">
        <v>45078</v>
      </c>
      <c r="F1081" s="91">
        <v>2023</v>
      </c>
      <c r="G1081" s="93">
        <v>6</v>
      </c>
      <c r="H1081" s="37" t="s">
        <v>2654</v>
      </c>
      <c r="I1081" s="37"/>
      <c r="J1081" s="103">
        <v>-91.162086000000002</v>
      </c>
      <c r="K1081" s="40">
        <v>43.9738045</v>
      </c>
      <c r="L1081" s="74"/>
      <c r="M1081" s="272" t="s">
        <v>3302</v>
      </c>
      <c r="N1081" s="74">
        <v>1</v>
      </c>
      <c r="O1081" s="94"/>
      <c r="P1081" s="118">
        <v>1</v>
      </c>
      <c r="Q1081" s="510">
        <v>180</v>
      </c>
      <c r="R1081" s="513">
        <v>120</v>
      </c>
      <c r="S1081" s="41"/>
      <c r="T1081" s="40"/>
      <c r="U1081" s="40">
        <v>8</v>
      </c>
      <c r="V1081" s="119">
        <v>1</v>
      </c>
      <c r="W1081" s="40">
        <v>0</v>
      </c>
      <c r="X1081" s="119">
        <v>1</v>
      </c>
      <c r="Y1081" s="40">
        <v>55</v>
      </c>
      <c r="Z1081" s="119">
        <v>1</v>
      </c>
      <c r="AA1081" s="368">
        <v>0</v>
      </c>
      <c r="AB1081" s="535">
        <v>0</v>
      </c>
      <c r="AC1081" s="39" t="s">
        <v>160</v>
      </c>
      <c r="AD1081" s="75" t="s">
        <v>10</v>
      </c>
      <c r="AE1081" s="95">
        <v>0</v>
      </c>
      <c r="AF1081" s="75">
        <v>0</v>
      </c>
      <c r="AG1081" s="75">
        <v>0</v>
      </c>
      <c r="AH1081" s="75">
        <v>0</v>
      </c>
      <c r="AI1081" s="75">
        <v>0</v>
      </c>
      <c r="AJ1081" s="75">
        <v>0</v>
      </c>
      <c r="AK1081" s="75">
        <v>0</v>
      </c>
      <c r="AL1081" s="95">
        <v>1</v>
      </c>
      <c r="AM1081" s="92">
        <v>0</v>
      </c>
      <c r="AN1081" s="79" t="s">
        <v>80</v>
      </c>
      <c r="AO1081" s="75">
        <v>1</v>
      </c>
      <c r="AP1081" s="75" t="s">
        <v>83</v>
      </c>
      <c r="AQ1081" s="122">
        <v>1</v>
      </c>
      <c r="AR1081" s="515" t="s">
        <v>10</v>
      </c>
      <c r="AS1081" s="95">
        <v>0</v>
      </c>
      <c r="AT1081" s="75">
        <v>0</v>
      </c>
      <c r="AU1081" s="75">
        <v>0</v>
      </c>
      <c r="AV1081" s="75">
        <v>0</v>
      </c>
      <c r="AW1081" s="123">
        <v>0</v>
      </c>
      <c r="AX1081" s="516"/>
      <c r="AY1081" s="75">
        <v>0</v>
      </c>
      <c r="AZ1081" s="77" t="s">
        <v>131</v>
      </c>
      <c r="BA1081" s="78" t="s">
        <v>131</v>
      </c>
      <c r="BB1081" s="78" t="s">
        <v>131</v>
      </c>
      <c r="BC1081" s="78" t="s">
        <v>131</v>
      </c>
      <c r="BD1081" s="78" t="s">
        <v>131</v>
      </c>
      <c r="BE1081" s="78" t="s">
        <v>131</v>
      </c>
      <c r="BF1081" s="78" t="s">
        <v>131</v>
      </c>
      <c r="BG1081" s="78" t="s">
        <v>132</v>
      </c>
      <c r="BH1081" s="75" t="s">
        <v>5970</v>
      </c>
      <c r="BI1081" s="295" t="s">
        <v>3969</v>
      </c>
      <c r="BJ1081" s="546">
        <v>1</v>
      </c>
      <c r="BK1081" s="294">
        <v>1</v>
      </c>
      <c r="BL1081" s="157">
        <v>1</v>
      </c>
      <c r="BM1081" s="548" t="s">
        <v>1342</v>
      </c>
      <c r="BN1081" s="548" t="s">
        <v>4158</v>
      </c>
      <c r="BO1081" s="157" t="s">
        <v>4591</v>
      </c>
      <c r="BP1081" s="548" t="s">
        <v>3969</v>
      </c>
      <c r="BQ1081" s="157" t="s">
        <v>4452</v>
      </c>
      <c r="BR1081" s="157"/>
    </row>
    <row r="1082" spans="1:70" x14ac:dyDescent="0.25">
      <c r="A1082" s="19" t="s">
        <v>3686</v>
      </c>
      <c r="B1082" s="37" t="s">
        <v>3303</v>
      </c>
      <c r="C1082" s="90">
        <v>45078.63045138889</v>
      </c>
      <c r="D1082" s="114">
        <v>45078.38045138889</v>
      </c>
      <c r="E1082" s="38">
        <v>45078</v>
      </c>
      <c r="F1082" s="91">
        <v>2023</v>
      </c>
      <c r="G1082" s="93">
        <v>6</v>
      </c>
      <c r="H1082" s="37" t="s">
        <v>2654</v>
      </c>
      <c r="I1082" s="37"/>
      <c r="J1082" s="103">
        <v>-91.150756999999999</v>
      </c>
      <c r="K1082" s="40">
        <v>43.9781215</v>
      </c>
      <c r="L1082" s="74"/>
      <c r="M1082" s="272" t="s">
        <v>3304</v>
      </c>
      <c r="N1082" s="74">
        <v>1</v>
      </c>
      <c r="O1082" s="94"/>
      <c r="P1082" s="118">
        <v>1</v>
      </c>
      <c r="Q1082" s="510">
        <v>120</v>
      </c>
      <c r="R1082" s="513">
        <v>120</v>
      </c>
      <c r="S1082" s="41"/>
      <c r="T1082" s="40"/>
      <c r="U1082" s="40">
        <v>7.5</v>
      </c>
      <c r="V1082" s="119">
        <v>0</v>
      </c>
      <c r="W1082" s="40"/>
      <c r="X1082" s="119">
        <v>1</v>
      </c>
      <c r="Y1082" s="40">
        <v>55</v>
      </c>
      <c r="Z1082" s="119">
        <v>1</v>
      </c>
      <c r="AA1082" s="368">
        <v>0</v>
      </c>
      <c r="AB1082" s="535">
        <v>2</v>
      </c>
      <c r="AC1082" s="39" t="s">
        <v>160</v>
      </c>
      <c r="AD1082" s="75" t="s">
        <v>10</v>
      </c>
      <c r="AE1082" s="95">
        <v>0</v>
      </c>
      <c r="AF1082" s="75">
        <v>0</v>
      </c>
      <c r="AG1082" s="75">
        <v>0</v>
      </c>
      <c r="AH1082" s="75">
        <v>0</v>
      </c>
      <c r="AI1082" s="75">
        <v>0</v>
      </c>
      <c r="AJ1082" s="75">
        <v>0</v>
      </c>
      <c r="AK1082" s="75">
        <v>0</v>
      </c>
      <c r="AL1082" s="95">
        <v>1</v>
      </c>
      <c r="AM1082" s="92">
        <v>0</v>
      </c>
      <c r="AN1082" s="79" t="s">
        <v>80</v>
      </c>
      <c r="AO1082" s="75">
        <v>1</v>
      </c>
      <c r="AP1082" s="75" t="s">
        <v>83</v>
      </c>
      <c r="AQ1082" s="122">
        <v>1</v>
      </c>
      <c r="AR1082" s="515" t="s">
        <v>10</v>
      </c>
      <c r="AS1082" s="95">
        <v>0</v>
      </c>
      <c r="AT1082" s="75">
        <v>0</v>
      </c>
      <c r="AU1082" s="75">
        <v>0</v>
      </c>
      <c r="AV1082" s="75">
        <v>0</v>
      </c>
      <c r="AW1082" s="123">
        <v>0</v>
      </c>
      <c r="AX1082" s="516"/>
      <c r="AY1082" s="75">
        <v>0</v>
      </c>
      <c r="AZ1082" s="77" t="s">
        <v>131</v>
      </c>
      <c r="BA1082" s="78" t="s">
        <v>131</v>
      </c>
      <c r="BB1082" s="78" t="s">
        <v>131</v>
      </c>
      <c r="BC1082" s="78" t="s">
        <v>131</v>
      </c>
      <c r="BD1082" s="78" t="s">
        <v>131</v>
      </c>
      <c r="BE1082" s="78" t="s">
        <v>131</v>
      </c>
      <c r="BF1082" s="78" t="s">
        <v>131</v>
      </c>
      <c r="BG1082" s="78" t="s">
        <v>132</v>
      </c>
      <c r="BH1082" s="75" t="s">
        <v>5970</v>
      </c>
      <c r="BI1082" s="295" t="s">
        <v>3969</v>
      </c>
      <c r="BJ1082" s="546">
        <v>1</v>
      </c>
      <c r="BK1082" s="294">
        <v>1</v>
      </c>
      <c r="BL1082" s="157">
        <v>1</v>
      </c>
      <c r="BM1082" s="548" t="s">
        <v>1342</v>
      </c>
      <c r="BN1082" s="548" t="s">
        <v>4158</v>
      </c>
      <c r="BO1082" s="157" t="s">
        <v>4591</v>
      </c>
      <c r="BP1082" s="548" t="s">
        <v>3969</v>
      </c>
      <c r="BQ1082" s="157" t="s">
        <v>4452</v>
      </c>
      <c r="BR1082" s="157"/>
    </row>
    <row r="1083" spans="1:70" x14ac:dyDescent="0.25">
      <c r="A1083" s="19" t="s">
        <v>3686</v>
      </c>
      <c r="B1083" s="37" t="s">
        <v>3305</v>
      </c>
      <c r="C1083" s="90">
        <v>45078.618067129632</v>
      </c>
      <c r="D1083" s="114">
        <v>45078.368067129632</v>
      </c>
      <c r="E1083" s="38">
        <v>45078</v>
      </c>
      <c r="F1083" s="91">
        <v>2023</v>
      </c>
      <c r="G1083" s="93">
        <v>6</v>
      </c>
      <c r="H1083" s="37" t="s">
        <v>3137</v>
      </c>
      <c r="I1083" s="37"/>
      <c r="J1083" s="103">
        <v>-91.651393286222344</v>
      </c>
      <c r="K1083" s="40">
        <v>42.869701944739603</v>
      </c>
      <c r="L1083" s="74"/>
      <c r="M1083" s="272" t="s">
        <v>3306</v>
      </c>
      <c r="N1083" s="74">
        <v>1</v>
      </c>
      <c r="O1083" s="94"/>
      <c r="P1083" s="118">
        <v>1</v>
      </c>
      <c r="Q1083" s="510">
        <v>120</v>
      </c>
      <c r="R1083" s="513">
        <v>180</v>
      </c>
      <c r="S1083" s="41"/>
      <c r="T1083" s="40"/>
      <c r="U1083" s="40">
        <v>8</v>
      </c>
      <c r="V1083" s="119">
        <v>1</v>
      </c>
      <c r="W1083" s="40">
        <v>100</v>
      </c>
      <c r="X1083" s="119">
        <v>1</v>
      </c>
      <c r="Y1083" s="40">
        <v>62</v>
      </c>
      <c r="Z1083" s="119">
        <v>1</v>
      </c>
      <c r="AA1083" s="368">
        <v>0</v>
      </c>
      <c r="AB1083" s="535">
        <v>5</v>
      </c>
      <c r="AC1083" s="39"/>
      <c r="AD1083" s="75" t="s">
        <v>8</v>
      </c>
      <c r="AE1083" s="95">
        <v>0</v>
      </c>
      <c r="AF1083" s="75">
        <v>1</v>
      </c>
      <c r="AG1083" s="75">
        <v>0</v>
      </c>
      <c r="AH1083" s="75">
        <v>0</v>
      </c>
      <c r="AI1083" s="75">
        <v>0</v>
      </c>
      <c r="AJ1083" s="75">
        <v>0</v>
      </c>
      <c r="AK1083" s="75">
        <v>0</v>
      </c>
      <c r="AL1083" s="95">
        <v>0</v>
      </c>
      <c r="AM1083" s="92">
        <v>0</v>
      </c>
      <c r="AN1083" s="79" t="s">
        <v>80</v>
      </c>
      <c r="AO1083" s="75">
        <v>1</v>
      </c>
      <c r="AP1083" s="75" t="s">
        <v>84</v>
      </c>
      <c r="AQ1083" s="122">
        <v>1</v>
      </c>
      <c r="AR1083" s="515" t="s">
        <v>16</v>
      </c>
      <c r="AS1083" s="95">
        <v>-1</v>
      </c>
      <c r="AT1083" s="75">
        <v>-1</v>
      </c>
      <c r="AU1083" s="75">
        <v>-1</v>
      </c>
      <c r="AV1083" s="75">
        <v>-1</v>
      </c>
      <c r="AW1083" s="123">
        <v>1</v>
      </c>
      <c r="AX1083" s="516"/>
      <c r="AY1083" s="75">
        <v>0</v>
      </c>
      <c r="AZ1083" s="77" t="s">
        <v>131</v>
      </c>
      <c r="BA1083" s="78" t="s">
        <v>132</v>
      </c>
      <c r="BB1083" s="78" t="s">
        <v>131</v>
      </c>
      <c r="BC1083" s="78" t="s">
        <v>131</v>
      </c>
      <c r="BD1083" s="78" t="s">
        <v>131</v>
      </c>
      <c r="BE1083" s="78" t="s">
        <v>131</v>
      </c>
      <c r="BF1083" s="78" t="s">
        <v>131</v>
      </c>
      <c r="BG1083" s="78" t="s">
        <v>131</v>
      </c>
      <c r="BH1083" s="75" t="s">
        <v>5970</v>
      </c>
      <c r="BI1083" s="295" t="s">
        <v>16</v>
      </c>
      <c r="BJ1083" s="546">
        <v>1</v>
      </c>
      <c r="BK1083" s="294" t="s">
        <v>16</v>
      </c>
      <c r="BL1083" s="157" t="s">
        <v>16</v>
      </c>
      <c r="BM1083" s="548" t="s">
        <v>1347</v>
      </c>
      <c r="BN1083" s="548" t="s">
        <v>544</v>
      </c>
      <c r="BO1083" s="157" t="s">
        <v>4564</v>
      </c>
      <c r="BP1083" s="548" t="s">
        <v>2283</v>
      </c>
      <c r="BQ1083" s="157" t="s">
        <v>4563</v>
      </c>
      <c r="BR1083" s="157"/>
    </row>
    <row r="1084" spans="1:70" x14ac:dyDescent="0.25">
      <c r="A1084" s="19" t="s">
        <v>3686</v>
      </c>
      <c r="B1084" s="37" t="s">
        <v>3307</v>
      </c>
      <c r="C1084" s="90">
        <v>45077.917905092596</v>
      </c>
      <c r="D1084" s="114">
        <v>45077.667905092596</v>
      </c>
      <c r="E1084" s="38">
        <v>45077</v>
      </c>
      <c r="F1084" s="91">
        <v>2023</v>
      </c>
      <c r="G1084" s="93">
        <v>5</v>
      </c>
      <c r="H1084" s="37" t="s">
        <v>3137</v>
      </c>
      <c r="I1084" s="37"/>
      <c r="J1084" s="103">
        <v>-91.497090813572754</v>
      </c>
      <c r="K1084" s="40">
        <v>42.744939692743827</v>
      </c>
      <c r="L1084" s="74"/>
      <c r="M1084" s="272" t="s">
        <v>3308</v>
      </c>
      <c r="N1084" s="74">
        <v>1</v>
      </c>
      <c r="O1084" s="94"/>
      <c r="P1084" s="118">
        <v>1</v>
      </c>
      <c r="Q1084" s="510">
        <v>120</v>
      </c>
      <c r="R1084" s="513">
        <v>180</v>
      </c>
      <c r="S1084" s="41"/>
      <c r="T1084" s="40"/>
      <c r="U1084" s="40">
        <v>8</v>
      </c>
      <c r="V1084" s="119">
        <v>1</v>
      </c>
      <c r="W1084" s="40">
        <v>100</v>
      </c>
      <c r="X1084" s="119">
        <v>0</v>
      </c>
      <c r="Y1084" s="40"/>
      <c r="Z1084" s="119">
        <v>1</v>
      </c>
      <c r="AA1084" s="368">
        <v>0</v>
      </c>
      <c r="AB1084" s="535">
        <v>2</v>
      </c>
      <c r="AC1084" s="39" t="s">
        <v>160</v>
      </c>
      <c r="AD1084" s="75" t="s">
        <v>365</v>
      </c>
      <c r="AE1084" s="95">
        <v>0</v>
      </c>
      <c r="AF1084" s="75">
        <v>1</v>
      </c>
      <c r="AG1084" s="75">
        <v>1</v>
      </c>
      <c r="AH1084" s="75">
        <v>0</v>
      </c>
      <c r="AI1084" s="75">
        <v>0</v>
      </c>
      <c r="AJ1084" s="75">
        <v>0</v>
      </c>
      <c r="AK1084" s="75">
        <v>0</v>
      </c>
      <c r="AL1084" s="95">
        <v>0</v>
      </c>
      <c r="AM1084" s="92">
        <v>0</v>
      </c>
      <c r="AN1084" s="79" t="s">
        <v>80</v>
      </c>
      <c r="AO1084" s="75">
        <v>1</v>
      </c>
      <c r="AP1084" s="75" t="s">
        <v>84</v>
      </c>
      <c r="AQ1084" s="122">
        <v>1</v>
      </c>
      <c r="AR1084" s="515" t="s">
        <v>10</v>
      </c>
      <c r="AS1084" s="95">
        <v>0</v>
      </c>
      <c r="AT1084" s="75">
        <v>0</v>
      </c>
      <c r="AU1084" s="75">
        <v>0</v>
      </c>
      <c r="AV1084" s="75">
        <v>0</v>
      </c>
      <c r="AW1084" s="123">
        <v>0</v>
      </c>
      <c r="AX1084" s="516"/>
      <c r="AY1084" s="75">
        <v>0</v>
      </c>
      <c r="AZ1084" s="77" t="s">
        <v>131</v>
      </c>
      <c r="BA1084" s="78" t="s">
        <v>132</v>
      </c>
      <c r="BB1084" s="78" t="s">
        <v>132</v>
      </c>
      <c r="BC1084" s="78" t="s">
        <v>131</v>
      </c>
      <c r="BD1084" s="78" t="s">
        <v>131</v>
      </c>
      <c r="BE1084" s="78" t="s">
        <v>131</v>
      </c>
      <c r="BF1084" s="78" t="s">
        <v>131</v>
      </c>
      <c r="BG1084" s="78" t="s">
        <v>131</v>
      </c>
      <c r="BH1084" s="75" t="s">
        <v>5970</v>
      </c>
      <c r="BI1084" s="295" t="s">
        <v>4035</v>
      </c>
      <c r="BJ1084" s="546">
        <v>1</v>
      </c>
      <c r="BK1084" s="294" t="s">
        <v>16</v>
      </c>
      <c r="BL1084" s="157" t="s">
        <v>16</v>
      </c>
      <c r="BM1084" s="548" t="s">
        <v>1347</v>
      </c>
      <c r="BN1084" s="548" t="s">
        <v>544</v>
      </c>
      <c r="BO1084" s="157" t="s">
        <v>4593</v>
      </c>
      <c r="BP1084" s="548" t="s">
        <v>4035</v>
      </c>
      <c r="BQ1084" s="157" t="s">
        <v>4563</v>
      </c>
      <c r="BR1084" s="157"/>
    </row>
    <row r="1085" spans="1:70" x14ac:dyDescent="0.25">
      <c r="A1085" s="19" t="s">
        <v>3686</v>
      </c>
      <c r="B1085" s="37" t="s">
        <v>3309</v>
      </c>
      <c r="C1085" s="90">
        <v>45077.899953703702</v>
      </c>
      <c r="D1085" s="114">
        <v>45077.649953703702</v>
      </c>
      <c r="E1085" s="38">
        <v>45077</v>
      </c>
      <c r="F1085" s="91">
        <v>2023</v>
      </c>
      <c r="G1085" s="93">
        <v>5</v>
      </c>
      <c r="H1085" s="37" t="s">
        <v>3137</v>
      </c>
      <c r="I1085" s="37"/>
      <c r="J1085" s="103">
        <v>-91.462377784283433</v>
      </c>
      <c r="K1085" s="40">
        <v>42.738951628720216</v>
      </c>
      <c r="L1085" s="74"/>
      <c r="M1085" s="272" t="s">
        <v>3310</v>
      </c>
      <c r="N1085" s="74">
        <v>1</v>
      </c>
      <c r="O1085" s="94"/>
      <c r="P1085" s="118">
        <v>1</v>
      </c>
      <c r="Q1085" s="510">
        <v>180</v>
      </c>
      <c r="R1085" s="513">
        <v>180</v>
      </c>
      <c r="S1085" s="41"/>
      <c r="T1085" s="40"/>
      <c r="U1085" s="40">
        <v>8</v>
      </c>
      <c r="V1085" s="119">
        <v>1</v>
      </c>
      <c r="W1085" s="40">
        <v>100</v>
      </c>
      <c r="X1085" s="119">
        <v>1</v>
      </c>
      <c r="Y1085" s="40">
        <v>67</v>
      </c>
      <c r="Z1085" s="119">
        <v>1</v>
      </c>
      <c r="AA1085" s="368">
        <v>0</v>
      </c>
      <c r="AB1085" s="535">
        <v>0</v>
      </c>
      <c r="AC1085" s="39" t="s">
        <v>160</v>
      </c>
      <c r="AD1085" s="75" t="s">
        <v>1622</v>
      </c>
      <c r="AE1085" s="95">
        <v>1</v>
      </c>
      <c r="AF1085" s="75">
        <v>1</v>
      </c>
      <c r="AG1085" s="75">
        <v>0</v>
      </c>
      <c r="AH1085" s="75">
        <v>0</v>
      </c>
      <c r="AI1085" s="75">
        <v>0</v>
      </c>
      <c r="AJ1085" s="75">
        <v>0</v>
      </c>
      <c r="AK1085" s="75">
        <v>0</v>
      </c>
      <c r="AL1085" s="95">
        <v>0</v>
      </c>
      <c r="AM1085" s="92">
        <v>0</v>
      </c>
      <c r="AN1085" s="79" t="s">
        <v>80</v>
      </c>
      <c r="AO1085" s="75">
        <v>1</v>
      </c>
      <c r="AP1085" s="75" t="s">
        <v>83</v>
      </c>
      <c r="AQ1085" s="122">
        <v>1</v>
      </c>
      <c r="AR1085" s="515" t="s">
        <v>16</v>
      </c>
      <c r="AS1085" s="95">
        <v>-1</v>
      </c>
      <c r="AT1085" s="75">
        <v>-1</v>
      </c>
      <c r="AU1085" s="75">
        <v>-1</v>
      </c>
      <c r="AV1085" s="75">
        <v>-1</v>
      </c>
      <c r="AW1085" s="123">
        <v>1</v>
      </c>
      <c r="AX1085" s="516"/>
      <c r="AY1085" s="75">
        <v>0</v>
      </c>
      <c r="AZ1085" s="77" t="s">
        <v>132</v>
      </c>
      <c r="BA1085" s="78" t="s">
        <v>132</v>
      </c>
      <c r="BB1085" s="78" t="s">
        <v>131</v>
      </c>
      <c r="BC1085" s="78" t="s">
        <v>131</v>
      </c>
      <c r="BD1085" s="78" t="s">
        <v>131</v>
      </c>
      <c r="BE1085" s="78" t="s">
        <v>131</v>
      </c>
      <c r="BF1085" s="78" t="s">
        <v>131</v>
      </c>
      <c r="BG1085" s="78" t="s">
        <v>131</v>
      </c>
      <c r="BH1085" s="75" t="s">
        <v>5970</v>
      </c>
      <c r="BI1085" s="295">
        <v>0</v>
      </c>
      <c r="BJ1085" s="546" t="s">
        <v>16</v>
      </c>
      <c r="BK1085" s="294" t="s">
        <v>16</v>
      </c>
      <c r="BL1085" s="157" t="s">
        <v>16</v>
      </c>
      <c r="BM1085" s="548" t="s">
        <v>1347</v>
      </c>
      <c r="BN1085" s="548" t="s">
        <v>544</v>
      </c>
      <c r="BO1085" s="157" t="s">
        <v>4593</v>
      </c>
      <c r="BP1085" s="548" t="s">
        <v>4035</v>
      </c>
      <c r="BQ1085" s="157" t="s">
        <v>4563</v>
      </c>
      <c r="BR1085" s="157"/>
    </row>
    <row r="1086" spans="1:70" x14ac:dyDescent="0.25">
      <c r="A1086" s="19" t="s">
        <v>3686</v>
      </c>
      <c r="B1086" s="37" t="s">
        <v>3311</v>
      </c>
      <c r="C1086" s="90">
        <v>45077.878946759258</v>
      </c>
      <c r="D1086" s="114">
        <v>45077.628946759258</v>
      </c>
      <c r="E1086" s="38">
        <v>45077</v>
      </c>
      <c r="F1086" s="91">
        <v>2023</v>
      </c>
      <c r="G1086" s="93">
        <v>5</v>
      </c>
      <c r="H1086" s="37" t="s">
        <v>3137</v>
      </c>
      <c r="I1086" s="37"/>
      <c r="J1086" s="103">
        <v>-91.462128284932518</v>
      </c>
      <c r="K1086" s="40">
        <v>42.766862076241182</v>
      </c>
      <c r="L1086" s="74"/>
      <c r="M1086" s="272" t="s">
        <v>3312</v>
      </c>
      <c r="N1086" s="74">
        <v>1</v>
      </c>
      <c r="O1086" s="94"/>
      <c r="P1086" s="118">
        <v>1</v>
      </c>
      <c r="Q1086" s="510">
        <v>180</v>
      </c>
      <c r="R1086" s="513">
        <v>120</v>
      </c>
      <c r="S1086" s="41"/>
      <c r="T1086" s="40"/>
      <c r="U1086" s="40">
        <v>7</v>
      </c>
      <c r="V1086" s="119">
        <v>1</v>
      </c>
      <c r="W1086" s="40">
        <v>0</v>
      </c>
      <c r="X1086" s="119">
        <v>1</v>
      </c>
      <c r="Y1086" s="40">
        <v>80</v>
      </c>
      <c r="Z1086" s="119">
        <v>1</v>
      </c>
      <c r="AA1086" s="368">
        <v>0</v>
      </c>
      <c r="AB1086" s="535">
        <v>2</v>
      </c>
      <c r="AC1086" s="39" t="s">
        <v>160</v>
      </c>
      <c r="AD1086" s="75" t="s">
        <v>8</v>
      </c>
      <c r="AE1086" s="95">
        <v>0</v>
      </c>
      <c r="AF1086" s="75">
        <v>1</v>
      </c>
      <c r="AG1086" s="75">
        <v>0</v>
      </c>
      <c r="AH1086" s="75">
        <v>0</v>
      </c>
      <c r="AI1086" s="75">
        <v>0</v>
      </c>
      <c r="AJ1086" s="75">
        <v>0</v>
      </c>
      <c r="AK1086" s="75">
        <v>0</v>
      </c>
      <c r="AL1086" s="95">
        <v>0</v>
      </c>
      <c r="AM1086" s="92">
        <v>0</v>
      </c>
      <c r="AN1086" s="79" t="s">
        <v>80</v>
      </c>
      <c r="AO1086" s="75">
        <v>1</v>
      </c>
      <c r="AP1086" s="75" t="s">
        <v>84</v>
      </c>
      <c r="AQ1086" s="122">
        <v>1</v>
      </c>
      <c r="AR1086" s="515" t="s">
        <v>10</v>
      </c>
      <c r="AS1086" s="95">
        <v>0</v>
      </c>
      <c r="AT1086" s="75">
        <v>0</v>
      </c>
      <c r="AU1086" s="75">
        <v>0</v>
      </c>
      <c r="AV1086" s="75">
        <v>0</v>
      </c>
      <c r="AW1086" s="123">
        <v>0</v>
      </c>
      <c r="AX1086" s="516"/>
      <c r="AY1086" s="75">
        <v>0</v>
      </c>
      <c r="AZ1086" s="77" t="s">
        <v>131</v>
      </c>
      <c r="BA1086" s="78" t="s">
        <v>132</v>
      </c>
      <c r="BB1086" s="78" t="s">
        <v>131</v>
      </c>
      <c r="BC1086" s="78" t="s">
        <v>131</v>
      </c>
      <c r="BD1086" s="78" t="s">
        <v>131</v>
      </c>
      <c r="BE1086" s="78" t="s">
        <v>131</v>
      </c>
      <c r="BF1086" s="78" t="s">
        <v>131</v>
      </c>
      <c r="BG1086" s="78" t="s">
        <v>131</v>
      </c>
      <c r="BH1086" s="75" t="s">
        <v>5970</v>
      </c>
      <c r="BI1086" s="295" t="s">
        <v>4035</v>
      </c>
      <c r="BJ1086" s="546">
        <v>1</v>
      </c>
      <c r="BK1086" s="294" t="s">
        <v>16</v>
      </c>
      <c r="BL1086" s="157" t="s">
        <v>16</v>
      </c>
      <c r="BM1086" s="548" t="s">
        <v>1347</v>
      </c>
      <c r="BN1086" s="548" t="s">
        <v>544</v>
      </c>
      <c r="BO1086" s="157" t="s">
        <v>4593</v>
      </c>
      <c r="BP1086" s="548" t="s">
        <v>4035</v>
      </c>
      <c r="BQ1086" s="157" t="s">
        <v>4563</v>
      </c>
      <c r="BR1086" s="157"/>
    </row>
    <row r="1087" spans="1:70" x14ac:dyDescent="0.25">
      <c r="A1087" s="19" t="s">
        <v>3686</v>
      </c>
      <c r="B1087" s="37" t="s">
        <v>3313</v>
      </c>
      <c r="C1087" s="90">
        <v>45077.847303240742</v>
      </c>
      <c r="D1087" s="114">
        <v>45077.597303240742</v>
      </c>
      <c r="E1087" s="38">
        <v>45077</v>
      </c>
      <c r="F1087" s="91">
        <v>2023</v>
      </c>
      <c r="G1087" s="93">
        <v>5</v>
      </c>
      <c r="H1087" s="37" t="s">
        <v>3137</v>
      </c>
      <c r="I1087" s="37"/>
      <c r="J1087" s="103">
        <v>-91.418843477379241</v>
      </c>
      <c r="K1087" s="40">
        <v>42.675939506422971</v>
      </c>
      <c r="L1087" s="74"/>
      <c r="M1087" s="272" t="s">
        <v>3314</v>
      </c>
      <c r="N1087" s="74">
        <v>1</v>
      </c>
      <c r="O1087" s="94"/>
      <c r="P1087" s="118">
        <v>1</v>
      </c>
      <c r="Q1087" s="510">
        <v>40</v>
      </c>
      <c r="R1087" s="513">
        <v>180</v>
      </c>
      <c r="S1087" s="41"/>
      <c r="T1087" s="40"/>
      <c r="U1087" s="40">
        <v>7.5</v>
      </c>
      <c r="V1087" s="119">
        <v>1</v>
      </c>
      <c r="W1087" s="40">
        <v>0</v>
      </c>
      <c r="X1087" s="119">
        <v>1</v>
      </c>
      <c r="Y1087" s="40">
        <v>72</v>
      </c>
      <c r="Z1087" s="119">
        <v>1</v>
      </c>
      <c r="AA1087" s="368">
        <v>0</v>
      </c>
      <c r="AB1087" s="535">
        <v>2</v>
      </c>
      <c r="AC1087" s="39"/>
      <c r="AD1087" s="75" t="s">
        <v>16</v>
      </c>
      <c r="AE1087" s="95">
        <v>-1</v>
      </c>
      <c r="AF1087" s="75">
        <v>-1</v>
      </c>
      <c r="AG1087" s="75">
        <v>-1</v>
      </c>
      <c r="AH1087" s="75">
        <v>-1</v>
      </c>
      <c r="AI1087" s="75">
        <v>-1</v>
      </c>
      <c r="AJ1087" s="75">
        <v>-1</v>
      </c>
      <c r="AK1087" s="75">
        <v>-1</v>
      </c>
      <c r="AL1087" s="95">
        <v>-1</v>
      </c>
      <c r="AM1087" s="92">
        <v>1</v>
      </c>
      <c r="AN1087" s="79" t="s">
        <v>80</v>
      </c>
      <c r="AO1087" s="75">
        <v>1</v>
      </c>
      <c r="AP1087" s="75" t="s">
        <v>84</v>
      </c>
      <c r="AQ1087" s="122">
        <v>1</v>
      </c>
      <c r="AR1087" s="515" t="s">
        <v>16</v>
      </c>
      <c r="AS1087" s="95">
        <v>-1</v>
      </c>
      <c r="AT1087" s="75">
        <v>-1</v>
      </c>
      <c r="AU1087" s="75">
        <v>-1</v>
      </c>
      <c r="AV1087" s="75">
        <v>-1</v>
      </c>
      <c r="AW1087" s="123">
        <v>1</v>
      </c>
      <c r="AX1087" s="516"/>
      <c r="AY1087" s="75">
        <v>0</v>
      </c>
      <c r="AZ1087" s="77" t="s">
        <v>5971</v>
      </c>
      <c r="BA1087" s="78" t="s">
        <v>5971</v>
      </c>
      <c r="BB1087" s="78" t="s">
        <v>5971</v>
      </c>
      <c r="BC1087" s="78" t="s">
        <v>5971</v>
      </c>
      <c r="BD1087" s="78" t="s">
        <v>5971</v>
      </c>
      <c r="BE1087" s="78" t="s">
        <v>5971</v>
      </c>
      <c r="BF1087" s="78" t="s">
        <v>5971</v>
      </c>
      <c r="BG1087" s="78" t="s">
        <v>5971</v>
      </c>
      <c r="BH1087" s="75" t="s">
        <v>5971</v>
      </c>
      <c r="BI1087" s="295" t="s">
        <v>2260</v>
      </c>
      <c r="BJ1087" s="546" t="s">
        <v>16</v>
      </c>
      <c r="BK1087" s="294" t="s">
        <v>16</v>
      </c>
      <c r="BL1087" s="157" t="s">
        <v>16</v>
      </c>
      <c r="BM1087" s="548" t="s">
        <v>1347</v>
      </c>
      <c r="BN1087" s="548" t="s">
        <v>544</v>
      </c>
      <c r="BO1087" s="157" t="s">
        <v>4594</v>
      </c>
      <c r="BP1087" s="548" t="s">
        <v>2260</v>
      </c>
      <c r="BQ1087" s="157" t="s">
        <v>4563</v>
      </c>
      <c r="BR1087" s="157"/>
    </row>
    <row r="1088" spans="1:70" x14ac:dyDescent="0.25">
      <c r="A1088" s="19" t="s">
        <v>3686</v>
      </c>
      <c r="B1088" s="37" t="s">
        <v>3315</v>
      </c>
      <c r="C1088" s="90">
        <v>45077.793703703705</v>
      </c>
      <c r="D1088" s="114">
        <v>45077.543703703705</v>
      </c>
      <c r="E1088" s="38">
        <v>45077</v>
      </c>
      <c r="F1088" s="91">
        <v>2023</v>
      </c>
      <c r="G1088" s="93">
        <v>5</v>
      </c>
      <c r="H1088" s="37" t="s">
        <v>3137</v>
      </c>
      <c r="I1088" s="37"/>
      <c r="J1088" s="103">
        <v>-91.381847933019884</v>
      </c>
      <c r="K1088" s="40">
        <v>42.762523829045485</v>
      </c>
      <c r="L1088" s="74"/>
      <c r="M1088" s="272" t="s">
        <v>3316</v>
      </c>
      <c r="N1088" s="74">
        <v>1</v>
      </c>
      <c r="O1088" s="94"/>
      <c r="P1088" s="118">
        <v>1</v>
      </c>
      <c r="Q1088" s="510">
        <v>180</v>
      </c>
      <c r="R1088" s="513">
        <v>180</v>
      </c>
      <c r="S1088" s="41"/>
      <c r="T1088" s="40"/>
      <c r="U1088" s="40">
        <v>7.5</v>
      </c>
      <c r="V1088" s="119">
        <v>1</v>
      </c>
      <c r="W1088" s="40">
        <v>0</v>
      </c>
      <c r="X1088" s="119">
        <v>1</v>
      </c>
      <c r="Y1088" s="40">
        <v>66</v>
      </c>
      <c r="Z1088" s="119">
        <v>1</v>
      </c>
      <c r="AA1088" s="368">
        <v>0</v>
      </c>
      <c r="AB1088" s="535">
        <v>2</v>
      </c>
      <c r="AC1088" s="39" t="s">
        <v>160</v>
      </c>
      <c r="AD1088" s="75" t="s">
        <v>1622</v>
      </c>
      <c r="AE1088" s="95">
        <v>1</v>
      </c>
      <c r="AF1088" s="75">
        <v>1</v>
      </c>
      <c r="AG1088" s="75">
        <v>0</v>
      </c>
      <c r="AH1088" s="75">
        <v>0</v>
      </c>
      <c r="AI1088" s="75">
        <v>0</v>
      </c>
      <c r="AJ1088" s="75">
        <v>0</v>
      </c>
      <c r="AK1088" s="75">
        <v>0</v>
      </c>
      <c r="AL1088" s="95">
        <v>0</v>
      </c>
      <c r="AM1088" s="92">
        <v>0</v>
      </c>
      <c r="AN1088" s="79" t="s">
        <v>80</v>
      </c>
      <c r="AO1088" s="75">
        <v>1</v>
      </c>
      <c r="AP1088" s="75" t="s">
        <v>84</v>
      </c>
      <c r="AQ1088" s="122">
        <v>1</v>
      </c>
      <c r="AR1088" s="515" t="s">
        <v>10</v>
      </c>
      <c r="AS1088" s="95">
        <v>0</v>
      </c>
      <c r="AT1088" s="75">
        <v>0</v>
      </c>
      <c r="AU1088" s="75">
        <v>0</v>
      </c>
      <c r="AV1088" s="75">
        <v>0</v>
      </c>
      <c r="AW1088" s="123">
        <v>0</v>
      </c>
      <c r="AX1088" s="516"/>
      <c r="AY1088" s="75">
        <v>0</v>
      </c>
      <c r="AZ1088" s="77" t="s">
        <v>132</v>
      </c>
      <c r="BA1088" s="78" t="s">
        <v>132</v>
      </c>
      <c r="BB1088" s="78" t="s">
        <v>131</v>
      </c>
      <c r="BC1088" s="78" t="s">
        <v>131</v>
      </c>
      <c r="BD1088" s="78" t="s">
        <v>131</v>
      </c>
      <c r="BE1088" s="78" t="s">
        <v>131</v>
      </c>
      <c r="BF1088" s="78" t="s">
        <v>131</v>
      </c>
      <c r="BG1088" s="78" t="s">
        <v>131</v>
      </c>
      <c r="BH1088" s="75" t="s">
        <v>5970</v>
      </c>
      <c r="BI1088" s="295" t="s">
        <v>2284</v>
      </c>
      <c r="BJ1088" s="546">
        <v>1</v>
      </c>
      <c r="BK1088" s="294" t="s">
        <v>16</v>
      </c>
      <c r="BL1088" s="157" t="s">
        <v>16</v>
      </c>
      <c r="BM1088" s="548" t="s">
        <v>1347</v>
      </c>
      <c r="BN1088" s="548" t="s">
        <v>544</v>
      </c>
      <c r="BO1088" s="157" t="s">
        <v>4566</v>
      </c>
      <c r="BP1088" s="548" t="s">
        <v>4596</v>
      </c>
      <c r="BQ1088" s="157" t="s">
        <v>4563</v>
      </c>
      <c r="BR1088" s="157"/>
    </row>
    <row r="1089" spans="1:70" x14ac:dyDescent="0.25">
      <c r="A1089" s="19" t="s">
        <v>3686</v>
      </c>
      <c r="B1089" s="37" t="s">
        <v>3317</v>
      </c>
      <c r="C1089" s="90">
        <v>45077.775902777779</v>
      </c>
      <c r="D1089" s="114">
        <v>45077.525902777779</v>
      </c>
      <c r="E1089" s="38">
        <v>45077</v>
      </c>
      <c r="F1089" s="91">
        <v>2023</v>
      </c>
      <c r="G1089" s="93">
        <v>5</v>
      </c>
      <c r="H1089" s="37" t="s">
        <v>3137</v>
      </c>
      <c r="I1089" s="37"/>
      <c r="J1089" s="103">
        <v>-91.370518708264044</v>
      </c>
      <c r="K1089" s="40">
        <v>42.757389660953692</v>
      </c>
      <c r="L1089" s="74"/>
      <c r="M1089" s="272" t="s">
        <v>3318</v>
      </c>
      <c r="N1089" s="74">
        <v>1</v>
      </c>
      <c r="O1089" s="94"/>
      <c r="P1089" s="118">
        <v>1</v>
      </c>
      <c r="Q1089" s="510">
        <v>180</v>
      </c>
      <c r="R1089" s="513">
        <v>180</v>
      </c>
      <c r="S1089" s="41"/>
      <c r="T1089" s="40"/>
      <c r="U1089" s="40">
        <v>8</v>
      </c>
      <c r="V1089" s="119">
        <v>1</v>
      </c>
      <c r="W1089" s="40">
        <v>100</v>
      </c>
      <c r="X1089" s="119">
        <v>1</v>
      </c>
      <c r="Y1089" s="40">
        <v>64</v>
      </c>
      <c r="Z1089" s="119">
        <v>1</v>
      </c>
      <c r="AA1089" s="368">
        <v>0</v>
      </c>
      <c r="AB1089" s="535">
        <v>2</v>
      </c>
      <c r="AC1089" s="39" t="s">
        <v>160</v>
      </c>
      <c r="AD1089" s="75" t="s">
        <v>10</v>
      </c>
      <c r="AE1089" s="95">
        <v>0</v>
      </c>
      <c r="AF1089" s="75">
        <v>0</v>
      </c>
      <c r="AG1089" s="75">
        <v>0</v>
      </c>
      <c r="AH1089" s="75">
        <v>0</v>
      </c>
      <c r="AI1089" s="75">
        <v>0</v>
      </c>
      <c r="AJ1089" s="75">
        <v>0</v>
      </c>
      <c r="AK1089" s="75">
        <v>0</v>
      </c>
      <c r="AL1089" s="95">
        <v>1</v>
      </c>
      <c r="AM1089" s="92">
        <v>0</v>
      </c>
      <c r="AN1089" s="79" t="s">
        <v>80</v>
      </c>
      <c r="AO1089" s="75">
        <v>1</v>
      </c>
      <c r="AP1089" s="75" t="s">
        <v>83</v>
      </c>
      <c r="AQ1089" s="122">
        <v>1</v>
      </c>
      <c r="AR1089" s="515" t="s">
        <v>16</v>
      </c>
      <c r="AS1089" s="95">
        <v>-1</v>
      </c>
      <c r="AT1089" s="75">
        <v>-1</v>
      </c>
      <c r="AU1089" s="75">
        <v>-1</v>
      </c>
      <c r="AV1089" s="75">
        <v>-1</v>
      </c>
      <c r="AW1089" s="123">
        <v>1</v>
      </c>
      <c r="AX1089" s="516"/>
      <c r="AY1089" s="75">
        <v>0</v>
      </c>
      <c r="AZ1089" s="77" t="s">
        <v>131</v>
      </c>
      <c r="BA1089" s="78" t="s">
        <v>131</v>
      </c>
      <c r="BB1089" s="78" t="s">
        <v>131</v>
      </c>
      <c r="BC1089" s="78" t="s">
        <v>131</v>
      </c>
      <c r="BD1089" s="78" t="s">
        <v>131</v>
      </c>
      <c r="BE1089" s="78" t="s">
        <v>131</v>
      </c>
      <c r="BF1089" s="78" t="s">
        <v>131</v>
      </c>
      <c r="BG1089" s="78" t="s">
        <v>132</v>
      </c>
      <c r="BH1089" s="75" t="s">
        <v>5970</v>
      </c>
      <c r="BI1089" s="295" t="s">
        <v>4037</v>
      </c>
      <c r="BJ1089" s="546">
        <v>1</v>
      </c>
      <c r="BK1089" s="294" t="s">
        <v>16</v>
      </c>
      <c r="BL1089" s="157" t="s">
        <v>16</v>
      </c>
      <c r="BM1089" s="548" t="s">
        <v>1347</v>
      </c>
      <c r="BN1089" s="548" t="s">
        <v>544</v>
      </c>
      <c r="BO1089" s="157" t="s">
        <v>4566</v>
      </c>
      <c r="BP1089" s="548" t="s">
        <v>4596</v>
      </c>
      <c r="BQ1089" s="157" t="s">
        <v>4563</v>
      </c>
      <c r="BR1089" s="157"/>
    </row>
    <row r="1090" spans="1:70" x14ac:dyDescent="0.25">
      <c r="A1090" s="19" t="s">
        <v>3686</v>
      </c>
      <c r="B1090" s="37" t="s">
        <v>3319</v>
      </c>
      <c r="C1090" s="90">
        <v>45077.744143518517</v>
      </c>
      <c r="D1090" s="114">
        <v>45077.494143518517</v>
      </c>
      <c r="E1090" s="38">
        <v>45077</v>
      </c>
      <c r="F1090" s="91">
        <v>2023</v>
      </c>
      <c r="G1090" s="93">
        <v>5</v>
      </c>
      <c r="H1090" s="37" t="s">
        <v>260</v>
      </c>
      <c r="I1090" s="37" t="s">
        <v>337</v>
      </c>
      <c r="J1090" s="103">
        <v>-92.64509395085706</v>
      </c>
      <c r="K1090" s="40">
        <v>44.843517772989337</v>
      </c>
      <c r="L1090" s="74"/>
      <c r="M1090" s="272" t="s">
        <v>3320</v>
      </c>
      <c r="N1090" s="74">
        <v>1</v>
      </c>
      <c r="O1090" s="94"/>
      <c r="P1090" s="118">
        <v>1</v>
      </c>
      <c r="Q1090" s="510">
        <v>180</v>
      </c>
      <c r="R1090" s="513">
        <v>120</v>
      </c>
      <c r="S1090" s="41"/>
      <c r="T1090" s="40"/>
      <c r="U1090" s="40">
        <v>8</v>
      </c>
      <c r="V1090" s="119">
        <v>1</v>
      </c>
      <c r="W1090" s="40">
        <v>0</v>
      </c>
      <c r="X1090" s="119">
        <v>1</v>
      </c>
      <c r="Y1090" s="40">
        <v>63</v>
      </c>
      <c r="Z1090" s="119">
        <v>1</v>
      </c>
      <c r="AA1090" s="368">
        <v>0</v>
      </c>
      <c r="AB1090" s="535">
        <v>5</v>
      </c>
      <c r="AC1090" s="39" t="s">
        <v>160</v>
      </c>
      <c r="AD1090" s="75" t="s">
        <v>10</v>
      </c>
      <c r="AE1090" s="95">
        <v>0</v>
      </c>
      <c r="AF1090" s="75">
        <v>0</v>
      </c>
      <c r="AG1090" s="75">
        <v>0</v>
      </c>
      <c r="AH1090" s="75">
        <v>0</v>
      </c>
      <c r="AI1090" s="75">
        <v>0</v>
      </c>
      <c r="AJ1090" s="75">
        <v>0</v>
      </c>
      <c r="AK1090" s="75">
        <v>0</v>
      </c>
      <c r="AL1090" s="95">
        <v>1</v>
      </c>
      <c r="AM1090" s="92">
        <v>0</v>
      </c>
      <c r="AN1090" s="79" t="s">
        <v>80</v>
      </c>
      <c r="AO1090" s="75">
        <v>1</v>
      </c>
      <c r="AP1090" s="75" t="s">
        <v>83</v>
      </c>
      <c r="AQ1090" s="122">
        <v>1</v>
      </c>
      <c r="AR1090" s="515" t="s">
        <v>10</v>
      </c>
      <c r="AS1090" s="95">
        <v>0</v>
      </c>
      <c r="AT1090" s="75">
        <v>0</v>
      </c>
      <c r="AU1090" s="75">
        <v>0</v>
      </c>
      <c r="AV1090" s="75">
        <v>0</v>
      </c>
      <c r="AW1090" s="123">
        <v>0</v>
      </c>
      <c r="AX1090" s="516" t="s">
        <v>3321</v>
      </c>
      <c r="AY1090" s="75">
        <v>1</v>
      </c>
      <c r="AZ1090" s="77" t="s">
        <v>131</v>
      </c>
      <c r="BA1090" s="78" t="s">
        <v>131</v>
      </c>
      <c r="BB1090" s="78" t="s">
        <v>131</v>
      </c>
      <c r="BC1090" s="78" t="s">
        <v>131</v>
      </c>
      <c r="BD1090" s="78" t="s">
        <v>131</v>
      </c>
      <c r="BE1090" s="78" t="s">
        <v>131</v>
      </c>
      <c r="BF1090" s="78" t="s">
        <v>131</v>
      </c>
      <c r="BG1090" s="78" t="s">
        <v>132</v>
      </c>
      <c r="BH1090" s="75" t="s">
        <v>5970</v>
      </c>
      <c r="BI1090" s="295" t="s">
        <v>2227</v>
      </c>
      <c r="BJ1090" s="546">
        <v>1</v>
      </c>
      <c r="BK1090" s="294" t="s">
        <v>16</v>
      </c>
      <c r="BL1090" s="157" t="s">
        <v>16</v>
      </c>
      <c r="BM1090" s="548" t="s">
        <v>578</v>
      </c>
      <c r="BN1090" s="548" t="s">
        <v>578</v>
      </c>
      <c r="BO1090" s="157" t="s">
        <v>4341</v>
      </c>
      <c r="BP1090" s="548" t="s">
        <v>4343</v>
      </c>
      <c r="BQ1090" s="157" t="s">
        <v>4309</v>
      </c>
      <c r="BR1090" s="157"/>
    </row>
    <row r="1091" spans="1:70" x14ac:dyDescent="0.25">
      <c r="A1091" s="19" t="s">
        <v>3686</v>
      </c>
      <c r="B1091" s="37" t="s">
        <v>3322</v>
      </c>
      <c r="C1091" s="90">
        <v>45077.73228009259</v>
      </c>
      <c r="D1091" s="114">
        <v>45077.48228009259</v>
      </c>
      <c r="E1091" s="38">
        <v>45077</v>
      </c>
      <c r="F1091" s="91">
        <v>2023</v>
      </c>
      <c r="G1091" s="93">
        <v>5</v>
      </c>
      <c r="H1091" s="37" t="s">
        <v>3137</v>
      </c>
      <c r="I1091" s="37"/>
      <c r="J1091" s="103">
        <v>-91.432016291368058</v>
      </c>
      <c r="K1091" s="40">
        <v>42.747889012670733</v>
      </c>
      <c r="L1091" s="74"/>
      <c r="M1091" s="272" t="s">
        <v>3323</v>
      </c>
      <c r="N1091" s="74">
        <v>1</v>
      </c>
      <c r="O1091" s="94"/>
      <c r="P1091" s="118">
        <v>1</v>
      </c>
      <c r="Q1091" s="510">
        <v>120</v>
      </c>
      <c r="R1091" s="513">
        <v>180</v>
      </c>
      <c r="S1091" s="41"/>
      <c r="T1091" s="40"/>
      <c r="U1091" s="40">
        <v>8</v>
      </c>
      <c r="V1091" s="119">
        <v>1</v>
      </c>
      <c r="W1091" s="40">
        <v>100</v>
      </c>
      <c r="X1091" s="119">
        <v>1</v>
      </c>
      <c r="Y1091" s="40">
        <v>66</v>
      </c>
      <c r="Z1091" s="119">
        <v>1</v>
      </c>
      <c r="AA1091" s="368">
        <v>0</v>
      </c>
      <c r="AB1091" s="535">
        <v>0</v>
      </c>
      <c r="AC1091" s="39" t="s">
        <v>160</v>
      </c>
      <c r="AD1091" s="75" t="s">
        <v>8</v>
      </c>
      <c r="AE1091" s="95">
        <v>0</v>
      </c>
      <c r="AF1091" s="75">
        <v>1</v>
      </c>
      <c r="AG1091" s="75">
        <v>0</v>
      </c>
      <c r="AH1091" s="75">
        <v>0</v>
      </c>
      <c r="AI1091" s="75">
        <v>0</v>
      </c>
      <c r="AJ1091" s="75">
        <v>0</v>
      </c>
      <c r="AK1091" s="75">
        <v>0</v>
      </c>
      <c r="AL1091" s="95">
        <v>0</v>
      </c>
      <c r="AM1091" s="92">
        <v>0</v>
      </c>
      <c r="AN1091" s="79" t="s">
        <v>81</v>
      </c>
      <c r="AO1091" s="75">
        <v>1</v>
      </c>
      <c r="AP1091" s="75" t="s">
        <v>84</v>
      </c>
      <c r="AQ1091" s="122">
        <v>1</v>
      </c>
      <c r="AR1091" s="515" t="s">
        <v>16</v>
      </c>
      <c r="AS1091" s="95">
        <v>-1</v>
      </c>
      <c r="AT1091" s="75">
        <v>-1</v>
      </c>
      <c r="AU1091" s="75">
        <v>-1</v>
      </c>
      <c r="AV1091" s="75">
        <v>-1</v>
      </c>
      <c r="AW1091" s="123">
        <v>1</v>
      </c>
      <c r="AX1091" s="516"/>
      <c r="AY1091" s="75">
        <v>0</v>
      </c>
      <c r="AZ1091" s="77" t="s">
        <v>131</v>
      </c>
      <c r="BA1091" s="78" t="s">
        <v>132</v>
      </c>
      <c r="BB1091" s="78" t="s">
        <v>131</v>
      </c>
      <c r="BC1091" s="78" t="s">
        <v>131</v>
      </c>
      <c r="BD1091" s="78" t="s">
        <v>131</v>
      </c>
      <c r="BE1091" s="78" t="s">
        <v>131</v>
      </c>
      <c r="BF1091" s="78" t="s">
        <v>131</v>
      </c>
      <c r="BG1091" s="78" t="s">
        <v>131</v>
      </c>
      <c r="BH1091" s="75" t="s">
        <v>5970</v>
      </c>
      <c r="BI1091" s="295" t="s">
        <v>16</v>
      </c>
      <c r="BJ1091" s="546" t="s">
        <v>16</v>
      </c>
      <c r="BK1091" s="294" t="s">
        <v>16</v>
      </c>
      <c r="BL1091" s="157" t="s">
        <v>16</v>
      </c>
      <c r="BM1091" s="548" t="s">
        <v>1347</v>
      </c>
      <c r="BN1091" s="548" t="s">
        <v>544</v>
      </c>
      <c r="BO1091" s="157" t="s">
        <v>4566</v>
      </c>
      <c r="BP1091" s="548" t="s">
        <v>4596</v>
      </c>
      <c r="BQ1091" s="157" t="s">
        <v>4563</v>
      </c>
      <c r="BR1091" s="157"/>
    </row>
    <row r="1092" spans="1:70" x14ac:dyDescent="0.25">
      <c r="A1092" s="19" t="s">
        <v>3686</v>
      </c>
      <c r="B1092" s="37" t="s">
        <v>3324</v>
      </c>
      <c r="C1092" s="90">
        <v>45077.719317129631</v>
      </c>
      <c r="D1092" s="114">
        <v>45077.469317129631</v>
      </c>
      <c r="E1092" s="38">
        <v>45077</v>
      </c>
      <c r="F1092" s="91">
        <v>2023</v>
      </c>
      <c r="G1092" s="93">
        <v>5</v>
      </c>
      <c r="H1092" s="37" t="s">
        <v>2654</v>
      </c>
      <c r="I1092" s="37"/>
      <c r="J1092" s="103">
        <v>-91.146849900000007</v>
      </c>
      <c r="K1092" s="40">
        <v>43.979168600000001</v>
      </c>
      <c r="L1092" s="74"/>
      <c r="M1092" s="272" t="s">
        <v>3325</v>
      </c>
      <c r="N1092" s="74">
        <v>1</v>
      </c>
      <c r="O1092" s="94"/>
      <c r="P1092" s="118">
        <v>1</v>
      </c>
      <c r="Q1092" s="510">
        <v>80</v>
      </c>
      <c r="R1092" s="513">
        <v>180</v>
      </c>
      <c r="S1092" s="41"/>
      <c r="T1092" s="40"/>
      <c r="U1092" s="40">
        <v>8</v>
      </c>
      <c r="V1092" s="119">
        <v>1</v>
      </c>
      <c r="W1092" s="40">
        <v>0</v>
      </c>
      <c r="X1092" s="119">
        <v>1</v>
      </c>
      <c r="Y1092" s="40">
        <v>58</v>
      </c>
      <c r="Z1092" s="119">
        <v>1</v>
      </c>
      <c r="AA1092" s="368">
        <v>0</v>
      </c>
      <c r="AB1092" s="535">
        <v>2</v>
      </c>
      <c r="AC1092" s="39" t="s">
        <v>160</v>
      </c>
      <c r="AD1092" s="75" t="s">
        <v>7</v>
      </c>
      <c r="AE1092" s="95">
        <v>1</v>
      </c>
      <c r="AF1092" s="75">
        <v>0</v>
      </c>
      <c r="AG1092" s="75">
        <v>0</v>
      </c>
      <c r="AH1092" s="75">
        <v>0</v>
      </c>
      <c r="AI1092" s="75">
        <v>0</v>
      </c>
      <c r="AJ1092" s="75">
        <v>0</v>
      </c>
      <c r="AK1092" s="75">
        <v>0</v>
      </c>
      <c r="AL1092" s="95">
        <v>0</v>
      </c>
      <c r="AM1092" s="92">
        <v>0</v>
      </c>
      <c r="AN1092" s="79" t="s">
        <v>80</v>
      </c>
      <c r="AO1092" s="75">
        <v>1</v>
      </c>
      <c r="AP1092" s="75" t="s">
        <v>83</v>
      </c>
      <c r="AQ1092" s="122">
        <v>1</v>
      </c>
      <c r="AR1092" s="515" t="s">
        <v>10</v>
      </c>
      <c r="AS1092" s="95">
        <v>0</v>
      </c>
      <c r="AT1092" s="75">
        <v>0</v>
      </c>
      <c r="AU1092" s="75">
        <v>0</v>
      </c>
      <c r="AV1092" s="75">
        <v>0</v>
      </c>
      <c r="AW1092" s="123">
        <v>0</v>
      </c>
      <c r="AX1092" s="516"/>
      <c r="AY1092" s="75">
        <v>0</v>
      </c>
      <c r="AZ1092" s="77" t="s">
        <v>132</v>
      </c>
      <c r="BA1092" s="78" t="s">
        <v>131</v>
      </c>
      <c r="BB1092" s="78" t="s">
        <v>131</v>
      </c>
      <c r="BC1092" s="78" t="s">
        <v>131</v>
      </c>
      <c r="BD1092" s="78" t="s">
        <v>131</v>
      </c>
      <c r="BE1092" s="78" t="s">
        <v>131</v>
      </c>
      <c r="BF1092" s="78" t="s">
        <v>131</v>
      </c>
      <c r="BG1092" s="78" t="s">
        <v>131</v>
      </c>
      <c r="BH1092" s="75" t="s">
        <v>5970</v>
      </c>
      <c r="BI1092" s="295" t="s">
        <v>3969</v>
      </c>
      <c r="BJ1092" s="546">
        <v>1</v>
      </c>
      <c r="BK1092" s="294">
        <v>1</v>
      </c>
      <c r="BL1092" s="157">
        <v>1</v>
      </c>
      <c r="BM1092" s="548" t="s">
        <v>1342</v>
      </c>
      <c r="BN1092" s="548" t="s">
        <v>4158</v>
      </c>
      <c r="BO1092" s="157" t="s">
        <v>4591</v>
      </c>
      <c r="BP1092" s="548" t="s">
        <v>3969</v>
      </c>
      <c r="BQ1092" s="157" t="s">
        <v>4452</v>
      </c>
      <c r="BR1092" s="157"/>
    </row>
    <row r="1093" spans="1:70" x14ac:dyDescent="0.25">
      <c r="A1093" s="19" t="s">
        <v>3686</v>
      </c>
      <c r="B1093" s="37" t="s">
        <v>3326</v>
      </c>
      <c r="C1093" s="90">
        <v>45077.70685185185</v>
      </c>
      <c r="D1093" s="114">
        <v>45077.45685185185</v>
      </c>
      <c r="E1093" s="38">
        <v>45077</v>
      </c>
      <c r="F1093" s="91">
        <v>2023</v>
      </c>
      <c r="G1093" s="93">
        <v>5</v>
      </c>
      <c r="H1093" s="37" t="s">
        <v>3137</v>
      </c>
      <c r="I1093" s="37" t="s">
        <v>16</v>
      </c>
      <c r="J1093" s="103">
        <v>-91.428060073613395</v>
      </c>
      <c r="K1093" s="40">
        <v>42.729470414245753</v>
      </c>
      <c r="L1093" s="74"/>
      <c r="M1093" s="272" t="s">
        <v>3327</v>
      </c>
      <c r="N1093" s="74">
        <v>1</v>
      </c>
      <c r="O1093" s="94"/>
      <c r="P1093" s="118">
        <v>1</v>
      </c>
      <c r="Q1093" s="510">
        <v>180</v>
      </c>
      <c r="R1093" s="513">
        <v>180</v>
      </c>
      <c r="S1093" s="41"/>
      <c r="T1093" s="40"/>
      <c r="U1093" s="40">
        <v>8</v>
      </c>
      <c r="V1093" s="119">
        <v>1</v>
      </c>
      <c r="W1093" s="40">
        <v>100</v>
      </c>
      <c r="X1093" s="119">
        <v>1</v>
      </c>
      <c r="Y1093" s="40">
        <v>69</v>
      </c>
      <c r="Z1093" s="119">
        <v>1</v>
      </c>
      <c r="AA1093" s="368">
        <v>0</v>
      </c>
      <c r="AB1093" s="535">
        <v>2</v>
      </c>
      <c r="AC1093" s="39" t="s">
        <v>160</v>
      </c>
      <c r="AD1093" s="75" t="s">
        <v>8</v>
      </c>
      <c r="AE1093" s="95">
        <v>0</v>
      </c>
      <c r="AF1093" s="75">
        <v>1</v>
      </c>
      <c r="AG1093" s="75">
        <v>0</v>
      </c>
      <c r="AH1093" s="75">
        <v>0</v>
      </c>
      <c r="AI1093" s="75">
        <v>0</v>
      </c>
      <c r="AJ1093" s="75">
        <v>0</v>
      </c>
      <c r="AK1093" s="75">
        <v>0</v>
      </c>
      <c r="AL1093" s="95">
        <v>0</v>
      </c>
      <c r="AM1093" s="92">
        <v>0</v>
      </c>
      <c r="AN1093" s="79" t="s">
        <v>81</v>
      </c>
      <c r="AO1093" s="75">
        <v>1</v>
      </c>
      <c r="AP1093" s="75" t="s">
        <v>85</v>
      </c>
      <c r="AQ1093" s="122">
        <v>1</v>
      </c>
      <c r="AR1093" s="515" t="s">
        <v>16</v>
      </c>
      <c r="AS1093" s="95">
        <v>-1</v>
      </c>
      <c r="AT1093" s="75">
        <v>-1</v>
      </c>
      <c r="AU1093" s="75">
        <v>-1</v>
      </c>
      <c r="AV1093" s="75">
        <v>-1</v>
      </c>
      <c r="AW1093" s="123">
        <v>1</v>
      </c>
      <c r="AX1093" s="516"/>
      <c r="AY1093" s="75">
        <v>0</v>
      </c>
      <c r="AZ1093" s="77" t="s">
        <v>131</v>
      </c>
      <c r="BA1093" s="78" t="s">
        <v>132</v>
      </c>
      <c r="BB1093" s="78" t="s">
        <v>131</v>
      </c>
      <c r="BC1093" s="78" t="s">
        <v>131</v>
      </c>
      <c r="BD1093" s="78" t="s">
        <v>131</v>
      </c>
      <c r="BE1093" s="78" t="s">
        <v>131</v>
      </c>
      <c r="BF1093" s="78" t="s">
        <v>131</v>
      </c>
      <c r="BG1093" s="78" t="s">
        <v>131</v>
      </c>
      <c r="BH1093" s="75" t="s">
        <v>5970</v>
      </c>
      <c r="BI1093" s="295" t="s">
        <v>4037</v>
      </c>
      <c r="BJ1093" s="546">
        <v>1</v>
      </c>
      <c r="BK1093" s="294" t="s">
        <v>16</v>
      </c>
      <c r="BL1093" s="157" t="s">
        <v>16</v>
      </c>
      <c r="BM1093" s="548" t="s">
        <v>1347</v>
      </c>
      <c r="BN1093" s="548" t="s">
        <v>544</v>
      </c>
      <c r="BO1093" s="157" t="s">
        <v>4566</v>
      </c>
      <c r="BP1093" s="548" t="s">
        <v>4596</v>
      </c>
      <c r="BQ1093" s="157" t="s">
        <v>4563</v>
      </c>
      <c r="BR1093" s="157"/>
    </row>
    <row r="1094" spans="1:70" x14ac:dyDescent="0.25">
      <c r="A1094" s="19" t="s">
        <v>3686</v>
      </c>
      <c r="B1094" s="37" t="s">
        <v>3328</v>
      </c>
      <c r="C1094" s="90">
        <v>45077.694895833331</v>
      </c>
      <c r="D1094" s="114">
        <v>45077.444895833331</v>
      </c>
      <c r="E1094" s="38">
        <v>45077</v>
      </c>
      <c r="F1094" s="91">
        <v>2023</v>
      </c>
      <c r="G1094" s="93">
        <v>5</v>
      </c>
      <c r="H1094" s="37" t="s">
        <v>3137</v>
      </c>
      <c r="I1094" s="37"/>
      <c r="J1094" s="103">
        <v>-91.427597596262359</v>
      </c>
      <c r="K1094" s="40">
        <v>42.725325622613731</v>
      </c>
      <c r="L1094" s="74"/>
      <c r="M1094" s="272" t="s">
        <v>3329</v>
      </c>
      <c r="N1094" s="74">
        <v>1</v>
      </c>
      <c r="O1094" s="94"/>
      <c r="P1094" s="118">
        <v>1</v>
      </c>
      <c r="Q1094" s="510">
        <v>40</v>
      </c>
      <c r="R1094" s="513">
        <v>180</v>
      </c>
      <c r="S1094" s="41"/>
      <c r="T1094" s="40"/>
      <c r="U1094" s="40">
        <v>7.5</v>
      </c>
      <c r="V1094" s="119">
        <v>1</v>
      </c>
      <c r="W1094" s="40">
        <v>0</v>
      </c>
      <c r="X1094" s="119">
        <v>1</v>
      </c>
      <c r="Y1094" s="40">
        <v>60</v>
      </c>
      <c r="Z1094" s="119">
        <v>1</v>
      </c>
      <c r="AA1094" s="368">
        <v>0</v>
      </c>
      <c r="AB1094" s="535">
        <v>5</v>
      </c>
      <c r="AC1094" s="39" t="s">
        <v>160</v>
      </c>
      <c r="AD1094" s="75" t="s">
        <v>10</v>
      </c>
      <c r="AE1094" s="95">
        <v>0</v>
      </c>
      <c r="AF1094" s="75">
        <v>0</v>
      </c>
      <c r="AG1094" s="75">
        <v>0</v>
      </c>
      <c r="AH1094" s="75">
        <v>0</v>
      </c>
      <c r="AI1094" s="75">
        <v>0</v>
      </c>
      <c r="AJ1094" s="75">
        <v>0</v>
      </c>
      <c r="AK1094" s="75">
        <v>0</v>
      </c>
      <c r="AL1094" s="95">
        <v>1</v>
      </c>
      <c r="AM1094" s="92">
        <v>0</v>
      </c>
      <c r="AN1094" s="79" t="s">
        <v>80</v>
      </c>
      <c r="AO1094" s="75">
        <v>1</v>
      </c>
      <c r="AP1094" s="75" t="s">
        <v>84</v>
      </c>
      <c r="AQ1094" s="122">
        <v>1</v>
      </c>
      <c r="AR1094" s="515" t="s">
        <v>10</v>
      </c>
      <c r="AS1094" s="95">
        <v>0</v>
      </c>
      <c r="AT1094" s="75">
        <v>0</v>
      </c>
      <c r="AU1094" s="75">
        <v>0</v>
      </c>
      <c r="AV1094" s="75">
        <v>0</v>
      </c>
      <c r="AW1094" s="123">
        <v>0</v>
      </c>
      <c r="AX1094" s="516"/>
      <c r="AY1094" s="75">
        <v>0</v>
      </c>
      <c r="AZ1094" s="77" t="s">
        <v>131</v>
      </c>
      <c r="BA1094" s="78" t="s">
        <v>131</v>
      </c>
      <c r="BB1094" s="78" t="s">
        <v>131</v>
      </c>
      <c r="BC1094" s="78" t="s">
        <v>131</v>
      </c>
      <c r="BD1094" s="78" t="s">
        <v>131</v>
      </c>
      <c r="BE1094" s="78" t="s">
        <v>131</v>
      </c>
      <c r="BF1094" s="78" t="s">
        <v>131</v>
      </c>
      <c r="BG1094" s="78" t="s">
        <v>132</v>
      </c>
      <c r="BH1094" s="75" t="s">
        <v>5970</v>
      </c>
      <c r="BI1094" s="295" t="s">
        <v>4037</v>
      </c>
      <c r="BJ1094" s="546">
        <v>1</v>
      </c>
      <c r="BK1094" s="294" t="s">
        <v>16</v>
      </c>
      <c r="BL1094" s="157" t="s">
        <v>16</v>
      </c>
      <c r="BM1094" s="548" t="s">
        <v>1347</v>
      </c>
      <c r="BN1094" s="548" t="s">
        <v>544</v>
      </c>
      <c r="BO1094" s="157" t="s">
        <v>4566</v>
      </c>
      <c r="BP1094" s="548" t="s">
        <v>4596</v>
      </c>
      <c r="BQ1094" s="157" t="s">
        <v>4563</v>
      </c>
      <c r="BR1094" s="157"/>
    </row>
    <row r="1095" spans="1:70" x14ac:dyDescent="0.25">
      <c r="A1095" s="19" t="s">
        <v>3686</v>
      </c>
      <c r="B1095" s="37" t="s">
        <v>3330</v>
      </c>
      <c r="C1095" s="90">
        <v>45077.659421296295</v>
      </c>
      <c r="D1095" s="114">
        <v>45077.409421296295</v>
      </c>
      <c r="E1095" s="38">
        <v>45077</v>
      </c>
      <c r="F1095" s="91">
        <v>2023</v>
      </c>
      <c r="G1095" s="93">
        <v>5</v>
      </c>
      <c r="H1095" s="37" t="s">
        <v>3137</v>
      </c>
      <c r="I1095" s="37"/>
      <c r="J1095" s="103">
        <v>-91.426512623854606</v>
      </c>
      <c r="K1095" s="40">
        <v>42.709965179461669</v>
      </c>
      <c r="L1095" s="74"/>
      <c r="M1095" s="272" t="s">
        <v>3331</v>
      </c>
      <c r="N1095" s="74">
        <v>1</v>
      </c>
      <c r="O1095" s="94"/>
      <c r="P1095" s="118">
        <v>1</v>
      </c>
      <c r="Q1095" s="510">
        <v>180</v>
      </c>
      <c r="R1095" s="513">
        <v>180</v>
      </c>
      <c r="S1095" s="41"/>
      <c r="T1095" s="40"/>
      <c r="U1095" s="40">
        <v>7.5</v>
      </c>
      <c r="V1095" s="119">
        <v>1</v>
      </c>
      <c r="W1095" s="40">
        <v>0</v>
      </c>
      <c r="X1095" s="119">
        <v>1</v>
      </c>
      <c r="Y1095" s="40">
        <v>54</v>
      </c>
      <c r="Z1095" s="119">
        <v>1</v>
      </c>
      <c r="AA1095" s="368">
        <v>0</v>
      </c>
      <c r="AB1095" s="535">
        <v>5</v>
      </c>
      <c r="AC1095" s="39" t="s">
        <v>160</v>
      </c>
      <c r="AD1095" s="75" t="s">
        <v>8</v>
      </c>
      <c r="AE1095" s="95">
        <v>0</v>
      </c>
      <c r="AF1095" s="75">
        <v>1</v>
      </c>
      <c r="AG1095" s="75">
        <v>0</v>
      </c>
      <c r="AH1095" s="75">
        <v>0</v>
      </c>
      <c r="AI1095" s="75">
        <v>0</v>
      </c>
      <c r="AJ1095" s="75">
        <v>0</v>
      </c>
      <c r="AK1095" s="75">
        <v>0</v>
      </c>
      <c r="AL1095" s="95">
        <v>0</v>
      </c>
      <c r="AM1095" s="92">
        <v>0</v>
      </c>
      <c r="AN1095" s="79"/>
      <c r="AO1095" s="75">
        <v>0</v>
      </c>
      <c r="AP1095" s="75" t="s">
        <v>83</v>
      </c>
      <c r="AQ1095" s="122">
        <v>1</v>
      </c>
      <c r="AR1095" s="515" t="s">
        <v>16</v>
      </c>
      <c r="AS1095" s="95">
        <v>-1</v>
      </c>
      <c r="AT1095" s="75">
        <v>-1</v>
      </c>
      <c r="AU1095" s="75">
        <v>-1</v>
      </c>
      <c r="AV1095" s="75">
        <v>-1</v>
      </c>
      <c r="AW1095" s="123">
        <v>1</v>
      </c>
      <c r="AX1095" s="516"/>
      <c r="AY1095" s="75">
        <v>0</v>
      </c>
      <c r="AZ1095" s="77" t="s">
        <v>131</v>
      </c>
      <c r="BA1095" s="78" t="s">
        <v>132</v>
      </c>
      <c r="BB1095" s="78" t="s">
        <v>131</v>
      </c>
      <c r="BC1095" s="78" t="s">
        <v>131</v>
      </c>
      <c r="BD1095" s="78" t="s">
        <v>131</v>
      </c>
      <c r="BE1095" s="78" t="s">
        <v>131</v>
      </c>
      <c r="BF1095" s="78" t="s">
        <v>131</v>
      </c>
      <c r="BG1095" s="78" t="s">
        <v>131</v>
      </c>
      <c r="BH1095" s="75" t="s">
        <v>5970</v>
      </c>
      <c r="BI1095" s="295">
        <v>0</v>
      </c>
      <c r="BJ1095" s="546">
        <v>1</v>
      </c>
      <c r="BK1095" s="294" t="s">
        <v>16</v>
      </c>
      <c r="BL1095" s="157" t="s">
        <v>16</v>
      </c>
      <c r="BM1095" s="548" t="s">
        <v>1347</v>
      </c>
      <c r="BN1095" s="548" t="s">
        <v>544</v>
      </c>
      <c r="BO1095" s="157" t="s">
        <v>4566</v>
      </c>
      <c r="BP1095" s="548" t="s">
        <v>4596</v>
      </c>
      <c r="BQ1095" s="157" t="s">
        <v>4563</v>
      </c>
      <c r="BR1095" s="157"/>
    </row>
    <row r="1096" spans="1:70" x14ac:dyDescent="0.25">
      <c r="A1096" s="19" t="s">
        <v>3686</v>
      </c>
      <c r="B1096" s="37" t="s">
        <v>3332</v>
      </c>
      <c r="C1096" s="90">
        <v>45077.621354166666</v>
      </c>
      <c r="D1096" s="114">
        <v>45077.371354166666</v>
      </c>
      <c r="E1096" s="38">
        <v>45077</v>
      </c>
      <c r="F1096" s="91">
        <v>2023</v>
      </c>
      <c r="G1096" s="93">
        <v>5</v>
      </c>
      <c r="H1096" s="37" t="s">
        <v>2548</v>
      </c>
      <c r="I1096" s="37" t="s">
        <v>16</v>
      </c>
      <c r="J1096" s="103">
        <v>-91.219620301276763</v>
      </c>
      <c r="K1096" s="40">
        <v>43.97102051598759</v>
      </c>
      <c r="L1096" s="74"/>
      <c r="M1096" s="272" t="s">
        <v>3333</v>
      </c>
      <c r="N1096" s="74">
        <v>1</v>
      </c>
      <c r="O1096" s="94"/>
      <c r="P1096" s="118">
        <v>1</v>
      </c>
      <c r="Q1096" s="510">
        <v>180</v>
      </c>
      <c r="R1096" s="513">
        <v>180</v>
      </c>
      <c r="S1096" s="41"/>
      <c r="T1096" s="40"/>
      <c r="U1096" s="40">
        <v>8</v>
      </c>
      <c r="V1096" s="119">
        <v>1</v>
      </c>
      <c r="W1096" s="40">
        <v>100</v>
      </c>
      <c r="X1096" s="119">
        <v>1</v>
      </c>
      <c r="Y1096" s="40">
        <v>57</v>
      </c>
      <c r="Z1096" s="119">
        <v>1</v>
      </c>
      <c r="AA1096" s="368">
        <v>0</v>
      </c>
      <c r="AB1096" s="535">
        <v>1</v>
      </c>
      <c r="AC1096" s="39" t="s">
        <v>160</v>
      </c>
      <c r="AD1096" s="75" t="s">
        <v>10</v>
      </c>
      <c r="AE1096" s="95">
        <v>0</v>
      </c>
      <c r="AF1096" s="75">
        <v>0</v>
      </c>
      <c r="AG1096" s="75">
        <v>0</v>
      </c>
      <c r="AH1096" s="75">
        <v>0</v>
      </c>
      <c r="AI1096" s="75">
        <v>0</v>
      </c>
      <c r="AJ1096" s="75">
        <v>0</v>
      </c>
      <c r="AK1096" s="75">
        <v>0</v>
      </c>
      <c r="AL1096" s="95">
        <v>1</v>
      </c>
      <c r="AM1096" s="92">
        <v>0</v>
      </c>
      <c r="AN1096" s="79" t="s">
        <v>80</v>
      </c>
      <c r="AO1096" s="75">
        <v>1</v>
      </c>
      <c r="AP1096" s="75" t="s">
        <v>85</v>
      </c>
      <c r="AQ1096" s="122">
        <v>1</v>
      </c>
      <c r="AR1096" s="515" t="s">
        <v>10</v>
      </c>
      <c r="AS1096" s="95">
        <v>0</v>
      </c>
      <c r="AT1096" s="75">
        <v>0</v>
      </c>
      <c r="AU1096" s="75">
        <v>0</v>
      </c>
      <c r="AV1096" s="75">
        <v>0</v>
      </c>
      <c r="AW1096" s="123">
        <v>0</v>
      </c>
      <c r="AX1096" s="516"/>
      <c r="AY1096" s="75">
        <v>0</v>
      </c>
      <c r="AZ1096" s="77" t="s">
        <v>131</v>
      </c>
      <c r="BA1096" s="78" t="s">
        <v>131</v>
      </c>
      <c r="BB1096" s="78" t="s">
        <v>131</v>
      </c>
      <c r="BC1096" s="78" t="s">
        <v>131</v>
      </c>
      <c r="BD1096" s="78" t="s">
        <v>131</v>
      </c>
      <c r="BE1096" s="78" t="s">
        <v>131</v>
      </c>
      <c r="BF1096" s="78" t="s">
        <v>131</v>
      </c>
      <c r="BG1096" s="78" t="s">
        <v>132</v>
      </c>
      <c r="BH1096" s="75" t="s">
        <v>5970</v>
      </c>
      <c r="BI1096" s="295" t="s">
        <v>3969</v>
      </c>
      <c r="BJ1096" s="546">
        <v>1</v>
      </c>
      <c r="BK1096" s="294">
        <v>1</v>
      </c>
      <c r="BL1096" s="157">
        <v>1</v>
      </c>
      <c r="BM1096" s="548" t="s">
        <v>1342</v>
      </c>
      <c r="BN1096" s="548" t="s">
        <v>4158</v>
      </c>
      <c r="BO1096" s="157" t="s">
        <v>4591</v>
      </c>
      <c r="BP1096" s="548" t="s">
        <v>3969</v>
      </c>
      <c r="BQ1096" s="157" t="s">
        <v>4452</v>
      </c>
      <c r="BR1096" s="157"/>
    </row>
    <row r="1097" spans="1:70" x14ac:dyDescent="0.25">
      <c r="A1097" s="19" t="s">
        <v>3686</v>
      </c>
      <c r="B1097" s="37" t="s">
        <v>3334</v>
      </c>
      <c r="C1097" s="90">
        <v>45076.946192129632</v>
      </c>
      <c r="D1097" s="114">
        <v>45076.696192129632</v>
      </c>
      <c r="E1097" s="38">
        <v>45076</v>
      </c>
      <c r="F1097" s="91">
        <v>2023</v>
      </c>
      <c r="G1097" s="93">
        <v>5</v>
      </c>
      <c r="H1097" s="37" t="s">
        <v>2761</v>
      </c>
      <c r="I1097" s="37" t="s">
        <v>1411</v>
      </c>
      <c r="J1097" s="103">
        <v>-93.231235962891944</v>
      </c>
      <c r="K1097" s="40">
        <v>44.846809492272477</v>
      </c>
      <c r="L1097" s="74"/>
      <c r="M1097" s="272" t="s">
        <v>3335</v>
      </c>
      <c r="N1097" s="74">
        <v>1</v>
      </c>
      <c r="O1097" s="94"/>
      <c r="P1097" s="118">
        <v>1</v>
      </c>
      <c r="Q1097" s="510">
        <v>0</v>
      </c>
      <c r="R1097" s="513">
        <v>30</v>
      </c>
      <c r="S1097" s="41"/>
      <c r="T1097" s="40"/>
      <c r="U1097" s="40">
        <v>7</v>
      </c>
      <c r="V1097" s="119">
        <v>1</v>
      </c>
      <c r="W1097" s="40">
        <v>100</v>
      </c>
      <c r="X1097" s="119">
        <v>1</v>
      </c>
      <c r="Y1097" s="40">
        <v>60</v>
      </c>
      <c r="Z1097" s="119">
        <v>1</v>
      </c>
      <c r="AA1097" s="368">
        <v>0</v>
      </c>
      <c r="AB1097" s="535">
        <v>0</v>
      </c>
      <c r="AC1097" s="39" t="s">
        <v>160</v>
      </c>
      <c r="AD1097" s="75" t="s">
        <v>10</v>
      </c>
      <c r="AE1097" s="95">
        <v>0</v>
      </c>
      <c r="AF1097" s="75">
        <v>0</v>
      </c>
      <c r="AG1097" s="75">
        <v>0</v>
      </c>
      <c r="AH1097" s="75">
        <v>0</v>
      </c>
      <c r="AI1097" s="75">
        <v>0</v>
      </c>
      <c r="AJ1097" s="75">
        <v>0</v>
      </c>
      <c r="AK1097" s="75">
        <v>0</v>
      </c>
      <c r="AL1097" s="95">
        <v>1</v>
      </c>
      <c r="AM1097" s="92">
        <v>0</v>
      </c>
      <c r="AN1097" s="79" t="s">
        <v>81</v>
      </c>
      <c r="AO1097" s="75">
        <v>1</v>
      </c>
      <c r="AP1097" s="75" t="s">
        <v>83</v>
      </c>
      <c r="AQ1097" s="122">
        <v>1</v>
      </c>
      <c r="AR1097" s="515" t="s">
        <v>13</v>
      </c>
      <c r="AS1097" s="95">
        <v>1</v>
      </c>
      <c r="AT1097" s="75">
        <v>0</v>
      </c>
      <c r="AU1097" s="75">
        <v>0</v>
      </c>
      <c r="AV1097" s="75">
        <v>0</v>
      </c>
      <c r="AW1097" s="123">
        <v>0</v>
      </c>
      <c r="AX1097" s="516" t="s">
        <v>3336</v>
      </c>
      <c r="AY1097" s="75">
        <v>1</v>
      </c>
      <c r="AZ1097" s="77" t="s">
        <v>131</v>
      </c>
      <c r="BA1097" s="78" t="s">
        <v>131</v>
      </c>
      <c r="BB1097" s="78" t="s">
        <v>131</v>
      </c>
      <c r="BC1097" s="78" t="s">
        <v>131</v>
      </c>
      <c r="BD1097" s="78" t="s">
        <v>131</v>
      </c>
      <c r="BE1097" s="78" t="s">
        <v>131</v>
      </c>
      <c r="BF1097" s="78" t="s">
        <v>131</v>
      </c>
      <c r="BG1097" s="78" t="s">
        <v>132</v>
      </c>
      <c r="BH1097" s="75" t="s">
        <v>5970</v>
      </c>
      <c r="BI1097" s="295" t="s">
        <v>16</v>
      </c>
      <c r="BJ1097" s="546" t="s">
        <v>16</v>
      </c>
      <c r="BK1097" s="294" t="s">
        <v>16</v>
      </c>
      <c r="BL1097" s="157" t="s">
        <v>16</v>
      </c>
      <c r="BM1097" s="548" t="s">
        <v>2343</v>
      </c>
      <c r="BN1097" s="548" t="s">
        <v>4161</v>
      </c>
      <c r="BO1097" s="157" t="s">
        <v>4327</v>
      </c>
      <c r="BP1097" s="548" t="s">
        <v>4314</v>
      </c>
      <c r="BQ1097" s="157" t="s">
        <v>4312</v>
      </c>
      <c r="BR1097" s="157"/>
    </row>
    <row r="1098" spans="1:70" x14ac:dyDescent="0.25">
      <c r="A1098" s="19" t="s">
        <v>3686</v>
      </c>
      <c r="B1098" s="37" t="s">
        <v>3337</v>
      </c>
      <c r="C1098" s="90">
        <v>45076.9137962963</v>
      </c>
      <c r="D1098" s="114">
        <v>45076.6637962963</v>
      </c>
      <c r="E1098" s="38">
        <v>45076</v>
      </c>
      <c r="F1098" s="91">
        <v>2023</v>
      </c>
      <c r="G1098" s="93">
        <v>5</v>
      </c>
      <c r="H1098" s="37" t="s">
        <v>3137</v>
      </c>
      <c r="I1098" s="37"/>
      <c r="J1098" s="103">
        <v>-91.526002388667166</v>
      </c>
      <c r="K1098" s="40">
        <v>42.725833503648502</v>
      </c>
      <c r="L1098" s="74"/>
      <c r="M1098" s="272" t="s">
        <v>3338</v>
      </c>
      <c r="N1098" s="74">
        <v>1</v>
      </c>
      <c r="O1098" s="94"/>
      <c r="P1098" s="118">
        <v>1</v>
      </c>
      <c r="Q1098" s="510">
        <v>180</v>
      </c>
      <c r="R1098" s="513">
        <v>120</v>
      </c>
      <c r="S1098" s="41"/>
      <c r="T1098" s="40"/>
      <c r="U1098" s="40">
        <v>9</v>
      </c>
      <c r="V1098" s="119">
        <v>1</v>
      </c>
      <c r="W1098" s="40">
        <v>100</v>
      </c>
      <c r="X1098" s="119">
        <v>1</v>
      </c>
      <c r="Y1098" s="40">
        <v>73</v>
      </c>
      <c r="Z1098" s="119">
        <v>1</v>
      </c>
      <c r="AA1098" s="368">
        <v>0</v>
      </c>
      <c r="AB1098" s="535">
        <v>5</v>
      </c>
      <c r="AC1098" s="39" t="s">
        <v>160</v>
      </c>
      <c r="AD1098" s="75" t="s">
        <v>10</v>
      </c>
      <c r="AE1098" s="95">
        <v>0</v>
      </c>
      <c r="AF1098" s="75">
        <v>0</v>
      </c>
      <c r="AG1098" s="75">
        <v>0</v>
      </c>
      <c r="AH1098" s="75">
        <v>0</v>
      </c>
      <c r="AI1098" s="75">
        <v>0</v>
      </c>
      <c r="AJ1098" s="75">
        <v>0</v>
      </c>
      <c r="AK1098" s="75">
        <v>0</v>
      </c>
      <c r="AL1098" s="95">
        <v>1</v>
      </c>
      <c r="AM1098" s="92">
        <v>0</v>
      </c>
      <c r="AN1098" s="79" t="s">
        <v>81</v>
      </c>
      <c r="AO1098" s="75">
        <v>1</v>
      </c>
      <c r="AP1098" s="75" t="s">
        <v>84</v>
      </c>
      <c r="AQ1098" s="122">
        <v>1</v>
      </c>
      <c r="AR1098" s="515" t="s">
        <v>16</v>
      </c>
      <c r="AS1098" s="95">
        <v>-1</v>
      </c>
      <c r="AT1098" s="75">
        <v>-1</v>
      </c>
      <c r="AU1098" s="75">
        <v>-1</v>
      </c>
      <c r="AV1098" s="75">
        <v>-1</v>
      </c>
      <c r="AW1098" s="123">
        <v>1</v>
      </c>
      <c r="AX1098" s="516"/>
      <c r="AY1098" s="75">
        <v>0</v>
      </c>
      <c r="AZ1098" s="77" t="s">
        <v>131</v>
      </c>
      <c r="BA1098" s="78" t="s">
        <v>131</v>
      </c>
      <c r="BB1098" s="78" t="s">
        <v>131</v>
      </c>
      <c r="BC1098" s="78" t="s">
        <v>131</v>
      </c>
      <c r="BD1098" s="78" t="s">
        <v>131</v>
      </c>
      <c r="BE1098" s="78" t="s">
        <v>131</v>
      </c>
      <c r="BF1098" s="78" t="s">
        <v>131</v>
      </c>
      <c r="BG1098" s="78" t="s">
        <v>132</v>
      </c>
      <c r="BH1098" s="75" t="s">
        <v>5970</v>
      </c>
      <c r="BI1098" s="295" t="s">
        <v>4038</v>
      </c>
      <c r="BJ1098" s="546">
        <v>1</v>
      </c>
      <c r="BK1098" s="294" t="s">
        <v>16</v>
      </c>
      <c r="BL1098" s="157" t="s">
        <v>16</v>
      </c>
      <c r="BM1098" s="548" t="s">
        <v>1347</v>
      </c>
      <c r="BN1098" s="548" t="s">
        <v>544</v>
      </c>
      <c r="BO1098" s="157" t="s">
        <v>4593</v>
      </c>
      <c r="BP1098" s="548" t="s">
        <v>4035</v>
      </c>
      <c r="BQ1098" s="157" t="s">
        <v>4563</v>
      </c>
      <c r="BR1098" s="157"/>
    </row>
    <row r="1099" spans="1:70" x14ac:dyDescent="0.25">
      <c r="A1099" s="19" t="s">
        <v>3686</v>
      </c>
      <c r="B1099" s="37" t="s">
        <v>3339</v>
      </c>
      <c r="C1099" s="90">
        <v>45076.903969907406</v>
      </c>
      <c r="D1099" s="114">
        <v>45076.653969907406</v>
      </c>
      <c r="E1099" s="38">
        <v>45076</v>
      </c>
      <c r="F1099" s="91">
        <v>2023</v>
      </c>
      <c r="G1099" s="93">
        <v>5</v>
      </c>
      <c r="H1099" s="37" t="s">
        <v>3137</v>
      </c>
      <c r="I1099" s="37"/>
      <c r="J1099" s="103">
        <v>-91.520063466100581</v>
      </c>
      <c r="K1099" s="40">
        <v>42.730427967912597</v>
      </c>
      <c r="L1099" s="74"/>
      <c r="M1099" s="272" t="s">
        <v>3340</v>
      </c>
      <c r="N1099" s="74">
        <v>1</v>
      </c>
      <c r="O1099" s="94"/>
      <c r="P1099" s="118">
        <v>1</v>
      </c>
      <c r="Q1099" s="510">
        <v>180</v>
      </c>
      <c r="R1099" s="513">
        <v>180</v>
      </c>
      <c r="S1099" s="41"/>
      <c r="T1099" s="40"/>
      <c r="U1099" s="40">
        <v>9</v>
      </c>
      <c r="V1099" s="119">
        <v>1</v>
      </c>
      <c r="W1099" s="40">
        <v>100</v>
      </c>
      <c r="X1099" s="119">
        <v>1</v>
      </c>
      <c r="Y1099" s="40">
        <v>77</v>
      </c>
      <c r="Z1099" s="119">
        <v>1</v>
      </c>
      <c r="AA1099" s="368">
        <v>0</v>
      </c>
      <c r="AB1099" s="535">
        <v>5</v>
      </c>
      <c r="AC1099" s="39" t="s">
        <v>160</v>
      </c>
      <c r="AD1099" s="75" t="s">
        <v>10</v>
      </c>
      <c r="AE1099" s="95">
        <v>0</v>
      </c>
      <c r="AF1099" s="75">
        <v>0</v>
      </c>
      <c r="AG1099" s="75">
        <v>0</v>
      </c>
      <c r="AH1099" s="75">
        <v>0</v>
      </c>
      <c r="AI1099" s="75">
        <v>0</v>
      </c>
      <c r="AJ1099" s="75">
        <v>0</v>
      </c>
      <c r="AK1099" s="75">
        <v>0</v>
      </c>
      <c r="AL1099" s="95">
        <v>1</v>
      </c>
      <c r="AM1099" s="92">
        <v>0</v>
      </c>
      <c r="AN1099" s="79" t="s">
        <v>81</v>
      </c>
      <c r="AO1099" s="75">
        <v>1</v>
      </c>
      <c r="AP1099" s="75" t="s">
        <v>84</v>
      </c>
      <c r="AQ1099" s="122">
        <v>1</v>
      </c>
      <c r="AR1099" s="515" t="s">
        <v>16</v>
      </c>
      <c r="AS1099" s="95">
        <v>-1</v>
      </c>
      <c r="AT1099" s="75">
        <v>-1</v>
      </c>
      <c r="AU1099" s="75">
        <v>-1</v>
      </c>
      <c r="AV1099" s="75">
        <v>-1</v>
      </c>
      <c r="AW1099" s="123">
        <v>1</v>
      </c>
      <c r="AX1099" s="516"/>
      <c r="AY1099" s="75">
        <v>0</v>
      </c>
      <c r="AZ1099" s="77" t="s">
        <v>131</v>
      </c>
      <c r="BA1099" s="78" t="s">
        <v>131</v>
      </c>
      <c r="BB1099" s="78" t="s">
        <v>131</v>
      </c>
      <c r="BC1099" s="78" t="s">
        <v>131</v>
      </c>
      <c r="BD1099" s="78" t="s">
        <v>131</v>
      </c>
      <c r="BE1099" s="78" t="s">
        <v>131</v>
      </c>
      <c r="BF1099" s="78" t="s">
        <v>131</v>
      </c>
      <c r="BG1099" s="78" t="s">
        <v>132</v>
      </c>
      <c r="BH1099" s="75" t="s">
        <v>5970</v>
      </c>
      <c r="BI1099" s="295" t="s">
        <v>16</v>
      </c>
      <c r="BJ1099" s="546">
        <v>1</v>
      </c>
      <c r="BK1099" s="294" t="s">
        <v>16</v>
      </c>
      <c r="BL1099" s="157" t="s">
        <v>16</v>
      </c>
      <c r="BM1099" s="548" t="s">
        <v>1347</v>
      </c>
      <c r="BN1099" s="548" t="s">
        <v>544</v>
      </c>
      <c r="BO1099" s="157" t="s">
        <v>4593</v>
      </c>
      <c r="BP1099" s="548" t="s">
        <v>4035</v>
      </c>
      <c r="BQ1099" s="157" t="s">
        <v>4563</v>
      </c>
      <c r="BR1099" s="157"/>
    </row>
    <row r="1100" spans="1:70" x14ac:dyDescent="0.25">
      <c r="A1100" s="19" t="s">
        <v>3686</v>
      </c>
      <c r="B1100" s="37" t="s">
        <v>3341</v>
      </c>
      <c r="C1100" s="90">
        <v>45076.845729166664</v>
      </c>
      <c r="D1100" s="114">
        <v>45076.595729166664</v>
      </c>
      <c r="E1100" s="38">
        <v>45076</v>
      </c>
      <c r="F1100" s="91">
        <v>2023</v>
      </c>
      <c r="G1100" s="93">
        <v>5</v>
      </c>
      <c r="H1100" s="37" t="s">
        <v>3137</v>
      </c>
      <c r="I1100" s="37" t="s">
        <v>16</v>
      </c>
      <c r="J1100" s="103">
        <v>-91.399240095906194</v>
      </c>
      <c r="K1100" s="40">
        <v>42.739756439221544</v>
      </c>
      <c r="L1100" s="74"/>
      <c r="M1100" s="272" t="s">
        <v>3342</v>
      </c>
      <c r="N1100" s="74">
        <v>1</v>
      </c>
      <c r="O1100" s="94"/>
      <c r="P1100" s="118">
        <v>1</v>
      </c>
      <c r="Q1100" s="510">
        <v>40</v>
      </c>
      <c r="R1100" s="513">
        <v>120</v>
      </c>
      <c r="S1100" s="41"/>
      <c r="T1100" s="40"/>
      <c r="U1100" s="40">
        <v>8</v>
      </c>
      <c r="V1100" s="119">
        <v>1</v>
      </c>
      <c r="W1100" s="40">
        <v>100</v>
      </c>
      <c r="X1100" s="119">
        <v>1</v>
      </c>
      <c r="Y1100" s="40">
        <v>75</v>
      </c>
      <c r="Z1100" s="119">
        <v>1</v>
      </c>
      <c r="AA1100" s="368">
        <v>0</v>
      </c>
      <c r="AB1100" s="535">
        <v>2</v>
      </c>
      <c r="AC1100" s="39" t="s">
        <v>160</v>
      </c>
      <c r="AD1100" s="75" t="s">
        <v>8</v>
      </c>
      <c r="AE1100" s="95">
        <v>0</v>
      </c>
      <c r="AF1100" s="75">
        <v>1</v>
      </c>
      <c r="AG1100" s="75">
        <v>0</v>
      </c>
      <c r="AH1100" s="75">
        <v>0</v>
      </c>
      <c r="AI1100" s="75">
        <v>0</v>
      </c>
      <c r="AJ1100" s="75">
        <v>0</v>
      </c>
      <c r="AK1100" s="75">
        <v>0</v>
      </c>
      <c r="AL1100" s="95">
        <v>0</v>
      </c>
      <c r="AM1100" s="92">
        <v>0</v>
      </c>
      <c r="AN1100" s="79" t="s">
        <v>81</v>
      </c>
      <c r="AO1100" s="75">
        <v>1</v>
      </c>
      <c r="AP1100" s="75" t="s">
        <v>84</v>
      </c>
      <c r="AQ1100" s="122">
        <v>1</v>
      </c>
      <c r="AR1100" s="515" t="s">
        <v>16</v>
      </c>
      <c r="AS1100" s="95">
        <v>-1</v>
      </c>
      <c r="AT1100" s="75">
        <v>-1</v>
      </c>
      <c r="AU1100" s="75">
        <v>-1</v>
      </c>
      <c r="AV1100" s="75">
        <v>-1</v>
      </c>
      <c r="AW1100" s="123">
        <v>1</v>
      </c>
      <c r="AX1100" s="516"/>
      <c r="AY1100" s="75">
        <v>0</v>
      </c>
      <c r="AZ1100" s="77" t="s">
        <v>131</v>
      </c>
      <c r="BA1100" s="78" t="s">
        <v>132</v>
      </c>
      <c r="BB1100" s="78" t="s">
        <v>131</v>
      </c>
      <c r="BC1100" s="78" t="s">
        <v>131</v>
      </c>
      <c r="BD1100" s="78" t="s">
        <v>131</v>
      </c>
      <c r="BE1100" s="78" t="s">
        <v>131</v>
      </c>
      <c r="BF1100" s="78" t="s">
        <v>131</v>
      </c>
      <c r="BG1100" s="78" t="s">
        <v>131</v>
      </c>
      <c r="BH1100" s="75" t="s">
        <v>5970</v>
      </c>
      <c r="BI1100" s="295" t="s">
        <v>4037</v>
      </c>
      <c r="BJ1100" s="546">
        <v>1</v>
      </c>
      <c r="BK1100" s="294" t="s">
        <v>16</v>
      </c>
      <c r="BL1100" s="157" t="s">
        <v>16</v>
      </c>
      <c r="BM1100" s="548" t="s">
        <v>1347</v>
      </c>
      <c r="BN1100" s="548" t="s">
        <v>544</v>
      </c>
      <c r="BO1100" s="157" t="s">
        <v>4566</v>
      </c>
      <c r="BP1100" s="548" t="s">
        <v>4596</v>
      </c>
      <c r="BQ1100" s="157" t="s">
        <v>4563</v>
      </c>
      <c r="BR1100" s="157"/>
    </row>
    <row r="1101" spans="1:70" x14ac:dyDescent="0.25">
      <c r="A1101" s="19" t="s">
        <v>3686</v>
      </c>
      <c r="B1101" s="37" t="s">
        <v>3343</v>
      </c>
      <c r="C1101" s="90">
        <v>45076.826990740738</v>
      </c>
      <c r="D1101" s="114">
        <v>45076.576990740738</v>
      </c>
      <c r="E1101" s="38">
        <v>45076</v>
      </c>
      <c r="F1101" s="91">
        <v>2023</v>
      </c>
      <c r="G1101" s="93">
        <v>5</v>
      </c>
      <c r="H1101" s="37" t="s">
        <v>3137</v>
      </c>
      <c r="I1101" s="37"/>
      <c r="J1101" s="103">
        <v>-91.368999397467235</v>
      </c>
      <c r="K1101" s="40">
        <v>42.751224478746742</v>
      </c>
      <c r="L1101" s="74"/>
      <c r="M1101" s="272" t="s">
        <v>3344</v>
      </c>
      <c r="N1101" s="74">
        <v>1</v>
      </c>
      <c r="O1101" s="94"/>
      <c r="P1101" s="118">
        <v>1</v>
      </c>
      <c r="Q1101" s="510">
        <v>180</v>
      </c>
      <c r="R1101" s="513">
        <v>180</v>
      </c>
      <c r="S1101" s="41"/>
      <c r="T1101" s="40"/>
      <c r="U1101" s="40">
        <v>7.5</v>
      </c>
      <c r="V1101" s="119">
        <v>1</v>
      </c>
      <c r="W1101" s="40">
        <v>100</v>
      </c>
      <c r="X1101" s="119">
        <v>1</v>
      </c>
      <c r="Y1101" s="40">
        <v>63</v>
      </c>
      <c r="Z1101" s="119">
        <v>1</v>
      </c>
      <c r="AA1101" s="368">
        <v>0</v>
      </c>
      <c r="AB1101" s="535">
        <v>2</v>
      </c>
      <c r="AC1101" s="39" t="s">
        <v>160</v>
      </c>
      <c r="AD1101" s="75" t="s">
        <v>8</v>
      </c>
      <c r="AE1101" s="95">
        <v>0</v>
      </c>
      <c r="AF1101" s="75">
        <v>1</v>
      </c>
      <c r="AG1101" s="75">
        <v>0</v>
      </c>
      <c r="AH1101" s="75">
        <v>0</v>
      </c>
      <c r="AI1101" s="75">
        <v>0</v>
      </c>
      <c r="AJ1101" s="75">
        <v>0</v>
      </c>
      <c r="AK1101" s="75">
        <v>0</v>
      </c>
      <c r="AL1101" s="95">
        <v>0</v>
      </c>
      <c r="AM1101" s="92">
        <v>0</v>
      </c>
      <c r="AN1101" s="79" t="s">
        <v>81</v>
      </c>
      <c r="AO1101" s="75">
        <v>1</v>
      </c>
      <c r="AP1101" s="75" t="s">
        <v>83</v>
      </c>
      <c r="AQ1101" s="122">
        <v>1</v>
      </c>
      <c r="AR1101" s="515" t="s">
        <v>10</v>
      </c>
      <c r="AS1101" s="95">
        <v>0</v>
      </c>
      <c r="AT1101" s="75">
        <v>0</v>
      </c>
      <c r="AU1101" s="75">
        <v>0</v>
      </c>
      <c r="AV1101" s="75">
        <v>0</v>
      </c>
      <c r="AW1101" s="123">
        <v>0</v>
      </c>
      <c r="AX1101" s="516"/>
      <c r="AY1101" s="75">
        <v>0</v>
      </c>
      <c r="AZ1101" s="77" t="s">
        <v>131</v>
      </c>
      <c r="BA1101" s="78" t="s">
        <v>132</v>
      </c>
      <c r="BB1101" s="78" t="s">
        <v>131</v>
      </c>
      <c r="BC1101" s="78" t="s">
        <v>131</v>
      </c>
      <c r="BD1101" s="78" t="s">
        <v>131</v>
      </c>
      <c r="BE1101" s="78" t="s">
        <v>131</v>
      </c>
      <c r="BF1101" s="78" t="s">
        <v>131</v>
      </c>
      <c r="BG1101" s="78" t="s">
        <v>131</v>
      </c>
      <c r="BH1101" s="75" t="s">
        <v>5970</v>
      </c>
      <c r="BI1101" s="295" t="s">
        <v>4037</v>
      </c>
      <c r="BJ1101" s="546">
        <v>1</v>
      </c>
      <c r="BK1101" s="294" t="s">
        <v>16</v>
      </c>
      <c r="BL1101" s="157" t="s">
        <v>16</v>
      </c>
      <c r="BM1101" s="548" t="s">
        <v>1347</v>
      </c>
      <c r="BN1101" s="548" t="s">
        <v>544</v>
      </c>
      <c r="BO1101" s="157" t="s">
        <v>4566</v>
      </c>
      <c r="BP1101" s="548" t="s">
        <v>4596</v>
      </c>
      <c r="BQ1101" s="157" t="s">
        <v>4563</v>
      </c>
      <c r="BR1101" s="157"/>
    </row>
    <row r="1102" spans="1:70" x14ac:dyDescent="0.25">
      <c r="A1102" s="19" t="s">
        <v>3686</v>
      </c>
      <c r="B1102" s="37" t="s">
        <v>3345</v>
      </c>
      <c r="C1102" s="90">
        <v>45076.81658564815</v>
      </c>
      <c r="D1102" s="114">
        <v>45076.56658564815</v>
      </c>
      <c r="E1102" s="38">
        <v>45076</v>
      </c>
      <c r="F1102" s="91">
        <v>2023</v>
      </c>
      <c r="G1102" s="93">
        <v>5</v>
      </c>
      <c r="H1102" s="37" t="s">
        <v>3346</v>
      </c>
      <c r="I1102" s="37" t="s">
        <v>16</v>
      </c>
      <c r="J1102" s="103">
        <v>-91.259177585594443</v>
      </c>
      <c r="K1102" s="40">
        <v>43.964106022579941</v>
      </c>
      <c r="L1102" s="74"/>
      <c r="M1102" s="272" t="s">
        <v>16</v>
      </c>
      <c r="N1102" s="74">
        <v>0</v>
      </c>
      <c r="O1102" s="94"/>
      <c r="P1102" s="118">
        <v>1</v>
      </c>
      <c r="Q1102" s="510">
        <v>120</v>
      </c>
      <c r="R1102" s="513">
        <v>180</v>
      </c>
      <c r="S1102" s="41"/>
      <c r="T1102" s="40"/>
      <c r="U1102" s="40">
        <v>8</v>
      </c>
      <c r="V1102" s="119">
        <v>1</v>
      </c>
      <c r="W1102" s="40">
        <v>200</v>
      </c>
      <c r="X1102" s="119">
        <v>1</v>
      </c>
      <c r="Y1102" s="40">
        <v>65</v>
      </c>
      <c r="Z1102" s="119">
        <v>1</v>
      </c>
      <c r="AA1102" s="368">
        <v>0</v>
      </c>
      <c r="AB1102" s="535">
        <v>5</v>
      </c>
      <c r="AC1102" s="39" t="s">
        <v>160</v>
      </c>
      <c r="AD1102" s="75" t="s">
        <v>10</v>
      </c>
      <c r="AE1102" s="95">
        <v>0</v>
      </c>
      <c r="AF1102" s="75">
        <v>0</v>
      </c>
      <c r="AG1102" s="75">
        <v>0</v>
      </c>
      <c r="AH1102" s="75">
        <v>0</v>
      </c>
      <c r="AI1102" s="75">
        <v>0</v>
      </c>
      <c r="AJ1102" s="75">
        <v>0</v>
      </c>
      <c r="AK1102" s="75">
        <v>0</v>
      </c>
      <c r="AL1102" s="95">
        <v>1</v>
      </c>
      <c r="AM1102" s="92">
        <v>0</v>
      </c>
      <c r="AN1102" s="79" t="s">
        <v>81</v>
      </c>
      <c r="AO1102" s="75">
        <v>1</v>
      </c>
      <c r="AP1102" s="75" t="s">
        <v>84</v>
      </c>
      <c r="AQ1102" s="122">
        <v>1</v>
      </c>
      <c r="AR1102" s="515" t="s">
        <v>10</v>
      </c>
      <c r="AS1102" s="95">
        <v>0</v>
      </c>
      <c r="AT1102" s="75">
        <v>0</v>
      </c>
      <c r="AU1102" s="75">
        <v>0</v>
      </c>
      <c r="AV1102" s="75">
        <v>0</v>
      </c>
      <c r="AW1102" s="123">
        <v>0</v>
      </c>
      <c r="AX1102" s="516" t="s">
        <v>3347</v>
      </c>
      <c r="AY1102" s="75">
        <v>1</v>
      </c>
      <c r="AZ1102" s="77" t="s">
        <v>131</v>
      </c>
      <c r="BA1102" s="78" t="s">
        <v>131</v>
      </c>
      <c r="BB1102" s="78" t="s">
        <v>131</v>
      </c>
      <c r="BC1102" s="78" t="s">
        <v>131</v>
      </c>
      <c r="BD1102" s="78" t="s">
        <v>131</v>
      </c>
      <c r="BE1102" s="78" t="s">
        <v>131</v>
      </c>
      <c r="BF1102" s="78" t="s">
        <v>131</v>
      </c>
      <c r="BG1102" s="78" t="s">
        <v>132</v>
      </c>
      <c r="BH1102" s="75" t="s">
        <v>5970</v>
      </c>
      <c r="BI1102" s="295" t="s">
        <v>3969</v>
      </c>
      <c r="BJ1102" s="546">
        <v>1</v>
      </c>
      <c r="BK1102" s="294" t="s">
        <v>16</v>
      </c>
      <c r="BL1102" s="157" t="s">
        <v>16</v>
      </c>
      <c r="BM1102" s="548" t="s">
        <v>1342</v>
      </c>
      <c r="BN1102" s="548" t="s">
        <v>4160</v>
      </c>
      <c r="BO1102" s="157" t="s">
        <v>4591</v>
      </c>
      <c r="BP1102" s="548" t="s">
        <v>3969</v>
      </c>
      <c r="BQ1102" s="157" t="s">
        <v>4452</v>
      </c>
      <c r="BR1102" s="157"/>
    </row>
    <row r="1103" spans="1:70" x14ac:dyDescent="0.25">
      <c r="A1103" s="19" t="s">
        <v>3686</v>
      </c>
      <c r="B1103" s="37" t="s">
        <v>3348</v>
      </c>
      <c r="C1103" s="90">
        <v>45076.792245370372</v>
      </c>
      <c r="D1103" s="114">
        <v>45076.542245370372</v>
      </c>
      <c r="E1103" s="38">
        <v>45076</v>
      </c>
      <c r="F1103" s="91">
        <v>2023</v>
      </c>
      <c r="G1103" s="93">
        <v>5</v>
      </c>
      <c r="H1103" s="37" t="s">
        <v>3137</v>
      </c>
      <c r="I1103" s="37"/>
      <c r="J1103" s="103">
        <v>-91.365882100060645</v>
      </c>
      <c r="K1103" s="40">
        <v>42.738122018378654</v>
      </c>
      <c r="L1103" s="74"/>
      <c r="M1103" s="272" t="s">
        <v>3349</v>
      </c>
      <c r="N1103" s="74">
        <v>1</v>
      </c>
      <c r="O1103" s="94"/>
      <c r="P1103" s="118">
        <v>1</v>
      </c>
      <c r="Q1103" s="510">
        <v>180</v>
      </c>
      <c r="R1103" s="513">
        <v>120</v>
      </c>
      <c r="S1103" s="41"/>
      <c r="T1103" s="40"/>
      <c r="U1103" s="40">
        <v>9</v>
      </c>
      <c r="V1103" s="119">
        <v>1</v>
      </c>
      <c r="W1103" s="40">
        <v>100</v>
      </c>
      <c r="X1103" s="119">
        <v>1</v>
      </c>
      <c r="Y1103" s="40">
        <v>70</v>
      </c>
      <c r="Z1103" s="119">
        <v>1</v>
      </c>
      <c r="AA1103" s="368">
        <v>0</v>
      </c>
      <c r="AB1103" s="535">
        <v>2</v>
      </c>
      <c r="AC1103" s="39" t="s">
        <v>160</v>
      </c>
      <c r="AD1103" s="75" t="s">
        <v>8</v>
      </c>
      <c r="AE1103" s="95">
        <v>0</v>
      </c>
      <c r="AF1103" s="75">
        <v>1</v>
      </c>
      <c r="AG1103" s="75">
        <v>0</v>
      </c>
      <c r="AH1103" s="75">
        <v>0</v>
      </c>
      <c r="AI1103" s="75">
        <v>0</v>
      </c>
      <c r="AJ1103" s="75">
        <v>0</v>
      </c>
      <c r="AK1103" s="75">
        <v>0</v>
      </c>
      <c r="AL1103" s="95">
        <v>0</v>
      </c>
      <c r="AM1103" s="92">
        <v>0</v>
      </c>
      <c r="AN1103" s="79" t="s">
        <v>81</v>
      </c>
      <c r="AO1103" s="75">
        <v>1</v>
      </c>
      <c r="AP1103" s="75" t="s">
        <v>84</v>
      </c>
      <c r="AQ1103" s="122">
        <v>1</v>
      </c>
      <c r="AR1103" s="515" t="s">
        <v>16</v>
      </c>
      <c r="AS1103" s="95">
        <v>-1</v>
      </c>
      <c r="AT1103" s="75">
        <v>-1</v>
      </c>
      <c r="AU1103" s="75">
        <v>-1</v>
      </c>
      <c r="AV1103" s="75">
        <v>-1</v>
      </c>
      <c r="AW1103" s="123">
        <v>1</v>
      </c>
      <c r="AX1103" s="516"/>
      <c r="AY1103" s="75">
        <v>0</v>
      </c>
      <c r="AZ1103" s="77" t="s">
        <v>131</v>
      </c>
      <c r="BA1103" s="78" t="s">
        <v>132</v>
      </c>
      <c r="BB1103" s="78" t="s">
        <v>131</v>
      </c>
      <c r="BC1103" s="78" t="s">
        <v>131</v>
      </c>
      <c r="BD1103" s="78" t="s">
        <v>131</v>
      </c>
      <c r="BE1103" s="78" t="s">
        <v>131</v>
      </c>
      <c r="BF1103" s="78" t="s">
        <v>131</v>
      </c>
      <c r="BG1103" s="78" t="s">
        <v>131</v>
      </c>
      <c r="BH1103" s="75" t="s">
        <v>5970</v>
      </c>
      <c r="BI1103" s="295" t="s">
        <v>4039</v>
      </c>
      <c r="BJ1103" s="546">
        <v>1</v>
      </c>
      <c r="BK1103" s="294" t="s">
        <v>16</v>
      </c>
      <c r="BL1103" s="157" t="s">
        <v>16</v>
      </c>
      <c r="BM1103" s="548" t="s">
        <v>1347</v>
      </c>
      <c r="BN1103" s="548" t="s">
        <v>544</v>
      </c>
      <c r="BO1103" s="157" t="s">
        <v>4595</v>
      </c>
      <c r="BP1103" s="548" t="s">
        <v>4597</v>
      </c>
      <c r="BQ1103" s="157" t="s">
        <v>4563</v>
      </c>
      <c r="BR1103" s="157"/>
    </row>
    <row r="1104" spans="1:70" x14ac:dyDescent="0.25">
      <c r="A1104" s="19" t="s">
        <v>3686</v>
      </c>
      <c r="B1104" s="37" t="s">
        <v>3350</v>
      </c>
      <c r="C1104" s="90">
        <v>45076.77542824074</v>
      </c>
      <c r="D1104" s="114">
        <v>45076.52542824074</v>
      </c>
      <c r="E1104" s="38">
        <v>45076</v>
      </c>
      <c r="F1104" s="91">
        <v>2023</v>
      </c>
      <c r="G1104" s="93">
        <v>5</v>
      </c>
      <c r="H1104" s="37" t="s">
        <v>3137</v>
      </c>
      <c r="I1104" s="37"/>
      <c r="J1104" s="103">
        <v>-91.372522805179003</v>
      </c>
      <c r="K1104" s="40">
        <v>42.717741232345432</v>
      </c>
      <c r="L1104" s="74"/>
      <c r="M1104" s="272" t="s">
        <v>3351</v>
      </c>
      <c r="N1104" s="74">
        <v>1</v>
      </c>
      <c r="O1104" s="94"/>
      <c r="P1104" s="118">
        <v>1</v>
      </c>
      <c r="Q1104" s="510">
        <v>180</v>
      </c>
      <c r="R1104" s="513">
        <v>180</v>
      </c>
      <c r="S1104" s="41"/>
      <c r="T1104" s="40"/>
      <c r="U1104" s="40">
        <v>8</v>
      </c>
      <c r="V1104" s="119">
        <v>1</v>
      </c>
      <c r="W1104" s="40">
        <v>200</v>
      </c>
      <c r="X1104" s="119">
        <v>1</v>
      </c>
      <c r="Y1104" s="40">
        <v>69</v>
      </c>
      <c r="Z1104" s="119">
        <v>1</v>
      </c>
      <c r="AA1104" s="368">
        <v>0</v>
      </c>
      <c r="AB1104" s="535">
        <v>1</v>
      </c>
      <c r="AC1104" s="39" t="s">
        <v>160</v>
      </c>
      <c r="AD1104" s="75" t="s">
        <v>8</v>
      </c>
      <c r="AE1104" s="95">
        <v>0</v>
      </c>
      <c r="AF1104" s="75">
        <v>1</v>
      </c>
      <c r="AG1104" s="75">
        <v>0</v>
      </c>
      <c r="AH1104" s="75">
        <v>0</v>
      </c>
      <c r="AI1104" s="75">
        <v>0</v>
      </c>
      <c r="AJ1104" s="75">
        <v>0</v>
      </c>
      <c r="AK1104" s="75">
        <v>0</v>
      </c>
      <c r="AL1104" s="95">
        <v>0</v>
      </c>
      <c r="AM1104" s="92">
        <v>0</v>
      </c>
      <c r="AN1104" s="79" t="s">
        <v>81</v>
      </c>
      <c r="AO1104" s="75">
        <v>1</v>
      </c>
      <c r="AP1104" s="75" t="s">
        <v>84</v>
      </c>
      <c r="AQ1104" s="122">
        <v>1</v>
      </c>
      <c r="AR1104" s="515" t="s">
        <v>16</v>
      </c>
      <c r="AS1104" s="95">
        <v>-1</v>
      </c>
      <c r="AT1104" s="75">
        <v>-1</v>
      </c>
      <c r="AU1104" s="75">
        <v>-1</v>
      </c>
      <c r="AV1104" s="75">
        <v>-1</v>
      </c>
      <c r="AW1104" s="123">
        <v>1</v>
      </c>
      <c r="AX1104" s="516"/>
      <c r="AY1104" s="75">
        <v>0</v>
      </c>
      <c r="AZ1104" s="77" t="s">
        <v>131</v>
      </c>
      <c r="BA1104" s="78" t="s">
        <v>132</v>
      </c>
      <c r="BB1104" s="78" t="s">
        <v>131</v>
      </c>
      <c r="BC1104" s="78" t="s">
        <v>131</v>
      </c>
      <c r="BD1104" s="78" t="s">
        <v>131</v>
      </c>
      <c r="BE1104" s="78" t="s">
        <v>131</v>
      </c>
      <c r="BF1104" s="78" t="s">
        <v>131</v>
      </c>
      <c r="BG1104" s="78" t="s">
        <v>131</v>
      </c>
      <c r="BH1104" s="75" t="s">
        <v>5970</v>
      </c>
      <c r="BI1104" s="295" t="s">
        <v>4039</v>
      </c>
      <c r="BJ1104" s="546">
        <v>1</v>
      </c>
      <c r="BK1104" s="294" t="s">
        <v>16</v>
      </c>
      <c r="BL1104" s="157" t="s">
        <v>16</v>
      </c>
      <c r="BM1104" s="548" t="s">
        <v>1347</v>
      </c>
      <c r="BN1104" s="548" t="s">
        <v>544</v>
      </c>
      <c r="BO1104" s="157" t="s">
        <v>4595</v>
      </c>
      <c r="BP1104" s="548" t="s">
        <v>4597</v>
      </c>
      <c r="BQ1104" s="157" t="s">
        <v>4563</v>
      </c>
      <c r="BR1104" s="157"/>
    </row>
    <row r="1105" spans="1:70" x14ac:dyDescent="0.25">
      <c r="A1105" s="19" t="s">
        <v>3686</v>
      </c>
      <c r="B1105" s="37" t="s">
        <v>3352</v>
      </c>
      <c r="C1105" s="90">
        <v>45076.765972222223</v>
      </c>
      <c r="D1105" s="114">
        <v>45076.515972222223</v>
      </c>
      <c r="E1105" s="38">
        <v>45076</v>
      </c>
      <c r="F1105" s="91">
        <v>2023</v>
      </c>
      <c r="G1105" s="93">
        <v>5</v>
      </c>
      <c r="H1105" s="37" t="s">
        <v>3137</v>
      </c>
      <c r="I1105" s="37"/>
      <c r="J1105" s="103">
        <v>-91.374441687377356</v>
      </c>
      <c r="K1105" s="40">
        <v>42.717856258121571</v>
      </c>
      <c r="L1105" s="74"/>
      <c r="M1105" s="272" t="s">
        <v>3353</v>
      </c>
      <c r="N1105" s="74">
        <v>1</v>
      </c>
      <c r="O1105" s="94"/>
      <c r="P1105" s="118">
        <v>1</v>
      </c>
      <c r="Q1105" s="510">
        <v>180</v>
      </c>
      <c r="R1105" s="513">
        <v>180</v>
      </c>
      <c r="S1105" s="41"/>
      <c r="T1105" s="40"/>
      <c r="U1105" s="40">
        <v>8</v>
      </c>
      <c r="V1105" s="119">
        <v>0</v>
      </c>
      <c r="W1105" s="40"/>
      <c r="X1105" s="119">
        <v>0</v>
      </c>
      <c r="Y1105" s="40"/>
      <c r="Z1105" s="119">
        <v>1</v>
      </c>
      <c r="AA1105" s="368">
        <v>0</v>
      </c>
      <c r="AB1105" s="535">
        <v>5</v>
      </c>
      <c r="AC1105" s="39" t="s">
        <v>160</v>
      </c>
      <c r="AD1105" s="75" t="s">
        <v>3015</v>
      </c>
      <c r="AE1105" s="95">
        <v>1</v>
      </c>
      <c r="AF1105" s="75">
        <v>1</v>
      </c>
      <c r="AG1105" s="75">
        <v>0</v>
      </c>
      <c r="AH1105" s="75">
        <v>0</v>
      </c>
      <c r="AI1105" s="75">
        <v>1</v>
      </c>
      <c r="AJ1105" s="75">
        <v>0</v>
      </c>
      <c r="AK1105" s="75">
        <v>0</v>
      </c>
      <c r="AL1105" s="95">
        <v>0</v>
      </c>
      <c r="AM1105" s="92">
        <v>0</v>
      </c>
      <c r="AN1105" s="79" t="s">
        <v>81</v>
      </c>
      <c r="AO1105" s="75">
        <v>1</v>
      </c>
      <c r="AP1105" s="75" t="s">
        <v>84</v>
      </c>
      <c r="AQ1105" s="122">
        <v>1</v>
      </c>
      <c r="AR1105" s="515" t="s">
        <v>16</v>
      </c>
      <c r="AS1105" s="95">
        <v>-1</v>
      </c>
      <c r="AT1105" s="75">
        <v>-1</v>
      </c>
      <c r="AU1105" s="75">
        <v>-1</v>
      </c>
      <c r="AV1105" s="75">
        <v>-1</v>
      </c>
      <c r="AW1105" s="123">
        <v>1</v>
      </c>
      <c r="AX1105" s="516"/>
      <c r="AY1105" s="75">
        <v>0</v>
      </c>
      <c r="AZ1105" s="77" t="s">
        <v>132</v>
      </c>
      <c r="BA1105" s="78" t="s">
        <v>132</v>
      </c>
      <c r="BB1105" s="78" t="s">
        <v>131</v>
      </c>
      <c r="BC1105" s="78" t="s">
        <v>131</v>
      </c>
      <c r="BD1105" s="78" t="s">
        <v>132</v>
      </c>
      <c r="BE1105" s="78" t="s">
        <v>131</v>
      </c>
      <c r="BF1105" s="78" t="s">
        <v>131</v>
      </c>
      <c r="BG1105" s="78" t="s">
        <v>131</v>
      </c>
      <c r="BH1105" s="75" t="s">
        <v>5970</v>
      </c>
      <c r="BI1105" s="295" t="s">
        <v>4039</v>
      </c>
      <c r="BJ1105" s="546">
        <v>1</v>
      </c>
      <c r="BK1105" s="294" t="s">
        <v>16</v>
      </c>
      <c r="BL1105" s="157" t="s">
        <v>16</v>
      </c>
      <c r="BM1105" s="548" t="s">
        <v>1347</v>
      </c>
      <c r="BN1105" s="548" t="s">
        <v>544</v>
      </c>
      <c r="BO1105" s="157" t="s">
        <v>4595</v>
      </c>
      <c r="BP1105" s="548" t="s">
        <v>4597</v>
      </c>
      <c r="BQ1105" s="157" t="s">
        <v>4563</v>
      </c>
      <c r="BR1105" s="157"/>
    </row>
    <row r="1106" spans="1:70" x14ac:dyDescent="0.25">
      <c r="A1106" s="19" t="s">
        <v>3686</v>
      </c>
      <c r="B1106" s="37" t="s">
        <v>3354</v>
      </c>
      <c r="C1106" s="90">
        <v>45076.741018518522</v>
      </c>
      <c r="D1106" s="114">
        <v>45076.491018518522</v>
      </c>
      <c r="E1106" s="38">
        <v>45076</v>
      </c>
      <c r="F1106" s="91">
        <v>2023</v>
      </c>
      <c r="G1106" s="93">
        <v>5</v>
      </c>
      <c r="H1106" s="37" t="s">
        <v>3137</v>
      </c>
      <c r="I1106" s="37"/>
      <c r="J1106" s="103">
        <v>-91.378208100122535</v>
      </c>
      <c r="K1106" s="40">
        <v>42.698840582304207</v>
      </c>
      <c r="L1106" s="74"/>
      <c r="M1106" s="272" t="s">
        <v>3355</v>
      </c>
      <c r="N1106" s="74">
        <v>1</v>
      </c>
      <c r="O1106" s="94"/>
      <c r="P1106" s="118">
        <v>1</v>
      </c>
      <c r="Q1106" s="510">
        <v>180</v>
      </c>
      <c r="R1106" s="513">
        <v>180</v>
      </c>
      <c r="S1106" s="41"/>
      <c r="T1106" s="40"/>
      <c r="U1106" s="40">
        <v>9</v>
      </c>
      <c r="V1106" s="119">
        <v>1</v>
      </c>
      <c r="W1106" s="40">
        <v>0</v>
      </c>
      <c r="X1106" s="119">
        <v>1</v>
      </c>
      <c r="Y1106" s="40">
        <v>66</v>
      </c>
      <c r="Z1106" s="119">
        <v>1</v>
      </c>
      <c r="AA1106" s="368">
        <v>0</v>
      </c>
      <c r="AB1106" s="535">
        <v>5</v>
      </c>
      <c r="AC1106" s="39" t="s">
        <v>160</v>
      </c>
      <c r="AD1106" s="75" t="s">
        <v>8</v>
      </c>
      <c r="AE1106" s="95">
        <v>0</v>
      </c>
      <c r="AF1106" s="75">
        <v>1</v>
      </c>
      <c r="AG1106" s="75">
        <v>0</v>
      </c>
      <c r="AH1106" s="75">
        <v>0</v>
      </c>
      <c r="AI1106" s="75">
        <v>0</v>
      </c>
      <c r="AJ1106" s="75">
        <v>0</v>
      </c>
      <c r="AK1106" s="75">
        <v>0</v>
      </c>
      <c r="AL1106" s="95">
        <v>0</v>
      </c>
      <c r="AM1106" s="92">
        <v>0</v>
      </c>
      <c r="AN1106" s="79" t="s">
        <v>81</v>
      </c>
      <c r="AO1106" s="75">
        <v>1</v>
      </c>
      <c r="AP1106" s="75" t="s">
        <v>84</v>
      </c>
      <c r="AQ1106" s="122">
        <v>1</v>
      </c>
      <c r="AR1106" s="515" t="s">
        <v>16</v>
      </c>
      <c r="AS1106" s="95">
        <v>-1</v>
      </c>
      <c r="AT1106" s="75">
        <v>-1</v>
      </c>
      <c r="AU1106" s="75">
        <v>-1</v>
      </c>
      <c r="AV1106" s="75">
        <v>-1</v>
      </c>
      <c r="AW1106" s="123">
        <v>1</v>
      </c>
      <c r="AX1106" s="516"/>
      <c r="AY1106" s="75">
        <v>0</v>
      </c>
      <c r="AZ1106" s="77" t="s">
        <v>131</v>
      </c>
      <c r="BA1106" s="78" t="s">
        <v>132</v>
      </c>
      <c r="BB1106" s="78" t="s">
        <v>131</v>
      </c>
      <c r="BC1106" s="78" t="s">
        <v>131</v>
      </c>
      <c r="BD1106" s="78" t="s">
        <v>131</v>
      </c>
      <c r="BE1106" s="78" t="s">
        <v>131</v>
      </c>
      <c r="BF1106" s="78" t="s">
        <v>131</v>
      </c>
      <c r="BG1106" s="78" t="s">
        <v>131</v>
      </c>
      <c r="BH1106" s="75" t="s">
        <v>5970</v>
      </c>
      <c r="BI1106" s="295" t="s">
        <v>16</v>
      </c>
      <c r="BJ1106" s="546" t="s">
        <v>16</v>
      </c>
      <c r="BK1106" s="294" t="s">
        <v>16</v>
      </c>
      <c r="BL1106" s="157" t="s">
        <v>16</v>
      </c>
      <c r="BM1106" s="548" t="s">
        <v>1347</v>
      </c>
      <c r="BN1106" s="548" t="s">
        <v>544</v>
      </c>
      <c r="BO1106" s="157" t="s">
        <v>4595</v>
      </c>
      <c r="BP1106" s="548" t="s">
        <v>4597</v>
      </c>
      <c r="BQ1106" s="157" t="s">
        <v>4563</v>
      </c>
      <c r="BR1106" s="157"/>
    </row>
    <row r="1107" spans="1:70" x14ac:dyDescent="0.25">
      <c r="A1107" s="19" t="s">
        <v>3686</v>
      </c>
      <c r="B1107" s="37" t="s">
        <v>3356</v>
      </c>
      <c r="C1107" s="90">
        <v>45076.728043981479</v>
      </c>
      <c r="D1107" s="114">
        <v>45076.478043981479</v>
      </c>
      <c r="E1107" s="38">
        <v>45076</v>
      </c>
      <c r="F1107" s="91">
        <v>2023</v>
      </c>
      <c r="G1107" s="93">
        <v>5</v>
      </c>
      <c r="H1107" s="37" t="s">
        <v>3137</v>
      </c>
      <c r="I1107" s="37"/>
      <c r="J1107" s="103">
        <v>-91.382133576550459</v>
      </c>
      <c r="K1107" s="40">
        <v>42.696384120723629</v>
      </c>
      <c r="L1107" s="74"/>
      <c r="M1107" s="272" t="s">
        <v>3357</v>
      </c>
      <c r="N1107" s="74">
        <v>1</v>
      </c>
      <c r="O1107" s="94"/>
      <c r="P1107" s="118">
        <v>1</v>
      </c>
      <c r="Q1107" s="510">
        <v>180</v>
      </c>
      <c r="R1107" s="513">
        <v>180</v>
      </c>
      <c r="S1107" s="41"/>
      <c r="T1107" s="40"/>
      <c r="U1107" s="40">
        <v>8</v>
      </c>
      <c r="V1107" s="119">
        <v>1</v>
      </c>
      <c r="W1107" s="40">
        <v>0</v>
      </c>
      <c r="X1107" s="119">
        <v>1</v>
      </c>
      <c r="Y1107" s="40">
        <v>67</v>
      </c>
      <c r="Z1107" s="119">
        <v>1</v>
      </c>
      <c r="AA1107" s="368">
        <v>0</v>
      </c>
      <c r="AB1107" s="535">
        <v>2</v>
      </c>
      <c r="AC1107" s="39" t="s">
        <v>160</v>
      </c>
      <c r="AD1107" s="75" t="s">
        <v>8</v>
      </c>
      <c r="AE1107" s="95">
        <v>0</v>
      </c>
      <c r="AF1107" s="75">
        <v>1</v>
      </c>
      <c r="AG1107" s="75">
        <v>0</v>
      </c>
      <c r="AH1107" s="75">
        <v>0</v>
      </c>
      <c r="AI1107" s="75">
        <v>0</v>
      </c>
      <c r="AJ1107" s="75">
        <v>0</v>
      </c>
      <c r="AK1107" s="75">
        <v>0</v>
      </c>
      <c r="AL1107" s="95">
        <v>0</v>
      </c>
      <c r="AM1107" s="92">
        <v>0</v>
      </c>
      <c r="AN1107" s="79" t="s">
        <v>81</v>
      </c>
      <c r="AO1107" s="75">
        <v>1</v>
      </c>
      <c r="AP1107" s="75" t="s">
        <v>83</v>
      </c>
      <c r="AQ1107" s="122">
        <v>1</v>
      </c>
      <c r="AR1107" s="515" t="s">
        <v>16</v>
      </c>
      <c r="AS1107" s="95">
        <v>-1</v>
      </c>
      <c r="AT1107" s="75">
        <v>-1</v>
      </c>
      <c r="AU1107" s="75">
        <v>-1</v>
      </c>
      <c r="AV1107" s="75">
        <v>-1</v>
      </c>
      <c r="AW1107" s="123">
        <v>1</v>
      </c>
      <c r="AX1107" s="516"/>
      <c r="AY1107" s="75">
        <v>0</v>
      </c>
      <c r="AZ1107" s="77" t="s">
        <v>131</v>
      </c>
      <c r="BA1107" s="78" t="s">
        <v>132</v>
      </c>
      <c r="BB1107" s="78" t="s">
        <v>131</v>
      </c>
      <c r="BC1107" s="78" t="s">
        <v>131</v>
      </c>
      <c r="BD1107" s="78" t="s">
        <v>131</v>
      </c>
      <c r="BE1107" s="78" t="s">
        <v>131</v>
      </c>
      <c r="BF1107" s="78" t="s">
        <v>131</v>
      </c>
      <c r="BG1107" s="78" t="s">
        <v>131</v>
      </c>
      <c r="BH1107" s="75" t="s">
        <v>5970</v>
      </c>
      <c r="BI1107" s="295" t="s">
        <v>16</v>
      </c>
      <c r="BJ1107" s="546" t="s">
        <v>16</v>
      </c>
      <c r="BK1107" s="294" t="s">
        <v>16</v>
      </c>
      <c r="BL1107" s="157" t="s">
        <v>16</v>
      </c>
      <c r="BM1107" s="548" t="s">
        <v>1347</v>
      </c>
      <c r="BN1107" s="548" t="s">
        <v>544</v>
      </c>
      <c r="BO1107" s="157" t="s">
        <v>4595</v>
      </c>
      <c r="BP1107" s="548" t="s">
        <v>4597</v>
      </c>
      <c r="BQ1107" s="157" t="s">
        <v>4563</v>
      </c>
      <c r="BR1107" s="157"/>
    </row>
    <row r="1108" spans="1:70" x14ac:dyDescent="0.25">
      <c r="A1108" s="19" t="s">
        <v>3686</v>
      </c>
      <c r="B1108" s="37" t="s">
        <v>3358</v>
      </c>
      <c r="C1108" s="90">
        <v>45076.702766203707</v>
      </c>
      <c r="D1108" s="114">
        <v>45076.452766203707</v>
      </c>
      <c r="E1108" s="38">
        <v>45076</v>
      </c>
      <c r="F1108" s="91">
        <v>2023</v>
      </c>
      <c r="G1108" s="93">
        <v>5</v>
      </c>
      <c r="H1108" s="37" t="s">
        <v>1361</v>
      </c>
      <c r="I1108" s="37"/>
      <c r="J1108" s="103">
        <v>-91.402147980492003</v>
      </c>
      <c r="K1108" s="40">
        <v>42.675107242579266</v>
      </c>
      <c r="L1108" s="74"/>
      <c r="M1108" s="272" t="s">
        <v>3359</v>
      </c>
      <c r="N1108" s="74">
        <v>1</v>
      </c>
      <c r="O1108" s="94"/>
      <c r="P1108" s="118">
        <v>1</v>
      </c>
      <c r="Q1108" s="510">
        <v>180</v>
      </c>
      <c r="R1108" s="513">
        <v>180</v>
      </c>
      <c r="S1108" s="41"/>
      <c r="T1108" s="40"/>
      <c r="U1108" s="40">
        <v>9</v>
      </c>
      <c r="V1108" s="119">
        <v>1</v>
      </c>
      <c r="W1108" s="40">
        <v>0</v>
      </c>
      <c r="X1108" s="119">
        <v>1</v>
      </c>
      <c r="Y1108" s="40">
        <v>67</v>
      </c>
      <c r="Z1108" s="119">
        <v>1</v>
      </c>
      <c r="AA1108" s="368">
        <v>0</v>
      </c>
      <c r="AB1108" s="535">
        <v>2</v>
      </c>
      <c r="AC1108" s="39" t="s">
        <v>160</v>
      </c>
      <c r="AD1108" s="75" t="s">
        <v>1622</v>
      </c>
      <c r="AE1108" s="95">
        <v>1</v>
      </c>
      <c r="AF1108" s="75">
        <v>1</v>
      </c>
      <c r="AG1108" s="75">
        <v>0</v>
      </c>
      <c r="AH1108" s="75">
        <v>0</v>
      </c>
      <c r="AI1108" s="75">
        <v>0</v>
      </c>
      <c r="AJ1108" s="75">
        <v>0</v>
      </c>
      <c r="AK1108" s="75">
        <v>0</v>
      </c>
      <c r="AL1108" s="95">
        <v>0</v>
      </c>
      <c r="AM1108" s="92">
        <v>0</v>
      </c>
      <c r="AN1108" s="79" t="s">
        <v>81</v>
      </c>
      <c r="AO1108" s="75">
        <v>1</v>
      </c>
      <c r="AP1108" s="75" t="s">
        <v>83</v>
      </c>
      <c r="AQ1108" s="122">
        <v>1</v>
      </c>
      <c r="AR1108" s="515" t="s">
        <v>10</v>
      </c>
      <c r="AS1108" s="95">
        <v>0</v>
      </c>
      <c r="AT1108" s="75">
        <v>0</v>
      </c>
      <c r="AU1108" s="75">
        <v>0</v>
      </c>
      <c r="AV1108" s="75">
        <v>0</v>
      </c>
      <c r="AW1108" s="123">
        <v>0</v>
      </c>
      <c r="AX1108" s="516"/>
      <c r="AY1108" s="75">
        <v>0</v>
      </c>
      <c r="AZ1108" s="77" t="s">
        <v>132</v>
      </c>
      <c r="BA1108" s="78" t="s">
        <v>132</v>
      </c>
      <c r="BB1108" s="78" t="s">
        <v>131</v>
      </c>
      <c r="BC1108" s="78" t="s">
        <v>131</v>
      </c>
      <c r="BD1108" s="78" t="s">
        <v>131</v>
      </c>
      <c r="BE1108" s="78" t="s">
        <v>131</v>
      </c>
      <c r="BF1108" s="78" t="s">
        <v>131</v>
      </c>
      <c r="BG1108" s="78" t="s">
        <v>131</v>
      </c>
      <c r="BH1108" s="75" t="s">
        <v>5970</v>
      </c>
      <c r="BI1108" s="295" t="s">
        <v>2260</v>
      </c>
      <c r="BJ1108" s="546">
        <v>1</v>
      </c>
      <c r="BK1108" s="294" t="s">
        <v>16</v>
      </c>
      <c r="BL1108" s="157" t="s">
        <v>16</v>
      </c>
      <c r="BM1108" s="548" t="s">
        <v>1347</v>
      </c>
      <c r="BN1108" s="548" t="s">
        <v>4160</v>
      </c>
      <c r="BO1108" s="157" t="s">
        <v>4594</v>
      </c>
      <c r="BP1108" s="548" t="s">
        <v>2260</v>
      </c>
      <c r="BQ1108" s="157" t="s">
        <v>4563</v>
      </c>
      <c r="BR1108" s="157"/>
    </row>
    <row r="1109" spans="1:70" x14ac:dyDescent="0.25">
      <c r="A1109" s="19" t="s">
        <v>3686</v>
      </c>
      <c r="B1109" s="37" t="s">
        <v>3360</v>
      </c>
      <c r="C1109" s="90">
        <v>45076.686192129629</v>
      </c>
      <c r="D1109" s="114">
        <v>45076.436192129629</v>
      </c>
      <c r="E1109" s="38">
        <v>45076</v>
      </c>
      <c r="F1109" s="91">
        <v>2023</v>
      </c>
      <c r="G1109" s="93">
        <v>5</v>
      </c>
      <c r="H1109" s="37" t="s">
        <v>966</v>
      </c>
      <c r="I1109" s="37"/>
      <c r="J1109" s="103">
        <v>-92.586789076380001</v>
      </c>
      <c r="K1109" s="40">
        <v>44.478786062108355</v>
      </c>
      <c r="L1109" s="74"/>
      <c r="M1109" s="272" t="s">
        <v>16</v>
      </c>
      <c r="N1109" s="74">
        <v>0</v>
      </c>
      <c r="O1109" s="94"/>
      <c r="P1109" s="118">
        <v>1</v>
      </c>
      <c r="Q1109" s="510">
        <v>180</v>
      </c>
      <c r="R1109" s="513">
        <v>180</v>
      </c>
      <c r="S1109" s="41"/>
      <c r="T1109" s="40"/>
      <c r="U1109" s="40">
        <v>7.5</v>
      </c>
      <c r="V1109" s="119">
        <v>1</v>
      </c>
      <c r="W1109" s="40">
        <v>0</v>
      </c>
      <c r="X1109" s="119">
        <v>1</v>
      </c>
      <c r="Y1109" s="40">
        <v>54</v>
      </c>
      <c r="Z1109" s="119">
        <v>1</v>
      </c>
      <c r="AA1109" s="368">
        <v>0</v>
      </c>
      <c r="AB1109" s="535">
        <v>5</v>
      </c>
      <c r="AC1109" s="39" t="s">
        <v>160</v>
      </c>
      <c r="AD1109" s="75" t="s">
        <v>10</v>
      </c>
      <c r="AE1109" s="95">
        <v>0</v>
      </c>
      <c r="AF1109" s="75">
        <v>0</v>
      </c>
      <c r="AG1109" s="75">
        <v>0</v>
      </c>
      <c r="AH1109" s="75">
        <v>0</v>
      </c>
      <c r="AI1109" s="75">
        <v>0</v>
      </c>
      <c r="AJ1109" s="75">
        <v>0</v>
      </c>
      <c r="AK1109" s="75">
        <v>0</v>
      </c>
      <c r="AL1109" s="95">
        <v>1</v>
      </c>
      <c r="AM1109" s="92">
        <v>0</v>
      </c>
      <c r="AN1109" s="79" t="s">
        <v>195</v>
      </c>
      <c r="AO1109" s="75">
        <v>1</v>
      </c>
      <c r="AP1109" s="75" t="s">
        <v>84</v>
      </c>
      <c r="AQ1109" s="122">
        <v>1</v>
      </c>
      <c r="AR1109" s="515" t="s">
        <v>13</v>
      </c>
      <c r="AS1109" s="95">
        <v>1</v>
      </c>
      <c r="AT1109" s="75">
        <v>0</v>
      </c>
      <c r="AU1109" s="75">
        <v>0</v>
      </c>
      <c r="AV1109" s="75">
        <v>0</v>
      </c>
      <c r="AW1109" s="123">
        <v>0</v>
      </c>
      <c r="AX1109" s="516"/>
      <c r="AY1109" s="75">
        <v>0</v>
      </c>
      <c r="AZ1109" s="77" t="s">
        <v>131</v>
      </c>
      <c r="BA1109" s="78" t="s">
        <v>131</v>
      </c>
      <c r="BB1109" s="78" t="s">
        <v>131</v>
      </c>
      <c r="BC1109" s="78" t="s">
        <v>131</v>
      </c>
      <c r="BD1109" s="78" t="s">
        <v>131</v>
      </c>
      <c r="BE1109" s="78" t="s">
        <v>131</v>
      </c>
      <c r="BF1109" s="78" t="s">
        <v>131</v>
      </c>
      <c r="BG1109" s="78" t="s">
        <v>132</v>
      </c>
      <c r="BH1109" s="75" t="s">
        <v>5970</v>
      </c>
      <c r="BI1109" s="295" t="s">
        <v>2238</v>
      </c>
      <c r="BJ1109" s="546">
        <v>1</v>
      </c>
      <c r="BK1109" s="294" t="s">
        <v>16</v>
      </c>
      <c r="BL1109" s="157" t="s">
        <v>16</v>
      </c>
      <c r="BM1109" s="548" t="s">
        <v>2343</v>
      </c>
      <c r="BN1109" s="548" t="s">
        <v>4161</v>
      </c>
      <c r="BO1109" s="157" t="s">
        <v>4308</v>
      </c>
      <c r="BP1109" s="548" t="s">
        <v>2238</v>
      </c>
      <c r="BQ1109" s="157" t="s">
        <v>4307</v>
      </c>
      <c r="BR1109" s="157"/>
    </row>
    <row r="1110" spans="1:70" x14ac:dyDescent="0.25">
      <c r="A1110" s="19" t="s">
        <v>3686</v>
      </c>
      <c r="B1110" s="37" t="s">
        <v>3361</v>
      </c>
      <c r="C1110" s="90">
        <v>45076.681562500002</v>
      </c>
      <c r="D1110" s="114">
        <v>45076.431562500002</v>
      </c>
      <c r="E1110" s="38">
        <v>45076</v>
      </c>
      <c r="F1110" s="91">
        <v>2023</v>
      </c>
      <c r="G1110" s="93">
        <v>5</v>
      </c>
      <c r="H1110" s="37" t="s">
        <v>1361</v>
      </c>
      <c r="I1110" s="37"/>
      <c r="J1110" s="103">
        <v>-91.343389665792998</v>
      </c>
      <c r="K1110" s="40">
        <v>42.694103568832105</v>
      </c>
      <c r="L1110" s="74"/>
      <c r="M1110" s="272" t="s">
        <v>16</v>
      </c>
      <c r="N1110" s="74">
        <v>0</v>
      </c>
      <c r="O1110" s="94"/>
      <c r="P1110" s="118">
        <v>1</v>
      </c>
      <c r="Q1110" s="510">
        <v>180</v>
      </c>
      <c r="R1110" s="513">
        <v>180</v>
      </c>
      <c r="S1110" s="41"/>
      <c r="T1110" s="40"/>
      <c r="U1110" s="40">
        <v>9</v>
      </c>
      <c r="V1110" s="119">
        <v>1</v>
      </c>
      <c r="W1110" s="40">
        <v>100</v>
      </c>
      <c r="X1110" s="119">
        <v>1</v>
      </c>
      <c r="Y1110" s="40">
        <v>70</v>
      </c>
      <c r="Z1110" s="119">
        <v>1</v>
      </c>
      <c r="AA1110" s="368">
        <v>0</v>
      </c>
      <c r="AB1110" s="535">
        <v>2</v>
      </c>
      <c r="AC1110" s="39" t="s">
        <v>160</v>
      </c>
      <c r="AD1110" s="75" t="s">
        <v>439</v>
      </c>
      <c r="AE1110" s="95">
        <v>0</v>
      </c>
      <c r="AF1110" s="75">
        <v>1</v>
      </c>
      <c r="AG1110" s="75">
        <v>0</v>
      </c>
      <c r="AH1110" s="75">
        <v>0</v>
      </c>
      <c r="AI1110" s="75">
        <v>1</v>
      </c>
      <c r="AJ1110" s="75">
        <v>0</v>
      </c>
      <c r="AK1110" s="75">
        <v>0</v>
      </c>
      <c r="AL1110" s="95">
        <v>0</v>
      </c>
      <c r="AM1110" s="92">
        <v>0</v>
      </c>
      <c r="AN1110" s="79" t="s">
        <v>81</v>
      </c>
      <c r="AO1110" s="75">
        <v>1</v>
      </c>
      <c r="AP1110" s="75" t="s">
        <v>84</v>
      </c>
      <c r="AQ1110" s="122">
        <v>1</v>
      </c>
      <c r="AR1110" s="515" t="s">
        <v>16</v>
      </c>
      <c r="AS1110" s="95">
        <v>-1</v>
      </c>
      <c r="AT1110" s="75">
        <v>-1</v>
      </c>
      <c r="AU1110" s="75">
        <v>-1</v>
      </c>
      <c r="AV1110" s="75">
        <v>-1</v>
      </c>
      <c r="AW1110" s="123">
        <v>1</v>
      </c>
      <c r="AX1110" s="516"/>
      <c r="AY1110" s="75">
        <v>0</v>
      </c>
      <c r="AZ1110" s="77" t="s">
        <v>131</v>
      </c>
      <c r="BA1110" s="78" t="s">
        <v>132</v>
      </c>
      <c r="BB1110" s="78" t="s">
        <v>131</v>
      </c>
      <c r="BC1110" s="78" t="s">
        <v>131</v>
      </c>
      <c r="BD1110" s="78" t="s">
        <v>132</v>
      </c>
      <c r="BE1110" s="78" t="s">
        <v>131</v>
      </c>
      <c r="BF1110" s="78" t="s">
        <v>131</v>
      </c>
      <c r="BG1110" s="78" t="s">
        <v>131</v>
      </c>
      <c r="BH1110" s="75" t="s">
        <v>5970</v>
      </c>
      <c r="BI1110" s="295" t="s">
        <v>2260</v>
      </c>
      <c r="BJ1110" s="546">
        <v>1</v>
      </c>
      <c r="BK1110" s="294" t="s">
        <v>16</v>
      </c>
      <c r="BL1110" s="157" t="s">
        <v>16</v>
      </c>
      <c r="BM1110" s="548" t="s">
        <v>1347</v>
      </c>
      <c r="BN1110" s="548" t="s">
        <v>4160</v>
      </c>
      <c r="BO1110" s="157" t="s">
        <v>4594</v>
      </c>
      <c r="BP1110" s="548" t="s">
        <v>2260</v>
      </c>
      <c r="BQ1110" s="157" t="s">
        <v>4563</v>
      </c>
      <c r="BR1110" s="157"/>
    </row>
    <row r="1111" spans="1:70" x14ac:dyDescent="0.25">
      <c r="A1111" s="19" t="s">
        <v>3686</v>
      </c>
      <c r="B1111" s="37" t="s">
        <v>3362</v>
      </c>
      <c r="C1111" s="90">
        <v>45076.677430555559</v>
      </c>
      <c r="D1111" s="114">
        <v>45076.427430555559</v>
      </c>
      <c r="E1111" s="38">
        <v>45076</v>
      </c>
      <c r="F1111" s="91">
        <v>2023</v>
      </c>
      <c r="G1111" s="93">
        <v>5</v>
      </c>
      <c r="H1111" s="37" t="s">
        <v>1361</v>
      </c>
      <c r="I1111" s="37" t="s">
        <v>16</v>
      </c>
      <c r="J1111" s="103">
        <v>-91.34340374739034</v>
      </c>
      <c r="K1111" s="40">
        <v>42.694079931865161</v>
      </c>
      <c r="L1111" s="74"/>
      <c r="M1111" s="272" t="s">
        <v>3363</v>
      </c>
      <c r="N1111" s="74">
        <v>1</v>
      </c>
      <c r="O1111" s="94"/>
      <c r="P1111" s="118">
        <v>1</v>
      </c>
      <c r="Q1111" s="510">
        <v>180</v>
      </c>
      <c r="R1111" s="513">
        <v>180</v>
      </c>
      <c r="S1111" s="41"/>
      <c r="T1111" s="40"/>
      <c r="U1111" s="40">
        <v>9</v>
      </c>
      <c r="V1111" s="119">
        <v>1</v>
      </c>
      <c r="W1111" s="40">
        <v>0</v>
      </c>
      <c r="X1111" s="119">
        <v>1</v>
      </c>
      <c r="Y1111" s="40">
        <v>65</v>
      </c>
      <c r="Z1111" s="119">
        <v>1</v>
      </c>
      <c r="AA1111" s="368">
        <v>0</v>
      </c>
      <c r="AB1111" s="535">
        <v>5</v>
      </c>
      <c r="AC1111" s="39" t="s">
        <v>160</v>
      </c>
      <c r="AD1111" s="75" t="s">
        <v>439</v>
      </c>
      <c r="AE1111" s="95">
        <v>0</v>
      </c>
      <c r="AF1111" s="75">
        <v>1</v>
      </c>
      <c r="AG1111" s="75">
        <v>0</v>
      </c>
      <c r="AH1111" s="75">
        <v>0</v>
      </c>
      <c r="AI1111" s="75">
        <v>1</v>
      </c>
      <c r="AJ1111" s="75">
        <v>0</v>
      </c>
      <c r="AK1111" s="75">
        <v>0</v>
      </c>
      <c r="AL1111" s="95">
        <v>0</v>
      </c>
      <c r="AM1111" s="92">
        <v>0</v>
      </c>
      <c r="AN1111" s="79" t="s">
        <v>81</v>
      </c>
      <c r="AO1111" s="75">
        <v>1</v>
      </c>
      <c r="AP1111" s="75" t="s">
        <v>84</v>
      </c>
      <c r="AQ1111" s="122">
        <v>1</v>
      </c>
      <c r="AR1111" s="515" t="s">
        <v>10</v>
      </c>
      <c r="AS1111" s="95">
        <v>0</v>
      </c>
      <c r="AT1111" s="75">
        <v>0</v>
      </c>
      <c r="AU1111" s="75">
        <v>0</v>
      </c>
      <c r="AV1111" s="75">
        <v>0</v>
      </c>
      <c r="AW1111" s="123">
        <v>0</v>
      </c>
      <c r="AX1111" s="516"/>
      <c r="AY1111" s="75">
        <v>0</v>
      </c>
      <c r="AZ1111" s="77" t="s">
        <v>131</v>
      </c>
      <c r="BA1111" s="78" t="s">
        <v>132</v>
      </c>
      <c r="BB1111" s="78" t="s">
        <v>131</v>
      </c>
      <c r="BC1111" s="78" t="s">
        <v>131</v>
      </c>
      <c r="BD1111" s="78" t="s">
        <v>132</v>
      </c>
      <c r="BE1111" s="78" t="s">
        <v>131</v>
      </c>
      <c r="BF1111" s="78" t="s">
        <v>131</v>
      </c>
      <c r="BG1111" s="78" t="s">
        <v>131</v>
      </c>
      <c r="BH1111" s="75" t="s">
        <v>5970</v>
      </c>
      <c r="BI1111" s="295" t="s">
        <v>2260</v>
      </c>
      <c r="BJ1111" s="546">
        <v>1</v>
      </c>
      <c r="BK1111" s="294" t="s">
        <v>16</v>
      </c>
      <c r="BL1111" s="157" t="s">
        <v>16</v>
      </c>
      <c r="BM1111" s="548" t="s">
        <v>1347</v>
      </c>
      <c r="BN1111" s="548" t="s">
        <v>4160</v>
      </c>
      <c r="BO1111" s="157" t="s">
        <v>4594</v>
      </c>
      <c r="BP1111" s="548" t="s">
        <v>2260</v>
      </c>
      <c r="BQ1111" s="157" t="s">
        <v>4563</v>
      </c>
      <c r="BR1111" s="157"/>
    </row>
    <row r="1112" spans="1:70" x14ac:dyDescent="0.25">
      <c r="A1112" s="19" t="s">
        <v>3686</v>
      </c>
      <c r="B1112" s="37" t="s">
        <v>3364</v>
      </c>
      <c r="C1112" s="90">
        <v>45076.655671296299</v>
      </c>
      <c r="D1112" s="114">
        <v>45076.405671296299</v>
      </c>
      <c r="E1112" s="38">
        <v>45076</v>
      </c>
      <c r="F1112" s="91">
        <v>2023</v>
      </c>
      <c r="G1112" s="93">
        <v>5</v>
      </c>
      <c r="H1112" s="37" t="s">
        <v>1361</v>
      </c>
      <c r="I1112" s="37"/>
      <c r="J1112" s="103">
        <v>-91.378808654929855</v>
      </c>
      <c r="K1112" s="40">
        <v>42.647676961536192</v>
      </c>
      <c r="L1112" s="74"/>
      <c r="M1112" s="272" t="s">
        <v>3365</v>
      </c>
      <c r="N1112" s="74">
        <v>1</v>
      </c>
      <c r="O1112" s="94"/>
      <c r="P1112" s="118">
        <v>1</v>
      </c>
      <c r="Q1112" s="510">
        <v>180</v>
      </c>
      <c r="R1112" s="513">
        <v>180</v>
      </c>
      <c r="S1112" s="41"/>
      <c r="T1112" s="40"/>
      <c r="U1112" s="40">
        <v>8</v>
      </c>
      <c r="V1112" s="119">
        <v>1</v>
      </c>
      <c r="W1112" s="40">
        <v>0</v>
      </c>
      <c r="X1112" s="119">
        <v>0</v>
      </c>
      <c r="Y1112" s="40"/>
      <c r="Z1112" s="119">
        <v>1</v>
      </c>
      <c r="AA1112" s="368">
        <v>0</v>
      </c>
      <c r="AB1112" s="535">
        <v>10</v>
      </c>
      <c r="AC1112" s="39" t="s">
        <v>160</v>
      </c>
      <c r="AD1112" s="75" t="s">
        <v>10</v>
      </c>
      <c r="AE1112" s="95">
        <v>0</v>
      </c>
      <c r="AF1112" s="75">
        <v>0</v>
      </c>
      <c r="AG1112" s="75">
        <v>0</v>
      </c>
      <c r="AH1112" s="75">
        <v>0</v>
      </c>
      <c r="AI1112" s="75">
        <v>0</v>
      </c>
      <c r="AJ1112" s="75">
        <v>0</v>
      </c>
      <c r="AK1112" s="75">
        <v>0</v>
      </c>
      <c r="AL1112" s="95">
        <v>1</v>
      </c>
      <c r="AM1112" s="92">
        <v>0</v>
      </c>
      <c r="AN1112" s="79" t="s">
        <v>81</v>
      </c>
      <c r="AO1112" s="75">
        <v>1</v>
      </c>
      <c r="AP1112" s="75" t="s">
        <v>84</v>
      </c>
      <c r="AQ1112" s="122">
        <v>1</v>
      </c>
      <c r="AR1112" s="515" t="s">
        <v>10</v>
      </c>
      <c r="AS1112" s="95">
        <v>0</v>
      </c>
      <c r="AT1112" s="75">
        <v>0</v>
      </c>
      <c r="AU1112" s="75">
        <v>0</v>
      </c>
      <c r="AV1112" s="75">
        <v>0</v>
      </c>
      <c r="AW1112" s="123">
        <v>0</v>
      </c>
      <c r="AX1112" s="516"/>
      <c r="AY1112" s="75">
        <v>0</v>
      </c>
      <c r="AZ1112" s="77" t="s">
        <v>131</v>
      </c>
      <c r="BA1112" s="78" t="s">
        <v>131</v>
      </c>
      <c r="BB1112" s="78" t="s">
        <v>131</v>
      </c>
      <c r="BC1112" s="78" t="s">
        <v>131</v>
      </c>
      <c r="BD1112" s="78" t="s">
        <v>131</v>
      </c>
      <c r="BE1112" s="78" t="s">
        <v>131</v>
      </c>
      <c r="BF1112" s="78" t="s">
        <v>131</v>
      </c>
      <c r="BG1112" s="78" t="s">
        <v>132</v>
      </c>
      <c r="BH1112" s="75" t="s">
        <v>5970</v>
      </c>
      <c r="BI1112" s="295" t="s">
        <v>16</v>
      </c>
      <c r="BJ1112" s="546" t="s">
        <v>16</v>
      </c>
      <c r="BK1112" s="294" t="s">
        <v>16</v>
      </c>
      <c r="BL1112" s="157" t="s">
        <v>16</v>
      </c>
      <c r="BM1112" s="548" t="s">
        <v>1347</v>
      </c>
      <c r="BN1112" s="548" t="s">
        <v>4160</v>
      </c>
      <c r="BO1112" s="157" t="s">
        <v>4594</v>
      </c>
      <c r="BP1112" s="548" t="s">
        <v>2260</v>
      </c>
      <c r="BQ1112" s="157" t="s">
        <v>4563</v>
      </c>
      <c r="BR1112" s="157"/>
    </row>
    <row r="1113" spans="1:70" x14ac:dyDescent="0.25">
      <c r="A1113" s="19" t="s">
        <v>3686</v>
      </c>
      <c r="B1113" s="37" t="s">
        <v>3366</v>
      </c>
      <c r="C1113" s="90">
        <v>45073.738483796296</v>
      </c>
      <c r="D1113" s="114">
        <v>45073.488483796296</v>
      </c>
      <c r="E1113" s="38">
        <v>45073</v>
      </c>
      <c r="F1113" s="91">
        <v>2023</v>
      </c>
      <c r="G1113" s="93">
        <v>5</v>
      </c>
      <c r="H1113" s="37" t="s">
        <v>617</v>
      </c>
      <c r="I1113" s="37" t="s">
        <v>2362</v>
      </c>
      <c r="J1113" s="103">
        <v>-92.284046486221115</v>
      </c>
      <c r="K1113" s="40">
        <v>44.54224220619777</v>
      </c>
      <c r="L1113" s="74"/>
      <c r="M1113" s="272" t="s">
        <v>16</v>
      </c>
      <c r="N1113" s="74">
        <v>0</v>
      </c>
      <c r="O1113" s="94"/>
      <c r="P1113" s="118">
        <v>1</v>
      </c>
      <c r="Q1113" s="510">
        <v>180</v>
      </c>
      <c r="R1113" s="513">
        <v>120</v>
      </c>
      <c r="S1113" s="41"/>
      <c r="T1113" s="40"/>
      <c r="U1113" s="40">
        <v>8</v>
      </c>
      <c r="V1113" s="119">
        <v>1</v>
      </c>
      <c r="W1113" s="40">
        <v>0</v>
      </c>
      <c r="X1113" s="119">
        <v>1</v>
      </c>
      <c r="Y1113" s="40">
        <v>55</v>
      </c>
      <c r="Z1113" s="119">
        <v>1</v>
      </c>
      <c r="AA1113" s="368">
        <v>0</v>
      </c>
      <c r="AB1113" s="535">
        <v>5</v>
      </c>
      <c r="AC1113" s="39" t="s">
        <v>160</v>
      </c>
      <c r="AD1113" s="75" t="s">
        <v>16</v>
      </c>
      <c r="AE1113" s="95">
        <v>-1</v>
      </c>
      <c r="AF1113" s="75">
        <v>-1</v>
      </c>
      <c r="AG1113" s="75">
        <v>-1</v>
      </c>
      <c r="AH1113" s="75">
        <v>-1</v>
      </c>
      <c r="AI1113" s="75">
        <v>-1</v>
      </c>
      <c r="AJ1113" s="75">
        <v>-1</v>
      </c>
      <c r="AK1113" s="75">
        <v>-1</v>
      </c>
      <c r="AL1113" s="95">
        <v>-1</v>
      </c>
      <c r="AM1113" s="92">
        <v>1</v>
      </c>
      <c r="AN1113" s="79" t="s">
        <v>81</v>
      </c>
      <c r="AO1113" s="75">
        <v>1</v>
      </c>
      <c r="AP1113" s="75"/>
      <c r="AQ1113" s="122">
        <v>0</v>
      </c>
      <c r="AR1113" s="515" t="s">
        <v>10</v>
      </c>
      <c r="AS1113" s="95">
        <v>0</v>
      </c>
      <c r="AT1113" s="75">
        <v>0</v>
      </c>
      <c r="AU1113" s="75">
        <v>0</v>
      </c>
      <c r="AV1113" s="75">
        <v>0</v>
      </c>
      <c r="AW1113" s="123">
        <v>0</v>
      </c>
      <c r="AX1113" s="516"/>
      <c r="AY1113" s="75">
        <v>0</v>
      </c>
      <c r="AZ1113" s="77" t="s">
        <v>5971</v>
      </c>
      <c r="BA1113" s="78" t="s">
        <v>5971</v>
      </c>
      <c r="BB1113" s="78" t="s">
        <v>5971</v>
      </c>
      <c r="BC1113" s="78" t="s">
        <v>5971</v>
      </c>
      <c r="BD1113" s="78" t="s">
        <v>5971</v>
      </c>
      <c r="BE1113" s="78" t="s">
        <v>5971</v>
      </c>
      <c r="BF1113" s="78" t="s">
        <v>5971</v>
      </c>
      <c r="BG1113" s="78" t="s">
        <v>5971</v>
      </c>
      <c r="BH1113" s="75" t="s">
        <v>5971</v>
      </c>
      <c r="BI1113" s="295" t="s">
        <v>2261</v>
      </c>
      <c r="BJ1113" s="546">
        <v>1</v>
      </c>
      <c r="BK1113" s="294">
        <v>1</v>
      </c>
      <c r="BL1113" s="157">
        <v>1</v>
      </c>
      <c r="BM1113" s="548" t="s">
        <v>1340</v>
      </c>
      <c r="BN1113" s="548" t="s">
        <v>578</v>
      </c>
      <c r="BO1113" s="157" t="s">
        <v>4268</v>
      </c>
      <c r="BP1113" s="548" t="s">
        <v>2261</v>
      </c>
      <c r="BQ1113" s="157" t="s">
        <v>4214</v>
      </c>
      <c r="BR1113" s="157"/>
    </row>
    <row r="1114" spans="1:70" x14ac:dyDescent="0.25">
      <c r="A1114" s="19" t="s">
        <v>3686</v>
      </c>
      <c r="B1114" s="37" t="s">
        <v>3367</v>
      </c>
      <c r="C1114" s="90">
        <v>45073.681215277778</v>
      </c>
      <c r="D1114" s="114">
        <v>45073.431215277778</v>
      </c>
      <c r="E1114" s="38">
        <v>45073</v>
      </c>
      <c r="F1114" s="91">
        <v>2023</v>
      </c>
      <c r="G1114" s="93">
        <v>5</v>
      </c>
      <c r="H1114" s="37" t="s">
        <v>617</v>
      </c>
      <c r="I1114" s="37" t="s">
        <v>1772</v>
      </c>
      <c r="J1114" s="103">
        <v>-92.189608485204005</v>
      </c>
      <c r="K1114" s="40">
        <v>44.632823761840214</v>
      </c>
      <c r="L1114" s="74"/>
      <c r="M1114" s="272" t="s">
        <v>16</v>
      </c>
      <c r="N1114" s="74">
        <v>0</v>
      </c>
      <c r="O1114" s="94"/>
      <c r="P1114" s="118">
        <v>1</v>
      </c>
      <c r="Q1114" s="510">
        <v>180</v>
      </c>
      <c r="R1114" s="513">
        <v>180</v>
      </c>
      <c r="S1114" s="41"/>
      <c r="T1114" s="40"/>
      <c r="U1114" s="40">
        <v>8</v>
      </c>
      <c r="V1114" s="119">
        <v>1</v>
      </c>
      <c r="W1114" s="40">
        <v>0</v>
      </c>
      <c r="X1114" s="119">
        <v>1</v>
      </c>
      <c r="Y1114" s="40">
        <v>55</v>
      </c>
      <c r="Z1114" s="119">
        <v>1</v>
      </c>
      <c r="AA1114" s="368">
        <v>0</v>
      </c>
      <c r="AB1114" s="535">
        <v>5</v>
      </c>
      <c r="AC1114" s="39" t="s">
        <v>160</v>
      </c>
      <c r="AD1114" s="75" t="s">
        <v>16</v>
      </c>
      <c r="AE1114" s="95">
        <v>-1</v>
      </c>
      <c r="AF1114" s="75">
        <v>-1</v>
      </c>
      <c r="AG1114" s="75">
        <v>-1</v>
      </c>
      <c r="AH1114" s="75">
        <v>-1</v>
      </c>
      <c r="AI1114" s="75">
        <v>-1</v>
      </c>
      <c r="AJ1114" s="75">
        <v>-1</v>
      </c>
      <c r="AK1114" s="75">
        <v>-1</v>
      </c>
      <c r="AL1114" s="95">
        <v>-1</v>
      </c>
      <c r="AM1114" s="92">
        <v>1</v>
      </c>
      <c r="AN1114" s="79" t="s">
        <v>80</v>
      </c>
      <c r="AO1114" s="75">
        <v>1</v>
      </c>
      <c r="AP1114" s="75" t="s">
        <v>83</v>
      </c>
      <c r="AQ1114" s="122">
        <v>1</v>
      </c>
      <c r="AR1114" s="515" t="s">
        <v>10</v>
      </c>
      <c r="AS1114" s="95">
        <v>0</v>
      </c>
      <c r="AT1114" s="75">
        <v>0</v>
      </c>
      <c r="AU1114" s="75">
        <v>0</v>
      </c>
      <c r="AV1114" s="75">
        <v>0</v>
      </c>
      <c r="AW1114" s="123">
        <v>0</v>
      </c>
      <c r="AX1114" s="516"/>
      <c r="AY1114" s="75">
        <v>0</v>
      </c>
      <c r="AZ1114" s="77" t="s">
        <v>5971</v>
      </c>
      <c r="BA1114" s="78" t="s">
        <v>5971</v>
      </c>
      <c r="BB1114" s="78" t="s">
        <v>5971</v>
      </c>
      <c r="BC1114" s="78" t="s">
        <v>5971</v>
      </c>
      <c r="BD1114" s="78" t="s">
        <v>5971</v>
      </c>
      <c r="BE1114" s="78" t="s">
        <v>5971</v>
      </c>
      <c r="BF1114" s="78" t="s">
        <v>5971</v>
      </c>
      <c r="BG1114" s="78" t="s">
        <v>5971</v>
      </c>
      <c r="BH1114" s="75" t="s">
        <v>5971</v>
      </c>
      <c r="BI1114" s="295" t="s">
        <v>16</v>
      </c>
      <c r="BJ1114" s="546">
        <v>1</v>
      </c>
      <c r="BK1114" s="294">
        <v>1</v>
      </c>
      <c r="BL1114" s="157">
        <v>1</v>
      </c>
      <c r="BM1114" s="548" t="s">
        <v>578</v>
      </c>
      <c r="BN1114" s="548" t="s">
        <v>578</v>
      </c>
      <c r="BO1114" s="157" t="s">
        <v>4218</v>
      </c>
      <c r="BP1114" s="548" t="s">
        <v>4221</v>
      </c>
      <c r="BQ1114" s="157" t="s">
        <v>4217</v>
      </c>
      <c r="BR1114" s="157"/>
    </row>
    <row r="1115" spans="1:70" x14ac:dyDescent="0.25">
      <c r="A1115" s="19" t="s">
        <v>3686</v>
      </c>
      <c r="B1115" s="37" t="s">
        <v>3368</v>
      </c>
      <c r="C1115" s="90">
        <v>45072.804189814815</v>
      </c>
      <c r="D1115" s="114">
        <v>45072.554189814815</v>
      </c>
      <c r="E1115" s="38">
        <v>45072</v>
      </c>
      <c r="F1115" s="91">
        <v>2023</v>
      </c>
      <c r="G1115" s="93">
        <v>5</v>
      </c>
      <c r="H1115" s="37" t="s">
        <v>1401</v>
      </c>
      <c r="I1115" s="37" t="s">
        <v>1402</v>
      </c>
      <c r="J1115" s="103">
        <v>-92.725523600000002</v>
      </c>
      <c r="K1115" s="40">
        <v>44.547170700000002</v>
      </c>
      <c r="L1115" s="74"/>
      <c r="M1115" s="272" t="s">
        <v>16</v>
      </c>
      <c r="N1115" s="74">
        <v>0</v>
      </c>
      <c r="O1115" s="94"/>
      <c r="P1115" s="118">
        <v>1</v>
      </c>
      <c r="Q1115" s="510">
        <v>0</v>
      </c>
      <c r="R1115" s="513">
        <v>60</v>
      </c>
      <c r="S1115" s="41"/>
      <c r="T1115" s="40"/>
      <c r="U1115" s="40">
        <v>7.5</v>
      </c>
      <c r="V1115" s="119">
        <v>1</v>
      </c>
      <c r="W1115" s="40">
        <v>100</v>
      </c>
      <c r="X1115" s="119">
        <v>0</v>
      </c>
      <c r="Y1115" s="40"/>
      <c r="Z1115" s="119">
        <v>0</v>
      </c>
      <c r="AA1115" s="368" t="s">
        <v>16</v>
      </c>
      <c r="AB1115" s="535" t="s">
        <v>16</v>
      </c>
      <c r="AC1115" s="39"/>
      <c r="AD1115" s="75" t="s">
        <v>10</v>
      </c>
      <c r="AE1115" s="95">
        <v>0</v>
      </c>
      <c r="AF1115" s="75">
        <v>0</v>
      </c>
      <c r="AG1115" s="75">
        <v>0</v>
      </c>
      <c r="AH1115" s="75">
        <v>0</v>
      </c>
      <c r="AI1115" s="75">
        <v>0</v>
      </c>
      <c r="AJ1115" s="75">
        <v>0</v>
      </c>
      <c r="AK1115" s="75">
        <v>0</v>
      </c>
      <c r="AL1115" s="95">
        <v>1</v>
      </c>
      <c r="AM1115" s="92">
        <v>0</v>
      </c>
      <c r="AN1115" s="79" t="s">
        <v>81</v>
      </c>
      <c r="AO1115" s="75">
        <v>1</v>
      </c>
      <c r="AP1115" s="75" t="s">
        <v>83</v>
      </c>
      <c r="AQ1115" s="122">
        <v>1</v>
      </c>
      <c r="AR1115" s="515" t="s">
        <v>10</v>
      </c>
      <c r="AS1115" s="95">
        <v>0</v>
      </c>
      <c r="AT1115" s="75">
        <v>0</v>
      </c>
      <c r="AU1115" s="75">
        <v>0</v>
      </c>
      <c r="AV1115" s="75">
        <v>0</v>
      </c>
      <c r="AW1115" s="123">
        <v>0</v>
      </c>
      <c r="AX1115" s="516"/>
      <c r="AY1115" s="75">
        <v>0</v>
      </c>
      <c r="AZ1115" s="77" t="s">
        <v>131</v>
      </c>
      <c r="BA1115" s="78" t="s">
        <v>131</v>
      </c>
      <c r="BB1115" s="78" t="s">
        <v>131</v>
      </c>
      <c r="BC1115" s="78" t="s">
        <v>131</v>
      </c>
      <c r="BD1115" s="78" t="s">
        <v>131</v>
      </c>
      <c r="BE1115" s="78" t="s">
        <v>131</v>
      </c>
      <c r="BF1115" s="78" t="s">
        <v>131</v>
      </c>
      <c r="BG1115" s="78" t="s">
        <v>132</v>
      </c>
      <c r="BH1115" s="75" t="s">
        <v>5970</v>
      </c>
      <c r="BI1115" s="295" t="s">
        <v>1402</v>
      </c>
      <c r="BJ1115" s="546" t="s">
        <v>16</v>
      </c>
      <c r="BK1115" s="294" t="s">
        <v>16</v>
      </c>
      <c r="BL1115" s="157" t="s">
        <v>16</v>
      </c>
      <c r="BM1115" s="548" t="s">
        <v>2343</v>
      </c>
      <c r="BN1115" s="548" t="s">
        <v>4161</v>
      </c>
      <c r="BO1115" s="157" t="s">
        <v>4290</v>
      </c>
      <c r="BP1115" s="548" t="s">
        <v>4291</v>
      </c>
      <c r="BQ1115" s="157" t="s">
        <v>4289</v>
      </c>
      <c r="BR1115" s="157"/>
    </row>
    <row r="1116" spans="1:70" x14ac:dyDescent="0.25">
      <c r="A1116" s="19" t="s">
        <v>3686</v>
      </c>
      <c r="B1116" s="37" t="s">
        <v>3369</v>
      </c>
      <c r="C1116" s="90">
        <v>45072.641469907408</v>
      </c>
      <c r="D1116" s="114">
        <v>45072.391469907408</v>
      </c>
      <c r="E1116" s="38">
        <v>45072</v>
      </c>
      <c r="F1116" s="91">
        <v>2023</v>
      </c>
      <c r="G1116" s="93">
        <v>5</v>
      </c>
      <c r="H1116" s="37" t="s">
        <v>2797</v>
      </c>
      <c r="I1116" s="37" t="s">
        <v>16</v>
      </c>
      <c r="J1116" s="103">
        <v>-92.381513517324279</v>
      </c>
      <c r="K1116" s="40">
        <v>43.68814466281615</v>
      </c>
      <c r="L1116" s="74"/>
      <c r="M1116" s="272" t="s">
        <v>16</v>
      </c>
      <c r="N1116" s="74">
        <v>0</v>
      </c>
      <c r="O1116" s="94"/>
      <c r="P1116" s="118">
        <v>1</v>
      </c>
      <c r="Q1116" s="510">
        <v>0</v>
      </c>
      <c r="R1116" s="513">
        <v>0</v>
      </c>
      <c r="S1116" s="41"/>
      <c r="T1116" s="40"/>
      <c r="U1116" s="40">
        <v>7</v>
      </c>
      <c r="V1116" s="119">
        <v>0</v>
      </c>
      <c r="W1116" s="40"/>
      <c r="X1116" s="119">
        <v>1</v>
      </c>
      <c r="Y1116" s="40">
        <v>52</v>
      </c>
      <c r="Z1116" s="119">
        <v>0</v>
      </c>
      <c r="AA1116" s="368" t="s">
        <v>16</v>
      </c>
      <c r="AB1116" s="535" t="s">
        <v>16</v>
      </c>
      <c r="AC1116" s="39" t="s">
        <v>160</v>
      </c>
      <c r="AD1116" s="75" t="s">
        <v>10</v>
      </c>
      <c r="AE1116" s="95">
        <v>0</v>
      </c>
      <c r="AF1116" s="75">
        <v>0</v>
      </c>
      <c r="AG1116" s="75">
        <v>0</v>
      </c>
      <c r="AH1116" s="75">
        <v>0</v>
      </c>
      <c r="AI1116" s="75">
        <v>0</v>
      </c>
      <c r="AJ1116" s="75">
        <v>0</v>
      </c>
      <c r="AK1116" s="75">
        <v>0</v>
      </c>
      <c r="AL1116" s="95">
        <v>1</v>
      </c>
      <c r="AM1116" s="92">
        <v>0</v>
      </c>
      <c r="AN1116" s="79" t="s">
        <v>80</v>
      </c>
      <c r="AO1116" s="75">
        <v>1</v>
      </c>
      <c r="AP1116" s="75" t="s">
        <v>83</v>
      </c>
      <c r="AQ1116" s="122">
        <v>1</v>
      </c>
      <c r="AR1116" s="515" t="s">
        <v>10</v>
      </c>
      <c r="AS1116" s="95">
        <v>0</v>
      </c>
      <c r="AT1116" s="75">
        <v>0</v>
      </c>
      <c r="AU1116" s="75">
        <v>0</v>
      </c>
      <c r="AV1116" s="75">
        <v>0</v>
      </c>
      <c r="AW1116" s="123">
        <v>0</v>
      </c>
      <c r="AX1116" s="516" t="s">
        <v>3370</v>
      </c>
      <c r="AY1116" s="75">
        <v>1</v>
      </c>
      <c r="AZ1116" s="77" t="s">
        <v>131</v>
      </c>
      <c r="BA1116" s="78" t="s">
        <v>131</v>
      </c>
      <c r="BB1116" s="78" t="s">
        <v>131</v>
      </c>
      <c r="BC1116" s="78" t="s">
        <v>131</v>
      </c>
      <c r="BD1116" s="78" t="s">
        <v>131</v>
      </c>
      <c r="BE1116" s="78" t="s">
        <v>131</v>
      </c>
      <c r="BF1116" s="78" t="s">
        <v>131</v>
      </c>
      <c r="BG1116" s="78" t="s">
        <v>132</v>
      </c>
      <c r="BH1116" s="75" t="s">
        <v>5970</v>
      </c>
      <c r="BI1116" s="295" t="s">
        <v>16</v>
      </c>
      <c r="BJ1116" s="546">
        <v>1</v>
      </c>
      <c r="BK1116" s="294" t="s">
        <v>16</v>
      </c>
      <c r="BL1116" s="157" t="s">
        <v>16</v>
      </c>
      <c r="BM1116" s="548" t="s">
        <v>1339</v>
      </c>
      <c r="BN1116" s="548" t="s">
        <v>4161</v>
      </c>
      <c r="BO1116" s="157" t="s">
        <v>4227</v>
      </c>
      <c r="BP1116" s="548" t="s">
        <v>2230</v>
      </c>
      <c r="BQ1116" s="157" t="s">
        <v>4226</v>
      </c>
      <c r="BR1116" s="157"/>
    </row>
    <row r="1117" spans="1:70" x14ac:dyDescent="0.25">
      <c r="A1117" s="19" t="s">
        <v>3686</v>
      </c>
      <c r="B1117" s="37" t="s">
        <v>3371</v>
      </c>
      <c r="C1117" s="90">
        <v>45070.677384259259</v>
      </c>
      <c r="D1117" s="114">
        <v>45070.427384259259</v>
      </c>
      <c r="E1117" s="38">
        <v>45070</v>
      </c>
      <c r="F1117" s="91">
        <v>2023</v>
      </c>
      <c r="G1117" s="93">
        <v>5</v>
      </c>
      <c r="H1117" s="37" t="s">
        <v>475</v>
      </c>
      <c r="I1117" s="37"/>
      <c r="J1117" s="103">
        <v>-92.224465309441385</v>
      </c>
      <c r="K1117" s="40">
        <v>43.622239254102105</v>
      </c>
      <c r="L1117" s="74"/>
      <c r="M1117" s="272" t="s">
        <v>3372</v>
      </c>
      <c r="N1117" s="74">
        <v>1</v>
      </c>
      <c r="O1117" s="94"/>
      <c r="P1117" s="118">
        <v>1</v>
      </c>
      <c r="Q1117" s="510">
        <v>180</v>
      </c>
      <c r="R1117" s="513">
        <v>180</v>
      </c>
      <c r="S1117" s="41"/>
      <c r="T1117" s="40"/>
      <c r="U1117" s="40">
        <v>8</v>
      </c>
      <c r="V1117" s="119">
        <v>1</v>
      </c>
      <c r="W1117" s="40">
        <v>0</v>
      </c>
      <c r="X1117" s="119">
        <v>1</v>
      </c>
      <c r="Y1117" s="40">
        <v>53</v>
      </c>
      <c r="Z1117" s="119">
        <v>1</v>
      </c>
      <c r="AA1117" s="368">
        <v>0</v>
      </c>
      <c r="AB1117" s="535">
        <v>5</v>
      </c>
      <c r="AC1117" s="39" t="s">
        <v>160</v>
      </c>
      <c r="AD1117" s="75" t="s">
        <v>10</v>
      </c>
      <c r="AE1117" s="95">
        <v>0</v>
      </c>
      <c r="AF1117" s="75">
        <v>0</v>
      </c>
      <c r="AG1117" s="75">
        <v>0</v>
      </c>
      <c r="AH1117" s="75">
        <v>0</v>
      </c>
      <c r="AI1117" s="75">
        <v>0</v>
      </c>
      <c r="AJ1117" s="75">
        <v>0</v>
      </c>
      <c r="AK1117" s="75">
        <v>0</v>
      </c>
      <c r="AL1117" s="95">
        <v>1</v>
      </c>
      <c r="AM1117" s="92">
        <v>0</v>
      </c>
      <c r="AN1117" s="79" t="s">
        <v>80</v>
      </c>
      <c r="AO1117" s="75">
        <v>1</v>
      </c>
      <c r="AP1117" s="75" t="s">
        <v>83</v>
      </c>
      <c r="AQ1117" s="122">
        <v>1</v>
      </c>
      <c r="AR1117" s="515" t="s">
        <v>10</v>
      </c>
      <c r="AS1117" s="95">
        <v>0</v>
      </c>
      <c r="AT1117" s="75">
        <v>0</v>
      </c>
      <c r="AU1117" s="75">
        <v>0</v>
      </c>
      <c r="AV1117" s="75">
        <v>0</v>
      </c>
      <c r="AW1117" s="123">
        <v>0</v>
      </c>
      <c r="AX1117" s="516" t="s">
        <v>3373</v>
      </c>
      <c r="AY1117" s="75">
        <v>1</v>
      </c>
      <c r="AZ1117" s="77" t="s">
        <v>131</v>
      </c>
      <c r="BA1117" s="78" t="s">
        <v>131</v>
      </c>
      <c r="BB1117" s="78" t="s">
        <v>131</v>
      </c>
      <c r="BC1117" s="78" t="s">
        <v>131</v>
      </c>
      <c r="BD1117" s="78" t="s">
        <v>131</v>
      </c>
      <c r="BE1117" s="78" t="s">
        <v>131</v>
      </c>
      <c r="BF1117" s="78" t="s">
        <v>131</v>
      </c>
      <c r="BG1117" s="78" t="s">
        <v>132</v>
      </c>
      <c r="BH1117" s="75" t="s">
        <v>5970</v>
      </c>
      <c r="BI1117" s="295" t="s">
        <v>2232</v>
      </c>
      <c r="BJ1117" s="546">
        <v>1</v>
      </c>
      <c r="BK1117" s="294" t="s">
        <v>16</v>
      </c>
      <c r="BL1117" s="157" t="s">
        <v>16</v>
      </c>
      <c r="BM1117" s="548" t="s">
        <v>1339</v>
      </c>
      <c r="BN1117" s="548" t="s">
        <v>1339</v>
      </c>
      <c r="BO1117" s="157" t="s">
        <v>4332</v>
      </c>
      <c r="BP1117" s="548" t="s">
        <v>4333</v>
      </c>
      <c r="BQ1117" s="157" t="s">
        <v>4229</v>
      </c>
      <c r="BR1117" s="157"/>
    </row>
    <row r="1118" spans="1:70" x14ac:dyDescent="0.25">
      <c r="A1118" s="19" t="s">
        <v>3686</v>
      </c>
      <c r="B1118" s="37" t="s">
        <v>3374</v>
      </c>
      <c r="C1118" s="90">
        <v>45070.606064814812</v>
      </c>
      <c r="D1118" s="114">
        <v>45070.356064814812</v>
      </c>
      <c r="E1118" s="38">
        <v>45070</v>
      </c>
      <c r="F1118" s="91">
        <v>2023</v>
      </c>
      <c r="G1118" s="93">
        <v>5</v>
      </c>
      <c r="H1118" s="37" t="s">
        <v>475</v>
      </c>
      <c r="I1118" s="37"/>
      <c r="J1118" s="103">
        <v>-92.278081993774833</v>
      </c>
      <c r="K1118" s="40">
        <v>43.793152263556706</v>
      </c>
      <c r="L1118" s="74"/>
      <c r="M1118" s="272" t="s">
        <v>3375</v>
      </c>
      <c r="N1118" s="74">
        <v>1</v>
      </c>
      <c r="O1118" s="94"/>
      <c r="P1118" s="118">
        <v>1</v>
      </c>
      <c r="Q1118" s="510">
        <v>180</v>
      </c>
      <c r="R1118" s="513">
        <v>180</v>
      </c>
      <c r="S1118" s="41"/>
      <c r="T1118" s="40"/>
      <c r="U1118" s="40">
        <v>7.5</v>
      </c>
      <c r="V1118" s="119">
        <v>0</v>
      </c>
      <c r="W1118" s="40"/>
      <c r="X1118" s="119">
        <v>1</v>
      </c>
      <c r="Y1118" s="40">
        <v>49</v>
      </c>
      <c r="Z1118" s="119">
        <v>1</v>
      </c>
      <c r="AA1118" s="368">
        <v>0</v>
      </c>
      <c r="AB1118" s="535">
        <v>5</v>
      </c>
      <c r="AC1118" s="39" t="s">
        <v>160</v>
      </c>
      <c r="AD1118" s="75" t="s">
        <v>427</v>
      </c>
      <c r="AE1118" s="95">
        <v>0</v>
      </c>
      <c r="AF1118" s="75">
        <v>0</v>
      </c>
      <c r="AG1118" s="75">
        <v>0</v>
      </c>
      <c r="AH1118" s="75">
        <v>0</v>
      </c>
      <c r="AI1118" s="75">
        <v>0</v>
      </c>
      <c r="AJ1118" s="75">
        <v>1</v>
      </c>
      <c r="AK1118" s="75">
        <v>0</v>
      </c>
      <c r="AL1118" s="95">
        <v>0</v>
      </c>
      <c r="AM1118" s="92">
        <v>0</v>
      </c>
      <c r="AN1118" s="79" t="s">
        <v>80</v>
      </c>
      <c r="AO1118" s="75">
        <v>1</v>
      </c>
      <c r="AP1118" s="75" t="s">
        <v>83</v>
      </c>
      <c r="AQ1118" s="122">
        <v>1</v>
      </c>
      <c r="AR1118" s="515" t="s">
        <v>10</v>
      </c>
      <c r="AS1118" s="95">
        <v>0</v>
      </c>
      <c r="AT1118" s="75">
        <v>0</v>
      </c>
      <c r="AU1118" s="75">
        <v>0</v>
      </c>
      <c r="AV1118" s="75">
        <v>0</v>
      </c>
      <c r="AW1118" s="123">
        <v>0</v>
      </c>
      <c r="AX1118" s="516" t="s">
        <v>3376</v>
      </c>
      <c r="AY1118" s="75">
        <v>1</v>
      </c>
      <c r="AZ1118" s="77" t="s">
        <v>131</v>
      </c>
      <c r="BA1118" s="78" t="s">
        <v>131</v>
      </c>
      <c r="BB1118" s="78" t="s">
        <v>131</v>
      </c>
      <c r="BC1118" s="78" t="s">
        <v>131</v>
      </c>
      <c r="BD1118" s="78" t="s">
        <v>131</v>
      </c>
      <c r="BE1118" s="78" t="s">
        <v>132</v>
      </c>
      <c r="BF1118" s="78" t="s">
        <v>131</v>
      </c>
      <c r="BG1118" s="78" t="s">
        <v>131</v>
      </c>
      <c r="BH1118" s="75" t="s">
        <v>5970</v>
      </c>
      <c r="BI1118" s="295" t="s">
        <v>16</v>
      </c>
      <c r="BJ1118" s="546">
        <v>1</v>
      </c>
      <c r="BK1118" s="294">
        <v>1</v>
      </c>
      <c r="BL1118" s="157">
        <v>1</v>
      </c>
      <c r="BM1118" s="548" t="s">
        <v>1339</v>
      </c>
      <c r="BN1118" s="548" t="s">
        <v>1339</v>
      </c>
      <c r="BO1118" s="157" t="s">
        <v>4329</v>
      </c>
      <c r="BP1118" s="548" t="s">
        <v>4228</v>
      </c>
      <c r="BQ1118" s="157" t="s">
        <v>4226</v>
      </c>
      <c r="BR1118" s="157"/>
    </row>
    <row r="1119" spans="1:70" x14ac:dyDescent="0.25">
      <c r="A1119" s="19" t="s">
        <v>3686</v>
      </c>
      <c r="B1119" s="37" t="s">
        <v>3377</v>
      </c>
      <c r="C1119" s="90">
        <v>45070.578912037039</v>
      </c>
      <c r="D1119" s="114">
        <v>45070.328912037039</v>
      </c>
      <c r="E1119" s="38">
        <v>45070</v>
      </c>
      <c r="F1119" s="91">
        <v>2023</v>
      </c>
      <c r="G1119" s="93">
        <v>5</v>
      </c>
      <c r="H1119" s="37" t="s">
        <v>475</v>
      </c>
      <c r="I1119" s="37"/>
      <c r="J1119" s="103">
        <v>-92.342542711312618</v>
      </c>
      <c r="K1119" s="40">
        <v>43.773674047585509</v>
      </c>
      <c r="L1119" s="74"/>
      <c r="M1119" s="272" t="s">
        <v>3378</v>
      </c>
      <c r="N1119" s="74">
        <v>1</v>
      </c>
      <c r="O1119" s="94"/>
      <c r="P1119" s="118">
        <v>0</v>
      </c>
      <c r="Q1119" s="510"/>
      <c r="R1119" s="513"/>
      <c r="S1119" s="41"/>
      <c r="T1119" s="40"/>
      <c r="U1119" s="40"/>
      <c r="V1119" s="119">
        <v>1</v>
      </c>
      <c r="W1119" s="40">
        <v>0</v>
      </c>
      <c r="X1119" s="119">
        <v>1</v>
      </c>
      <c r="Y1119" s="40">
        <v>53</v>
      </c>
      <c r="Z1119" s="119">
        <v>1</v>
      </c>
      <c r="AA1119" s="368">
        <v>0</v>
      </c>
      <c r="AB1119" s="535">
        <v>5</v>
      </c>
      <c r="AC1119" s="39" t="s">
        <v>160</v>
      </c>
      <c r="AD1119" s="75" t="s">
        <v>427</v>
      </c>
      <c r="AE1119" s="95">
        <v>0</v>
      </c>
      <c r="AF1119" s="75">
        <v>0</v>
      </c>
      <c r="AG1119" s="75">
        <v>0</v>
      </c>
      <c r="AH1119" s="75">
        <v>0</v>
      </c>
      <c r="AI1119" s="75">
        <v>0</v>
      </c>
      <c r="AJ1119" s="75">
        <v>1</v>
      </c>
      <c r="AK1119" s="75">
        <v>0</v>
      </c>
      <c r="AL1119" s="95">
        <v>0</v>
      </c>
      <c r="AM1119" s="92">
        <v>0</v>
      </c>
      <c r="AN1119" s="79" t="s">
        <v>80</v>
      </c>
      <c r="AO1119" s="75">
        <v>1</v>
      </c>
      <c r="AP1119" s="75" t="s">
        <v>83</v>
      </c>
      <c r="AQ1119" s="122">
        <v>1</v>
      </c>
      <c r="AR1119" s="515" t="s">
        <v>10</v>
      </c>
      <c r="AS1119" s="95">
        <v>0</v>
      </c>
      <c r="AT1119" s="75">
        <v>0</v>
      </c>
      <c r="AU1119" s="75">
        <v>0</v>
      </c>
      <c r="AV1119" s="75">
        <v>0</v>
      </c>
      <c r="AW1119" s="123">
        <v>0</v>
      </c>
      <c r="AX1119" s="516" t="s">
        <v>3379</v>
      </c>
      <c r="AY1119" s="75">
        <v>1</v>
      </c>
      <c r="AZ1119" s="77" t="s">
        <v>131</v>
      </c>
      <c r="BA1119" s="78" t="s">
        <v>131</v>
      </c>
      <c r="BB1119" s="78" t="s">
        <v>131</v>
      </c>
      <c r="BC1119" s="78" t="s">
        <v>131</v>
      </c>
      <c r="BD1119" s="78" t="s">
        <v>131</v>
      </c>
      <c r="BE1119" s="78" t="s">
        <v>132</v>
      </c>
      <c r="BF1119" s="78" t="s">
        <v>131</v>
      </c>
      <c r="BG1119" s="78" t="s">
        <v>131</v>
      </c>
      <c r="BH1119" s="75" t="s">
        <v>5970</v>
      </c>
      <c r="BI1119" s="295" t="s">
        <v>2260</v>
      </c>
      <c r="BJ1119" s="546">
        <v>1</v>
      </c>
      <c r="BK1119" s="294" t="s">
        <v>16</v>
      </c>
      <c r="BL1119" s="157" t="s">
        <v>16</v>
      </c>
      <c r="BM1119" s="548" t="s">
        <v>1339</v>
      </c>
      <c r="BN1119" s="548" t="s">
        <v>1339</v>
      </c>
      <c r="BO1119" s="157" t="s">
        <v>4328</v>
      </c>
      <c r="BP1119" s="548" t="s">
        <v>2222</v>
      </c>
      <c r="BQ1119" s="157" t="s">
        <v>4226</v>
      </c>
      <c r="BR1119" s="157"/>
    </row>
    <row r="1120" spans="1:70" x14ac:dyDescent="0.25">
      <c r="A1120" s="19" t="s">
        <v>3686</v>
      </c>
      <c r="B1120" s="37" t="s">
        <v>3380</v>
      </c>
      <c r="C1120" s="90">
        <v>45069.989594907405</v>
      </c>
      <c r="D1120" s="114">
        <v>45069.739594907405</v>
      </c>
      <c r="E1120" s="38">
        <v>45069</v>
      </c>
      <c r="F1120" s="91">
        <v>2023</v>
      </c>
      <c r="G1120" s="93">
        <v>5</v>
      </c>
      <c r="H1120" s="37" t="s">
        <v>3381</v>
      </c>
      <c r="I1120" s="37" t="s">
        <v>16</v>
      </c>
      <c r="J1120" s="103">
        <v>-91.265474073748635</v>
      </c>
      <c r="K1120" s="40">
        <v>43.952441237111188</v>
      </c>
      <c r="L1120" s="74"/>
      <c r="M1120" s="272" t="s">
        <v>16</v>
      </c>
      <c r="N1120" s="74">
        <v>0</v>
      </c>
      <c r="O1120" s="94"/>
      <c r="P1120" s="118">
        <v>1</v>
      </c>
      <c r="Q1120" s="510">
        <v>80</v>
      </c>
      <c r="R1120" s="513">
        <v>120</v>
      </c>
      <c r="S1120" s="41"/>
      <c r="T1120" s="40"/>
      <c r="U1120" s="40">
        <v>7.5</v>
      </c>
      <c r="V1120" s="119">
        <v>1</v>
      </c>
      <c r="W1120" s="40">
        <v>0</v>
      </c>
      <c r="X1120" s="119">
        <v>1</v>
      </c>
      <c r="Y1120" s="40">
        <v>65</v>
      </c>
      <c r="Z1120" s="119">
        <v>1</v>
      </c>
      <c r="AA1120" s="368">
        <v>0</v>
      </c>
      <c r="AB1120" s="535">
        <v>2</v>
      </c>
      <c r="AC1120" s="39" t="s">
        <v>160</v>
      </c>
      <c r="AD1120" s="75" t="s">
        <v>10</v>
      </c>
      <c r="AE1120" s="95">
        <v>0</v>
      </c>
      <c r="AF1120" s="75">
        <v>0</v>
      </c>
      <c r="AG1120" s="75">
        <v>0</v>
      </c>
      <c r="AH1120" s="75">
        <v>0</v>
      </c>
      <c r="AI1120" s="75">
        <v>0</v>
      </c>
      <c r="AJ1120" s="75">
        <v>0</v>
      </c>
      <c r="AK1120" s="75">
        <v>0</v>
      </c>
      <c r="AL1120" s="95">
        <v>1</v>
      </c>
      <c r="AM1120" s="92">
        <v>0</v>
      </c>
      <c r="AN1120" s="79" t="s">
        <v>81</v>
      </c>
      <c r="AO1120" s="75">
        <v>1</v>
      </c>
      <c r="AP1120" s="75" t="s">
        <v>85</v>
      </c>
      <c r="AQ1120" s="122">
        <v>1</v>
      </c>
      <c r="AR1120" s="515" t="s">
        <v>10</v>
      </c>
      <c r="AS1120" s="95">
        <v>0</v>
      </c>
      <c r="AT1120" s="75">
        <v>0</v>
      </c>
      <c r="AU1120" s="75">
        <v>0</v>
      </c>
      <c r="AV1120" s="75">
        <v>0</v>
      </c>
      <c r="AW1120" s="123">
        <v>0</v>
      </c>
      <c r="AX1120" s="516"/>
      <c r="AY1120" s="75">
        <v>0</v>
      </c>
      <c r="AZ1120" s="77" t="s">
        <v>131</v>
      </c>
      <c r="BA1120" s="78" t="s">
        <v>131</v>
      </c>
      <c r="BB1120" s="78" t="s">
        <v>131</v>
      </c>
      <c r="BC1120" s="78" t="s">
        <v>131</v>
      </c>
      <c r="BD1120" s="78" t="s">
        <v>131</v>
      </c>
      <c r="BE1120" s="78" t="s">
        <v>131</v>
      </c>
      <c r="BF1120" s="78" t="s">
        <v>131</v>
      </c>
      <c r="BG1120" s="78" t="s">
        <v>132</v>
      </c>
      <c r="BH1120" s="75" t="s">
        <v>5970</v>
      </c>
      <c r="BI1120" s="295" t="s">
        <v>3969</v>
      </c>
      <c r="BJ1120" s="546" t="s">
        <v>16</v>
      </c>
      <c r="BK1120" s="294" t="s">
        <v>16</v>
      </c>
      <c r="BL1120" s="157" t="s">
        <v>16</v>
      </c>
      <c r="BM1120" s="548" t="s">
        <v>1342</v>
      </c>
      <c r="BN1120" s="548" t="s">
        <v>544</v>
      </c>
      <c r="BO1120" s="157" t="s">
        <v>4591</v>
      </c>
      <c r="BP1120" s="548" t="s">
        <v>3969</v>
      </c>
      <c r="BQ1120" s="157" t="s">
        <v>4452</v>
      </c>
      <c r="BR1120" s="157"/>
    </row>
    <row r="1121" spans="1:70" x14ac:dyDescent="0.25">
      <c r="A1121" s="19" t="s">
        <v>3686</v>
      </c>
      <c r="B1121" s="37" t="s">
        <v>3382</v>
      </c>
      <c r="C1121" s="90">
        <v>45069.80572916667</v>
      </c>
      <c r="D1121" s="114">
        <v>45069.55572916667</v>
      </c>
      <c r="E1121" s="38">
        <v>45069</v>
      </c>
      <c r="F1121" s="91">
        <v>2023</v>
      </c>
      <c r="G1121" s="93">
        <v>5</v>
      </c>
      <c r="H1121" s="37" t="s">
        <v>201</v>
      </c>
      <c r="I1121" s="37"/>
      <c r="J1121" s="103">
        <v>-92.732132021072005</v>
      </c>
      <c r="K1121" s="40">
        <v>44.831218923450791</v>
      </c>
      <c r="L1121" s="74"/>
      <c r="M1121" s="272" t="s">
        <v>16</v>
      </c>
      <c r="N1121" s="74">
        <v>0</v>
      </c>
      <c r="O1121" s="94"/>
      <c r="P1121" s="118">
        <v>1</v>
      </c>
      <c r="Q1121" s="510">
        <v>180</v>
      </c>
      <c r="R1121" s="513">
        <v>180</v>
      </c>
      <c r="S1121" s="41"/>
      <c r="T1121" s="40"/>
      <c r="U1121" s="40">
        <v>9</v>
      </c>
      <c r="V1121" s="119">
        <v>1</v>
      </c>
      <c r="W1121" s="40">
        <v>0</v>
      </c>
      <c r="X1121" s="119">
        <v>1</v>
      </c>
      <c r="Y1121" s="40">
        <v>65</v>
      </c>
      <c r="Z1121" s="119">
        <v>1</v>
      </c>
      <c r="AA1121" s="368">
        <v>0</v>
      </c>
      <c r="AB1121" s="535">
        <v>5</v>
      </c>
      <c r="AC1121" s="39" t="s">
        <v>160</v>
      </c>
      <c r="AD1121" s="75" t="s">
        <v>365</v>
      </c>
      <c r="AE1121" s="95">
        <v>0</v>
      </c>
      <c r="AF1121" s="75">
        <v>1</v>
      </c>
      <c r="AG1121" s="75">
        <v>1</v>
      </c>
      <c r="AH1121" s="75">
        <v>0</v>
      </c>
      <c r="AI1121" s="75">
        <v>0</v>
      </c>
      <c r="AJ1121" s="75">
        <v>0</v>
      </c>
      <c r="AK1121" s="75">
        <v>0</v>
      </c>
      <c r="AL1121" s="95">
        <v>0</v>
      </c>
      <c r="AM1121" s="92">
        <v>0</v>
      </c>
      <c r="AN1121" s="79" t="s">
        <v>80</v>
      </c>
      <c r="AO1121" s="75">
        <v>1</v>
      </c>
      <c r="AP1121" s="75" t="s">
        <v>83</v>
      </c>
      <c r="AQ1121" s="122">
        <v>1</v>
      </c>
      <c r="AR1121" s="515" t="s">
        <v>10</v>
      </c>
      <c r="AS1121" s="95">
        <v>0</v>
      </c>
      <c r="AT1121" s="75">
        <v>0</v>
      </c>
      <c r="AU1121" s="75">
        <v>0</v>
      </c>
      <c r="AV1121" s="75">
        <v>0</v>
      </c>
      <c r="AW1121" s="123">
        <v>0</v>
      </c>
      <c r="AX1121" s="516" t="s">
        <v>1537</v>
      </c>
      <c r="AY1121" s="75">
        <v>1</v>
      </c>
      <c r="AZ1121" s="77" t="s">
        <v>131</v>
      </c>
      <c r="BA1121" s="78" t="s">
        <v>132</v>
      </c>
      <c r="BB1121" s="78" t="s">
        <v>132</v>
      </c>
      <c r="BC1121" s="78" t="s">
        <v>131</v>
      </c>
      <c r="BD1121" s="78" t="s">
        <v>131</v>
      </c>
      <c r="BE1121" s="78" t="s">
        <v>131</v>
      </c>
      <c r="BF1121" s="78" t="s">
        <v>131</v>
      </c>
      <c r="BG1121" s="78" t="s">
        <v>131</v>
      </c>
      <c r="BH1121" s="75" t="s">
        <v>5970</v>
      </c>
      <c r="BI1121" s="295" t="s">
        <v>2227</v>
      </c>
      <c r="BJ1121" s="546">
        <v>1</v>
      </c>
      <c r="BK1121" s="294" t="s">
        <v>16</v>
      </c>
      <c r="BL1121" s="157" t="s">
        <v>16</v>
      </c>
      <c r="BM1121" s="548" t="s">
        <v>578</v>
      </c>
      <c r="BN1121" s="548" t="s">
        <v>578</v>
      </c>
      <c r="BO1121" s="157" t="s">
        <v>4341</v>
      </c>
      <c r="BP1121" s="548" t="s">
        <v>4343</v>
      </c>
      <c r="BQ1121" s="157" t="s">
        <v>4309</v>
      </c>
      <c r="BR1121" s="157"/>
    </row>
    <row r="1122" spans="1:70" x14ac:dyDescent="0.25">
      <c r="A1122" s="19" t="s">
        <v>3686</v>
      </c>
      <c r="B1122" s="37" t="s">
        <v>3383</v>
      </c>
      <c r="C1122" s="90">
        <v>45069.775127314817</v>
      </c>
      <c r="D1122" s="114">
        <v>45069.525127314817</v>
      </c>
      <c r="E1122" s="38">
        <v>45069</v>
      </c>
      <c r="F1122" s="91">
        <v>2023</v>
      </c>
      <c r="G1122" s="93">
        <v>5</v>
      </c>
      <c r="H1122" s="37" t="s">
        <v>598</v>
      </c>
      <c r="I1122" s="37" t="s">
        <v>16</v>
      </c>
      <c r="J1122" s="103">
        <v>-91.850002306578318</v>
      </c>
      <c r="K1122" s="40">
        <v>43.657447010687235</v>
      </c>
      <c r="L1122" s="74"/>
      <c r="M1122" s="272" t="s">
        <v>3384</v>
      </c>
      <c r="N1122" s="74">
        <v>1</v>
      </c>
      <c r="O1122" s="94"/>
      <c r="P1122" s="118">
        <v>1</v>
      </c>
      <c r="Q1122" s="510">
        <v>40</v>
      </c>
      <c r="R1122" s="513">
        <v>180</v>
      </c>
      <c r="S1122" s="41"/>
      <c r="T1122" s="40"/>
      <c r="U1122" s="40">
        <v>7.5</v>
      </c>
      <c r="V1122" s="119">
        <v>1</v>
      </c>
      <c r="W1122" s="40">
        <v>100</v>
      </c>
      <c r="X1122" s="119">
        <v>1</v>
      </c>
      <c r="Y1122" s="40">
        <v>59</v>
      </c>
      <c r="Z1122" s="119">
        <v>1</v>
      </c>
      <c r="AA1122" s="368">
        <v>0</v>
      </c>
      <c r="AB1122" s="535">
        <v>2</v>
      </c>
      <c r="AC1122" s="39" t="s">
        <v>160</v>
      </c>
      <c r="AD1122" s="75" t="s">
        <v>10</v>
      </c>
      <c r="AE1122" s="95">
        <v>0</v>
      </c>
      <c r="AF1122" s="75">
        <v>0</v>
      </c>
      <c r="AG1122" s="75">
        <v>0</v>
      </c>
      <c r="AH1122" s="75">
        <v>0</v>
      </c>
      <c r="AI1122" s="75">
        <v>0</v>
      </c>
      <c r="AJ1122" s="75">
        <v>0</v>
      </c>
      <c r="AK1122" s="75">
        <v>0</v>
      </c>
      <c r="AL1122" s="95">
        <v>1</v>
      </c>
      <c r="AM1122" s="92">
        <v>0</v>
      </c>
      <c r="AN1122" s="79" t="s">
        <v>81</v>
      </c>
      <c r="AO1122" s="75">
        <v>1</v>
      </c>
      <c r="AP1122" s="75" t="s">
        <v>83</v>
      </c>
      <c r="AQ1122" s="122">
        <v>1</v>
      </c>
      <c r="AR1122" s="515" t="s">
        <v>10</v>
      </c>
      <c r="AS1122" s="95">
        <v>0</v>
      </c>
      <c r="AT1122" s="75">
        <v>0</v>
      </c>
      <c r="AU1122" s="75">
        <v>0</v>
      </c>
      <c r="AV1122" s="75">
        <v>0</v>
      </c>
      <c r="AW1122" s="123">
        <v>0</v>
      </c>
      <c r="AX1122" s="516" t="s">
        <v>645</v>
      </c>
      <c r="AY1122" s="75">
        <v>1</v>
      </c>
      <c r="AZ1122" s="77" t="s">
        <v>131</v>
      </c>
      <c r="BA1122" s="78" t="s">
        <v>131</v>
      </c>
      <c r="BB1122" s="78" t="s">
        <v>131</v>
      </c>
      <c r="BC1122" s="78" t="s">
        <v>131</v>
      </c>
      <c r="BD1122" s="78" t="s">
        <v>131</v>
      </c>
      <c r="BE1122" s="78" t="s">
        <v>131</v>
      </c>
      <c r="BF1122" s="78" t="s">
        <v>131</v>
      </c>
      <c r="BG1122" s="78" t="s">
        <v>132</v>
      </c>
      <c r="BH1122" s="75" t="s">
        <v>5970</v>
      </c>
      <c r="BI1122" s="295" t="s">
        <v>3972</v>
      </c>
      <c r="BJ1122" s="546">
        <v>1</v>
      </c>
      <c r="BK1122" s="294" t="s">
        <v>16</v>
      </c>
      <c r="BL1122" s="157" t="s">
        <v>16</v>
      </c>
      <c r="BM1122" s="548" t="s">
        <v>1339</v>
      </c>
      <c r="BN1122" s="548" t="s">
        <v>1339</v>
      </c>
      <c r="BO1122" s="157" t="s">
        <v>4418</v>
      </c>
      <c r="BP1122" s="548" t="s">
        <v>4419</v>
      </c>
      <c r="BQ1122" s="157" t="s">
        <v>4232</v>
      </c>
      <c r="BR1122" s="157"/>
    </row>
    <row r="1123" spans="1:70" x14ac:dyDescent="0.25">
      <c r="A1123" s="19" t="s">
        <v>3686</v>
      </c>
      <c r="B1123" s="37" t="s">
        <v>3385</v>
      </c>
      <c r="C1123" s="90">
        <v>45069.756863425922</v>
      </c>
      <c r="D1123" s="114">
        <v>45069.506863425922</v>
      </c>
      <c r="E1123" s="38">
        <v>45069</v>
      </c>
      <c r="F1123" s="91">
        <v>2023</v>
      </c>
      <c r="G1123" s="93">
        <v>5</v>
      </c>
      <c r="H1123" s="37" t="s">
        <v>1447</v>
      </c>
      <c r="I1123" s="37" t="s">
        <v>16</v>
      </c>
      <c r="J1123" s="103">
        <v>-92.832936421123179</v>
      </c>
      <c r="K1123" s="40">
        <v>44.54335563354617</v>
      </c>
      <c r="L1123" s="74"/>
      <c r="M1123" s="272" t="s">
        <v>16</v>
      </c>
      <c r="N1123" s="74">
        <v>0</v>
      </c>
      <c r="O1123" s="94"/>
      <c r="P1123" s="118">
        <v>1</v>
      </c>
      <c r="Q1123" s="510">
        <v>0</v>
      </c>
      <c r="R1123" s="513">
        <v>0</v>
      </c>
      <c r="S1123" s="41"/>
      <c r="T1123" s="40"/>
      <c r="U1123" s="40">
        <v>7</v>
      </c>
      <c r="V1123" s="119">
        <v>1</v>
      </c>
      <c r="W1123" s="40">
        <v>200</v>
      </c>
      <c r="X1123" s="119">
        <v>1</v>
      </c>
      <c r="Y1123" s="40">
        <v>58</v>
      </c>
      <c r="Z1123" s="119">
        <v>1</v>
      </c>
      <c r="AA1123" s="368">
        <v>1</v>
      </c>
      <c r="AB1123" s="535">
        <v>2</v>
      </c>
      <c r="AC1123" s="39" t="s">
        <v>160</v>
      </c>
      <c r="AD1123" s="75" t="s">
        <v>16</v>
      </c>
      <c r="AE1123" s="95">
        <v>-1</v>
      </c>
      <c r="AF1123" s="75">
        <v>-1</v>
      </c>
      <c r="AG1123" s="75">
        <v>-1</v>
      </c>
      <c r="AH1123" s="75">
        <v>-1</v>
      </c>
      <c r="AI1123" s="75">
        <v>-1</v>
      </c>
      <c r="AJ1123" s="75">
        <v>-1</v>
      </c>
      <c r="AK1123" s="75">
        <v>-1</v>
      </c>
      <c r="AL1123" s="95">
        <v>-1</v>
      </c>
      <c r="AM1123" s="92">
        <v>1</v>
      </c>
      <c r="AN1123" s="79"/>
      <c r="AO1123" s="75">
        <v>0</v>
      </c>
      <c r="AP1123" s="75"/>
      <c r="AQ1123" s="122">
        <v>0</v>
      </c>
      <c r="AR1123" s="515" t="s">
        <v>16</v>
      </c>
      <c r="AS1123" s="95">
        <v>-1</v>
      </c>
      <c r="AT1123" s="75">
        <v>-1</v>
      </c>
      <c r="AU1123" s="75">
        <v>-1</v>
      </c>
      <c r="AV1123" s="75">
        <v>-1</v>
      </c>
      <c r="AW1123" s="123">
        <v>1</v>
      </c>
      <c r="AX1123" s="516"/>
      <c r="AY1123" s="75">
        <v>0</v>
      </c>
      <c r="AZ1123" s="77" t="s">
        <v>5971</v>
      </c>
      <c r="BA1123" s="78" t="s">
        <v>5971</v>
      </c>
      <c r="BB1123" s="78" t="s">
        <v>5971</v>
      </c>
      <c r="BC1123" s="78" t="s">
        <v>5971</v>
      </c>
      <c r="BD1123" s="78" t="s">
        <v>5971</v>
      </c>
      <c r="BE1123" s="78" t="s">
        <v>5971</v>
      </c>
      <c r="BF1123" s="78" t="s">
        <v>5971</v>
      </c>
      <c r="BG1123" s="78" t="s">
        <v>5971</v>
      </c>
      <c r="BH1123" s="75" t="s">
        <v>5971</v>
      </c>
      <c r="BI1123" s="295" t="s">
        <v>16</v>
      </c>
      <c r="BJ1123" s="546" t="s">
        <v>16</v>
      </c>
      <c r="BK1123" s="294" t="s">
        <v>16</v>
      </c>
      <c r="BL1123" s="157" t="s">
        <v>16</v>
      </c>
      <c r="BM1123" s="548" t="s">
        <v>2343</v>
      </c>
      <c r="BN1123" s="548" t="s">
        <v>4161</v>
      </c>
      <c r="BO1123" s="157" t="s">
        <v>4390</v>
      </c>
      <c r="BP1123" s="548" t="s">
        <v>4391</v>
      </c>
      <c r="BQ1123" s="157" t="s">
        <v>4389</v>
      </c>
      <c r="BR1123" s="157"/>
    </row>
    <row r="1124" spans="1:70" x14ac:dyDescent="0.25">
      <c r="A1124" s="19" t="s">
        <v>3686</v>
      </c>
      <c r="B1124" s="37" t="s">
        <v>3386</v>
      </c>
      <c r="C1124" s="90">
        <v>45069.751006944447</v>
      </c>
      <c r="D1124" s="114">
        <v>45069.501006944447</v>
      </c>
      <c r="E1124" s="38">
        <v>45069</v>
      </c>
      <c r="F1124" s="91">
        <v>2023</v>
      </c>
      <c r="G1124" s="93">
        <v>5</v>
      </c>
      <c r="H1124" s="37" t="s">
        <v>598</v>
      </c>
      <c r="I1124" s="37" t="s">
        <v>16</v>
      </c>
      <c r="J1124" s="103">
        <v>-91.823713656740281</v>
      </c>
      <c r="K1124" s="40">
        <v>43.642511124062203</v>
      </c>
      <c r="L1124" s="74"/>
      <c r="M1124" s="272" t="s">
        <v>3387</v>
      </c>
      <c r="N1124" s="74">
        <v>1</v>
      </c>
      <c r="O1124" s="94"/>
      <c r="P1124" s="118">
        <v>1</v>
      </c>
      <c r="Q1124" s="510">
        <v>80</v>
      </c>
      <c r="R1124" s="513">
        <v>180</v>
      </c>
      <c r="S1124" s="41"/>
      <c r="T1124" s="40"/>
      <c r="U1124" s="40">
        <v>7.5</v>
      </c>
      <c r="V1124" s="119">
        <v>1</v>
      </c>
      <c r="W1124" s="40">
        <v>200</v>
      </c>
      <c r="X1124" s="119">
        <v>1</v>
      </c>
      <c r="Y1124" s="40">
        <v>58</v>
      </c>
      <c r="Z1124" s="119">
        <v>1</v>
      </c>
      <c r="AA1124" s="368">
        <v>0</v>
      </c>
      <c r="AB1124" s="535">
        <v>5</v>
      </c>
      <c r="AC1124" s="39" t="s">
        <v>160</v>
      </c>
      <c r="AD1124" s="75" t="s">
        <v>10</v>
      </c>
      <c r="AE1124" s="95">
        <v>0</v>
      </c>
      <c r="AF1124" s="75">
        <v>0</v>
      </c>
      <c r="AG1124" s="75">
        <v>0</v>
      </c>
      <c r="AH1124" s="75">
        <v>0</v>
      </c>
      <c r="AI1124" s="75">
        <v>0</v>
      </c>
      <c r="AJ1124" s="75">
        <v>0</v>
      </c>
      <c r="AK1124" s="75">
        <v>0</v>
      </c>
      <c r="AL1124" s="95">
        <v>1</v>
      </c>
      <c r="AM1124" s="92">
        <v>0</v>
      </c>
      <c r="AN1124" s="79" t="s">
        <v>81</v>
      </c>
      <c r="AO1124" s="75">
        <v>1</v>
      </c>
      <c r="AP1124" s="75" t="s">
        <v>83</v>
      </c>
      <c r="AQ1124" s="122">
        <v>1</v>
      </c>
      <c r="AR1124" s="515" t="s">
        <v>10</v>
      </c>
      <c r="AS1124" s="95">
        <v>0</v>
      </c>
      <c r="AT1124" s="75">
        <v>0</v>
      </c>
      <c r="AU1124" s="75">
        <v>0</v>
      </c>
      <c r="AV1124" s="75">
        <v>0</v>
      </c>
      <c r="AW1124" s="123">
        <v>0</v>
      </c>
      <c r="AX1124" s="516" t="s">
        <v>3388</v>
      </c>
      <c r="AY1124" s="75">
        <v>1</v>
      </c>
      <c r="AZ1124" s="77" t="s">
        <v>131</v>
      </c>
      <c r="BA1124" s="78" t="s">
        <v>131</v>
      </c>
      <c r="BB1124" s="78" t="s">
        <v>131</v>
      </c>
      <c r="BC1124" s="78" t="s">
        <v>131</v>
      </c>
      <c r="BD1124" s="78" t="s">
        <v>131</v>
      </c>
      <c r="BE1124" s="78" t="s">
        <v>131</v>
      </c>
      <c r="BF1124" s="78" t="s">
        <v>131</v>
      </c>
      <c r="BG1124" s="78" t="s">
        <v>132</v>
      </c>
      <c r="BH1124" s="75" t="s">
        <v>5970</v>
      </c>
      <c r="BI1124" s="295" t="s">
        <v>2249</v>
      </c>
      <c r="BJ1124" s="546">
        <v>1</v>
      </c>
      <c r="BK1124" s="294">
        <v>1</v>
      </c>
      <c r="BL1124" s="157">
        <v>1</v>
      </c>
      <c r="BM1124" s="548" t="s">
        <v>1341</v>
      </c>
      <c r="BN1124" s="548" t="s">
        <v>1339</v>
      </c>
      <c r="BO1124" s="157" t="s">
        <v>4418</v>
      </c>
      <c r="BP1124" s="548" t="s">
        <v>4419</v>
      </c>
      <c r="BQ1124" s="157" t="s">
        <v>4232</v>
      </c>
      <c r="BR1124" s="157"/>
    </row>
    <row r="1125" spans="1:70" x14ac:dyDescent="0.25">
      <c r="A1125" s="19" t="s">
        <v>3686</v>
      </c>
      <c r="B1125" s="37" t="s">
        <v>3389</v>
      </c>
      <c r="C1125" s="90">
        <v>45069.727060185185</v>
      </c>
      <c r="D1125" s="114">
        <v>45069.477060185185</v>
      </c>
      <c r="E1125" s="38">
        <v>45069</v>
      </c>
      <c r="F1125" s="91">
        <v>2023</v>
      </c>
      <c r="G1125" s="93">
        <v>5</v>
      </c>
      <c r="H1125" s="37" t="s">
        <v>1361</v>
      </c>
      <c r="I1125" s="37"/>
      <c r="J1125" s="103">
        <v>-92.368023432877237</v>
      </c>
      <c r="K1125" s="40">
        <v>42.49119546268367</v>
      </c>
      <c r="L1125" s="74"/>
      <c r="M1125" s="272" t="s">
        <v>3390</v>
      </c>
      <c r="N1125" s="74">
        <v>1</v>
      </c>
      <c r="O1125" s="94"/>
      <c r="P1125" s="118">
        <v>1</v>
      </c>
      <c r="Q1125" s="510">
        <v>180</v>
      </c>
      <c r="R1125" s="513">
        <v>120</v>
      </c>
      <c r="S1125" s="41"/>
      <c r="T1125" s="40"/>
      <c r="U1125" s="40">
        <v>9</v>
      </c>
      <c r="V1125" s="119">
        <v>0</v>
      </c>
      <c r="W1125" s="40"/>
      <c r="X1125" s="119">
        <v>1</v>
      </c>
      <c r="Y1125" s="40">
        <v>68</v>
      </c>
      <c r="Z1125" s="119">
        <v>1</v>
      </c>
      <c r="AA1125" s="368">
        <v>0</v>
      </c>
      <c r="AB1125" s="535">
        <v>5</v>
      </c>
      <c r="AC1125" s="39" t="s">
        <v>160</v>
      </c>
      <c r="AD1125" s="75" t="s">
        <v>10</v>
      </c>
      <c r="AE1125" s="95">
        <v>0</v>
      </c>
      <c r="AF1125" s="75">
        <v>0</v>
      </c>
      <c r="AG1125" s="75">
        <v>0</v>
      </c>
      <c r="AH1125" s="75">
        <v>0</v>
      </c>
      <c r="AI1125" s="75">
        <v>0</v>
      </c>
      <c r="AJ1125" s="75">
        <v>0</v>
      </c>
      <c r="AK1125" s="75">
        <v>0</v>
      </c>
      <c r="AL1125" s="95">
        <v>1</v>
      </c>
      <c r="AM1125" s="92">
        <v>0</v>
      </c>
      <c r="AN1125" s="79" t="s">
        <v>81</v>
      </c>
      <c r="AO1125" s="75">
        <v>1</v>
      </c>
      <c r="AP1125" s="75" t="s">
        <v>85</v>
      </c>
      <c r="AQ1125" s="122">
        <v>1</v>
      </c>
      <c r="AR1125" s="515" t="s">
        <v>10</v>
      </c>
      <c r="AS1125" s="95">
        <v>0</v>
      </c>
      <c r="AT1125" s="75">
        <v>0</v>
      </c>
      <c r="AU1125" s="75">
        <v>0</v>
      </c>
      <c r="AV1125" s="75">
        <v>0</v>
      </c>
      <c r="AW1125" s="123">
        <v>0</v>
      </c>
      <c r="AX1125" s="516"/>
      <c r="AY1125" s="75">
        <v>0</v>
      </c>
      <c r="AZ1125" s="77" t="s">
        <v>131</v>
      </c>
      <c r="BA1125" s="78" t="s">
        <v>131</v>
      </c>
      <c r="BB1125" s="78" t="s">
        <v>131</v>
      </c>
      <c r="BC1125" s="78" t="s">
        <v>131</v>
      </c>
      <c r="BD1125" s="78" t="s">
        <v>131</v>
      </c>
      <c r="BE1125" s="78" t="s">
        <v>131</v>
      </c>
      <c r="BF1125" s="78" t="s">
        <v>131</v>
      </c>
      <c r="BG1125" s="78" t="s">
        <v>132</v>
      </c>
      <c r="BH1125" s="75" t="s">
        <v>5970</v>
      </c>
      <c r="BI1125" s="295">
        <v>0</v>
      </c>
      <c r="BJ1125" s="546">
        <v>1</v>
      </c>
      <c r="BK1125" s="294" t="s">
        <v>16</v>
      </c>
      <c r="BL1125" s="157" t="s">
        <v>16</v>
      </c>
      <c r="BM1125" s="548" t="s">
        <v>1348</v>
      </c>
      <c r="BN1125" s="548" t="s">
        <v>4160</v>
      </c>
      <c r="BO1125" s="157" t="s">
        <v>4599</v>
      </c>
      <c r="BP1125" s="548" t="s">
        <v>4602</v>
      </c>
      <c r="BQ1125" s="157" t="s">
        <v>4598</v>
      </c>
      <c r="BR1125" s="157"/>
    </row>
    <row r="1126" spans="1:70" x14ac:dyDescent="0.25">
      <c r="A1126" s="19" t="s">
        <v>3686</v>
      </c>
      <c r="B1126" s="37" t="s">
        <v>3391</v>
      </c>
      <c r="C1126" s="90">
        <v>45069.700324074074</v>
      </c>
      <c r="D1126" s="114">
        <v>45069.450324074074</v>
      </c>
      <c r="E1126" s="38">
        <v>45069</v>
      </c>
      <c r="F1126" s="91">
        <v>2023</v>
      </c>
      <c r="G1126" s="93">
        <v>5</v>
      </c>
      <c r="H1126" s="37" t="s">
        <v>2654</v>
      </c>
      <c r="I1126" s="37"/>
      <c r="J1126" s="103">
        <v>-91.546834700000005</v>
      </c>
      <c r="K1126" s="40">
        <v>44.249459000000002</v>
      </c>
      <c r="L1126" s="74"/>
      <c r="M1126" s="272" t="s">
        <v>3392</v>
      </c>
      <c r="N1126" s="74">
        <v>1</v>
      </c>
      <c r="O1126" s="94"/>
      <c r="P1126" s="118">
        <v>1</v>
      </c>
      <c r="Q1126" s="510">
        <v>120</v>
      </c>
      <c r="R1126" s="513">
        <v>120</v>
      </c>
      <c r="S1126" s="41"/>
      <c r="T1126" s="40"/>
      <c r="U1126" s="40">
        <v>7.5</v>
      </c>
      <c r="V1126" s="119">
        <v>0</v>
      </c>
      <c r="W1126" s="40"/>
      <c r="X1126" s="119">
        <v>1</v>
      </c>
      <c r="Y1126" s="40">
        <v>59</v>
      </c>
      <c r="Z1126" s="119">
        <v>1</v>
      </c>
      <c r="AA1126" s="368">
        <v>0</v>
      </c>
      <c r="AB1126" s="535">
        <v>0</v>
      </c>
      <c r="AC1126" s="39" t="s">
        <v>160</v>
      </c>
      <c r="AD1126" s="75" t="s">
        <v>10</v>
      </c>
      <c r="AE1126" s="95">
        <v>0</v>
      </c>
      <c r="AF1126" s="75">
        <v>0</v>
      </c>
      <c r="AG1126" s="75">
        <v>0</v>
      </c>
      <c r="AH1126" s="75">
        <v>0</v>
      </c>
      <c r="AI1126" s="75">
        <v>0</v>
      </c>
      <c r="AJ1126" s="75">
        <v>0</v>
      </c>
      <c r="AK1126" s="75">
        <v>0</v>
      </c>
      <c r="AL1126" s="95">
        <v>1</v>
      </c>
      <c r="AM1126" s="92">
        <v>0</v>
      </c>
      <c r="AN1126" s="79" t="s">
        <v>80</v>
      </c>
      <c r="AO1126" s="75">
        <v>1</v>
      </c>
      <c r="AP1126" s="75" t="s">
        <v>83</v>
      </c>
      <c r="AQ1126" s="122">
        <v>1</v>
      </c>
      <c r="AR1126" s="515" t="s">
        <v>10</v>
      </c>
      <c r="AS1126" s="95">
        <v>0</v>
      </c>
      <c r="AT1126" s="75">
        <v>0</v>
      </c>
      <c r="AU1126" s="75">
        <v>0</v>
      </c>
      <c r="AV1126" s="75">
        <v>0</v>
      </c>
      <c r="AW1126" s="123">
        <v>0</v>
      </c>
      <c r="AX1126" s="516"/>
      <c r="AY1126" s="75">
        <v>0</v>
      </c>
      <c r="AZ1126" s="77" t="s">
        <v>131</v>
      </c>
      <c r="BA1126" s="78" t="s">
        <v>131</v>
      </c>
      <c r="BB1126" s="78" t="s">
        <v>131</v>
      </c>
      <c r="BC1126" s="78" t="s">
        <v>131</v>
      </c>
      <c r="BD1126" s="78" t="s">
        <v>131</v>
      </c>
      <c r="BE1126" s="78" t="s">
        <v>131</v>
      </c>
      <c r="BF1126" s="78" t="s">
        <v>131</v>
      </c>
      <c r="BG1126" s="78" t="s">
        <v>132</v>
      </c>
      <c r="BH1126" s="75" t="s">
        <v>5970</v>
      </c>
      <c r="BI1126" s="295" t="s">
        <v>3990</v>
      </c>
      <c r="BJ1126" s="546" t="s">
        <v>16</v>
      </c>
      <c r="BK1126" s="294" t="s">
        <v>16</v>
      </c>
      <c r="BL1126" s="157" t="s">
        <v>16</v>
      </c>
      <c r="BM1126" s="548" t="s">
        <v>1340</v>
      </c>
      <c r="BN1126" s="548" t="s">
        <v>4158</v>
      </c>
      <c r="BO1126" s="157" t="s">
        <v>4455</v>
      </c>
      <c r="BP1126" s="548" t="s">
        <v>4457</v>
      </c>
      <c r="BQ1126" s="157" t="s">
        <v>4444</v>
      </c>
      <c r="BR1126" s="157"/>
    </row>
    <row r="1127" spans="1:70" x14ac:dyDescent="0.25">
      <c r="A1127" s="19" t="s">
        <v>3686</v>
      </c>
      <c r="B1127" s="37" t="s">
        <v>3393</v>
      </c>
      <c r="C1127" s="90">
        <v>45069.677384259259</v>
      </c>
      <c r="D1127" s="114">
        <v>45069.427384259259</v>
      </c>
      <c r="E1127" s="38">
        <v>45069</v>
      </c>
      <c r="F1127" s="91">
        <v>2023</v>
      </c>
      <c r="G1127" s="93">
        <v>5</v>
      </c>
      <c r="H1127" s="37" t="s">
        <v>1361</v>
      </c>
      <c r="I1127" s="37"/>
      <c r="J1127" s="103">
        <v>-92.793291876141396</v>
      </c>
      <c r="K1127" s="40">
        <v>42.577501075660422</v>
      </c>
      <c r="L1127" s="74"/>
      <c r="M1127" s="272" t="s">
        <v>3394</v>
      </c>
      <c r="N1127" s="74">
        <v>1</v>
      </c>
      <c r="O1127" s="94"/>
      <c r="P1127" s="118">
        <v>1</v>
      </c>
      <c r="Q1127" s="510">
        <v>180</v>
      </c>
      <c r="R1127" s="513">
        <v>180</v>
      </c>
      <c r="S1127" s="41"/>
      <c r="T1127" s="40"/>
      <c r="U1127" s="40">
        <v>8</v>
      </c>
      <c r="V1127" s="119">
        <v>1</v>
      </c>
      <c r="W1127" s="40">
        <v>100</v>
      </c>
      <c r="X1127" s="119">
        <v>1</v>
      </c>
      <c r="Y1127" s="40">
        <v>62</v>
      </c>
      <c r="Z1127" s="119">
        <v>1</v>
      </c>
      <c r="AA1127" s="368">
        <v>0</v>
      </c>
      <c r="AB1127" s="535">
        <v>5</v>
      </c>
      <c r="AC1127" s="39" t="s">
        <v>160</v>
      </c>
      <c r="AD1127" s="75" t="s">
        <v>10</v>
      </c>
      <c r="AE1127" s="95">
        <v>0</v>
      </c>
      <c r="AF1127" s="75">
        <v>0</v>
      </c>
      <c r="AG1127" s="75">
        <v>0</v>
      </c>
      <c r="AH1127" s="75">
        <v>0</v>
      </c>
      <c r="AI1127" s="75">
        <v>0</v>
      </c>
      <c r="AJ1127" s="75">
        <v>0</v>
      </c>
      <c r="AK1127" s="75">
        <v>0</v>
      </c>
      <c r="AL1127" s="95">
        <v>1</v>
      </c>
      <c r="AM1127" s="92">
        <v>0</v>
      </c>
      <c r="AN1127" s="79" t="s">
        <v>81</v>
      </c>
      <c r="AO1127" s="75">
        <v>1</v>
      </c>
      <c r="AP1127" s="75" t="s">
        <v>84</v>
      </c>
      <c r="AQ1127" s="122">
        <v>1</v>
      </c>
      <c r="AR1127" s="515" t="s">
        <v>10</v>
      </c>
      <c r="AS1127" s="95">
        <v>0</v>
      </c>
      <c r="AT1127" s="75">
        <v>0</v>
      </c>
      <c r="AU1127" s="75">
        <v>0</v>
      </c>
      <c r="AV1127" s="75">
        <v>0</v>
      </c>
      <c r="AW1127" s="123">
        <v>0</v>
      </c>
      <c r="AX1127" s="516"/>
      <c r="AY1127" s="75">
        <v>0</v>
      </c>
      <c r="AZ1127" s="77" t="s">
        <v>131</v>
      </c>
      <c r="BA1127" s="78" t="s">
        <v>131</v>
      </c>
      <c r="BB1127" s="78" t="s">
        <v>131</v>
      </c>
      <c r="BC1127" s="78" t="s">
        <v>131</v>
      </c>
      <c r="BD1127" s="78" t="s">
        <v>131</v>
      </c>
      <c r="BE1127" s="78" t="s">
        <v>131</v>
      </c>
      <c r="BF1127" s="78" t="s">
        <v>131</v>
      </c>
      <c r="BG1127" s="78" t="s">
        <v>132</v>
      </c>
      <c r="BH1127" s="75" t="s">
        <v>5970</v>
      </c>
      <c r="BI1127" s="295" t="s">
        <v>307</v>
      </c>
      <c r="BJ1127" s="546">
        <v>1</v>
      </c>
      <c r="BK1127" s="294" t="s">
        <v>16</v>
      </c>
      <c r="BL1127" s="157" t="s">
        <v>16</v>
      </c>
      <c r="BM1127" s="548" t="s">
        <v>1348</v>
      </c>
      <c r="BN1127" s="548" t="s">
        <v>4160</v>
      </c>
      <c r="BO1127" s="157" t="s">
        <v>4604</v>
      </c>
      <c r="BP1127" s="548" t="s">
        <v>4605</v>
      </c>
      <c r="BQ1127" s="157" t="s">
        <v>4603</v>
      </c>
      <c r="BR1127" s="157"/>
    </row>
    <row r="1128" spans="1:70" x14ac:dyDescent="0.25">
      <c r="A1128" s="19" t="s">
        <v>3686</v>
      </c>
      <c r="B1128" s="37" t="s">
        <v>3395</v>
      </c>
      <c r="C1128" s="90">
        <v>45069.670115740744</v>
      </c>
      <c r="D1128" s="114">
        <v>45069.420115740744</v>
      </c>
      <c r="E1128" s="38">
        <v>45069</v>
      </c>
      <c r="F1128" s="91">
        <v>2023</v>
      </c>
      <c r="G1128" s="93">
        <v>5</v>
      </c>
      <c r="H1128" s="37" t="s">
        <v>2654</v>
      </c>
      <c r="I1128" s="37" t="s">
        <v>146</v>
      </c>
      <c r="J1128" s="103">
        <v>-91.363173900000007</v>
      </c>
      <c r="K1128" s="40">
        <v>44.440390999999998</v>
      </c>
      <c r="L1128" s="74"/>
      <c r="M1128" s="272" t="s">
        <v>3396</v>
      </c>
      <c r="N1128" s="74">
        <v>1</v>
      </c>
      <c r="O1128" s="94"/>
      <c r="P1128" s="118">
        <v>1</v>
      </c>
      <c r="Q1128" s="510">
        <v>40</v>
      </c>
      <c r="R1128" s="513">
        <v>60</v>
      </c>
      <c r="S1128" s="41"/>
      <c r="T1128" s="40"/>
      <c r="U1128" s="40">
        <v>7</v>
      </c>
      <c r="V1128" s="119">
        <v>0</v>
      </c>
      <c r="W1128" s="40"/>
      <c r="X1128" s="119">
        <v>1</v>
      </c>
      <c r="Y1128" s="40">
        <v>55</v>
      </c>
      <c r="Z1128" s="119">
        <v>1</v>
      </c>
      <c r="AA1128" s="368">
        <v>0</v>
      </c>
      <c r="AB1128" s="535">
        <v>2</v>
      </c>
      <c r="AC1128" s="39" t="s">
        <v>160</v>
      </c>
      <c r="AD1128" s="75" t="s">
        <v>10</v>
      </c>
      <c r="AE1128" s="95">
        <v>0</v>
      </c>
      <c r="AF1128" s="75">
        <v>0</v>
      </c>
      <c r="AG1128" s="75">
        <v>0</v>
      </c>
      <c r="AH1128" s="75">
        <v>0</v>
      </c>
      <c r="AI1128" s="75">
        <v>0</v>
      </c>
      <c r="AJ1128" s="75">
        <v>0</v>
      </c>
      <c r="AK1128" s="75">
        <v>0</v>
      </c>
      <c r="AL1128" s="95">
        <v>1</v>
      </c>
      <c r="AM1128" s="92">
        <v>0</v>
      </c>
      <c r="AN1128" s="79" t="s">
        <v>80</v>
      </c>
      <c r="AO1128" s="75">
        <v>1</v>
      </c>
      <c r="AP1128" s="75" t="s">
        <v>83</v>
      </c>
      <c r="AQ1128" s="122">
        <v>1</v>
      </c>
      <c r="AR1128" s="515" t="s">
        <v>10</v>
      </c>
      <c r="AS1128" s="95">
        <v>0</v>
      </c>
      <c r="AT1128" s="75">
        <v>0</v>
      </c>
      <c r="AU1128" s="75">
        <v>0</v>
      </c>
      <c r="AV1128" s="75">
        <v>0</v>
      </c>
      <c r="AW1128" s="123">
        <v>0</v>
      </c>
      <c r="AX1128" s="516"/>
      <c r="AY1128" s="75">
        <v>0</v>
      </c>
      <c r="AZ1128" s="77" t="s">
        <v>131</v>
      </c>
      <c r="BA1128" s="78" t="s">
        <v>131</v>
      </c>
      <c r="BB1128" s="78" t="s">
        <v>131</v>
      </c>
      <c r="BC1128" s="78" t="s">
        <v>131</v>
      </c>
      <c r="BD1128" s="78" t="s">
        <v>131</v>
      </c>
      <c r="BE1128" s="78" t="s">
        <v>131</v>
      </c>
      <c r="BF1128" s="78" t="s">
        <v>131</v>
      </c>
      <c r="BG1128" s="78" t="s">
        <v>132</v>
      </c>
      <c r="BH1128" s="75" t="s">
        <v>5970</v>
      </c>
      <c r="BI1128" s="295" t="s">
        <v>3984</v>
      </c>
      <c r="BJ1128" s="546">
        <v>1</v>
      </c>
      <c r="BK1128" s="294">
        <v>1</v>
      </c>
      <c r="BL1128" s="157">
        <v>1</v>
      </c>
      <c r="BM1128" s="548" t="s">
        <v>1340</v>
      </c>
      <c r="BN1128" s="548" t="s">
        <v>4158</v>
      </c>
      <c r="BO1128" s="157" t="s">
        <v>4489</v>
      </c>
      <c r="BP1128" s="548" t="s">
        <v>4490</v>
      </c>
      <c r="BQ1128" s="157" t="s">
        <v>4485</v>
      </c>
      <c r="BR1128" s="157"/>
    </row>
    <row r="1129" spans="1:70" x14ac:dyDescent="0.25">
      <c r="A1129" s="19" t="s">
        <v>3686</v>
      </c>
      <c r="B1129" s="37" t="s">
        <v>3397</v>
      </c>
      <c r="C1129" s="90">
        <v>45069.656400462962</v>
      </c>
      <c r="D1129" s="114">
        <v>45069.406400462962</v>
      </c>
      <c r="E1129" s="38">
        <v>45069</v>
      </c>
      <c r="F1129" s="91">
        <v>2023</v>
      </c>
      <c r="G1129" s="93">
        <v>5</v>
      </c>
      <c r="H1129" s="37" t="s">
        <v>1361</v>
      </c>
      <c r="I1129" s="37" t="s">
        <v>16</v>
      </c>
      <c r="J1129" s="103">
        <v>-92.771095912989963</v>
      </c>
      <c r="K1129" s="40">
        <v>42.560653821604845</v>
      </c>
      <c r="L1129" s="74"/>
      <c r="M1129" s="272" t="s">
        <v>3398</v>
      </c>
      <c r="N1129" s="74">
        <v>1</v>
      </c>
      <c r="O1129" s="94"/>
      <c r="P1129" s="118">
        <v>1</v>
      </c>
      <c r="Q1129" s="510">
        <v>180</v>
      </c>
      <c r="R1129" s="513">
        <v>180</v>
      </c>
      <c r="S1129" s="41"/>
      <c r="T1129" s="40"/>
      <c r="U1129" s="40">
        <v>9</v>
      </c>
      <c r="V1129" s="119">
        <v>1</v>
      </c>
      <c r="W1129" s="40">
        <v>0</v>
      </c>
      <c r="X1129" s="119">
        <v>1</v>
      </c>
      <c r="Y1129" s="40">
        <v>57</v>
      </c>
      <c r="Z1129" s="119">
        <v>1</v>
      </c>
      <c r="AA1129" s="368">
        <v>0</v>
      </c>
      <c r="AB1129" s="535">
        <v>10</v>
      </c>
      <c r="AC1129" s="39" t="s">
        <v>160</v>
      </c>
      <c r="AD1129" s="75" t="s">
        <v>16</v>
      </c>
      <c r="AE1129" s="95">
        <v>-1</v>
      </c>
      <c r="AF1129" s="75">
        <v>-1</v>
      </c>
      <c r="AG1129" s="75">
        <v>-1</v>
      </c>
      <c r="AH1129" s="75">
        <v>-1</v>
      </c>
      <c r="AI1129" s="75">
        <v>-1</v>
      </c>
      <c r="AJ1129" s="75">
        <v>-1</v>
      </c>
      <c r="AK1129" s="75">
        <v>-1</v>
      </c>
      <c r="AL1129" s="95">
        <v>-1</v>
      </c>
      <c r="AM1129" s="92">
        <v>1</v>
      </c>
      <c r="AN1129" s="79" t="s">
        <v>81</v>
      </c>
      <c r="AO1129" s="75">
        <v>1</v>
      </c>
      <c r="AP1129" s="75" t="s">
        <v>83</v>
      </c>
      <c r="AQ1129" s="122">
        <v>1</v>
      </c>
      <c r="AR1129" s="515" t="s">
        <v>10</v>
      </c>
      <c r="AS1129" s="95">
        <v>0</v>
      </c>
      <c r="AT1129" s="75">
        <v>0</v>
      </c>
      <c r="AU1129" s="75">
        <v>0</v>
      </c>
      <c r="AV1129" s="75">
        <v>0</v>
      </c>
      <c r="AW1129" s="123">
        <v>0</v>
      </c>
      <c r="AX1129" s="516"/>
      <c r="AY1129" s="75">
        <v>0</v>
      </c>
      <c r="AZ1129" s="77" t="s">
        <v>5971</v>
      </c>
      <c r="BA1129" s="78" t="s">
        <v>5971</v>
      </c>
      <c r="BB1129" s="78" t="s">
        <v>5971</v>
      </c>
      <c r="BC1129" s="78" t="s">
        <v>5971</v>
      </c>
      <c r="BD1129" s="78" t="s">
        <v>5971</v>
      </c>
      <c r="BE1129" s="78" t="s">
        <v>5971</v>
      </c>
      <c r="BF1129" s="78" t="s">
        <v>5971</v>
      </c>
      <c r="BG1129" s="78" t="s">
        <v>5971</v>
      </c>
      <c r="BH1129" s="75" t="s">
        <v>5971</v>
      </c>
      <c r="BI1129" s="295" t="s">
        <v>4110</v>
      </c>
      <c r="BJ1129" s="546" t="s">
        <v>16</v>
      </c>
      <c r="BK1129" s="294" t="s">
        <v>16</v>
      </c>
      <c r="BL1129" s="157" t="s">
        <v>16</v>
      </c>
      <c r="BM1129" s="548" t="s">
        <v>1348</v>
      </c>
      <c r="BN1129" s="548" t="s">
        <v>4160</v>
      </c>
      <c r="BO1129" s="157" t="s">
        <v>4607</v>
      </c>
      <c r="BP1129" s="548" t="s">
        <v>4608</v>
      </c>
      <c r="BQ1129" s="157" t="s">
        <v>4606</v>
      </c>
      <c r="BR1129" s="157"/>
    </row>
    <row r="1130" spans="1:70" x14ac:dyDescent="0.25">
      <c r="A1130" s="19" t="s">
        <v>3686</v>
      </c>
      <c r="B1130" s="37" t="s">
        <v>3399</v>
      </c>
      <c r="C1130" s="90">
        <v>45069.65284722222</v>
      </c>
      <c r="D1130" s="114">
        <v>45069.40284722222</v>
      </c>
      <c r="E1130" s="38">
        <v>45069</v>
      </c>
      <c r="F1130" s="91">
        <v>2023</v>
      </c>
      <c r="G1130" s="93">
        <v>5</v>
      </c>
      <c r="H1130" s="37" t="s">
        <v>2654</v>
      </c>
      <c r="I1130" s="37"/>
      <c r="J1130" s="103">
        <v>-91.408470600000001</v>
      </c>
      <c r="K1130" s="40">
        <v>44.450797299999998</v>
      </c>
      <c r="L1130" s="74"/>
      <c r="M1130" s="272" t="s">
        <v>16</v>
      </c>
      <c r="N1130" s="74">
        <v>0</v>
      </c>
      <c r="O1130" s="94"/>
      <c r="P1130" s="118">
        <v>1</v>
      </c>
      <c r="Q1130" s="510">
        <v>40</v>
      </c>
      <c r="R1130" s="513">
        <v>0</v>
      </c>
      <c r="S1130" s="41"/>
      <c r="T1130" s="40"/>
      <c r="U1130" s="40">
        <v>7</v>
      </c>
      <c r="V1130" s="119">
        <v>0</v>
      </c>
      <c r="W1130" s="40"/>
      <c r="X1130" s="119">
        <v>1</v>
      </c>
      <c r="Y1130" s="40">
        <v>52</v>
      </c>
      <c r="Z1130" s="119">
        <v>1</v>
      </c>
      <c r="AA1130" s="368">
        <v>0</v>
      </c>
      <c r="AB1130" s="535">
        <v>0</v>
      </c>
      <c r="AC1130" s="39"/>
      <c r="AD1130" s="75" t="s">
        <v>16</v>
      </c>
      <c r="AE1130" s="95">
        <v>-1</v>
      </c>
      <c r="AF1130" s="75">
        <v>-1</v>
      </c>
      <c r="AG1130" s="75">
        <v>-1</v>
      </c>
      <c r="AH1130" s="75">
        <v>-1</v>
      </c>
      <c r="AI1130" s="75">
        <v>-1</v>
      </c>
      <c r="AJ1130" s="75">
        <v>-1</v>
      </c>
      <c r="AK1130" s="75">
        <v>-1</v>
      </c>
      <c r="AL1130" s="95">
        <v>-1</v>
      </c>
      <c r="AM1130" s="92">
        <v>1</v>
      </c>
      <c r="AN1130" s="79"/>
      <c r="AO1130" s="75">
        <v>0</v>
      </c>
      <c r="AP1130" s="75"/>
      <c r="AQ1130" s="122">
        <v>0</v>
      </c>
      <c r="AR1130" s="515" t="s">
        <v>16</v>
      </c>
      <c r="AS1130" s="95">
        <v>-1</v>
      </c>
      <c r="AT1130" s="75">
        <v>-1</v>
      </c>
      <c r="AU1130" s="75">
        <v>-1</v>
      </c>
      <c r="AV1130" s="75">
        <v>-1</v>
      </c>
      <c r="AW1130" s="123">
        <v>1</v>
      </c>
      <c r="AX1130" s="516"/>
      <c r="AY1130" s="75">
        <v>0</v>
      </c>
      <c r="AZ1130" s="77" t="s">
        <v>5971</v>
      </c>
      <c r="BA1130" s="78" t="s">
        <v>5971</v>
      </c>
      <c r="BB1130" s="78" t="s">
        <v>5971</v>
      </c>
      <c r="BC1130" s="78" t="s">
        <v>5971</v>
      </c>
      <c r="BD1130" s="78" t="s">
        <v>5971</v>
      </c>
      <c r="BE1130" s="78" t="s">
        <v>5971</v>
      </c>
      <c r="BF1130" s="78" t="s">
        <v>5971</v>
      </c>
      <c r="BG1130" s="78" t="s">
        <v>5971</v>
      </c>
      <c r="BH1130" s="75" t="s">
        <v>5971</v>
      </c>
      <c r="BI1130" s="295" t="s">
        <v>3983</v>
      </c>
      <c r="BJ1130" s="546">
        <v>1</v>
      </c>
      <c r="BK1130" s="294">
        <v>1</v>
      </c>
      <c r="BL1130" s="157">
        <v>1</v>
      </c>
      <c r="BM1130" s="548" t="s">
        <v>1340</v>
      </c>
      <c r="BN1130" s="548" t="s">
        <v>4158</v>
      </c>
      <c r="BO1130" s="157" t="s">
        <v>4609</v>
      </c>
      <c r="BP1130" s="548" t="s">
        <v>3983</v>
      </c>
      <c r="BQ1130" s="157" t="s">
        <v>4485</v>
      </c>
      <c r="BR1130" s="157"/>
    </row>
    <row r="1131" spans="1:70" x14ac:dyDescent="0.25">
      <c r="A1131" s="19" t="s">
        <v>3686</v>
      </c>
      <c r="B1131" s="37" t="s">
        <v>3400</v>
      </c>
      <c r="C1131" s="90">
        <v>45068.967812499999</v>
      </c>
      <c r="D1131" s="114">
        <v>45068.717812499999</v>
      </c>
      <c r="E1131" s="38">
        <v>45068</v>
      </c>
      <c r="F1131" s="91">
        <v>2023</v>
      </c>
      <c r="G1131" s="93">
        <v>5</v>
      </c>
      <c r="H1131" s="37" t="s">
        <v>2548</v>
      </c>
      <c r="I1131" s="37"/>
      <c r="J1131" s="103">
        <v>-90.771014408314201</v>
      </c>
      <c r="K1131" s="40">
        <v>43.125458997605023</v>
      </c>
      <c r="L1131" s="74"/>
      <c r="M1131" s="272" t="s">
        <v>3401</v>
      </c>
      <c r="N1131" s="74">
        <v>1</v>
      </c>
      <c r="O1131" s="94"/>
      <c r="P1131" s="118">
        <v>1</v>
      </c>
      <c r="Q1131" s="510">
        <v>180</v>
      </c>
      <c r="R1131" s="513">
        <v>120</v>
      </c>
      <c r="S1131" s="41"/>
      <c r="T1131" s="40"/>
      <c r="U1131" s="40">
        <v>7</v>
      </c>
      <c r="V1131" s="119">
        <v>0</v>
      </c>
      <c r="W1131" s="40"/>
      <c r="X1131" s="119">
        <v>1</v>
      </c>
      <c r="Y1131" s="40">
        <v>64</v>
      </c>
      <c r="Z1131" s="119">
        <v>1</v>
      </c>
      <c r="AA1131" s="368">
        <v>0</v>
      </c>
      <c r="AB1131" s="535">
        <v>2</v>
      </c>
      <c r="AC1131" s="39" t="s">
        <v>160</v>
      </c>
      <c r="AD1131" s="75" t="s">
        <v>16</v>
      </c>
      <c r="AE1131" s="95">
        <v>-1</v>
      </c>
      <c r="AF1131" s="75">
        <v>-1</v>
      </c>
      <c r="AG1131" s="75">
        <v>-1</v>
      </c>
      <c r="AH1131" s="75">
        <v>-1</v>
      </c>
      <c r="AI1131" s="75">
        <v>-1</v>
      </c>
      <c r="AJ1131" s="75">
        <v>-1</v>
      </c>
      <c r="AK1131" s="75">
        <v>-1</v>
      </c>
      <c r="AL1131" s="95">
        <v>-1</v>
      </c>
      <c r="AM1131" s="92">
        <v>1</v>
      </c>
      <c r="AN1131" s="79"/>
      <c r="AO1131" s="75">
        <v>0</v>
      </c>
      <c r="AP1131" s="75"/>
      <c r="AQ1131" s="122">
        <v>0</v>
      </c>
      <c r="AR1131" s="515" t="s">
        <v>16</v>
      </c>
      <c r="AS1131" s="95">
        <v>-1</v>
      </c>
      <c r="AT1131" s="75">
        <v>-1</v>
      </c>
      <c r="AU1131" s="75">
        <v>-1</v>
      </c>
      <c r="AV1131" s="75">
        <v>-1</v>
      </c>
      <c r="AW1131" s="123">
        <v>1</v>
      </c>
      <c r="AX1131" s="516"/>
      <c r="AY1131" s="75">
        <v>0</v>
      </c>
      <c r="AZ1131" s="77" t="s">
        <v>5971</v>
      </c>
      <c r="BA1131" s="78" t="s">
        <v>5971</v>
      </c>
      <c r="BB1131" s="78" t="s">
        <v>5971</v>
      </c>
      <c r="BC1131" s="78" t="s">
        <v>5971</v>
      </c>
      <c r="BD1131" s="78" t="s">
        <v>5971</v>
      </c>
      <c r="BE1131" s="78" t="s">
        <v>5971</v>
      </c>
      <c r="BF1131" s="78" t="s">
        <v>5971</v>
      </c>
      <c r="BG1131" s="78" t="s">
        <v>5971</v>
      </c>
      <c r="BH1131" s="75" t="s">
        <v>5971</v>
      </c>
      <c r="BI1131" s="295" t="s">
        <v>2244</v>
      </c>
      <c r="BJ1131" s="546">
        <v>1</v>
      </c>
      <c r="BK1131" s="294" t="s">
        <v>16</v>
      </c>
      <c r="BL1131" s="157" t="s">
        <v>16</v>
      </c>
      <c r="BM1131" s="548" t="s">
        <v>1345</v>
      </c>
      <c r="BN1131" s="548" t="s">
        <v>4158</v>
      </c>
      <c r="BO1131" s="157" t="s">
        <v>4553</v>
      </c>
      <c r="BP1131" s="548" t="s">
        <v>4554</v>
      </c>
      <c r="BQ1131" s="157" t="s">
        <v>4299</v>
      </c>
      <c r="BR1131" s="157"/>
    </row>
    <row r="1132" spans="1:70" x14ac:dyDescent="0.25">
      <c r="A1132" s="19" t="s">
        <v>3686</v>
      </c>
      <c r="B1132" s="37" t="s">
        <v>3402</v>
      </c>
      <c r="C1132" s="90">
        <v>45068.949386574073</v>
      </c>
      <c r="D1132" s="114">
        <v>45068.699386574073</v>
      </c>
      <c r="E1132" s="38">
        <v>45068</v>
      </c>
      <c r="F1132" s="91">
        <v>2023</v>
      </c>
      <c r="G1132" s="93">
        <v>5</v>
      </c>
      <c r="H1132" s="37" t="s">
        <v>2548</v>
      </c>
      <c r="I1132" s="37"/>
      <c r="J1132" s="103">
        <v>-90.739790667866799</v>
      </c>
      <c r="K1132" s="40">
        <v>43.186656942350389</v>
      </c>
      <c r="L1132" s="74"/>
      <c r="M1132" s="272" t="s">
        <v>3403</v>
      </c>
      <c r="N1132" s="74">
        <v>1</v>
      </c>
      <c r="O1132" s="94"/>
      <c r="P1132" s="118">
        <v>1</v>
      </c>
      <c r="Q1132" s="510">
        <v>180</v>
      </c>
      <c r="R1132" s="513">
        <v>120</v>
      </c>
      <c r="S1132" s="41"/>
      <c r="T1132" s="40"/>
      <c r="U1132" s="40">
        <v>8</v>
      </c>
      <c r="V1132" s="119">
        <v>0</v>
      </c>
      <c r="W1132" s="40"/>
      <c r="X1132" s="119">
        <v>1</v>
      </c>
      <c r="Y1132" s="40">
        <v>65</v>
      </c>
      <c r="Z1132" s="119">
        <v>1</v>
      </c>
      <c r="AA1132" s="368">
        <v>0</v>
      </c>
      <c r="AB1132" s="535">
        <v>2</v>
      </c>
      <c r="AC1132" s="39" t="s">
        <v>160</v>
      </c>
      <c r="AD1132" s="75" t="s">
        <v>16</v>
      </c>
      <c r="AE1132" s="95">
        <v>-1</v>
      </c>
      <c r="AF1132" s="75">
        <v>-1</v>
      </c>
      <c r="AG1132" s="75">
        <v>-1</v>
      </c>
      <c r="AH1132" s="75">
        <v>-1</v>
      </c>
      <c r="AI1132" s="75">
        <v>-1</v>
      </c>
      <c r="AJ1132" s="75">
        <v>-1</v>
      </c>
      <c r="AK1132" s="75">
        <v>-1</v>
      </c>
      <c r="AL1132" s="95">
        <v>-1</v>
      </c>
      <c r="AM1132" s="92">
        <v>1</v>
      </c>
      <c r="AN1132" s="79" t="s">
        <v>80</v>
      </c>
      <c r="AO1132" s="75">
        <v>1</v>
      </c>
      <c r="AP1132" s="75" t="s">
        <v>84</v>
      </c>
      <c r="AQ1132" s="122">
        <v>1</v>
      </c>
      <c r="AR1132" s="515" t="s">
        <v>10</v>
      </c>
      <c r="AS1132" s="95">
        <v>0</v>
      </c>
      <c r="AT1132" s="75">
        <v>0</v>
      </c>
      <c r="AU1132" s="75">
        <v>0</v>
      </c>
      <c r="AV1132" s="75">
        <v>0</v>
      </c>
      <c r="AW1132" s="123">
        <v>0</v>
      </c>
      <c r="AX1132" s="516"/>
      <c r="AY1132" s="75">
        <v>0</v>
      </c>
      <c r="AZ1132" s="77" t="s">
        <v>5971</v>
      </c>
      <c r="BA1132" s="78" t="s">
        <v>5971</v>
      </c>
      <c r="BB1132" s="78" t="s">
        <v>5971</v>
      </c>
      <c r="BC1132" s="78" t="s">
        <v>5971</v>
      </c>
      <c r="BD1132" s="78" t="s">
        <v>5971</v>
      </c>
      <c r="BE1132" s="78" t="s">
        <v>5971</v>
      </c>
      <c r="BF1132" s="78" t="s">
        <v>5971</v>
      </c>
      <c r="BG1132" s="78" t="s">
        <v>5971</v>
      </c>
      <c r="BH1132" s="75" t="s">
        <v>5971</v>
      </c>
      <c r="BI1132" s="295" t="s">
        <v>4103</v>
      </c>
      <c r="BJ1132" s="546">
        <v>1</v>
      </c>
      <c r="BK1132" s="294" t="s">
        <v>16</v>
      </c>
      <c r="BL1132" s="157" t="s">
        <v>16</v>
      </c>
      <c r="BM1132" s="548" t="s">
        <v>1345</v>
      </c>
      <c r="BN1132" s="548" t="s">
        <v>4158</v>
      </c>
      <c r="BO1132" s="157" t="s">
        <v>4560</v>
      </c>
      <c r="BP1132" s="548" t="s">
        <v>4103</v>
      </c>
      <c r="BQ1132" s="157" t="s">
        <v>4299</v>
      </c>
      <c r="BR1132" s="157"/>
    </row>
    <row r="1133" spans="1:70" x14ac:dyDescent="0.25">
      <c r="A1133" s="19" t="s">
        <v>3686</v>
      </c>
      <c r="B1133" s="37" t="s">
        <v>3404</v>
      </c>
      <c r="C1133" s="90">
        <v>45068.93990740741</v>
      </c>
      <c r="D1133" s="114">
        <v>45068.68990740741</v>
      </c>
      <c r="E1133" s="38">
        <v>45068</v>
      </c>
      <c r="F1133" s="91">
        <v>2023</v>
      </c>
      <c r="G1133" s="93">
        <v>5</v>
      </c>
      <c r="H1133" s="37" t="s">
        <v>2548</v>
      </c>
      <c r="I1133" s="37"/>
      <c r="J1133" s="103">
        <v>-90.720387988028335</v>
      </c>
      <c r="K1133" s="40">
        <v>43.17303469252942</v>
      </c>
      <c r="L1133" s="74"/>
      <c r="M1133" s="272" t="s">
        <v>3405</v>
      </c>
      <c r="N1133" s="74">
        <v>1</v>
      </c>
      <c r="O1133" s="94"/>
      <c r="P1133" s="118">
        <v>1</v>
      </c>
      <c r="Q1133" s="510">
        <v>180</v>
      </c>
      <c r="R1133" s="513">
        <v>120</v>
      </c>
      <c r="S1133" s="41"/>
      <c r="T1133" s="40"/>
      <c r="U1133" s="40">
        <v>7</v>
      </c>
      <c r="V1133" s="119">
        <v>0</v>
      </c>
      <c r="W1133" s="40"/>
      <c r="X1133" s="119">
        <v>0</v>
      </c>
      <c r="Y1133" s="40"/>
      <c r="Z1133" s="119">
        <v>1</v>
      </c>
      <c r="AA1133" s="368">
        <v>0</v>
      </c>
      <c r="AB1133" s="535">
        <v>0</v>
      </c>
      <c r="AC1133" s="39" t="s">
        <v>160</v>
      </c>
      <c r="AD1133" s="75" t="s">
        <v>16</v>
      </c>
      <c r="AE1133" s="95">
        <v>-1</v>
      </c>
      <c r="AF1133" s="75">
        <v>-1</v>
      </c>
      <c r="AG1133" s="75">
        <v>-1</v>
      </c>
      <c r="AH1133" s="75">
        <v>-1</v>
      </c>
      <c r="AI1133" s="75">
        <v>-1</v>
      </c>
      <c r="AJ1133" s="75">
        <v>-1</v>
      </c>
      <c r="AK1133" s="75">
        <v>-1</v>
      </c>
      <c r="AL1133" s="95">
        <v>-1</v>
      </c>
      <c r="AM1133" s="92">
        <v>1</v>
      </c>
      <c r="AN1133" s="79" t="s">
        <v>80</v>
      </c>
      <c r="AO1133" s="75">
        <v>1</v>
      </c>
      <c r="AP1133" s="75" t="s">
        <v>83</v>
      </c>
      <c r="AQ1133" s="122">
        <v>1</v>
      </c>
      <c r="AR1133" s="515" t="s">
        <v>10</v>
      </c>
      <c r="AS1133" s="95">
        <v>0</v>
      </c>
      <c r="AT1133" s="75">
        <v>0</v>
      </c>
      <c r="AU1133" s="75">
        <v>0</v>
      </c>
      <c r="AV1133" s="75">
        <v>0</v>
      </c>
      <c r="AW1133" s="123">
        <v>0</v>
      </c>
      <c r="AX1133" s="516"/>
      <c r="AY1133" s="75">
        <v>0</v>
      </c>
      <c r="AZ1133" s="77" t="s">
        <v>5971</v>
      </c>
      <c r="BA1133" s="78" t="s">
        <v>5971</v>
      </c>
      <c r="BB1133" s="78" t="s">
        <v>5971</v>
      </c>
      <c r="BC1133" s="78" t="s">
        <v>5971</v>
      </c>
      <c r="BD1133" s="78" t="s">
        <v>5971</v>
      </c>
      <c r="BE1133" s="78" t="s">
        <v>5971</v>
      </c>
      <c r="BF1133" s="78" t="s">
        <v>5971</v>
      </c>
      <c r="BG1133" s="78" t="s">
        <v>5971</v>
      </c>
      <c r="BH1133" s="75" t="s">
        <v>5971</v>
      </c>
      <c r="BI1133" s="295" t="s">
        <v>4103</v>
      </c>
      <c r="BJ1133" s="546">
        <v>1</v>
      </c>
      <c r="BK1133" s="294" t="s">
        <v>16</v>
      </c>
      <c r="BL1133" s="157" t="s">
        <v>16</v>
      </c>
      <c r="BM1133" s="548" t="s">
        <v>1345</v>
      </c>
      <c r="BN1133" s="548" t="s">
        <v>4158</v>
      </c>
      <c r="BO1133" s="157" t="s">
        <v>4560</v>
      </c>
      <c r="BP1133" s="548" t="s">
        <v>4103</v>
      </c>
      <c r="BQ1133" s="157" t="s">
        <v>4299</v>
      </c>
      <c r="BR1133" s="157"/>
    </row>
    <row r="1134" spans="1:70" x14ac:dyDescent="0.25">
      <c r="A1134" s="19" t="s">
        <v>3686</v>
      </c>
      <c r="B1134" s="37" t="s">
        <v>3406</v>
      </c>
      <c r="C1134" s="90">
        <v>45068.929618055554</v>
      </c>
      <c r="D1134" s="114">
        <v>45068.679618055554</v>
      </c>
      <c r="E1134" s="38">
        <v>45068</v>
      </c>
      <c r="F1134" s="91">
        <v>2023</v>
      </c>
      <c r="G1134" s="93">
        <v>5</v>
      </c>
      <c r="H1134" s="37" t="s">
        <v>606</v>
      </c>
      <c r="I1134" s="37"/>
      <c r="J1134" s="103">
        <v>-92.145854737318857</v>
      </c>
      <c r="K1134" s="40">
        <v>44.238964161145056</v>
      </c>
      <c r="L1134" s="74"/>
      <c r="M1134" s="272" t="s">
        <v>3407</v>
      </c>
      <c r="N1134" s="74">
        <v>1</v>
      </c>
      <c r="O1134" s="94"/>
      <c r="P1134" s="118">
        <v>1</v>
      </c>
      <c r="Q1134" s="510">
        <v>180</v>
      </c>
      <c r="R1134" s="513">
        <v>180</v>
      </c>
      <c r="S1134" s="41"/>
      <c r="T1134" s="40"/>
      <c r="U1134" s="40">
        <v>8</v>
      </c>
      <c r="V1134" s="119">
        <v>1</v>
      </c>
      <c r="W1134" s="40">
        <v>100</v>
      </c>
      <c r="X1134" s="119">
        <v>1</v>
      </c>
      <c r="Y1134" s="40">
        <v>61</v>
      </c>
      <c r="Z1134" s="119">
        <v>1</v>
      </c>
      <c r="AA1134" s="368">
        <v>0</v>
      </c>
      <c r="AB1134" s="535">
        <v>2</v>
      </c>
      <c r="AC1134" s="39" t="s">
        <v>160</v>
      </c>
      <c r="AD1134" s="75" t="s">
        <v>8</v>
      </c>
      <c r="AE1134" s="95">
        <v>0</v>
      </c>
      <c r="AF1134" s="75">
        <v>1</v>
      </c>
      <c r="AG1134" s="75">
        <v>0</v>
      </c>
      <c r="AH1134" s="75">
        <v>0</v>
      </c>
      <c r="AI1134" s="75">
        <v>0</v>
      </c>
      <c r="AJ1134" s="75">
        <v>0</v>
      </c>
      <c r="AK1134" s="75">
        <v>0</v>
      </c>
      <c r="AL1134" s="95">
        <v>0</v>
      </c>
      <c r="AM1134" s="92">
        <v>0</v>
      </c>
      <c r="AN1134" s="79" t="s">
        <v>80</v>
      </c>
      <c r="AO1134" s="75">
        <v>1</v>
      </c>
      <c r="AP1134" s="75" t="s">
        <v>83</v>
      </c>
      <c r="AQ1134" s="122">
        <v>1</v>
      </c>
      <c r="AR1134" s="515" t="s">
        <v>10</v>
      </c>
      <c r="AS1134" s="95">
        <v>0</v>
      </c>
      <c r="AT1134" s="75">
        <v>0</v>
      </c>
      <c r="AU1134" s="75">
        <v>0</v>
      </c>
      <c r="AV1134" s="75">
        <v>0</v>
      </c>
      <c r="AW1134" s="123">
        <v>0</v>
      </c>
      <c r="AX1134" s="516" t="s">
        <v>3408</v>
      </c>
      <c r="AY1134" s="75">
        <v>1</v>
      </c>
      <c r="AZ1134" s="77" t="s">
        <v>131</v>
      </c>
      <c r="BA1134" s="78" t="s">
        <v>132</v>
      </c>
      <c r="BB1134" s="78" t="s">
        <v>131</v>
      </c>
      <c r="BC1134" s="78" t="s">
        <v>131</v>
      </c>
      <c r="BD1134" s="78" t="s">
        <v>131</v>
      </c>
      <c r="BE1134" s="78" t="s">
        <v>131</v>
      </c>
      <c r="BF1134" s="78" t="s">
        <v>131</v>
      </c>
      <c r="BG1134" s="78" t="s">
        <v>131</v>
      </c>
      <c r="BH1134" s="75" t="s">
        <v>5970</v>
      </c>
      <c r="BI1134" s="295" t="s">
        <v>317</v>
      </c>
      <c r="BJ1134" s="546">
        <v>1</v>
      </c>
      <c r="BK1134" s="294">
        <v>1</v>
      </c>
      <c r="BL1134" s="157">
        <v>1</v>
      </c>
      <c r="BM1134" s="548" t="s">
        <v>1339</v>
      </c>
      <c r="BN1134" s="548" t="s">
        <v>1339</v>
      </c>
      <c r="BO1134" s="157" t="s">
        <v>4358</v>
      </c>
      <c r="BP1134" s="548" t="s">
        <v>317</v>
      </c>
      <c r="BQ1134" s="157" t="s">
        <v>4330</v>
      </c>
      <c r="BR1134" s="157"/>
    </row>
    <row r="1135" spans="1:70" x14ac:dyDescent="0.25">
      <c r="A1135" s="19" t="s">
        <v>3686</v>
      </c>
      <c r="B1135" s="37" t="s">
        <v>3409</v>
      </c>
      <c r="C1135" s="90">
        <v>45068.820277777777</v>
      </c>
      <c r="D1135" s="114">
        <v>45068.570277777777</v>
      </c>
      <c r="E1135" s="38">
        <v>45068</v>
      </c>
      <c r="F1135" s="91">
        <v>2023</v>
      </c>
      <c r="G1135" s="93">
        <v>5</v>
      </c>
      <c r="H1135" s="37" t="s">
        <v>1386</v>
      </c>
      <c r="I1135" s="37"/>
      <c r="J1135" s="103">
        <v>-91.413082200000005</v>
      </c>
      <c r="K1135" s="40">
        <v>43.540504900000002</v>
      </c>
      <c r="L1135" s="74"/>
      <c r="M1135" s="272" t="s">
        <v>3410</v>
      </c>
      <c r="N1135" s="74">
        <v>1</v>
      </c>
      <c r="O1135" s="94"/>
      <c r="P1135" s="118">
        <v>1</v>
      </c>
      <c r="Q1135" s="510">
        <v>120</v>
      </c>
      <c r="R1135" s="513">
        <v>120</v>
      </c>
      <c r="S1135" s="41"/>
      <c r="T1135" s="40"/>
      <c r="U1135" s="40">
        <v>7.5</v>
      </c>
      <c r="V1135" s="119">
        <v>1</v>
      </c>
      <c r="W1135" s="40">
        <v>0</v>
      </c>
      <c r="X1135" s="119">
        <v>1</v>
      </c>
      <c r="Y1135" s="40">
        <v>61</v>
      </c>
      <c r="Z1135" s="119">
        <v>1</v>
      </c>
      <c r="AA1135" s="368">
        <v>0</v>
      </c>
      <c r="AB1135" s="535">
        <v>5</v>
      </c>
      <c r="AC1135" s="39" t="s">
        <v>160</v>
      </c>
      <c r="AD1135" s="75" t="s">
        <v>10</v>
      </c>
      <c r="AE1135" s="95">
        <v>0</v>
      </c>
      <c r="AF1135" s="75">
        <v>0</v>
      </c>
      <c r="AG1135" s="75">
        <v>0</v>
      </c>
      <c r="AH1135" s="75">
        <v>0</v>
      </c>
      <c r="AI1135" s="75">
        <v>0</v>
      </c>
      <c r="AJ1135" s="75">
        <v>0</v>
      </c>
      <c r="AK1135" s="75">
        <v>0</v>
      </c>
      <c r="AL1135" s="95">
        <v>1</v>
      </c>
      <c r="AM1135" s="92">
        <v>0</v>
      </c>
      <c r="AN1135" s="79" t="s">
        <v>80</v>
      </c>
      <c r="AO1135" s="75">
        <v>1</v>
      </c>
      <c r="AP1135" s="75" t="s">
        <v>83</v>
      </c>
      <c r="AQ1135" s="122">
        <v>1</v>
      </c>
      <c r="AR1135" s="515" t="s">
        <v>10</v>
      </c>
      <c r="AS1135" s="95">
        <v>0</v>
      </c>
      <c r="AT1135" s="75">
        <v>0</v>
      </c>
      <c r="AU1135" s="75">
        <v>0</v>
      </c>
      <c r="AV1135" s="75">
        <v>0</v>
      </c>
      <c r="AW1135" s="123">
        <v>0</v>
      </c>
      <c r="AX1135" s="516"/>
      <c r="AY1135" s="75">
        <v>0</v>
      </c>
      <c r="AZ1135" s="77" t="s">
        <v>131</v>
      </c>
      <c r="BA1135" s="78" t="s">
        <v>131</v>
      </c>
      <c r="BB1135" s="78" t="s">
        <v>131</v>
      </c>
      <c r="BC1135" s="78" t="s">
        <v>131</v>
      </c>
      <c r="BD1135" s="78" t="s">
        <v>131</v>
      </c>
      <c r="BE1135" s="78" t="s">
        <v>131</v>
      </c>
      <c r="BF1135" s="78" t="s">
        <v>131</v>
      </c>
      <c r="BG1135" s="78" t="s">
        <v>132</v>
      </c>
      <c r="BH1135" s="75" t="s">
        <v>5970</v>
      </c>
      <c r="BI1135" s="295" t="s">
        <v>4020</v>
      </c>
      <c r="BJ1135" s="546">
        <v>1</v>
      </c>
      <c r="BK1135" s="294">
        <v>1</v>
      </c>
      <c r="BL1135" s="157">
        <v>1</v>
      </c>
      <c r="BM1135" s="548" t="s">
        <v>1341</v>
      </c>
      <c r="BN1135" s="548" t="s">
        <v>1339</v>
      </c>
      <c r="BO1135" s="157" t="s">
        <v>4239</v>
      </c>
      <c r="BP1135" s="548" t="s">
        <v>4240</v>
      </c>
      <c r="BQ1135" s="157" t="s">
        <v>4238</v>
      </c>
      <c r="BR1135" s="157"/>
    </row>
    <row r="1136" spans="1:70" x14ac:dyDescent="0.25">
      <c r="A1136" s="19" t="s">
        <v>3686</v>
      </c>
      <c r="B1136" s="37" t="s">
        <v>3411</v>
      </c>
      <c r="C1136" s="90">
        <v>45068.770381944443</v>
      </c>
      <c r="D1136" s="114">
        <v>45068.520381944443</v>
      </c>
      <c r="E1136" s="38">
        <v>45068</v>
      </c>
      <c r="F1136" s="91">
        <v>2023</v>
      </c>
      <c r="G1136" s="93">
        <v>5</v>
      </c>
      <c r="H1136" s="37" t="s">
        <v>2548</v>
      </c>
      <c r="I1136" s="37"/>
      <c r="J1136" s="103">
        <v>-90.877150667159441</v>
      </c>
      <c r="K1136" s="40">
        <v>43.392912613882217</v>
      </c>
      <c r="L1136" s="74"/>
      <c r="M1136" s="272" t="s">
        <v>3412</v>
      </c>
      <c r="N1136" s="74">
        <v>1</v>
      </c>
      <c r="O1136" s="94"/>
      <c r="P1136" s="118">
        <v>1</v>
      </c>
      <c r="Q1136" s="510">
        <v>180</v>
      </c>
      <c r="R1136" s="513">
        <v>120</v>
      </c>
      <c r="S1136" s="41"/>
      <c r="T1136" s="40"/>
      <c r="U1136" s="40">
        <v>8</v>
      </c>
      <c r="V1136" s="119">
        <v>0</v>
      </c>
      <c r="W1136" s="40"/>
      <c r="X1136" s="119">
        <v>1</v>
      </c>
      <c r="Y1136" s="40">
        <v>62</v>
      </c>
      <c r="Z1136" s="119">
        <v>1</v>
      </c>
      <c r="AA1136" s="368">
        <v>0</v>
      </c>
      <c r="AB1136" s="535">
        <v>0</v>
      </c>
      <c r="AC1136" s="39" t="s">
        <v>160</v>
      </c>
      <c r="AD1136" s="75" t="s">
        <v>551</v>
      </c>
      <c r="AE1136" s="95">
        <v>0</v>
      </c>
      <c r="AF1136" s="75">
        <v>0</v>
      </c>
      <c r="AG1136" s="75">
        <v>0</v>
      </c>
      <c r="AH1136" s="75">
        <v>0</v>
      </c>
      <c r="AI1136" s="75">
        <v>1</v>
      </c>
      <c r="AJ1136" s="75">
        <v>0</v>
      </c>
      <c r="AK1136" s="75">
        <v>0</v>
      </c>
      <c r="AL1136" s="95">
        <v>0</v>
      </c>
      <c r="AM1136" s="92">
        <v>0</v>
      </c>
      <c r="AN1136" s="79" t="s">
        <v>80</v>
      </c>
      <c r="AO1136" s="75">
        <v>1</v>
      </c>
      <c r="AP1136" s="75" t="s">
        <v>83</v>
      </c>
      <c r="AQ1136" s="122">
        <v>1</v>
      </c>
      <c r="AR1136" s="515" t="s">
        <v>10</v>
      </c>
      <c r="AS1136" s="95">
        <v>0</v>
      </c>
      <c r="AT1136" s="75">
        <v>0</v>
      </c>
      <c r="AU1136" s="75">
        <v>0</v>
      </c>
      <c r="AV1136" s="75">
        <v>0</v>
      </c>
      <c r="AW1136" s="123">
        <v>0</v>
      </c>
      <c r="AX1136" s="516"/>
      <c r="AY1136" s="75">
        <v>0</v>
      </c>
      <c r="AZ1136" s="77" t="s">
        <v>131</v>
      </c>
      <c r="BA1136" s="78" t="s">
        <v>131</v>
      </c>
      <c r="BB1136" s="78" t="s">
        <v>131</v>
      </c>
      <c r="BC1136" s="78" t="s">
        <v>131</v>
      </c>
      <c r="BD1136" s="78" t="s">
        <v>132</v>
      </c>
      <c r="BE1136" s="78" t="s">
        <v>131</v>
      </c>
      <c r="BF1136" s="78" t="s">
        <v>131</v>
      </c>
      <c r="BG1136" s="78" t="s">
        <v>131</v>
      </c>
      <c r="BH1136" s="75" t="s">
        <v>5970</v>
      </c>
      <c r="BI1136" s="295" t="s">
        <v>16</v>
      </c>
      <c r="BJ1136" s="546">
        <v>1</v>
      </c>
      <c r="BK1136" s="294">
        <v>1</v>
      </c>
      <c r="BL1136" s="157">
        <v>1</v>
      </c>
      <c r="BM1136" s="548" t="s">
        <v>1342</v>
      </c>
      <c r="BN1136" s="548" t="s">
        <v>4158</v>
      </c>
      <c r="BO1136" s="157" t="s">
        <v>4401</v>
      </c>
      <c r="BP1136" s="548" t="s">
        <v>4063</v>
      </c>
      <c r="BQ1136" s="157" t="s">
        <v>4303</v>
      </c>
      <c r="BR1136" s="157"/>
    </row>
    <row r="1137" spans="1:70" x14ac:dyDescent="0.25">
      <c r="A1137" s="19" t="s">
        <v>3686</v>
      </c>
      <c r="B1137" s="37" t="s">
        <v>3413</v>
      </c>
      <c r="C1137" s="90">
        <v>45068.769687499997</v>
      </c>
      <c r="D1137" s="114">
        <v>45068.519687499997</v>
      </c>
      <c r="E1137" s="38">
        <v>45068</v>
      </c>
      <c r="F1137" s="91">
        <v>2023</v>
      </c>
      <c r="G1137" s="93">
        <v>5</v>
      </c>
      <c r="H1137" s="37" t="s">
        <v>1386</v>
      </c>
      <c r="I1137" s="37"/>
      <c r="J1137" s="103">
        <v>-91.373371800000001</v>
      </c>
      <c r="K1137" s="40">
        <v>43.6035465</v>
      </c>
      <c r="L1137" s="74"/>
      <c r="M1137" s="272" t="s">
        <v>3414</v>
      </c>
      <c r="N1137" s="74">
        <v>1</v>
      </c>
      <c r="O1137" s="94"/>
      <c r="P1137" s="118">
        <v>1</v>
      </c>
      <c r="Q1137" s="510">
        <v>180</v>
      </c>
      <c r="R1137" s="513">
        <v>180</v>
      </c>
      <c r="S1137" s="41"/>
      <c r="T1137" s="40"/>
      <c r="U1137" s="40">
        <v>8</v>
      </c>
      <c r="V1137" s="119">
        <v>1</v>
      </c>
      <c r="W1137" s="40">
        <v>0</v>
      </c>
      <c r="X1137" s="119">
        <v>1</v>
      </c>
      <c r="Y1137" s="40">
        <v>61</v>
      </c>
      <c r="Z1137" s="119">
        <v>1</v>
      </c>
      <c r="AA1137" s="368">
        <v>0</v>
      </c>
      <c r="AB1137" s="535">
        <v>2</v>
      </c>
      <c r="AC1137" s="39" t="s">
        <v>160</v>
      </c>
      <c r="AD1137" s="75" t="s">
        <v>10</v>
      </c>
      <c r="AE1137" s="95">
        <v>0</v>
      </c>
      <c r="AF1137" s="75">
        <v>0</v>
      </c>
      <c r="AG1137" s="75">
        <v>0</v>
      </c>
      <c r="AH1137" s="75">
        <v>0</v>
      </c>
      <c r="AI1137" s="75">
        <v>0</v>
      </c>
      <c r="AJ1137" s="75">
        <v>0</v>
      </c>
      <c r="AK1137" s="75">
        <v>0</v>
      </c>
      <c r="AL1137" s="95">
        <v>1</v>
      </c>
      <c r="AM1137" s="92">
        <v>0</v>
      </c>
      <c r="AN1137" s="79" t="s">
        <v>80</v>
      </c>
      <c r="AO1137" s="75">
        <v>1</v>
      </c>
      <c r="AP1137" s="75" t="s">
        <v>83</v>
      </c>
      <c r="AQ1137" s="122">
        <v>1</v>
      </c>
      <c r="AR1137" s="515" t="s">
        <v>10</v>
      </c>
      <c r="AS1137" s="95">
        <v>0</v>
      </c>
      <c r="AT1137" s="75">
        <v>0</v>
      </c>
      <c r="AU1137" s="75">
        <v>0</v>
      </c>
      <c r="AV1137" s="75">
        <v>0</v>
      </c>
      <c r="AW1137" s="123">
        <v>0</v>
      </c>
      <c r="AX1137" s="516"/>
      <c r="AY1137" s="75">
        <v>0</v>
      </c>
      <c r="AZ1137" s="77" t="s">
        <v>131</v>
      </c>
      <c r="BA1137" s="78" t="s">
        <v>131</v>
      </c>
      <c r="BB1137" s="78" t="s">
        <v>131</v>
      </c>
      <c r="BC1137" s="78" t="s">
        <v>131</v>
      </c>
      <c r="BD1137" s="78" t="s">
        <v>131</v>
      </c>
      <c r="BE1137" s="78" t="s">
        <v>131</v>
      </c>
      <c r="BF1137" s="78" t="s">
        <v>131</v>
      </c>
      <c r="BG1137" s="78" t="s">
        <v>132</v>
      </c>
      <c r="BH1137" s="75" t="s">
        <v>5970</v>
      </c>
      <c r="BI1137" s="295" t="s">
        <v>4019</v>
      </c>
      <c r="BJ1137" s="546">
        <v>1</v>
      </c>
      <c r="BK1137" s="294" t="s">
        <v>16</v>
      </c>
      <c r="BL1137" s="157" t="s">
        <v>16</v>
      </c>
      <c r="BM1137" s="548" t="s">
        <v>1341</v>
      </c>
      <c r="BN1137" s="548" t="s">
        <v>1339</v>
      </c>
      <c r="BO1137" s="157" t="s">
        <v>4235</v>
      </c>
      <c r="BP1137" s="548" t="s">
        <v>4237</v>
      </c>
      <c r="BQ1137" s="157" t="s">
        <v>4234</v>
      </c>
      <c r="BR1137" s="157"/>
    </row>
    <row r="1138" spans="1:70" x14ac:dyDescent="0.25">
      <c r="A1138" s="19" t="s">
        <v>3686</v>
      </c>
      <c r="B1138" s="37" t="s">
        <v>3415</v>
      </c>
      <c r="C1138" s="90">
        <v>45068.742650462962</v>
      </c>
      <c r="D1138" s="114">
        <v>45068.492650462962</v>
      </c>
      <c r="E1138" s="38">
        <v>45068</v>
      </c>
      <c r="F1138" s="91">
        <v>2023</v>
      </c>
      <c r="G1138" s="93">
        <v>5</v>
      </c>
      <c r="H1138" s="37" t="s">
        <v>2548</v>
      </c>
      <c r="I1138" s="37"/>
      <c r="J1138" s="103">
        <v>-90.874301579533366</v>
      </c>
      <c r="K1138" s="40">
        <v>43.394489123413763</v>
      </c>
      <c r="L1138" s="74"/>
      <c r="M1138" s="272" t="s">
        <v>3416</v>
      </c>
      <c r="N1138" s="74">
        <v>1</v>
      </c>
      <c r="O1138" s="94"/>
      <c r="P1138" s="118">
        <v>1</v>
      </c>
      <c r="Q1138" s="510">
        <v>180</v>
      </c>
      <c r="R1138" s="513">
        <v>120</v>
      </c>
      <c r="S1138" s="41"/>
      <c r="T1138" s="40"/>
      <c r="U1138" s="40">
        <v>7</v>
      </c>
      <c r="V1138" s="119">
        <v>0</v>
      </c>
      <c r="W1138" s="40"/>
      <c r="X1138" s="119">
        <v>1</v>
      </c>
      <c r="Y1138" s="40">
        <v>61</v>
      </c>
      <c r="Z1138" s="119">
        <v>1</v>
      </c>
      <c r="AA1138" s="368">
        <v>0</v>
      </c>
      <c r="AB1138" s="535">
        <v>0</v>
      </c>
      <c r="AC1138" s="39" t="s">
        <v>160</v>
      </c>
      <c r="AD1138" s="75" t="s">
        <v>10</v>
      </c>
      <c r="AE1138" s="95">
        <v>0</v>
      </c>
      <c r="AF1138" s="75">
        <v>0</v>
      </c>
      <c r="AG1138" s="75">
        <v>0</v>
      </c>
      <c r="AH1138" s="75">
        <v>0</v>
      </c>
      <c r="AI1138" s="75">
        <v>0</v>
      </c>
      <c r="AJ1138" s="75">
        <v>0</v>
      </c>
      <c r="AK1138" s="75">
        <v>0</v>
      </c>
      <c r="AL1138" s="95">
        <v>1</v>
      </c>
      <c r="AM1138" s="92">
        <v>0</v>
      </c>
      <c r="AN1138" s="79" t="s">
        <v>80</v>
      </c>
      <c r="AO1138" s="75">
        <v>1</v>
      </c>
      <c r="AP1138" s="75" t="s">
        <v>83</v>
      </c>
      <c r="AQ1138" s="122">
        <v>1</v>
      </c>
      <c r="AR1138" s="515" t="s">
        <v>10</v>
      </c>
      <c r="AS1138" s="95">
        <v>0</v>
      </c>
      <c r="AT1138" s="75">
        <v>0</v>
      </c>
      <c r="AU1138" s="75">
        <v>0</v>
      </c>
      <c r="AV1138" s="75">
        <v>0</v>
      </c>
      <c r="AW1138" s="123">
        <v>0</v>
      </c>
      <c r="AX1138" s="516"/>
      <c r="AY1138" s="75">
        <v>0</v>
      </c>
      <c r="AZ1138" s="77" t="s">
        <v>131</v>
      </c>
      <c r="BA1138" s="78" t="s">
        <v>131</v>
      </c>
      <c r="BB1138" s="78" t="s">
        <v>131</v>
      </c>
      <c r="BC1138" s="78" t="s">
        <v>131</v>
      </c>
      <c r="BD1138" s="78" t="s">
        <v>131</v>
      </c>
      <c r="BE1138" s="78" t="s">
        <v>131</v>
      </c>
      <c r="BF1138" s="78" t="s">
        <v>131</v>
      </c>
      <c r="BG1138" s="78" t="s">
        <v>132</v>
      </c>
      <c r="BH1138" s="75" t="s">
        <v>5970</v>
      </c>
      <c r="BI1138" s="295" t="s">
        <v>4065</v>
      </c>
      <c r="BJ1138" s="546">
        <v>1</v>
      </c>
      <c r="BK1138" s="294">
        <v>1</v>
      </c>
      <c r="BL1138" s="157">
        <v>1</v>
      </c>
      <c r="BM1138" s="548" t="s">
        <v>1342</v>
      </c>
      <c r="BN1138" s="548" t="s">
        <v>4158</v>
      </c>
      <c r="BO1138" s="157" t="s">
        <v>4401</v>
      </c>
      <c r="BP1138" s="548" t="s">
        <v>4063</v>
      </c>
      <c r="BQ1138" s="157" t="s">
        <v>4303</v>
      </c>
      <c r="BR1138" s="157"/>
    </row>
    <row r="1139" spans="1:70" x14ac:dyDescent="0.25">
      <c r="A1139" s="19" t="s">
        <v>3686</v>
      </c>
      <c r="B1139" s="37" t="s">
        <v>3417</v>
      </c>
      <c r="C1139" s="90">
        <v>45068.739803240744</v>
      </c>
      <c r="D1139" s="114">
        <v>45068.489803240744</v>
      </c>
      <c r="E1139" s="38">
        <v>45068</v>
      </c>
      <c r="F1139" s="91">
        <v>2023</v>
      </c>
      <c r="G1139" s="93">
        <v>5</v>
      </c>
      <c r="H1139" s="37" t="s">
        <v>1386</v>
      </c>
      <c r="I1139" s="37"/>
      <c r="J1139" s="103">
        <v>-91.580993800000002</v>
      </c>
      <c r="K1139" s="40">
        <v>43.641395500000002</v>
      </c>
      <c r="L1139" s="74"/>
      <c r="M1139" s="272" t="s">
        <v>3418</v>
      </c>
      <c r="N1139" s="74">
        <v>1</v>
      </c>
      <c r="O1139" s="94"/>
      <c r="P1139" s="118">
        <v>1</v>
      </c>
      <c r="Q1139" s="510">
        <v>120</v>
      </c>
      <c r="R1139" s="513">
        <v>180</v>
      </c>
      <c r="S1139" s="41"/>
      <c r="T1139" s="40"/>
      <c r="U1139" s="40">
        <v>7</v>
      </c>
      <c r="V1139" s="119">
        <v>1</v>
      </c>
      <c r="W1139" s="40">
        <v>0</v>
      </c>
      <c r="X1139" s="119">
        <v>1</v>
      </c>
      <c r="Y1139" s="40">
        <v>51</v>
      </c>
      <c r="Z1139" s="119">
        <v>1</v>
      </c>
      <c r="AA1139" s="368">
        <v>0</v>
      </c>
      <c r="AB1139" s="535">
        <v>0</v>
      </c>
      <c r="AC1139" s="39" t="s">
        <v>160</v>
      </c>
      <c r="AD1139" s="75" t="s">
        <v>10</v>
      </c>
      <c r="AE1139" s="95">
        <v>0</v>
      </c>
      <c r="AF1139" s="75">
        <v>0</v>
      </c>
      <c r="AG1139" s="75">
        <v>0</v>
      </c>
      <c r="AH1139" s="75">
        <v>0</v>
      </c>
      <c r="AI1139" s="75">
        <v>0</v>
      </c>
      <c r="AJ1139" s="75">
        <v>0</v>
      </c>
      <c r="AK1139" s="75">
        <v>0</v>
      </c>
      <c r="AL1139" s="95">
        <v>1</v>
      </c>
      <c r="AM1139" s="92">
        <v>0</v>
      </c>
      <c r="AN1139" s="79" t="s">
        <v>80</v>
      </c>
      <c r="AO1139" s="75">
        <v>1</v>
      </c>
      <c r="AP1139" s="75" t="s">
        <v>83</v>
      </c>
      <c r="AQ1139" s="122">
        <v>1</v>
      </c>
      <c r="AR1139" s="515" t="s">
        <v>10</v>
      </c>
      <c r="AS1139" s="95">
        <v>0</v>
      </c>
      <c r="AT1139" s="75">
        <v>0</v>
      </c>
      <c r="AU1139" s="75">
        <v>0</v>
      </c>
      <c r="AV1139" s="75">
        <v>0</v>
      </c>
      <c r="AW1139" s="123">
        <v>0</v>
      </c>
      <c r="AX1139" s="516"/>
      <c r="AY1139" s="75">
        <v>0</v>
      </c>
      <c r="AZ1139" s="77" t="s">
        <v>131</v>
      </c>
      <c r="BA1139" s="78" t="s">
        <v>131</v>
      </c>
      <c r="BB1139" s="78" t="s">
        <v>131</v>
      </c>
      <c r="BC1139" s="78" t="s">
        <v>131</v>
      </c>
      <c r="BD1139" s="78" t="s">
        <v>131</v>
      </c>
      <c r="BE1139" s="78" t="s">
        <v>131</v>
      </c>
      <c r="BF1139" s="78" t="s">
        <v>131</v>
      </c>
      <c r="BG1139" s="78" t="s">
        <v>132</v>
      </c>
      <c r="BH1139" s="75" t="s">
        <v>5970</v>
      </c>
      <c r="BI1139" s="295" t="s">
        <v>2259</v>
      </c>
      <c r="BJ1139" s="546">
        <v>1</v>
      </c>
      <c r="BK1139" s="294" t="s">
        <v>16</v>
      </c>
      <c r="BL1139" s="157" t="s">
        <v>16</v>
      </c>
      <c r="BM1139" s="548" t="s">
        <v>1341</v>
      </c>
      <c r="BN1139" s="548" t="s">
        <v>1339</v>
      </c>
      <c r="BO1139" s="157" t="s">
        <v>4233</v>
      </c>
      <c r="BP1139" s="548" t="s">
        <v>307</v>
      </c>
      <c r="BQ1139" s="157" t="s">
        <v>4232</v>
      </c>
      <c r="BR1139" s="157"/>
    </row>
    <row r="1140" spans="1:70" x14ac:dyDescent="0.25">
      <c r="A1140" s="19" t="s">
        <v>3686</v>
      </c>
      <c r="B1140" s="37" t="s">
        <v>3419</v>
      </c>
      <c r="C1140" s="90">
        <v>45068.721678240741</v>
      </c>
      <c r="D1140" s="114">
        <v>45068.471678240741</v>
      </c>
      <c r="E1140" s="38">
        <v>45068</v>
      </c>
      <c r="F1140" s="91">
        <v>2023</v>
      </c>
      <c r="G1140" s="93">
        <v>5</v>
      </c>
      <c r="H1140" s="37" t="s">
        <v>2548</v>
      </c>
      <c r="I1140" s="37"/>
      <c r="J1140" s="103">
        <v>-90.863378550587754</v>
      </c>
      <c r="K1140" s="40">
        <v>43.394311716711826</v>
      </c>
      <c r="L1140" s="74"/>
      <c r="M1140" s="272" t="s">
        <v>3420</v>
      </c>
      <c r="N1140" s="74">
        <v>1</v>
      </c>
      <c r="O1140" s="94"/>
      <c r="P1140" s="118">
        <v>1</v>
      </c>
      <c r="Q1140" s="510">
        <v>180</v>
      </c>
      <c r="R1140" s="513">
        <v>180</v>
      </c>
      <c r="S1140" s="41"/>
      <c r="T1140" s="40"/>
      <c r="U1140" s="40">
        <v>7</v>
      </c>
      <c r="V1140" s="119">
        <v>0</v>
      </c>
      <c r="W1140" s="40"/>
      <c r="X1140" s="119">
        <v>1</v>
      </c>
      <c r="Y1140" s="40">
        <v>56</v>
      </c>
      <c r="Z1140" s="119">
        <v>1</v>
      </c>
      <c r="AA1140" s="368">
        <v>0</v>
      </c>
      <c r="AB1140" s="535">
        <v>2</v>
      </c>
      <c r="AC1140" s="39" t="s">
        <v>160</v>
      </c>
      <c r="AD1140" s="75" t="s">
        <v>10</v>
      </c>
      <c r="AE1140" s="95">
        <v>0</v>
      </c>
      <c r="AF1140" s="75">
        <v>0</v>
      </c>
      <c r="AG1140" s="75">
        <v>0</v>
      </c>
      <c r="AH1140" s="75">
        <v>0</v>
      </c>
      <c r="AI1140" s="75">
        <v>0</v>
      </c>
      <c r="AJ1140" s="75">
        <v>0</v>
      </c>
      <c r="AK1140" s="75">
        <v>0</v>
      </c>
      <c r="AL1140" s="95">
        <v>1</v>
      </c>
      <c r="AM1140" s="92">
        <v>0</v>
      </c>
      <c r="AN1140" s="79" t="s">
        <v>80</v>
      </c>
      <c r="AO1140" s="75">
        <v>1</v>
      </c>
      <c r="AP1140" s="75" t="s">
        <v>83</v>
      </c>
      <c r="AQ1140" s="122">
        <v>1</v>
      </c>
      <c r="AR1140" s="515" t="s">
        <v>10</v>
      </c>
      <c r="AS1140" s="95">
        <v>0</v>
      </c>
      <c r="AT1140" s="75">
        <v>0</v>
      </c>
      <c r="AU1140" s="75">
        <v>0</v>
      </c>
      <c r="AV1140" s="75">
        <v>0</v>
      </c>
      <c r="AW1140" s="123">
        <v>0</v>
      </c>
      <c r="AX1140" s="516"/>
      <c r="AY1140" s="75">
        <v>0</v>
      </c>
      <c r="AZ1140" s="77" t="s">
        <v>131</v>
      </c>
      <c r="BA1140" s="78" t="s">
        <v>131</v>
      </c>
      <c r="BB1140" s="78" t="s">
        <v>131</v>
      </c>
      <c r="BC1140" s="78" t="s">
        <v>131</v>
      </c>
      <c r="BD1140" s="78" t="s">
        <v>131</v>
      </c>
      <c r="BE1140" s="78" t="s">
        <v>131</v>
      </c>
      <c r="BF1140" s="78" t="s">
        <v>131</v>
      </c>
      <c r="BG1140" s="78" t="s">
        <v>132</v>
      </c>
      <c r="BH1140" s="75" t="s">
        <v>5970</v>
      </c>
      <c r="BI1140" s="295">
        <v>0</v>
      </c>
      <c r="BJ1140" s="546" t="s">
        <v>16</v>
      </c>
      <c r="BK1140" s="294" t="s">
        <v>16</v>
      </c>
      <c r="BL1140" s="157" t="s">
        <v>16</v>
      </c>
      <c r="BM1140" s="548" t="s">
        <v>1342</v>
      </c>
      <c r="BN1140" s="548" t="s">
        <v>4158</v>
      </c>
      <c r="BO1140" s="157" t="s">
        <v>4401</v>
      </c>
      <c r="BP1140" s="548" t="s">
        <v>4063</v>
      </c>
      <c r="BQ1140" s="157" t="s">
        <v>4303</v>
      </c>
      <c r="BR1140" s="157"/>
    </row>
    <row r="1141" spans="1:70" x14ac:dyDescent="0.25">
      <c r="A1141" s="19" t="s">
        <v>3686</v>
      </c>
      <c r="B1141" s="37" t="s">
        <v>3421</v>
      </c>
      <c r="C1141" s="90">
        <v>45068.706689814811</v>
      </c>
      <c r="D1141" s="114">
        <v>45068.456689814811</v>
      </c>
      <c r="E1141" s="38">
        <v>45068</v>
      </c>
      <c r="F1141" s="91">
        <v>2023</v>
      </c>
      <c r="G1141" s="93">
        <v>5</v>
      </c>
      <c r="H1141" s="37" t="s">
        <v>1386</v>
      </c>
      <c r="I1141" s="37"/>
      <c r="J1141" s="103">
        <v>-91.569807499999996</v>
      </c>
      <c r="K1141" s="40">
        <v>43.502267699999997</v>
      </c>
      <c r="L1141" s="74"/>
      <c r="M1141" s="272" t="s">
        <v>3422</v>
      </c>
      <c r="N1141" s="74">
        <v>1</v>
      </c>
      <c r="O1141" s="94"/>
      <c r="P1141" s="118">
        <v>1</v>
      </c>
      <c r="Q1141" s="510">
        <v>180</v>
      </c>
      <c r="R1141" s="513">
        <v>180</v>
      </c>
      <c r="S1141" s="41"/>
      <c r="T1141" s="40"/>
      <c r="U1141" s="40">
        <v>7.5</v>
      </c>
      <c r="V1141" s="119">
        <v>1</v>
      </c>
      <c r="W1141" s="40">
        <v>0</v>
      </c>
      <c r="X1141" s="119">
        <v>1</v>
      </c>
      <c r="Y1141" s="40">
        <v>55</v>
      </c>
      <c r="Z1141" s="119">
        <v>1</v>
      </c>
      <c r="AA1141" s="368">
        <v>0</v>
      </c>
      <c r="AB1141" s="535">
        <v>5</v>
      </c>
      <c r="AC1141" s="39" t="s">
        <v>160</v>
      </c>
      <c r="AD1141" s="75" t="s">
        <v>10</v>
      </c>
      <c r="AE1141" s="95">
        <v>0</v>
      </c>
      <c r="AF1141" s="75">
        <v>0</v>
      </c>
      <c r="AG1141" s="75">
        <v>0</v>
      </c>
      <c r="AH1141" s="75">
        <v>0</v>
      </c>
      <c r="AI1141" s="75">
        <v>0</v>
      </c>
      <c r="AJ1141" s="75">
        <v>0</v>
      </c>
      <c r="AK1141" s="75">
        <v>0</v>
      </c>
      <c r="AL1141" s="95">
        <v>1</v>
      </c>
      <c r="AM1141" s="92">
        <v>0</v>
      </c>
      <c r="AN1141" s="79" t="s">
        <v>80</v>
      </c>
      <c r="AO1141" s="75">
        <v>1</v>
      </c>
      <c r="AP1141" s="75" t="s">
        <v>83</v>
      </c>
      <c r="AQ1141" s="122">
        <v>1</v>
      </c>
      <c r="AR1141" s="515" t="s">
        <v>10</v>
      </c>
      <c r="AS1141" s="95">
        <v>0</v>
      </c>
      <c r="AT1141" s="75">
        <v>0</v>
      </c>
      <c r="AU1141" s="75">
        <v>0</v>
      </c>
      <c r="AV1141" s="75">
        <v>0</v>
      </c>
      <c r="AW1141" s="123">
        <v>0</v>
      </c>
      <c r="AX1141" s="516"/>
      <c r="AY1141" s="75">
        <v>0</v>
      </c>
      <c r="AZ1141" s="77" t="s">
        <v>131</v>
      </c>
      <c r="BA1141" s="78" t="s">
        <v>131</v>
      </c>
      <c r="BB1141" s="78" t="s">
        <v>131</v>
      </c>
      <c r="BC1141" s="78" t="s">
        <v>131</v>
      </c>
      <c r="BD1141" s="78" t="s">
        <v>131</v>
      </c>
      <c r="BE1141" s="78" t="s">
        <v>131</v>
      </c>
      <c r="BF1141" s="78" t="s">
        <v>131</v>
      </c>
      <c r="BG1141" s="78" t="s">
        <v>132</v>
      </c>
      <c r="BH1141" s="75" t="s">
        <v>5970</v>
      </c>
      <c r="BI1141" s="295" t="s">
        <v>2265</v>
      </c>
      <c r="BJ1141" s="546">
        <v>1</v>
      </c>
      <c r="BK1141" s="294">
        <v>1</v>
      </c>
      <c r="BL1141" s="157">
        <v>1</v>
      </c>
      <c r="BM1141" s="548" t="s">
        <v>1341</v>
      </c>
      <c r="BN1141" s="548" t="s">
        <v>1339</v>
      </c>
      <c r="BO1141" s="157" t="s">
        <v>4242</v>
      </c>
      <c r="BP1141" s="548" t="s">
        <v>4041</v>
      </c>
      <c r="BQ1141" s="157" t="s">
        <v>4241</v>
      </c>
      <c r="BR1141" s="157"/>
    </row>
    <row r="1142" spans="1:70" x14ac:dyDescent="0.25">
      <c r="A1142" s="19" t="s">
        <v>3686</v>
      </c>
      <c r="B1142" s="37" t="s">
        <v>3423</v>
      </c>
      <c r="C1142" s="90">
        <v>45068.695798611108</v>
      </c>
      <c r="D1142" s="114">
        <v>45068.445798611108</v>
      </c>
      <c r="E1142" s="38">
        <v>45068</v>
      </c>
      <c r="F1142" s="91">
        <v>2023</v>
      </c>
      <c r="G1142" s="93">
        <v>5</v>
      </c>
      <c r="H1142" s="37" t="s">
        <v>2548</v>
      </c>
      <c r="I1142" s="37" t="s">
        <v>16</v>
      </c>
      <c r="J1142" s="103">
        <v>-90.744119995818338</v>
      </c>
      <c r="K1142" s="40">
        <v>43.443287889919695</v>
      </c>
      <c r="L1142" s="74"/>
      <c r="M1142" s="272" t="s">
        <v>3424</v>
      </c>
      <c r="N1142" s="74">
        <v>1</v>
      </c>
      <c r="O1142" s="94"/>
      <c r="P1142" s="118">
        <v>1</v>
      </c>
      <c r="Q1142" s="510">
        <v>180</v>
      </c>
      <c r="R1142" s="513">
        <v>180</v>
      </c>
      <c r="S1142" s="41"/>
      <c r="T1142" s="40"/>
      <c r="U1142" s="40">
        <v>7</v>
      </c>
      <c r="V1142" s="119">
        <v>0</v>
      </c>
      <c r="W1142" s="40"/>
      <c r="X1142" s="119">
        <v>1</v>
      </c>
      <c r="Y1142" s="40">
        <v>57</v>
      </c>
      <c r="Z1142" s="119">
        <v>1</v>
      </c>
      <c r="AA1142" s="368">
        <v>0</v>
      </c>
      <c r="AB1142" s="535">
        <v>2</v>
      </c>
      <c r="AC1142" s="39" t="s">
        <v>160</v>
      </c>
      <c r="AD1142" s="75" t="s">
        <v>16</v>
      </c>
      <c r="AE1142" s="95">
        <v>-1</v>
      </c>
      <c r="AF1142" s="75">
        <v>-1</v>
      </c>
      <c r="AG1142" s="75">
        <v>-1</v>
      </c>
      <c r="AH1142" s="75">
        <v>-1</v>
      </c>
      <c r="AI1142" s="75">
        <v>-1</v>
      </c>
      <c r="AJ1142" s="75">
        <v>-1</v>
      </c>
      <c r="AK1142" s="75">
        <v>-1</v>
      </c>
      <c r="AL1142" s="95">
        <v>-1</v>
      </c>
      <c r="AM1142" s="92">
        <v>1</v>
      </c>
      <c r="AN1142" s="79" t="s">
        <v>80</v>
      </c>
      <c r="AO1142" s="75">
        <v>1</v>
      </c>
      <c r="AP1142" s="75" t="s">
        <v>83</v>
      </c>
      <c r="AQ1142" s="122">
        <v>1</v>
      </c>
      <c r="AR1142" s="515" t="s">
        <v>10</v>
      </c>
      <c r="AS1142" s="95">
        <v>0</v>
      </c>
      <c r="AT1142" s="75">
        <v>0</v>
      </c>
      <c r="AU1142" s="75">
        <v>0</v>
      </c>
      <c r="AV1142" s="75">
        <v>0</v>
      </c>
      <c r="AW1142" s="123">
        <v>0</v>
      </c>
      <c r="AX1142" s="516"/>
      <c r="AY1142" s="75">
        <v>0</v>
      </c>
      <c r="AZ1142" s="77" t="s">
        <v>5971</v>
      </c>
      <c r="BA1142" s="78" t="s">
        <v>5971</v>
      </c>
      <c r="BB1142" s="78" t="s">
        <v>5971</v>
      </c>
      <c r="BC1142" s="78" t="s">
        <v>5971</v>
      </c>
      <c r="BD1142" s="78" t="s">
        <v>5971</v>
      </c>
      <c r="BE1142" s="78" t="s">
        <v>5971</v>
      </c>
      <c r="BF1142" s="78" t="s">
        <v>5971</v>
      </c>
      <c r="BG1142" s="78" t="s">
        <v>5971</v>
      </c>
      <c r="BH1142" s="75" t="s">
        <v>5971</v>
      </c>
      <c r="BI1142" s="295" t="s">
        <v>4062</v>
      </c>
      <c r="BJ1142" s="546">
        <v>1</v>
      </c>
      <c r="BK1142" s="294" t="s">
        <v>16</v>
      </c>
      <c r="BL1142" s="157" t="s">
        <v>16</v>
      </c>
      <c r="BM1142" s="548" t="s">
        <v>1342</v>
      </c>
      <c r="BN1142" s="548" t="s">
        <v>4158</v>
      </c>
      <c r="BO1142" s="157" t="s">
        <v>4306</v>
      </c>
      <c r="BP1142" s="548" t="s">
        <v>4469</v>
      </c>
      <c r="BQ1142" s="157" t="s">
        <v>4303</v>
      </c>
      <c r="BR1142" s="157"/>
    </row>
    <row r="1143" spans="1:70" x14ac:dyDescent="0.25">
      <c r="A1143" s="19" t="s">
        <v>3686</v>
      </c>
      <c r="B1143" s="37" t="s">
        <v>3425</v>
      </c>
      <c r="C1143" s="90">
        <v>45068.671238425923</v>
      </c>
      <c r="D1143" s="114">
        <v>45068.421238425923</v>
      </c>
      <c r="E1143" s="38">
        <v>45068</v>
      </c>
      <c r="F1143" s="91">
        <v>2023</v>
      </c>
      <c r="G1143" s="93">
        <v>5</v>
      </c>
      <c r="H1143" s="37" t="s">
        <v>1386</v>
      </c>
      <c r="I1143" s="37"/>
      <c r="J1143" s="103">
        <v>-91.813365700000006</v>
      </c>
      <c r="K1143" s="40">
        <v>43.5975775</v>
      </c>
      <c r="L1143" s="74"/>
      <c r="M1143" s="272" t="s">
        <v>3426</v>
      </c>
      <c r="N1143" s="74">
        <v>1</v>
      </c>
      <c r="O1143" s="94"/>
      <c r="P1143" s="118">
        <v>1</v>
      </c>
      <c r="Q1143" s="510">
        <v>40</v>
      </c>
      <c r="R1143" s="513">
        <v>180</v>
      </c>
      <c r="S1143" s="41"/>
      <c r="T1143" s="40"/>
      <c r="U1143" s="40">
        <v>7.5</v>
      </c>
      <c r="V1143" s="119">
        <v>1</v>
      </c>
      <c r="W1143" s="40">
        <v>100</v>
      </c>
      <c r="X1143" s="119">
        <v>1</v>
      </c>
      <c r="Y1143" s="40">
        <v>57</v>
      </c>
      <c r="Z1143" s="119">
        <v>1</v>
      </c>
      <c r="AA1143" s="368">
        <v>0</v>
      </c>
      <c r="AB1143" s="535">
        <v>5</v>
      </c>
      <c r="AC1143" s="39" t="s">
        <v>160</v>
      </c>
      <c r="AD1143" s="75" t="s">
        <v>10</v>
      </c>
      <c r="AE1143" s="95">
        <v>0</v>
      </c>
      <c r="AF1143" s="75">
        <v>0</v>
      </c>
      <c r="AG1143" s="75">
        <v>0</v>
      </c>
      <c r="AH1143" s="75">
        <v>0</v>
      </c>
      <c r="AI1143" s="75">
        <v>0</v>
      </c>
      <c r="AJ1143" s="75">
        <v>0</v>
      </c>
      <c r="AK1143" s="75">
        <v>0</v>
      </c>
      <c r="AL1143" s="95">
        <v>1</v>
      </c>
      <c r="AM1143" s="92">
        <v>0</v>
      </c>
      <c r="AN1143" s="79" t="s">
        <v>80</v>
      </c>
      <c r="AO1143" s="75">
        <v>1</v>
      </c>
      <c r="AP1143" s="75" t="s">
        <v>83</v>
      </c>
      <c r="AQ1143" s="122">
        <v>1</v>
      </c>
      <c r="AR1143" s="515" t="s">
        <v>10</v>
      </c>
      <c r="AS1143" s="95">
        <v>0</v>
      </c>
      <c r="AT1143" s="75">
        <v>0</v>
      </c>
      <c r="AU1143" s="75">
        <v>0</v>
      </c>
      <c r="AV1143" s="75">
        <v>0</v>
      </c>
      <c r="AW1143" s="123">
        <v>0</v>
      </c>
      <c r="AX1143" s="516"/>
      <c r="AY1143" s="75">
        <v>0</v>
      </c>
      <c r="AZ1143" s="77" t="s">
        <v>131</v>
      </c>
      <c r="BA1143" s="78" t="s">
        <v>131</v>
      </c>
      <c r="BB1143" s="78" t="s">
        <v>131</v>
      </c>
      <c r="BC1143" s="78" t="s">
        <v>131</v>
      </c>
      <c r="BD1143" s="78" t="s">
        <v>131</v>
      </c>
      <c r="BE1143" s="78" t="s">
        <v>131</v>
      </c>
      <c r="BF1143" s="78" t="s">
        <v>131</v>
      </c>
      <c r="BG1143" s="78" t="s">
        <v>132</v>
      </c>
      <c r="BH1143" s="75" t="s">
        <v>5970</v>
      </c>
      <c r="BI1143" s="295" t="s">
        <v>16</v>
      </c>
      <c r="BJ1143" s="546">
        <v>1</v>
      </c>
      <c r="BK1143" s="294">
        <v>1</v>
      </c>
      <c r="BL1143" s="157">
        <v>1</v>
      </c>
      <c r="BM1143" s="548" t="s">
        <v>1341</v>
      </c>
      <c r="BN1143" s="548" t="s">
        <v>1339</v>
      </c>
      <c r="BO1143" s="157" t="s">
        <v>4245</v>
      </c>
      <c r="BP1143" s="548" t="s">
        <v>2271</v>
      </c>
      <c r="BQ1143" s="157" t="s">
        <v>4232</v>
      </c>
      <c r="BR1143" s="157"/>
    </row>
    <row r="1144" spans="1:70" x14ac:dyDescent="0.25">
      <c r="A1144" s="19" t="s">
        <v>3686</v>
      </c>
      <c r="B1144" s="37" t="s">
        <v>3427</v>
      </c>
      <c r="C1144" s="90">
        <v>45068.646828703706</v>
      </c>
      <c r="D1144" s="114">
        <v>45068.396828703706</v>
      </c>
      <c r="E1144" s="38">
        <v>45068</v>
      </c>
      <c r="F1144" s="91">
        <v>2023</v>
      </c>
      <c r="G1144" s="93">
        <v>5</v>
      </c>
      <c r="H1144" s="37" t="s">
        <v>2548</v>
      </c>
      <c r="I1144" s="37" t="s">
        <v>146</v>
      </c>
      <c r="J1144" s="103">
        <v>-90.955299154178718</v>
      </c>
      <c r="K1144" s="40">
        <v>43.55235721493387</v>
      </c>
      <c r="L1144" s="74"/>
      <c r="M1144" s="272" t="s">
        <v>3428</v>
      </c>
      <c r="N1144" s="74">
        <v>1</v>
      </c>
      <c r="O1144" s="94"/>
      <c r="P1144" s="118">
        <v>1</v>
      </c>
      <c r="Q1144" s="510">
        <v>180</v>
      </c>
      <c r="R1144" s="513">
        <v>120</v>
      </c>
      <c r="S1144" s="41"/>
      <c r="T1144" s="40"/>
      <c r="U1144" s="40">
        <v>7.5</v>
      </c>
      <c r="V1144" s="119">
        <v>0</v>
      </c>
      <c r="W1144" s="40"/>
      <c r="X1144" s="119">
        <v>1</v>
      </c>
      <c r="Y1144" s="40">
        <v>53</v>
      </c>
      <c r="Z1144" s="119">
        <v>1</v>
      </c>
      <c r="AA1144" s="368">
        <v>0</v>
      </c>
      <c r="AB1144" s="535">
        <v>5</v>
      </c>
      <c r="AC1144" s="39" t="s">
        <v>160</v>
      </c>
      <c r="AD1144" s="75" t="s">
        <v>10</v>
      </c>
      <c r="AE1144" s="95">
        <v>0</v>
      </c>
      <c r="AF1144" s="75">
        <v>0</v>
      </c>
      <c r="AG1144" s="75">
        <v>0</v>
      </c>
      <c r="AH1144" s="75">
        <v>0</v>
      </c>
      <c r="AI1144" s="75">
        <v>0</v>
      </c>
      <c r="AJ1144" s="75">
        <v>0</v>
      </c>
      <c r="AK1144" s="75">
        <v>0</v>
      </c>
      <c r="AL1144" s="95">
        <v>1</v>
      </c>
      <c r="AM1144" s="92">
        <v>0</v>
      </c>
      <c r="AN1144" s="79" t="s">
        <v>80</v>
      </c>
      <c r="AO1144" s="75">
        <v>1</v>
      </c>
      <c r="AP1144" s="75" t="s">
        <v>83</v>
      </c>
      <c r="AQ1144" s="122">
        <v>1</v>
      </c>
      <c r="AR1144" s="515" t="s">
        <v>10</v>
      </c>
      <c r="AS1144" s="95">
        <v>0</v>
      </c>
      <c r="AT1144" s="75">
        <v>0</v>
      </c>
      <c r="AU1144" s="75">
        <v>0</v>
      </c>
      <c r="AV1144" s="75">
        <v>0</v>
      </c>
      <c r="AW1144" s="123">
        <v>0</v>
      </c>
      <c r="AX1144" s="516"/>
      <c r="AY1144" s="75">
        <v>0</v>
      </c>
      <c r="AZ1144" s="77" t="s">
        <v>131</v>
      </c>
      <c r="BA1144" s="78" t="s">
        <v>131</v>
      </c>
      <c r="BB1144" s="78" t="s">
        <v>131</v>
      </c>
      <c r="BC1144" s="78" t="s">
        <v>131</v>
      </c>
      <c r="BD1144" s="78" t="s">
        <v>131</v>
      </c>
      <c r="BE1144" s="78" t="s">
        <v>131</v>
      </c>
      <c r="BF1144" s="78" t="s">
        <v>131</v>
      </c>
      <c r="BG1144" s="78" t="s">
        <v>132</v>
      </c>
      <c r="BH1144" s="75" t="s">
        <v>5970</v>
      </c>
      <c r="BI1144" s="295">
        <v>0</v>
      </c>
      <c r="BJ1144" s="546">
        <v>1</v>
      </c>
      <c r="BK1144" s="294" t="s">
        <v>16</v>
      </c>
      <c r="BL1144" s="157" t="s">
        <v>16</v>
      </c>
      <c r="BM1144" s="548" t="s">
        <v>1342</v>
      </c>
      <c r="BN1144" s="548" t="s">
        <v>4158</v>
      </c>
      <c r="BO1144" s="157" t="s">
        <v>4611</v>
      </c>
      <c r="BP1144" s="548" t="s">
        <v>4612</v>
      </c>
      <c r="BQ1144" s="157" t="s">
        <v>4610</v>
      </c>
      <c r="BR1144" s="157"/>
    </row>
    <row r="1145" spans="1:70" x14ac:dyDescent="0.25">
      <c r="A1145" s="19" t="s">
        <v>3686</v>
      </c>
      <c r="B1145" s="37" t="s">
        <v>3429</v>
      </c>
      <c r="C1145" s="90">
        <v>45068.608194444445</v>
      </c>
      <c r="D1145" s="114">
        <v>45068.358194444445</v>
      </c>
      <c r="E1145" s="38">
        <v>45068</v>
      </c>
      <c r="F1145" s="91">
        <v>2023</v>
      </c>
      <c r="G1145" s="93">
        <v>5</v>
      </c>
      <c r="H1145" s="37" t="s">
        <v>2548</v>
      </c>
      <c r="I1145" s="37" t="s">
        <v>16</v>
      </c>
      <c r="J1145" s="103">
        <v>-90.861305868104395</v>
      </c>
      <c r="K1145" s="40">
        <v>43.697572124895409</v>
      </c>
      <c r="L1145" s="74"/>
      <c r="M1145" s="272" t="s">
        <v>3430</v>
      </c>
      <c r="N1145" s="74">
        <v>1</v>
      </c>
      <c r="O1145" s="94"/>
      <c r="P1145" s="118">
        <v>1</v>
      </c>
      <c r="Q1145" s="510">
        <v>180</v>
      </c>
      <c r="R1145" s="513">
        <v>120</v>
      </c>
      <c r="S1145" s="41"/>
      <c r="T1145" s="40"/>
      <c r="U1145" s="40">
        <v>8</v>
      </c>
      <c r="V1145" s="119">
        <v>0</v>
      </c>
      <c r="W1145" s="40"/>
      <c r="X1145" s="119">
        <v>1</v>
      </c>
      <c r="Y1145" s="40">
        <v>52</v>
      </c>
      <c r="Z1145" s="119">
        <v>1</v>
      </c>
      <c r="AA1145" s="368">
        <v>0</v>
      </c>
      <c r="AB1145" s="535">
        <v>2</v>
      </c>
      <c r="AC1145" s="39" t="s">
        <v>160</v>
      </c>
      <c r="AD1145" s="75" t="s">
        <v>16</v>
      </c>
      <c r="AE1145" s="95">
        <v>-1</v>
      </c>
      <c r="AF1145" s="75">
        <v>-1</v>
      </c>
      <c r="AG1145" s="75">
        <v>-1</v>
      </c>
      <c r="AH1145" s="75">
        <v>-1</v>
      </c>
      <c r="AI1145" s="75">
        <v>-1</v>
      </c>
      <c r="AJ1145" s="75">
        <v>-1</v>
      </c>
      <c r="AK1145" s="75">
        <v>-1</v>
      </c>
      <c r="AL1145" s="95">
        <v>-1</v>
      </c>
      <c r="AM1145" s="92">
        <v>1</v>
      </c>
      <c r="AN1145" s="79"/>
      <c r="AO1145" s="75">
        <v>0</v>
      </c>
      <c r="AP1145" s="75"/>
      <c r="AQ1145" s="122">
        <v>0</v>
      </c>
      <c r="AR1145" s="515" t="s">
        <v>16</v>
      </c>
      <c r="AS1145" s="95">
        <v>-1</v>
      </c>
      <c r="AT1145" s="75">
        <v>-1</v>
      </c>
      <c r="AU1145" s="75">
        <v>-1</v>
      </c>
      <c r="AV1145" s="75">
        <v>-1</v>
      </c>
      <c r="AW1145" s="123">
        <v>1</v>
      </c>
      <c r="AX1145" s="516"/>
      <c r="AY1145" s="75">
        <v>0</v>
      </c>
      <c r="AZ1145" s="77" t="s">
        <v>5971</v>
      </c>
      <c r="BA1145" s="78" t="s">
        <v>5971</v>
      </c>
      <c r="BB1145" s="78" t="s">
        <v>5971</v>
      </c>
      <c r="BC1145" s="78" t="s">
        <v>5971</v>
      </c>
      <c r="BD1145" s="78" t="s">
        <v>5971</v>
      </c>
      <c r="BE1145" s="78" t="s">
        <v>5971</v>
      </c>
      <c r="BF1145" s="78" t="s">
        <v>5971</v>
      </c>
      <c r="BG1145" s="78" t="s">
        <v>5971</v>
      </c>
      <c r="BH1145" s="75" t="s">
        <v>5971</v>
      </c>
      <c r="BI1145" s="295" t="s">
        <v>2275</v>
      </c>
      <c r="BJ1145" s="546">
        <v>1</v>
      </c>
      <c r="BK1145" s="294" t="s">
        <v>16</v>
      </c>
      <c r="BL1145" s="157" t="s">
        <v>16</v>
      </c>
      <c r="BM1145" s="548" t="s">
        <v>1342</v>
      </c>
      <c r="BN1145" s="548" t="s">
        <v>4158</v>
      </c>
      <c r="BO1145" s="157" t="s">
        <v>4613</v>
      </c>
      <c r="BP1145" s="548" t="s">
        <v>2275</v>
      </c>
      <c r="BQ1145" s="157" t="s">
        <v>4383</v>
      </c>
      <c r="BR1145" s="157"/>
    </row>
    <row r="1146" spans="1:70" x14ac:dyDescent="0.25">
      <c r="A1146" s="19" t="s">
        <v>3686</v>
      </c>
      <c r="B1146" s="37" t="s">
        <v>3431</v>
      </c>
      <c r="C1146" s="90">
        <v>45067.989189814813</v>
      </c>
      <c r="D1146" s="114">
        <v>45067.739189814813</v>
      </c>
      <c r="E1146" s="38">
        <v>45067</v>
      </c>
      <c r="F1146" s="91">
        <v>2023</v>
      </c>
      <c r="G1146" s="93">
        <v>5</v>
      </c>
      <c r="H1146" s="37" t="s">
        <v>2761</v>
      </c>
      <c r="I1146" s="37" t="s">
        <v>1411</v>
      </c>
      <c r="J1146" s="103">
        <v>-93.231336486742762</v>
      </c>
      <c r="K1146" s="40">
        <v>44.846844419042547</v>
      </c>
      <c r="L1146" s="74"/>
      <c r="M1146" s="272" t="s">
        <v>3432</v>
      </c>
      <c r="N1146" s="74">
        <v>1</v>
      </c>
      <c r="O1146" s="94"/>
      <c r="P1146" s="118">
        <v>1</v>
      </c>
      <c r="Q1146" s="510">
        <v>0</v>
      </c>
      <c r="R1146" s="513">
        <v>30</v>
      </c>
      <c r="S1146" s="41"/>
      <c r="T1146" s="40"/>
      <c r="U1146" s="40">
        <v>7</v>
      </c>
      <c r="V1146" s="119">
        <v>1</v>
      </c>
      <c r="W1146" s="40">
        <v>0</v>
      </c>
      <c r="X1146" s="119">
        <v>1</v>
      </c>
      <c r="Y1146" s="40">
        <v>59</v>
      </c>
      <c r="Z1146" s="119">
        <v>1</v>
      </c>
      <c r="AA1146" s="368">
        <v>0</v>
      </c>
      <c r="AB1146" s="535">
        <v>0</v>
      </c>
      <c r="AC1146" s="39" t="s">
        <v>160</v>
      </c>
      <c r="AD1146" s="75" t="s">
        <v>10</v>
      </c>
      <c r="AE1146" s="95">
        <v>0</v>
      </c>
      <c r="AF1146" s="75">
        <v>0</v>
      </c>
      <c r="AG1146" s="75">
        <v>0</v>
      </c>
      <c r="AH1146" s="75">
        <v>0</v>
      </c>
      <c r="AI1146" s="75">
        <v>0</v>
      </c>
      <c r="AJ1146" s="75">
        <v>0</v>
      </c>
      <c r="AK1146" s="75">
        <v>0</v>
      </c>
      <c r="AL1146" s="95">
        <v>1</v>
      </c>
      <c r="AM1146" s="92">
        <v>0</v>
      </c>
      <c r="AN1146" s="79" t="s">
        <v>81</v>
      </c>
      <c r="AO1146" s="75">
        <v>1</v>
      </c>
      <c r="AP1146" s="75" t="s">
        <v>83</v>
      </c>
      <c r="AQ1146" s="122">
        <v>1</v>
      </c>
      <c r="AR1146" s="515" t="s">
        <v>10</v>
      </c>
      <c r="AS1146" s="95">
        <v>0</v>
      </c>
      <c r="AT1146" s="75">
        <v>0</v>
      </c>
      <c r="AU1146" s="75">
        <v>0</v>
      </c>
      <c r="AV1146" s="75">
        <v>0</v>
      </c>
      <c r="AW1146" s="123">
        <v>0</v>
      </c>
      <c r="AX1146" s="516" t="s">
        <v>3433</v>
      </c>
      <c r="AY1146" s="75">
        <v>1</v>
      </c>
      <c r="AZ1146" s="77" t="s">
        <v>131</v>
      </c>
      <c r="BA1146" s="78" t="s">
        <v>131</v>
      </c>
      <c r="BB1146" s="78" t="s">
        <v>131</v>
      </c>
      <c r="BC1146" s="78" t="s">
        <v>131</v>
      </c>
      <c r="BD1146" s="78" t="s">
        <v>131</v>
      </c>
      <c r="BE1146" s="78" t="s">
        <v>131</v>
      </c>
      <c r="BF1146" s="78" t="s">
        <v>131</v>
      </c>
      <c r="BG1146" s="78" t="s">
        <v>132</v>
      </c>
      <c r="BH1146" s="75" t="s">
        <v>5970</v>
      </c>
      <c r="BI1146" s="295" t="s">
        <v>16</v>
      </c>
      <c r="BJ1146" s="546" t="s">
        <v>16</v>
      </c>
      <c r="BK1146" s="294" t="s">
        <v>16</v>
      </c>
      <c r="BL1146" s="157" t="s">
        <v>16</v>
      </c>
      <c r="BM1146" s="548" t="s">
        <v>2343</v>
      </c>
      <c r="BN1146" s="548" t="s">
        <v>4161</v>
      </c>
      <c r="BO1146" s="157" t="s">
        <v>4327</v>
      </c>
      <c r="BP1146" s="548" t="s">
        <v>4314</v>
      </c>
      <c r="BQ1146" s="157" t="s">
        <v>4312</v>
      </c>
      <c r="BR1146" s="157"/>
    </row>
    <row r="1147" spans="1:70" x14ac:dyDescent="0.25">
      <c r="A1147" s="19" t="s">
        <v>3686</v>
      </c>
      <c r="B1147" s="37" t="s">
        <v>3434</v>
      </c>
      <c r="C1147" s="90">
        <v>45067.815243055556</v>
      </c>
      <c r="D1147" s="114">
        <v>45067.565243055556</v>
      </c>
      <c r="E1147" s="38">
        <v>45067</v>
      </c>
      <c r="F1147" s="91">
        <v>2023</v>
      </c>
      <c r="G1147" s="93">
        <v>5</v>
      </c>
      <c r="H1147" s="37" t="s">
        <v>3435</v>
      </c>
      <c r="I1147" s="37" t="s">
        <v>16</v>
      </c>
      <c r="J1147" s="103">
        <v>-91.227608730484263</v>
      </c>
      <c r="K1147" s="40">
        <v>43.969225171704409</v>
      </c>
      <c r="L1147" s="74"/>
      <c r="M1147" s="272" t="s">
        <v>3436</v>
      </c>
      <c r="N1147" s="74">
        <v>1</v>
      </c>
      <c r="O1147" s="94"/>
      <c r="P1147" s="118">
        <v>1</v>
      </c>
      <c r="Q1147" s="510">
        <v>180</v>
      </c>
      <c r="R1147" s="513">
        <v>180</v>
      </c>
      <c r="S1147" s="41"/>
      <c r="T1147" s="40"/>
      <c r="U1147" s="40">
        <v>7</v>
      </c>
      <c r="V1147" s="119">
        <v>1</v>
      </c>
      <c r="W1147" s="40">
        <v>100</v>
      </c>
      <c r="X1147" s="119">
        <v>1</v>
      </c>
      <c r="Y1147" s="40">
        <v>56</v>
      </c>
      <c r="Z1147" s="119">
        <v>1</v>
      </c>
      <c r="AA1147" s="368">
        <v>0</v>
      </c>
      <c r="AB1147" s="535">
        <v>2</v>
      </c>
      <c r="AC1147" s="39" t="s">
        <v>160</v>
      </c>
      <c r="AD1147" s="75" t="s">
        <v>10</v>
      </c>
      <c r="AE1147" s="95">
        <v>0</v>
      </c>
      <c r="AF1147" s="75">
        <v>0</v>
      </c>
      <c r="AG1147" s="75">
        <v>0</v>
      </c>
      <c r="AH1147" s="75">
        <v>0</v>
      </c>
      <c r="AI1147" s="75">
        <v>0</v>
      </c>
      <c r="AJ1147" s="75">
        <v>0</v>
      </c>
      <c r="AK1147" s="75">
        <v>0</v>
      </c>
      <c r="AL1147" s="95">
        <v>1</v>
      </c>
      <c r="AM1147" s="92">
        <v>0</v>
      </c>
      <c r="AN1147" s="79" t="s">
        <v>81</v>
      </c>
      <c r="AO1147" s="75">
        <v>1</v>
      </c>
      <c r="AP1147" s="75" t="s">
        <v>84</v>
      </c>
      <c r="AQ1147" s="122">
        <v>1</v>
      </c>
      <c r="AR1147" s="515" t="s">
        <v>10</v>
      </c>
      <c r="AS1147" s="95">
        <v>0</v>
      </c>
      <c r="AT1147" s="75">
        <v>0</v>
      </c>
      <c r="AU1147" s="75">
        <v>0</v>
      </c>
      <c r="AV1147" s="75">
        <v>0</v>
      </c>
      <c r="AW1147" s="123">
        <v>0</v>
      </c>
      <c r="AX1147" s="516" t="s">
        <v>3437</v>
      </c>
      <c r="AY1147" s="75">
        <v>1</v>
      </c>
      <c r="AZ1147" s="77" t="s">
        <v>131</v>
      </c>
      <c r="BA1147" s="78" t="s">
        <v>131</v>
      </c>
      <c r="BB1147" s="78" t="s">
        <v>131</v>
      </c>
      <c r="BC1147" s="78" t="s">
        <v>131</v>
      </c>
      <c r="BD1147" s="78" t="s">
        <v>131</v>
      </c>
      <c r="BE1147" s="78" t="s">
        <v>131</v>
      </c>
      <c r="BF1147" s="78" t="s">
        <v>131</v>
      </c>
      <c r="BG1147" s="78" t="s">
        <v>132</v>
      </c>
      <c r="BH1147" s="75" t="s">
        <v>5970</v>
      </c>
      <c r="BI1147" s="295" t="s">
        <v>16</v>
      </c>
      <c r="BJ1147" s="546">
        <v>1</v>
      </c>
      <c r="BK1147" s="294">
        <v>1</v>
      </c>
      <c r="BL1147" s="157">
        <v>1</v>
      </c>
      <c r="BM1147" s="548" t="s">
        <v>1342</v>
      </c>
      <c r="BN1147" s="548" t="s">
        <v>1339</v>
      </c>
      <c r="BO1147" s="157" t="s">
        <v>4591</v>
      </c>
      <c r="BP1147" s="548" t="s">
        <v>3969</v>
      </c>
      <c r="BQ1147" s="157" t="s">
        <v>4452</v>
      </c>
      <c r="BR1147" s="157"/>
    </row>
    <row r="1148" spans="1:70" x14ac:dyDescent="0.25">
      <c r="A1148" s="19" t="s">
        <v>3686</v>
      </c>
      <c r="B1148" s="37" t="s">
        <v>3438</v>
      </c>
      <c r="C1148" s="90">
        <v>45067.026990740742</v>
      </c>
      <c r="D1148" s="114">
        <v>45066.776990740742</v>
      </c>
      <c r="E1148" s="38">
        <v>45066</v>
      </c>
      <c r="F1148" s="91">
        <v>2023</v>
      </c>
      <c r="G1148" s="93">
        <v>5</v>
      </c>
      <c r="H1148" s="37" t="s">
        <v>379</v>
      </c>
      <c r="I1148" s="37" t="s">
        <v>642</v>
      </c>
      <c r="J1148" s="103">
        <v>-92.583478745159297</v>
      </c>
      <c r="K1148" s="40">
        <v>44.848847966682953</v>
      </c>
      <c r="L1148" s="74"/>
      <c r="M1148" s="272" t="s">
        <v>16</v>
      </c>
      <c r="N1148" s="74">
        <v>0</v>
      </c>
      <c r="O1148" s="94"/>
      <c r="P1148" s="118">
        <v>1</v>
      </c>
      <c r="Q1148" s="510">
        <v>180</v>
      </c>
      <c r="R1148" s="513">
        <v>180</v>
      </c>
      <c r="S1148" s="41"/>
      <c r="T1148" s="40"/>
      <c r="U1148" s="40">
        <v>7</v>
      </c>
      <c r="V1148" s="119">
        <v>1</v>
      </c>
      <c r="W1148" s="40">
        <v>0</v>
      </c>
      <c r="X1148" s="119">
        <v>1</v>
      </c>
      <c r="Y1148" s="40">
        <v>56</v>
      </c>
      <c r="Z1148" s="119">
        <v>1</v>
      </c>
      <c r="AA1148" s="368">
        <v>0</v>
      </c>
      <c r="AB1148" s="535">
        <v>2</v>
      </c>
      <c r="AC1148" s="39" t="s">
        <v>160</v>
      </c>
      <c r="AD1148" s="75" t="s">
        <v>16</v>
      </c>
      <c r="AE1148" s="95">
        <v>-1</v>
      </c>
      <c r="AF1148" s="75">
        <v>-1</v>
      </c>
      <c r="AG1148" s="75">
        <v>-1</v>
      </c>
      <c r="AH1148" s="75">
        <v>-1</v>
      </c>
      <c r="AI1148" s="75">
        <v>-1</v>
      </c>
      <c r="AJ1148" s="75">
        <v>-1</v>
      </c>
      <c r="AK1148" s="75">
        <v>-1</v>
      </c>
      <c r="AL1148" s="95">
        <v>-1</v>
      </c>
      <c r="AM1148" s="92">
        <v>1</v>
      </c>
      <c r="AN1148" s="79" t="s">
        <v>80</v>
      </c>
      <c r="AO1148" s="75">
        <v>1</v>
      </c>
      <c r="AP1148" s="75" t="s">
        <v>84</v>
      </c>
      <c r="AQ1148" s="122">
        <v>1</v>
      </c>
      <c r="AR1148" s="515" t="s">
        <v>10</v>
      </c>
      <c r="AS1148" s="95">
        <v>0</v>
      </c>
      <c r="AT1148" s="75">
        <v>0</v>
      </c>
      <c r="AU1148" s="75">
        <v>0</v>
      </c>
      <c r="AV1148" s="75">
        <v>0</v>
      </c>
      <c r="AW1148" s="123">
        <v>0</v>
      </c>
      <c r="AX1148" s="516"/>
      <c r="AY1148" s="75">
        <v>0</v>
      </c>
      <c r="AZ1148" s="77" t="s">
        <v>5971</v>
      </c>
      <c r="BA1148" s="78" t="s">
        <v>5971</v>
      </c>
      <c r="BB1148" s="78" t="s">
        <v>5971</v>
      </c>
      <c r="BC1148" s="78" t="s">
        <v>5971</v>
      </c>
      <c r="BD1148" s="78" t="s">
        <v>5971</v>
      </c>
      <c r="BE1148" s="78" t="s">
        <v>5971</v>
      </c>
      <c r="BF1148" s="78" t="s">
        <v>5971</v>
      </c>
      <c r="BG1148" s="78" t="s">
        <v>5971</v>
      </c>
      <c r="BH1148" s="75" t="s">
        <v>5971</v>
      </c>
      <c r="BI1148" s="295" t="s">
        <v>2226</v>
      </c>
      <c r="BJ1148" s="546">
        <v>1</v>
      </c>
      <c r="BK1148" s="294">
        <v>1</v>
      </c>
      <c r="BL1148" s="157">
        <v>1</v>
      </c>
      <c r="BM1148" s="548" t="s">
        <v>578</v>
      </c>
      <c r="BN1148" s="548" t="s">
        <v>578</v>
      </c>
      <c r="BO1148" s="157" t="s">
        <v>4310</v>
      </c>
      <c r="BP1148" s="548" t="s">
        <v>2226</v>
      </c>
      <c r="BQ1148" s="157" t="s">
        <v>4309</v>
      </c>
      <c r="BR1148" s="157"/>
    </row>
    <row r="1149" spans="1:70" x14ac:dyDescent="0.25">
      <c r="A1149" s="19" t="s">
        <v>3686</v>
      </c>
      <c r="B1149" s="37" t="s">
        <v>3439</v>
      </c>
      <c r="C1149" s="90">
        <v>45066.840925925928</v>
      </c>
      <c r="D1149" s="114">
        <v>45066.590925925928</v>
      </c>
      <c r="E1149" s="38">
        <v>45066</v>
      </c>
      <c r="F1149" s="91">
        <v>2023</v>
      </c>
      <c r="G1149" s="93">
        <v>5</v>
      </c>
      <c r="H1149" s="37" t="s">
        <v>622</v>
      </c>
      <c r="I1149" s="37"/>
      <c r="J1149" s="103">
        <v>-92.276558512907727</v>
      </c>
      <c r="K1149" s="40">
        <v>44.431340550113866</v>
      </c>
      <c r="L1149" s="74"/>
      <c r="M1149" s="272" t="s">
        <v>16</v>
      </c>
      <c r="N1149" s="74">
        <v>0</v>
      </c>
      <c r="O1149" s="94"/>
      <c r="P1149" s="118">
        <v>1</v>
      </c>
      <c r="Q1149" s="510">
        <v>0</v>
      </c>
      <c r="R1149" s="513">
        <v>30</v>
      </c>
      <c r="S1149" s="41"/>
      <c r="T1149" s="40"/>
      <c r="U1149" s="40">
        <v>7</v>
      </c>
      <c r="V1149" s="119">
        <v>0</v>
      </c>
      <c r="W1149" s="40"/>
      <c r="X1149" s="119">
        <v>0</v>
      </c>
      <c r="Y1149" s="40"/>
      <c r="Z1149" s="119">
        <v>0</v>
      </c>
      <c r="AA1149" s="368" t="s">
        <v>16</v>
      </c>
      <c r="AB1149" s="535" t="s">
        <v>16</v>
      </c>
      <c r="AC1149" s="39" t="s">
        <v>160</v>
      </c>
      <c r="AD1149" s="75" t="s">
        <v>16</v>
      </c>
      <c r="AE1149" s="95">
        <v>-1</v>
      </c>
      <c r="AF1149" s="75">
        <v>-1</v>
      </c>
      <c r="AG1149" s="75">
        <v>-1</v>
      </c>
      <c r="AH1149" s="75">
        <v>-1</v>
      </c>
      <c r="AI1149" s="75">
        <v>-1</v>
      </c>
      <c r="AJ1149" s="75">
        <v>-1</v>
      </c>
      <c r="AK1149" s="75">
        <v>-1</v>
      </c>
      <c r="AL1149" s="95">
        <v>-1</v>
      </c>
      <c r="AM1149" s="92">
        <v>1</v>
      </c>
      <c r="AN1149" s="79"/>
      <c r="AO1149" s="75">
        <v>0</v>
      </c>
      <c r="AP1149" s="75"/>
      <c r="AQ1149" s="122">
        <v>0</v>
      </c>
      <c r="AR1149" s="515" t="s">
        <v>16</v>
      </c>
      <c r="AS1149" s="95">
        <v>-1</v>
      </c>
      <c r="AT1149" s="75">
        <v>-1</v>
      </c>
      <c r="AU1149" s="75">
        <v>-1</v>
      </c>
      <c r="AV1149" s="75">
        <v>-1</v>
      </c>
      <c r="AW1149" s="123">
        <v>1</v>
      </c>
      <c r="AX1149" s="516"/>
      <c r="AY1149" s="75">
        <v>0</v>
      </c>
      <c r="AZ1149" s="77" t="s">
        <v>5971</v>
      </c>
      <c r="BA1149" s="78" t="s">
        <v>5971</v>
      </c>
      <c r="BB1149" s="78" t="s">
        <v>5971</v>
      </c>
      <c r="BC1149" s="78" t="s">
        <v>5971</v>
      </c>
      <c r="BD1149" s="78" t="s">
        <v>5971</v>
      </c>
      <c r="BE1149" s="78" t="s">
        <v>5971</v>
      </c>
      <c r="BF1149" s="78" t="s">
        <v>5971</v>
      </c>
      <c r="BG1149" s="78" t="s">
        <v>5971</v>
      </c>
      <c r="BH1149" s="75" t="s">
        <v>5971</v>
      </c>
      <c r="BI1149" s="295" t="s">
        <v>16</v>
      </c>
      <c r="BJ1149" s="546">
        <v>1</v>
      </c>
      <c r="BK1149" s="294" t="s">
        <v>16</v>
      </c>
      <c r="BL1149" s="157" t="s">
        <v>16</v>
      </c>
      <c r="BM1149" s="548" t="s">
        <v>1339</v>
      </c>
      <c r="BN1149" s="548" t="s">
        <v>1339</v>
      </c>
      <c r="BO1149" s="157" t="s">
        <v>4614</v>
      </c>
      <c r="BP1149" s="548" t="s">
        <v>2228</v>
      </c>
      <c r="BQ1149" s="157" t="s">
        <v>4214</v>
      </c>
      <c r="BR1149" s="157"/>
    </row>
    <row r="1150" spans="1:70" x14ac:dyDescent="0.25">
      <c r="A1150" s="19" t="s">
        <v>3686</v>
      </c>
      <c r="B1150" s="37" t="s">
        <v>3440</v>
      </c>
      <c r="C1150" s="90">
        <v>45065.864872685182</v>
      </c>
      <c r="D1150" s="114">
        <v>45065.614872685182</v>
      </c>
      <c r="E1150" s="38">
        <v>45065</v>
      </c>
      <c r="F1150" s="91">
        <v>2023</v>
      </c>
      <c r="G1150" s="93">
        <v>5</v>
      </c>
      <c r="H1150" s="37" t="s">
        <v>3441</v>
      </c>
      <c r="I1150" s="37" t="s">
        <v>16</v>
      </c>
      <c r="J1150" s="103">
        <v>-91.234699634222082</v>
      </c>
      <c r="K1150" s="40">
        <v>43.967295122428688</v>
      </c>
      <c r="L1150" s="74"/>
      <c r="M1150" s="272" t="s">
        <v>3442</v>
      </c>
      <c r="N1150" s="74">
        <v>1</v>
      </c>
      <c r="O1150" s="94"/>
      <c r="P1150" s="118">
        <v>1</v>
      </c>
      <c r="Q1150" s="510">
        <v>180</v>
      </c>
      <c r="R1150" s="513">
        <v>180</v>
      </c>
      <c r="S1150" s="41"/>
      <c r="T1150" s="40"/>
      <c r="U1150" s="40">
        <v>7</v>
      </c>
      <c r="V1150" s="119">
        <v>1</v>
      </c>
      <c r="W1150" s="40">
        <v>0</v>
      </c>
      <c r="X1150" s="119">
        <v>1</v>
      </c>
      <c r="Y1150" s="40">
        <v>57</v>
      </c>
      <c r="Z1150" s="119">
        <v>1</v>
      </c>
      <c r="AA1150" s="368">
        <v>0</v>
      </c>
      <c r="AB1150" s="535">
        <v>0</v>
      </c>
      <c r="AC1150" s="39" t="s">
        <v>160</v>
      </c>
      <c r="AD1150" s="75" t="s">
        <v>8</v>
      </c>
      <c r="AE1150" s="95">
        <v>0</v>
      </c>
      <c r="AF1150" s="75">
        <v>1</v>
      </c>
      <c r="AG1150" s="75">
        <v>0</v>
      </c>
      <c r="AH1150" s="75">
        <v>0</v>
      </c>
      <c r="AI1150" s="75">
        <v>0</v>
      </c>
      <c r="AJ1150" s="75">
        <v>0</v>
      </c>
      <c r="AK1150" s="75">
        <v>0</v>
      </c>
      <c r="AL1150" s="95">
        <v>0</v>
      </c>
      <c r="AM1150" s="92">
        <v>0</v>
      </c>
      <c r="AN1150" s="79" t="s">
        <v>81</v>
      </c>
      <c r="AO1150" s="75">
        <v>1</v>
      </c>
      <c r="AP1150" s="75" t="s">
        <v>84</v>
      </c>
      <c r="AQ1150" s="122">
        <v>1</v>
      </c>
      <c r="AR1150" s="515" t="s">
        <v>10</v>
      </c>
      <c r="AS1150" s="95">
        <v>0</v>
      </c>
      <c r="AT1150" s="75">
        <v>0</v>
      </c>
      <c r="AU1150" s="75">
        <v>0</v>
      </c>
      <c r="AV1150" s="75">
        <v>0</v>
      </c>
      <c r="AW1150" s="123">
        <v>0</v>
      </c>
      <c r="AX1150" s="516" t="s">
        <v>16</v>
      </c>
      <c r="AY1150" s="75">
        <v>0</v>
      </c>
      <c r="AZ1150" s="77" t="s">
        <v>131</v>
      </c>
      <c r="BA1150" s="78" t="s">
        <v>132</v>
      </c>
      <c r="BB1150" s="78" t="s">
        <v>131</v>
      </c>
      <c r="BC1150" s="78" t="s">
        <v>131</v>
      </c>
      <c r="BD1150" s="78" t="s">
        <v>131</v>
      </c>
      <c r="BE1150" s="78" t="s">
        <v>131</v>
      </c>
      <c r="BF1150" s="78" t="s">
        <v>131</v>
      </c>
      <c r="BG1150" s="78" t="s">
        <v>131</v>
      </c>
      <c r="BH1150" s="75" t="s">
        <v>5970</v>
      </c>
      <c r="BI1150" s="295" t="s">
        <v>16</v>
      </c>
      <c r="BJ1150" s="546">
        <v>1</v>
      </c>
      <c r="BK1150" s="294">
        <v>1</v>
      </c>
      <c r="BL1150" s="157">
        <v>1</v>
      </c>
      <c r="BM1150" s="548" t="s">
        <v>1342</v>
      </c>
      <c r="BN1150" s="548" t="s">
        <v>544</v>
      </c>
      <c r="BO1150" s="157" t="s">
        <v>4591</v>
      </c>
      <c r="BP1150" s="548" t="s">
        <v>3969</v>
      </c>
      <c r="BQ1150" s="157" t="s">
        <v>4452</v>
      </c>
      <c r="BR1150" s="157"/>
    </row>
    <row r="1151" spans="1:70" x14ac:dyDescent="0.25">
      <c r="A1151" s="19" t="s">
        <v>3686</v>
      </c>
      <c r="B1151" s="37" t="s">
        <v>3443</v>
      </c>
      <c r="C1151" s="90">
        <v>45065.817326388889</v>
      </c>
      <c r="D1151" s="114">
        <v>45065.567326388889</v>
      </c>
      <c r="E1151" s="38">
        <v>45065</v>
      </c>
      <c r="F1151" s="91">
        <v>2023</v>
      </c>
      <c r="G1151" s="93">
        <v>5</v>
      </c>
      <c r="H1151" s="37" t="s">
        <v>3381</v>
      </c>
      <c r="I1151" s="37" t="s">
        <v>16</v>
      </c>
      <c r="J1151" s="103">
        <v>-91.260509574870824</v>
      </c>
      <c r="K1151" s="40">
        <v>43.966969326179687</v>
      </c>
      <c r="L1151" s="74"/>
      <c r="M1151" s="272" t="s">
        <v>3444</v>
      </c>
      <c r="N1151" s="74">
        <v>1</v>
      </c>
      <c r="O1151" s="94"/>
      <c r="P1151" s="118">
        <v>1</v>
      </c>
      <c r="Q1151" s="510">
        <v>180</v>
      </c>
      <c r="R1151" s="513">
        <v>180</v>
      </c>
      <c r="S1151" s="41"/>
      <c r="T1151" s="40"/>
      <c r="U1151" s="40">
        <v>8</v>
      </c>
      <c r="V1151" s="119">
        <v>1</v>
      </c>
      <c r="W1151" s="40">
        <v>100</v>
      </c>
      <c r="X1151" s="119">
        <v>1</v>
      </c>
      <c r="Y1151" s="40">
        <v>52</v>
      </c>
      <c r="Z1151" s="119">
        <v>1</v>
      </c>
      <c r="AA1151" s="368">
        <v>0</v>
      </c>
      <c r="AB1151" s="535">
        <v>2</v>
      </c>
      <c r="AC1151" s="39" t="s">
        <v>160</v>
      </c>
      <c r="AD1151" s="75" t="s">
        <v>10</v>
      </c>
      <c r="AE1151" s="95">
        <v>0</v>
      </c>
      <c r="AF1151" s="75">
        <v>0</v>
      </c>
      <c r="AG1151" s="75">
        <v>0</v>
      </c>
      <c r="AH1151" s="75">
        <v>0</v>
      </c>
      <c r="AI1151" s="75">
        <v>0</v>
      </c>
      <c r="AJ1151" s="75">
        <v>0</v>
      </c>
      <c r="AK1151" s="75">
        <v>0</v>
      </c>
      <c r="AL1151" s="95">
        <v>1</v>
      </c>
      <c r="AM1151" s="92">
        <v>0</v>
      </c>
      <c r="AN1151" s="79" t="s">
        <v>81</v>
      </c>
      <c r="AO1151" s="75">
        <v>1</v>
      </c>
      <c r="AP1151" s="75" t="s">
        <v>83</v>
      </c>
      <c r="AQ1151" s="122">
        <v>1</v>
      </c>
      <c r="AR1151" s="515" t="s">
        <v>10</v>
      </c>
      <c r="AS1151" s="95">
        <v>0</v>
      </c>
      <c r="AT1151" s="75">
        <v>0</v>
      </c>
      <c r="AU1151" s="75">
        <v>0</v>
      </c>
      <c r="AV1151" s="75">
        <v>0</v>
      </c>
      <c r="AW1151" s="123">
        <v>0</v>
      </c>
      <c r="AX1151" s="516" t="s">
        <v>3445</v>
      </c>
      <c r="AY1151" s="75">
        <v>1</v>
      </c>
      <c r="AZ1151" s="77" t="s">
        <v>131</v>
      </c>
      <c r="BA1151" s="78" t="s">
        <v>131</v>
      </c>
      <c r="BB1151" s="78" t="s">
        <v>131</v>
      </c>
      <c r="BC1151" s="78" t="s">
        <v>131</v>
      </c>
      <c r="BD1151" s="78" t="s">
        <v>131</v>
      </c>
      <c r="BE1151" s="78" t="s">
        <v>131</v>
      </c>
      <c r="BF1151" s="78" t="s">
        <v>131</v>
      </c>
      <c r="BG1151" s="78" t="s">
        <v>132</v>
      </c>
      <c r="BH1151" s="75" t="s">
        <v>5970</v>
      </c>
      <c r="BI1151" s="295" t="s">
        <v>3969</v>
      </c>
      <c r="BJ1151" s="546">
        <v>1</v>
      </c>
      <c r="BK1151" s="294" t="s">
        <v>16</v>
      </c>
      <c r="BL1151" s="157" t="s">
        <v>16</v>
      </c>
      <c r="BM1151" s="548" t="s">
        <v>1342</v>
      </c>
      <c r="BN1151" s="548" t="s">
        <v>544</v>
      </c>
      <c r="BO1151" s="157" t="s">
        <v>4591</v>
      </c>
      <c r="BP1151" s="548" t="s">
        <v>3969</v>
      </c>
      <c r="BQ1151" s="157" t="s">
        <v>4452</v>
      </c>
      <c r="BR1151" s="157"/>
    </row>
    <row r="1152" spans="1:70" x14ac:dyDescent="0.25">
      <c r="A1152" s="19" t="s">
        <v>3686</v>
      </c>
      <c r="B1152" s="37" t="s">
        <v>3446</v>
      </c>
      <c r="C1152" s="90">
        <v>45065.817013888889</v>
      </c>
      <c r="D1152" s="114">
        <v>45065.567013888889</v>
      </c>
      <c r="E1152" s="38">
        <v>45065</v>
      </c>
      <c r="F1152" s="91">
        <v>2023</v>
      </c>
      <c r="G1152" s="93">
        <v>5</v>
      </c>
      <c r="H1152" s="37" t="s">
        <v>3447</v>
      </c>
      <c r="I1152" s="37"/>
      <c r="J1152" s="103">
        <v>-91.2605054</v>
      </c>
      <c r="K1152" s="40">
        <v>43.966998400000001</v>
      </c>
      <c r="L1152" s="74"/>
      <c r="M1152" s="272" t="s">
        <v>3448</v>
      </c>
      <c r="N1152" s="74">
        <v>1</v>
      </c>
      <c r="O1152" s="94"/>
      <c r="P1152" s="118">
        <v>1</v>
      </c>
      <c r="Q1152" s="510">
        <v>180</v>
      </c>
      <c r="R1152" s="513">
        <v>30</v>
      </c>
      <c r="S1152" s="41"/>
      <c r="T1152" s="40"/>
      <c r="U1152" s="40">
        <v>7.5</v>
      </c>
      <c r="V1152" s="119">
        <v>1</v>
      </c>
      <c r="W1152" s="40">
        <v>0</v>
      </c>
      <c r="X1152" s="119">
        <v>1</v>
      </c>
      <c r="Y1152" s="40">
        <v>53</v>
      </c>
      <c r="Z1152" s="119">
        <v>1</v>
      </c>
      <c r="AA1152" s="368">
        <v>0</v>
      </c>
      <c r="AB1152" s="535">
        <v>2</v>
      </c>
      <c r="AC1152" s="39" t="s">
        <v>160</v>
      </c>
      <c r="AD1152" s="75" t="s">
        <v>10</v>
      </c>
      <c r="AE1152" s="95">
        <v>0</v>
      </c>
      <c r="AF1152" s="75">
        <v>0</v>
      </c>
      <c r="AG1152" s="75">
        <v>0</v>
      </c>
      <c r="AH1152" s="75">
        <v>0</v>
      </c>
      <c r="AI1152" s="75">
        <v>0</v>
      </c>
      <c r="AJ1152" s="75">
        <v>0</v>
      </c>
      <c r="AK1152" s="75">
        <v>0</v>
      </c>
      <c r="AL1152" s="95">
        <v>1</v>
      </c>
      <c r="AM1152" s="92">
        <v>0</v>
      </c>
      <c r="AN1152" s="79" t="s">
        <v>81</v>
      </c>
      <c r="AO1152" s="75">
        <v>1</v>
      </c>
      <c r="AP1152" s="75" t="s">
        <v>84</v>
      </c>
      <c r="AQ1152" s="122">
        <v>1</v>
      </c>
      <c r="AR1152" s="515" t="s">
        <v>13</v>
      </c>
      <c r="AS1152" s="95">
        <v>1</v>
      </c>
      <c r="AT1152" s="75">
        <v>0</v>
      </c>
      <c r="AU1152" s="75">
        <v>0</v>
      </c>
      <c r="AV1152" s="75">
        <v>0</v>
      </c>
      <c r="AW1152" s="123">
        <v>0</v>
      </c>
      <c r="AX1152" s="516" t="s">
        <v>3449</v>
      </c>
      <c r="AY1152" s="75">
        <v>1</v>
      </c>
      <c r="AZ1152" s="77" t="s">
        <v>131</v>
      </c>
      <c r="BA1152" s="78" t="s">
        <v>131</v>
      </c>
      <c r="BB1152" s="78" t="s">
        <v>131</v>
      </c>
      <c r="BC1152" s="78" t="s">
        <v>131</v>
      </c>
      <c r="BD1152" s="78" t="s">
        <v>131</v>
      </c>
      <c r="BE1152" s="78" t="s">
        <v>131</v>
      </c>
      <c r="BF1152" s="78" t="s">
        <v>131</v>
      </c>
      <c r="BG1152" s="78" t="s">
        <v>132</v>
      </c>
      <c r="BH1152" s="75" t="s">
        <v>5970</v>
      </c>
      <c r="BI1152" s="295" t="s">
        <v>3969</v>
      </c>
      <c r="BJ1152" s="546">
        <v>1</v>
      </c>
      <c r="BK1152" s="294" t="s">
        <v>16</v>
      </c>
      <c r="BL1152" s="157" t="s">
        <v>16</v>
      </c>
      <c r="BM1152" s="548" t="s">
        <v>1342</v>
      </c>
      <c r="BN1152" s="548" t="s">
        <v>544</v>
      </c>
      <c r="BO1152" s="157" t="s">
        <v>4591</v>
      </c>
      <c r="BP1152" s="548" t="s">
        <v>3969</v>
      </c>
      <c r="BQ1152" s="157" t="s">
        <v>4452</v>
      </c>
      <c r="BR1152" s="157"/>
    </row>
    <row r="1153" spans="1:70" x14ac:dyDescent="0.25">
      <c r="A1153" s="19" t="s">
        <v>3686</v>
      </c>
      <c r="B1153" s="37" t="s">
        <v>3450</v>
      </c>
      <c r="C1153" s="90">
        <v>45065.816030092596</v>
      </c>
      <c r="D1153" s="114">
        <v>45065.566030092596</v>
      </c>
      <c r="E1153" s="38">
        <v>45065</v>
      </c>
      <c r="F1153" s="91">
        <v>2023</v>
      </c>
      <c r="G1153" s="93">
        <v>5</v>
      </c>
      <c r="H1153" s="37" t="s">
        <v>3346</v>
      </c>
      <c r="I1153" s="37"/>
      <c r="J1153" s="103">
        <v>-91.260488015919805</v>
      </c>
      <c r="K1153" s="40">
        <v>43.966998060148342</v>
      </c>
      <c r="L1153" s="74"/>
      <c r="M1153" s="272" t="s">
        <v>3451</v>
      </c>
      <c r="N1153" s="74">
        <v>1</v>
      </c>
      <c r="O1153" s="94"/>
      <c r="P1153" s="118">
        <v>1</v>
      </c>
      <c r="Q1153" s="510">
        <v>180</v>
      </c>
      <c r="R1153" s="513">
        <v>180</v>
      </c>
      <c r="S1153" s="41"/>
      <c r="T1153" s="40"/>
      <c r="U1153" s="40">
        <v>8</v>
      </c>
      <c r="V1153" s="119">
        <v>0</v>
      </c>
      <c r="W1153" s="40"/>
      <c r="X1153" s="119">
        <v>1</v>
      </c>
      <c r="Y1153" s="40">
        <v>54</v>
      </c>
      <c r="Z1153" s="119">
        <v>1</v>
      </c>
      <c r="AA1153" s="368">
        <v>0</v>
      </c>
      <c r="AB1153" s="535">
        <v>2</v>
      </c>
      <c r="AC1153" s="39" t="s">
        <v>160</v>
      </c>
      <c r="AD1153" s="75" t="s">
        <v>16</v>
      </c>
      <c r="AE1153" s="95">
        <v>-1</v>
      </c>
      <c r="AF1153" s="75">
        <v>-1</v>
      </c>
      <c r="AG1153" s="75">
        <v>-1</v>
      </c>
      <c r="AH1153" s="75">
        <v>-1</v>
      </c>
      <c r="AI1153" s="75">
        <v>-1</v>
      </c>
      <c r="AJ1153" s="75">
        <v>-1</v>
      </c>
      <c r="AK1153" s="75">
        <v>-1</v>
      </c>
      <c r="AL1153" s="95">
        <v>-1</v>
      </c>
      <c r="AM1153" s="92">
        <v>1</v>
      </c>
      <c r="AN1153" s="79"/>
      <c r="AO1153" s="75">
        <v>0</v>
      </c>
      <c r="AP1153" s="75"/>
      <c r="AQ1153" s="122">
        <v>0</v>
      </c>
      <c r="AR1153" s="515" t="s">
        <v>16</v>
      </c>
      <c r="AS1153" s="95">
        <v>-1</v>
      </c>
      <c r="AT1153" s="75">
        <v>-1</v>
      </c>
      <c r="AU1153" s="75">
        <v>-1</v>
      </c>
      <c r="AV1153" s="75">
        <v>-1</v>
      </c>
      <c r="AW1153" s="123">
        <v>1</v>
      </c>
      <c r="AX1153" s="516" t="s">
        <v>3452</v>
      </c>
      <c r="AY1153" s="75">
        <v>1</v>
      </c>
      <c r="AZ1153" s="77" t="s">
        <v>5971</v>
      </c>
      <c r="BA1153" s="78" t="s">
        <v>5971</v>
      </c>
      <c r="BB1153" s="78" t="s">
        <v>5971</v>
      </c>
      <c r="BC1153" s="78" t="s">
        <v>5971</v>
      </c>
      <c r="BD1153" s="78" t="s">
        <v>5971</v>
      </c>
      <c r="BE1153" s="78" t="s">
        <v>5971</v>
      </c>
      <c r="BF1153" s="78" t="s">
        <v>5971</v>
      </c>
      <c r="BG1153" s="78" t="s">
        <v>5971</v>
      </c>
      <c r="BH1153" s="75" t="s">
        <v>5971</v>
      </c>
      <c r="BI1153" s="295" t="s">
        <v>3969</v>
      </c>
      <c r="BJ1153" s="546">
        <v>1</v>
      </c>
      <c r="BK1153" s="294" t="s">
        <v>16</v>
      </c>
      <c r="BL1153" s="157" t="s">
        <v>16</v>
      </c>
      <c r="BM1153" s="548" t="s">
        <v>1342</v>
      </c>
      <c r="BN1153" s="548" t="s">
        <v>4160</v>
      </c>
      <c r="BO1153" s="157" t="s">
        <v>4591</v>
      </c>
      <c r="BP1153" s="548" t="s">
        <v>3969</v>
      </c>
      <c r="BQ1153" s="157" t="s">
        <v>4452</v>
      </c>
      <c r="BR1153" s="157"/>
    </row>
    <row r="1154" spans="1:70" x14ac:dyDescent="0.25">
      <c r="A1154" s="19" t="s">
        <v>3686</v>
      </c>
      <c r="B1154" s="37" t="s">
        <v>3453</v>
      </c>
      <c r="C1154" s="90">
        <v>45065.815266203703</v>
      </c>
      <c r="D1154" s="114">
        <v>45065.565266203703</v>
      </c>
      <c r="E1154" s="38">
        <v>45065</v>
      </c>
      <c r="F1154" s="91">
        <v>2023</v>
      </c>
      <c r="G1154" s="93">
        <v>5</v>
      </c>
      <c r="H1154" s="37" t="s">
        <v>3441</v>
      </c>
      <c r="I1154" s="37" t="s">
        <v>16</v>
      </c>
      <c r="J1154" s="103">
        <v>-91.260543007772839</v>
      </c>
      <c r="K1154" s="40">
        <v>43.967031399856936</v>
      </c>
      <c r="L1154" s="74"/>
      <c r="M1154" s="272" t="s">
        <v>3454</v>
      </c>
      <c r="N1154" s="74">
        <v>1</v>
      </c>
      <c r="O1154" s="94"/>
      <c r="P1154" s="118">
        <v>1</v>
      </c>
      <c r="Q1154" s="510">
        <v>180</v>
      </c>
      <c r="R1154" s="513">
        <v>180</v>
      </c>
      <c r="S1154" s="41"/>
      <c r="T1154" s="40"/>
      <c r="U1154" s="40">
        <v>8</v>
      </c>
      <c r="V1154" s="119">
        <v>1</v>
      </c>
      <c r="W1154" s="40">
        <v>100</v>
      </c>
      <c r="X1154" s="119">
        <v>1</v>
      </c>
      <c r="Y1154" s="40">
        <v>52</v>
      </c>
      <c r="Z1154" s="119">
        <v>1</v>
      </c>
      <c r="AA1154" s="368">
        <v>0</v>
      </c>
      <c r="AB1154" s="535">
        <v>2</v>
      </c>
      <c r="AC1154" s="39" t="s">
        <v>160</v>
      </c>
      <c r="AD1154" s="75" t="s">
        <v>16</v>
      </c>
      <c r="AE1154" s="95">
        <v>-1</v>
      </c>
      <c r="AF1154" s="75">
        <v>-1</v>
      </c>
      <c r="AG1154" s="75">
        <v>-1</v>
      </c>
      <c r="AH1154" s="75">
        <v>-1</v>
      </c>
      <c r="AI1154" s="75">
        <v>-1</v>
      </c>
      <c r="AJ1154" s="75">
        <v>-1</v>
      </c>
      <c r="AK1154" s="75">
        <v>-1</v>
      </c>
      <c r="AL1154" s="95">
        <v>-1</v>
      </c>
      <c r="AM1154" s="92">
        <v>1</v>
      </c>
      <c r="AN1154" s="79" t="s">
        <v>81</v>
      </c>
      <c r="AO1154" s="75">
        <v>1</v>
      </c>
      <c r="AP1154" s="75" t="s">
        <v>83</v>
      </c>
      <c r="AQ1154" s="122">
        <v>1</v>
      </c>
      <c r="AR1154" s="515" t="s">
        <v>10</v>
      </c>
      <c r="AS1154" s="95">
        <v>0</v>
      </c>
      <c r="AT1154" s="75">
        <v>0</v>
      </c>
      <c r="AU1154" s="75">
        <v>0</v>
      </c>
      <c r="AV1154" s="75">
        <v>0</v>
      </c>
      <c r="AW1154" s="123">
        <v>0</v>
      </c>
      <c r="AX1154" s="516" t="s">
        <v>3455</v>
      </c>
      <c r="AY1154" s="75">
        <v>1</v>
      </c>
      <c r="AZ1154" s="77" t="s">
        <v>5971</v>
      </c>
      <c r="BA1154" s="78" t="s">
        <v>5971</v>
      </c>
      <c r="BB1154" s="78" t="s">
        <v>5971</v>
      </c>
      <c r="BC1154" s="78" t="s">
        <v>5971</v>
      </c>
      <c r="BD1154" s="78" t="s">
        <v>5971</v>
      </c>
      <c r="BE1154" s="78" t="s">
        <v>5971</v>
      </c>
      <c r="BF1154" s="78" t="s">
        <v>5971</v>
      </c>
      <c r="BG1154" s="78" t="s">
        <v>5971</v>
      </c>
      <c r="BH1154" s="75" t="s">
        <v>5971</v>
      </c>
      <c r="BI1154" s="295" t="s">
        <v>3969</v>
      </c>
      <c r="BJ1154" s="546">
        <v>1</v>
      </c>
      <c r="BK1154" s="294" t="s">
        <v>16</v>
      </c>
      <c r="BL1154" s="157" t="s">
        <v>16</v>
      </c>
      <c r="BM1154" s="548" t="s">
        <v>1342</v>
      </c>
      <c r="BN1154" s="548" t="s">
        <v>544</v>
      </c>
      <c r="BO1154" s="157" t="s">
        <v>4591</v>
      </c>
      <c r="BP1154" s="548" t="s">
        <v>3969</v>
      </c>
      <c r="BQ1154" s="157" t="s">
        <v>4452</v>
      </c>
      <c r="BR1154" s="157"/>
    </row>
    <row r="1155" spans="1:70" x14ac:dyDescent="0.25">
      <c r="A1155" s="19" t="s">
        <v>3686</v>
      </c>
      <c r="B1155" s="37" t="s">
        <v>3456</v>
      </c>
      <c r="C1155" s="90">
        <v>45065.813518518517</v>
      </c>
      <c r="D1155" s="114">
        <v>45065.563518518517</v>
      </c>
      <c r="E1155" s="38">
        <v>45065</v>
      </c>
      <c r="F1155" s="91">
        <v>2023</v>
      </c>
      <c r="G1155" s="93">
        <v>5</v>
      </c>
      <c r="H1155" s="37" t="s">
        <v>3457</v>
      </c>
      <c r="I1155" s="37" t="s">
        <v>16</v>
      </c>
      <c r="J1155" s="103">
        <v>-91.260535646295281</v>
      </c>
      <c r="K1155" s="40">
        <v>43.967032668404407</v>
      </c>
      <c r="L1155" s="74"/>
      <c r="M1155" s="272" t="s">
        <v>3458</v>
      </c>
      <c r="N1155" s="74">
        <v>1</v>
      </c>
      <c r="O1155" s="94"/>
      <c r="P1155" s="118">
        <v>1</v>
      </c>
      <c r="Q1155" s="510">
        <v>180</v>
      </c>
      <c r="R1155" s="513">
        <v>180</v>
      </c>
      <c r="S1155" s="41"/>
      <c r="T1155" s="40"/>
      <c r="U1155" s="40">
        <v>8</v>
      </c>
      <c r="V1155" s="119">
        <v>1</v>
      </c>
      <c r="W1155" s="40">
        <v>0</v>
      </c>
      <c r="X1155" s="119">
        <v>1</v>
      </c>
      <c r="Y1155" s="40">
        <v>52</v>
      </c>
      <c r="Z1155" s="119">
        <v>1</v>
      </c>
      <c r="AA1155" s="368">
        <v>0</v>
      </c>
      <c r="AB1155" s="535">
        <v>2</v>
      </c>
      <c r="AC1155" s="39" t="s">
        <v>160</v>
      </c>
      <c r="AD1155" s="75" t="s">
        <v>10</v>
      </c>
      <c r="AE1155" s="95">
        <v>0</v>
      </c>
      <c r="AF1155" s="75">
        <v>0</v>
      </c>
      <c r="AG1155" s="75">
        <v>0</v>
      </c>
      <c r="AH1155" s="75">
        <v>0</v>
      </c>
      <c r="AI1155" s="75">
        <v>0</v>
      </c>
      <c r="AJ1155" s="75">
        <v>0</v>
      </c>
      <c r="AK1155" s="75">
        <v>0</v>
      </c>
      <c r="AL1155" s="95">
        <v>1</v>
      </c>
      <c r="AM1155" s="92">
        <v>0</v>
      </c>
      <c r="AN1155" s="79" t="s">
        <v>81</v>
      </c>
      <c r="AO1155" s="75">
        <v>1</v>
      </c>
      <c r="AP1155" s="75" t="s">
        <v>84</v>
      </c>
      <c r="AQ1155" s="122">
        <v>1</v>
      </c>
      <c r="AR1155" s="515" t="s">
        <v>10</v>
      </c>
      <c r="AS1155" s="95">
        <v>0</v>
      </c>
      <c r="AT1155" s="75">
        <v>0</v>
      </c>
      <c r="AU1155" s="75">
        <v>0</v>
      </c>
      <c r="AV1155" s="75">
        <v>0</v>
      </c>
      <c r="AW1155" s="123">
        <v>0</v>
      </c>
      <c r="AX1155" s="516" t="s">
        <v>3459</v>
      </c>
      <c r="AY1155" s="75">
        <v>1</v>
      </c>
      <c r="AZ1155" s="77" t="s">
        <v>131</v>
      </c>
      <c r="BA1155" s="78" t="s">
        <v>131</v>
      </c>
      <c r="BB1155" s="78" t="s">
        <v>131</v>
      </c>
      <c r="BC1155" s="78" t="s">
        <v>131</v>
      </c>
      <c r="BD1155" s="78" t="s">
        <v>131</v>
      </c>
      <c r="BE1155" s="78" t="s">
        <v>131</v>
      </c>
      <c r="BF1155" s="78" t="s">
        <v>131</v>
      </c>
      <c r="BG1155" s="78" t="s">
        <v>132</v>
      </c>
      <c r="BH1155" s="75" t="s">
        <v>5970</v>
      </c>
      <c r="BI1155" s="295" t="s">
        <v>3969</v>
      </c>
      <c r="BJ1155" s="546">
        <v>1</v>
      </c>
      <c r="BK1155" s="294" t="s">
        <v>16</v>
      </c>
      <c r="BL1155" s="157" t="s">
        <v>16</v>
      </c>
      <c r="BM1155" s="548" t="s">
        <v>1342</v>
      </c>
      <c r="BN1155" s="548" t="s">
        <v>544</v>
      </c>
      <c r="BO1155" s="157" t="s">
        <v>4591</v>
      </c>
      <c r="BP1155" s="548" t="s">
        <v>3969</v>
      </c>
      <c r="BQ1155" s="157" t="s">
        <v>4452</v>
      </c>
      <c r="BR1155" s="157"/>
    </row>
    <row r="1156" spans="1:70" x14ac:dyDescent="0.25">
      <c r="A1156" s="19" t="s">
        <v>3686</v>
      </c>
      <c r="B1156" s="37" t="s">
        <v>3460</v>
      </c>
      <c r="C1156" s="90">
        <v>45064.915393518517</v>
      </c>
      <c r="D1156" s="114">
        <v>45064.665393518517</v>
      </c>
      <c r="E1156" s="38">
        <v>45064</v>
      </c>
      <c r="F1156" s="91">
        <v>2023</v>
      </c>
      <c r="G1156" s="93">
        <v>5</v>
      </c>
      <c r="H1156" s="37" t="s">
        <v>599</v>
      </c>
      <c r="I1156" s="37" t="s">
        <v>2361</v>
      </c>
      <c r="J1156" s="103">
        <v>-92.442885238503663</v>
      </c>
      <c r="K1156" s="40">
        <v>44.621440103192342</v>
      </c>
      <c r="L1156" s="74"/>
      <c r="M1156" s="272" t="s">
        <v>16</v>
      </c>
      <c r="N1156" s="74">
        <v>0</v>
      </c>
      <c r="O1156" s="94"/>
      <c r="P1156" s="118">
        <v>1</v>
      </c>
      <c r="Q1156" s="510">
        <v>120</v>
      </c>
      <c r="R1156" s="513">
        <v>120</v>
      </c>
      <c r="S1156" s="41"/>
      <c r="T1156" s="40"/>
      <c r="U1156" s="40">
        <v>8</v>
      </c>
      <c r="V1156" s="119">
        <v>1</v>
      </c>
      <c r="W1156" s="40">
        <v>0</v>
      </c>
      <c r="X1156" s="119">
        <v>1</v>
      </c>
      <c r="Y1156" s="40">
        <v>58</v>
      </c>
      <c r="Z1156" s="119">
        <v>1</v>
      </c>
      <c r="AA1156" s="368">
        <v>0</v>
      </c>
      <c r="AB1156" s="535">
        <v>5</v>
      </c>
      <c r="AC1156" s="39" t="s">
        <v>160</v>
      </c>
      <c r="AD1156" s="75" t="s">
        <v>10</v>
      </c>
      <c r="AE1156" s="95">
        <v>0</v>
      </c>
      <c r="AF1156" s="75">
        <v>0</v>
      </c>
      <c r="AG1156" s="75">
        <v>0</v>
      </c>
      <c r="AH1156" s="75">
        <v>0</v>
      </c>
      <c r="AI1156" s="75">
        <v>0</v>
      </c>
      <c r="AJ1156" s="75">
        <v>0</v>
      </c>
      <c r="AK1156" s="75">
        <v>0</v>
      </c>
      <c r="AL1156" s="95">
        <v>1</v>
      </c>
      <c r="AM1156" s="92">
        <v>0</v>
      </c>
      <c r="AN1156" s="79" t="s">
        <v>80</v>
      </c>
      <c r="AO1156" s="75">
        <v>1</v>
      </c>
      <c r="AP1156" s="75" t="s">
        <v>83</v>
      </c>
      <c r="AQ1156" s="122">
        <v>1</v>
      </c>
      <c r="AR1156" s="515" t="s">
        <v>13</v>
      </c>
      <c r="AS1156" s="95">
        <v>1</v>
      </c>
      <c r="AT1156" s="75">
        <v>0</v>
      </c>
      <c r="AU1156" s="75">
        <v>0</v>
      </c>
      <c r="AV1156" s="75">
        <v>0</v>
      </c>
      <c r="AW1156" s="123">
        <v>0</v>
      </c>
      <c r="AX1156" s="516"/>
      <c r="AY1156" s="75">
        <v>0</v>
      </c>
      <c r="AZ1156" s="77" t="s">
        <v>131</v>
      </c>
      <c r="BA1156" s="78" t="s">
        <v>131</v>
      </c>
      <c r="BB1156" s="78" t="s">
        <v>131</v>
      </c>
      <c r="BC1156" s="78" t="s">
        <v>131</v>
      </c>
      <c r="BD1156" s="78" t="s">
        <v>131</v>
      </c>
      <c r="BE1156" s="78" t="s">
        <v>131</v>
      </c>
      <c r="BF1156" s="78" t="s">
        <v>131</v>
      </c>
      <c r="BG1156" s="78" t="s">
        <v>132</v>
      </c>
      <c r="BH1156" s="75" t="s">
        <v>5970</v>
      </c>
      <c r="BI1156" s="295" t="s">
        <v>2289</v>
      </c>
      <c r="BJ1156" s="546">
        <v>1</v>
      </c>
      <c r="BK1156" s="294" t="s">
        <v>16</v>
      </c>
      <c r="BL1156" s="157" t="s">
        <v>16</v>
      </c>
      <c r="BM1156" s="548" t="s">
        <v>578</v>
      </c>
      <c r="BN1156" s="548" t="s">
        <v>544</v>
      </c>
      <c r="BO1156" s="157" t="s">
        <v>4283</v>
      </c>
      <c r="BP1156" s="548" t="s">
        <v>2289</v>
      </c>
      <c r="BQ1156" s="157" t="s">
        <v>4214</v>
      </c>
      <c r="BR1156" s="157"/>
    </row>
    <row r="1157" spans="1:70" x14ac:dyDescent="0.25">
      <c r="A1157" s="19" t="s">
        <v>3686</v>
      </c>
      <c r="B1157" s="37" t="s">
        <v>3461</v>
      </c>
      <c r="C1157" s="90">
        <v>45063.946689814817</v>
      </c>
      <c r="D1157" s="114">
        <v>45063.696689814817</v>
      </c>
      <c r="E1157" s="38">
        <v>45063</v>
      </c>
      <c r="F1157" s="91">
        <v>2023</v>
      </c>
      <c r="G1157" s="93">
        <v>5</v>
      </c>
      <c r="H1157" s="37" t="s">
        <v>606</v>
      </c>
      <c r="I1157" s="37"/>
      <c r="J1157" s="103">
        <v>-92.236429967972697</v>
      </c>
      <c r="K1157" s="40">
        <v>44.229514380526361</v>
      </c>
      <c r="L1157" s="74"/>
      <c r="M1157" s="272" t="s">
        <v>3462</v>
      </c>
      <c r="N1157" s="74">
        <v>1</v>
      </c>
      <c r="O1157" s="94"/>
      <c r="P1157" s="118">
        <v>1</v>
      </c>
      <c r="Q1157" s="510">
        <v>80</v>
      </c>
      <c r="R1157" s="513">
        <v>180</v>
      </c>
      <c r="S1157" s="41"/>
      <c r="T1157" s="40"/>
      <c r="U1157" s="40">
        <v>7.5</v>
      </c>
      <c r="V1157" s="119">
        <v>1</v>
      </c>
      <c r="W1157" s="40">
        <v>100</v>
      </c>
      <c r="X1157" s="119">
        <v>1</v>
      </c>
      <c r="Y1157" s="40">
        <v>57</v>
      </c>
      <c r="Z1157" s="119">
        <v>1</v>
      </c>
      <c r="AA1157" s="368">
        <v>0</v>
      </c>
      <c r="AB1157" s="535">
        <v>2</v>
      </c>
      <c r="AC1157" s="39" t="s">
        <v>160</v>
      </c>
      <c r="AD1157" s="75" t="s">
        <v>10</v>
      </c>
      <c r="AE1157" s="95">
        <v>0</v>
      </c>
      <c r="AF1157" s="75">
        <v>0</v>
      </c>
      <c r="AG1157" s="75">
        <v>0</v>
      </c>
      <c r="AH1157" s="75">
        <v>0</v>
      </c>
      <c r="AI1157" s="75">
        <v>0</v>
      </c>
      <c r="AJ1157" s="75">
        <v>0</v>
      </c>
      <c r="AK1157" s="75">
        <v>0</v>
      </c>
      <c r="AL1157" s="95">
        <v>1</v>
      </c>
      <c r="AM1157" s="92">
        <v>0</v>
      </c>
      <c r="AN1157" s="79" t="s">
        <v>80</v>
      </c>
      <c r="AO1157" s="75">
        <v>1</v>
      </c>
      <c r="AP1157" s="75" t="s">
        <v>83</v>
      </c>
      <c r="AQ1157" s="122">
        <v>1</v>
      </c>
      <c r="AR1157" s="515" t="s">
        <v>10</v>
      </c>
      <c r="AS1157" s="95">
        <v>0</v>
      </c>
      <c r="AT1157" s="75">
        <v>0</v>
      </c>
      <c r="AU1157" s="75">
        <v>0</v>
      </c>
      <c r="AV1157" s="75">
        <v>0</v>
      </c>
      <c r="AW1157" s="123">
        <v>0</v>
      </c>
      <c r="AX1157" s="516" t="s">
        <v>3463</v>
      </c>
      <c r="AY1157" s="75">
        <v>1</v>
      </c>
      <c r="AZ1157" s="77" t="s">
        <v>131</v>
      </c>
      <c r="BA1157" s="78" t="s">
        <v>131</v>
      </c>
      <c r="BB1157" s="78" t="s">
        <v>131</v>
      </c>
      <c r="BC1157" s="78" t="s">
        <v>131</v>
      </c>
      <c r="BD1157" s="78" t="s">
        <v>131</v>
      </c>
      <c r="BE1157" s="78" t="s">
        <v>131</v>
      </c>
      <c r="BF1157" s="78" t="s">
        <v>131</v>
      </c>
      <c r="BG1157" s="78" t="s">
        <v>132</v>
      </c>
      <c r="BH1157" s="75" t="s">
        <v>5970</v>
      </c>
      <c r="BI1157" s="295" t="s">
        <v>3966</v>
      </c>
      <c r="BJ1157" s="546">
        <v>1</v>
      </c>
      <c r="BK1157" s="294">
        <v>1</v>
      </c>
      <c r="BL1157" s="157">
        <v>1</v>
      </c>
      <c r="BM1157" s="548" t="s">
        <v>1339</v>
      </c>
      <c r="BN1157" s="548" t="s">
        <v>1339</v>
      </c>
      <c r="BO1157" s="157" t="s">
        <v>4334</v>
      </c>
      <c r="BP1157" s="548" t="s">
        <v>3966</v>
      </c>
      <c r="BQ1157" s="157" t="s">
        <v>4330</v>
      </c>
      <c r="BR1157" s="157"/>
    </row>
    <row r="1158" spans="1:70" x14ac:dyDescent="0.25">
      <c r="A1158" s="19" t="s">
        <v>3686</v>
      </c>
      <c r="B1158" s="37" t="s">
        <v>3464</v>
      </c>
      <c r="C1158" s="90">
        <v>45063.819733796299</v>
      </c>
      <c r="D1158" s="114">
        <v>45063.569733796299</v>
      </c>
      <c r="E1158" s="38">
        <v>45063</v>
      </c>
      <c r="F1158" s="91">
        <v>2023</v>
      </c>
      <c r="G1158" s="93">
        <v>5</v>
      </c>
      <c r="H1158" s="37" t="s">
        <v>3465</v>
      </c>
      <c r="I1158" s="37" t="s">
        <v>16</v>
      </c>
      <c r="J1158" s="103">
        <v>-91.260189807988283</v>
      </c>
      <c r="K1158" s="40">
        <v>43.965352943807339</v>
      </c>
      <c r="L1158" s="74"/>
      <c r="M1158" s="272" t="s">
        <v>16</v>
      </c>
      <c r="N1158" s="74">
        <v>0</v>
      </c>
      <c r="O1158" s="94"/>
      <c r="P1158" s="118">
        <v>1</v>
      </c>
      <c r="Q1158" s="510">
        <v>120</v>
      </c>
      <c r="R1158" s="513">
        <v>180</v>
      </c>
      <c r="S1158" s="41"/>
      <c r="T1158" s="40"/>
      <c r="U1158" s="40">
        <v>8</v>
      </c>
      <c r="V1158" s="119">
        <v>1</v>
      </c>
      <c r="W1158" s="40">
        <v>0</v>
      </c>
      <c r="X1158" s="119">
        <v>1</v>
      </c>
      <c r="Y1158" s="40">
        <v>61</v>
      </c>
      <c r="Z1158" s="119">
        <v>1</v>
      </c>
      <c r="AA1158" s="368">
        <v>0</v>
      </c>
      <c r="AB1158" s="535">
        <v>2</v>
      </c>
      <c r="AC1158" s="39" t="s">
        <v>160</v>
      </c>
      <c r="AD1158" s="75" t="s">
        <v>16</v>
      </c>
      <c r="AE1158" s="95">
        <v>-1</v>
      </c>
      <c r="AF1158" s="75">
        <v>-1</v>
      </c>
      <c r="AG1158" s="75">
        <v>-1</v>
      </c>
      <c r="AH1158" s="75">
        <v>-1</v>
      </c>
      <c r="AI1158" s="75">
        <v>-1</v>
      </c>
      <c r="AJ1158" s="75">
        <v>-1</v>
      </c>
      <c r="AK1158" s="75">
        <v>-1</v>
      </c>
      <c r="AL1158" s="95">
        <v>-1</v>
      </c>
      <c r="AM1158" s="92">
        <v>1</v>
      </c>
      <c r="AN1158" s="79" t="s">
        <v>81</v>
      </c>
      <c r="AO1158" s="75">
        <v>1</v>
      </c>
      <c r="AP1158" s="75" t="s">
        <v>84</v>
      </c>
      <c r="AQ1158" s="122">
        <v>1</v>
      </c>
      <c r="AR1158" s="515" t="s">
        <v>10</v>
      </c>
      <c r="AS1158" s="95">
        <v>0</v>
      </c>
      <c r="AT1158" s="75">
        <v>0</v>
      </c>
      <c r="AU1158" s="75">
        <v>0</v>
      </c>
      <c r="AV1158" s="75">
        <v>0</v>
      </c>
      <c r="AW1158" s="123">
        <v>0</v>
      </c>
      <c r="AX1158" s="516"/>
      <c r="AY1158" s="75">
        <v>0</v>
      </c>
      <c r="AZ1158" s="77" t="s">
        <v>5971</v>
      </c>
      <c r="BA1158" s="78" t="s">
        <v>5971</v>
      </c>
      <c r="BB1158" s="78" t="s">
        <v>5971</v>
      </c>
      <c r="BC1158" s="78" t="s">
        <v>5971</v>
      </c>
      <c r="BD1158" s="78" t="s">
        <v>5971</v>
      </c>
      <c r="BE1158" s="78" t="s">
        <v>5971</v>
      </c>
      <c r="BF1158" s="78" t="s">
        <v>5971</v>
      </c>
      <c r="BG1158" s="78" t="s">
        <v>5971</v>
      </c>
      <c r="BH1158" s="75" t="s">
        <v>5971</v>
      </c>
      <c r="BI1158" s="295" t="s">
        <v>3969</v>
      </c>
      <c r="BJ1158" s="546">
        <v>1</v>
      </c>
      <c r="BK1158" s="294" t="s">
        <v>16</v>
      </c>
      <c r="BL1158" s="157" t="s">
        <v>16</v>
      </c>
      <c r="BM1158" s="548" t="s">
        <v>1342</v>
      </c>
      <c r="BN1158" s="548" t="s">
        <v>544</v>
      </c>
      <c r="BO1158" s="157" t="s">
        <v>4591</v>
      </c>
      <c r="BP1158" s="548" t="s">
        <v>3969</v>
      </c>
      <c r="BQ1158" s="157" t="s">
        <v>4452</v>
      </c>
      <c r="BR1158" s="157"/>
    </row>
    <row r="1159" spans="1:70" x14ac:dyDescent="0.25">
      <c r="A1159" s="19" t="s">
        <v>3686</v>
      </c>
      <c r="B1159" s="37" t="s">
        <v>3466</v>
      </c>
      <c r="C1159" s="90">
        <v>45063.818472222221</v>
      </c>
      <c r="D1159" s="114">
        <v>45063.568472222221</v>
      </c>
      <c r="E1159" s="38">
        <v>45063</v>
      </c>
      <c r="F1159" s="91">
        <v>2023</v>
      </c>
      <c r="G1159" s="93">
        <v>5</v>
      </c>
      <c r="H1159" s="37" t="s">
        <v>3467</v>
      </c>
      <c r="I1159" s="37"/>
      <c r="J1159" s="103">
        <v>-91.259032500000004</v>
      </c>
      <c r="K1159" s="40">
        <v>43.964008700000001</v>
      </c>
      <c r="L1159" s="74"/>
      <c r="M1159" s="272" t="s">
        <v>16</v>
      </c>
      <c r="N1159" s="74">
        <v>0</v>
      </c>
      <c r="O1159" s="94"/>
      <c r="P1159" s="118">
        <v>1</v>
      </c>
      <c r="Q1159" s="510">
        <v>80</v>
      </c>
      <c r="R1159" s="513">
        <v>180</v>
      </c>
      <c r="S1159" s="41"/>
      <c r="T1159" s="40"/>
      <c r="U1159" s="40">
        <v>7.5</v>
      </c>
      <c r="V1159" s="119">
        <v>0</v>
      </c>
      <c r="W1159" s="40"/>
      <c r="X1159" s="119">
        <v>0</v>
      </c>
      <c r="Y1159" s="40"/>
      <c r="Z1159" s="119">
        <v>0</v>
      </c>
      <c r="AA1159" s="368" t="s">
        <v>16</v>
      </c>
      <c r="AB1159" s="535" t="s">
        <v>16</v>
      </c>
      <c r="AC1159" s="39" t="s">
        <v>160</v>
      </c>
      <c r="AD1159" s="75" t="s">
        <v>16</v>
      </c>
      <c r="AE1159" s="95">
        <v>-1</v>
      </c>
      <c r="AF1159" s="75">
        <v>-1</v>
      </c>
      <c r="AG1159" s="75">
        <v>-1</v>
      </c>
      <c r="AH1159" s="75">
        <v>-1</v>
      </c>
      <c r="AI1159" s="75">
        <v>-1</v>
      </c>
      <c r="AJ1159" s="75">
        <v>-1</v>
      </c>
      <c r="AK1159" s="75">
        <v>-1</v>
      </c>
      <c r="AL1159" s="95">
        <v>-1</v>
      </c>
      <c r="AM1159" s="92">
        <v>1</v>
      </c>
      <c r="AN1159" s="79" t="s">
        <v>81</v>
      </c>
      <c r="AO1159" s="75">
        <v>1</v>
      </c>
      <c r="AP1159" s="75" t="s">
        <v>84</v>
      </c>
      <c r="AQ1159" s="122">
        <v>1</v>
      </c>
      <c r="AR1159" s="515" t="s">
        <v>16</v>
      </c>
      <c r="AS1159" s="95">
        <v>-1</v>
      </c>
      <c r="AT1159" s="75">
        <v>-1</v>
      </c>
      <c r="AU1159" s="75">
        <v>-1</v>
      </c>
      <c r="AV1159" s="75">
        <v>-1</v>
      </c>
      <c r="AW1159" s="123">
        <v>1</v>
      </c>
      <c r="AX1159" s="516"/>
      <c r="AY1159" s="75">
        <v>0</v>
      </c>
      <c r="AZ1159" s="77" t="s">
        <v>5971</v>
      </c>
      <c r="BA1159" s="78" t="s">
        <v>5971</v>
      </c>
      <c r="BB1159" s="78" t="s">
        <v>5971</v>
      </c>
      <c r="BC1159" s="78" t="s">
        <v>5971</v>
      </c>
      <c r="BD1159" s="78" t="s">
        <v>5971</v>
      </c>
      <c r="BE1159" s="78" t="s">
        <v>5971</v>
      </c>
      <c r="BF1159" s="78" t="s">
        <v>5971</v>
      </c>
      <c r="BG1159" s="78" t="s">
        <v>5971</v>
      </c>
      <c r="BH1159" s="75" t="s">
        <v>5971</v>
      </c>
      <c r="BI1159" s="295" t="s">
        <v>3969</v>
      </c>
      <c r="BJ1159" s="546">
        <v>1</v>
      </c>
      <c r="BK1159" s="294" t="s">
        <v>16</v>
      </c>
      <c r="BL1159" s="157" t="s">
        <v>16</v>
      </c>
      <c r="BM1159" s="548" t="s">
        <v>1342</v>
      </c>
      <c r="BN1159" s="548" t="s">
        <v>544</v>
      </c>
      <c r="BO1159" s="157" t="s">
        <v>4591</v>
      </c>
      <c r="BP1159" s="548" t="s">
        <v>3969</v>
      </c>
      <c r="BQ1159" s="157" t="s">
        <v>4452</v>
      </c>
      <c r="BR1159" s="157"/>
    </row>
    <row r="1160" spans="1:70" x14ac:dyDescent="0.25">
      <c r="A1160" s="19" t="s">
        <v>3686</v>
      </c>
      <c r="B1160" s="37" t="s">
        <v>3468</v>
      </c>
      <c r="C1160" s="90">
        <v>45063.817858796298</v>
      </c>
      <c r="D1160" s="114">
        <v>45063.567858796298</v>
      </c>
      <c r="E1160" s="38">
        <v>45063</v>
      </c>
      <c r="F1160" s="91">
        <v>2023</v>
      </c>
      <c r="G1160" s="93">
        <v>5</v>
      </c>
      <c r="H1160" s="37" t="s">
        <v>3457</v>
      </c>
      <c r="I1160" s="37" t="s">
        <v>16</v>
      </c>
      <c r="J1160" s="103">
        <v>-91.259116600093165</v>
      </c>
      <c r="K1160" s="40">
        <v>43.964137299989332</v>
      </c>
      <c r="L1160" s="74"/>
      <c r="M1160" s="272" t="s">
        <v>3469</v>
      </c>
      <c r="N1160" s="74">
        <v>1</v>
      </c>
      <c r="O1160" s="94"/>
      <c r="P1160" s="118">
        <v>1</v>
      </c>
      <c r="Q1160" s="510">
        <v>180</v>
      </c>
      <c r="R1160" s="513">
        <v>180</v>
      </c>
      <c r="S1160" s="41"/>
      <c r="T1160" s="40"/>
      <c r="U1160" s="40">
        <v>9</v>
      </c>
      <c r="V1160" s="119">
        <v>1</v>
      </c>
      <c r="W1160" s="40">
        <v>100</v>
      </c>
      <c r="X1160" s="119">
        <v>1</v>
      </c>
      <c r="Y1160" s="40">
        <v>58</v>
      </c>
      <c r="Z1160" s="119">
        <v>1</v>
      </c>
      <c r="AA1160" s="368">
        <v>0</v>
      </c>
      <c r="AB1160" s="535">
        <v>5</v>
      </c>
      <c r="AC1160" s="39" t="s">
        <v>160</v>
      </c>
      <c r="AD1160" s="75" t="s">
        <v>10</v>
      </c>
      <c r="AE1160" s="95">
        <v>0</v>
      </c>
      <c r="AF1160" s="75">
        <v>0</v>
      </c>
      <c r="AG1160" s="75">
        <v>0</v>
      </c>
      <c r="AH1160" s="75">
        <v>0</v>
      </c>
      <c r="AI1160" s="75">
        <v>0</v>
      </c>
      <c r="AJ1160" s="75">
        <v>0</v>
      </c>
      <c r="AK1160" s="75">
        <v>0</v>
      </c>
      <c r="AL1160" s="95">
        <v>1</v>
      </c>
      <c r="AM1160" s="92">
        <v>0</v>
      </c>
      <c r="AN1160" s="79" t="s">
        <v>80</v>
      </c>
      <c r="AO1160" s="75">
        <v>1</v>
      </c>
      <c r="AP1160" s="75" t="s">
        <v>84</v>
      </c>
      <c r="AQ1160" s="122">
        <v>1</v>
      </c>
      <c r="AR1160" s="515" t="s">
        <v>10</v>
      </c>
      <c r="AS1160" s="95">
        <v>0</v>
      </c>
      <c r="AT1160" s="75">
        <v>0</v>
      </c>
      <c r="AU1160" s="75">
        <v>0</v>
      </c>
      <c r="AV1160" s="75">
        <v>0</v>
      </c>
      <c r="AW1160" s="123">
        <v>0</v>
      </c>
      <c r="AX1160" s="516" t="s">
        <v>16</v>
      </c>
      <c r="AY1160" s="75">
        <v>0</v>
      </c>
      <c r="AZ1160" s="77" t="s">
        <v>131</v>
      </c>
      <c r="BA1160" s="78" t="s">
        <v>131</v>
      </c>
      <c r="BB1160" s="78" t="s">
        <v>131</v>
      </c>
      <c r="BC1160" s="78" t="s">
        <v>131</v>
      </c>
      <c r="BD1160" s="78" t="s">
        <v>131</v>
      </c>
      <c r="BE1160" s="78" t="s">
        <v>131</v>
      </c>
      <c r="BF1160" s="78" t="s">
        <v>131</v>
      </c>
      <c r="BG1160" s="78" t="s">
        <v>132</v>
      </c>
      <c r="BH1160" s="75" t="s">
        <v>5970</v>
      </c>
      <c r="BI1160" s="295" t="s">
        <v>3969</v>
      </c>
      <c r="BJ1160" s="546">
        <v>1</v>
      </c>
      <c r="BK1160" s="294" t="s">
        <v>16</v>
      </c>
      <c r="BL1160" s="157" t="s">
        <v>16</v>
      </c>
      <c r="BM1160" s="548" t="s">
        <v>1342</v>
      </c>
      <c r="BN1160" s="548" t="s">
        <v>544</v>
      </c>
      <c r="BO1160" s="157" t="s">
        <v>4591</v>
      </c>
      <c r="BP1160" s="548" t="s">
        <v>3969</v>
      </c>
      <c r="BQ1160" s="157" t="s">
        <v>4452</v>
      </c>
      <c r="BR1160" s="157"/>
    </row>
    <row r="1161" spans="1:70" x14ac:dyDescent="0.25">
      <c r="A1161" s="19" t="s">
        <v>3686</v>
      </c>
      <c r="B1161" s="37" t="s">
        <v>3470</v>
      </c>
      <c r="C1161" s="90">
        <v>45063.817337962966</v>
      </c>
      <c r="D1161" s="114">
        <v>45063.567337962966</v>
      </c>
      <c r="E1161" s="38">
        <v>45063</v>
      </c>
      <c r="F1161" s="91">
        <v>2023</v>
      </c>
      <c r="G1161" s="93">
        <v>5</v>
      </c>
      <c r="H1161" s="37" t="s">
        <v>3441</v>
      </c>
      <c r="I1161" s="37"/>
      <c r="J1161" s="103">
        <v>-91.259165729185298</v>
      </c>
      <c r="K1161" s="40">
        <v>43.964188022201753</v>
      </c>
      <c r="L1161" s="74"/>
      <c r="M1161" s="272" t="s">
        <v>3471</v>
      </c>
      <c r="N1161" s="74">
        <v>1</v>
      </c>
      <c r="O1161" s="94"/>
      <c r="P1161" s="118">
        <v>1</v>
      </c>
      <c r="Q1161" s="510">
        <v>80</v>
      </c>
      <c r="R1161" s="513">
        <v>0</v>
      </c>
      <c r="S1161" s="41"/>
      <c r="T1161" s="40"/>
      <c r="U1161" s="40">
        <v>7</v>
      </c>
      <c r="V1161" s="119">
        <v>1</v>
      </c>
      <c r="W1161" s="40">
        <v>100</v>
      </c>
      <c r="X1161" s="119">
        <v>1</v>
      </c>
      <c r="Y1161" s="40">
        <v>59</v>
      </c>
      <c r="Z1161" s="119">
        <v>1</v>
      </c>
      <c r="AA1161" s="368">
        <v>0</v>
      </c>
      <c r="AB1161" s="535">
        <v>2</v>
      </c>
      <c r="AC1161" s="39" t="s">
        <v>160</v>
      </c>
      <c r="AD1161" s="75" t="s">
        <v>8</v>
      </c>
      <c r="AE1161" s="95">
        <v>0</v>
      </c>
      <c r="AF1161" s="75">
        <v>1</v>
      </c>
      <c r="AG1161" s="75">
        <v>0</v>
      </c>
      <c r="AH1161" s="75">
        <v>0</v>
      </c>
      <c r="AI1161" s="75">
        <v>0</v>
      </c>
      <c r="AJ1161" s="75">
        <v>0</v>
      </c>
      <c r="AK1161" s="75">
        <v>0</v>
      </c>
      <c r="AL1161" s="95">
        <v>0</v>
      </c>
      <c r="AM1161" s="92">
        <v>0</v>
      </c>
      <c r="AN1161" s="79" t="s">
        <v>81</v>
      </c>
      <c r="AO1161" s="75">
        <v>1</v>
      </c>
      <c r="AP1161" s="75" t="s">
        <v>84</v>
      </c>
      <c r="AQ1161" s="122">
        <v>1</v>
      </c>
      <c r="AR1161" s="515" t="s">
        <v>10</v>
      </c>
      <c r="AS1161" s="95">
        <v>0</v>
      </c>
      <c r="AT1161" s="75">
        <v>0</v>
      </c>
      <c r="AU1161" s="75">
        <v>0</v>
      </c>
      <c r="AV1161" s="75">
        <v>0</v>
      </c>
      <c r="AW1161" s="123">
        <v>0</v>
      </c>
      <c r="AX1161" s="516" t="s">
        <v>3472</v>
      </c>
      <c r="AY1161" s="75">
        <v>1</v>
      </c>
      <c r="AZ1161" s="77" t="s">
        <v>131</v>
      </c>
      <c r="BA1161" s="78" t="s">
        <v>132</v>
      </c>
      <c r="BB1161" s="78" t="s">
        <v>131</v>
      </c>
      <c r="BC1161" s="78" t="s">
        <v>131</v>
      </c>
      <c r="BD1161" s="78" t="s">
        <v>131</v>
      </c>
      <c r="BE1161" s="78" t="s">
        <v>131</v>
      </c>
      <c r="BF1161" s="78" t="s">
        <v>131</v>
      </c>
      <c r="BG1161" s="78" t="s">
        <v>131</v>
      </c>
      <c r="BH1161" s="75" t="s">
        <v>5970</v>
      </c>
      <c r="BI1161" s="295" t="s">
        <v>16</v>
      </c>
      <c r="BJ1161" s="546">
        <v>1</v>
      </c>
      <c r="BK1161" s="294" t="s">
        <v>16</v>
      </c>
      <c r="BL1161" s="157" t="s">
        <v>16</v>
      </c>
      <c r="BM1161" s="548" t="s">
        <v>1342</v>
      </c>
      <c r="BN1161" s="548" t="s">
        <v>544</v>
      </c>
      <c r="BO1161" s="157" t="s">
        <v>4591</v>
      </c>
      <c r="BP1161" s="548" t="s">
        <v>3969</v>
      </c>
      <c r="BQ1161" s="157" t="s">
        <v>4452</v>
      </c>
      <c r="BR1161" s="157"/>
    </row>
    <row r="1162" spans="1:70" x14ac:dyDescent="0.25">
      <c r="A1162" s="19" t="s">
        <v>3686</v>
      </c>
      <c r="B1162" s="37" t="s">
        <v>3473</v>
      </c>
      <c r="C1162" s="90">
        <v>45063.816655092596</v>
      </c>
      <c r="D1162" s="114">
        <v>45063.566655092596</v>
      </c>
      <c r="E1162" s="38">
        <v>45063</v>
      </c>
      <c r="F1162" s="91">
        <v>2023</v>
      </c>
      <c r="G1162" s="93">
        <v>5</v>
      </c>
      <c r="H1162" s="37" t="s">
        <v>3346</v>
      </c>
      <c r="I1162" s="37" t="s">
        <v>16</v>
      </c>
      <c r="J1162" s="103">
        <v>-91.25917348007944</v>
      </c>
      <c r="K1162" s="40">
        <v>43.964111927467215</v>
      </c>
      <c r="L1162" s="74"/>
      <c r="M1162" s="272" t="s">
        <v>3474</v>
      </c>
      <c r="N1162" s="74">
        <v>1</v>
      </c>
      <c r="O1162" s="94"/>
      <c r="P1162" s="118">
        <v>1</v>
      </c>
      <c r="Q1162" s="510">
        <v>120</v>
      </c>
      <c r="R1162" s="513">
        <v>180</v>
      </c>
      <c r="S1162" s="41"/>
      <c r="T1162" s="40"/>
      <c r="U1162" s="40">
        <v>9</v>
      </c>
      <c r="V1162" s="119">
        <v>1</v>
      </c>
      <c r="W1162" s="40">
        <v>100</v>
      </c>
      <c r="X1162" s="119">
        <v>1</v>
      </c>
      <c r="Y1162" s="40">
        <v>58</v>
      </c>
      <c r="Z1162" s="119">
        <v>1</v>
      </c>
      <c r="AA1162" s="368">
        <v>0</v>
      </c>
      <c r="AB1162" s="535">
        <v>0</v>
      </c>
      <c r="AC1162" s="39" t="s">
        <v>160</v>
      </c>
      <c r="AD1162" s="75" t="s">
        <v>16</v>
      </c>
      <c r="AE1162" s="95">
        <v>-1</v>
      </c>
      <c r="AF1162" s="75">
        <v>-1</v>
      </c>
      <c r="AG1162" s="75">
        <v>-1</v>
      </c>
      <c r="AH1162" s="75">
        <v>-1</v>
      </c>
      <c r="AI1162" s="75">
        <v>-1</v>
      </c>
      <c r="AJ1162" s="75">
        <v>-1</v>
      </c>
      <c r="AK1162" s="75">
        <v>-1</v>
      </c>
      <c r="AL1162" s="95">
        <v>-1</v>
      </c>
      <c r="AM1162" s="92">
        <v>1</v>
      </c>
      <c r="AN1162" s="79" t="s">
        <v>81</v>
      </c>
      <c r="AO1162" s="75">
        <v>1</v>
      </c>
      <c r="AP1162" s="75" t="s">
        <v>84</v>
      </c>
      <c r="AQ1162" s="122">
        <v>1</v>
      </c>
      <c r="AR1162" s="515" t="s">
        <v>10</v>
      </c>
      <c r="AS1162" s="95">
        <v>0</v>
      </c>
      <c r="AT1162" s="75">
        <v>0</v>
      </c>
      <c r="AU1162" s="75">
        <v>0</v>
      </c>
      <c r="AV1162" s="75">
        <v>0</v>
      </c>
      <c r="AW1162" s="123">
        <v>0</v>
      </c>
      <c r="AX1162" s="516" t="s">
        <v>3475</v>
      </c>
      <c r="AY1162" s="75">
        <v>1</v>
      </c>
      <c r="AZ1162" s="77" t="s">
        <v>5971</v>
      </c>
      <c r="BA1162" s="78" t="s">
        <v>5971</v>
      </c>
      <c r="BB1162" s="78" t="s">
        <v>5971</v>
      </c>
      <c r="BC1162" s="78" t="s">
        <v>5971</v>
      </c>
      <c r="BD1162" s="78" t="s">
        <v>5971</v>
      </c>
      <c r="BE1162" s="78" t="s">
        <v>5971</v>
      </c>
      <c r="BF1162" s="78" t="s">
        <v>5971</v>
      </c>
      <c r="BG1162" s="78" t="s">
        <v>5971</v>
      </c>
      <c r="BH1162" s="75" t="s">
        <v>5971</v>
      </c>
      <c r="BI1162" s="295" t="s">
        <v>3969</v>
      </c>
      <c r="BJ1162" s="546">
        <v>1</v>
      </c>
      <c r="BK1162" s="294" t="s">
        <v>16</v>
      </c>
      <c r="BL1162" s="157" t="s">
        <v>16</v>
      </c>
      <c r="BM1162" s="548" t="s">
        <v>1342</v>
      </c>
      <c r="BN1162" s="548" t="s">
        <v>4160</v>
      </c>
      <c r="BO1162" s="157" t="s">
        <v>4591</v>
      </c>
      <c r="BP1162" s="548" t="s">
        <v>3969</v>
      </c>
      <c r="BQ1162" s="157" t="s">
        <v>4452</v>
      </c>
      <c r="BR1162" s="157"/>
    </row>
    <row r="1163" spans="1:70" x14ac:dyDescent="0.25">
      <c r="A1163" s="19" t="s">
        <v>3686</v>
      </c>
      <c r="B1163" s="37" t="s">
        <v>3476</v>
      </c>
      <c r="C1163" s="90">
        <v>45063.815983796296</v>
      </c>
      <c r="D1163" s="114">
        <v>45063.565983796296</v>
      </c>
      <c r="E1163" s="38">
        <v>45063</v>
      </c>
      <c r="F1163" s="91">
        <v>2023</v>
      </c>
      <c r="G1163" s="93">
        <v>5</v>
      </c>
      <c r="H1163" s="37" t="s">
        <v>3447</v>
      </c>
      <c r="I1163" s="37" t="s">
        <v>16</v>
      </c>
      <c r="J1163" s="103">
        <v>-91.259118799999996</v>
      </c>
      <c r="K1163" s="40">
        <v>43.964152400000003</v>
      </c>
      <c r="L1163" s="74"/>
      <c r="M1163" s="272" t="s">
        <v>3477</v>
      </c>
      <c r="N1163" s="74">
        <v>1</v>
      </c>
      <c r="O1163" s="94"/>
      <c r="P1163" s="118">
        <v>1</v>
      </c>
      <c r="Q1163" s="510">
        <v>40</v>
      </c>
      <c r="R1163" s="513">
        <v>180</v>
      </c>
      <c r="S1163" s="41"/>
      <c r="T1163" s="40"/>
      <c r="U1163" s="40">
        <v>8</v>
      </c>
      <c r="V1163" s="119">
        <v>0</v>
      </c>
      <c r="W1163" s="40"/>
      <c r="X1163" s="119">
        <v>1</v>
      </c>
      <c r="Y1163" s="40">
        <v>64</v>
      </c>
      <c r="Z1163" s="119">
        <v>1</v>
      </c>
      <c r="AA1163" s="368">
        <v>0</v>
      </c>
      <c r="AB1163" s="535">
        <v>2</v>
      </c>
      <c r="AC1163" s="39" t="s">
        <v>160</v>
      </c>
      <c r="AD1163" s="75" t="s">
        <v>16</v>
      </c>
      <c r="AE1163" s="95">
        <v>-1</v>
      </c>
      <c r="AF1163" s="75">
        <v>-1</v>
      </c>
      <c r="AG1163" s="75">
        <v>-1</v>
      </c>
      <c r="AH1163" s="75">
        <v>-1</v>
      </c>
      <c r="AI1163" s="75">
        <v>-1</v>
      </c>
      <c r="AJ1163" s="75">
        <v>-1</v>
      </c>
      <c r="AK1163" s="75">
        <v>-1</v>
      </c>
      <c r="AL1163" s="95">
        <v>-1</v>
      </c>
      <c r="AM1163" s="92">
        <v>1</v>
      </c>
      <c r="AN1163" s="79" t="s">
        <v>81</v>
      </c>
      <c r="AO1163" s="75">
        <v>1</v>
      </c>
      <c r="AP1163" s="75" t="s">
        <v>84</v>
      </c>
      <c r="AQ1163" s="122">
        <v>1</v>
      </c>
      <c r="AR1163" s="515" t="s">
        <v>10</v>
      </c>
      <c r="AS1163" s="95">
        <v>0</v>
      </c>
      <c r="AT1163" s="75">
        <v>0</v>
      </c>
      <c r="AU1163" s="75">
        <v>0</v>
      </c>
      <c r="AV1163" s="75">
        <v>0</v>
      </c>
      <c r="AW1163" s="123">
        <v>0</v>
      </c>
      <c r="AX1163" s="516" t="s">
        <v>3478</v>
      </c>
      <c r="AY1163" s="75">
        <v>1</v>
      </c>
      <c r="AZ1163" s="77" t="s">
        <v>5971</v>
      </c>
      <c r="BA1163" s="78" t="s">
        <v>5971</v>
      </c>
      <c r="BB1163" s="78" t="s">
        <v>5971</v>
      </c>
      <c r="BC1163" s="78" t="s">
        <v>5971</v>
      </c>
      <c r="BD1163" s="78" t="s">
        <v>5971</v>
      </c>
      <c r="BE1163" s="78" t="s">
        <v>5971</v>
      </c>
      <c r="BF1163" s="78" t="s">
        <v>5971</v>
      </c>
      <c r="BG1163" s="78" t="s">
        <v>5971</v>
      </c>
      <c r="BH1163" s="75" t="s">
        <v>5971</v>
      </c>
      <c r="BI1163" s="295" t="s">
        <v>3969</v>
      </c>
      <c r="BJ1163" s="546">
        <v>1</v>
      </c>
      <c r="BK1163" s="294" t="s">
        <v>16</v>
      </c>
      <c r="BL1163" s="157" t="s">
        <v>16</v>
      </c>
      <c r="BM1163" s="548" t="s">
        <v>1342</v>
      </c>
      <c r="BN1163" s="548" t="s">
        <v>544</v>
      </c>
      <c r="BO1163" s="157" t="s">
        <v>4591</v>
      </c>
      <c r="BP1163" s="548" t="s">
        <v>3969</v>
      </c>
      <c r="BQ1163" s="157" t="s">
        <v>4452</v>
      </c>
      <c r="BR1163" s="157"/>
    </row>
    <row r="1164" spans="1:70" x14ac:dyDescent="0.25">
      <c r="A1164" s="19" t="s">
        <v>3686</v>
      </c>
      <c r="B1164" s="37" t="s">
        <v>3479</v>
      </c>
      <c r="C1164" s="90">
        <v>45063.708113425928</v>
      </c>
      <c r="D1164" s="114">
        <v>45063.458113425928</v>
      </c>
      <c r="E1164" s="38">
        <v>45063</v>
      </c>
      <c r="F1164" s="91">
        <v>2023</v>
      </c>
      <c r="G1164" s="93">
        <v>5</v>
      </c>
      <c r="H1164" s="37" t="s">
        <v>1378</v>
      </c>
      <c r="I1164" s="37" t="s">
        <v>16</v>
      </c>
      <c r="J1164" s="103">
        <v>-91.22167886681828</v>
      </c>
      <c r="K1164" s="40">
        <v>43.817138116101965</v>
      </c>
      <c r="L1164" s="74"/>
      <c r="M1164" s="272" t="s">
        <v>16</v>
      </c>
      <c r="N1164" s="74">
        <v>0</v>
      </c>
      <c r="O1164" s="94"/>
      <c r="P1164" s="118">
        <v>0</v>
      </c>
      <c r="Q1164" s="510"/>
      <c r="R1164" s="513"/>
      <c r="S1164" s="41"/>
      <c r="T1164" s="40"/>
      <c r="U1164" s="40"/>
      <c r="V1164" s="119">
        <v>1</v>
      </c>
      <c r="W1164" s="40">
        <v>100</v>
      </c>
      <c r="X1164" s="119">
        <v>1</v>
      </c>
      <c r="Y1164" s="40">
        <v>53</v>
      </c>
      <c r="Z1164" s="119">
        <v>0</v>
      </c>
      <c r="AA1164" s="368" t="s">
        <v>16</v>
      </c>
      <c r="AB1164" s="535" t="s">
        <v>16</v>
      </c>
      <c r="AC1164" s="39" t="s">
        <v>161</v>
      </c>
      <c r="AD1164" s="75" t="s">
        <v>16</v>
      </c>
      <c r="AE1164" s="95">
        <v>-1</v>
      </c>
      <c r="AF1164" s="75">
        <v>-1</v>
      </c>
      <c r="AG1164" s="75">
        <v>-1</v>
      </c>
      <c r="AH1164" s="75">
        <v>-1</v>
      </c>
      <c r="AI1164" s="75">
        <v>-1</v>
      </c>
      <c r="AJ1164" s="75">
        <v>-1</v>
      </c>
      <c r="AK1164" s="75">
        <v>-1</v>
      </c>
      <c r="AL1164" s="95">
        <v>-1</v>
      </c>
      <c r="AM1164" s="92">
        <v>1</v>
      </c>
      <c r="AN1164" s="79" t="s">
        <v>16</v>
      </c>
      <c r="AO1164" s="75">
        <v>0</v>
      </c>
      <c r="AP1164" s="75"/>
      <c r="AQ1164" s="122">
        <v>0</v>
      </c>
      <c r="AR1164" s="515" t="s">
        <v>10</v>
      </c>
      <c r="AS1164" s="95">
        <v>0</v>
      </c>
      <c r="AT1164" s="75">
        <v>0</v>
      </c>
      <c r="AU1164" s="75">
        <v>0</v>
      </c>
      <c r="AV1164" s="75">
        <v>0</v>
      </c>
      <c r="AW1164" s="123">
        <v>0</v>
      </c>
      <c r="AX1164" s="516" t="s">
        <v>16</v>
      </c>
      <c r="AY1164" s="75">
        <v>0</v>
      </c>
      <c r="AZ1164" s="77" t="s">
        <v>5971</v>
      </c>
      <c r="BA1164" s="78" t="s">
        <v>5971</v>
      </c>
      <c r="BB1164" s="78" t="s">
        <v>5971</v>
      </c>
      <c r="BC1164" s="78" t="s">
        <v>5971</v>
      </c>
      <c r="BD1164" s="78" t="s">
        <v>5971</v>
      </c>
      <c r="BE1164" s="78" t="s">
        <v>5971</v>
      </c>
      <c r="BF1164" s="78" t="s">
        <v>5971</v>
      </c>
      <c r="BG1164" s="78" t="s">
        <v>5971</v>
      </c>
      <c r="BH1164" s="75" t="s">
        <v>5971</v>
      </c>
      <c r="BI1164" s="295" t="s">
        <v>16</v>
      </c>
      <c r="BJ1164" s="546" t="s">
        <v>16</v>
      </c>
      <c r="BK1164" s="294" t="s">
        <v>16</v>
      </c>
      <c r="BL1164" s="157" t="s">
        <v>16</v>
      </c>
      <c r="BM1164" s="548" t="s">
        <v>1342</v>
      </c>
      <c r="BN1164" s="548" t="s">
        <v>4158</v>
      </c>
      <c r="BO1164" s="157" t="s">
        <v>4615</v>
      </c>
      <c r="BP1164" s="548" t="s">
        <v>4617</v>
      </c>
      <c r="BQ1164" s="157" t="s">
        <v>4339</v>
      </c>
      <c r="BR1164" s="157"/>
    </row>
    <row r="1165" spans="1:70" x14ac:dyDescent="0.25">
      <c r="A1165" s="19" t="s">
        <v>3686</v>
      </c>
      <c r="B1165" s="37" t="s">
        <v>3480</v>
      </c>
      <c r="C1165" s="90">
        <v>45061.955555555556</v>
      </c>
      <c r="D1165" s="114">
        <v>45061.705555555556</v>
      </c>
      <c r="E1165" s="38">
        <v>45061</v>
      </c>
      <c r="F1165" s="91">
        <v>2023</v>
      </c>
      <c r="G1165" s="93">
        <v>5</v>
      </c>
      <c r="H1165" s="37" t="s">
        <v>621</v>
      </c>
      <c r="I1165" s="37" t="s">
        <v>960</v>
      </c>
      <c r="J1165" s="103">
        <v>-93.009108016354034</v>
      </c>
      <c r="K1165" s="40">
        <v>44.657235229429467</v>
      </c>
      <c r="L1165" s="74"/>
      <c r="M1165" s="272" t="s">
        <v>16</v>
      </c>
      <c r="N1165" s="74">
        <v>0</v>
      </c>
      <c r="O1165" s="94"/>
      <c r="P1165" s="118">
        <v>1</v>
      </c>
      <c r="Q1165" s="510">
        <v>120</v>
      </c>
      <c r="R1165" s="513">
        <v>120</v>
      </c>
      <c r="S1165" s="41"/>
      <c r="T1165" s="40"/>
      <c r="U1165" s="40">
        <v>8</v>
      </c>
      <c r="V1165" s="119">
        <v>1</v>
      </c>
      <c r="W1165" s="40">
        <v>100</v>
      </c>
      <c r="X1165" s="119">
        <v>1</v>
      </c>
      <c r="Y1165" s="40">
        <v>58</v>
      </c>
      <c r="Z1165" s="119">
        <v>1</v>
      </c>
      <c r="AA1165" s="368">
        <v>0</v>
      </c>
      <c r="AB1165" s="535">
        <v>2</v>
      </c>
      <c r="AC1165" s="39"/>
      <c r="AD1165" s="75" t="s">
        <v>10</v>
      </c>
      <c r="AE1165" s="95">
        <v>0</v>
      </c>
      <c r="AF1165" s="75">
        <v>0</v>
      </c>
      <c r="AG1165" s="75">
        <v>0</v>
      </c>
      <c r="AH1165" s="75">
        <v>0</v>
      </c>
      <c r="AI1165" s="75">
        <v>0</v>
      </c>
      <c r="AJ1165" s="75">
        <v>0</v>
      </c>
      <c r="AK1165" s="75">
        <v>0</v>
      </c>
      <c r="AL1165" s="95">
        <v>1</v>
      </c>
      <c r="AM1165" s="92">
        <v>0</v>
      </c>
      <c r="AN1165" s="79" t="s">
        <v>195</v>
      </c>
      <c r="AO1165" s="75">
        <v>1</v>
      </c>
      <c r="AP1165" s="75" t="s">
        <v>84</v>
      </c>
      <c r="AQ1165" s="122">
        <v>1</v>
      </c>
      <c r="AR1165" s="515" t="s">
        <v>13</v>
      </c>
      <c r="AS1165" s="95">
        <v>1</v>
      </c>
      <c r="AT1165" s="75">
        <v>0</v>
      </c>
      <c r="AU1165" s="75">
        <v>0</v>
      </c>
      <c r="AV1165" s="75">
        <v>0</v>
      </c>
      <c r="AW1165" s="123">
        <v>0</v>
      </c>
      <c r="AX1165" s="516" t="s">
        <v>3481</v>
      </c>
      <c r="AY1165" s="75">
        <v>1</v>
      </c>
      <c r="AZ1165" s="77" t="s">
        <v>131</v>
      </c>
      <c r="BA1165" s="78" t="s">
        <v>131</v>
      </c>
      <c r="BB1165" s="78" t="s">
        <v>131</v>
      </c>
      <c r="BC1165" s="78" t="s">
        <v>131</v>
      </c>
      <c r="BD1165" s="78" t="s">
        <v>131</v>
      </c>
      <c r="BE1165" s="78" t="s">
        <v>131</v>
      </c>
      <c r="BF1165" s="78" t="s">
        <v>131</v>
      </c>
      <c r="BG1165" s="78" t="s">
        <v>132</v>
      </c>
      <c r="BH1165" s="75" t="s">
        <v>5970</v>
      </c>
      <c r="BI1165" s="295" t="s">
        <v>2225</v>
      </c>
      <c r="BJ1165" s="546">
        <v>1</v>
      </c>
      <c r="BK1165" s="294" t="s">
        <v>16</v>
      </c>
      <c r="BL1165" s="157" t="s">
        <v>16</v>
      </c>
      <c r="BM1165" s="548" t="s">
        <v>2343</v>
      </c>
      <c r="BN1165" s="548" t="s">
        <v>4161</v>
      </c>
      <c r="BO1165" s="157" t="s">
        <v>4293</v>
      </c>
      <c r="BP1165" s="548" t="s">
        <v>2225</v>
      </c>
      <c r="BQ1165" s="157" t="s">
        <v>4292</v>
      </c>
      <c r="BR1165" s="157"/>
    </row>
    <row r="1166" spans="1:70" x14ac:dyDescent="0.25">
      <c r="A1166" s="19" t="s">
        <v>3686</v>
      </c>
      <c r="B1166" s="37" t="s">
        <v>3482</v>
      </c>
      <c r="C1166" s="90">
        <v>45061.862430555557</v>
      </c>
      <c r="D1166" s="114">
        <v>45061.612430555557</v>
      </c>
      <c r="E1166" s="38">
        <v>45061</v>
      </c>
      <c r="F1166" s="91">
        <v>2023</v>
      </c>
      <c r="G1166" s="93">
        <v>5</v>
      </c>
      <c r="H1166" s="37" t="s">
        <v>1616</v>
      </c>
      <c r="I1166" s="37" t="s">
        <v>1212</v>
      </c>
      <c r="J1166" s="103">
        <v>-92.236521199999999</v>
      </c>
      <c r="K1166" s="40">
        <v>44.840247300000001</v>
      </c>
      <c r="L1166" s="74"/>
      <c r="M1166" s="272" t="s">
        <v>3483</v>
      </c>
      <c r="N1166" s="74">
        <v>1</v>
      </c>
      <c r="O1166" s="94"/>
      <c r="P1166" s="118">
        <v>1</v>
      </c>
      <c r="Q1166" s="510">
        <v>80</v>
      </c>
      <c r="R1166" s="513">
        <v>60</v>
      </c>
      <c r="S1166" s="41"/>
      <c r="T1166" s="40"/>
      <c r="U1166" s="40">
        <v>7.5</v>
      </c>
      <c r="V1166" s="119">
        <v>1</v>
      </c>
      <c r="W1166" s="40">
        <v>0</v>
      </c>
      <c r="X1166" s="119">
        <v>1</v>
      </c>
      <c r="Y1166" s="40">
        <v>62</v>
      </c>
      <c r="Z1166" s="119">
        <v>1</v>
      </c>
      <c r="AA1166" s="368">
        <v>0</v>
      </c>
      <c r="AB1166" s="535">
        <v>0</v>
      </c>
      <c r="AC1166" s="39" t="s">
        <v>160</v>
      </c>
      <c r="AD1166" s="75" t="s">
        <v>10</v>
      </c>
      <c r="AE1166" s="95">
        <v>0</v>
      </c>
      <c r="AF1166" s="75">
        <v>0</v>
      </c>
      <c r="AG1166" s="75">
        <v>0</v>
      </c>
      <c r="AH1166" s="75">
        <v>0</v>
      </c>
      <c r="AI1166" s="75">
        <v>0</v>
      </c>
      <c r="AJ1166" s="75">
        <v>0</v>
      </c>
      <c r="AK1166" s="75">
        <v>0</v>
      </c>
      <c r="AL1166" s="95">
        <v>1</v>
      </c>
      <c r="AM1166" s="92">
        <v>0</v>
      </c>
      <c r="AN1166" s="79" t="s">
        <v>80</v>
      </c>
      <c r="AO1166" s="75">
        <v>1</v>
      </c>
      <c r="AP1166" s="75" t="s">
        <v>83</v>
      </c>
      <c r="AQ1166" s="122">
        <v>1</v>
      </c>
      <c r="AR1166" s="515" t="s">
        <v>10</v>
      </c>
      <c r="AS1166" s="95">
        <v>0</v>
      </c>
      <c r="AT1166" s="75">
        <v>0</v>
      </c>
      <c r="AU1166" s="75">
        <v>0</v>
      </c>
      <c r="AV1166" s="75">
        <v>0</v>
      </c>
      <c r="AW1166" s="123">
        <v>0</v>
      </c>
      <c r="AX1166" s="516"/>
      <c r="AY1166" s="75">
        <v>0</v>
      </c>
      <c r="AZ1166" s="77" t="s">
        <v>131</v>
      </c>
      <c r="BA1166" s="78" t="s">
        <v>131</v>
      </c>
      <c r="BB1166" s="78" t="s">
        <v>131</v>
      </c>
      <c r="BC1166" s="78" t="s">
        <v>131</v>
      </c>
      <c r="BD1166" s="78" t="s">
        <v>131</v>
      </c>
      <c r="BE1166" s="78" t="s">
        <v>131</v>
      </c>
      <c r="BF1166" s="78" t="s">
        <v>131</v>
      </c>
      <c r="BG1166" s="78" t="s">
        <v>132</v>
      </c>
      <c r="BH1166" s="75" t="s">
        <v>5970</v>
      </c>
      <c r="BI1166" s="295" t="s">
        <v>2247</v>
      </c>
      <c r="BJ1166" s="546">
        <v>1</v>
      </c>
      <c r="BK1166" s="294">
        <v>1</v>
      </c>
      <c r="BL1166" s="157">
        <v>1</v>
      </c>
      <c r="BM1166" s="548" t="s">
        <v>578</v>
      </c>
      <c r="BN1166" s="548" t="s">
        <v>578</v>
      </c>
      <c r="BO1166" s="157" t="s">
        <v>4318</v>
      </c>
      <c r="BP1166" s="548" t="s">
        <v>4439</v>
      </c>
      <c r="BQ1166" s="157" t="s">
        <v>4316</v>
      </c>
      <c r="BR1166" s="157"/>
    </row>
    <row r="1167" spans="1:70" x14ac:dyDescent="0.25">
      <c r="A1167" s="19" t="s">
        <v>3686</v>
      </c>
      <c r="B1167" s="37" t="s">
        <v>3484</v>
      </c>
      <c r="C1167" s="90">
        <v>45061.751666666663</v>
      </c>
      <c r="D1167" s="114">
        <v>45061.501666666663</v>
      </c>
      <c r="E1167" s="38">
        <v>45061</v>
      </c>
      <c r="F1167" s="91">
        <v>2023</v>
      </c>
      <c r="G1167" s="93">
        <v>5</v>
      </c>
      <c r="H1167" s="37" t="s">
        <v>1386</v>
      </c>
      <c r="I1167" s="37"/>
      <c r="J1167" s="103">
        <v>-92.293058400000007</v>
      </c>
      <c r="K1167" s="40">
        <v>43.724249399999998</v>
      </c>
      <c r="L1167" s="74"/>
      <c r="M1167" s="272" t="s">
        <v>3485</v>
      </c>
      <c r="N1167" s="74">
        <v>1</v>
      </c>
      <c r="O1167" s="94"/>
      <c r="P1167" s="118">
        <v>1</v>
      </c>
      <c r="Q1167" s="510">
        <v>180</v>
      </c>
      <c r="R1167" s="513">
        <v>180</v>
      </c>
      <c r="S1167" s="41"/>
      <c r="T1167" s="40"/>
      <c r="U1167" s="40">
        <v>7</v>
      </c>
      <c r="V1167" s="119">
        <v>1</v>
      </c>
      <c r="W1167" s="40">
        <v>100</v>
      </c>
      <c r="X1167" s="119">
        <v>1</v>
      </c>
      <c r="Y1167" s="40">
        <v>53</v>
      </c>
      <c r="Z1167" s="119">
        <v>1</v>
      </c>
      <c r="AA1167" s="368">
        <v>0</v>
      </c>
      <c r="AB1167" s="535">
        <v>2</v>
      </c>
      <c r="AC1167" s="39" t="s">
        <v>160</v>
      </c>
      <c r="AD1167" s="75" t="s">
        <v>10</v>
      </c>
      <c r="AE1167" s="95">
        <v>0</v>
      </c>
      <c r="AF1167" s="75">
        <v>0</v>
      </c>
      <c r="AG1167" s="75">
        <v>0</v>
      </c>
      <c r="AH1167" s="75">
        <v>0</v>
      </c>
      <c r="AI1167" s="75">
        <v>0</v>
      </c>
      <c r="AJ1167" s="75">
        <v>0</v>
      </c>
      <c r="AK1167" s="75">
        <v>0</v>
      </c>
      <c r="AL1167" s="95">
        <v>1</v>
      </c>
      <c r="AM1167" s="92">
        <v>0</v>
      </c>
      <c r="AN1167" s="79" t="s">
        <v>81</v>
      </c>
      <c r="AO1167" s="75">
        <v>1</v>
      </c>
      <c r="AP1167" s="75" t="s">
        <v>84</v>
      </c>
      <c r="AQ1167" s="122">
        <v>1</v>
      </c>
      <c r="AR1167" s="515" t="s">
        <v>13</v>
      </c>
      <c r="AS1167" s="95">
        <v>1</v>
      </c>
      <c r="AT1167" s="75">
        <v>0</v>
      </c>
      <c r="AU1167" s="75">
        <v>0</v>
      </c>
      <c r="AV1167" s="75">
        <v>0</v>
      </c>
      <c r="AW1167" s="123">
        <v>0</v>
      </c>
      <c r="AX1167" s="516"/>
      <c r="AY1167" s="75">
        <v>0</v>
      </c>
      <c r="AZ1167" s="77" t="s">
        <v>131</v>
      </c>
      <c r="BA1167" s="78" t="s">
        <v>131</v>
      </c>
      <c r="BB1167" s="78" t="s">
        <v>131</v>
      </c>
      <c r="BC1167" s="78" t="s">
        <v>131</v>
      </c>
      <c r="BD1167" s="78" t="s">
        <v>131</v>
      </c>
      <c r="BE1167" s="78" t="s">
        <v>131</v>
      </c>
      <c r="BF1167" s="78" t="s">
        <v>131</v>
      </c>
      <c r="BG1167" s="78" t="s">
        <v>132</v>
      </c>
      <c r="BH1167" s="75" t="s">
        <v>5970</v>
      </c>
      <c r="BI1167" s="295" t="s">
        <v>2230</v>
      </c>
      <c r="BJ1167" s="546">
        <v>1</v>
      </c>
      <c r="BK1167" s="294" t="s">
        <v>16</v>
      </c>
      <c r="BL1167" s="157" t="s">
        <v>16</v>
      </c>
      <c r="BM1167" s="548" t="s">
        <v>1339</v>
      </c>
      <c r="BN1167" s="548" t="s">
        <v>1339</v>
      </c>
      <c r="BO1167" s="157" t="s">
        <v>4227</v>
      </c>
      <c r="BP1167" s="548" t="s">
        <v>2230</v>
      </c>
      <c r="BQ1167" s="157" t="s">
        <v>4226</v>
      </c>
      <c r="BR1167" s="157"/>
    </row>
    <row r="1168" spans="1:70" x14ac:dyDescent="0.25">
      <c r="A1168" s="19" t="s">
        <v>3686</v>
      </c>
      <c r="B1168" s="37" t="s">
        <v>3486</v>
      </c>
      <c r="C1168" s="90">
        <v>45061.702430555553</v>
      </c>
      <c r="D1168" s="114">
        <v>45061.452430555553</v>
      </c>
      <c r="E1168" s="38">
        <v>45061</v>
      </c>
      <c r="F1168" s="91">
        <v>2023</v>
      </c>
      <c r="G1168" s="93">
        <v>5</v>
      </c>
      <c r="H1168" s="37" t="s">
        <v>1386</v>
      </c>
      <c r="I1168" s="37"/>
      <c r="J1168" s="103">
        <v>-92.343645899999999</v>
      </c>
      <c r="K1168" s="40">
        <v>43.6017905</v>
      </c>
      <c r="L1168" s="74"/>
      <c r="M1168" s="272" t="s">
        <v>3487</v>
      </c>
      <c r="N1168" s="74">
        <v>1</v>
      </c>
      <c r="O1168" s="94"/>
      <c r="P1168" s="118">
        <v>1</v>
      </c>
      <c r="Q1168" s="510">
        <v>180</v>
      </c>
      <c r="R1168" s="513">
        <v>180</v>
      </c>
      <c r="S1168" s="41"/>
      <c r="T1168" s="40"/>
      <c r="U1168" s="40">
        <v>7.5</v>
      </c>
      <c r="V1168" s="119">
        <v>1</v>
      </c>
      <c r="W1168" s="40">
        <v>100</v>
      </c>
      <c r="X1168" s="119">
        <v>1</v>
      </c>
      <c r="Y1168" s="40">
        <v>53</v>
      </c>
      <c r="Z1168" s="119">
        <v>1</v>
      </c>
      <c r="AA1168" s="368">
        <v>0</v>
      </c>
      <c r="AB1168" s="535">
        <v>5</v>
      </c>
      <c r="AC1168" s="39" t="s">
        <v>160</v>
      </c>
      <c r="AD1168" s="75" t="s">
        <v>10</v>
      </c>
      <c r="AE1168" s="95">
        <v>0</v>
      </c>
      <c r="AF1168" s="75">
        <v>0</v>
      </c>
      <c r="AG1168" s="75">
        <v>0</v>
      </c>
      <c r="AH1168" s="75">
        <v>0</v>
      </c>
      <c r="AI1168" s="75">
        <v>0</v>
      </c>
      <c r="AJ1168" s="75">
        <v>0</v>
      </c>
      <c r="AK1168" s="75">
        <v>0</v>
      </c>
      <c r="AL1168" s="95">
        <v>1</v>
      </c>
      <c r="AM1168" s="92">
        <v>0</v>
      </c>
      <c r="AN1168" s="79" t="s">
        <v>81</v>
      </c>
      <c r="AO1168" s="75">
        <v>1</v>
      </c>
      <c r="AP1168" s="75" t="s">
        <v>84</v>
      </c>
      <c r="AQ1168" s="122">
        <v>1</v>
      </c>
      <c r="AR1168" s="515" t="s">
        <v>13</v>
      </c>
      <c r="AS1168" s="95">
        <v>1</v>
      </c>
      <c r="AT1168" s="75">
        <v>0</v>
      </c>
      <c r="AU1168" s="75">
        <v>0</v>
      </c>
      <c r="AV1168" s="75">
        <v>0</v>
      </c>
      <c r="AW1168" s="123">
        <v>0</v>
      </c>
      <c r="AX1168" s="516"/>
      <c r="AY1168" s="75">
        <v>0</v>
      </c>
      <c r="AZ1168" s="77" t="s">
        <v>131</v>
      </c>
      <c r="BA1168" s="78" t="s">
        <v>131</v>
      </c>
      <c r="BB1168" s="78" t="s">
        <v>131</v>
      </c>
      <c r="BC1168" s="78" t="s">
        <v>131</v>
      </c>
      <c r="BD1168" s="78" t="s">
        <v>131</v>
      </c>
      <c r="BE1168" s="78" t="s">
        <v>131</v>
      </c>
      <c r="BF1168" s="78" t="s">
        <v>131</v>
      </c>
      <c r="BG1168" s="78" t="s">
        <v>132</v>
      </c>
      <c r="BH1168" s="75" t="s">
        <v>5970</v>
      </c>
      <c r="BI1168" s="295" t="s">
        <v>2294</v>
      </c>
      <c r="BJ1168" s="546">
        <v>1</v>
      </c>
      <c r="BK1168" s="294" t="s">
        <v>16</v>
      </c>
      <c r="BL1168" s="157" t="s">
        <v>16</v>
      </c>
      <c r="BM1168" s="548" t="s">
        <v>1339</v>
      </c>
      <c r="BN1168" s="548" t="s">
        <v>1339</v>
      </c>
      <c r="BO1168" s="157" t="s">
        <v>4230</v>
      </c>
      <c r="BP1168" s="548" t="s">
        <v>4231</v>
      </c>
      <c r="BQ1168" s="157" t="s">
        <v>4229</v>
      </c>
      <c r="BR1168" s="157"/>
    </row>
    <row r="1169" spans="1:70" x14ac:dyDescent="0.25">
      <c r="A1169" s="19" t="s">
        <v>3686</v>
      </c>
      <c r="B1169" s="37" t="s">
        <v>3488</v>
      </c>
      <c r="C1169" s="90">
        <v>45061.670266203706</v>
      </c>
      <c r="D1169" s="114">
        <v>45061.420266203706</v>
      </c>
      <c r="E1169" s="38">
        <v>45061</v>
      </c>
      <c r="F1169" s="91">
        <v>2023</v>
      </c>
      <c r="G1169" s="93">
        <v>5</v>
      </c>
      <c r="H1169" s="37" t="s">
        <v>201</v>
      </c>
      <c r="I1169" s="37"/>
      <c r="J1169" s="103">
        <v>-92.732043933268017</v>
      </c>
      <c r="K1169" s="40">
        <v>44.831078204347151</v>
      </c>
      <c r="L1169" s="74"/>
      <c r="M1169" s="272" t="s">
        <v>16</v>
      </c>
      <c r="N1169" s="74">
        <v>0</v>
      </c>
      <c r="O1169" s="94"/>
      <c r="P1169" s="118">
        <v>1</v>
      </c>
      <c r="Q1169" s="510">
        <v>180</v>
      </c>
      <c r="R1169" s="513">
        <v>180</v>
      </c>
      <c r="S1169" s="41"/>
      <c r="T1169" s="40"/>
      <c r="U1169" s="40">
        <v>7.5</v>
      </c>
      <c r="V1169" s="119">
        <v>1</v>
      </c>
      <c r="W1169" s="40">
        <v>0</v>
      </c>
      <c r="X1169" s="119">
        <v>1</v>
      </c>
      <c r="Y1169" s="40">
        <v>54</v>
      </c>
      <c r="Z1169" s="119">
        <v>1</v>
      </c>
      <c r="AA1169" s="368">
        <v>0</v>
      </c>
      <c r="AB1169" s="535">
        <v>5</v>
      </c>
      <c r="AC1169" s="39" t="s">
        <v>160</v>
      </c>
      <c r="AD1169" s="75" t="s">
        <v>8</v>
      </c>
      <c r="AE1169" s="95">
        <v>0</v>
      </c>
      <c r="AF1169" s="75">
        <v>1</v>
      </c>
      <c r="AG1169" s="75">
        <v>0</v>
      </c>
      <c r="AH1169" s="75">
        <v>0</v>
      </c>
      <c r="AI1169" s="75">
        <v>0</v>
      </c>
      <c r="AJ1169" s="75">
        <v>0</v>
      </c>
      <c r="AK1169" s="75">
        <v>0</v>
      </c>
      <c r="AL1169" s="95">
        <v>0</v>
      </c>
      <c r="AM1169" s="92">
        <v>0</v>
      </c>
      <c r="AN1169" s="79" t="s">
        <v>80</v>
      </c>
      <c r="AO1169" s="75">
        <v>1</v>
      </c>
      <c r="AP1169" s="75" t="s">
        <v>83</v>
      </c>
      <c r="AQ1169" s="122">
        <v>1</v>
      </c>
      <c r="AR1169" s="515" t="s">
        <v>13</v>
      </c>
      <c r="AS1169" s="95">
        <v>1</v>
      </c>
      <c r="AT1169" s="75">
        <v>0</v>
      </c>
      <c r="AU1169" s="75">
        <v>0</v>
      </c>
      <c r="AV1169" s="75">
        <v>0</v>
      </c>
      <c r="AW1169" s="123">
        <v>0</v>
      </c>
      <c r="AX1169" s="516" t="s">
        <v>1537</v>
      </c>
      <c r="AY1169" s="75">
        <v>1</v>
      </c>
      <c r="AZ1169" s="77" t="s">
        <v>131</v>
      </c>
      <c r="BA1169" s="78" t="s">
        <v>132</v>
      </c>
      <c r="BB1169" s="78" t="s">
        <v>131</v>
      </c>
      <c r="BC1169" s="78" t="s">
        <v>131</v>
      </c>
      <c r="BD1169" s="78" t="s">
        <v>131</v>
      </c>
      <c r="BE1169" s="78" t="s">
        <v>131</v>
      </c>
      <c r="BF1169" s="78" t="s">
        <v>131</v>
      </c>
      <c r="BG1169" s="78" t="s">
        <v>131</v>
      </c>
      <c r="BH1169" s="75" t="s">
        <v>5970</v>
      </c>
      <c r="BI1169" s="295" t="s">
        <v>2227</v>
      </c>
      <c r="BJ1169" s="546">
        <v>1</v>
      </c>
      <c r="BK1169" s="294" t="s">
        <v>16</v>
      </c>
      <c r="BL1169" s="157" t="s">
        <v>16</v>
      </c>
      <c r="BM1169" s="548" t="s">
        <v>578</v>
      </c>
      <c r="BN1169" s="548" t="s">
        <v>578</v>
      </c>
      <c r="BO1169" s="157" t="s">
        <v>4341</v>
      </c>
      <c r="BP1169" s="548" t="s">
        <v>4343</v>
      </c>
      <c r="BQ1169" s="157" t="s">
        <v>4309</v>
      </c>
      <c r="BR1169" s="157"/>
    </row>
    <row r="1170" spans="1:70" x14ac:dyDescent="0.25">
      <c r="A1170" s="19" t="s">
        <v>3686</v>
      </c>
      <c r="B1170" s="37" t="s">
        <v>3489</v>
      </c>
      <c r="C1170" s="90">
        <v>45060.664259259262</v>
      </c>
      <c r="D1170" s="114">
        <v>45060.414259259262</v>
      </c>
      <c r="E1170" s="38">
        <v>45060</v>
      </c>
      <c r="F1170" s="91">
        <v>2023</v>
      </c>
      <c r="G1170" s="93">
        <v>5</v>
      </c>
      <c r="H1170" s="37" t="s">
        <v>618</v>
      </c>
      <c r="I1170" s="37" t="s">
        <v>753</v>
      </c>
      <c r="J1170" s="103">
        <v>-92.802108687452318</v>
      </c>
      <c r="K1170" s="40">
        <v>44.543018166876038</v>
      </c>
      <c r="L1170" s="74"/>
      <c r="M1170" s="272" t="s">
        <v>16</v>
      </c>
      <c r="N1170" s="74">
        <v>0</v>
      </c>
      <c r="O1170" s="94"/>
      <c r="P1170" s="118">
        <v>1</v>
      </c>
      <c r="Q1170" s="510">
        <v>0</v>
      </c>
      <c r="R1170" s="513">
        <v>0</v>
      </c>
      <c r="S1170" s="41"/>
      <c r="T1170" s="40"/>
      <c r="U1170" s="40">
        <v>7.5</v>
      </c>
      <c r="V1170" s="119">
        <v>1</v>
      </c>
      <c r="W1170" s="40">
        <v>100</v>
      </c>
      <c r="X1170" s="119">
        <v>1</v>
      </c>
      <c r="Y1170" s="40">
        <v>51</v>
      </c>
      <c r="Z1170" s="119">
        <v>1</v>
      </c>
      <c r="AA1170" s="368">
        <v>0</v>
      </c>
      <c r="AB1170" s="535">
        <v>10</v>
      </c>
      <c r="AC1170" s="39" t="s">
        <v>160</v>
      </c>
      <c r="AD1170" s="75" t="s">
        <v>10</v>
      </c>
      <c r="AE1170" s="95">
        <v>0</v>
      </c>
      <c r="AF1170" s="75">
        <v>0</v>
      </c>
      <c r="AG1170" s="75">
        <v>0</v>
      </c>
      <c r="AH1170" s="75">
        <v>0</v>
      </c>
      <c r="AI1170" s="75">
        <v>0</v>
      </c>
      <c r="AJ1170" s="75">
        <v>0</v>
      </c>
      <c r="AK1170" s="75">
        <v>0</v>
      </c>
      <c r="AL1170" s="95">
        <v>1</v>
      </c>
      <c r="AM1170" s="92">
        <v>0</v>
      </c>
      <c r="AN1170" s="79" t="s">
        <v>81</v>
      </c>
      <c r="AO1170" s="75">
        <v>1</v>
      </c>
      <c r="AP1170" s="75" t="s">
        <v>83</v>
      </c>
      <c r="AQ1170" s="122">
        <v>1</v>
      </c>
      <c r="AR1170" s="515" t="s">
        <v>13</v>
      </c>
      <c r="AS1170" s="95">
        <v>1</v>
      </c>
      <c r="AT1170" s="75">
        <v>0</v>
      </c>
      <c r="AU1170" s="75">
        <v>0</v>
      </c>
      <c r="AV1170" s="75">
        <v>0</v>
      </c>
      <c r="AW1170" s="123">
        <v>0</v>
      </c>
      <c r="AX1170" s="516"/>
      <c r="AY1170" s="75">
        <v>0</v>
      </c>
      <c r="AZ1170" s="77" t="s">
        <v>131</v>
      </c>
      <c r="BA1170" s="78" t="s">
        <v>131</v>
      </c>
      <c r="BB1170" s="78" t="s">
        <v>131</v>
      </c>
      <c r="BC1170" s="78" t="s">
        <v>131</v>
      </c>
      <c r="BD1170" s="78" t="s">
        <v>131</v>
      </c>
      <c r="BE1170" s="78" t="s">
        <v>131</v>
      </c>
      <c r="BF1170" s="78" t="s">
        <v>131</v>
      </c>
      <c r="BG1170" s="78" t="s">
        <v>132</v>
      </c>
      <c r="BH1170" s="75" t="s">
        <v>5970</v>
      </c>
      <c r="BI1170" s="295" t="s">
        <v>2224</v>
      </c>
      <c r="BJ1170" s="546">
        <v>1</v>
      </c>
      <c r="BK1170" s="294">
        <v>1</v>
      </c>
      <c r="BL1170" s="157">
        <v>1</v>
      </c>
      <c r="BM1170" s="548" t="s">
        <v>2343</v>
      </c>
      <c r="BN1170" s="548" t="s">
        <v>4161</v>
      </c>
      <c r="BO1170" s="157" t="s">
        <v>4510</v>
      </c>
      <c r="BP1170" s="548" t="s">
        <v>753</v>
      </c>
      <c r="BQ1170" s="157" t="s">
        <v>4389</v>
      </c>
      <c r="BR1170" s="157"/>
    </row>
    <row r="1171" spans="1:70" x14ac:dyDescent="0.25">
      <c r="A1171" s="19" t="s">
        <v>3686</v>
      </c>
      <c r="B1171" s="37" t="s">
        <v>3490</v>
      </c>
      <c r="C1171" s="90">
        <v>45059.039664351854</v>
      </c>
      <c r="D1171" s="114">
        <v>45058.789664351854</v>
      </c>
      <c r="E1171" s="38">
        <v>45058</v>
      </c>
      <c r="F1171" s="91">
        <v>2023</v>
      </c>
      <c r="G1171" s="93">
        <v>5</v>
      </c>
      <c r="H1171" s="37" t="s">
        <v>3491</v>
      </c>
      <c r="I1171" s="37" t="s">
        <v>16</v>
      </c>
      <c r="J1171" s="103">
        <v>-91.759098399999999</v>
      </c>
      <c r="K1171" s="40">
        <v>43.290817500000003</v>
      </c>
      <c r="L1171" s="74"/>
      <c r="M1171" s="272" t="s">
        <v>16</v>
      </c>
      <c r="N1171" s="74">
        <v>0</v>
      </c>
      <c r="O1171" s="94"/>
      <c r="P1171" s="118">
        <v>1</v>
      </c>
      <c r="Q1171" s="510">
        <v>0</v>
      </c>
      <c r="R1171" s="513">
        <v>60</v>
      </c>
      <c r="S1171" s="41"/>
      <c r="T1171" s="40"/>
      <c r="U1171" s="40">
        <v>7.5</v>
      </c>
      <c r="V1171" s="119">
        <v>0</v>
      </c>
      <c r="W1171" s="40"/>
      <c r="X1171" s="119">
        <v>0</v>
      </c>
      <c r="Y1171" s="40"/>
      <c r="Z1171" s="119">
        <v>0</v>
      </c>
      <c r="AA1171" s="368" t="s">
        <v>16</v>
      </c>
      <c r="AB1171" s="535" t="s">
        <v>16</v>
      </c>
      <c r="AC1171" s="39" t="s">
        <v>160</v>
      </c>
      <c r="AD1171" s="75" t="s">
        <v>16</v>
      </c>
      <c r="AE1171" s="95">
        <v>-1</v>
      </c>
      <c r="AF1171" s="75">
        <v>-1</v>
      </c>
      <c r="AG1171" s="75">
        <v>-1</v>
      </c>
      <c r="AH1171" s="75">
        <v>-1</v>
      </c>
      <c r="AI1171" s="75">
        <v>-1</v>
      </c>
      <c r="AJ1171" s="75">
        <v>-1</v>
      </c>
      <c r="AK1171" s="75">
        <v>-1</v>
      </c>
      <c r="AL1171" s="95">
        <v>-1</v>
      </c>
      <c r="AM1171" s="92">
        <v>1</v>
      </c>
      <c r="AN1171" s="79" t="s">
        <v>81</v>
      </c>
      <c r="AO1171" s="75">
        <v>1</v>
      </c>
      <c r="AP1171" s="75" t="s">
        <v>85</v>
      </c>
      <c r="AQ1171" s="122">
        <v>1</v>
      </c>
      <c r="AR1171" s="515" t="s">
        <v>13</v>
      </c>
      <c r="AS1171" s="95">
        <v>1</v>
      </c>
      <c r="AT1171" s="75">
        <v>0</v>
      </c>
      <c r="AU1171" s="75">
        <v>0</v>
      </c>
      <c r="AV1171" s="75">
        <v>0</v>
      </c>
      <c r="AW1171" s="123">
        <v>0</v>
      </c>
      <c r="AX1171" s="516"/>
      <c r="AY1171" s="75">
        <v>0</v>
      </c>
      <c r="AZ1171" s="77" t="s">
        <v>5971</v>
      </c>
      <c r="BA1171" s="78" t="s">
        <v>5971</v>
      </c>
      <c r="BB1171" s="78" t="s">
        <v>5971</v>
      </c>
      <c r="BC1171" s="78" t="s">
        <v>5971</v>
      </c>
      <c r="BD1171" s="78" t="s">
        <v>5971</v>
      </c>
      <c r="BE1171" s="78" t="s">
        <v>5971</v>
      </c>
      <c r="BF1171" s="78" t="s">
        <v>5971</v>
      </c>
      <c r="BG1171" s="78" t="s">
        <v>5971</v>
      </c>
      <c r="BH1171" s="75" t="s">
        <v>5971</v>
      </c>
      <c r="BI1171" s="295" t="s">
        <v>2235</v>
      </c>
      <c r="BJ1171" s="546">
        <v>1</v>
      </c>
      <c r="BK1171" s="294" t="s">
        <v>16</v>
      </c>
      <c r="BL1171" s="157" t="s">
        <v>16</v>
      </c>
      <c r="BM1171" s="548" t="s">
        <v>1344</v>
      </c>
      <c r="BN1171" s="548" t="s">
        <v>1344</v>
      </c>
      <c r="BO1171" s="157" t="s">
        <v>4378</v>
      </c>
      <c r="BP1171" s="548" t="s">
        <v>4618</v>
      </c>
      <c r="BQ1171" s="157" t="s">
        <v>4377</v>
      </c>
      <c r="BR1171" s="157"/>
    </row>
    <row r="1172" spans="1:70" x14ac:dyDescent="0.25">
      <c r="A1172" s="19" t="s">
        <v>3686</v>
      </c>
      <c r="B1172" s="37" t="s">
        <v>3492</v>
      </c>
      <c r="C1172" s="90">
        <v>45059.034236111111</v>
      </c>
      <c r="D1172" s="114">
        <v>45058.784236111111</v>
      </c>
      <c r="E1172" s="38">
        <v>45058</v>
      </c>
      <c r="F1172" s="91">
        <v>2023</v>
      </c>
      <c r="G1172" s="93">
        <v>5</v>
      </c>
      <c r="H1172" s="37" t="s">
        <v>3491</v>
      </c>
      <c r="I1172" s="37" t="s">
        <v>16</v>
      </c>
      <c r="J1172" s="103">
        <v>-91.758497199999994</v>
      </c>
      <c r="K1172" s="40">
        <v>43.291059699999998</v>
      </c>
      <c r="L1172" s="74"/>
      <c r="M1172" s="272" t="s">
        <v>3493</v>
      </c>
      <c r="N1172" s="74">
        <v>1</v>
      </c>
      <c r="O1172" s="94"/>
      <c r="P1172" s="118">
        <v>0</v>
      </c>
      <c r="Q1172" s="510"/>
      <c r="R1172" s="513"/>
      <c r="S1172" s="41"/>
      <c r="T1172" s="40"/>
      <c r="U1172" s="40"/>
      <c r="V1172" s="119">
        <v>0</v>
      </c>
      <c r="W1172" s="40"/>
      <c r="X1172" s="119">
        <v>1</v>
      </c>
      <c r="Y1172" s="40">
        <v>56</v>
      </c>
      <c r="Z1172" s="119">
        <v>0</v>
      </c>
      <c r="AA1172" s="368" t="s">
        <v>16</v>
      </c>
      <c r="AB1172" s="535" t="s">
        <v>16</v>
      </c>
      <c r="AC1172" s="39" t="s">
        <v>160</v>
      </c>
      <c r="AD1172" s="75" t="s">
        <v>10</v>
      </c>
      <c r="AE1172" s="95">
        <v>0</v>
      </c>
      <c r="AF1172" s="75">
        <v>0</v>
      </c>
      <c r="AG1172" s="75">
        <v>0</v>
      </c>
      <c r="AH1172" s="75">
        <v>0</v>
      </c>
      <c r="AI1172" s="75">
        <v>0</v>
      </c>
      <c r="AJ1172" s="75">
        <v>0</v>
      </c>
      <c r="AK1172" s="75">
        <v>0</v>
      </c>
      <c r="AL1172" s="95">
        <v>1</v>
      </c>
      <c r="AM1172" s="92">
        <v>0</v>
      </c>
      <c r="AN1172" s="79" t="s">
        <v>80</v>
      </c>
      <c r="AO1172" s="75">
        <v>1</v>
      </c>
      <c r="AP1172" s="75" t="s">
        <v>85</v>
      </c>
      <c r="AQ1172" s="122">
        <v>1</v>
      </c>
      <c r="AR1172" s="515" t="s">
        <v>13</v>
      </c>
      <c r="AS1172" s="95">
        <v>1</v>
      </c>
      <c r="AT1172" s="75">
        <v>0</v>
      </c>
      <c r="AU1172" s="75">
        <v>0</v>
      </c>
      <c r="AV1172" s="75">
        <v>0</v>
      </c>
      <c r="AW1172" s="123">
        <v>0</v>
      </c>
      <c r="AX1172" s="516"/>
      <c r="AY1172" s="75">
        <v>0</v>
      </c>
      <c r="AZ1172" s="77" t="s">
        <v>131</v>
      </c>
      <c r="BA1172" s="78" t="s">
        <v>131</v>
      </c>
      <c r="BB1172" s="78" t="s">
        <v>131</v>
      </c>
      <c r="BC1172" s="78" t="s">
        <v>131</v>
      </c>
      <c r="BD1172" s="78" t="s">
        <v>131</v>
      </c>
      <c r="BE1172" s="78" t="s">
        <v>131</v>
      </c>
      <c r="BF1172" s="78" t="s">
        <v>131</v>
      </c>
      <c r="BG1172" s="78" t="s">
        <v>132</v>
      </c>
      <c r="BH1172" s="75" t="s">
        <v>5970</v>
      </c>
      <c r="BI1172" s="295" t="s">
        <v>2235</v>
      </c>
      <c r="BJ1172" s="546">
        <v>1</v>
      </c>
      <c r="BK1172" s="294" t="s">
        <v>16</v>
      </c>
      <c r="BL1172" s="157" t="s">
        <v>16</v>
      </c>
      <c r="BM1172" s="548" t="s">
        <v>1344</v>
      </c>
      <c r="BN1172" s="548" t="s">
        <v>1344</v>
      </c>
      <c r="BO1172" s="157" t="s">
        <v>4378</v>
      </c>
      <c r="BP1172" s="548" t="s">
        <v>4618</v>
      </c>
      <c r="BQ1172" s="157" t="s">
        <v>4377</v>
      </c>
      <c r="BR1172" s="157"/>
    </row>
    <row r="1173" spans="1:70" x14ac:dyDescent="0.25">
      <c r="A1173" s="19" t="s">
        <v>3686</v>
      </c>
      <c r="B1173" s="37" t="s">
        <v>3494</v>
      </c>
      <c r="C1173" s="90">
        <v>45058.665277777778</v>
      </c>
      <c r="D1173" s="114">
        <v>45058.415277777778</v>
      </c>
      <c r="E1173" s="38">
        <v>45058</v>
      </c>
      <c r="F1173" s="91">
        <v>2023</v>
      </c>
      <c r="G1173" s="93">
        <v>5</v>
      </c>
      <c r="H1173" s="37" t="s">
        <v>2473</v>
      </c>
      <c r="I1173" s="37" t="s">
        <v>368</v>
      </c>
      <c r="J1173" s="103">
        <v>-92.331442546326159</v>
      </c>
      <c r="K1173" s="40">
        <v>44.746298765921487</v>
      </c>
      <c r="L1173" s="74"/>
      <c r="M1173" s="272" t="s">
        <v>3495</v>
      </c>
      <c r="N1173" s="74">
        <v>1</v>
      </c>
      <c r="O1173" s="94"/>
      <c r="P1173" s="118">
        <v>1</v>
      </c>
      <c r="Q1173" s="510">
        <v>80</v>
      </c>
      <c r="R1173" s="513">
        <v>180</v>
      </c>
      <c r="S1173" s="41"/>
      <c r="T1173" s="40"/>
      <c r="U1173" s="40">
        <v>7.5</v>
      </c>
      <c r="V1173" s="119">
        <v>1</v>
      </c>
      <c r="W1173" s="40">
        <v>100</v>
      </c>
      <c r="X1173" s="119">
        <v>1</v>
      </c>
      <c r="Y1173" s="40">
        <v>58</v>
      </c>
      <c r="Z1173" s="119">
        <v>1</v>
      </c>
      <c r="AA1173" s="368">
        <v>0</v>
      </c>
      <c r="AB1173" s="535">
        <v>2</v>
      </c>
      <c r="AC1173" s="39" t="s">
        <v>160</v>
      </c>
      <c r="AD1173" s="75" t="s">
        <v>10</v>
      </c>
      <c r="AE1173" s="95">
        <v>0</v>
      </c>
      <c r="AF1173" s="75">
        <v>0</v>
      </c>
      <c r="AG1173" s="75">
        <v>0</v>
      </c>
      <c r="AH1173" s="75">
        <v>0</v>
      </c>
      <c r="AI1173" s="75">
        <v>0</v>
      </c>
      <c r="AJ1173" s="75">
        <v>0</v>
      </c>
      <c r="AK1173" s="75">
        <v>0</v>
      </c>
      <c r="AL1173" s="95">
        <v>1</v>
      </c>
      <c r="AM1173" s="92">
        <v>0</v>
      </c>
      <c r="AN1173" s="79" t="s">
        <v>195</v>
      </c>
      <c r="AO1173" s="75">
        <v>1</v>
      </c>
      <c r="AP1173" s="75" t="s">
        <v>83</v>
      </c>
      <c r="AQ1173" s="122">
        <v>1</v>
      </c>
      <c r="AR1173" s="515" t="s">
        <v>13</v>
      </c>
      <c r="AS1173" s="95">
        <v>1</v>
      </c>
      <c r="AT1173" s="75">
        <v>0</v>
      </c>
      <c r="AU1173" s="75">
        <v>0</v>
      </c>
      <c r="AV1173" s="75">
        <v>0</v>
      </c>
      <c r="AW1173" s="123">
        <v>0</v>
      </c>
      <c r="AX1173" s="516" t="s">
        <v>3496</v>
      </c>
      <c r="AY1173" s="75">
        <v>1</v>
      </c>
      <c r="AZ1173" s="77" t="s">
        <v>131</v>
      </c>
      <c r="BA1173" s="78" t="s">
        <v>131</v>
      </c>
      <c r="BB1173" s="78" t="s">
        <v>131</v>
      </c>
      <c r="BC1173" s="78" t="s">
        <v>131</v>
      </c>
      <c r="BD1173" s="78" t="s">
        <v>131</v>
      </c>
      <c r="BE1173" s="78" t="s">
        <v>131</v>
      </c>
      <c r="BF1173" s="78" t="s">
        <v>131</v>
      </c>
      <c r="BG1173" s="78" t="s">
        <v>132</v>
      </c>
      <c r="BH1173" s="75" t="s">
        <v>5970</v>
      </c>
      <c r="BI1173" s="295" t="s">
        <v>2231</v>
      </c>
      <c r="BJ1173" s="546">
        <v>1</v>
      </c>
      <c r="BK1173" s="294">
        <v>1</v>
      </c>
      <c r="BL1173" s="157">
        <v>1</v>
      </c>
      <c r="BM1173" s="548" t="s">
        <v>578</v>
      </c>
      <c r="BN1173" s="548" t="s">
        <v>578</v>
      </c>
      <c r="BO1173" s="157" t="s">
        <v>4213</v>
      </c>
      <c r="BP1173" s="548" t="s">
        <v>4216</v>
      </c>
      <c r="BQ1173" s="157" t="s">
        <v>4212</v>
      </c>
      <c r="BR1173" s="157"/>
    </row>
    <row r="1174" spans="1:70" x14ac:dyDescent="0.25">
      <c r="A1174" s="19" t="s">
        <v>3686</v>
      </c>
      <c r="B1174" s="37" t="s">
        <v>3497</v>
      </c>
      <c r="C1174" s="90">
        <v>45057.931226851855</v>
      </c>
      <c r="D1174" s="114">
        <v>45057.681226851855</v>
      </c>
      <c r="E1174" s="38">
        <v>45057</v>
      </c>
      <c r="F1174" s="91">
        <v>2023</v>
      </c>
      <c r="G1174" s="93">
        <v>5</v>
      </c>
      <c r="H1174" s="37" t="s">
        <v>1391</v>
      </c>
      <c r="I1174" s="37" t="s">
        <v>960</v>
      </c>
      <c r="J1174" s="103">
        <v>-93.009007433515976</v>
      </c>
      <c r="K1174" s="40">
        <v>44.657304463949664</v>
      </c>
      <c r="L1174" s="74"/>
      <c r="M1174" s="272" t="s">
        <v>16</v>
      </c>
      <c r="N1174" s="74">
        <v>0</v>
      </c>
      <c r="O1174" s="94"/>
      <c r="P1174" s="118">
        <v>1</v>
      </c>
      <c r="Q1174" s="510">
        <v>180</v>
      </c>
      <c r="R1174" s="513">
        <v>120</v>
      </c>
      <c r="S1174" s="41"/>
      <c r="T1174" s="40"/>
      <c r="U1174" s="40">
        <v>8</v>
      </c>
      <c r="V1174" s="119">
        <v>1</v>
      </c>
      <c r="W1174" s="40">
        <v>0</v>
      </c>
      <c r="X1174" s="119">
        <v>1</v>
      </c>
      <c r="Y1174" s="40">
        <v>65</v>
      </c>
      <c r="Z1174" s="119">
        <v>1</v>
      </c>
      <c r="AA1174" s="368">
        <v>0</v>
      </c>
      <c r="AB1174" s="535">
        <v>5</v>
      </c>
      <c r="AC1174" s="39" t="s">
        <v>160</v>
      </c>
      <c r="AD1174" s="75" t="s">
        <v>10</v>
      </c>
      <c r="AE1174" s="95">
        <v>0</v>
      </c>
      <c r="AF1174" s="75">
        <v>0</v>
      </c>
      <c r="AG1174" s="75">
        <v>0</v>
      </c>
      <c r="AH1174" s="75">
        <v>0</v>
      </c>
      <c r="AI1174" s="75">
        <v>0</v>
      </c>
      <c r="AJ1174" s="75">
        <v>0</v>
      </c>
      <c r="AK1174" s="75">
        <v>0</v>
      </c>
      <c r="AL1174" s="95">
        <v>1</v>
      </c>
      <c r="AM1174" s="92">
        <v>0</v>
      </c>
      <c r="AN1174" s="79" t="s">
        <v>195</v>
      </c>
      <c r="AO1174" s="75">
        <v>1</v>
      </c>
      <c r="AP1174" s="75" t="s">
        <v>83</v>
      </c>
      <c r="AQ1174" s="122">
        <v>1</v>
      </c>
      <c r="AR1174" s="515" t="s">
        <v>13</v>
      </c>
      <c r="AS1174" s="95">
        <v>1</v>
      </c>
      <c r="AT1174" s="75">
        <v>0</v>
      </c>
      <c r="AU1174" s="75">
        <v>0</v>
      </c>
      <c r="AV1174" s="75">
        <v>0</v>
      </c>
      <c r="AW1174" s="123">
        <v>0</v>
      </c>
      <c r="AX1174" s="516"/>
      <c r="AY1174" s="75">
        <v>0</v>
      </c>
      <c r="AZ1174" s="77" t="s">
        <v>131</v>
      </c>
      <c r="BA1174" s="78" t="s">
        <v>131</v>
      </c>
      <c r="BB1174" s="78" t="s">
        <v>131</v>
      </c>
      <c r="BC1174" s="78" t="s">
        <v>131</v>
      </c>
      <c r="BD1174" s="78" t="s">
        <v>131</v>
      </c>
      <c r="BE1174" s="78" t="s">
        <v>131</v>
      </c>
      <c r="BF1174" s="78" t="s">
        <v>131</v>
      </c>
      <c r="BG1174" s="78" t="s">
        <v>132</v>
      </c>
      <c r="BH1174" s="75" t="s">
        <v>5970</v>
      </c>
      <c r="BI1174" s="295" t="s">
        <v>2225</v>
      </c>
      <c r="BJ1174" s="546">
        <v>1</v>
      </c>
      <c r="BK1174" s="294" t="s">
        <v>16</v>
      </c>
      <c r="BL1174" s="157" t="s">
        <v>16</v>
      </c>
      <c r="BM1174" s="548" t="s">
        <v>2343</v>
      </c>
      <c r="BN1174" s="548" t="s">
        <v>4161</v>
      </c>
      <c r="BO1174" s="157" t="s">
        <v>4293</v>
      </c>
      <c r="BP1174" s="548" t="s">
        <v>2225</v>
      </c>
      <c r="BQ1174" s="157" t="s">
        <v>4292</v>
      </c>
      <c r="BR1174" s="157"/>
    </row>
    <row r="1175" spans="1:70" x14ac:dyDescent="0.25">
      <c r="A1175" s="19" t="s">
        <v>3686</v>
      </c>
      <c r="B1175" s="37" t="s">
        <v>3498</v>
      </c>
      <c r="C1175" s="90">
        <v>45057.88790509259</v>
      </c>
      <c r="D1175" s="114">
        <v>45057.63790509259</v>
      </c>
      <c r="E1175" s="38">
        <v>45057</v>
      </c>
      <c r="F1175" s="91">
        <v>2023</v>
      </c>
      <c r="G1175" s="93">
        <v>5</v>
      </c>
      <c r="H1175" s="37" t="s">
        <v>2797</v>
      </c>
      <c r="I1175" s="37"/>
      <c r="J1175" s="103">
        <v>-93.097679383624794</v>
      </c>
      <c r="K1175" s="40">
        <v>44.756549415991891</v>
      </c>
      <c r="L1175" s="74"/>
      <c r="M1175" s="272" t="s">
        <v>16</v>
      </c>
      <c r="N1175" s="74">
        <v>0</v>
      </c>
      <c r="O1175" s="94"/>
      <c r="P1175" s="118">
        <v>0</v>
      </c>
      <c r="Q1175" s="510"/>
      <c r="R1175" s="513"/>
      <c r="S1175" s="41"/>
      <c r="T1175" s="40"/>
      <c r="U1175" s="40"/>
      <c r="V1175" s="119">
        <v>0</v>
      </c>
      <c r="W1175" s="40"/>
      <c r="X1175" s="119">
        <v>0</v>
      </c>
      <c r="Y1175" s="40"/>
      <c r="Z1175" s="119">
        <v>0</v>
      </c>
      <c r="AA1175" s="368" t="s">
        <v>16</v>
      </c>
      <c r="AB1175" s="535" t="s">
        <v>16</v>
      </c>
      <c r="AC1175" s="39"/>
      <c r="AD1175" s="75" t="s">
        <v>16</v>
      </c>
      <c r="AE1175" s="95">
        <v>-1</v>
      </c>
      <c r="AF1175" s="75">
        <v>-1</v>
      </c>
      <c r="AG1175" s="75">
        <v>-1</v>
      </c>
      <c r="AH1175" s="75">
        <v>-1</v>
      </c>
      <c r="AI1175" s="75">
        <v>-1</v>
      </c>
      <c r="AJ1175" s="75">
        <v>-1</v>
      </c>
      <c r="AK1175" s="75">
        <v>-1</v>
      </c>
      <c r="AL1175" s="95">
        <v>-1</v>
      </c>
      <c r="AM1175" s="92">
        <v>1</v>
      </c>
      <c r="AN1175" s="79"/>
      <c r="AO1175" s="75">
        <v>0</v>
      </c>
      <c r="AP1175" s="75"/>
      <c r="AQ1175" s="122">
        <v>0</v>
      </c>
      <c r="AR1175" s="515" t="s">
        <v>16</v>
      </c>
      <c r="AS1175" s="95">
        <v>-1</v>
      </c>
      <c r="AT1175" s="75">
        <v>-1</v>
      </c>
      <c r="AU1175" s="75">
        <v>-1</v>
      </c>
      <c r="AV1175" s="75">
        <v>-1</v>
      </c>
      <c r="AW1175" s="123">
        <v>1</v>
      </c>
      <c r="AX1175" s="516"/>
      <c r="AY1175" s="75">
        <v>0</v>
      </c>
      <c r="AZ1175" s="77" t="s">
        <v>5971</v>
      </c>
      <c r="BA1175" s="78" t="s">
        <v>5971</v>
      </c>
      <c r="BB1175" s="78" t="s">
        <v>5971</v>
      </c>
      <c r="BC1175" s="78" t="s">
        <v>5971</v>
      </c>
      <c r="BD1175" s="78" t="s">
        <v>5971</v>
      </c>
      <c r="BE1175" s="78" t="s">
        <v>5971</v>
      </c>
      <c r="BF1175" s="78" t="s">
        <v>5971</v>
      </c>
      <c r="BG1175" s="78" t="s">
        <v>5971</v>
      </c>
      <c r="BH1175" s="75" t="s">
        <v>5971</v>
      </c>
      <c r="BI1175" s="295" t="s">
        <v>16</v>
      </c>
      <c r="BJ1175" s="546" t="s">
        <v>16</v>
      </c>
      <c r="BK1175" s="294" t="s">
        <v>16</v>
      </c>
      <c r="BL1175" s="157" t="s">
        <v>16</v>
      </c>
      <c r="BM1175" s="548" t="s">
        <v>2343</v>
      </c>
      <c r="BN1175" s="548" t="s">
        <v>4161</v>
      </c>
      <c r="BO1175" s="157" t="s">
        <v>4619</v>
      </c>
      <c r="BP1175" s="548" t="s">
        <v>4620</v>
      </c>
      <c r="BQ1175" s="157" t="s">
        <v>4292</v>
      </c>
      <c r="BR1175" s="157"/>
    </row>
    <row r="1176" spans="1:70" x14ac:dyDescent="0.25">
      <c r="A1176" s="19" t="s">
        <v>3686</v>
      </c>
      <c r="B1176" s="37" t="s">
        <v>3499</v>
      </c>
      <c r="C1176" s="90">
        <v>45057.66710648148</v>
      </c>
      <c r="D1176" s="114">
        <v>45057.41710648148</v>
      </c>
      <c r="E1176" s="38">
        <v>45057</v>
      </c>
      <c r="F1176" s="91">
        <v>2023</v>
      </c>
      <c r="G1176" s="93">
        <v>5</v>
      </c>
      <c r="H1176" s="37" t="s">
        <v>2797</v>
      </c>
      <c r="I1176" s="37" t="s">
        <v>16</v>
      </c>
      <c r="J1176" s="103">
        <v>-92.935819051612825</v>
      </c>
      <c r="K1176" s="40">
        <v>44.557714844091024</v>
      </c>
      <c r="L1176" s="74"/>
      <c r="M1176" s="272" t="s">
        <v>16</v>
      </c>
      <c r="N1176" s="74">
        <v>0</v>
      </c>
      <c r="O1176" s="94"/>
      <c r="P1176" s="118">
        <v>0</v>
      </c>
      <c r="Q1176" s="510"/>
      <c r="R1176" s="513"/>
      <c r="S1176" s="41"/>
      <c r="T1176" s="40"/>
      <c r="U1176" s="40"/>
      <c r="V1176" s="119">
        <v>0</v>
      </c>
      <c r="W1176" s="40"/>
      <c r="X1176" s="119">
        <v>1</v>
      </c>
      <c r="Y1176" s="40">
        <v>60</v>
      </c>
      <c r="Z1176" s="119">
        <v>0</v>
      </c>
      <c r="AA1176" s="368" t="s">
        <v>16</v>
      </c>
      <c r="AB1176" s="535" t="s">
        <v>16</v>
      </c>
      <c r="AC1176" s="39" t="s">
        <v>160</v>
      </c>
      <c r="AD1176" s="75" t="s">
        <v>10</v>
      </c>
      <c r="AE1176" s="95">
        <v>0</v>
      </c>
      <c r="AF1176" s="75">
        <v>0</v>
      </c>
      <c r="AG1176" s="75">
        <v>0</v>
      </c>
      <c r="AH1176" s="75">
        <v>0</v>
      </c>
      <c r="AI1176" s="75">
        <v>0</v>
      </c>
      <c r="AJ1176" s="75">
        <v>0</v>
      </c>
      <c r="AK1176" s="75">
        <v>0</v>
      </c>
      <c r="AL1176" s="95">
        <v>1</v>
      </c>
      <c r="AM1176" s="92">
        <v>0</v>
      </c>
      <c r="AN1176" s="79" t="s">
        <v>80</v>
      </c>
      <c r="AO1176" s="75">
        <v>1</v>
      </c>
      <c r="AP1176" s="75" t="s">
        <v>83</v>
      </c>
      <c r="AQ1176" s="122">
        <v>1</v>
      </c>
      <c r="AR1176" s="515" t="s">
        <v>13</v>
      </c>
      <c r="AS1176" s="95">
        <v>1</v>
      </c>
      <c r="AT1176" s="75">
        <v>0</v>
      </c>
      <c r="AU1176" s="75">
        <v>0</v>
      </c>
      <c r="AV1176" s="75">
        <v>0</v>
      </c>
      <c r="AW1176" s="123">
        <v>0</v>
      </c>
      <c r="AX1176" s="516"/>
      <c r="AY1176" s="75">
        <v>0</v>
      </c>
      <c r="AZ1176" s="77" t="s">
        <v>131</v>
      </c>
      <c r="BA1176" s="78" t="s">
        <v>131</v>
      </c>
      <c r="BB1176" s="78" t="s">
        <v>131</v>
      </c>
      <c r="BC1176" s="78" t="s">
        <v>131</v>
      </c>
      <c r="BD1176" s="78" t="s">
        <v>131</v>
      </c>
      <c r="BE1176" s="78" t="s">
        <v>131</v>
      </c>
      <c r="BF1176" s="78" t="s">
        <v>131</v>
      </c>
      <c r="BG1176" s="78" t="s">
        <v>132</v>
      </c>
      <c r="BH1176" s="75" t="s">
        <v>5970</v>
      </c>
      <c r="BI1176" s="295" t="s">
        <v>2261</v>
      </c>
      <c r="BJ1176" s="546">
        <v>1</v>
      </c>
      <c r="BK1176" s="294">
        <v>1</v>
      </c>
      <c r="BL1176" s="157">
        <v>1</v>
      </c>
      <c r="BM1176" s="548" t="s">
        <v>2343</v>
      </c>
      <c r="BN1176" s="548" t="s">
        <v>4161</v>
      </c>
      <c r="BO1176" s="157" t="s">
        <v>4621</v>
      </c>
      <c r="BP1176" s="548" t="s">
        <v>2261</v>
      </c>
      <c r="BQ1176" s="157" t="s">
        <v>4389</v>
      </c>
      <c r="BR1176" s="157"/>
    </row>
    <row r="1177" spans="1:70" x14ac:dyDescent="0.25">
      <c r="A1177" s="19" t="s">
        <v>3686</v>
      </c>
      <c r="B1177" s="37" t="s">
        <v>3500</v>
      </c>
      <c r="C1177" s="90">
        <v>45056.485937500001</v>
      </c>
      <c r="D1177" s="114">
        <v>45056.235937500001</v>
      </c>
      <c r="E1177" s="38">
        <v>45056</v>
      </c>
      <c r="F1177" s="91">
        <v>2023</v>
      </c>
      <c r="G1177" s="93">
        <v>5</v>
      </c>
      <c r="H1177" s="37" t="s">
        <v>1364</v>
      </c>
      <c r="I1177" s="37" t="s">
        <v>958</v>
      </c>
      <c r="J1177" s="103">
        <v>-92.575444200000007</v>
      </c>
      <c r="K1177" s="40">
        <v>44.488368399999999</v>
      </c>
      <c r="L1177" s="74"/>
      <c r="M1177" s="272" t="s">
        <v>3501</v>
      </c>
      <c r="N1177" s="74">
        <v>1</v>
      </c>
      <c r="O1177" s="94"/>
      <c r="P1177" s="118">
        <v>1</v>
      </c>
      <c r="Q1177" s="510">
        <v>40</v>
      </c>
      <c r="R1177" s="513">
        <v>120</v>
      </c>
      <c r="S1177" s="41"/>
      <c r="T1177" s="40"/>
      <c r="U1177" s="40">
        <v>7.5</v>
      </c>
      <c r="V1177" s="119">
        <v>1</v>
      </c>
      <c r="W1177" s="40">
        <v>100</v>
      </c>
      <c r="X1177" s="119">
        <v>1</v>
      </c>
      <c r="Y1177" s="40">
        <v>52</v>
      </c>
      <c r="Z1177" s="119">
        <v>1</v>
      </c>
      <c r="AA1177" s="368">
        <v>0</v>
      </c>
      <c r="AB1177" s="535">
        <v>2</v>
      </c>
      <c r="AC1177" s="39" t="s">
        <v>160</v>
      </c>
      <c r="AD1177" s="75" t="s">
        <v>10</v>
      </c>
      <c r="AE1177" s="95">
        <v>0</v>
      </c>
      <c r="AF1177" s="75">
        <v>0</v>
      </c>
      <c r="AG1177" s="75">
        <v>0</v>
      </c>
      <c r="AH1177" s="75">
        <v>0</v>
      </c>
      <c r="AI1177" s="75">
        <v>0</v>
      </c>
      <c r="AJ1177" s="75">
        <v>0</v>
      </c>
      <c r="AK1177" s="75">
        <v>0</v>
      </c>
      <c r="AL1177" s="95">
        <v>1</v>
      </c>
      <c r="AM1177" s="92">
        <v>0</v>
      </c>
      <c r="AN1177" s="79" t="s">
        <v>81</v>
      </c>
      <c r="AO1177" s="75">
        <v>1</v>
      </c>
      <c r="AP1177" s="75" t="s">
        <v>85</v>
      </c>
      <c r="AQ1177" s="122">
        <v>1</v>
      </c>
      <c r="AR1177" s="515" t="s">
        <v>35</v>
      </c>
      <c r="AS1177" s="95">
        <v>0</v>
      </c>
      <c r="AT1177" s="75">
        <v>1</v>
      </c>
      <c r="AU1177" s="75">
        <v>0</v>
      </c>
      <c r="AV1177" s="75">
        <v>0</v>
      </c>
      <c r="AW1177" s="123">
        <v>0</v>
      </c>
      <c r="AX1177" s="516" t="s">
        <v>3502</v>
      </c>
      <c r="AY1177" s="75">
        <v>1</v>
      </c>
      <c r="AZ1177" s="77" t="s">
        <v>131</v>
      </c>
      <c r="BA1177" s="78" t="s">
        <v>131</v>
      </c>
      <c r="BB1177" s="78" t="s">
        <v>131</v>
      </c>
      <c r="BC1177" s="78" t="s">
        <v>131</v>
      </c>
      <c r="BD1177" s="78" t="s">
        <v>131</v>
      </c>
      <c r="BE1177" s="78" t="s">
        <v>131</v>
      </c>
      <c r="BF1177" s="78" t="s">
        <v>131</v>
      </c>
      <c r="BG1177" s="78" t="s">
        <v>132</v>
      </c>
      <c r="BH1177" s="75" t="s">
        <v>5970</v>
      </c>
      <c r="BI1177" s="295" t="s">
        <v>2238</v>
      </c>
      <c r="BJ1177" s="546">
        <v>1</v>
      </c>
      <c r="BK1177" s="294" t="s">
        <v>16</v>
      </c>
      <c r="BL1177" s="157" t="s">
        <v>16</v>
      </c>
      <c r="BM1177" s="548" t="s">
        <v>2343</v>
      </c>
      <c r="BN1177" s="548" t="s">
        <v>4161</v>
      </c>
      <c r="BO1177" s="157" t="s">
        <v>4308</v>
      </c>
      <c r="BP1177" s="548" t="s">
        <v>2238</v>
      </c>
      <c r="BQ1177" s="157" t="s">
        <v>4307</v>
      </c>
      <c r="BR1177" s="157"/>
    </row>
    <row r="1178" spans="1:70" x14ac:dyDescent="0.25">
      <c r="A1178" s="19" t="s">
        <v>3686</v>
      </c>
      <c r="B1178" s="37" t="s">
        <v>3503</v>
      </c>
      <c r="C1178" s="90">
        <v>45056.471087962964</v>
      </c>
      <c r="D1178" s="114">
        <v>45056.221087962964</v>
      </c>
      <c r="E1178" s="38">
        <v>45056</v>
      </c>
      <c r="F1178" s="91">
        <v>2023</v>
      </c>
      <c r="G1178" s="93">
        <v>5</v>
      </c>
      <c r="H1178" s="37" t="s">
        <v>1364</v>
      </c>
      <c r="I1178" s="37" t="s">
        <v>959</v>
      </c>
      <c r="J1178" s="103">
        <v>-92.597040699999994</v>
      </c>
      <c r="K1178" s="40">
        <v>44.472630000000002</v>
      </c>
      <c r="L1178" s="74"/>
      <c r="M1178" s="272" t="s">
        <v>3504</v>
      </c>
      <c r="N1178" s="74">
        <v>1</v>
      </c>
      <c r="O1178" s="94"/>
      <c r="P1178" s="118">
        <v>1</v>
      </c>
      <c r="Q1178" s="510">
        <v>40</v>
      </c>
      <c r="R1178" s="513">
        <v>120</v>
      </c>
      <c r="S1178" s="41"/>
      <c r="T1178" s="40"/>
      <c r="U1178" s="40">
        <v>7</v>
      </c>
      <c r="V1178" s="119">
        <v>1</v>
      </c>
      <c r="W1178" s="40">
        <v>100</v>
      </c>
      <c r="X1178" s="119">
        <v>1</v>
      </c>
      <c r="Y1178" s="40">
        <v>51</v>
      </c>
      <c r="Z1178" s="119">
        <v>1</v>
      </c>
      <c r="AA1178" s="368">
        <v>0</v>
      </c>
      <c r="AB1178" s="535">
        <v>5</v>
      </c>
      <c r="AC1178" s="39" t="s">
        <v>160</v>
      </c>
      <c r="AD1178" s="75" t="s">
        <v>10</v>
      </c>
      <c r="AE1178" s="95">
        <v>0</v>
      </c>
      <c r="AF1178" s="75">
        <v>0</v>
      </c>
      <c r="AG1178" s="75">
        <v>0</v>
      </c>
      <c r="AH1178" s="75">
        <v>0</v>
      </c>
      <c r="AI1178" s="75">
        <v>0</v>
      </c>
      <c r="AJ1178" s="75">
        <v>0</v>
      </c>
      <c r="AK1178" s="75">
        <v>0</v>
      </c>
      <c r="AL1178" s="95">
        <v>1</v>
      </c>
      <c r="AM1178" s="92">
        <v>0</v>
      </c>
      <c r="AN1178" s="79" t="s">
        <v>81</v>
      </c>
      <c r="AO1178" s="75">
        <v>1</v>
      </c>
      <c r="AP1178" s="75" t="s">
        <v>85</v>
      </c>
      <c r="AQ1178" s="122">
        <v>1</v>
      </c>
      <c r="AR1178" s="515" t="s">
        <v>35</v>
      </c>
      <c r="AS1178" s="95">
        <v>0</v>
      </c>
      <c r="AT1178" s="75">
        <v>1</v>
      </c>
      <c r="AU1178" s="75">
        <v>0</v>
      </c>
      <c r="AV1178" s="75">
        <v>0</v>
      </c>
      <c r="AW1178" s="123">
        <v>0</v>
      </c>
      <c r="AX1178" s="516"/>
      <c r="AY1178" s="75">
        <v>0</v>
      </c>
      <c r="AZ1178" s="77" t="s">
        <v>131</v>
      </c>
      <c r="BA1178" s="78" t="s">
        <v>131</v>
      </c>
      <c r="BB1178" s="78" t="s">
        <v>131</v>
      </c>
      <c r="BC1178" s="78" t="s">
        <v>131</v>
      </c>
      <c r="BD1178" s="78" t="s">
        <v>131</v>
      </c>
      <c r="BE1178" s="78" t="s">
        <v>131</v>
      </c>
      <c r="BF1178" s="78" t="s">
        <v>131</v>
      </c>
      <c r="BG1178" s="78" t="s">
        <v>132</v>
      </c>
      <c r="BH1178" s="75" t="s">
        <v>5970</v>
      </c>
      <c r="BI1178" s="295" t="s">
        <v>2238</v>
      </c>
      <c r="BJ1178" s="546">
        <v>1</v>
      </c>
      <c r="BK1178" s="294" t="s">
        <v>16</v>
      </c>
      <c r="BL1178" s="157" t="s">
        <v>16</v>
      </c>
      <c r="BM1178" s="548" t="s">
        <v>2343</v>
      </c>
      <c r="BN1178" s="548" t="s">
        <v>4161</v>
      </c>
      <c r="BO1178" s="157" t="s">
        <v>4308</v>
      </c>
      <c r="BP1178" s="548" t="s">
        <v>2238</v>
      </c>
      <c r="BQ1178" s="157" t="s">
        <v>4307</v>
      </c>
      <c r="BR1178" s="157"/>
    </row>
    <row r="1179" spans="1:70" x14ac:dyDescent="0.25">
      <c r="A1179" s="19" t="s">
        <v>3686</v>
      </c>
      <c r="B1179" s="37" t="s">
        <v>3505</v>
      </c>
      <c r="C1179" s="90">
        <v>45054.915497685186</v>
      </c>
      <c r="D1179" s="114">
        <v>45054.665497685186</v>
      </c>
      <c r="E1179" s="38">
        <v>45054</v>
      </c>
      <c r="F1179" s="91">
        <v>2023</v>
      </c>
      <c r="G1179" s="93">
        <v>5</v>
      </c>
      <c r="H1179" s="37" t="s">
        <v>475</v>
      </c>
      <c r="I1179" s="37"/>
      <c r="J1179" s="103">
        <v>-92.113774003423018</v>
      </c>
      <c r="K1179" s="40">
        <v>43.820900717514903</v>
      </c>
      <c r="L1179" s="74"/>
      <c r="M1179" s="272" t="s">
        <v>3506</v>
      </c>
      <c r="N1179" s="74">
        <v>1</v>
      </c>
      <c r="O1179" s="94"/>
      <c r="P1179" s="118">
        <v>1</v>
      </c>
      <c r="Q1179" s="510">
        <v>180</v>
      </c>
      <c r="R1179" s="513">
        <v>180</v>
      </c>
      <c r="S1179" s="41"/>
      <c r="T1179" s="40"/>
      <c r="U1179" s="40">
        <v>7.5</v>
      </c>
      <c r="V1179" s="119">
        <v>1</v>
      </c>
      <c r="W1179" s="40">
        <v>0</v>
      </c>
      <c r="X1179" s="119">
        <v>1</v>
      </c>
      <c r="Y1179" s="40">
        <v>61</v>
      </c>
      <c r="Z1179" s="119">
        <v>1</v>
      </c>
      <c r="AA1179" s="368">
        <v>0</v>
      </c>
      <c r="AB1179" s="535">
        <v>5</v>
      </c>
      <c r="AC1179" s="39" t="s">
        <v>160</v>
      </c>
      <c r="AD1179" s="75" t="s">
        <v>8</v>
      </c>
      <c r="AE1179" s="95">
        <v>0</v>
      </c>
      <c r="AF1179" s="75">
        <v>1</v>
      </c>
      <c r="AG1179" s="75">
        <v>0</v>
      </c>
      <c r="AH1179" s="75">
        <v>0</v>
      </c>
      <c r="AI1179" s="75">
        <v>0</v>
      </c>
      <c r="AJ1179" s="75">
        <v>0</v>
      </c>
      <c r="AK1179" s="75">
        <v>0</v>
      </c>
      <c r="AL1179" s="95">
        <v>0</v>
      </c>
      <c r="AM1179" s="92">
        <v>0</v>
      </c>
      <c r="AN1179" s="79" t="s">
        <v>80</v>
      </c>
      <c r="AO1179" s="75">
        <v>1</v>
      </c>
      <c r="AP1179" s="75" t="s">
        <v>84</v>
      </c>
      <c r="AQ1179" s="122">
        <v>1</v>
      </c>
      <c r="AR1179" s="515" t="s">
        <v>10</v>
      </c>
      <c r="AS1179" s="95">
        <v>0</v>
      </c>
      <c r="AT1179" s="75">
        <v>0</v>
      </c>
      <c r="AU1179" s="75">
        <v>0</v>
      </c>
      <c r="AV1179" s="75">
        <v>0</v>
      </c>
      <c r="AW1179" s="123">
        <v>0</v>
      </c>
      <c r="AX1179" s="516" t="s">
        <v>3507</v>
      </c>
      <c r="AY1179" s="75">
        <v>1</v>
      </c>
      <c r="AZ1179" s="77" t="s">
        <v>131</v>
      </c>
      <c r="BA1179" s="78" t="s">
        <v>132</v>
      </c>
      <c r="BB1179" s="78" t="s">
        <v>131</v>
      </c>
      <c r="BC1179" s="78" t="s">
        <v>131</v>
      </c>
      <c r="BD1179" s="78" t="s">
        <v>131</v>
      </c>
      <c r="BE1179" s="78" t="s">
        <v>131</v>
      </c>
      <c r="BF1179" s="78" t="s">
        <v>131</v>
      </c>
      <c r="BG1179" s="78" t="s">
        <v>131</v>
      </c>
      <c r="BH1179" s="75" t="s">
        <v>5970</v>
      </c>
      <c r="BI1179" s="295" t="s">
        <v>3973</v>
      </c>
      <c r="BJ1179" s="546">
        <v>1</v>
      </c>
      <c r="BK1179" s="294">
        <v>1</v>
      </c>
      <c r="BL1179" s="157">
        <v>1</v>
      </c>
      <c r="BM1179" s="548" t="s">
        <v>1339</v>
      </c>
      <c r="BN1179" s="548" t="s">
        <v>1339</v>
      </c>
      <c r="BO1179" s="157" t="s">
        <v>4622</v>
      </c>
      <c r="BP1179" s="548" t="s">
        <v>4623</v>
      </c>
      <c r="BQ1179" s="157" t="s">
        <v>4319</v>
      </c>
      <c r="BR1179" s="157"/>
    </row>
    <row r="1180" spans="1:70" x14ac:dyDescent="0.25">
      <c r="A1180" s="19" t="s">
        <v>3686</v>
      </c>
      <c r="B1180" s="37" t="s">
        <v>3508</v>
      </c>
      <c r="C1180" s="90">
        <v>45052.65828703704</v>
      </c>
      <c r="D1180" s="114">
        <v>45052.40828703704</v>
      </c>
      <c r="E1180" s="38">
        <v>45052</v>
      </c>
      <c r="F1180" s="91">
        <v>2023</v>
      </c>
      <c r="G1180" s="93">
        <v>5</v>
      </c>
      <c r="H1180" s="37" t="s">
        <v>624</v>
      </c>
      <c r="I1180" s="37" t="s">
        <v>960</v>
      </c>
      <c r="J1180" s="103">
        <v>-93.008988281186561</v>
      </c>
      <c r="K1180" s="40">
        <v>44.65725883506461</v>
      </c>
      <c r="L1180" s="74"/>
      <c r="M1180" s="272" t="s">
        <v>16</v>
      </c>
      <c r="N1180" s="74">
        <v>0</v>
      </c>
      <c r="O1180" s="94"/>
      <c r="P1180" s="118">
        <v>1</v>
      </c>
      <c r="Q1180" s="510">
        <v>120</v>
      </c>
      <c r="R1180" s="513">
        <v>60</v>
      </c>
      <c r="S1180" s="41"/>
      <c r="T1180" s="40"/>
      <c r="U1180" s="40">
        <v>7</v>
      </c>
      <c r="V1180" s="119">
        <v>1</v>
      </c>
      <c r="W1180" s="40">
        <v>200</v>
      </c>
      <c r="X1180" s="119">
        <v>1</v>
      </c>
      <c r="Y1180" s="40">
        <v>53</v>
      </c>
      <c r="Z1180" s="119">
        <v>1</v>
      </c>
      <c r="AA1180" s="368">
        <v>0</v>
      </c>
      <c r="AB1180" s="535">
        <v>5</v>
      </c>
      <c r="AC1180" s="39" t="s">
        <v>160</v>
      </c>
      <c r="AD1180" s="75" t="s">
        <v>10</v>
      </c>
      <c r="AE1180" s="95">
        <v>0</v>
      </c>
      <c r="AF1180" s="75">
        <v>0</v>
      </c>
      <c r="AG1180" s="75">
        <v>0</v>
      </c>
      <c r="AH1180" s="75">
        <v>0</v>
      </c>
      <c r="AI1180" s="75">
        <v>0</v>
      </c>
      <c r="AJ1180" s="75">
        <v>0</v>
      </c>
      <c r="AK1180" s="75">
        <v>0</v>
      </c>
      <c r="AL1180" s="95">
        <v>1</v>
      </c>
      <c r="AM1180" s="92">
        <v>0</v>
      </c>
      <c r="AN1180" s="79" t="s">
        <v>195</v>
      </c>
      <c r="AO1180" s="75">
        <v>1</v>
      </c>
      <c r="AP1180" s="75" t="s">
        <v>84</v>
      </c>
      <c r="AQ1180" s="122">
        <v>1</v>
      </c>
      <c r="AR1180" s="515" t="s">
        <v>13</v>
      </c>
      <c r="AS1180" s="95">
        <v>1</v>
      </c>
      <c r="AT1180" s="75">
        <v>0</v>
      </c>
      <c r="AU1180" s="75">
        <v>0</v>
      </c>
      <c r="AV1180" s="75">
        <v>0</v>
      </c>
      <c r="AW1180" s="123">
        <v>0</v>
      </c>
      <c r="AX1180" s="516" t="s">
        <v>16</v>
      </c>
      <c r="AY1180" s="75">
        <v>0</v>
      </c>
      <c r="AZ1180" s="77" t="s">
        <v>131</v>
      </c>
      <c r="BA1180" s="78" t="s">
        <v>131</v>
      </c>
      <c r="BB1180" s="78" t="s">
        <v>131</v>
      </c>
      <c r="BC1180" s="78" t="s">
        <v>131</v>
      </c>
      <c r="BD1180" s="78" t="s">
        <v>131</v>
      </c>
      <c r="BE1180" s="78" t="s">
        <v>131</v>
      </c>
      <c r="BF1180" s="78" t="s">
        <v>131</v>
      </c>
      <c r="BG1180" s="78" t="s">
        <v>132</v>
      </c>
      <c r="BH1180" s="75" t="s">
        <v>5970</v>
      </c>
      <c r="BI1180" s="295" t="s">
        <v>2225</v>
      </c>
      <c r="BJ1180" s="546">
        <v>1</v>
      </c>
      <c r="BK1180" s="294" t="s">
        <v>16</v>
      </c>
      <c r="BL1180" s="157" t="s">
        <v>16</v>
      </c>
      <c r="BM1180" s="548" t="s">
        <v>2343</v>
      </c>
      <c r="BN1180" s="548" t="s">
        <v>4161</v>
      </c>
      <c r="BO1180" s="157" t="s">
        <v>4293</v>
      </c>
      <c r="BP1180" s="548" t="s">
        <v>2225</v>
      </c>
      <c r="BQ1180" s="157" t="s">
        <v>4292</v>
      </c>
      <c r="BR1180" s="157"/>
    </row>
    <row r="1181" spans="1:70" x14ac:dyDescent="0.25">
      <c r="A1181" s="19" t="s">
        <v>3686</v>
      </c>
      <c r="B1181" s="37" t="s">
        <v>3509</v>
      </c>
      <c r="C1181" s="90">
        <v>45052.637476851851</v>
      </c>
      <c r="D1181" s="114">
        <v>45052.387476851851</v>
      </c>
      <c r="E1181" s="38">
        <v>45052</v>
      </c>
      <c r="F1181" s="91">
        <v>2023</v>
      </c>
      <c r="G1181" s="93">
        <v>5</v>
      </c>
      <c r="H1181" s="37" t="s">
        <v>3510</v>
      </c>
      <c r="I1181" s="37"/>
      <c r="J1181" s="103">
        <v>-93.009007531160918</v>
      </c>
      <c r="K1181" s="40">
        <v>44.657264134556748</v>
      </c>
      <c r="L1181" s="74"/>
      <c r="M1181" s="272" t="s">
        <v>16</v>
      </c>
      <c r="N1181" s="74">
        <v>0</v>
      </c>
      <c r="O1181" s="94"/>
      <c r="P1181" s="118">
        <v>0</v>
      </c>
      <c r="Q1181" s="510"/>
      <c r="R1181" s="513"/>
      <c r="S1181" s="41"/>
      <c r="T1181" s="40"/>
      <c r="U1181" s="40"/>
      <c r="V1181" s="119">
        <v>0</v>
      </c>
      <c r="W1181" s="40"/>
      <c r="X1181" s="119">
        <v>0</v>
      </c>
      <c r="Y1181" s="40"/>
      <c r="Z1181" s="119">
        <v>0</v>
      </c>
      <c r="AA1181" s="368" t="s">
        <v>16</v>
      </c>
      <c r="AB1181" s="535" t="s">
        <v>16</v>
      </c>
      <c r="AC1181" s="39" t="s">
        <v>160</v>
      </c>
      <c r="AD1181" s="75" t="s">
        <v>16</v>
      </c>
      <c r="AE1181" s="95">
        <v>-1</v>
      </c>
      <c r="AF1181" s="75">
        <v>-1</v>
      </c>
      <c r="AG1181" s="75">
        <v>-1</v>
      </c>
      <c r="AH1181" s="75">
        <v>-1</v>
      </c>
      <c r="AI1181" s="75">
        <v>-1</v>
      </c>
      <c r="AJ1181" s="75">
        <v>-1</v>
      </c>
      <c r="AK1181" s="75">
        <v>-1</v>
      </c>
      <c r="AL1181" s="95">
        <v>-1</v>
      </c>
      <c r="AM1181" s="92">
        <v>1</v>
      </c>
      <c r="AN1181" s="79"/>
      <c r="AO1181" s="75">
        <v>0</v>
      </c>
      <c r="AP1181" s="75"/>
      <c r="AQ1181" s="122">
        <v>0</v>
      </c>
      <c r="AR1181" s="515" t="s">
        <v>16</v>
      </c>
      <c r="AS1181" s="95">
        <v>-1</v>
      </c>
      <c r="AT1181" s="75">
        <v>-1</v>
      </c>
      <c r="AU1181" s="75">
        <v>-1</v>
      </c>
      <c r="AV1181" s="75">
        <v>-1</v>
      </c>
      <c r="AW1181" s="123">
        <v>1</v>
      </c>
      <c r="AX1181" s="516"/>
      <c r="AY1181" s="75">
        <v>0</v>
      </c>
      <c r="AZ1181" s="77" t="s">
        <v>5971</v>
      </c>
      <c r="BA1181" s="78" t="s">
        <v>5971</v>
      </c>
      <c r="BB1181" s="78" t="s">
        <v>5971</v>
      </c>
      <c r="BC1181" s="78" t="s">
        <v>5971</v>
      </c>
      <c r="BD1181" s="78" t="s">
        <v>5971</v>
      </c>
      <c r="BE1181" s="78" t="s">
        <v>5971</v>
      </c>
      <c r="BF1181" s="78" t="s">
        <v>5971</v>
      </c>
      <c r="BG1181" s="78" t="s">
        <v>5971</v>
      </c>
      <c r="BH1181" s="75" t="s">
        <v>5971</v>
      </c>
      <c r="BI1181" s="295" t="s">
        <v>2225</v>
      </c>
      <c r="BJ1181" s="546">
        <v>1</v>
      </c>
      <c r="BK1181" s="294" t="s">
        <v>16</v>
      </c>
      <c r="BL1181" s="157" t="s">
        <v>16</v>
      </c>
      <c r="BM1181" s="548" t="s">
        <v>2343</v>
      </c>
      <c r="BN1181" s="548" t="s">
        <v>4161</v>
      </c>
      <c r="BO1181" s="157" t="s">
        <v>4293</v>
      </c>
      <c r="BP1181" s="548" t="s">
        <v>2225</v>
      </c>
      <c r="BQ1181" s="157" t="s">
        <v>4292</v>
      </c>
      <c r="BR1181" s="157"/>
    </row>
    <row r="1182" spans="1:70" x14ac:dyDescent="0.25">
      <c r="A1182" s="19" t="s">
        <v>3686</v>
      </c>
      <c r="B1182" s="37" t="s">
        <v>3511</v>
      </c>
      <c r="C1182" s="90">
        <v>45051.699606481481</v>
      </c>
      <c r="D1182" s="114">
        <v>45051.449606481481</v>
      </c>
      <c r="E1182" s="38">
        <v>45051</v>
      </c>
      <c r="F1182" s="91">
        <v>2023</v>
      </c>
      <c r="G1182" s="93">
        <v>5</v>
      </c>
      <c r="H1182" s="37" t="s">
        <v>2423</v>
      </c>
      <c r="I1182" s="37"/>
      <c r="J1182" s="103">
        <v>-92.732193899999999</v>
      </c>
      <c r="K1182" s="40">
        <v>44.831052800000002</v>
      </c>
      <c r="L1182" s="74"/>
      <c r="M1182" s="272" t="s">
        <v>16</v>
      </c>
      <c r="N1182" s="74">
        <v>0</v>
      </c>
      <c r="O1182" s="94"/>
      <c r="P1182" s="118">
        <v>1</v>
      </c>
      <c r="Q1182" s="510">
        <v>80</v>
      </c>
      <c r="R1182" s="513">
        <v>180</v>
      </c>
      <c r="S1182" s="41"/>
      <c r="T1182" s="40"/>
      <c r="U1182" s="40">
        <v>7</v>
      </c>
      <c r="V1182" s="119">
        <v>1</v>
      </c>
      <c r="W1182" s="40">
        <v>0</v>
      </c>
      <c r="X1182" s="119">
        <v>1</v>
      </c>
      <c r="Y1182" s="40">
        <v>51</v>
      </c>
      <c r="Z1182" s="119">
        <v>1</v>
      </c>
      <c r="AA1182" s="368">
        <v>0</v>
      </c>
      <c r="AB1182" s="535">
        <v>2</v>
      </c>
      <c r="AC1182" s="39" t="s">
        <v>160</v>
      </c>
      <c r="AD1182" s="75" t="s">
        <v>365</v>
      </c>
      <c r="AE1182" s="95">
        <v>0</v>
      </c>
      <c r="AF1182" s="75">
        <v>1</v>
      </c>
      <c r="AG1182" s="75">
        <v>1</v>
      </c>
      <c r="AH1182" s="75">
        <v>0</v>
      </c>
      <c r="AI1182" s="75">
        <v>0</v>
      </c>
      <c r="AJ1182" s="75">
        <v>0</v>
      </c>
      <c r="AK1182" s="75">
        <v>0</v>
      </c>
      <c r="AL1182" s="95">
        <v>0</v>
      </c>
      <c r="AM1182" s="92">
        <v>0</v>
      </c>
      <c r="AN1182" s="79" t="s">
        <v>80</v>
      </c>
      <c r="AO1182" s="75">
        <v>1</v>
      </c>
      <c r="AP1182" s="75" t="s">
        <v>83</v>
      </c>
      <c r="AQ1182" s="122">
        <v>1</v>
      </c>
      <c r="AR1182" s="515" t="s">
        <v>10</v>
      </c>
      <c r="AS1182" s="95">
        <v>0</v>
      </c>
      <c r="AT1182" s="75">
        <v>0</v>
      </c>
      <c r="AU1182" s="75">
        <v>0</v>
      </c>
      <c r="AV1182" s="75">
        <v>0</v>
      </c>
      <c r="AW1182" s="123">
        <v>0</v>
      </c>
      <c r="AX1182" s="516" t="s">
        <v>3512</v>
      </c>
      <c r="AY1182" s="75">
        <v>1</v>
      </c>
      <c r="AZ1182" s="77" t="s">
        <v>131</v>
      </c>
      <c r="BA1182" s="78" t="s">
        <v>132</v>
      </c>
      <c r="BB1182" s="78" t="s">
        <v>132</v>
      </c>
      <c r="BC1182" s="78" t="s">
        <v>131</v>
      </c>
      <c r="BD1182" s="78" t="s">
        <v>131</v>
      </c>
      <c r="BE1182" s="78" t="s">
        <v>131</v>
      </c>
      <c r="BF1182" s="78" t="s">
        <v>131</v>
      </c>
      <c r="BG1182" s="78" t="s">
        <v>131</v>
      </c>
      <c r="BH1182" s="75" t="s">
        <v>5970</v>
      </c>
      <c r="BI1182" s="295" t="s">
        <v>2227</v>
      </c>
      <c r="BJ1182" s="546">
        <v>1</v>
      </c>
      <c r="BK1182" s="294" t="s">
        <v>16</v>
      </c>
      <c r="BL1182" s="157" t="s">
        <v>16</v>
      </c>
      <c r="BM1182" s="548" t="s">
        <v>578</v>
      </c>
      <c r="BN1182" s="548" t="s">
        <v>4159</v>
      </c>
      <c r="BO1182" s="157" t="s">
        <v>4341</v>
      </c>
      <c r="BP1182" s="548" t="s">
        <v>4343</v>
      </c>
      <c r="BQ1182" s="157" t="s">
        <v>4309</v>
      </c>
      <c r="BR1182" s="157"/>
    </row>
    <row r="1183" spans="1:70" x14ac:dyDescent="0.25">
      <c r="A1183" s="19" t="s">
        <v>3686</v>
      </c>
      <c r="B1183" s="37" t="s">
        <v>3513</v>
      </c>
      <c r="C1183" s="90">
        <v>45051.672685185185</v>
      </c>
      <c r="D1183" s="114">
        <v>45051.422685185185</v>
      </c>
      <c r="E1183" s="38">
        <v>45051</v>
      </c>
      <c r="F1183" s="91">
        <v>2023</v>
      </c>
      <c r="G1183" s="93">
        <v>5</v>
      </c>
      <c r="H1183" s="37" t="s">
        <v>2423</v>
      </c>
      <c r="I1183" s="37"/>
      <c r="J1183" s="103">
        <v>-92.641714899999997</v>
      </c>
      <c r="K1183" s="40">
        <v>44.849834199999997</v>
      </c>
      <c r="L1183" s="74"/>
      <c r="M1183" s="272" t="s">
        <v>16</v>
      </c>
      <c r="N1183" s="74">
        <v>0</v>
      </c>
      <c r="O1183" s="94"/>
      <c r="P1183" s="118">
        <v>1</v>
      </c>
      <c r="Q1183" s="510">
        <v>80</v>
      </c>
      <c r="R1183" s="513">
        <v>180</v>
      </c>
      <c r="S1183" s="41"/>
      <c r="T1183" s="40"/>
      <c r="U1183" s="40">
        <v>7</v>
      </c>
      <c r="V1183" s="119">
        <v>1</v>
      </c>
      <c r="W1183" s="40">
        <v>0</v>
      </c>
      <c r="X1183" s="119">
        <v>1</v>
      </c>
      <c r="Y1183" s="40">
        <v>53</v>
      </c>
      <c r="Z1183" s="119">
        <v>1</v>
      </c>
      <c r="AA1183" s="368">
        <v>0</v>
      </c>
      <c r="AB1183" s="535">
        <v>2</v>
      </c>
      <c r="AC1183" s="39" t="s">
        <v>160</v>
      </c>
      <c r="AD1183" s="75" t="s">
        <v>365</v>
      </c>
      <c r="AE1183" s="95">
        <v>0</v>
      </c>
      <c r="AF1183" s="75">
        <v>1</v>
      </c>
      <c r="AG1183" s="75">
        <v>1</v>
      </c>
      <c r="AH1183" s="75">
        <v>0</v>
      </c>
      <c r="AI1183" s="75">
        <v>0</v>
      </c>
      <c r="AJ1183" s="75">
        <v>0</v>
      </c>
      <c r="AK1183" s="75">
        <v>0</v>
      </c>
      <c r="AL1183" s="95">
        <v>0</v>
      </c>
      <c r="AM1183" s="92">
        <v>0</v>
      </c>
      <c r="AN1183" s="79" t="s">
        <v>80</v>
      </c>
      <c r="AO1183" s="75">
        <v>1</v>
      </c>
      <c r="AP1183" s="75" t="s">
        <v>83</v>
      </c>
      <c r="AQ1183" s="122">
        <v>1</v>
      </c>
      <c r="AR1183" s="515" t="s">
        <v>10</v>
      </c>
      <c r="AS1183" s="95">
        <v>0</v>
      </c>
      <c r="AT1183" s="75">
        <v>0</v>
      </c>
      <c r="AU1183" s="75">
        <v>0</v>
      </c>
      <c r="AV1183" s="75">
        <v>0</v>
      </c>
      <c r="AW1183" s="123">
        <v>0</v>
      </c>
      <c r="AX1183" s="516"/>
      <c r="AY1183" s="75">
        <v>0</v>
      </c>
      <c r="AZ1183" s="77" t="s">
        <v>131</v>
      </c>
      <c r="BA1183" s="78" t="s">
        <v>132</v>
      </c>
      <c r="BB1183" s="78" t="s">
        <v>132</v>
      </c>
      <c r="BC1183" s="78" t="s">
        <v>131</v>
      </c>
      <c r="BD1183" s="78" t="s">
        <v>131</v>
      </c>
      <c r="BE1183" s="78" t="s">
        <v>131</v>
      </c>
      <c r="BF1183" s="78" t="s">
        <v>131</v>
      </c>
      <c r="BG1183" s="78" t="s">
        <v>131</v>
      </c>
      <c r="BH1183" s="75" t="s">
        <v>5970</v>
      </c>
      <c r="BI1183" s="295" t="s">
        <v>2227</v>
      </c>
      <c r="BJ1183" s="546">
        <v>1</v>
      </c>
      <c r="BK1183" s="294">
        <v>1</v>
      </c>
      <c r="BL1183" s="157">
        <v>1</v>
      </c>
      <c r="BM1183" s="548" t="s">
        <v>578</v>
      </c>
      <c r="BN1183" s="548" t="s">
        <v>4159</v>
      </c>
      <c r="BO1183" s="157" t="s">
        <v>4341</v>
      </c>
      <c r="BP1183" s="548" t="s">
        <v>4343</v>
      </c>
      <c r="BQ1183" s="157" t="s">
        <v>4309</v>
      </c>
      <c r="BR1183" s="157"/>
    </row>
    <row r="1184" spans="1:70" x14ac:dyDescent="0.25">
      <c r="A1184" s="19" t="s">
        <v>3686</v>
      </c>
      <c r="B1184" s="37" t="s">
        <v>3514</v>
      </c>
      <c r="C1184" s="90">
        <v>45051.653298611112</v>
      </c>
      <c r="D1184" s="114">
        <v>45051.403298611112</v>
      </c>
      <c r="E1184" s="38">
        <v>45051</v>
      </c>
      <c r="F1184" s="91">
        <v>2023</v>
      </c>
      <c r="G1184" s="93">
        <v>5</v>
      </c>
      <c r="H1184" s="37" t="s">
        <v>2423</v>
      </c>
      <c r="I1184" s="37"/>
      <c r="J1184" s="103">
        <v>-92.644061199999996</v>
      </c>
      <c r="K1184" s="40">
        <v>44.844371199999998</v>
      </c>
      <c r="L1184" s="74"/>
      <c r="M1184" s="272" t="s">
        <v>16</v>
      </c>
      <c r="N1184" s="74">
        <v>0</v>
      </c>
      <c r="O1184" s="94"/>
      <c r="P1184" s="118">
        <v>1</v>
      </c>
      <c r="Q1184" s="510">
        <v>80</v>
      </c>
      <c r="R1184" s="513">
        <v>180</v>
      </c>
      <c r="S1184" s="41"/>
      <c r="T1184" s="40"/>
      <c r="U1184" s="40">
        <v>7</v>
      </c>
      <c r="V1184" s="119">
        <v>1</v>
      </c>
      <c r="W1184" s="40">
        <v>0</v>
      </c>
      <c r="X1184" s="119">
        <v>1</v>
      </c>
      <c r="Y1184" s="40">
        <v>52</v>
      </c>
      <c r="Z1184" s="119">
        <v>1</v>
      </c>
      <c r="AA1184" s="368">
        <v>0</v>
      </c>
      <c r="AB1184" s="535">
        <v>2</v>
      </c>
      <c r="AC1184" s="39" t="s">
        <v>160</v>
      </c>
      <c r="AD1184" s="75" t="s">
        <v>365</v>
      </c>
      <c r="AE1184" s="95">
        <v>0</v>
      </c>
      <c r="AF1184" s="75">
        <v>1</v>
      </c>
      <c r="AG1184" s="75">
        <v>1</v>
      </c>
      <c r="AH1184" s="75">
        <v>0</v>
      </c>
      <c r="AI1184" s="75">
        <v>0</v>
      </c>
      <c r="AJ1184" s="75">
        <v>0</v>
      </c>
      <c r="AK1184" s="75">
        <v>0</v>
      </c>
      <c r="AL1184" s="95">
        <v>0</v>
      </c>
      <c r="AM1184" s="92">
        <v>0</v>
      </c>
      <c r="AN1184" s="79" t="s">
        <v>80</v>
      </c>
      <c r="AO1184" s="75">
        <v>1</v>
      </c>
      <c r="AP1184" s="75" t="s">
        <v>83</v>
      </c>
      <c r="AQ1184" s="122">
        <v>1</v>
      </c>
      <c r="AR1184" s="515" t="s">
        <v>10</v>
      </c>
      <c r="AS1184" s="95">
        <v>0</v>
      </c>
      <c r="AT1184" s="75">
        <v>0</v>
      </c>
      <c r="AU1184" s="75">
        <v>0</v>
      </c>
      <c r="AV1184" s="75">
        <v>0</v>
      </c>
      <c r="AW1184" s="123">
        <v>0</v>
      </c>
      <c r="AX1184" s="516" t="s">
        <v>3515</v>
      </c>
      <c r="AY1184" s="75">
        <v>1</v>
      </c>
      <c r="AZ1184" s="77" t="s">
        <v>131</v>
      </c>
      <c r="BA1184" s="78" t="s">
        <v>132</v>
      </c>
      <c r="BB1184" s="78" t="s">
        <v>132</v>
      </c>
      <c r="BC1184" s="78" t="s">
        <v>131</v>
      </c>
      <c r="BD1184" s="78" t="s">
        <v>131</v>
      </c>
      <c r="BE1184" s="78" t="s">
        <v>131</v>
      </c>
      <c r="BF1184" s="78" t="s">
        <v>131</v>
      </c>
      <c r="BG1184" s="78" t="s">
        <v>131</v>
      </c>
      <c r="BH1184" s="75" t="s">
        <v>5970</v>
      </c>
      <c r="BI1184" s="295" t="s">
        <v>2227</v>
      </c>
      <c r="BJ1184" s="546">
        <v>1</v>
      </c>
      <c r="BK1184" s="294">
        <v>1</v>
      </c>
      <c r="BL1184" s="157">
        <v>1</v>
      </c>
      <c r="BM1184" s="548" t="s">
        <v>578</v>
      </c>
      <c r="BN1184" s="548" t="s">
        <v>4159</v>
      </c>
      <c r="BO1184" s="157" t="s">
        <v>4341</v>
      </c>
      <c r="BP1184" s="548" t="s">
        <v>4343</v>
      </c>
      <c r="BQ1184" s="157" t="s">
        <v>4309</v>
      </c>
      <c r="BR1184" s="157"/>
    </row>
    <row r="1185" spans="1:70" x14ac:dyDescent="0.25">
      <c r="A1185" s="19" t="s">
        <v>3686</v>
      </c>
      <c r="B1185" s="37" t="s">
        <v>3516</v>
      </c>
      <c r="C1185" s="90">
        <v>45051.627291666664</v>
      </c>
      <c r="D1185" s="114">
        <v>45051.377291666664</v>
      </c>
      <c r="E1185" s="38">
        <v>45051</v>
      </c>
      <c r="F1185" s="91">
        <v>2023</v>
      </c>
      <c r="G1185" s="93">
        <v>5</v>
      </c>
      <c r="H1185" s="37" t="s">
        <v>1378</v>
      </c>
      <c r="I1185" s="37"/>
      <c r="J1185" s="103">
        <v>-91.307567199999994</v>
      </c>
      <c r="K1185" s="40">
        <v>43.824142000000002</v>
      </c>
      <c r="L1185" s="74"/>
      <c r="M1185" s="272" t="s">
        <v>16</v>
      </c>
      <c r="N1185" s="74">
        <v>0</v>
      </c>
      <c r="O1185" s="94"/>
      <c r="P1185" s="118">
        <v>0</v>
      </c>
      <c r="Q1185" s="510"/>
      <c r="R1185" s="513"/>
      <c r="S1185" s="41"/>
      <c r="T1185" s="40"/>
      <c r="U1185" s="40"/>
      <c r="V1185" s="119">
        <v>0</v>
      </c>
      <c r="W1185" s="40"/>
      <c r="X1185" s="119">
        <v>0</v>
      </c>
      <c r="Y1185" s="40"/>
      <c r="Z1185" s="119">
        <v>0</v>
      </c>
      <c r="AA1185" s="368" t="s">
        <v>16</v>
      </c>
      <c r="AB1185" s="535" t="s">
        <v>16</v>
      </c>
      <c r="AC1185" s="39"/>
      <c r="AD1185" s="75" t="s">
        <v>16</v>
      </c>
      <c r="AE1185" s="95">
        <v>-1</v>
      </c>
      <c r="AF1185" s="75">
        <v>-1</v>
      </c>
      <c r="AG1185" s="75">
        <v>-1</v>
      </c>
      <c r="AH1185" s="75">
        <v>-1</v>
      </c>
      <c r="AI1185" s="75">
        <v>-1</v>
      </c>
      <c r="AJ1185" s="75">
        <v>-1</v>
      </c>
      <c r="AK1185" s="75">
        <v>-1</v>
      </c>
      <c r="AL1185" s="95">
        <v>-1</v>
      </c>
      <c r="AM1185" s="92">
        <v>1</v>
      </c>
      <c r="AN1185" s="79"/>
      <c r="AO1185" s="75">
        <v>0</v>
      </c>
      <c r="AP1185" s="75"/>
      <c r="AQ1185" s="122">
        <v>0</v>
      </c>
      <c r="AR1185" s="515" t="s">
        <v>16</v>
      </c>
      <c r="AS1185" s="95">
        <v>-1</v>
      </c>
      <c r="AT1185" s="75">
        <v>-1</v>
      </c>
      <c r="AU1185" s="75">
        <v>-1</v>
      </c>
      <c r="AV1185" s="75">
        <v>-1</v>
      </c>
      <c r="AW1185" s="123">
        <v>1</v>
      </c>
      <c r="AX1185" s="516"/>
      <c r="AY1185" s="75">
        <v>0</v>
      </c>
      <c r="AZ1185" s="77" t="s">
        <v>5971</v>
      </c>
      <c r="BA1185" s="78" t="s">
        <v>5971</v>
      </c>
      <c r="BB1185" s="78" t="s">
        <v>5971</v>
      </c>
      <c r="BC1185" s="78" t="s">
        <v>5971</v>
      </c>
      <c r="BD1185" s="78" t="s">
        <v>5971</v>
      </c>
      <c r="BE1185" s="78" t="s">
        <v>5971</v>
      </c>
      <c r="BF1185" s="78" t="s">
        <v>5971</v>
      </c>
      <c r="BG1185" s="78" t="s">
        <v>5971</v>
      </c>
      <c r="BH1185" s="75" t="s">
        <v>5971</v>
      </c>
      <c r="BI1185" s="295" t="s">
        <v>16</v>
      </c>
      <c r="BJ1185" s="546" t="s">
        <v>16</v>
      </c>
      <c r="BK1185" s="294" t="s">
        <v>16</v>
      </c>
      <c r="BL1185" s="157" t="s">
        <v>16</v>
      </c>
      <c r="BM1185" s="548" t="s">
        <v>1341</v>
      </c>
      <c r="BN1185" s="548" t="s">
        <v>4158</v>
      </c>
      <c r="BO1185" s="157" t="s">
        <v>4616</v>
      </c>
      <c r="BP1185" s="548" t="s">
        <v>4624</v>
      </c>
      <c r="BQ1185" s="157" t="s">
        <v>4592</v>
      </c>
      <c r="BR1185" s="157"/>
    </row>
    <row r="1186" spans="1:70" x14ac:dyDescent="0.25">
      <c r="A1186" s="19" t="s">
        <v>3686</v>
      </c>
      <c r="B1186" s="37" t="s">
        <v>3517</v>
      </c>
      <c r="C1186" s="90">
        <v>45050.934803240743</v>
      </c>
      <c r="D1186" s="114">
        <v>45050.684803240743</v>
      </c>
      <c r="E1186" s="38">
        <v>45050</v>
      </c>
      <c r="F1186" s="91">
        <v>2023</v>
      </c>
      <c r="G1186" s="93">
        <v>5</v>
      </c>
      <c r="H1186" s="37" t="s">
        <v>1410</v>
      </c>
      <c r="I1186" s="37" t="s">
        <v>1411</v>
      </c>
      <c r="J1186" s="103">
        <v>-93.231349075827353</v>
      </c>
      <c r="K1186" s="40">
        <v>44.846788650120374</v>
      </c>
      <c r="L1186" s="74"/>
      <c r="M1186" s="272" t="s">
        <v>3518</v>
      </c>
      <c r="N1186" s="74">
        <v>1</v>
      </c>
      <c r="O1186" s="94"/>
      <c r="P1186" s="118">
        <v>1</v>
      </c>
      <c r="Q1186" s="510">
        <v>120</v>
      </c>
      <c r="R1186" s="513">
        <v>180</v>
      </c>
      <c r="S1186" s="41"/>
      <c r="T1186" s="40"/>
      <c r="U1186" s="40">
        <v>8</v>
      </c>
      <c r="V1186" s="119">
        <v>1</v>
      </c>
      <c r="W1186" s="40">
        <v>0</v>
      </c>
      <c r="X1186" s="119">
        <v>1</v>
      </c>
      <c r="Y1186" s="40">
        <v>62</v>
      </c>
      <c r="Z1186" s="119">
        <v>1</v>
      </c>
      <c r="AA1186" s="368">
        <v>0</v>
      </c>
      <c r="AB1186" s="535">
        <v>0</v>
      </c>
      <c r="AC1186" s="39" t="s">
        <v>160</v>
      </c>
      <c r="AD1186" s="75" t="s">
        <v>10</v>
      </c>
      <c r="AE1186" s="95">
        <v>0</v>
      </c>
      <c r="AF1186" s="75">
        <v>0</v>
      </c>
      <c r="AG1186" s="75">
        <v>0</v>
      </c>
      <c r="AH1186" s="75">
        <v>0</v>
      </c>
      <c r="AI1186" s="75">
        <v>0</v>
      </c>
      <c r="AJ1186" s="75">
        <v>0</v>
      </c>
      <c r="AK1186" s="75">
        <v>0</v>
      </c>
      <c r="AL1186" s="95">
        <v>1</v>
      </c>
      <c r="AM1186" s="92">
        <v>0</v>
      </c>
      <c r="AN1186" s="79" t="s">
        <v>195</v>
      </c>
      <c r="AO1186" s="75">
        <v>1</v>
      </c>
      <c r="AP1186" s="75" t="s">
        <v>83</v>
      </c>
      <c r="AQ1186" s="122">
        <v>1</v>
      </c>
      <c r="AR1186" s="515" t="s">
        <v>10</v>
      </c>
      <c r="AS1186" s="95">
        <v>0</v>
      </c>
      <c r="AT1186" s="75">
        <v>0</v>
      </c>
      <c r="AU1186" s="75">
        <v>0</v>
      </c>
      <c r="AV1186" s="75">
        <v>0</v>
      </c>
      <c r="AW1186" s="123">
        <v>0</v>
      </c>
      <c r="AX1186" s="516" t="s">
        <v>3519</v>
      </c>
      <c r="AY1186" s="75">
        <v>1</v>
      </c>
      <c r="AZ1186" s="77" t="s">
        <v>131</v>
      </c>
      <c r="BA1186" s="78" t="s">
        <v>131</v>
      </c>
      <c r="BB1186" s="78" t="s">
        <v>131</v>
      </c>
      <c r="BC1186" s="78" t="s">
        <v>131</v>
      </c>
      <c r="BD1186" s="78" t="s">
        <v>131</v>
      </c>
      <c r="BE1186" s="78" t="s">
        <v>131</v>
      </c>
      <c r="BF1186" s="78" t="s">
        <v>131</v>
      </c>
      <c r="BG1186" s="78" t="s">
        <v>132</v>
      </c>
      <c r="BH1186" s="75" t="s">
        <v>5970</v>
      </c>
      <c r="BI1186" s="295" t="s">
        <v>16</v>
      </c>
      <c r="BJ1186" s="546" t="s">
        <v>16</v>
      </c>
      <c r="BK1186" s="294" t="s">
        <v>16</v>
      </c>
      <c r="BL1186" s="157" t="s">
        <v>16</v>
      </c>
      <c r="BM1186" s="548" t="s">
        <v>2343</v>
      </c>
      <c r="BN1186" s="548" t="s">
        <v>4161</v>
      </c>
      <c r="BO1186" s="157" t="s">
        <v>4327</v>
      </c>
      <c r="BP1186" s="548" t="s">
        <v>4314</v>
      </c>
      <c r="BQ1186" s="157" t="s">
        <v>4312</v>
      </c>
      <c r="BR1186" s="157"/>
    </row>
    <row r="1187" spans="1:70" x14ac:dyDescent="0.25">
      <c r="A1187" s="19" t="s">
        <v>3686</v>
      </c>
      <c r="B1187" s="37" t="s">
        <v>3520</v>
      </c>
      <c r="C1187" s="90">
        <v>45050.817557870374</v>
      </c>
      <c r="D1187" s="114">
        <v>45050.567557870374</v>
      </c>
      <c r="E1187" s="38">
        <v>45050</v>
      </c>
      <c r="F1187" s="91">
        <v>2023</v>
      </c>
      <c r="G1187" s="93">
        <v>5</v>
      </c>
      <c r="H1187" s="37" t="s">
        <v>3283</v>
      </c>
      <c r="I1187" s="37"/>
      <c r="J1187" s="103">
        <v>-93.495743233393284</v>
      </c>
      <c r="K1187" s="40">
        <v>44.80196984871943</v>
      </c>
      <c r="L1187" s="74"/>
      <c r="M1187" s="272" t="s">
        <v>16</v>
      </c>
      <c r="N1187" s="74">
        <v>0</v>
      </c>
      <c r="O1187" s="94"/>
      <c r="P1187" s="118">
        <v>1</v>
      </c>
      <c r="Q1187" s="510">
        <v>180</v>
      </c>
      <c r="R1187" s="513">
        <v>180</v>
      </c>
      <c r="S1187" s="41"/>
      <c r="T1187" s="40"/>
      <c r="U1187" s="40">
        <v>8</v>
      </c>
      <c r="V1187" s="119">
        <v>0</v>
      </c>
      <c r="W1187" s="40"/>
      <c r="X1187" s="119">
        <v>0</v>
      </c>
      <c r="Y1187" s="40"/>
      <c r="Z1187" s="119">
        <v>0</v>
      </c>
      <c r="AA1187" s="368" t="s">
        <v>16</v>
      </c>
      <c r="AB1187" s="535" t="s">
        <v>16</v>
      </c>
      <c r="AC1187" s="39" t="s">
        <v>160</v>
      </c>
      <c r="AD1187" s="75" t="s">
        <v>16</v>
      </c>
      <c r="AE1187" s="95">
        <v>-1</v>
      </c>
      <c r="AF1187" s="75">
        <v>-1</v>
      </c>
      <c r="AG1187" s="75">
        <v>-1</v>
      </c>
      <c r="AH1187" s="75">
        <v>-1</v>
      </c>
      <c r="AI1187" s="75">
        <v>-1</v>
      </c>
      <c r="AJ1187" s="75">
        <v>-1</v>
      </c>
      <c r="AK1187" s="75">
        <v>-1</v>
      </c>
      <c r="AL1187" s="95">
        <v>-1</v>
      </c>
      <c r="AM1187" s="92">
        <v>1</v>
      </c>
      <c r="AN1187" s="79"/>
      <c r="AO1187" s="75">
        <v>0</v>
      </c>
      <c r="AP1187" s="75"/>
      <c r="AQ1187" s="122">
        <v>0</v>
      </c>
      <c r="AR1187" s="515" t="s">
        <v>16</v>
      </c>
      <c r="AS1187" s="95">
        <v>-1</v>
      </c>
      <c r="AT1187" s="75">
        <v>-1</v>
      </c>
      <c r="AU1187" s="75">
        <v>-1</v>
      </c>
      <c r="AV1187" s="75">
        <v>-1</v>
      </c>
      <c r="AW1187" s="123">
        <v>1</v>
      </c>
      <c r="AX1187" s="516"/>
      <c r="AY1187" s="75">
        <v>0</v>
      </c>
      <c r="AZ1187" s="77" t="s">
        <v>5971</v>
      </c>
      <c r="BA1187" s="78" t="s">
        <v>5971</v>
      </c>
      <c r="BB1187" s="78" t="s">
        <v>5971</v>
      </c>
      <c r="BC1187" s="78" t="s">
        <v>5971</v>
      </c>
      <c r="BD1187" s="78" t="s">
        <v>5971</v>
      </c>
      <c r="BE1187" s="78" t="s">
        <v>5971</v>
      </c>
      <c r="BF1187" s="78" t="s">
        <v>5971</v>
      </c>
      <c r="BG1187" s="78" t="s">
        <v>5971</v>
      </c>
      <c r="BH1187" s="75" t="s">
        <v>5971</v>
      </c>
      <c r="BI1187" s="295" t="s">
        <v>4314</v>
      </c>
      <c r="BJ1187" s="546" t="s">
        <v>16</v>
      </c>
      <c r="BK1187" s="294" t="s">
        <v>16</v>
      </c>
      <c r="BL1187" s="157" t="s">
        <v>16</v>
      </c>
      <c r="BM1187" s="548" t="s">
        <v>2343</v>
      </c>
      <c r="BN1187" s="548" t="s">
        <v>4161</v>
      </c>
      <c r="BO1187" s="157" t="s">
        <v>4625</v>
      </c>
      <c r="BP1187" s="548" t="s">
        <v>4626</v>
      </c>
      <c r="BQ1187" s="157" t="s">
        <v>4312</v>
      </c>
      <c r="BR1187" s="157"/>
    </row>
    <row r="1188" spans="1:70" x14ac:dyDescent="0.25">
      <c r="A1188" s="19" t="s">
        <v>3686</v>
      </c>
      <c r="B1188" s="37" t="s">
        <v>3521</v>
      </c>
      <c r="C1188" s="90">
        <v>45050.816574074073</v>
      </c>
      <c r="D1188" s="114">
        <v>45050.566574074073</v>
      </c>
      <c r="E1188" s="38">
        <v>45050</v>
      </c>
      <c r="F1188" s="91">
        <v>2023</v>
      </c>
      <c r="G1188" s="93">
        <v>5</v>
      </c>
      <c r="H1188" s="37" t="s">
        <v>3283</v>
      </c>
      <c r="I1188" s="37" t="s">
        <v>16</v>
      </c>
      <c r="J1188" s="103">
        <v>-93.467322342513441</v>
      </c>
      <c r="K1188" s="40">
        <v>44.799715820907245</v>
      </c>
      <c r="L1188" s="74"/>
      <c r="M1188" s="272" t="s">
        <v>3522</v>
      </c>
      <c r="N1188" s="74">
        <v>1</v>
      </c>
      <c r="O1188" s="94"/>
      <c r="P1188" s="118">
        <v>1</v>
      </c>
      <c r="Q1188" s="510">
        <v>180</v>
      </c>
      <c r="R1188" s="513">
        <v>120</v>
      </c>
      <c r="S1188" s="41"/>
      <c r="T1188" s="40"/>
      <c r="U1188" s="40">
        <v>8</v>
      </c>
      <c r="V1188" s="119">
        <v>0</v>
      </c>
      <c r="W1188" s="40"/>
      <c r="X1188" s="119">
        <v>0</v>
      </c>
      <c r="Y1188" s="40"/>
      <c r="Z1188" s="119">
        <v>0</v>
      </c>
      <c r="AA1188" s="368" t="s">
        <v>16</v>
      </c>
      <c r="AB1188" s="535" t="s">
        <v>16</v>
      </c>
      <c r="AC1188" s="39" t="s">
        <v>160</v>
      </c>
      <c r="AD1188" s="75" t="s">
        <v>16</v>
      </c>
      <c r="AE1188" s="95">
        <v>-1</v>
      </c>
      <c r="AF1188" s="75">
        <v>-1</v>
      </c>
      <c r="AG1188" s="75">
        <v>-1</v>
      </c>
      <c r="AH1188" s="75">
        <v>-1</v>
      </c>
      <c r="AI1188" s="75">
        <v>-1</v>
      </c>
      <c r="AJ1188" s="75">
        <v>-1</v>
      </c>
      <c r="AK1188" s="75">
        <v>-1</v>
      </c>
      <c r="AL1188" s="95">
        <v>-1</v>
      </c>
      <c r="AM1188" s="92">
        <v>1</v>
      </c>
      <c r="AN1188" s="79"/>
      <c r="AO1188" s="75">
        <v>0</v>
      </c>
      <c r="AP1188" s="75"/>
      <c r="AQ1188" s="122">
        <v>0</v>
      </c>
      <c r="AR1188" s="515" t="s">
        <v>16</v>
      </c>
      <c r="AS1188" s="95">
        <v>-1</v>
      </c>
      <c r="AT1188" s="75">
        <v>-1</v>
      </c>
      <c r="AU1188" s="75">
        <v>-1</v>
      </c>
      <c r="AV1188" s="75">
        <v>-1</v>
      </c>
      <c r="AW1188" s="123">
        <v>1</v>
      </c>
      <c r="AX1188" s="516"/>
      <c r="AY1188" s="75">
        <v>0</v>
      </c>
      <c r="AZ1188" s="77" t="s">
        <v>5971</v>
      </c>
      <c r="BA1188" s="78" t="s">
        <v>5971</v>
      </c>
      <c r="BB1188" s="78" t="s">
        <v>5971</v>
      </c>
      <c r="BC1188" s="78" t="s">
        <v>5971</v>
      </c>
      <c r="BD1188" s="78" t="s">
        <v>5971</v>
      </c>
      <c r="BE1188" s="78" t="s">
        <v>5971</v>
      </c>
      <c r="BF1188" s="78" t="s">
        <v>5971</v>
      </c>
      <c r="BG1188" s="78" t="s">
        <v>5971</v>
      </c>
      <c r="BH1188" s="75" t="s">
        <v>5971</v>
      </c>
      <c r="BI1188" s="295" t="s">
        <v>16</v>
      </c>
      <c r="BJ1188" s="546" t="s">
        <v>16</v>
      </c>
      <c r="BK1188" s="294" t="s">
        <v>16</v>
      </c>
      <c r="BL1188" s="157" t="s">
        <v>16</v>
      </c>
      <c r="BM1188" s="548" t="s">
        <v>2343</v>
      </c>
      <c r="BN1188" s="548" t="s">
        <v>4161</v>
      </c>
      <c r="BO1188" s="157" t="s">
        <v>4313</v>
      </c>
      <c r="BP1188" s="548" t="s">
        <v>4315</v>
      </c>
      <c r="BQ1188" s="157" t="s">
        <v>4312</v>
      </c>
      <c r="BR1188" s="157"/>
    </row>
    <row r="1189" spans="1:70" x14ac:dyDescent="0.25">
      <c r="A1189" s="19" t="s">
        <v>3686</v>
      </c>
      <c r="B1189" s="37" t="s">
        <v>3523</v>
      </c>
      <c r="C1189" s="90">
        <v>45050.759872685187</v>
      </c>
      <c r="D1189" s="114">
        <v>45050.509872685187</v>
      </c>
      <c r="E1189" s="38">
        <v>45050</v>
      </c>
      <c r="F1189" s="91">
        <v>2023</v>
      </c>
      <c r="G1189" s="93">
        <v>5</v>
      </c>
      <c r="H1189" s="37" t="s">
        <v>2423</v>
      </c>
      <c r="I1189" s="37" t="s">
        <v>16</v>
      </c>
      <c r="J1189" s="103">
        <v>-92.624263999999997</v>
      </c>
      <c r="K1189" s="40">
        <v>44.864227999999997</v>
      </c>
      <c r="L1189" s="74"/>
      <c r="M1189" s="272" t="s">
        <v>16</v>
      </c>
      <c r="N1189" s="74">
        <v>0</v>
      </c>
      <c r="O1189" s="94"/>
      <c r="P1189" s="118">
        <v>1</v>
      </c>
      <c r="Q1189" s="510">
        <v>80</v>
      </c>
      <c r="R1189" s="513">
        <v>180</v>
      </c>
      <c r="S1189" s="41"/>
      <c r="T1189" s="40"/>
      <c r="U1189" s="40">
        <v>7.5</v>
      </c>
      <c r="V1189" s="119">
        <v>1</v>
      </c>
      <c r="W1189" s="40">
        <v>0</v>
      </c>
      <c r="X1189" s="119">
        <v>1</v>
      </c>
      <c r="Y1189" s="40">
        <v>56</v>
      </c>
      <c r="Z1189" s="119">
        <v>1</v>
      </c>
      <c r="AA1189" s="368">
        <v>0</v>
      </c>
      <c r="AB1189" s="535">
        <v>5</v>
      </c>
      <c r="AC1189" s="39" t="s">
        <v>160</v>
      </c>
      <c r="AD1189" s="75" t="s">
        <v>803</v>
      </c>
      <c r="AE1189" s="95">
        <v>0</v>
      </c>
      <c r="AF1189" s="75">
        <v>1</v>
      </c>
      <c r="AG1189" s="75">
        <v>1</v>
      </c>
      <c r="AH1189" s="75">
        <v>1</v>
      </c>
      <c r="AI1189" s="75">
        <v>0</v>
      </c>
      <c r="AJ1189" s="75">
        <v>0</v>
      </c>
      <c r="AK1189" s="75">
        <v>0</v>
      </c>
      <c r="AL1189" s="95">
        <v>0</v>
      </c>
      <c r="AM1189" s="92">
        <v>0</v>
      </c>
      <c r="AN1189" s="79" t="s">
        <v>80</v>
      </c>
      <c r="AO1189" s="75">
        <v>1</v>
      </c>
      <c r="AP1189" s="75" t="s">
        <v>83</v>
      </c>
      <c r="AQ1189" s="122">
        <v>1</v>
      </c>
      <c r="AR1189" s="515" t="s">
        <v>10</v>
      </c>
      <c r="AS1189" s="95">
        <v>0</v>
      </c>
      <c r="AT1189" s="75">
        <v>0</v>
      </c>
      <c r="AU1189" s="75">
        <v>0</v>
      </c>
      <c r="AV1189" s="75">
        <v>0</v>
      </c>
      <c r="AW1189" s="123">
        <v>0</v>
      </c>
      <c r="AX1189" s="516" t="s">
        <v>3524</v>
      </c>
      <c r="AY1189" s="75">
        <v>1</v>
      </c>
      <c r="AZ1189" s="77" t="s">
        <v>131</v>
      </c>
      <c r="BA1189" s="78" t="s">
        <v>132</v>
      </c>
      <c r="BB1189" s="78" t="s">
        <v>132</v>
      </c>
      <c r="BC1189" s="78" t="s">
        <v>132</v>
      </c>
      <c r="BD1189" s="78" t="s">
        <v>131</v>
      </c>
      <c r="BE1189" s="78" t="s">
        <v>131</v>
      </c>
      <c r="BF1189" s="78" t="s">
        <v>131</v>
      </c>
      <c r="BG1189" s="78" t="s">
        <v>131</v>
      </c>
      <c r="BH1189" s="75" t="s">
        <v>5970</v>
      </c>
      <c r="BI1189" s="295" t="s">
        <v>16</v>
      </c>
      <c r="BJ1189" s="546">
        <v>1</v>
      </c>
      <c r="BK1189" s="294" t="s">
        <v>16</v>
      </c>
      <c r="BL1189" s="157" t="s">
        <v>16</v>
      </c>
      <c r="BM1189" s="548" t="s">
        <v>578</v>
      </c>
      <c r="BN1189" s="548" t="s">
        <v>4159</v>
      </c>
      <c r="BO1189" s="157" t="s">
        <v>4311</v>
      </c>
      <c r="BP1189" s="548" t="s">
        <v>4395</v>
      </c>
      <c r="BQ1189" s="157" t="s">
        <v>4309</v>
      </c>
      <c r="BR1189" s="157"/>
    </row>
    <row r="1190" spans="1:70" x14ac:dyDescent="0.25">
      <c r="A1190" s="19" t="s">
        <v>3686</v>
      </c>
      <c r="B1190" s="37" t="s">
        <v>3525</v>
      </c>
      <c r="C1190" s="90">
        <v>45050.741377314815</v>
      </c>
      <c r="D1190" s="114">
        <v>45050.491377314815</v>
      </c>
      <c r="E1190" s="38">
        <v>45050</v>
      </c>
      <c r="F1190" s="91">
        <v>2023</v>
      </c>
      <c r="G1190" s="93">
        <v>5</v>
      </c>
      <c r="H1190" s="37" t="s">
        <v>2423</v>
      </c>
      <c r="I1190" s="37"/>
      <c r="J1190" s="103">
        <v>-92.631904800000001</v>
      </c>
      <c r="K1190" s="40">
        <v>44.855612899999997</v>
      </c>
      <c r="L1190" s="74"/>
      <c r="M1190" s="272" t="s">
        <v>16</v>
      </c>
      <c r="N1190" s="74">
        <v>0</v>
      </c>
      <c r="O1190" s="94"/>
      <c r="P1190" s="118">
        <v>1</v>
      </c>
      <c r="Q1190" s="510">
        <v>80</v>
      </c>
      <c r="R1190" s="513">
        <v>120</v>
      </c>
      <c r="S1190" s="41"/>
      <c r="T1190" s="40"/>
      <c r="U1190" s="40">
        <v>7.5</v>
      </c>
      <c r="V1190" s="119">
        <v>1</v>
      </c>
      <c r="W1190" s="40">
        <v>0</v>
      </c>
      <c r="X1190" s="119">
        <v>1</v>
      </c>
      <c r="Y1190" s="40">
        <v>57</v>
      </c>
      <c r="Z1190" s="119">
        <v>1</v>
      </c>
      <c r="AA1190" s="368">
        <v>0</v>
      </c>
      <c r="AB1190" s="535">
        <v>2</v>
      </c>
      <c r="AC1190" s="39" t="s">
        <v>186</v>
      </c>
      <c r="AD1190" s="75" t="s">
        <v>365</v>
      </c>
      <c r="AE1190" s="95">
        <v>0</v>
      </c>
      <c r="AF1190" s="75">
        <v>1</v>
      </c>
      <c r="AG1190" s="75">
        <v>1</v>
      </c>
      <c r="AH1190" s="75">
        <v>0</v>
      </c>
      <c r="AI1190" s="75">
        <v>0</v>
      </c>
      <c r="AJ1190" s="75">
        <v>0</v>
      </c>
      <c r="AK1190" s="75">
        <v>0</v>
      </c>
      <c r="AL1190" s="95">
        <v>0</v>
      </c>
      <c r="AM1190" s="92">
        <v>0</v>
      </c>
      <c r="AN1190" s="79" t="s">
        <v>80</v>
      </c>
      <c r="AO1190" s="75">
        <v>1</v>
      </c>
      <c r="AP1190" s="75" t="s">
        <v>84</v>
      </c>
      <c r="AQ1190" s="122">
        <v>1</v>
      </c>
      <c r="AR1190" s="515" t="s">
        <v>10</v>
      </c>
      <c r="AS1190" s="95">
        <v>0</v>
      </c>
      <c r="AT1190" s="75">
        <v>0</v>
      </c>
      <c r="AU1190" s="75">
        <v>0</v>
      </c>
      <c r="AV1190" s="75">
        <v>0</v>
      </c>
      <c r="AW1190" s="123">
        <v>0</v>
      </c>
      <c r="AX1190" s="516" t="s">
        <v>3526</v>
      </c>
      <c r="AY1190" s="75">
        <v>1</v>
      </c>
      <c r="AZ1190" s="77" t="s">
        <v>131</v>
      </c>
      <c r="BA1190" s="78" t="s">
        <v>132</v>
      </c>
      <c r="BB1190" s="78" t="s">
        <v>132</v>
      </c>
      <c r="BC1190" s="78" t="s">
        <v>131</v>
      </c>
      <c r="BD1190" s="78" t="s">
        <v>131</v>
      </c>
      <c r="BE1190" s="78" t="s">
        <v>131</v>
      </c>
      <c r="BF1190" s="78" t="s">
        <v>131</v>
      </c>
      <c r="BG1190" s="78" t="s">
        <v>131</v>
      </c>
      <c r="BH1190" s="75" t="s">
        <v>5970</v>
      </c>
      <c r="BI1190" s="295" t="s">
        <v>2227</v>
      </c>
      <c r="BJ1190" s="546">
        <v>1</v>
      </c>
      <c r="BK1190" s="294">
        <v>1</v>
      </c>
      <c r="BL1190" s="157">
        <v>1</v>
      </c>
      <c r="BM1190" s="548" t="s">
        <v>578</v>
      </c>
      <c r="BN1190" s="548" t="s">
        <v>4159</v>
      </c>
      <c r="BO1190" s="157" t="s">
        <v>4311</v>
      </c>
      <c r="BP1190" s="548" t="s">
        <v>4395</v>
      </c>
      <c r="BQ1190" s="157" t="s">
        <v>4309</v>
      </c>
      <c r="BR1190" s="157"/>
    </row>
    <row r="1191" spans="1:70" x14ac:dyDescent="0.25">
      <c r="A1191" s="19" t="s">
        <v>3686</v>
      </c>
      <c r="B1191" s="37" t="s">
        <v>3527</v>
      </c>
      <c r="C1191" s="90">
        <v>45050.734490740739</v>
      </c>
      <c r="D1191" s="114">
        <v>45050.484490740739</v>
      </c>
      <c r="E1191" s="38">
        <v>45050</v>
      </c>
      <c r="F1191" s="91">
        <v>2023</v>
      </c>
      <c r="G1191" s="93">
        <v>5</v>
      </c>
      <c r="H1191" s="37" t="s">
        <v>1358</v>
      </c>
      <c r="I1191" s="37"/>
      <c r="J1191" s="103">
        <v>-91.228773055760897</v>
      </c>
      <c r="K1191" s="40">
        <v>43.825164774775708</v>
      </c>
      <c r="L1191" s="74"/>
      <c r="M1191" s="272" t="s">
        <v>16</v>
      </c>
      <c r="N1191" s="74">
        <v>0</v>
      </c>
      <c r="O1191" s="94"/>
      <c r="P1191" s="118">
        <v>1</v>
      </c>
      <c r="Q1191" s="510">
        <v>120</v>
      </c>
      <c r="R1191" s="513">
        <v>120</v>
      </c>
      <c r="S1191" s="41"/>
      <c r="T1191" s="40"/>
      <c r="U1191" s="40">
        <v>7</v>
      </c>
      <c r="V1191" s="119">
        <v>1</v>
      </c>
      <c r="W1191" s="40">
        <v>0</v>
      </c>
      <c r="X1191" s="119">
        <v>0</v>
      </c>
      <c r="Y1191" s="40"/>
      <c r="Z1191" s="119">
        <v>1</v>
      </c>
      <c r="AA1191" s="368">
        <v>0</v>
      </c>
      <c r="AB1191" s="535">
        <v>2</v>
      </c>
      <c r="AC1191" s="39" t="s">
        <v>186</v>
      </c>
      <c r="AD1191" s="75" t="s">
        <v>16</v>
      </c>
      <c r="AE1191" s="95">
        <v>-1</v>
      </c>
      <c r="AF1191" s="75">
        <v>-1</v>
      </c>
      <c r="AG1191" s="75">
        <v>-1</v>
      </c>
      <c r="AH1191" s="75">
        <v>-1</v>
      </c>
      <c r="AI1191" s="75">
        <v>-1</v>
      </c>
      <c r="AJ1191" s="75">
        <v>-1</v>
      </c>
      <c r="AK1191" s="75">
        <v>-1</v>
      </c>
      <c r="AL1191" s="95">
        <v>-1</v>
      </c>
      <c r="AM1191" s="92">
        <v>1</v>
      </c>
      <c r="AN1191" s="79"/>
      <c r="AO1191" s="75">
        <v>0</v>
      </c>
      <c r="AP1191" s="75"/>
      <c r="AQ1191" s="122">
        <v>0</v>
      </c>
      <c r="AR1191" s="515" t="s">
        <v>16</v>
      </c>
      <c r="AS1191" s="95">
        <v>-1</v>
      </c>
      <c r="AT1191" s="75">
        <v>-1</v>
      </c>
      <c r="AU1191" s="75">
        <v>-1</v>
      </c>
      <c r="AV1191" s="75">
        <v>-1</v>
      </c>
      <c r="AW1191" s="123">
        <v>1</v>
      </c>
      <c r="AX1191" s="516"/>
      <c r="AY1191" s="75">
        <v>0</v>
      </c>
      <c r="AZ1191" s="77" t="s">
        <v>5971</v>
      </c>
      <c r="BA1191" s="78" t="s">
        <v>5971</v>
      </c>
      <c r="BB1191" s="78" t="s">
        <v>5971</v>
      </c>
      <c r="BC1191" s="78" t="s">
        <v>5971</v>
      </c>
      <c r="BD1191" s="78" t="s">
        <v>5971</v>
      </c>
      <c r="BE1191" s="78" t="s">
        <v>5971</v>
      </c>
      <c r="BF1191" s="78" t="s">
        <v>5971</v>
      </c>
      <c r="BG1191" s="78" t="s">
        <v>5971</v>
      </c>
      <c r="BH1191" s="75" t="s">
        <v>5971</v>
      </c>
      <c r="BI1191" s="295" t="s">
        <v>5966</v>
      </c>
      <c r="BJ1191" s="546" t="s">
        <v>16</v>
      </c>
      <c r="BK1191" s="294" t="s">
        <v>16</v>
      </c>
      <c r="BL1191" s="157" t="s">
        <v>16</v>
      </c>
      <c r="BM1191" s="548" t="s">
        <v>1342</v>
      </c>
      <c r="BN1191" s="548" t="s">
        <v>4160</v>
      </c>
      <c r="BO1191" s="157" t="s">
        <v>4615</v>
      </c>
      <c r="BP1191" s="548" t="s">
        <v>4617</v>
      </c>
      <c r="BQ1191" s="157" t="s">
        <v>4339</v>
      </c>
      <c r="BR1191" s="157"/>
    </row>
    <row r="1192" spans="1:70" x14ac:dyDescent="0.25">
      <c r="A1192" s="19" t="s">
        <v>3686</v>
      </c>
      <c r="B1192" s="37" t="s">
        <v>3528</v>
      </c>
      <c r="C1192" s="90">
        <v>45050.71770833333</v>
      </c>
      <c r="D1192" s="114">
        <v>45050.46770833333</v>
      </c>
      <c r="E1192" s="38">
        <v>45050</v>
      </c>
      <c r="F1192" s="91">
        <v>2023</v>
      </c>
      <c r="G1192" s="93">
        <v>5</v>
      </c>
      <c r="H1192" s="37" t="s">
        <v>2534</v>
      </c>
      <c r="I1192" s="37" t="s">
        <v>16</v>
      </c>
      <c r="J1192" s="103">
        <v>-92.638088668900437</v>
      </c>
      <c r="K1192" s="40">
        <v>44.851680452390937</v>
      </c>
      <c r="L1192" s="74"/>
      <c r="M1192" s="272" t="s">
        <v>3529</v>
      </c>
      <c r="N1192" s="74">
        <v>1</v>
      </c>
      <c r="O1192" s="94"/>
      <c r="P1192" s="118">
        <v>1</v>
      </c>
      <c r="Q1192" s="510">
        <v>40</v>
      </c>
      <c r="R1192" s="513">
        <v>180</v>
      </c>
      <c r="S1192" s="41"/>
      <c r="T1192" s="40"/>
      <c r="U1192" s="40">
        <v>9</v>
      </c>
      <c r="V1192" s="119">
        <v>1</v>
      </c>
      <c r="W1192" s="40">
        <v>0</v>
      </c>
      <c r="X1192" s="119">
        <v>1</v>
      </c>
      <c r="Y1192" s="40">
        <v>55</v>
      </c>
      <c r="Z1192" s="119">
        <v>1</v>
      </c>
      <c r="AA1192" s="368">
        <v>0</v>
      </c>
      <c r="AB1192" s="535">
        <v>5</v>
      </c>
      <c r="AC1192" s="39" t="s">
        <v>160</v>
      </c>
      <c r="AD1192" s="75" t="s">
        <v>8</v>
      </c>
      <c r="AE1192" s="95">
        <v>0</v>
      </c>
      <c r="AF1192" s="75">
        <v>1</v>
      </c>
      <c r="AG1192" s="75">
        <v>0</v>
      </c>
      <c r="AH1192" s="75">
        <v>0</v>
      </c>
      <c r="AI1192" s="75">
        <v>0</v>
      </c>
      <c r="AJ1192" s="75">
        <v>0</v>
      </c>
      <c r="AK1192" s="75">
        <v>0</v>
      </c>
      <c r="AL1192" s="95">
        <v>0</v>
      </c>
      <c r="AM1192" s="92">
        <v>0</v>
      </c>
      <c r="AN1192" s="79" t="s">
        <v>80</v>
      </c>
      <c r="AO1192" s="75">
        <v>1</v>
      </c>
      <c r="AP1192" s="75" t="s">
        <v>83</v>
      </c>
      <c r="AQ1192" s="122">
        <v>1</v>
      </c>
      <c r="AR1192" s="515" t="s">
        <v>10</v>
      </c>
      <c r="AS1192" s="95">
        <v>0</v>
      </c>
      <c r="AT1192" s="75">
        <v>0</v>
      </c>
      <c r="AU1192" s="75">
        <v>0</v>
      </c>
      <c r="AV1192" s="75">
        <v>0</v>
      </c>
      <c r="AW1192" s="123">
        <v>0</v>
      </c>
      <c r="AX1192" s="516" t="s">
        <v>3530</v>
      </c>
      <c r="AY1192" s="75">
        <v>1</v>
      </c>
      <c r="AZ1192" s="77" t="s">
        <v>131</v>
      </c>
      <c r="BA1192" s="78" t="s">
        <v>132</v>
      </c>
      <c r="BB1192" s="78" t="s">
        <v>131</v>
      </c>
      <c r="BC1192" s="78" t="s">
        <v>131</v>
      </c>
      <c r="BD1192" s="78" t="s">
        <v>131</v>
      </c>
      <c r="BE1192" s="78" t="s">
        <v>131</v>
      </c>
      <c r="BF1192" s="78" t="s">
        <v>131</v>
      </c>
      <c r="BG1192" s="78" t="s">
        <v>131</v>
      </c>
      <c r="BH1192" s="75" t="s">
        <v>5970</v>
      </c>
      <c r="BI1192" s="295" t="s">
        <v>2227</v>
      </c>
      <c r="BJ1192" s="546">
        <v>1</v>
      </c>
      <c r="BK1192" s="294">
        <v>1</v>
      </c>
      <c r="BL1192" s="157">
        <v>1</v>
      </c>
      <c r="BM1192" s="548" t="s">
        <v>578</v>
      </c>
      <c r="BN1192" s="548" t="s">
        <v>4159</v>
      </c>
      <c r="BO1192" s="157" t="s">
        <v>4341</v>
      </c>
      <c r="BP1192" s="548" t="s">
        <v>4343</v>
      </c>
      <c r="BQ1192" s="157" t="s">
        <v>4309</v>
      </c>
      <c r="BR1192" s="157"/>
    </row>
    <row r="1193" spans="1:70" x14ac:dyDescent="0.25">
      <c r="A1193" s="19" t="s">
        <v>3686</v>
      </c>
      <c r="B1193" s="37" t="s">
        <v>3531</v>
      </c>
      <c r="C1193" s="90">
        <v>45050.705625000002</v>
      </c>
      <c r="D1193" s="114">
        <v>45050.455625000002</v>
      </c>
      <c r="E1193" s="38">
        <v>45050</v>
      </c>
      <c r="F1193" s="91">
        <v>2023</v>
      </c>
      <c r="G1193" s="93">
        <v>5</v>
      </c>
      <c r="H1193" s="37" t="s">
        <v>2534</v>
      </c>
      <c r="I1193" s="37"/>
      <c r="J1193" s="103">
        <v>-92.636247986565607</v>
      </c>
      <c r="K1193" s="40">
        <v>44.85465530469174</v>
      </c>
      <c r="L1193" s="74"/>
      <c r="M1193" s="272" t="s">
        <v>16</v>
      </c>
      <c r="N1193" s="74">
        <v>0</v>
      </c>
      <c r="O1193" s="94"/>
      <c r="P1193" s="118">
        <v>1</v>
      </c>
      <c r="Q1193" s="510">
        <v>120</v>
      </c>
      <c r="R1193" s="513">
        <v>120</v>
      </c>
      <c r="S1193" s="41"/>
      <c r="T1193" s="40"/>
      <c r="U1193" s="40">
        <v>8</v>
      </c>
      <c r="V1193" s="119">
        <v>1</v>
      </c>
      <c r="W1193" s="40">
        <v>0</v>
      </c>
      <c r="X1193" s="119">
        <v>1</v>
      </c>
      <c r="Y1193" s="40">
        <v>54</v>
      </c>
      <c r="Z1193" s="119">
        <v>1</v>
      </c>
      <c r="AA1193" s="368">
        <v>0</v>
      </c>
      <c r="AB1193" s="535">
        <v>2</v>
      </c>
      <c r="AC1193" s="39" t="s">
        <v>160</v>
      </c>
      <c r="AD1193" s="75" t="s">
        <v>365</v>
      </c>
      <c r="AE1193" s="95">
        <v>0</v>
      </c>
      <c r="AF1193" s="75">
        <v>1</v>
      </c>
      <c r="AG1193" s="75">
        <v>1</v>
      </c>
      <c r="AH1193" s="75">
        <v>0</v>
      </c>
      <c r="AI1193" s="75">
        <v>0</v>
      </c>
      <c r="AJ1193" s="75">
        <v>0</v>
      </c>
      <c r="AK1193" s="75">
        <v>0</v>
      </c>
      <c r="AL1193" s="95">
        <v>0</v>
      </c>
      <c r="AM1193" s="92">
        <v>0</v>
      </c>
      <c r="AN1193" s="79" t="s">
        <v>80</v>
      </c>
      <c r="AO1193" s="75">
        <v>1</v>
      </c>
      <c r="AP1193" s="75" t="s">
        <v>83</v>
      </c>
      <c r="AQ1193" s="122">
        <v>1</v>
      </c>
      <c r="AR1193" s="515" t="s">
        <v>10</v>
      </c>
      <c r="AS1193" s="95">
        <v>0</v>
      </c>
      <c r="AT1193" s="75">
        <v>0</v>
      </c>
      <c r="AU1193" s="75">
        <v>0</v>
      </c>
      <c r="AV1193" s="75">
        <v>0</v>
      </c>
      <c r="AW1193" s="123">
        <v>0</v>
      </c>
      <c r="AX1193" s="516" t="s">
        <v>3532</v>
      </c>
      <c r="AY1193" s="75">
        <v>1</v>
      </c>
      <c r="AZ1193" s="77" t="s">
        <v>131</v>
      </c>
      <c r="BA1193" s="78" t="s">
        <v>132</v>
      </c>
      <c r="BB1193" s="78" t="s">
        <v>132</v>
      </c>
      <c r="BC1193" s="78" t="s">
        <v>131</v>
      </c>
      <c r="BD1193" s="78" t="s">
        <v>131</v>
      </c>
      <c r="BE1193" s="78" t="s">
        <v>131</v>
      </c>
      <c r="BF1193" s="78" t="s">
        <v>131</v>
      </c>
      <c r="BG1193" s="78" t="s">
        <v>131</v>
      </c>
      <c r="BH1193" s="75" t="s">
        <v>5970</v>
      </c>
      <c r="BI1193" s="295" t="s">
        <v>2227</v>
      </c>
      <c r="BJ1193" s="546">
        <v>1</v>
      </c>
      <c r="BK1193" s="294">
        <v>1</v>
      </c>
      <c r="BL1193" s="157">
        <v>1</v>
      </c>
      <c r="BM1193" s="548" t="s">
        <v>578</v>
      </c>
      <c r="BN1193" s="548" t="s">
        <v>4159</v>
      </c>
      <c r="BO1193" s="157" t="s">
        <v>4341</v>
      </c>
      <c r="BP1193" s="548" t="s">
        <v>4343</v>
      </c>
      <c r="BQ1193" s="157" t="s">
        <v>4309</v>
      </c>
      <c r="BR1193" s="157"/>
    </row>
    <row r="1194" spans="1:70" x14ac:dyDescent="0.25">
      <c r="A1194" s="19" t="s">
        <v>3686</v>
      </c>
      <c r="B1194" s="37" t="s">
        <v>3533</v>
      </c>
      <c r="C1194" s="90">
        <v>45050.683530092596</v>
      </c>
      <c r="D1194" s="114">
        <v>45050.433530092596</v>
      </c>
      <c r="E1194" s="38">
        <v>45050</v>
      </c>
      <c r="F1194" s="91">
        <v>2023</v>
      </c>
      <c r="G1194" s="93">
        <v>5</v>
      </c>
      <c r="H1194" s="37" t="s">
        <v>2423</v>
      </c>
      <c r="I1194" s="37" t="s">
        <v>16</v>
      </c>
      <c r="J1194" s="103">
        <v>-92.621369700000002</v>
      </c>
      <c r="K1194" s="40">
        <v>44.875029099999999</v>
      </c>
      <c r="L1194" s="74"/>
      <c r="M1194" s="272" t="s">
        <v>3534</v>
      </c>
      <c r="N1194" s="74">
        <v>1</v>
      </c>
      <c r="O1194" s="94"/>
      <c r="P1194" s="118">
        <v>1</v>
      </c>
      <c r="Q1194" s="510">
        <v>80</v>
      </c>
      <c r="R1194" s="513">
        <v>180</v>
      </c>
      <c r="S1194" s="41"/>
      <c r="T1194" s="40"/>
      <c r="U1194" s="40">
        <v>7.5</v>
      </c>
      <c r="V1194" s="119">
        <v>1</v>
      </c>
      <c r="W1194" s="40">
        <v>0</v>
      </c>
      <c r="X1194" s="119">
        <v>1</v>
      </c>
      <c r="Y1194" s="40">
        <v>53</v>
      </c>
      <c r="Z1194" s="119">
        <v>1</v>
      </c>
      <c r="AA1194" s="368">
        <v>0</v>
      </c>
      <c r="AB1194" s="535">
        <v>2</v>
      </c>
      <c r="AC1194" s="39" t="s">
        <v>160</v>
      </c>
      <c r="AD1194" s="75" t="s">
        <v>9</v>
      </c>
      <c r="AE1194" s="95">
        <v>0</v>
      </c>
      <c r="AF1194" s="75">
        <v>0</v>
      </c>
      <c r="AG1194" s="75">
        <v>1</v>
      </c>
      <c r="AH1194" s="75">
        <v>0</v>
      </c>
      <c r="AI1194" s="75">
        <v>0</v>
      </c>
      <c r="AJ1194" s="75">
        <v>0</v>
      </c>
      <c r="AK1194" s="75">
        <v>0</v>
      </c>
      <c r="AL1194" s="95">
        <v>0</v>
      </c>
      <c r="AM1194" s="92">
        <v>0</v>
      </c>
      <c r="AN1194" s="79" t="s">
        <v>80</v>
      </c>
      <c r="AO1194" s="75">
        <v>1</v>
      </c>
      <c r="AP1194" s="75" t="s">
        <v>83</v>
      </c>
      <c r="AQ1194" s="122">
        <v>1</v>
      </c>
      <c r="AR1194" s="515" t="s">
        <v>10</v>
      </c>
      <c r="AS1194" s="95">
        <v>0</v>
      </c>
      <c r="AT1194" s="75">
        <v>0</v>
      </c>
      <c r="AU1194" s="75">
        <v>0</v>
      </c>
      <c r="AV1194" s="75">
        <v>0</v>
      </c>
      <c r="AW1194" s="123">
        <v>0</v>
      </c>
      <c r="AX1194" s="516" t="s">
        <v>3535</v>
      </c>
      <c r="AY1194" s="75">
        <v>1</v>
      </c>
      <c r="AZ1194" s="77" t="s">
        <v>131</v>
      </c>
      <c r="BA1194" s="78" t="s">
        <v>131</v>
      </c>
      <c r="BB1194" s="78" t="s">
        <v>132</v>
      </c>
      <c r="BC1194" s="78" t="s">
        <v>131</v>
      </c>
      <c r="BD1194" s="78" t="s">
        <v>131</v>
      </c>
      <c r="BE1194" s="78" t="s">
        <v>131</v>
      </c>
      <c r="BF1194" s="78" t="s">
        <v>131</v>
      </c>
      <c r="BG1194" s="78" t="s">
        <v>131</v>
      </c>
      <c r="BH1194" s="75" t="s">
        <v>5970</v>
      </c>
      <c r="BI1194" s="295" t="s">
        <v>16</v>
      </c>
      <c r="BJ1194" s="546">
        <v>1</v>
      </c>
      <c r="BK1194" s="294" t="s">
        <v>16</v>
      </c>
      <c r="BL1194" s="157" t="s">
        <v>16</v>
      </c>
      <c r="BM1194" s="548" t="s">
        <v>578</v>
      </c>
      <c r="BN1194" s="548" t="s">
        <v>4159</v>
      </c>
      <c r="BO1194" s="157" t="s">
        <v>4311</v>
      </c>
      <c r="BP1194" s="548" t="s">
        <v>4395</v>
      </c>
      <c r="BQ1194" s="157" t="s">
        <v>4309</v>
      </c>
      <c r="BR1194" s="157"/>
    </row>
    <row r="1195" spans="1:70" x14ac:dyDescent="0.25">
      <c r="A1195" s="19" t="s">
        <v>3686</v>
      </c>
      <c r="B1195" s="37" t="s">
        <v>3536</v>
      </c>
      <c r="C1195" s="90">
        <v>45050.658252314817</v>
      </c>
      <c r="D1195" s="114">
        <v>45050.408252314817</v>
      </c>
      <c r="E1195" s="38">
        <v>45050</v>
      </c>
      <c r="F1195" s="91">
        <v>2023</v>
      </c>
      <c r="G1195" s="93">
        <v>5</v>
      </c>
      <c r="H1195" s="37" t="s">
        <v>1517</v>
      </c>
      <c r="I1195" s="37"/>
      <c r="J1195" s="103">
        <v>-91.530042353854384</v>
      </c>
      <c r="K1195" s="40">
        <v>44.772924078482397</v>
      </c>
      <c r="L1195" s="74"/>
      <c r="M1195" s="272" t="s">
        <v>3537</v>
      </c>
      <c r="N1195" s="74">
        <v>1</v>
      </c>
      <c r="O1195" s="94"/>
      <c r="P1195" s="118">
        <v>1</v>
      </c>
      <c r="Q1195" s="510">
        <v>40</v>
      </c>
      <c r="R1195" s="513">
        <v>30</v>
      </c>
      <c r="S1195" s="41"/>
      <c r="T1195" s="40"/>
      <c r="U1195" s="40">
        <v>6.5</v>
      </c>
      <c r="V1195" s="119">
        <v>1</v>
      </c>
      <c r="W1195" s="40">
        <v>100</v>
      </c>
      <c r="X1195" s="119">
        <v>1</v>
      </c>
      <c r="Y1195" s="40">
        <v>54</v>
      </c>
      <c r="Z1195" s="119">
        <v>0</v>
      </c>
      <c r="AA1195" s="368" t="s">
        <v>16</v>
      </c>
      <c r="AB1195" s="535" t="s">
        <v>16</v>
      </c>
      <c r="AC1195" s="39" t="s">
        <v>160</v>
      </c>
      <c r="AD1195" s="75" t="s">
        <v>8</v>
      </c>
      <c r="AE1195" s="95">
        <v>0</v>
      </c>
      <c r="AF1195" s="75">
        <v>1</v>
      </c>
      <c r="AG1195" s="75">
        <v>0</v>
      </c>
      <c r="AH1195" s="75">
        <v>0</v>
      </c>
      <c r="AI1195" s="75">
        <v>0</v>
      </c>
      <c r="AJ1195" s="75">
        <v>0</v>
      </c>
      <c r="AK1195" s="75">
        <v>0</v>
      </c>
      <c r="AL1195" s="95">
        <v>0</v>
      </c>
      <c r="AM1195" s="92">
        <v>0</v>
      </c>
      <c r="AN1195" s="79" t="s">
        <v>80</v>
      </c>
      <c r="AO1195" s="75">
        <v>1</v>
      </c>
      <c r="AP1195" s="75" t="s">
        <v>83</v>
      </c>
      <c r="AQ1195" s="122">
        <v>1</v>
      </c>
      <c r="AR1195" s="515" t="s">
        <v>10</v>
      </c>
      <c r="AS1195" s="95">
        <v>0</v>
      </c>
      <c r="AT1195" s="75">
        <v>0</v>
      </c>
      <c r="AU1195" s="75">
        <v>0</v>
      </c>
      <c r="AV1195" s="75">
        <v>0</v>
      </c>
      <c r="AW1195" s="123">
        <v>0</v>
      </c>
      <c r="AX1195" s="516" t="s">
        <v>3538</v>
      </c>
      <c r="AY1195" s="75">
        <v>1</v>
      </c>
      <c r="AZ1195" s="77" t="s">
        <v>131</v>
      </c>
      <c r="BA1195" s="78" t="s">
        <v>132</v>
      </c>
      <c r="BB1195" s="78" t="s">
        <v>131</v>
      </c>
      <c r="BC1195" s="78" t="s">
        <v>131</v>
      </c>
      <c r="BD1195" s="78" t="s">
        <v>131</v>
      </c>
      <c r="BE1195" s="78" t="s">
        <v>131</v>
      </c>
      <c r="BF1195" s="78" t="s">
        <v>131</v>
      </c>
      <c r="BG1195" s="78" t="s">
        <v>131</v>
      </c>
      <c r="BH1195" s="75" t="s">
        <v>5970</v>
      </c>
      <c r="BI1195" s="295" t="s">
        <v>2257</v>
      </c>
      <c r="BJ1195" s="546">
        <v>1</v>
      </c>
      <c r="BK1195" s="294" t="s">
        <v>16</v>
      </c>
      <c r="BL1195" s="157" t="s">
        <v>16</v>
      </c>
      <c r="BM1195" s="548" t="s">
        <v>1340</v>
      </c>
      <c r="BN1195" s="548" t="s">
        <v>2344</v>
      </c>
      <c r="BO1195" s="157" t="s">
        <v>4628</v>
      </c>
      <c r="BP1195" s="548" t="s">
        <v>4629</v>
      </c>
      <c r="BQ1195" s="157" t="s">
        <v>4627</v>
      </c>
      <c r="BR1195" s="157"/>
    </row>
    <row r="1196" spans="1:70" x14ac:dyDescent="0.25">
      <c r="A1196" s="19" t="s">
        <v>3686</v>
      </c>
      <c r="B1196" s="37" t="s">
        <v>3539</v>
      </c>
      <c r="C1196" s="90">
        <v>45049.804409722223</v>
      </c>
      <c r="D1196" s="114">
        <v>45049.554409722223</v>
      </c>
      <c r="E1196" s="38">
        <v>45049</v>
      </c>
      <c r="F1196" s="91">
        <v>2023</v>
      </c>
      <c r="G1196" s="93">
        <v>5</v>
      </c>
      <c r="H1196" s="37" t="s">
        <v>1517</v>
      </c>
      <c r="I1196" s="37"/>
      <c r="J1196" s="103">
        <v>-91.658049686327473</v>
      </c>
      <c r="K1196" s="40">
        <v>44.83266728339192</v>
      </c>
      <c r="L1196" s="74"/>
      <c r="M1196" s="272" t="s">
        <v>16</v>
      </c>
      <c r="N1196" s="74">
        <v>0</v>
      </c>
      <c r="O1196" s="94"/>
      <c r="P1196" s="118">
        <v>1</v>
      </c>
      <c r="Q1196" s="510">
        <v>40</v>
      </c>
      <c r="R1196" s="513">
        <v>30</v>
      </c>
      <c r="S1196" s="41"/>
      <c r="T1196" s="40"/>
      <c r="U1196" s="40">
        <v>6</v>
      </c>
      <c r="V1196" s="119">
        <v>1</v>
      </c>
      <c r="W1196" s="40">
        <v>200</v>
      </c>
      <c r="X1196" s="119">
        <v>1</v>
      </c>
      <c r="Y1196" s="40">
        <v>53</v>
      </c>
      <c r="Z1196" s="119">
        <v>0</v>
      </c>
      <c r="AA1196" s="368" t="s">
        <v>16</v>
      </c>
      <c r="AB1196" s="535" t="s">
        <v>16</v>
      </c>
      <c r="AC1196" s="39" t="s">
        <v>160</v>
      </c>
      <c r="AD1196" s="75" t="s">
        <v>10</v>
      </c>
      <c r="AE1196" s="95">
        <v>0</v>
      </c>
      <c r="AF1196" s="75">
        <v>0</v>
      </c>
      <c r="AG1196" s="75">
        <v>0</v>
      </c>
      <c r="AH1196" s="75">
        <v>0</v>
      </c>
      <c r="AI1196" s="75">
        <v>0</v>
      </c>
      <c r="AJ1196" s="75">
        <v>0</v>
      </c>
      <c r="AK1196" s="75">
        <v>0</v>
      </c>
      <c r="AL1196" s="95">
        <v>1</v>
      </c>
      <c r="AM1196" s="92">
        <v>0</v>
      </c>
      <c r="AN1196" s="79" t="s">
        <v>81</v>
      </c>
      <c r="AO1196" s="75">
        <v>1</v>
      </c>
      <c r="AP1196" s="75" t="s">
        <v>83</v>
      </c>
      <c r="AQ1196" s="122">
        <v>1</v>
      </c>
      <c r="AR1196" s="515" t="s">
        <v>10</v>
      </c>
      <c r="AS1196" s="95">
        <v>0</v>
      </c>
      <c r="AT1196" s="75">
        <v>0</v>
      </c>
      <c r="AU1196" s="75">
        <v>0</v>
      </c>
      <c r="AV1196" s="75">
        <v>0</v>
      </c>
      <c r="AW1196" s="123">
        <v>0</v>
      </c>
      <c r="AX1196" s="516"/>
      <c r="AY1196" s="75">
        <v>0</v>
      </c>
      <c r="AZ1196" s="77" t="s">
        <v>131</v>
      </c>
      <c r="BA1196" s="78" t="s">
        <v>131</v>
      </c>
      <c r="BB1196" s="78" t="s">
        <v>131</v>
      </c>
      <c r="BC1196" s="78" t="s">
        <v>131</v>
      </c>
      <c r="BD1196" s="78" t="s">
        <v>131</v>
      </c>
      <c r="BE1196" s="78" t="s">
        <v>131</v>
      </c>
      <c r="BF1196" s="78" t="s">
        <v>131</v>
      </c>
      <c r="BG1196" s="78" t="s">
        <v>132</v>
      </c>
      <c r="BH1196" s="75" t="s">
        <v>5970</v>
      </c>
      <c r="BI1196" s="295" t="s">
        <v>16</v>
      </c>
      <c r="BJ1196" s="546">
        <v>1</v>
      </c>
      <c r="BK1196" s="294">
        <v>1</v>
      </c>
      <c r="BL1196" s="157">
        <v>1</v>
      </c>
      <c r="BM1196" s="548" t="s">
        <v>1340</v>
      </c>
      <c r="BN1196" s="548" t="s">
        <v>2344</v>
      </c>
      <c r="BO1196" s="157" t="s">
        <v>4631</v>
      </c>
      <c r="BP1196" s="548" t="s">
        <v>4632</v>
      </c>
      <c r="BQ1196" s="157" t="s">
        <v>4630</v>
      </c>
      <c r="BR1196" s="157"/>
    </row>
    <row r="1197" spans="1:70" x14ac:dyDescent="0.25">
      <c r="A1197" s="19" t="s">
        <v>3686</v>
      </c>
      <c r="B1197" s="37" t="s">
        <v>3540</v>
      </c>
      <c r="C1197" s="90">
        <v>45048.962627314817</v>
      </c>
      <c r="D1197" s="114">
        <v>45048.712627314817</v>
      </c>
      <c r="E1197" s="38">
        <v>45048</v>
      </c>
      <c r="F1197" s="91">
        <v>2023</v>
      </c>
      <c r="G1197" s="93">
        <v>5</v>
      </c>
      <c r="H1197" s="37" t="s">
        <v>622</v>
      </c>
      <c r="I1197" s="37"/>
      <c r="J1197" s="103">
        <v>-92.268087677743537</v>
      </c>
      <c r="K1197" s="40">
        <v>44.428671919782111</v>
      </c>
      <c r="L1197" s="74"/>
      <c r="M1197" s="272" t="s">
        <v>16</v>
      </c>
      <c r="N1197" s="74">
        <v>0</v>
      </c>
      <c r="O1197" s="94"/>
      <c r="P1197" s="118">
        <v>0</v>
      </c>
      <c r="Q1197" s="510"/>
      <c r="R1197" s="513"/>
      <c r="S1197" s="41"/>
      <c r="T1197" s="40"/>
      <c r="U1197" s="40"/>
      <c r="V1197" s="119">
        <v>1</v>
      </c>
      <c r="W1197" s="40">
        <v>0</v>
      </c>
      <c r="X1197" s="119">
        <v>1</v>
      </c>
      <c r="Y1197" s="40">
        <v>50</v>
      </c>
      <c r="Z1197" s="119">
        <v>0</v>
      </c>
      <c r="AA1197" s="368" t="s">
        <v>16</v>
      </c>
      <c r="AB1197" s="535" t="s">
        <v>16</v>
      </c>
      <c r="AC1197" s="39" t="s">
        <v>160</v>
      </c>
      <c r="AD1197" s="75" t="s">
        <v>16</v>
      </c>
      <c r="AE1197" s="95">
        <v>-1</v>
      </c>
      <c r="AF1197" s="75">
        <v>-1</v>
      </c>
      <c r="AG1197" s="75">
        <v>-1</v>
      </c>
      <c r="AH1197" s="75">
        <v>-1</v>
      </c>
      <c r="AI1197" s="75">
        <v>-1</v>
      </c>
      <c r="AJ1197" s="75">
        <v>-1</v>
      </c>
      <c r="AK1197" s="75">
        <v>-1</v>
      </c>
      <c r="AL1197" s="95">
        <v>-1</v>
      </c>
      <c r="AM1197" s="92">
        <v>1</v>
      </c>
      <c r="AN1197" s="79"/>
      <c r="AO1197" s="75">
        <v>0</v>
      </c>
      <c r="AP1197" s="75"/>
      <c r="AQ1197" s="122">
        <v>0</v>
      </c>
      <c r="AR1197" s="515" t="s">
        <v>16</v>
      </c>
      <c r="AS1197" s="95">
        <v>-1</v>
      </c>
      <c r="AT1197" s="75">
        <v>-1</v>
      </c>
      <c r="AU1197" s="75">
        <v>-1</v>
      </c>
      <c r="AV1197" s="75">
        <v>-1</v>
      </c>
      <c r="AW1197" s="123">
        <v>1</v>
      </c>
      <c r="AX1197" s="516"/>
      <c r="AY1197" s="75">
        <v>0</v>
      </c>
      <c r="AZ1197" s="77" t="s">
        <v>5971</v>
      </c>
      <c r="BA1197" s="78" t="s">
        <v>5971</v>
      </c>
      <c r="BB1197" s="78" t="s">
        <v>5971</v>
      </c>
      <c r="BC1197" s="78" t="s">
        <v>5971</v>
      </c>
      <c r="BD1197" s="78" t="s">
        <v>5971</v>
      </c>
      <c r="BE1197" s="78" t="s">
        <v>5971</v>
      </c>
      <c r="BF1197" s="78" t="s">
        <v>5971</v>
      </c>
      <c r="BG1197" s="78" t="s">
        <v>5971</v>
      </c>
      <c r="BH1197" s="75" t="s">
        <v>5971</v>
      </c>
      <c r="BI1197" s="295" t="s">
        <v>2228</v>
      </c>
      <c r="BJ1197" s="546">
        <v>1</v>
      </c>
      <c r="BK1197" s="294" t="s">
        <v>16</v>
      </c>
      <c r="BL1197" s="157" t="s">
        <v>16</v>
      </c>
      <c r="BM1197" s="548" t="s">
        <v>1339</v>
      </c>
      <c r="BN1197" s="548" t="s">
        <v>1339</v>
      </c>
      <c r="BO1197" s="157" t="s">
        <v>4614</v>
      </c>
      <c r="BP1197" s="548" t="s">
        <v>2228</v>
      </c>
      <c r="BQ1197" s="157" t="s">
        <v>4214</v>
      </c>
      <c r="BR1197" s="157"/>
    </row>
    <row r="1198" spans="1:70" x14ac:dyDescent="0.25">
      <c r="A1198" s="19" t="s">
        <v>3686</v>
      </c>
      <c r="B1198" s="37" t="s">
        <v>3541</v>
      </c>
      <c r="C1198" s="90">
        <v>45048.905682870369</v>
      </c>
      <c r="D1198" s="114">
        <v>45048.655682870369</v>
      </c>
      <c r="E1198" s="38">
        <v>45048</v>
      </c>
      <c r="F1198" s="91">
        <v>2023</v>
      </c>
      <c r="G1198" s="93">
        <v>5</v>
      </c>
      <c r="H1198" s="37" t="s">
        <v>625</v>
      </c>
      <c r="I1198" s="37" t="s">
        <v>753</v>
      </c>
      <c r="J1198" s="103">
        <v>-92.802132700000001</v>
      </c>
      <c r="K1198" s="40">
        <v>44.543058299999998</v>
      </c>
      <c r="L1198" s="74"/>
      <c r="M1198" s="272" t="s">
        <v>16</v>
      </c>
      <c r="N1198" s="74">
        <v>0</v>
      </c>
      <c r="O1198" s="94"/>
      <c r="P1198" s="118">
        <v>1</v>
      </c>
      <c r="Q1198" s="510">
        <v>120</v>
      </c>
      <c r="R1198" s="513">
        <v>120</v>
      </c>
      <c r="S1198" s="41"/>
      <c r="T1198" s="40"/>
      <c r="U1198" s="40">
        <v>7.5</v>
      </c>
      <c r="V1198" s="119">
        <v>1</v>
      </c>
      <c r="W1198" s="40">
        <v>0</v>
      </c>
      <c r="X1198" s="119">
        <v>1</v>
      </c>
      <c r="Y1198" s="40">
        <v>57</v>
      </c>
      <c r="Z1198" s="119">
        <v>1</v>
      </c>
      <c r="AA1198" s="368">
        <v>0</v>
      </c>
      <c r="AB1198" s="535">
        <v>5</v>
      </c>
      <c r="AC1198" s="39" t="s">
        <v>160</v>
      </c>
      <c r="AD1198" s="75" t="s">
        <v>10</v>
      </c>
      <c r="AE1198" s="95">
        <v>0</v>
      </c>
      <c r="AF1198" s="75">
        <v>0</v>
      </c>
      <c r="AG1198" s="75">
        <v>0</v>
      </c>
      <c r="AH1198" s="75">
        <v>0</v>
      </c>
      <c r="AI1198" s="75">
        <v>0</v>
      </c>
      <c r="AJ1198" s="75">
        <v>0</v>
      </c>
      <c r="AK1198" s="75">
        <v>0</v>
      </c>
      <c r="AL1198" s="95">
        <v>1</v>
      </c>
      <c r="AM1198" s="92">
        <v>0</v>
      </c>
      <c r="AN1198" s="79" t="s">
        <v>80</v>
      </c>
      <c r="AO1198" s="75">
        <v>1</v>
      </c>
      <c r="AP1198" s="75" t="s">
        <v>83</v>
      </c>
      <c r="AQ1198" s="122">
        <v>1</v>
      </c>
      <c r="AR1198" s="515" t="s">
        <v>10</v>
      </c>
      <c r="AS1198" s="95">
        <v>0</v>
      </c>
      <c r="AT1198" s="75">
        <v>0</v>
      </c>
      <c r="AU1198" s="75">
        <v>0</v>
      </c>
      <c r="AV1198" s="75">
        <v>0</v>
      </c>
      <c r="AW1198" s="123">
        <v>0</v>
      </c>
      <c r="AX1198" s="516"/>
      <c r="AY1198" s="75">
        <v>0</v>
      </c>
      <c r="AZ1198" s="77" t="s">
        <v>131</v>
      </c>
      <c r="BA1198" s="78" t="s">
        <v>131</v>
      </c>
      <c r="BB1198" s="78" t="s">
        <v>131</v>
      </c>
      <c r="BC1198" s="78" t="s">
        <v>131</v>
      </c>
      <c r="BD1198" s="78" t="s">
        <v>131</v>
      </c>
      <c r="BE1198" s="78" t="s">
        <v>131</v>
      </c>
      <c r="BF1198" s="78" t="s">
        <v>131</v>
      </c>
      <c r="BG1198" s="78" t="s">
        <v>132</v>
      </c>
      <c r="BH1198" s="75" t="s">
        <v>5970</v>
      </c>
      <c r="BI1198" s="295" t="s">
        <v>2224</v>
      </c>
      <c r="BJ1198" s="546">
        <v>1</v>
      </c>
      <c r="BK1198" s="294">
        <v>1</v>
      </c>
      <c r="BL1198" s="157">
        <v>1</v>
      </c>
      <c r="BM1198" s="548" t="s">
        <v>2343</v>
      </c>
      <c r="BN1198" s="548" t="s">
        <v>4161</v>
      </c>
      <c r="BO1198" s="157" t="s">
        <v>4510</v>
      </c>
      <c r="BP1198" s="548" t="s">
        <v>753</v>
      </c>
      <c r="BQ1198" s="157" t="s">
        <v>4389</v>
      </c>
      <c r="BR1198" s="157"/>
    </row>
    <row r="1199" spans="1:70" x14ac:dyDescent="0.25">
      <c r="A1199" s="19" t="s">
        <v>3686</v>
      </c>
      <c r="B1199" s="37" t="s">
        <v>3542</v>
      </c>
      <c r="C1199" s="90">
        <v>45048.880682870367</v>
      </c>
      <c r="D1199" s="114">
        <v>45048.630682870367</v>
      </c>
      <c r="E1199" s="38">
        <v>45048</v>
      </c>
      <c r="F1199" s="91">
        <v>2023</v>
      </c>
      <c r="G1199" s="93">
        <v>5</v>
      </c>
      <c r="H1199" s="37" t="s">
        <v>260</v>
      </c>
      <c r="I1199" s="37" t="s">
        <v>337</v>
      </c>
      <c r="J1199" s="103">
        <v>-92.645139933533287</v>
      </c>
      <c r="K1199" s="40">
        <v>44.843542815129418</v>
      </c>
      <c r="L1199" s="74"/>
      <c r="M1199" s="272" t="s">
        <v>3543</v>
      </c>
      <c r="N1199" s="74">
        <v>1</v>
      </c>
      <c r="O1199" s="94"/>
      <c r="P1199" s="118">
        <v>1</v>
      </c>
      <c r="Q1199" s="510">
        <v>80</v>
      </c>
      <c r="R1199" s="513">
        <v>120</v>
      </c>
      <c r="S1199" s="41"/>
      <c r="T1199" s="40"/>
      <c r="U1199" s="40">
        <v>8</v>
      </c>
      <c r="V1199" s="119">
        <v>1</v>
      </c>
      <c r="W1199" s="40">
        <v>0</v>
      </c>
      <c r="X1199" s="119">
        <v>1</v>
      </c>
      <c r="Y1199" s="40">
        <v>53</v>
      </c>
      <c r="Z1199" s="119">
        <v>1</v>
      </c>
      <c r="AA1199" s="368">
        <v>0</v>
      </c>
      <c r="AB1199" s="535">
        <v>2</v>
      </c>
      <c r="AC1199" s="39" t="s">
        <v>160</v>
      </c>
      <c r="AD1199" s="75" t="s">
        <v>10</v>
      </c>
      <c r="AE1199" s="95">
        <v>0</v>
      </c>
      <c r="AF1199" s="75">
        <v>0</v>
      </c>
      <c r="AG1199" s="75">
        <v>0</v>
      </c>
      <c r="AH1199" s="75">
        <v>0</v>
      </c>
      <c r="AI1199" s="75">
        <v>0</v>
      </c>
      <c r="AJ1199" s="75">
        <v>0</v>
      </c>
      <c r="AK1199" s="75">
        <v>0</v>
      </c>
      <c r="AL1199" s="95">
        <v>1</v>
      </c>
      <c r="AM1199" s="92">
        <v>0</v>
      </c>
      <c r="AN1199" s="79" t="s">
        <v>80</v>
      </c>
      <c r="AO1199" s="75">
        <v>1</v>
      </c>
      <c r="AP1199" s="75" t="s">
        <v>83</v>
      </c>
      <c r="AQ1199" s="122">
        <v>1</v>
      </c>
      <c r="AR1199" s="515" t="s">
        <v>10</v>
      </c>
      <c r="AS1199" s="95">
        <v>0</v>
      </c>
      <c r="AT1199" s="75">
        <v>0</v>
      </c>
      <c r="AU1199" s="75">
        <v>0</v>
      </c>
      <c r="AV1199" s="75">
        <v>0</v>
      </c>
      <c r="AW1199" s="123">
        <v>0</v>
      </c>
      <c r="AX1199" s="516" t="s">
        <v>3544</v>
      </c>
      <c r="AY1199" s="75">
        <v>1</v>
      </c>
      <c r="AZ1199" s="77" t="s">
        <v>131</v>
      </c>
      <c r="BA1199" s="78" t="s">
        <v>131</v>
      </c>
      <c r="BB1199" s="78" t="s">
        <v>131</v>
      </c>
      <c r="BC1199" s="78" t="s">
        <v>131</v>
      </c>
      <c r="BD1199" s="78" t="s">
        <v>131</v>
      </c>
      <c r="BE1199" s="78" t="s">
        <v>131</v>
      </c>
      <c r="BF1199" s="78" t="s">
        <v>131</v>
      </c>
      <c r="BG1199" s="78" t="s">
        <v>132</v>
      </c>
      <c r="BH1199" s="75" t="s">
        <v>5970</v>
      </c>
      <c r="BI1199" s="295" t="s">
        <v>16</v>
      </c>
      <c r="BJ1199" s="546">
        <v>1</v>
      </c>
      <c r="BK1199" s="294" t="s">
        <v>16</v>
      </c>
      <c r="BL1199" s="157" t="s">
        <v>16</v>
      </c>
      <c r="BM1199" s="548" t="s">
        <v>578</v>
      </c>
      <c r="BN1199" s="548" t="s">
        <v>578</v>
      </c>
      <c r="BO1199" s="157" t="s">
        <v>4341</v>
      </c>
      <c r="BP1199" s="548" t="s">
        <v>4343</v>
      </c>
      <c r="BQ1199" s="157" t="s">
        <v>4309</v>
      </c>
      <c r="BR1199" s="157"/>
    </row>
    <row r="1200" spans="1:70" x14ac:dyDescent="0.25">
      <c r="A1200" s="19" t="s">
        <v>3686</v>
      </c>
      <c r="B1200" s="37" t="s">
        <v>3545</v>
      </c>
      <c r="C1200" s="90">
        <v>45048.875601851854</v>
      </c>
      <c r="D1200" s="114">
        <v>45048.625601851854</v>
      </c>
      <c r="E1200" s="38">
        <v>45048</v>
      </c>
      <c r="F1200" s="91">
        <v>2023</v>
      </c>
      <c r="G1200" s="93">
        <v>5</v>
      </c>
      <c r="H1200" s="37" t="s">
        <v>1517</v>
      </c>
      <c r="I1200" s="37"/>
      <c r="J1200" s="103">
        <v>-91.419814383951845</v>
      </c>
      <c r="K1200" s="40">
        <v>44.77098222956328</v>
      </c>
      <c r="L1200" s="74"/>
      <c r="M1200" s="272" t="s">
        <v>16</v>
      </c>
      <c r="N1200" s="74">
        <v>0</v>
      </c>
      <c r="O1200" s="94"/>
      <c r="P1200" s="118">
        <v>1</v>
      </c>
      <c r="Q1200" s="510">
        <v>40</v>
      </c>
      <c r="R1200" s="513">
        <v>30</v>
      </c>
      <c r="S1200" s="41"/>
      <c r="T1200" s="40"/>
      <c r="U1200" s="40">
        <v>6.5</v>
      </c>
      <c r="V1200" s="119">
        <v>1</v>
      </c>
      <c r="W1200" s="40">
        <v>300</v>
      </c>
      <c r="X1200" s="119">
        <v>1</v>
      </c>
      <c r="Y1200" s="40">
        <v>54</v>
      </c>
      <c r="Z1200" s="119">
        <v>0</v>
      </c>
      <c r="AA1200" s="368" t="s">
        <v>16</v>
      </c>
      <c r="AB1200" s="535" t="s">
        <v>16</v>
      </c>
      <c r="AC1200" s="39" t="s">
        <v>160</v>
      </c>
      <c r="AD1200" s="75" t="s">
        <v>16</v>
      </c>
      <c r="AE1200" s="95">
        <v>-1</v>
      </c>
      <c r="AF1200" s="75">
        <v>-1</v>
      </c>
      <c r="AG1200" s="75">
        <v>-1</v>
      </c>
      <c r="AH1200" s="75">
        <v>-1</v>
      </c>
      <c r="AI1200" s="75">
        <v>-1</v>
      </c>
      <c r="AJ1200" s="75">
        <v>-1</v>
      </c>
      <c r="AK1200" s="75">
        <v>-1</v>
      </c>
      <c r="AL1200" s="95">
        <v>-1</v>
      </c>
      <c r="AM1200" s="92">
        <v>1</v>
      </c>
      <c r="AN1200" s="79" t="s">
        <v>81</v>
      </c>
      <c r="AO1200" s="75">
        <v>1</v>
      </c>
      <c r="AP1200" s="75" t="s">
        <v>84</v>
      </c>
      <c r="AQ1200" s="122">
        <v>1</v>
      </c>
      <c r="AR1200" s="515" t="s">
        <v>10</v>
      </c>
      <c r="AS1200" s="95">
        <v>0</v>
      </c>
      <c r="AT1200" s="75">
        <v>0</v>
      </c>
      <c r="AU1200" s="75">
        <v>0</v>
      </c>
      <c r="AV1200" s="75">
        <v>0</v>
      </c>
      <c r="AW1200" s="123">
        <v>0</v>
      </c>
      <c r="AX1200" s="516"/>
      <c r="AY1200" s="75">
        <v>0</v>
      </c>
      <c r="AZ1200" s="77" t="s">
        <v>5971</v>
      </c>
      <c r="BA1200" s="78" t="s">
        <v>5971</v>
      </c>
      <c r="BB1200" s="78" t="s">
        <v>5971</v>
      </c>
      <c r="BC1200" s="78" t="s">
        <v>5971</v>
      </c>
      <c r="BD1200" s="78" t="s">
        <v>5971</v>
      </c>
      <c r="BE1200" s="78" t="s">
        <v>5971</v>
      </c>
      <c r="BF1200" s="78" t="s">
        <v>5971</v>
      </c>
      <c r="BG1200" s="78" t="s">
        <v>5971</v>
      </c>
      <c r="BH1200" s="75" t="s">
        <v>5971</v>
      </c>
      <c r="BI1200" s="295" t="s">
        <v>2264</v>
      </c>
      <c r="BJ1200" s="546">
        <v>1</v>
      </c>
      <c r="BK1200" s="294" t="s">
        <v>16</v>
      </c>
      <c r="BL1200" s="157" t="s">
        <v>16</v>
      </c>
      <c r="BM1200" s="548" t="s">
        <v>1340</v>
      </c>
      <c r="BN1200" s="548" t="s">
        <v>2344</v>
      </c>
      <c r="BO1200" s="157" t="s">
        <v>4634</v>
      </c>
      <c r="BP1200" s="548" t="s">
        <v>2264</v>
      </c>
      <c r="BQ1200" s="157" t="s">
        <v>4633</v>
      </c>
      <c r="BR1200" s="157"/>
    </row>
    <row r="1201" spans="1:70" x14ac:dyDescent="0.25">
      <c r="A1201" s="19" t="s">
        <v>3686</v>
      </c>
      <c r="B1201" s="37" t="s">
        <v>3546</v>
      </c>
      <c r="C1201" s="90">
        <v>45048.799375000002</v>
      </c>
      <c r="D1201" s="114">
        <v>45048.549375000002</v>
      </c>
      <c r="E1201" s="38">
        <v>45048</v>
      </c>
      <c r="F1201" s="91">
        <v>2023</v>
      </c>
      <c r="G1201" s="93">
        <v>5</v>
      </c>
      <c r="H1201" s="37" t="s">
        <v>624</v>
      </c>
      <c r="I1201" s="37" t="s">
        <v>1402</v>
      </c>
      <c r="J1201" s="103">
        <v>-92.725498863197885</v>
      </c>
      <c r="K1201" s="40">
        <v>44.547185476056669</v>
      </c>
      <c r="L1201" s="74"/>
      <c r="M1201" s="272" t="s">
        <v>16</v>
      </c>
      <c r="N1201" s="74">
        <v>0</v>
      </c>
      <c r="O1201" s="94"/>
      <c r="P1201" s="118">
        <v>1</v>
      </c>
      <c r="Q1201" s="510">
        <v>0</v>
      </c>
      <c r="R1201" s="513">
        <v>60</v>
      </c>
      <c r="S1201" s="41"/>
      <c r="T1201" s="40"/>
      <c r="U1201" s="40">
        <v>7.5</v>
      </c>
      <c r="V1201" s="119">
        <v>1</v>
      </c>
      <c r="W1201" s="40">
        <v>100</v>
      </c>
      <c r="X1201" s="119">
        <v>1</v>
      </c>
      <c r="Y1201" s="40">
        <v>55</v>
      </c>
      <c r="Z1201" s="119">
        <v>0</v>
      </c>
      <c r="AA1201" s="368" t="s">
        <v>16</v>
      </c>
      <c r="AB1201" s="535" t="s">
        <v>16</v>
      </c>
      <c r="AC1201" s="39" t="s">
        <v>160</v>
      </c>
      <c r="AD1201" s="75" t="s">
        <v>10</v>
      </c>
      <c r="AE1201" s="95">
        <v>0</v>
      </c>
      <c r="AF1201" s="75">
        <v>0</v>
      </c>
      <c r="AG1201" s="75">
        <v>0</v>
      </c>
      <c r="AH1201" s="75">
        <v>0</v>
      </c>
      <c r="AI1201" s="75">
        <v>0</v>
      </c>
      <c r="AJ1201" s="75">
        <v>0</v>
      </c>
      <c r="AK1201" s="75">
        <v>0</v>
      </c>
      <c r="AL1201" s="95">
        <v>1</v>
      </c>
      <c r="AM1201" s="92">
        <v>0</v>
      </c>
      <c r="AN1201" s="79" t="s">
        <v>81</v>
      </c>
      <c r="AO1201" s="75">
        <v>1</v>
      </c>
      <c r="AP1201" s="75" t="s">
        <v>83</v>
      </c>
      <c r="AQ1201" s="122">
        <v>1</v>
      </c>
      <c r="AR1201" s="515" t="s">
        <v>10</v>
      </c>
      <c r="AS1201" s="95">
        <v>0</v>
      </c>
      <c r="AT1201" s="75">
        <v>0</v>
      </c>
      <c r="AU1201" s="75">
        <v>0</v>
      </c>
      <c r="AV1201" s="75">
        <v>0</v>
      </c>
      <c r="AW1201" s="123">
        <v>0</v>
      </c>
      <c r="AX1201" s="516"/>
      <c r="AY1201" s="75">
        <v>0</v>
      </c>
      <c r="AZ1201" s="77" t="s">
        <v>131</v>
      </c>
      <c r="BA1201" s="78" t="s">
        <v>131</v>
      </c>
      <c r="BB1201" s="78" t="s">
        <v>131</v>
      </c>
      <c r="BC1201" s="78" t="s">
        <v>131</v>
      </c>
      <c r="BD1201" s="78" t="s">
        <v>131</v>
      </c>
      <c r="BE1201" s="78" t="s">
        <v>131</v>
      </c>
      <c r="BF1201" s="78" t="s">
        <v>131</v>
      </c>
      <c r="BG1201" s="78" t="s">
        <v>132</v>
      </c>
      <c r="BH1201" s="75" t="s">
        <v>5970</v>
      </c>
      <c r="BI1201" s="295" t="s">
        <v>1402</v>
      </c>
      <c r="BJ1201" s="546" t="s">
        <v>16</v>
      </c>
      <c r="BK1201" s="294" t="s">
        <v>16</v>
      </c>
      <c r="BL1201" s="157" t="s">
        <v>16</v>
      </c>
      <c r="BM1201" s="548" t="s">
        <v>2343</v>
      </c>
      <c r="BN1201" s="548" t="s">
        <v>4161</v>
      </c>
      <c r="BO1201" s="157" t="s">
        <v>4290</v>
      </c>
      <c r="BP1201" s="548" t="s">
        <v>4291</v>
      </c>
      <c r="BQ1201" s="157" t="s">
        <v>4289</v>
      </c>
      <c r="BR1201" s="157"/>
    </row>
    <row r="1202" spans="1:70" x14ac:dyDescent="0.25">
      <c r="A1202" s="19" t="s">
        <v>3686</v>
      </c>
      <c r="B1202" s="37" t="s">
        <v>3547</v>
      </c>
      <c r="C1202" s="90">
        <v>45048.759282407409</v>
      </c>
      <c r="D1202" s="114">
        <v>45048.509282407409</v>
      </c>
      <c r="E1202" s="38">
        <v>45048</v>
      </c>
      <c r="F1202" s="91">
        <v>2023</v>
      </c>
      <c r="G1202" s="93">
        <v>5</v>
      </c>
      <c r="H1202" s="37" t="s">
        <v>475</v>
      </c>
      <c r="I1202" s="37"/>
      <c r="J1202" s="103">
        <v>-91.821713815946836</v>
      </c>
      <c r="K1202" s="40">
        <v>43.886191043309211</v>
      </c>
      <c r="L1202" s="74"/>
      <c r="M1202" s="272" t="s">
        <v>3548</v>
      </c>
      <c r="N1202" s="74">
        <v>1</v>
      </c>
      <c r="O1202" s="94"/>
      <c r="P1202" s="118">
        <v>1</v>
      </c>
      <c r="Q1202" s="510">
        <v>180</v>
      </c>
      <c r="R1202" s="513">
        <v>180</v>
      </c>
      <c r="S1202" s="41"/>
      <c r="T1202" s="40"/>
      <c r="U1202" s="40">
        <v>8</v>
      </c>
      <c r="V1202" s="119">
        <v>0</v>
      </c>
      <c r="W1202" s="40"/>
      <c r="X1202" s="119">
        <v>0</v>
      </c>
      <c r="Y1202" s="40"/>
      <c r="Z1202" s="119">
        <v>1</v>
      </c>
      <c r="AA1202" s="368">
        <v>0</v>
      </c>
      <c r="AB1202" s="535">
        <v>5</v>
      </c>
      <c r="AC1202" s="39"/>
      <c r="AD1202" s="75" t="s">
        <v>8</v>
      </c>
      <c r="AE1202" s="95">
        <v>0</v>
      </c>
      <c r="AF1202" s="75">
        <v>1</v>
      </c>
      <c r="AG1202" s="75">
        <v>0</v>
      </c>
      <c r="AH1202" s="75">
        <v>0</v>
      </c>
      <c r="AI1202" s="75">
        <v>0</v>
      </c>
      <c r="AJ1202" s="75">
        <v>0</v>
      </c>
      <c r="AK1202" s="75">
        <v>0</v>
      </c>
      <c r="AL1202" s="95">
        <v>0</v>
      </c>
      <c r="AM1202" s="92">
        <v>0</v>
      </c>
      <c r="AN1202" s="79" t="s">
        <v>80</v>
      </c>
      <c r="AO1202" s="75">
        <v>1</v>
      </c>
      <c r="AP1202" s="75" t="s">
        <v>83</v>
      </c>
      <c r="AQ1202" s="122">
        <v>1</v>
      </c>
      <c r="AR1202" s="515" t="s">
        <v>10</v>
      </c>
      <c r="AS1202" s="95">
        <v>0</v>
      </c>
      <c r="AT1202" s="75">
        <v>0</v>
      </c>
      <c r="AU1202" s="75">
        <v>0</v>
      </c>
      <c r="AV1202" s="75">
        <v>0</v>
      </c>
      <c r="AW1202" s="123">
        <v>0</v>
      </c>
      <c r="AX1202" s="516" t="s">
        <v>3549</v>
      </c>
      <c r="AY1202" s="75">
        <v>1</v>
      </c>
      <c r="AZ1202" s="77" t="s">
        <v>131</v>
      </c>
      <c r="BA1202" s="78" t="s">
        <v>132</v>
      </c>
      <c r="BB1202" s="78" t="s">
        <v>131</v>
      </c>
      <c r="BC1202" s="78" t="s">
        <v>131</v>
      </c>
      <c r="BD1202" s="78" t="s">
        <v>131</v>
      </c>
      <c r="BE1202" s="78" t="s">
        <v>131</v>
      </c>
      <c r="BF1202" s="78" t="s">
        <v>131</v>
      </c>
      <c r="BG1202" s="78" t="s">
        <v>131</v>
      </c>
      <c r="BH1202" s="75" t="s">
        <v>5970</v>
      </c>
      <c r="BI1202" s="295" t="s">
        <v>2250</v>
      </c>
      <c r="BJ1202" s="546">
        <v>1</v>
      </c>
      <c r="BK1202" s="294">
        <v>1</v>
      </c>
      <c r="BL1202" s="157">
        <v>1</v>
      </c>
      <c r="BM1202" s="548" t="s">
        <v>1341</v>
      </c>
      <c r="BN1202" s="548" t="s">
        <v>1339</v>
      </c>
      <c r="BO1202" s="157" t="s">
        <v>4636</v>
      </c>
      <c r="BP1202" s="548" t="s">
        <v>4637</v>
      </c>
      <c r="BQ1202" s="157" t="s">
        <v>4635</v>
      </c>
      <c r="BR1202" s="157"/>
    </row>
    <row r="1203" spans="1:70" x14ac:dyDescent="0.25">
      <c r="A1203" s="19" t="s">
        <v>3686</v>
      </c>
      <c r="B1203" s="37" t="s">
        <v>3550</v>
      </c>
      <c r="C1203" s="90">
        <v>45048.738587962966</v>
      </c>
      <c r="D1203" s="114">
        <v>45048.488587962966</v>
      </c>
      <c r="E1203" s="38">
        <v>45048</v>
      </c>
      <c r="F1203" s="91">
        <v>2023</v>
      </c>
      <c r="G1203" s="93">
        <v>5</v>
      </c>
      <c r="H1203" s="37" t="s">
        <v>475</v>
      </c>
      <c r="I1203" s="37"/>
      <c r="J1203" s="103">
        <v>-91.760597110805278</v>
      </c>
      <c r="K1203" s="40">
        <v>43.835698089138795</v>
      </c>
      <c r="L1203" s="74"/>
      <c r="M1203" s="272" t="s">
        <v>3551</v>
      </c>
      <c r="N1203" s="74">
        <v>1</v>
      </c>
      <c r="O1203" s="94"/>
      <c r="P1203" s="118">
        <v>1</v>
      </c>
      <c r="Q1203" s="510">
        <v>180</v>
      </c>
      <c r="R1203" s="513">
        <v>180</v>
      </c>
      <c r="S1203" s="41"/>
      <c r="T1203" s="40"/>
      <c r="U1203" s="40">
        <v>7.5</v>
      </c>
      <c r="V1203" s="119">
        <v>1</v>
      </c>
      <c r="W1203" s="40">
        <v>0</v>
      </c>
      <c r="X1203" s="119">
        <v>1</v>
      </c>
      <c r="Y1203" s="40">
        <v>56</v>
      </c>
      <c r="Z1203" s="119">
        <v>1</v>
      </c>
      <c r="AA1203" s="368">
        <v>0</v>
      </c>
      <c r="AB1203" s="535">
        <v>2</v>
      </c>
      <c r="AC1203" s="39" t="s">
        <v>160</v>
      </c>
      <c r="AD1203" s="75" t="s">
        <v>10</v>
      </c>
      <c r="AE1203" s="95">
        <v>0</v>
      </c>
      <c r="AF1203" s="75">
        <v>0</v>
      </c>
      <c r="AG1203" s="75">
        <v>0</v>
      </c>
      <c r="AH1203" s="75">
        <v>0</v>
      </c>
      <c r="AI1203" s="75">
        <v>0</v>
      </c>
      <c r="AJ1203" s="75">
        <v>0</v>
      </c>
      <c r="AK1203" s="75">
        <v>0</v>
      </c>
      <c r="AL1203" s="95">
        <v>1</v>
      </c>
      <c r="AM1203" s="92">
        <v>0</v>
      </c>
      <c r="AN1203" s="79" t="s">
        <v>80</v>
      </c>
      <c r="AO1203" s="75">
        <v>1</v>
      </c>
      <c r="AP1203" s="75" t="s">
        <v>83</v>
      </c>
      <c r="AQ1203" s="122">
        <v>1</v>
      </c>
      <c r="AR1203" s="515" t="s">
        <v>10</v>
      </c>
      <c r="AS1203" s="95">
        <v>0</v>
      </c>
      <c r="AT1203" s="75">
        <v>0</v>
      </c>
      <c r="AU1203" s="75">
        <v>0</v>
      </c>
      <c r="AV1203" s="75">
        <v>0</v>
      </c>
      <c r="AW1203" s="123">
        <v>0</v>
      </c>
      <c r="AX1203" s="516" t="s">
        <v>3552</v>
      </c>
      <c r="AY1203" s="75">
        <v>1</v>
      </c>
      <c r="AZ1203" s="77" t="s">
        <v>131</v>
      </c>
      <c r="BA1203" s="78" t="s">
        <v>131</v>
      </c>
      <c r="BB1203" s="78" t="s">
        <v>131</v>
      </c>
      <c r="BC1203" s="78" t="s">
        <v>131</v>
      </c>
      <c r="BD1203" s="78" t="s">
        <v>131</v>
      </c>
      <c r="BE1203" s="78" t="s">
        <v>131</v>
      </c>
      <c r="BF1203" s="78" t="s">
        <v>131</v>
      </c>
      <c r="BG1203" s="78" t="s">
        <v>132</v>
      </c>
      <c r="BH1203" s="75" t="s">
        <v>5970</v>
      </c>
      <c r="BI1203" s="295">
        <v>0</v>
      </c>
      <c r="BJ1203" s="546">
        <v>1</v>
      </c>
      <c r="BK1203" s="294">
        <v>1</v>
      </c>
      <c r="BL1203" s="157">
        <v>1</v>
      </c>
      <c r="BM1203" s="548" t="s">
        <v>1341</v>
      </c>
      <c r="BN1203" s="548" t="s">
        <v>1339</v>
      </c>
      <c r="BO1203" s="157" t="s">
        <v>4638</v>
      </c>
      <c r="BP1203" s="548" t="s">
        <v>4639</v>
      </c>
      <c r="BQ1203" s="157" t="s">
        <v>4635</v>
      </c>
      <c r="BR1203" s="157"/>
    </row>
    <row r="1204" spans="1:70" x14ac:dyDescent="0.25">
      <c r="A1204" s="19" t="s">
        <v>3686</v>
      </c>
      <c r="B1204" s="37" t="s">
        <v>3553</v>
      </c>
      <c r="C1204" s="90">
        <v>45048.689363425925</v>
      </c>
      <c r="D1204" s="114">
        <v>45048.439363425925</v>
      </c>
      <c r="E1204" s="38">
        <v>45048</v>
      </c>
      <c r="F1204" s="91">
        <v>2023</v>
      </c>
      <c r="G1204" s="93">
        <v>5</v>
      </c>
      <c r="H1204" s="37" t="s">
        <v>475</v>
      </c>
      <c r="I1204" s="37"/>
      <c r="J1204" s="103">
        <v>-91.804368927413719</v>
      </c>
      <c r="K1204" s="40">
        <v>43.853096694061492</v>
      </c>
      <c r="L1204" s="74"/>
      <c r="M1204" s="272" t="s">
        <v>3554</v>
      </c>
      <c r="N1204" s="74">
        <v>1</v>
      </c>
      <c r="O1204" s="94"/>
      <c r="P1204" s="118">
        <v>1</v>
      </c>
      <c r="Q1204" s="510">
        <v>180</v>
      </c>
      <c r="R1204" s="513">
        <v>180</v>
      </c>
      <c r="S1204" s="41"/>
      <c r="T1204" s="40"/>
      <c r="U1204" s="40">
        <v>7</v>
      </c>
      <c r="V1204" s="119">
        <v>1</v>
      </c>
      <c r="W1204" s="40">
        <v>0</v>
      </c>
      <c r="X1204" s="119">
        <v>1</v>
      </c>
      <c r="Y1204" s="40">
        <v>50</v>
      </c>
      <c r="Z1204" s="119">
        <v>1</v>
      </c>
      <c r="AA1204" s="368">
        <v>0</v>
      </c>
      <c r="AB1204" s="535">
        <v>5</v>
      </c>
      <c r="AC1204" s="39" t="s">
        <v>160</v>
      </c>
      <c r="AD1204" s="75" t="s">
        <v>8</v>
      </c>
      <c r="AE1204" s="95">
        <v>0</v>
      </c>
      <c r="AF1204" s="75">
        <v>1</v>
      </c>
      <c r="AG1204" s="75">
        <v>0</v>
      </c>
      <c r="AH1204" s="75">
        <v>0</v>
      </c>
      <c r="AI1204" s="75">
        <v>0</v>
      </c>
      <c r="AJ1204" s="75">
        <v>0</v>
      </c>
      <c r="AK1204" s="75">
        <v>0</v>
      </c>
      <c r="AL1204" s="95">
        <v>0</v>
      </c>
      <c r="AM1204" s="92">
        <v>0</v>
      </c>
      <c r="AN1204" s="79" t="s">
        <v>80</v>
      </c>
      <c r="AO1204" s="75">
        <v>1</v>
      </c>
      <c r="AP1204" s="75" t="s">
        <v>83</v>
      </c>
      <c r="AQ1204" s="122">
        <v>1</v>
      </c>
      <c r="AR1204" s="515" t="s">
        <v>10</v>
      </c>
      <c r="AS1204" s="95">
        <v>0</v>
      </c>
      <c r="AT1204" s="75">
        <v>0</v>
      </c>
      <c r="AU1204" s="75">
        <v>0</v>
      </c>
      <c r="AV1204" s="75">
        <v>0</v>
      </c>
      <c r="AW1204" s="123">
        <v>0</v>
      </c>
      <c r="AX1204" s="516" t="s">
        <v>3555</v>
      </c>
      <c r="AY1204" s="75">
        <v>1</v>
      </c>
      <c r="AZ1204" s="77" t="s">
        <v>131</v>
      </c>
      <c r="BA1204" s="78" t="s">
        <v>132</v>
      </c>
      <c r="BB1204" s="78" t="s">
        <v>131</v>
      </c>
      <c r="BC1204" s="78" t="s">
        <v>131</v>
      </c>
      <c r="BD1204" s="78" t="s">
        <v>131</v>
      </c>
      <c r="BE1204" s="78" t="s">
        <v>131</v>
      </c>
      <c r="BF1204" s="78" t="s">
        <v>131</v>
      </c>
      <c r="BG1204" s="78" t="s">
        <v>131</v>
      </c>
      <c r="BH1204" s="75" t="s">
        <v>5970</v>
      </c>
      <c r="BI1204" s="295" t="s">
        <v>2261</v>
      </c>
      <c r="BJ1204" s="546">
        <v>1</v>
      </c>
      <c r="BK1204" s="294" t="s">
        <v>16</v>
      </c>
      <c r="BL1204" s="157" t="s">
        <v>16</v>
      </c>
      <c r="BM1204" s="548" t="s">
        <v>1341</v>
      </c>
      <c r="BN1204" s="548" t="s">
        <v>1339</v>
      </c>
      <c r="BO1204" s="157" t="s">
        <v>4640</v>
      </c>
      <c r="BP1204" s="548" t="s">
        <v>2261</v>
      </c>
      <c r="BQ1204" s="157" t="s">
        <v>4635</v>
      </c>
      <c r="BR1204" s="157"/>
    </row>
    <row r="1205" spans="1:70" x14ac:dyDescent="0.25">
      <c r="A1205" s="19" t="s">
        <v>3686</v>
      </c>
      <c r="B1205" s="37" t="s">
        <v>3556</v>
      </c>
      <c r="C1205" s="90">
        <v>45048.670254629629</v>
      </c>
      <c r="D1205" s="114">
        <v>45048.420254629629</v>
      </c>
      <c r="E1205" s="38">
        <v>45048</v>
      </c>
      <c r="F1205" s="91">
        <v>2023</v>
      </c>
      <c r="G1205" s="93">
        <v>5</v>
      </c>
      <c r="H1205" s="37" t="s">
        <v>475</v>
      </c>
      <c r="I1205" s="37"/>
      <c r="J1205" s="103">
        <v>-91.796421369281234</v>
      </c>
      <c r="K1205" s="40">
        <v>43.843344671428291</v>
      </c>
      <c r="L1205" s="74"/>
      <c r="M1205" s="272" t="s">
        <v>3557</v>
      </c>
      <c r="N1205" s="74">
        <v>1</v>
      </c>
      <c r="O1205" s="94"/>
      <c r="P1205" s="118">
        <v>1</v>
      </c>
      <c r="Q1205" s="510">
        <v>180</v>
      </c>
      <c r="R1205" s="513">
        <v>180</v>
      </c>
      <c r="S1205" s="41"/>
      <c r="T1205" s="40"/>
      <c r="U1205" s="40">
        <v>8</v>
      </c>
      <c r="V1205" s="119">
        <v>1</v>
      </c>
      <c r="W1205" s="40">
        <v>0</v>
      </c>
      <c r="X1205" s="119">
        <v>1</v>
      </c>
      <c r="Y1205" s="40">
        <v>53</v>
      </c>
      <c r="Z1205" s="119">
        <v>1</v>
      </c>
      <c r="AA1205" s="368">
        <v>0</v>
      </c>
      <c r="AB1205" s="535">
        <v>5</v>
      </c>
      <c r="AC1205" s="39" t="s">
        <v>160</v>
      </c>
      <c r="AD1205" s="75" t="s">
        <v>8</v>
      </c>
      <c r="AE1205" s="95">
        <v>0</v>
      </c>
      <c r="AF1205" s="75">
        <v>1</v>
      </c>
      <c r="AG1205" s="75">
        <v>0</v>
      </c>
      <c r="AH1205" s="75">
        <v>0</v>
      </c>
      <c r="AI1205" s="75">
        <v>0</v>
      </c>
      <c r="AJ1205" s="75">
        <v>0</v>
      </c>
      <c r="AK1205" s="75">
        <v>0</v>
      </c>
      <c r="AL1205" s="95">
        <v>0</v>
      </c>
      <c r="AM1205" s="92">
        <v>0</v>
      </c>
      <c r="AN1205" s="79" t="s">
        <v>80</v>
      </c>
      <c r="AO1205" s="75">
        <v>1</v>
      </c>
      <c r="AP1205" s="75" t="s">
        <v>83</v>
      </c>
      <c r="AQ1205" s="122">
        <v>1</v>
      </c>
      <c r="AR1205" s="515" t="s">
        <v>10</v>
      </c>
      <c r="AS1205" s="95">
        <v>0</v>
      </c>
      <c r="AT1205" s="75">
        <v>0</v>
      </c>
      <c r="AU1205" s="75">
        <v>0</v>
      </c>
      <c r="AV1205" s="75">
        <v>0</v>
      </c>
      <c r="AW1205" s="123">
        <v>0</v>
      </c>
      <c r="AX1205" s="516" t="s">
        <v>3558</v>
      </c>
      <c r="AY1205" s="75">
        <v>1</v>
      </c>
      <c r="AZ1205" s="77" t="s">
        <v>131</v>
      </c>
      <c r="BA1205" s="78" t="s">
        <v>132</v>
      </c>
      <c r="BB1205" s="78" t="s">
        <v>131</v>
      </c>
      <c r="BC1205" s="78" t="s">
        <v>131</v>
      </c>
      <c r="BD1205" s="78" t="s">
        <v>131</v>
      </c>
      <c r="BE1205" s="78" t="s">
        <v>131</v>
      </c>
      <c r="BF1205" s="78" t="s">
        <v>131</v>
      </c>
      <c r="BG1205" s="78" t="s">
        <v>131</v>
      </c>
      <c r="BH1205" s="75" t="s">
        <v>5970</v>
      </c>
      <c r="BI1205" s="295" t="s">
        <v>2261</v>
      </c>
      <c r="BJ1205" s="546">
        <v>1</v>
      </c>
      <c r="BK1205" s="294" t="s">
        <v>16</v>
      </c>
      <c r="BL1205" s="157" t="s">
        <v>16</v>
      </c>
      <c r="BM1205" s="548" t="s">
        <v>1341</v>
      </c>
      <c r="BN1205" s="548" t="s">
        <v>1339</v>
      </c>
      <c r="BO1205" s="157" t="s">
        <v>4638</v>
      </c>
      <c r="BP1205" s="548" t="s">
        <v>4639</v>
      </c>
      <c r="BQ1205" s="157" t="s">
        <v>4635</v>
      </c>
      <c r="BR1205" s="157"/>
    </row>
    <row r="1206" spans="1:70" x14ac:dyDescent="0.25">
      <c r="A1206" s="19" t="s">
        <v>3686</v>
      </c>
      <c r="B1206" s="37" t="s">
        <v>3559</v>
      </c>
      <c r="C1206" s="90">
        <v>45048.658518518518</v>
      </c>
      <c r="D1206" s="114">
        <v>45048.408518518518</v>
      </c>
      <c r="E1206" s="38">
        <v>45048</v>
      </c>
      <c r="F1206" s="91">
        <v>2023</v>
      </c>
      <c r="G1206" s="93">
        <v>5</v>
      </c>
      <c r="H1206" s="37" t="s">
        <v>475</v>
      </c>
      <c r="I1206" s="37"/>
      <c r="J1206" s="103">
        <v>-91.800734271141195</v>
      </c>
      <c r="K1206" s="40">
        <v>43.862230739848769</v>
      </c>
      <c r="L1206" s="74"/>
      <c r="M1206" s="272" t="s">
        <v>3560</v>
      </c>
      <c r="N1206" s="74">
        <v>1</v>
      </c>
      <c r="O1206" s="94"/>
      <c r="P1206" s="118">
        <v>1</v>
      </c>
      <c r="Q1206" s="510">
        <v>180</v>
      </c>
      <c r="R1206" s="513">
        <v>180</v>
      </c>
      <c r="S1206" s="41"/>
      <c r="T1206" s="40"/>
      <c r="U1206" s="40">
        <v>7.5</v>
      </c>
      <c r="V1206" s="119">
        <v>1</v>
      </c>
      <c r="W1206" s="40">
        <v>0</v>
      </c>
      <c r="X1206" s="119">
        <v>1</v>
      </c>
      <c r="Y1206" s="40">
        <v>53</v>
      </c>
      <c r="Z1206" s="119">
        <v>1</v>
      </c>
      <c r="AA1206" s="368">
        <v>0</v>
      </c>
      <c r="AB1206" s="535">
        <v>5</v>
      </c>
      <c r="AC1206" s="39" t="s">
        <v>160</v>
      </c>
      <c r="AD1206" s="75" t="s">
        <v>8</v>
      </c>
      <c r="AE1206" s="95">
        <v>0</v>
      </c>
      <c r="AF1206" s="75">
        <v>1</v>
      </c>
      <c r="AG1206" s="75">
        <v>0</v>
      </c>
      <c r="AH1206" s="75">
        <v>0</v>
      </c>
      <c r="AI1206" s="75">
        <v>0</v>
      </c>
      <c r="AJ1206" s="75">
        <v>0</v>
      </c>
      <c r="AK1206" s="75">
        <v>0</v>
      </c>
      <c r="AL1206" s="95">
        <v>0</v>
      </c>
      <c r="AM1206" s="92">
        <v>0</v>
      </c>
      <c r="AN1206" s="79" t="s">
        <v>80</v>
      </c>
      <c r="AO1206" s="75">
        <v>1</v>
      </c>
      <c r="AP1206" s="75" t="s">
        <v>83</v>
      </c>
      <c r="AQ1206" s="122">
        <v>1</v>
      </c>
      <c r="AR1206" s="515" t="s">
        <v>10</v>
      </c>
      <c r="AS1206" s="95">
        <v>0</v>
      </c>
      <c r="AT1206" s="75">
        <v>0</v>
      </c>
      <c r="AU1206" s="75">
        <v>0</v>
      </c>
      <c r="AV1206" s="75">
        <v>0</v>
      </c>
      <c r="AW1206" s="123">
        <v>0</v>
      </c>
      <c r="AX1206" s="516" t="s">
        <v>3561</v>
      </c>
      <c r="AY1206" s="75">
        <v>1</v>
      </c>
      <c r="AZ1206" s="77" t="s">
        <v>131</v>
      </c>
      <c r="BA1206" s="78" t="s">
        <v>132</v>
      </c>
      <c r="BB1206" s="78" t="s">
        <v>131</v>
      </c>
      <c r="BC1206" s="78" t="s">
        <v>131</v>
      </c>
      <c r="BD1206" s="78" t="s">
        <v>131</v>
      </c>
      <c r="BE1206" s="78" t="s">
        <v>131</v>
      </c>
      <c r="BF1206" s="78" t="s">
        <v>131</v>
      </c>
      <c r="BG1206" s="78" t="s">
        <v>131</v>
      </c>
      <c r="BH1206" s="75" t="s">
        <v>5970</v>
      </c>
      <c r="BI1206" s="295" t="s">
        <v>2250</v>
      </c>
      <c r="BJ1206" s="546">
        <v>1</v>
      </c>
      <c r="BK1206" s="294">
        <v>1</v>
      </c>
      <c r="BL1206" s="157">
        <v>1</v>
      </c>
      <c r="BM1206" s="548" t="s">
        <v>1341</v>
      </c>
      <c r="BN1206" s="548" t="s">
        <v>1339</v>
      </c>
      <c r="BO1206" s="157" t="s">
        <v>4636</v>
      </c>
      <c r="BP1206" s="548" t="s">
        <v>4637</v>
      </c>
      <c r="BQ1206" s="157" t="s">
        <v>4635</v>
      </c>
      <c r="BR1206" s="157"/>
    </row>
    <row r="1207" spans="1:70" x14ac:dyDescent="0.25">
      <c r="A1207" s="19" t="s">
        <v>3686</v>
      </c>
      <c r="B1207" s="37" t="s">
        <v>3562</v>
      </c>
      <c r="C1207" s="90">
        <v>45048.633252314816</v>
      </c>
      <c r="D1207" s="114">
        <v>45048.383252314816</v>
      </c>
      <c r="E1207" s="38">
        <v>45048</v>
      </c>
      <c r="F1207" s="91">
        <v>2023</v>
      </c>
      <c r="G1207" s="93">
        <v>5</v>
      </c>
      <c r="H1207" s="37" t="s">
        <v>475</v>
      </c>
      <c r="I1207" s="37"/>
      <c r="J1207" s="103">
        <v>-91.820895506909807</v>
      </c>
      <c r="K1207" s="40">
        <v>43.764069823970722</v>
      </c>
      <c r="L1207" s="74"/>
      <c r="M1207" s="272" t="s">
        <v>3563</v>
      </c>
      <c r="N1207" s="74">
        <v>1</v>
      </c>
      <c r="O1207" s="94"/>
      <c r="P1207" s="118">
        <v>1</v>
      </c>
      <c r="Q1207" s="510">
        <v>80</v>
      </c>
      <c r="R1207" s="513">
        <v>180</v>
      </c>
      <c r="S1207" s="41"/>
      <c r="T1207" s="40"/>
      <c r="U1207" s="40">
        <v>7.5</v>
      </c>
      <c r="V1207" s="119">
        <v>1</v>
      </c>
      <c r="W1207" s="40">
        <v>0</v>
      </c>
      <c r="X1207" s="119">
        <v>1</v>
      </c>
      <c r="Y1207" s="40">
        <v>47</v>
      </c>
      <c r="Z1207" s="119">
        <v>1</v>
      </c>
      <c r="AA1207" s="368">
        <v>0</v>
      </c>
      <c r="AB1207" s="535">
        <v>5</v>
      </c>
      <c r="AC1207" s="39" t="s">
        <v>160</v>
      </c>
      <c r="AD1207" s="75" t="s">
        <v>8</v>
      </c>
      <c r="AE1207" s="95">
        <v>0</v>
      </c>
      <c r="AF1207" s="75">
        <v>1</v>
      </c>
      <c r="AG1207" s="75">
        <v>0</v>
      </c>
      <c r="AH1207" s="75">
        <v>0</v>
      </c>
      <c r="AI1207" s="75">
        <v>0</v>
      </c>
      <c r="AJ1207" s="75">
        <v>0</v>
      </c>
      <c r="AK1207" s="75">
        <v>0</v>
      </c>
      <c r="AL1207" s="95">
        <v>0</v>
      </c>
      <c r="AM1207" s="92">
        <v>0</v>
      </c>
      <c r="AN1207" s="79" t="s">
        <v>80</v>
      </c>
      <c r="AO1207" s="75">
        <v>1</v>
      </c>
      <c r="AP1207" s="75" t="s">
        <v>83</v>
      </c>
      <c r="AQ1207" s="122">
        <v>1</v>
      </c>
      <c r="AR1207" s="515" t="s">
        <v>10</v>
      </c>
      <c r="AS1207" s="95">
        <v>0</v>
      </c>
      <c r="AT1207" s="75">
        <v>0</v>
      </c>
      <c r="AU1207" s="75">
        <v>0</v>
      </c>
      <c r="AV1207" s="75">
        <v>0</v>
      </c>
      <c r="AW1207" s="123">
        <v>0</v>
      </c>
      <c r="AX1207" s="516"/>
      <c r="AY1207" s="75">
        <v>0</v>
      </c>
      <c r="AZ1207" s="77" t="s">
        <v>131</v>
      </c>
      <c r="BA1207" s="78" t="s">
        <v>132</v>
      </c>
      <c r="BB1207" s="78" t="s">
        <v>131</v>
      </c>
      <c r="BC1207" s="78" t="s">
        <v>131</v>
      </c>
      <c r="BD1207" s="78" t="s">
        <v>131</v>
      </c>
      <c r="BE1207" s="78" t="s">
        <v>131</v>
      </c>
      <c r="BF1207" s="78" t="s">
        <v>131</v>
      </c>
      <c r="BG1207" s="78" t="s">
        <v>131</v>
      </c>
      <c r="BH1207" s="75" t="s">
        <v>5970</v>
      </c>
      <c r="BI1207" s="295">
        <v>0</v>
      </c>
      <c r="BJ1207" s="546">
        <v>1</v>
      </c>
      <c r="BK1207" s="294">
        <v>1</v>
      </c>
      <c r="BL1207" s="157">
        <v>1</v>
      </c>
      <c r="BM1207" s="548" t="s">
        <v>1341</v>
      </c>
      <c r="BN1207" s="548" t="s">
        <v>1339</v>
      </c>
      <c r="BO1207" s="157" t="s">
        <v>4641</v>
      </c>
      <c r="BP1207" s="548" t="s">
        <v>4642</v>
      </c>
      <c r="BQ1207" s="157" t="s">
        <v>4396</v>
      </c>
      <c r="BR1207" s="157"/>
    </row>
    <row r="1208" spans="1:70" x14ac:dyDescent="0.25">
      <c r="A1208" s="19" t="s">
        <v>3686</v>
      </c>
      <c r="B1208" s="37" t="s">
        <v>3564</v>
      </c>
      <c r="C1208" s="90">
        <v>45048.617094907408</v>
      </c>
      <c r="D1208" s="114">
        <v>45048.367094907408</v>
      </c>
      <c r="E1208" s="38">
        <v>45048</v>
      </c>
      <c r="F1208" s="91">
        <v>2023</v>
      </c>
      <c r="G1208" s="93">
        <v>5</v>
      </c>
      <c r="H1208" s="37" t="s">
        <v>475</v>
      </c>
      <c r="I1208" s="37"/>
      <c r="J1208" s="103">
        <v>-91.893384134302394</v>
      </c>
      <c r="K1208" s="40">
        <v>43.746129779389847</v>
      </c>
      <c r="L1208" s="74"/>
      <c r="M1208" s="272" t="s">
        <v>16</v>
      </c>
      <c r="N1208" s="74">
        <v>0</v>
      </c>
      <c r="O1208" s="94"/>
      <c r="P1208" s="118">
        <v>1</v>
      </c>
      <c r="Q1208" s="510">
        <v>180</v>
      </c>
      <c r="R1208" s="513">
        <v>180</v>
      </c>
      <c r="S1208" s="41"/>
      <c r="T1208" s="40"/>
      <c r="U1208" s="40">
        <v>8</v>
      </c>
      <c r="V1208" s="119">
        <v>1</v>
      </c>
      <c r="W1208" s="40">
        <v>0</v>
      </c>
      <c r="X1208" s="119">
        <v>1</v>
      </c>
      <c r="Y1208" s="40">
        <v>47</v>
      </c>
      <c r="Z1208" s="119">
        <v>1</v>
      </c>
      <c r="AA1208" s="368">
        <v>0</v>
      </c>
      <c r="AB1208" s="535">
        <v>5</v>
      </c>
      <c r="AC1208" s="39" t="s">
        <v>160</v>
      </c>
      <c r="AD1208" s="75" t="s">
        <v>8</v>
      </c>
      <c r="AE1208" s="95">
        <v>0</v>
      </c>
      <c r="AF1208" s="75">
        <v>1</v>
      </c>
      <c r="AG1208" s="75">
        <v>0</v>
      </c>
      <c r="AH1208" s="75">
        <v>0</v>
      </c>
      <c r="AI1208" s="75">
        <v>0</v>
      </c>
      <c r="AJ1208" s="75">
        <v>0</v>
      </c>
      <c r="AK1208" s="75">
        <v>0</v>
      </c>
      <c r="AL1208" s="95">
        <v>0</v>
      </c>
      <c r="AM1208" s="92">
        <v>0</v>
      </c>
      <c r="AN1208" s="79" t="s">
        <v>80</v>
      </c>
      <c r="AO1208" s="75">
        <v>1</v>
      </c>
      <c r="AP1208" s="75" t="s">
        <v>83</v>
      </c>
      <c r="AQ1208" s="122">
        <v>1</v>
      </c>
      <c r="AR1208" s="515" t="s">
        <v>10</v>
      </c>
      <c r="AS1208" s="95">
        <v>0</v>
      </c>
      <c r="AT1208" s="75">
        <v>0</v>
      </c>
      <c r="AU1208" s="75">
        <v>0</v>
      </c>
      <c r="AV1208" s="75">
        <v>0</v>
      </c>
      <c r="AW1208" s="123">
        <v>0</v>
      </c>
      <c r="AX1208" s="516" t="s">
        <v>3565</v>
      </c>
      <c r="AY1208" s="75">
        <v>1</v>
      </c>
      <c r="AZ1208" s="77" t="s">
        <v>131</v>
      </c>
      <c r="BA1208" s="78" t="s">
        <v>132</v>
      </c>
      <c r="BB1208" s="78" t="s">
        <v>131</v>
      </c>
      <c r="BC1208" s="78" t="s">
        <v>131</v>
      </c>
      <c r="BD1208" s="78" t="s">
        <v>131</v>
      </c>
      <c r="BE1208" s="78" t="s">
        <v>131</v>
      </c>
      <c r="BF1208" s="78" t="s">
        <v>131</v>
      </c>
      <c r="BG1208" s="78" t="s">
        <v>131</v>
      </c>
      <c r="BH1208" s="75" t="s">
        <v>5970</v>
      </c>
      <c r="BI1208" s="295" t="s">
        <v>3971</v>
      </c>
      <c r="BJ1208" s="546">
        <v>1</v>
      </c>
      <c r="BK1208" s="294" t="s">
        <v>16</v>
      </c>
      <c r="BL1208" s="157" t="s">
        <v>16</v>
      </c>
      <c r="BM1208" s="548" t="s">
        <v>1341</v>
      </c>
      <c r="BN1208" s="548" t="s">
        <v>1339</v>
      </c>
      <c r="BO1208" s="157" t="s">
        <v>4397</v>
      </c>
      <c r="BP1208" s="548" t="s">
        <v>4398</v>
      </c>
      <c r="BQ1208" s="157" t="s">
        <v>4396</v>
      </c>
      <c r="BR1208" s="157"/>
    </row>
    <row r="1209" spans="1:70" x14ac:dyDescent="0.25">
      <c r="A1209" s="19" t="s">
        <v>3686</v>
      </c>
      <c r="B1209" s="37" t="s">
        <v>3566</v>
      </c>
      <c r="C1209" s="90">
        <v>45048.565497685187</v>
      </c>
      <c r="D1209" s="114">
        <v>45048.315497685187</v>
      </c>
      <c r="E1209" s="38">
        <v>45048</v>
      </c>
      <c r="F1209" s="91">
        <v>2023</v>
      </c>
      <c r="G1209" s="93">
        <v>5</v>
      </c>
      <c r="H1209" s="37" t="s">
        <v>475</v>
      </c>
      <c r="I1209" s="37"/>
      <c r="J1209" s="103">
        <v>-91.982529109320978</v>
      </c>
      <c r="K1209" s="40">
        <v>43.774244387974413</v>
      </c>
      <c r="L1209" s="74"/>
      <c r="M1209" s="272" t="s">
        <v>3567</v>
      </c>
      <c r="N1209" s="74">
        <v>1</v>
      </c>
      <c r="O1209" s="94"/>
      <c r="P1209" s="118">
        <v>1</v>
      </c>
      <c r="Q1209" s="510">
        <v>180</v>
      </c>
      <c r="R1209" s="513">
        <v>180</v>
      </c>
      <c r="S1209" s="41"/>
      <c r="T1209" s="40"/>
      <c r="U1209" s="40">
        <v>7.5</v>
      </c>
      <c r="V1209" s="119">
        <v>1</v>
      </c>
      <c r="W1209" s="40">
        <v>0</v>
      </c>
      <c r="X1209" s="119">
        <v>1</v>
      </c>
      <c r="Y1209" s="40">
        <v>47</v>
      </c>
      <c r="Z1209" s="119">
        <v>1</v>
      </c>
      <c r="AA1209" s="368">
        <v>0</v>
      </c>
      <c r="AB1209" s="535">
        <v>5</v>
      </c>
      <c r="AC1209" s="39" t="s">
        <v>160</v>
      </c>
      <c r="AD1209" s="75" t="s">
        <v>10</v>
      </c>
      <c r="AE1209" s="95">
        <v>0</v>
      </c>
      <c r="AF1209" s="75">
        <v>0</v>
      </c>
      <c r="AG1209" s="75">
        <v>0</v>
      </c>
      <c r="AH1209" s="75">
        <v>0</v>
      </c>
      <c r="AI1209" s="75">
        <v>0</v>
      </c>
      <c r="AJ1209" s="75">
        <v>0</v>
      </c>
      <c r="AK1209" s="75">
        <v>0</v>
      </c>
      <c r="AL1209" s="95">
        <v>1</v>
      </c>
      <c r="AM1209" s="92">
        <v>0</v>
      </c>
      <c r="AN1209" s="79" t="s">
        <v>80</v>
      </c>
      <c r="AO1209" s="75">
        <v>1</v>
      </c>
      <c r="AP1209" s="75" t="s">
        <v>83</v>
      </c>
      <c r="AQ1209" s="122">
        <v>1</v>
      </c>
      <c r="AR1209" s="515" t="s">
        <v>10</v>
      </c>
      <c r="AS1209" s="95">
        <v>0</v>
      </c>
      <c r="AT1209" s="75">
        <v>0</v>
      </c>
      <c r="AU1209" s="75">
        <v>0</v>
      </c>
      <c r="AV1209" s="75">
        <v>0</v>
      </c>
      <c r="AW1209" s="123">
        <v>0</v>
      </c>
      <c r="AX1209" s="516" t="s">
        <v>3568</v>
      </c>
      <c r="AY1209" s="75">
        <v>1</v>
      </c>
      <c r="AZ1209" s="77" t="s">
        <v>131</v>
      </c>
      <c r="BA1209" s="78" t="s">
        <v>131</v>
      </c>
      <c r="BB1209" s="78" t="s">
        <v>131</v>
      </c>
      <c r="BC1209" s="78" t="s">
        <v>131</v>
      </c>
      <c r="BD1209" s="78" t="s">
        <v>131</v>
      </c>
      <c r="BE1209" s="78" t="s">
        <v>131</v>
      </c>
      <c r="BF1209" s="78" t="s">
        <v>131</v>
      </c>
      <c r="BG1209" s="78" t="s">
        <v>132</v>
      </c>
      <c r="BH1209" s="75" t="s">
        <v>5970</v>
      </c>
      <c r="BI1209" s="295" t="s">
        <v>3976</v>
      </c>
      <c r="BJ1209" s="546">
        <v>1</v>
      </c>
      <c r="BK1209" s="294" t="s">
        <v>16</v>
      </c>
      <c r="BL1209" s="157" t="s">
        <v>16</v>
      </c>
      <c r="BM1209" s="548" t="s">
        <v>1339</v>
      </c>
      <c r="BN1209" s="548" t="s">
        <v>1339</v>
      </c>
      <c r="BO1209" s="157" t="s">
        <v>4643</v>
      </c>
      <c r="BP1209" s="548" t="s">
        <v>4644</v>
      </c>
      <c r="BQ1209" s="157" t="s">
        <v>4319</v>
      </c>
      <c r="BR1209" s="157"/>
    </row>
    <row r="1210" spans="1:70" x14ac:dyDescent="0.25">
      <c r="A1210" s="19" t="s">
        <v>3686</v>
      </c>
      <c r="B1210" s="37" t="s">
        <v>3569</v>
      </c>
      <c r="C1210" s="90">
        <v>45047.804594907408</v>
      </c>
      <c r="D1210" s="114">
        <v>45047.554594907408</v>
      </c>
      <c r="E1210" s="38">
        <v>45047</v>
      </c>
      <c r="F1210" s="91">
        <v>2023</v>
      </c>
      <c r="G1210" s="93">
        <v>5</v>
      </c>
      <c r="H1210" s="37" t="s">
        <v>201</v>
      </c>
      <c r="I1210" s="37"/>
      <c r="J1210" s="103">
        <v>-92.732088835516223</v>
      </c>
      <c r="K1210" s="40">
        <v>44.831027033088112</v>
      </c>
      <c r="L1210" s="74"/>
      <c r="M1210" s="272" t="s">
        <v>16</v>
      </c>
      <c r="N1210" s="74">
        <v>0</v>
      </c>
      <c r="O1210" s="94"/>
      <c r="P1210" s="118">
        <v>1</v>
      </c>
      <c r="Q1210" s="510">
        <v>180</v>
      </c>
      <c r="R1210" s="513">
        <v>120</v>
      </c>
      <c r="S1210" s="41"/>
      <c r="T1210" s="40"/>
      <c r="U1210" s="40">
        <v>8</v>
      </c>
      <c r="V1210" s="119">
        <v>1</v>
      </c>
      <c r="W1210" s="40">
        <v>0</v>
      </c>
      <c r="X1210" s="119">
        <v>1</v>
      </c>
      <c r="Y1210" s="40">
        <v>53</v>
      </c>
      <c r="Z1210" s="119">
        <v>1</v>
      </c>
      <c r="AA1210" s="368">
        <v>0</v>
      </c>
      <c r="AB1210" s="535">
        <v>5</v>
      </c>
      <c r="AC1210" s="39" t="s">
        <v>160</v>
      </c>
      <c r="AD1210" s="75" t="s">
        <v>365</v>
      </c>
      <c r="AE1210" s="95">
        <v>0</v>
      </c>
      <c r="AF1210" s="75">
        <v>1</v>
      </c>
      <c r="AG1210" s="75">
        <v>1</v>
      </c>
      <c r="AH1210" s="75">
        <v>0</v>
      </c>
      <c r="AI1210" s="75">
        <v>0</v>
      </c>
      <c r="AJ1210" s="75">
        <v>0</v>
      </c>
      <c r="AK1210" s="75">
        <v>0</v>
      </c>
      <c r="AL1210" s="95">
        <v>0</v>
      </c>
      <c r="AM1210" s="92">
        <v>0</v>
      </c>
      <c r="AN1210" s="79" t="s">
        <v>80</v>
      </c>
      <c r="AO1210" s="75">
        <v>1</v>
      </c>
      <c r="AP1210" s="75" t="s">
        <v>83</v>
      </c>
      <c r="AQ1210" s="122">
        <v>1</v>
      </c>
      <c r="AR1210" s="515" t="s">
        <v>10</v>
      </c>
      <c r="AS1210" s="95">
        <v>0</v>
      </c>
      <c r="AT1210" s="75">
        <v>0</v>
      </c>
      <c r="AU1210" s="75">
        <v>0</v>
      </c>
      <c r="AV1210" s="75">
        <v>0</v>
      </c>
      <c r="AW1210" s="123">
        <v>0</v>
      </c>
      <c r="AX1210" s="516" t="s">
        <v>1537</v>
      </c>
      <c r="AY1210" s="75">
        <v>1</v>
      </c>
      <c r="AZ1210" s="77" t="s">
        <v>131</v>
      </c>
      <c r="BA1210" s="78" t="s">
        <v>132</v>
      </c>
      <c r="BB1210" s="78" t="s">
        <v>132</v>
      </c>
      <c r="BC1210" s="78" t="s">
        <v>131</v>
      </c>
      <c r="BD1210" s="78" t="s">
        <v>131</v>
      </c>
      <c r="BE1210" s="78" t="s">
        <v>131</v>
      </c>
      <c r="BF1210" s="78" t="s">
        <v>131</v>
      </c>
      <c r="BG1210" s="78" t="s">
        <v>131</v>
      </c>
      <c r="BH1210" s="75" t="s">
        <v>5970</v>
      </c>
      <c r="BI1210" s="295" t="s">
        <v>2227</v>
      </c>
      <c r="BJ1210" s="546">
        <v>1</v>
      </c>
      <c r="BK1210" s="294" t="s">
        <v>16</v>
      </c>
      <c r="BL1210" s="157" t="s">
        <v>16</v>
      </c>
      <c r="BM1210" s="548" t="s">
        <v>578</v>
      </c>
      <c r="BN1210" s="548" t="s">
        <v>578</v>
      </c>
      <c r="BO1210" s="157" t="s">
        <v>4341</v>
      </c>
      <c r="BP1210" s="548" t="s">
        <v>4343</v>
      </c>
      <c r="BQ1210" s="157" t="s">
        <v>4309</v>
      </c>
      <c r="BR1210" s="157"/>
    </row>
    <row r="1211" spans="1:70" x14ac:dyDescent="0.25">
      <c r="A1211" s="19" t="s">
        <v>3686</v>
      </c>
      <c r="B1211" s="37" t="s">
        <v>3570</v>
      </c>
      <c r="C1211" s="90">
        <v>45047.723310185182</v>
      </c>
      <c r="D1211" s="114">
        <v>45047.473310185182</v>
      </c>
      <c r="E1211" s="38">
        <v>45047</v>
      </c>
      <c r="F1211" s="91">
        <v>2023</v>
      </c>
      <c r="G1211" s="93">
        <v>5</v>
      </c>
      <c r="H1211" s="37" t="s">
        <v>1416</v>
      </c>
      <c r="I1211" s="37" t="s">
        <v>16</v>
      </c>
      <c r="J1211" s="103">
        <v>-93.00923189483656</v>
      </c>
      <c r="K1211" s="40">
        <v>44.656964997625835</v>
      </c>
      <c r="L1211" s="74"/>
      <c r="M1211" s="272" t="s">
        <v>16</v>
      </c>
      <c r="N1211" s="74">
        <v>0</v>
      </c>
      <c r="O1211" s="94"/>
      <c r="P1211" s="118">
        <v>1</v>
      </c>
      <c r="Q1211" s="510">
        <v>80</v>
      </c>
      <c r="R1211" s="513">
        <v>120</v>
      </c>
      <c r="S1211" s="41"/>
      <c r="T1211" s="40"/>
      <c r="U1211" s="40">
        <v>7</v>
      </c>
      <c r="V1211" s="119">
        <v>1</v>
      </c>
      <c r="W1211" s="40">
        <v>0</v>
      </c>
      <c r="X1211" s="119">
        <v>1</v>
      </c>
      <c r="Y1211" s="40">
        <v>47</v>
      </c>
      <c r="Z1211" s="119">
        <v>1</v>
      </c>
      <c r="AA1211" s="368">
        <v>0</v>
      </c>
      <c r="AB1211" s="535">
        <v>0</v>
      </c>
      <c r="AC1211" s="39" t="s">
        <v>160</v>
      </c>
      <c r="AD1211" s="75" t="s">
        <v>10</v>
      </c>
      <c r="AE1211" s="95">
        <v>0</v>
      </c>
      <c r="AF1211" s="75">
        <v>0</v>
      </c>
      <c r="AG1211" s="75">
        <v>0</v>
      </c>
      <c r="AH1211" s="75">
        <v>0</v>
      </c>
      <c r="AI1211" s="75">
        <v>0</v>
      </c>
      <c r="AJ1211" s="75">
        <v>0</v>
      </c>
      <c r="AK1211" s="75">
        <v>0</v>
      </c>
      <c r="AL1211" s="95">
        <v>1</v>
      </c>
      <c r="AM1211" s="92">
        <v>0</v>
      </c>
      <c r="AN1211" s="79" t="s">
        <v>195</v>
      </c>
      <c r="AO1211" s="75">
        <v>1</v>
      </c>
      <c r="AP1211" s="75" t="s">
        <v>83</v>
      </c>
      <c r="AQ1211" s="122">
        <v>1</v>
      </c>
      <c r="AR1211" s="515" t="s">
        <v>10</v>
      </c>
      <c r="AS1211" s="95">
        <v>0</v>
      </c>
      <c r="AT1211" s="75">
        <v>0</v>
      </c>
      <c r="AU1211" s="75">
        <v>0</v>
      </c>
      <c r="AV1211" s="75">
        <v>0</v>
      </c>
      <c r="AW1211" s="123">
        <v>0</v>
      </c>
      <c r="AX1211" s="516" t="s">
        <v>3571</v>
      </c>
      <c r="AY1211" s="75">
        <v>1</v>
      </c>
      <c r="AZ1211" s="77" t="s">
        <v>131</v>
      </c>
      <c r="BA1211" s="78" t="s">
        <v>131</v>
      </c>
      <c r="BB1211" s="78" t="s">
        <v>131</v>
      </c>
      <c r="BC1211" s="78" t="s">
        <v>131</v>
      </c>
      <c r="BD1211" s="78" t="s">
        <v>131</v>
      </c>
      <c r="BE1211" s="78" t="s">
        <v>131</v>
      </c>
      <c r="BF1211" s="78" t="s">
        <v>131</v>
      </c>
      <c r="BG1211" s="78" t="s">
        <v>132</v>
      </c>
      <c r="BH1211" s="75" t="s">
        <v>5970</v>
      </c>
      <c r="BI1211" s="295" t="s">
        <v>2225</v>
      </c>
      <c r="BJ1211" s="546">
        <v>1</v>
      </c>
      <c r="BK1211" s="294" t="s">
        <v>16</v>
      </c>
      <c r="BL1211" s="157" t="s">
        <v>16</v>
      </c>
      <c r="BM1211" s="548" t="s">
        <v>2343</v>
      </c>
      <c r="BN1211" s="548" t="s">
        <v>4161</v>
      </c>
      <c r="BO1211" s="157" t="s">
        <v>4293</v>
      </c>
      <c r="BP1211" s="548" t="s">
        <v>2225</v>
      </c>
      <c r="BQ1211" s="157" t="s">
        <v>4292</v>
      </c>
      <c r="BR1211" s="157"/>
    </row>
    <row r="1212" spans="1:70" x14ac:dyDescent="0.25">
      <c r="A1212" s="19" t="s">
        <v>3686</v>
      </c>
      <c r="B1212" s="37" t="s">
        <v>3572</v>
      </c>
      <c r="C1212" s="90">
        <v>45044.015775462962</v>
      </c>
      <c r="D1212" s="114">
        <v>45043.765775462962</v>
      </c>
      <c r="E1212" s="38">
        <v>45043</v>
      </c>
      <c r="F1212" s="91">
        <v>2023</v>
      </c>
      <c r="G1212" s="93">
        <v>4</v>
      </c>
      <c r="H1212" s="37" t="s">
        <v>2423</v>
      </c>
      <c r="I1212" s="37"/>
      <c r="J1212" s="103">
        <v>-92.624741299999997</v>
      </c>
      <c r="K1212" s="40">
        <v>44.861592000000002</v>
      </c>
      <c r="L1212" s="74"/>
      <c r="M1212" s="272" t="s">
        <v>16</v>
      </c>
      <c r="N1212" s="74">
        <v>0</v>
      </c>
      <c r="O1212" s="94"/>
      <c r="P1212" s="118">
        <v>1</v>
      </c>
      <c r="Q1212" s="510">
        <v>80</v>
      </c>
      <c r="R1212" s="513">
        <v>180</v>
      </c>
      <c r="S1212" s="41"/>
      <c r="T1212" s="40"/>
      <c r="U1212" s="40">
        <v>7.5</v>
      </c>
      <c r="V1212" s="119">
        <v>1</v>
      </c>
      <c r="W1212" s="40">
        <v>0</v>
      </c>
      <c r="X1212" s="119">
        <v>1</v>
      </c>
      <c r="Y1212" s="40">
        <v>51</v>
      </c>
      <c r="Z1212" s="119">
        <v>1</v>
      </c>
      <c r="AA1212" s="368">
        <v>0</v>
      </c>
      <c r="AB1212" s="535">
        <v>5</v>
      </c>
      <c r="AC1212" s="39" t="s">
        <v>160</v>
      </c>
      <c r="AD1212" s="75" t="s">
        <v>365</v>
      </c>
      <c r="AE1212" s="95">
        <v>0</v>
      </c>
      <c r="AF1212" s="75">
        <v>1</v>
      </c>
      <c r="AG1212" s="75">
        <v>1</v>
      </c>
      <c r="AH1212" s="75">
        <v>0</v>
      </c>
      <c r="AI1212" s="75">
        <v>0</v>
      </c>
      <c r="AJ1212" s="75">
        <v>0</v>
      </c>
      <c r="AK1212" s="75">
        <v>0</v>
      </c>
      <c r="AL1212" s="95">
        <v>0</v>
      </c>
      <c r="AM1212" s="92">
        <v>0</v>
      </c>
      <c r="AN1212" s="79" t="s">
        <v>195</v>
      </c>
      <c r="AO1212" s="75">
        <v>1</v>
      </c>
      <c r="AP1212" s="75" t="s">
        <v>83</v>
      </c>
      <c r="AQ1212" s="122">
        <v>1</v>
      </c>
      <c r="AR1212" s="515" t="s">
        <v>35</v>
      </c>
      <c r="AS1212" s="95">
        <v>0</v>
      </c>
      <c r="AT1212" s="75">
        <v>1</v>
      </c>
      <c r="AU1212" s="75">
        <v>0</v>
      </c>
      <c r="AV1212" s="75">
        <v>0</v>
      </c>
      <c r="AW1212" s="123">
        <v>0</v>
      </c>
      <c r="AX1212" s="516"/>
      <c r="AY1212" s="75">
        <v>0</v>
      </c>
      <c r="AZ1212" s="77" t="s">
        <v>131</v>
      </c>
      <c r="BA1212" s="78" t="s">
        <v>132</v>
      </c>
      <c r="BB1212" s="78" t="s">
        <v>132</v>
      </c>
      <c r="BC1212" s="78" t="s">
        <v>131</v>
      </c>
      <c r="BD1212" s="78" t="s">
        <v>131</v>
      </c>
      <c r="BE1212" s="78" t="s">
        <v>131</v>
      </c>
      <c r="BF1212" s="78" t="s">
        <v>131</v>
      </c>
      <c r="BG1212" s="78" t="s">
        <v>131</v>
      </c>
      <c r="BH1212" s="75" t="s">
        <v>5970</v>
      </c>
      <c r="BI1212" s="295" t="s">
        <v>16</v>
      </c>
      <c r="BJ1212" s="546">
        <v>1</v>
      </c>
      <c r="BK1212" s="294" t="s">
        <v>16</v>
      </c>
      <c r="BL1212" s="157" t="s">
        <v>16</v>
      </c>
      <c r="BM1212" s="548" t="s">
        <v>578</v>
      </c>
      <c r="BN1212" s="548" t="s">
        <v>4159</v>
      </c>
      <c r="BO1212" s="157" t="s">
        <v>4311</v>
      </c>
      <c r="BP1212" s="548" t="s">
        <v>4395</v>
      </c>
      <c r="BQ1212" s="157" t="s">
        <v>4309</v>
      </c>
      <c r="BR1212" s="157"/>
    </row>
    <row r="1213" spans="1:70" x14ac:dyDescent="0.25">
      <c r="A1213" s="19" t="s">
        <v>3686</v>
      </c>
      <c r="B1213" s="37" t="s">
        <v>3573</v>
      </c>
      <c r="C1213" s="90">
        <v>45043.81322916667</v>
      </c>
      <c r="D1213" s="114">
        <v>45043.56322916667</v>
      </c>
      <c r="E1213" s="38">
        <v>45043</v>
      </c>
      <c r="F1213" s="91">
        <v>2023</v>
      </c>
      <c r="G1213" s="93">
        <v>4</v>
      </c>
      <c r="H1213" s="37" t="s">
        <v>1386</v>
      </c>
      <c r="I1213" s="37"/>
      <c r="J1213" s="103">
        <v>-91.413121700000005</v>
      </c>
      <c r="K1213" s="40">
        <v>43.540577499999998</v>
      </c>
      <c r="L1213" s="74"/>
      <c r="M1213" s="272" t="s">
        <v>3574</v>
      </c>
      <c r="N1213" s="74">
        <v>1</v>
      </c>
      <c r="O1213" s="94"/>
      <c r="P1213" s="118">
        <v>1</v>
      </c>
      <c r="Q1213" s="510">
        <v>80</v>
      </c>
      <c r="R1213" s="513">
        <v>180</v>
      </c>
      <c r="S1213" s="41"/>
      <c r="T1213" s="40"/>
      <c r="U1213" s="40">
        <v>7.5</v>
      </c>
      <c r="V1213" s="119">
        <v>1</v>
      </c>
      <c r="W1213" s="40">
        <v>0</v>
      </c>
      <c r="X1213" s="119">
        <v>1</v>
      </c>
      <c r="Y1213" s="40">
        <v>56</v>
      </c>
      <c r="Z1213" s="119">
        <v>1</v>
      </c>
      <c r="AA1213" s="368">
        <v>0</v>
      </c>
      <c r="AB1213" s="535">
        <v>5</v>
      </c>
      <c r="AC1213" s="39" t="s">
        <v>160</v>
      </c>
      <c r="AD1213" s="75" t="s">
        <v>10</v>
      </c>
      <c r="AE1213" s="95">
        <v>0</v>
      </c>
      <c r="AF1213" s="75">
        <v>0</v>
      </c>
      <c r="AG1213" s="75">
        <v>0</v>
      </c>
      <c r="AH1213" s="75">
        <v>0</v>
      </c>
      <c r="AI1213" s="75">
        <v>0</v>
      </c>
      <c r="AJ1213" s="75">
        <v>0</v>
      </c>
      <c r="AK1213" s="75">
        <v>0</v>
      </c>
      <c r="AL1213" s="95">
        <v>1</v>
      </c>
      <c r="AM1213" s="92">
        <v>0</v>
      </c>
      <c r="AN1213" s="79" t="s">
        <v>80</v>
      </c>
      <c r="AO1213" s="75">
        <v>1</v>
      </c>
      <c r="AP1213" s="75" t="s">
        <v>83</v>
      </c>
      <c r="AQ1213" s="122">
        <v>1</v>
      </c>
      <c r="AR1213" s="515" t="s">
        <v>10</v>
      </c>
      <c r="AS1213" s="95">
        <v>0</v>
      </c>
      <c r="AT1213" s="75">
        <v>0</v>
      </c>
      <c r="AU1213" s="75">
        <v>0</v>
      </c>
      <c r="AV1213" s="75">
        <v>0</v>
      </c>
      <c r="AW1213" s="123">
        <v>0</v>
      </c>
      <c r="AX1213" s="516"/>
      <c r="AY1213" s="75">
        <v>0</v>
      </c>
      <c r="AZ1213" s="77" t="s">
        <v>131</v>
      </c>
      <c r="BA1213" s="78" t="s">
        <v>131</v>
      </c>
      <c r="BB1213" s="78" t="s">
        <v>131</v>
      </c>
      <c r="BC1213" s="78" t="s">
        <v>131</v>
      </c>
      <c r="BD1213" s="78" t="s">
        <v>131</v>
      </c>
      <c r="BE1213" s="78" t="s">
        <v>131</v>
      </c>
      <c r="BF1213" s="78" t="s">
        <v>131</v>
      </c>
      <c r="BG1213" s="78" t="s">
        <v>132</v>
      </c>
      <c r="BH1213" s="75" t="s">
        <v>5970</v>
      </c>
      <c r="BI1213" s="295" t="s">
        <v>4020</v>
      </c>
      <c r="BJ1213" s="546">
        <v>1</v>
      </c>
      <c r="BK1213" s="294">
        <v>1</v>
      </c>
      <c r="BL1213" s="157">
        <v>1</v>
      </c>
      <c r="BM1213" s="548" t="s">
        <v>1341</v>
      </c>
      <c r="BN1213" s="548" t="s">
        <v>1339</v>
      </c>
      <c r="BO1213" s="157" t="s">
        <v>4239</v>
      </c>
      <c r="BP1213" s="548" t="s">
        <v>4240</v>
      </c>
      <c r="BQ1213" s="157" t="s">
        <v>4238</v>
      </c>
      <c r="BR1213" s="157"/>
    </row>
    <row r="1214" spans="1:70" x14ac:dyDescent="0.25">
      <c r="A1214" s="19" t="s">
        <v>3686</v>
      </c>
      <c r="B1214" s="37" t="s">
        <v>3575</v>
      </c>
      <c r="C1214" s="90">
        <v>45043.779918981483</v>
      </c>
      <c r="D1214" s="114">
        <v>45043.529918981483</v>
      </c>
      <c r="E1214" s="38">
        <v>45043</v>
      </c>
      <c r="F1214" s="91">
        <v>2023</v>
      </c>
      <c r="G1214" s="93">
        <v>4</v>
      </c>
      <c r="H1214" s="37" t="s">
        <v>1386</v>
      </c>
      <c r="I1214" s="37"/>
      <c r="J1214" s="103">
        <v>-91.373392499999994</v>
      </c>
      <c r="K1214" s="40">
        <v>43.6035258</v>
      </c>
      <c r="L1214" s="74"/>
      <c r="M1214" s="272" t="s">
        <v>3576</v>
      </c>
      <c r="N1214" s="74">
        <v>1</v>
      </c>
      <c r="O1214" s="94"/>
      <c r="P1214" s="118">
        <v>1</v>
      </c>
      <c r="Q1214" s="510">
        <v>120</v>
      </c>
      <c r="R1214" s="513">
        <v>180</v>
      </c>
      <c r="S1214" s="41"/>
      <c r="T1214" s="40"/>
      <c r="U1214" s="40">
        <v>8.5</v>
      </c>
      <c r="V1214" s="119">
        <v>1</v>
      </c>
      <c r="W1214" s="40">
        <v>0</v>
      </c>
      <c r="X1214" s="119">
        <v>0</v>
      </c>
      <c r="Y1214" s="40"/>
      <c r="Z1214" s="119">
        <v>1</v>
      </c>
      <c r="AA1214" s="368">
        <v>0</v>
      </c>
      <c r="AB1214" s="535">
        <v>2</v>
      </c>
      <c r="AC1214" s="39" t="s">
        <v>160</v>
      </c>
      <c r="AD1214" s="75" t="s">
        <v>10</v>
      </c>
      <c r="AE1214" s="95">
        <v>0</v>
      </c>
      <c r="AF1214" s="75">
        <v>0</v>
      </c>
      <c r="AG1214" s="75">
        <v>0</v>
      </c>
      <c r="AH1214" s="75">
        <v>0</v>
      </c>
      <c r="AI1214" s="75">
        <v>0</v>
      </c>
      <c r="AJ1214" s="75">
        <v>0</v>
      </c>
      <c r="AK1214" s="75">
        <v>0</v>
      </c>
      <c r="AL1214" s="95">
        <v>1</v>
      </c>
      <c r="AM1214" s="92">
        <v>0</v>
      </c>
      <c r="AN1214" s="79" t="s">
        <v>80</v>
      </c>
      <c r="AO1214" s="75">
        <v>1</v>
      </c>
      <c r="AP1214" s="75" t="s">
        <v>83</v>
      </c>
      <c r="AQ1214" s="122">
        <v>1</v>
      </c>
      <c r="AR1214" s="515" t="s">
        <v>10</v>
      </c>
      <c r="AS1214" s="95">
        <v>0</v>
      </c>
      <c r="AT1214" s="75">
        <v>0</v>
      </c>
      <c r="AU1214" s="75">
        <v>0</v>
      </c>
      <c r="AV1214" s="75">
        <v>0</v>
      </c>
      <c r="AW1214" s="123">
        <v>0</v>
      </c>
      <c r="AX1214" s="516"/>
      <c r="AY1214" s="75">
        <v>0</v>
      </c>
      <c r="AZ1214" s="77" t="s">
        <v>131</v>
      </c>
      <c r="BA1214" s="78" t="s">
        <v>131</v>
      </c>
      <c r="BB1214" s="78" t="s">
        <v>131</v>
      </c>
      <c r="BC1214" s="78" t="s">
        <v>131</v>
      </c>
      <c r="BD1214" s="78" t="s">
        <v>131</v>
      </c>
      <c r="BE1214" s="78" t="s">
        <v>131</v>
      </c>
      <c r="BF1214" s="78" t="s">
        <v>131</v>
      </c>
      <c r="BG1214" s="78" t="s">
        <v>132</v>
      </c>
      <c r="BH1214" s="75" t="s">
        <v>5970</v>
      </c>
      <c r="BI1214" s="295" t="s">
        <v>4019</v>
      </c>
      <c r="BJ1214" s="546">
        <v>1</v>
      </c>
      <c r="BK1214" s="294" t="s">
        <v>16</v>
      </c>
      <c r="BL1214" s="157" t="s">
        <v>16</v>
      </c>
      <c r="BM1214" s="548" t="s">
        <v>1341</v>
      </c>
      <c r="BN1214" s="548" t="s">
        <v>1339</v>
      </c>
      <c r="BO1214" s="157" t="s">
        <v>4235</v>
      </c>
      <c r="BP1214" s="548" t="s">
        <v>4237</v>
      </c>
      <c r="BQ1214" s="157" t="s">
        <v>4234</v>
      </c>
      <c r="BR1214" s="157"/>
    </row>
    <row r="1215" spans="1:70" x14ac:dyDescent="0.25">
      <c r="A1215" s="19" t="s">
        <v>3686</v>
      </c>
      <c r="B1215" s="37" t="s">
        <v>3577</v>
      </c>
      <c r="C1215" s="90">
        <v>45043.745625000003</v>
      </c>
      <c r="D1215" s="114">
        <v>45043.495625000003</v>
      </c>
      <c r="E1215" s="38">
        <v>45043</v>
      </c>
      <c r="F1215" s="91">
        <v>2023</v>
      </c>
      <c r="G1215" s="93">
        <v>4</v>
      </c>
      <c r="H1215" s="37" t="s">
        <v>1386</v>
      </c>
      <c r="I1215" s="37"/>
      <c r="J1215" s="103">
        <v>-91.569935999999998</v>
      </c>
      <c r="K1215" s="40">
        <v>43.502501600000002</v>
      </c>
      <c r="L1215" s="74"/>
      <c r="M1215" s="272" t="s">
        <v>3578</v>
      </c>
      <c r="N1215" s="74">
        <v>1</v>
      </c>
      <c r="O1215" s="94"/>
      <c r="P1215" s="118">
        <v>1</v>
      </c>
      <c r="Q1215" s="510">
        <v>120</v>
      </c>
      <c r="R1215" s="513">
        <v>180</v>
      </c>
      <c r="S1215" s="41"/>
      <c r="T1215" s="40"/>
      <c r="U1215" s="40">
        <v>8</v>
      </c>
      <c r="V1215" s="119">
        <v>1</v>
      </c>
      <c r="W1215" s="40">
        <v>0</v>
      </c>
      <c r="X1215" s="119">
        <v>1</v>
      </c>
      <c r="Y1215" s="40">
        <v>54</v>
      </c>
      <c r="Z1215" s="119">
        <v>1</v>
      </c>
      <c r="AA1215" s="368">
        <v>0</v>
      </c>
      <c r="AB1215" s="535">
        <v>5</v>
      </c>
      <c r="AC1215" s="39" t="s">
        <v>160</v>
      </c>
      <c r="AD1215" s="75" t="s">
        <v>10</v>
      </c>
      <c r="AE1215" s="95">
        <v>0</v>
      </c>
      <c r="AF1215" s="75">
        <v>0</v>
      </c>
      <c r="AG1215" s="75">
        <v>0</v>
      </c>
      <c r="AH1215" s="75">
        <v>0</v>
      </c>
      <c r="AI1215" s="75">
        <v>0</v>
      </c>
      <c r="AJ1215" s="75">
        <v>0</v>
      </c>
      <c r="AK1215" s="75">
        <v>0</v>
      </c>
      <c r="AL1215" s="95">
        <v>1</v>
      </c>
      <c r="AM1215" s="92">
        <v>0</v>
      </c>
      <c r="AN1215" s="79" t="s">
        <v>80</v>
      </c>
      <c r="AO1215" s="75">
        <v>1</v>
      </c>
      <c r="AP1215" s="75" t="s">
        <v>83</v>
      </c>
      <c r="AQ1215" s="122">
        <v>1</v>
      </c>
      <c r="AR1215" s="515" t="s">
        <v>10</v>
      </c>
      <c r="AS1215" s="95">
        <v>0</v>
      </c>
      <c r="AT1215" s="75">
        <v>0</v>
      </c>
      <c r="AU1215" s="75">
        <v>0</v>
      </c>
      <c r="AV1215" s="75">
        <v>0</v>
      </c>
      <c r="AW1215" s="123">
        <v>0</v>
      </c>
      <c r="AX1215" s="516"/>
      <c r="AY1215" s="75">
        <v>0</v>
      </c>
      <c r="AZ1215" s="77" t="s">
        <v>131</v>
      </c>
      <c r="BA1215" s="78" t="s">
        <v>131</v>
      </c>
      <c r="BB1215" s="78" t="s">
        <v>131</v>
      </c>
      <c r="BC1215" s="78" t="s">
        <v>131</v>
      </c>
      <c r="BD1215" s="78" t="s">
        <v>131</v>
      </c>
      <c r="BE1215" s="78" t="s">
        <v>131</v>
      </c>
      <c r="BF1215" s="78" t="s">
        <v>131</v>
      </c>
      <c r="BG1215" s="78" t="s">
        <v>132</v>
      </c>
      <c r="BH1215" s="75" t="s">
        <v>5970</v>
      </c>
      <c r="BI1215" s="295" t="s">
        <v>2265</v>
      </c>
      <c r="BJ1215" s="546">
        <v>1</v>
      </c>
      <c r="BK1215" s="294">
        <v>1</v>
      </c>
      <c r="BL1215" s="157">
        <v>1</v>
      </c>
      <c r="BM1215" s="548" t="s">
        <v>1341</v>
      </c>
      <c r="BN1215" s="548" t="s">
        <v>1339</v>
      </c>
      <c r="BO1215" s="157" t="s">
        <v>4242</v>
      </c>
      <c r="BP1215" s="548" t="s">
        <v>4041</v>
      </c>
      <c r="BQ1215" s="157" t="s">
        <v>4241</v>
      </c>
      <c r="BR1215" s="157"/>
    </row>
    <row r="1216" spans="1:70" x14ac:dyDescent="0.25">
      <c r="A1216" s="19" t="s">
        <v>3686</v>
      </c>
      <c r="B1216" s="37" t="s">
        <v>3579</v>
      </c>
      <c r="C1216" s="90">
        <v>45043.710219907407</v>
      </c>
      <c r="D1216" s="114">
        <v>45043.460219907407</v>
      </c>
      <c r="E1216" s="38">
        <v>45043</v>
      </c>
      <c r="F1216" s="91">
        <v>2023</v>
      </c>
      <c r="G1216" s="93">
        <v>4</v>
      </c>
      <c r="H1216" s="37" t="s">
        <v>1386</v>
      </c>
      <c r="I1216" s="37"/>
      <c r="J1216" s="103">
        <v>-91.8133579</v>
      </c>
      <c r="K1216" s="40">
        <v>43.597639399999998</v>
      </c>
      <c r="L1216" s="74"/>
      <c r="M1216" s="272" t="s">
        <v>3580</v>
      </c>
      <c r="N1216" s="74">
        <v>1</v>
      </c>
      <c r="O1216" s="94"/>
      <c r="P1216" s="118">
        <v>1</v>
      </c>
      <c r="Q1216" s="510">
        <v>180</v>
      </c>
      <c r="R1216" s="513">
        <v>180</v>
      </c>
      <c r="S1216" s="41"/>
      <c r="T1216" s="40"/>
      <c r="U1216" s="40">
        <v>7.5</v>
      </c>
      <c r="V1216" s="119">
        <v>1</v>
      </c>
      <c r="W1216" s="40">
        <v>0</v>
      </c>
      <c r="X1216" s="119">
        <v>1</v>
      </c>
      <c r="Y1216" s="40">
        <v>52</v>
      </c>
      <c r="Z1216" s="119">
        <v>1</v>
      </c>
      <c r="AA1216" s="368">
        <v>0</v>
      </c>
      <c r="AB1216" s="535">
        <v>5</v>
      </c>
      <c r="AC1216" s="39" t="s">
        <v>160</v>
      </c>
      <c r="AD1216" s="75" t="s">
        <v>10</v>
      </c>
      <c r="AE1216" s="95">
        <v>0</v>
      </c>
      <c r="AF1216" s="75">
        <v>0</v>
      </c>
      <c r="AG1216" s="75">
        <v>0</v>
      </c>
      <c r="AH1216" s="75">
        <v>0</v>
      </c>
      <c r="AI1216" s="75">
        <v>0</v>
      </c>
      <c r="AJ1216" s="75">
        <v>0</v>
      </c>
      <c r="AK1216" s="75">
        <v>0</v>
      </c>
      <c r="AL1216" s="95">
        <v>1</v>
      </c>
      <c r="AM1216" s="92">
        <v>0</v>
      </c>
      <c r="AN1216" s="79" t="s">
        <v>80</v>
      </c>
      <c r="AO1216" s="75">
        <v>1</v>
      </c>
      <c r="AP1216" s="75" t="s">
        <v>83</v>
      </c>
      <c r="AQ1216" s="122">
        <v>1</v>
      </c>
      <c r="AR1216" s="515" t="s">
        <v>10</v>
      </c>
      <c r="AS1216" s="95">
        <v>0</v>
      </c>
      <c r="AT1216" s="75">
        <v>0</v>
      </c>
      <c r="AU1216" s="75">
        <v>0</v>
      </c>
      <c r="AV1216" s="75">
        <v>0</v>
      </c>
      <c r="AW1216" s="123">
        <v>0</v>
      </c>
      <c r="AX1216" s="516"/>
      <c r="AY1216" s="75">
        <v>0</v>
      </c>
      <c r="AZ1216" s="77" t="s">
        <v>131</v>
      </c>
      <c r="BA1216" s="78" t="s">
        <v>131</v>
      </c>
      <c r="BB1216" s="78" t="s">
        <v>131</v>
      </c>
      <c r="BC1216" s="78" t="s">
        <v>131</v>
      </c>
      <c r="BD1216" s="78" t="s">
        <v>131</v>
      </c>
      <c r="BE1216" s="78" t="s">
        <v>131</v>
      </c>
      <c r="BF1216" s="78" t="s">
        <v>131</v>
      </c>
      <c r="BG1216" s="78" t="s">
        <v>132</v>
      </c>
      <c r="BH1216" s="75" t="s">
        <v>5970</v>
      </c>
      <c r="BI1216" s="295" t="s">
        <v>2271</v>
      </c>
      <c r="BJ1216" s="546">
        <v>1</v>
      </c>
      <c r="BK1216" s="294">
        <v>1</v>
      </c>
      <c r="BL1216" s="157">
        <v>1</v>
      </c>
      <c r="BM1216" s="548" t="s">
        <v>1341</v>
      </c>
      <c r="BN1216" s="548" t="s">
        <v>1339</v>
      </c>
      <c r="BO1216" s="157" t="s">
        <v>4245</v>
      </c>
      <c r="BP1216" s="548" t="s">
        <v>2271</v>
      </c>
      <c r="BQ1216" s="157" t="s">
        <v>4232</v>
      </c>
      <c r="BR1216" s="157"/>
    </row>
    <row r="1217" spans="1:70" x14ac:dyDescent="0.25">
      <c r="A1217" s="19" t="s">
        <v>3686</v>
      </c>
      <c r="B1217" s="37" t="s">
        <v>3581</v>
      </c>
      <c r="C1217" s="90">
        <v>45043.680347222224</v>
      </c>
      <c r="D1217" s="114">
        <v>45043.430347222224</v>
      </c>
      <c r="E1217" s="38">
        <v>45043</v>
      </c>
      <c r="F1217" s="91">
        <v>2023</v>
      </c>
      <c r="G1217" s="93">
        <v>4</v>
      </c>
      <c r="H1217" s="37" t="s">
        <v>190</v>
      </c>
      <c r="I1217" s="37" t="s">
        <v>16</v>
      </c>
      <c r="J1217" s="103">
        <v>-88.007526761156811</v>
      </c>
      <c r="K1217" s="40">
        <v>41.526100210343735</v>
      </c>
      <c r="L1217" s="74"/>
      <c r="M1217" s="272" t="s">
        <v>3582</v>
      </c>
      <c r="N1217" s="74">
        <v>1</v>
      </c>
      <c r="O1217" s="94"/>
      <c r="P1217" s="118">
        <v>1</v>
      </c>
      <c r="Q1217" s="510">
        <v>120</v>
      </c>
      <c r="R1217" s="513">
        <v>180</v>
      </c>
      <c r="S1217" s="41"/>
      <c r="T1217" s="40"/>
      <c r="U1217" s="40">
        <v>7.5</v>
      </c>
      <c r="V1217" s="119">
        <v>1</v>
      </c>
      <c r="W1217" s="40">
        <v>200</v>
      </c>
      <c r="X1217" s="119">
        <v>1</v>
      </c>
      <c r="Y1217" s="40">
        <v>55</v>
      </c>
      <c r="Z1217" s="119">
        <v>1</v>
      </c>
      <c r="AA1217" s="368">
        <v>0</v>
      </c>
      <c r="AB1217" s="535">
        <v>2</v>
      </c>
      <c r="AC1217" s="39" t="s">
        <v>160</v>
      </c>
      <c r="AD1217" s="75" t="s">
        <v>10</v>
      </c>
      <c r="AE1217" s="95">
        <v>0</v>
      </c>
      <c r="AF1217" s="75">
        <v>0</v>
      </c>
      <c r="AG1217" s="75">
        <v>0</v>
      </c>
      <c r="AH1217" s="75">
        <v>0</v>
      </c>
      <c r="AI1217" s="75">
        <v>0</v>
      </c>
      <c r="AJ1217" s="75">
        <v>0</v>
      </c>
      <c r="AK1217" s="75">
        <v>0</v>
      </c>
      <c r="AL1217" s="95">
        <v>1</v>
      </c>
      <c r="AM1217" s="92">
        <v>0</v>
      </c>
      <c r="AN1217" s="79" t="s">
        <v>80</v>
      </c>
      <c r="AO1217" s="75">
        <v>1</v>
      </c>
      <c r="AP1217" s="75" t="s">
        <v>83</v>
      </c>
      <c r="AQ1217" s="122">
        <v>1</v>
      </c>
      <c r="AR1217" s="515" t="s">
        <v>10</v>
      </c>
      <c r="AS1217" s="95">
        <v>0</v>
      </c>
      <c r="AT1217" s="75">
        <v>0</v>
      </c>
      <c r="AU1217" s="75">
        <v>0</v>
      </c>
      <c r="AV1217" s="75">
        <v>0</v>
      </c>
      <c r="AW1217" s="123">
        <v>0</v>
      </c>
      <c r="AX1217" s="516" t="s">
        <v>3583</v>
      </c>
      <c r="AY1217" s="75">
        <v>1</v>
      </c>
      <c r="AZ1217" s="77" t="s">
        <v>131</v>
      </c>
      <c r="BA1217" s="78" t="s">
        <v>131</v>
      </c>
      <c r="BB1217" s="78" t="s">
        <v>131</v>
      </c>
      <c r="BC1217" s="78" t="s">
        <v>131</v>
      </c>
      <c r="BD1217" s="78" t="s">
        <v>131</v>
      </c>
      <c r="BE1217" s="78" t="s">
        <v>131</v>
      </c>
      <c r="BF1217" s="78" t="s">
        <v>131</v>
      </c>
      <c r="BG1217" s="78" t="s">
        <v>132</v>
      </c>
      <c r="BH1217" s="75" t="s">
        <v>5970</v>
      </c>
      <c r="BI1217" s="295" t="s">
        <v>4026</v>
      </c>
      <c r="BJ1217" s="546" t="s">
        <v>16</v>
      </c>
      <c r="BK1217" s="294" t="s">
        <v>16</v>
      </c>
      <c r="BL1217" s="157" t="s">
        <v>16</v>
      </c>
      <c r="BM1217" s="548">
        <v>0</v>
      </c>
      <c r="BN1217" s="548" t="s">
        <v>2341</v>
      </c>
      <c r="BO1217" s="157" t="s">
        <v>4646</v>
      </c>
      <c r="BP1217" s="548" t="s">
        <v>4026</v>
      </c>
      <c r="BQ1217" s="157" t="s">
        <v>4645</v>
      </c>
      <c r="BR1217" s="157"/>
    </row>
    <row r="1218" spans="1:70" x14ac:dyDescent="0.25">
      <c r="A1218" s="19" t="s">
        <v>3686</v>
      </c>
      <c r="B1218" s="37" t="s">
        <v>3584</v>
      </c>
      <c r="C1218" s="90">
        <v>45042.80201388889</v>
      </c>
      <c r="D1218" s="114">
        <v>45042.55201388889</v>
      </c>
      <c r="E1218" s="38">
        <v>45042</v>
      </c>
      <c r="F1218" s="91">
        <v>2023</v>
      </c>
      <c r="G1218" s="93">
        <v>4</v>
      </c>
      <c r="H1218" s="37" t="s">
        <v>1517</v>
      </c>
      <c r="I1218" s="37"/>
      <c r="J1218" s="103">
        <v>-91.500790765925487</v>
      </c>
      <c r="K1218" s="40">
        <v>44.772768836517969</v>
      </c>
      <c r="L1218" s="74"/>
      <c r="M1218" s="272" t="s">
        <v>3585</v>
      </c>
      <c r="N1218" s="74">
        <v>1</v>
      </c>
      <c r="O1218" s="94"/>
      <c r="P1218" s="118">
        <v>1</v>
      </c>
      <c r="Q1218" s="510">
        <v>40</v>
      </c>
      <c r="R1218" s="513">
        <v>60</v>
      </c>
      <c r="S1218" s="41"/>
      <c r="T1218" s="40"/>
      <c r="U1218" s="40">
        <v>6</v>
      </c>
      <c r="V1218" s="119">
        <v>1</v>
      </c>
      <c r="W1218" s="40">
        <v>100</v>
      </c>
      <c r="X1218" s="119">
        <v>1</v>
      </c>
      <c r="Y1218" s="40">
        <v>49</v>
      </c>
      <c r="Z1218" s="119">
        <v>0</v>
      </c>
      <c r="AA1218" s="368" t="s">
        <v>16</v>
      </c>
      <c r="AB1218" s="535" t="s">
        <v>16</v>
      </c>
      <c r="AC1218" s="39" t="s">
        <v>160</v>
      </c>
      <c r="AD1218" s="75" t="s">
        <v>9</v>
      </c>
      <c r="AE1218" s="95">
        <v>0</v>
      </c>
      <c r="AF1218" s="75">
        <v>0</v>
      </c>
      <c r="AG1218" s="75">
        <v>1</v>
      </c>
      <c r="AH1218" s="75">
        <v>0</v>
      </c>
      <c r="AI1218" s="75">
        <v>0</v>
      </c>
      <c r="AJ1218" s="75">
        <v>0</v>
      </c>
      <c r="AK1218" s="75">
        <v>0</v>
      </c>
      <c r="AL1218" s="95">
        <v>0</v>
      </c>
      <c r="AM1218" s="92">
        <v>0</v>
      </c>
      <c r="AN1218" s="79" t="s">
        <v>81</v>
      </c>
      <c r="AO1218" s="75">
        <v>1</v>
      </c>
      <c r="AP1218" s="75" t="s">
        <v>84</v>
      </c>
      <c r="AQ1218" s="122">
        <v>1</v>
      </c>
      <c r="AR1218" s="515" t="s">
        <v>10</v>
      </c>
      <c r="AS1218" s="95">
        <v>0</v>
      </c>
      <c r="AT1218" s="75">
        <v>0</v>
      </c>
      <c r="AU1218" s="75">
        <v>0</v>
      </c>
      <c r="AV1218" s="75">
        <v>0</v>
      </c>
      <c r="AW1218" s="123">
        <v>0</v>
      </c>
      <c r="AX1218" s="516"/>
      <c r="AY1218" s="75">
        <v>0</v>
      </c>
      <c r="AZ1218" s="77" t="s">
        <v>131</v>
      </c>
      <c r="BA1218" s="78" t="s">
        <v>131</v>
      </c>
      <c r="BB1218" s="78" t="s">
        <v>132</v>
      </c>
      <c r="BC1218" s="78" t="s">
        <v>131</v>
      </c>
      <c r="BD1218" s="78" t="s">
        <v>131</v>
      </c>
      <c r="BE1218" s="78" t="s">
        <v>131</v>
      </c>
      <c r="BF1218" s="78" t="s">
        <v>131</v>
      </c>
      <c r="BG1218" s="78" t="s">
        <v>131</v>
      </c>
      <c r="BH1218" s="75" t="s">
        <v>5970</v>
      </c>
      <c r="BI1218" s="295" t="s">
        <v>2257</v>
      </c>
      <c r="BJ1218" s="546">
        <v>1</v>
      </c>
      <c r="BK1218" s="294" t="s">
        <v>16</v>
      </c>
      <c r="BL1218" s="157" t="s">
        <v>16</v>
      </c>
      <c r="BM1218" s="548" t="s">
        <v>1340</v>
      </c>
      <c r="BN1218" s="548" t="s">
        <v>2344</v>
      </c>
      <c r="BO1218" s="157" t="s">
        <v>4628</v>
      </c>
      <c r="BP1218" s="548" t="s">
        <v>4629</v>
      </c>
      <c r="BQ1218" s="157" t="s">
        <v>4627</v>
      </c>
      <c r="BR1218" s="157"/>
    </row>
    <row r="1219" spans="1:70" x14ac:dyDescent="0.25">
      <c r="A1219" s="19" t="s">
        <v>3686</v>
      </c>
      <c r="B1219" s="37" t="s">
        <v>3586</v>
      </c>
      <c r="C1219" s="90">
        <v>45037.94091435185</v>
      </c>
      <c r="D1219" s="114">
        <v>45037.69091435185</v>
      </c>
      <c r="E1219" s="38">
        <v>45037</v>
      </c>
      <c r="F1219" s="91">
        <v>2023</v>
      </c>
      <c r="G1219" s="93">
        <v>4</v>
      </c>
      <c r="H1219" s="37" t="s">
        <v>2761</v>
      </c>
      <c r="I1219" s="37" t="s">
        <v>16</v>
      </c>
      <c r="J1219" s="103">
        <v>-93.231380712403578</v>
      </c>
      <c r="K1219" s="40">
        <v>44.846840565365213</v>
      </c>
      <c r="L1219" s="74"/>
      <c r="M1219" s="272" t="s">
        <v>3587</v>
      </c>
      <c r="N1219" s="74">
        <v>1</v>
      </c>
      <c r="O1219" s="94"/>
      <c r="P1219" s="118">
        <v>1</v>
      </c>
      <c r="Q1219" s="510">
        <v>180</v>
      </c>
      <c r="R1219" s="513">
        <v>180</v>
      </c>
      <c r="S1219" s="41"/>
      <c r="T1219" s="40"/>
      <c r="U1219" s="40">
        <v>7.5</v>
      </c>
      <c r="V1219" s="119">
        <v>1</v>
      </c>
      <c r="W1219" s="40">
        <v>0</v>
      </c>
      <c r="X1219" s="119">
        <v>1</v>
      </c>
      <c r="Y1219" s="40">
        <v>52</v>
      </c>
      <c r="Z1219" s="119">
        <v>1</v>
      </c>
      <c r="AA1219" s="368">
        <v>0</v>
      </c>
      <c r="AB1219" s="535">
        <v>0</v>
      </c>
      <c r="AC1219" s="39" t="s">
        <v>160</v>
      </c>
      <c r="AD1219" s="75" t="s">
        <v>10</v>
      </c>
      <c r="AE1219" s="95">
        <v>0</v>
      </c>
      <c r="AF1219" s="75">
        <v>0</v>
      </c>
      <c r="AG1219" s="75">
        <v>0</v>
      </c>
      <c r="AH1219" s="75">
        <v>0</v>
      </c>
      <c r="AI1219" s="75">
        <v>0</v>
      </c>
      <c r="AJ1219" s="75">
        <v>0</v>
      </c>
      <c r="AK1219" s="75">
        <v>0</v>
      </c>
      <c r="AL1219" s="95">
        <v>1</v>
      </c>
      <c r="AM1219" s="92">
        <v>0</v>
      </c>
      <c r="AN1219" s="79" t="s">
        <v>195</v>
      </c>
      <c r="AO1219" s="75">
        <v>1</v>
      </c>
      <c r="AP1219" s="75" t="s">
        <v>83</v>
      </c>
      <c r="AQ1219" s="122">
        <v>1</v>
      </c>
      <c r="AR1219" s="515" t="s">
        <v>13</v>
      </c>
      <c r="AS1219" s="95">
        <v>1</v>
      </c>
      <c r="AT1219" s="75">
        <v>0</v>
      </c>
      <c r="AU1219" s="75">
        <v>0</v>
      </c>
      <c r="AV1219" s="75">
        <v>0</v>
      </c>
      <c r="AW1219" s="123">
        <v>0</v>
      </c>
      <c r="AX1219" s="516" t="s">
        <v>3588</v>
      </c>
      <c r="AY1219" s="75">
        <v>1</v>
      </c>
      <c r="AZ1219" s="77" t="s">
        <v>131</v>
      </c>
      <c r="BA1219" s="78" t="s">
        <v>131</v>
      </c>
      <c r="BB1219" s="78" t="s">
        <v>131</v>
      </c>
      <c r="BC1219" s="78" t="s">
        <v>131</v>
      </c>
      <c r="BD1219" s="78" t="s">
        <v>131</v>
      </c>
      <c r="BE1219" s="78" t="s">
        <v>131</v>
      </c>
      <c r="BF1219" s="78" t="s">
        <v>131</v>
      </c>
      <c r="BG1219" s="78" t="s">
        <v>132</v>
      </c>
      <c r="BH1219" s="75" t="s">
        <v>5970</v>
      </c>
      <c r="BI1219" s="295" t="s">
        <v>16</v>
      </c>
      <c r="BJ1219" s="546" t="s">
        <v>16</v>
      </c>
      <c r="BK1219" s="294" t="s">
        <v>16</v>
      </c>
      <c r="BL1219" s="157" t="s">
        <v>16</v>
      </c>
      <c r="BM1219" s="548" t="s">
        <v>2343</v>
      </c>
      <c r="BN1219" s="548" t="s">
        <v>4161</v>
      </c>
      <c r="BO1219" s="157" t="s">
        <v>4327</v>
      </c>
      <c r="BP1219" s="548" t="s">
        <v>4314</v>
      </c>
      <c r="BQ1219" s="157" t="s">
        <v>4312</v>
      </c>
      <c r="BR1219" s="157"/>
    </row>
    <row r="1220" spans="1:70" x14ac:dyDescent="0.25">
      <c r="A1220" s="19" t="s">
        <v>3686</v>
      </c>
      <c r="B1220" s="37" t="s">
        <v>3589</v>
      </c>
      <c r="C1220" s="90">
        <v>45035.871030092596</v>
      </c>
      <c r="D1220" s="114">
        <v>45035.621030092596</v>
      </c>
      <c r="E1220" s="38">
        <v>45035</v>
      </c>
      <c r="F1220" s="91">
        <v>2023</v>
      </c>
      <c r="G1220" s="93">
        <v>4</v>
      </c>
      <c r="H1220" s="37" t="s">
        <v>598</v>
      </c>
      <c r="I1220" s="37" t="s">
        <v>16</v>
      </c>
      <c r="J1220" s="103">
        <v>-91.823684688710316</v>
      </c>
      <c r="K1220" s="40">
        <v>43.642544397769008</v>
      </c>
      <c r="L1220" s="74"/>
      <c r="M1220" s="272" t="s">
        <v>3590</v>
      </c>
      <c r="N1220" s="74">
        <v>1</v>
      </c>
      <c r="O1220" s="94"/>
      <c r="P1220" s="118">
        <v>1</v>
      </c>
      <c r="Q1220" s="510">
        <v>180</v>
      </c>
      <c r="R1220" s="513">
        <v>30</v>
      </c>
      <c r="S1220" s="41"/>
      <c r="T1220" s="40"/>
      <c r="U1220" s="40">
        <v>7</v>
      </c>
      <c r="V1220" s="119">
        <v>1</v>
      </c>
      <c r="W1220" s="40">
        <v>0</v>
      </c>
      <c r="X1220" s="119">
        <v>1</v>
      </c>
      <c r="Y1220" s="40">
        <v>42</v>
      </c>
      <c r="Z1220" s="119">
        <v>1</v>
      </c>
      <c r="AA1220" s="368">
        <v>0</v>
      </c>
      <c r="AB1220" s="535">
        <v>5</v>
      </c>
      <c r="AC1220" s="39" t="s">
        <v>160</v>
      </c>
      <c r="AD1220" s="75" t="s">
        <v>10</v>
      </c>
      <c r="AE1220" s="95">
        <v>0</v>
      </c>
      <c r="AF1220" s="75">
        <v>0</v>
      </c>
      <c r="AG1220" s="75">
        <v>0</v>
      </c>
      <c r="AH1220" s="75">
        <v>0</v>
      </c>
      <c r="AI1220" s="75">
        <v>0</v>
      </c>
      <c r="AJ1220" s="75">
        <v>0</v>
      </c>
      <c r="AK1220" s="75">
        <v>0</v>
      </c>
      <c r="AL1220" s="95">
        <v>1</v>
      </c>
      <c r="AM1220" s="92">
        <v>0</v>
      </c>
      <c r="AN1220" s="79" t="s">
        <v>195</v>
      </c>
      <c r="AO1220" s="75">
        <v>1</v>
      </c>
      <c r="AP1220" s="75" t="s">
        <v>84</v>
      </c>
      <c r="AQ1220" s="122">
        <v>1</v>
      </c>
      <c r="AR1220" s="515" t="s">
        <v>13</v>
      </c>
      <c r="AS1220" s="95">
        <v>1</v>
      </c>
      <c r="AT1220" s="75">
        <v>0</v>
      </c>
      <c r="AU1220" s="75">
        <v>0</v>
      </c>
      <c r="AV1220" s="75">
        <v>0</v>
      </c>
      <c r="AW1220" s="123">
        <v>0</v>
      </c>
      <c r="AX1220" s="516" t="s">
        <v>3591</v>
      </c>
      <c r="AY1220" s="75">
        <v>1</v>
      </c>
      <c r="AZ1220" s="77" t="s">
        <v>131</v>
      </c>
      <c r="BA1220" s="78" t="s">
        <v>131</v>
      </c>
      <c r="BB1220" s="78" t="s">
        <v>131</v>
      </c>
      <c r="BC1220" s="78" t="s">
        <v>131</v>
      </c>
      <c r="BD1220" s="78" t="s">
        <v>131</v>
      </c>
      <c r="BE1220" s="78" t="s">
        <v>131</v>
      </c>
      <c r="BF1220" s="78" t="s">
        <v>131</v>
      </c>
      <c r="BG1220" s="78" t="s">
        <v>132</v>
      </c>
      <c r="BH1220" s="75" t="s">
        <v>5970</v>
      </c>
      <c r="BI1220" s="295" t="s">
        <v>16</v>
      </c>
      <c r="BJ1220" s="546">
        <v>1</v>
      </c>
      <c r="BK1220" s="294">
        <v>1</v>
      </c>
      <c r="BL1220" s="157">
        <v>1</v>
      </c>
      <c r="BM1220" s="548" t="s">
        <v>1341</v>
      </c>
      <c r="BN1220" s="548" t="s">
        <v>1339</v>
      </c>
      <c r="BO1220" s="157" t="s">
        <v>4418</v>
      </c>
      <c r="BP1220" s="548" t="s">
        <v>4419</v>
      </c>
      <c r="BQ1220" s="157" t="s">
        <v>4232</v>
      </c>
      <c r="BR1220" s="157"/>
    </row>
    <row r="1221" spans="1:70" x14ac:dyDescent="0.25">
      <c r="A1221" s="19" t="s">
        <v>3686</v>
      </c>
      <c r="B1221" s="37" t="s">
        <v>3592</v>
      </c>
      <c r="C1221" s="90">
        <v>45035.837685185186</v>
      </c>
      <c r="D1221" s="114">
        <v>45035.587685185186</v>
      </c>
      <c r="E1221" s="38">
        <v>45035</v>
      </c>
      <c r="F1221" s="91">
        <v>2023</v>
      </c>
      <c r="G1221" s="93">
        <v>4</v>
      </c>
      <c r="H1221" s="37" t="s">
        <v>598</v>
      </c>
      <c r="I1221" s="37"/>
      <c r="J1221" s="103">
        <v>-91.85003785660524</v>
      </c>
      <c r="K1221" s="40">
        <v>43.657407962984628</v>
      </c>
      <c r="L1221" s="74"/>
      <c r="M1221" s="272" t="s">
        <v>3593</v>
      </c>
      <c r="N1221" s="74">
        <v>1</v>
      </c>
      <c r="O1221" s="94"/>
      <c r="P1221" s="118">
        <v>1</v>
      </c>
      <c r="Q1221" s="510">
        <v>0</v>
      </c>
      <c r="R1221" s="513">
        <v>30</v>
      </c>
      <c r="S1221" s="41"/>
      <c r="T1221" s="40"/>
      <c r="U1221" s="40">
        <v>7.5</v>
      </c>
      <c r="V1221" s="119">
        <v>0</v>
      </c>
      <c r="W1221" s="40"/>
      <c r="X1221" s="119">
        <v>0</v>
      </c>
      <c r="Y1221" s="40"/>
      <c r="Z1221" s="119">
        <v>1</v>
      </c>
      <c r="AA1221" s="368">
        <v>0</v>
      </c>
      <c r="AB1221" s="535">
        <v>0</v>
      </c>
      <c r="AC1221" s="39" t="s">
        <v>160</v>
      </c>
      <c r="AD1221" s="75" t="s">
        <v>10</v>
      </c>
      <c r="AE1221" s="95">
        <v>0</v>
      </c>
      <c r="AF1221" s="75">
        <v>0</v>
      </c>
      <c r="AG1221" s="75">
        <v>0</v>
      </c>
      <c r="AH1221" s="75">
        <v>0</v>
      </c>
      <c r="AI1221" s="75">
        <v>0</v>
      </c>
      <c r="AJ1221" s="75">
        <v>0</v>
      </c>
      <c r="AK1221" s="75">
        <v>0</v>
      </c>
      <c r="AL1221" s="95">
        <v>1</v>
      </c>
      <c r="AM1221" s="92">
        <v>0</v>
      </c>
      <c r="AN1221" s="79" t="s">
        <v>81</v>
      </c>
      <c r="AO1221" s="75">
        <v>1</v>
      </c>
      <c r="AP1221" s="75" t="s">
        <v>84</v>
      </c>
      <c r="AQ1221" s="122">
        <v>1</v>
      </c>
      <c r="AR1221" s="515" t="s">
        <v>13</v>
      </c>
      <c r="AS1221" s="95">
        <v>1</v>
      </c>
      <c r="AT1221" s="75">
        <v>0</v>
      </c>
      <c r="AU1221" s="75">
        <v>0</v>
      </c>
      <c r="AV1221" s="75">
        <v>0</v>
      </c>
      <c r="AW1221" s="123">
        <v>0</v>
      </c>
      <c r="AX1221" s="516" t="s">
        <v>3594</v>
      </c>
      <c r="AY1221" s="75">
        <v>1</v>
      </c>
      <c r="AZ1221" s="77" t="s">
        <v>131</v>
      </c>
      <c r="BA1221" s="78" t="s">
        <v>131</v>
      </c>
      <c r="BB1221" s="78" t="s">
        <v>131</v>
      </c>
      <c r="BC1221" s="78" t="s">
        <v>131</v>
      </c>
      <c r="BD1221" s="78" t="s">
        <v>131</v>
      </c>
      <c r="BE1221" s="78" t="s">
        <v>131</v>
      </c>
      <c r="BF1221" s="78" t="s">
        <v>131</v>
      </c>
      <c r="BG1221" s="78" t="s">
        <v>132</v>
      </c>
      <c r="BH1221" s="75" t="s">
        <v>5970</v>
      </c>
      <c r="BI1221" s="295" t="s">
        <v>3972</v>
      </c>
      <c r="BJ1221" s="546">
        <v>1</v>
      </c>
      <c r="BK1221" s="294" t="s">
        <v>16</v>
      </c>
      <c r="BL1221" s="157" t="s">
        <v>16</v>
      </c>
      <c r="BM1221" s="548" t="s">
        <v>1339</v>
      </c>
      <c r="BN1221" s="548" t="s">
        <v>1339</v>
      </c>
      <c r="BO1221" s="157" t="s">
        <v>4418</v>
      </c>
      <c r="BP1221" s="548" t="s">
        <v>4419</v>
      </c>
      <c r="BQ1221" s="157" t="s">
        <v>4232</v>
      </c>
      <c r="BR1221" s="157"/>
    </row>
    <row r="1222" spans="1:70" x14ac:dyDescent="0.25">
      <c r="A1222" s="19" t="s">
        <v>3686</v>
      </c>
      <c r="B1222" s="37" t="s">
        <v>3595</v>
      </c>
      <c r="C1222" s="90">
        <v>45034.970821759256</v>
      </c>
      <c r="D1222" s="114">
        <v>45034.720821759256</v>
      </c>
      <c r="E1222" s="38">
        <v>45034</v>
      </c>
      <c r="F1222" s="91">
        <v>2023</v>
      </c>
      <c r="G1222" s="93">
        <v>4</v>
      </c>
      <c r="H1222" s="37" t="s">
        <v>602</v>
      </c>
      <c r="I1222" s="37"/>
      <c r="J1222" s="103">
        <v>-91.987383300000005</v>
      </c>
      <c r="K1222" s="40">
        <v>44.0768767</v>
      </c>
      <c r="L1222" s="74"/>
      <c r="M1222" s="272" t="s">
        <v>3596</v>
      </c>
      <c r="N1222" s="74">
        <v>1</v>
      </c>
      <c r="O1222" s="94"/>
      <c r="P1222" s="118">
        <v>1</v>
      </c>
      <c r="Q1222" s="510">
        <v>80</v>
      </c>
      <c r="R1222" s="513">
        <v>120</v>
      </c>
      <c r="S1222" s="41"/>
      <c r="T1222" s="40"/>
      <c r="U1222" s="40">
        <v>7</v>
      </c>
      <c r="V1222" s="119">
        <v>1</v>
      </c>
      <c r="W1222" s="40">
        <v>200</v>
      </c>
      <c r="X1222" s="119">
        <v>1</v>
      </c>
      <c r="Y1222" s="40">
        <v>54</v>
      </c>
      <c r="Z1222" s="119">
        <v>1</v>
      </c>
      <c r="AA1222" s="368">
        <v>0</v>
      </c>
      <c r="AB1222" s="535">
        <v>5</v>
      </c>
      <c r="AC1222" s="39" t="s">
        <v>160</v>
      </c>
      <c r="AD1222" s="75" t="s">
        <v>10</v>
      </c>
      <c r="AE1222" s="95">
        <v>0</v>
      </c>
      <c r="AF1222" s="75">
        <v>0</v>
      </c>
      <c r="AG1222" s="75">
        <v>0</v>
      </c>
      <c r="AH1222" s="75">
        <v>0</v>
      </c>
      <c r="AI1222" s="75">
        <v>0</v>
      </c>
      <c r="AJ1222" s="75">
        <v>0</v>
      </c>
      <c r="AK1222" s="75">
        <v>0</v>
      </c>
      <c r="AL1222" s="95">
        <v>1</v>
      </c>
      <c r="AM1222" s="92">
        <v>0</v>
      </c>
      <c r="AN1222" s="79" t="s">
        <v>81</v>
      </c>
      <c r="AO1222" s="75">
        <v>1</v>
      </c>
      <c r="AP1222" s="75" t="s">
        <v>84</v>
      </c>
      <c r="AQ1222" s="122">
        <v>1</v>
      </c>
      <c r="AR1222" s="515" t="s">
        <v>58</v>
      </c>
      <c r="AS1222" s="95">
        <v>0</v>
      </c>
      <c r="AT1222" s="75">
        <v>0</v>
      </c>
      <c r="AU1222" s="75">
        <v>1</v>
      </c>
      <c r="AV1222" s="75">
        <v>0</v>
      </c>
      <c r="AW1222" s="123">
        <v>0</v>
      </c>
      <c r="AX1222" s="516"/>
      <c r="AY1222" s="75">
        <v>0</v>
      </c>
      <c r="AZ1222" s="77" t="s">
        <v>131</v>
      </c>
      <c r="BA1222" s="78" t="s">
        <v>131</v>
      </c>
      <c r="BB1222" s="78" t="s">
        <v>131</v>
      </c>
      <c r="BC1222" s="78" t="s">
        <v>131</v>
      </c>
      <c r="BD1222" s="78" t="s">
        <v>131</v>
      </c>
      <c r="BE1222" s="78" t="s">
        <v>131</v>
      </c>
      <c r="BF1222" s="78" t="s">
        <v>131</v>
      </c>
      <c r="BG1222" s="78" t="s">
        <v>132</v>
      </c>
      <c r="BH1222" s="75" t="s">
        <v>5970</v>
      </c>
      <c r="BI1222" s="295" t="s">
        <v>2255</v>
      </c>
      <c r="BJ1222" s="546">
        <v>1</v>
      </c>
      <c r="BK1222" s="294" t="s">
        <v>16</v>
      </c>
      <c r="BL1222" s="157" t="s">
        <v>16</v>
      </c>
      <c r="BM1222" s="548" t="s">
        <v>1341</v>
      </c>
      <c r="BN1222" s="548" t="s">
        <v>1339</v>
      </c>
      <c r="BO1222" s="157" t="s">
        <v>4362</v>
      </c>
      <c r="BP1222" s="548" t="s">
        <v>4363</v>
      </c>
      <c r="BQ1222" s="157" t="s">
        <v>4361</v>
      </c>
      <c r="BR1222" s="157"/>
    </row>
    <row r="1223" spans="1:70" x14ac:dyDescent="0.25">
      <c r="A1223" s="19" t="s">
        <v>3686</v>
      </c>
      <c r="B1223" s="37" t="s">
        <v>3597</v>
      </c>
      <c r="C1223" s="90">
        <v>45034.917881944442</v>
      </c>
      <c r="D1223" s="114">
        <v>45034.667881944442</v>
      </c>
      <c r="E1223" s="38">
        <v>45034</v>
      </c>
      <c r="F1223" s="91">
        <v>2023</v>
      </c>
      <c r="G1223" s="93">
        <v>4</v>
      </c>
      <c r="H1223" s="37" t="s">
        <v>606</v>
      </c>
      <c r="I1223" s="37" t="s">
        <v>16</v>
      </c>
      <c r="J1223" s="103">
        <v>-92.235993597612122</v>
      </c>
      <c r="K1223" s="40">
        <v>44.230805567912846</v>
      </c>
      <c r="L1223" s="74"/>
      <c r="M1223" s="272" t="s">
        <v>3598</v>
      </c>
      <c r="N1223" s="74">
        <v>1</v>
      </c>
      <c r="O1223" s="94"/>
      <c r="P1223" s="118">
        <v>1</v>
      </c>
      <c r="Q1223" s="510">
        <v>180</v>
      </c>
      <c r="R1223" s="513">
        <v>180</v>
      </c>
      <c r="S1223" s="41"/>
      <c r="T1223" s="40"/>
      <c r="U1223" s="40">
        <v>7.5</v>
      </c>
      <c r="V1223" s="119">
        <v>1</v>
      </c>
      <c r="W1223" s="40">
        <v>100</v>
      </c>
      <c r="X1223" s="119">
        <v>1</v>
      </c>
      <c r="Y1223" s="40">
        <v>55</v>
      </c>
      <c r="Z1223" s="119">
        <v>1</v>
      </c>
      <c r="AA1223" s="368">
        <v>0</v>
      </c>
      <c r="AB1223" s="535">
        <v>2</v>
      </c>
      <c r="AC1223" s="39"/>
      <c r="AD1223" s="75" t="s">
        <v>10</v>
      </c>
      <c r="AE1223" s="95">
        <v>0</v>
      </c>
      <c r="AF1223" s="75">
        <v>0</v>
      </c>
      <c r="AG1223" s="75">
        <v>0</v>
      </c>
      <c r="AH1223" s="75">
        <v>0</v>
      </c>
      <c r="AI1223" s="75">
        <v>0</v>
      </c>
      <c r="AJ1223" s="75">
        <v>0</v>
      </c>
      <c r="AK1223" s="75">
        <v>0</v>
      </c>
      <c r="AL1223" s="95">
        <v>1</v>
      </c>
      <c r="AM1223" s="92">
        <v>0</v>
      </c>
      <c r="AN1223" s="79" t="s">
        <v>80</v>
      </c>
      <c r="AO1223" s="75">
        <v>1</v>
      </c>
      <c r="AP1223" s="75" t="s">
        <v>83</v>
      </c>
      <c r="AQ1223" s="122">
        <v>1</v>
      </c>
      <c r="AR1223" s="515" t="s">
        <v>10</v>
      </c>
      <c r="AS1223" s="95">
        <v>0</v>
      </c>
      <c r="AT1223" s="75">
        <v>0</v>
      </c>
      <c r="AU1223" s="75">
        <v>0</v>
      </c>
      <c r="AV1223" s="75">
        <v>0</v>
      </c>
      <c r="AW1223" s="123">
        <v>0</v>
      </c>
      <c r="AX1223" s="516" t="s">
        <v>3599</v>
      </c>
      <c r="AY1223" s="75">
        <v>1</v>
      </c>
      <c r="AZ1223" s="77" t="s">
        <v>131</v>
      </c>
      <c r="BA1223" s="78" t="s">
        <v>131</v>
      </c>
      <c r="BB1223" s="78" t="s">
        <v>131</v>
      </c>
      <c r="BC1223" s="78" t="s">
        <v>131</v>
      </c>
      <c r="BD1223" s="78" t="s">
        <v>131</v>
      </c>
      <c r="BE1223" s="78" t="s">
        <v>131</v>
      </c>
      <c r="BF1223" s="78" t="s">
        <v>131</v>
      </c>
      <c r="BG1223" s="78" t="s">
        <v>132</v>
      </c>
      <c r="BH1223" s="75" t="s">
        <v>5970</v>
      </c>
      <c r="BI1223" s="295" t="s">
        <v>3966</v>
      </c>
      <c r="BJ1223" s="546">
        <v>1</v>
      </c>
      <c r="BK1223" s="294">
        <v>1</v>
      </c>
      <c r="BL1223" s="157">
        <v>1</v>
      </c>
      <c r="BM1223" s="548" t="s">
        <v>1339</v>
      </c>
      <c r="BN1223" s="548" t="s">
        <v>1339</v>
      </c>
      <c r="BO1223" s="157" t="s">
        <v>4334</v>
      </c>
      <c r="BP1223" s="548" t="s">
        <v>3966</v>
      </c>
      <c r="BQ1223" s="157" t="s">
        <v>4330</v>
      </c>
      <c r="BR1223" s="157"/>
    </row>
    <row r="1224" spans="1:70" x14ac:dyDescent="0.25">
      <c r="A1224" s="19" t="s">
        <v>3686</v>
      </c>
      <c r="B1224" s="37" t="s">
        <v>3600</v>
      </c>
      <c r="C1224" s="90">
        <v>45031.954351851855</v>
      </c>
      <c r="D1224" s="114">
        <v>45031.704351851855</v>
      </c>
      <c r="E1224" s="38">
        <v>45031</v>
      </c>
      <c r="F1224" s="91">
        <v>2023</v>
      </c>
      <c r="G1224" s="93">
        <v>4</v>
      </c>
      <c r="H1224" s="37" t="s">
        <v>621</v>
      </c>
      <c r="I1224" s="37" t="s">
        <v>960</v>
      </c>
      <c r="J1224" s="103">
        <v>-93.008993938651884</v>
      </c>
      <c r="K1224" s="40">
        <v>44.657211969648166</v>
      </c>
      <c r="L1224" s="74"/>
      <c r="M1224" s="272" t="s">
        <v>16</v>
      </c>
      <c r="N1224" s="74">
        <v>0</v>
      </c>
      <c r="O1224" s="94"/>
      <c r="P1224" s="118">
        <v>1</v>
      </c>
      <c r="Q1224" s="510">
        <v>180</v>
      </c>
      <c r="R1224" s="513">
        <v>180</v>
      </c>
      <c r="S1224" s="41"/>
      <c r="T1224" s="40"/>
      <c r="U1224" s="40">
        <v>7</v>
      </c>
      <c r="V1224" s="119">
        <v>1</v>
      </c>
      <c r="W1224" s="40">
        <v>0</v>
      </c>
      <c r="X1224" s="119">
        <v>1</v>
      </c>
      <c r="Y1224" s="40">
        <v>51</v>
      </c>
      <c r="Z1224" s="119">
        <v>1</v>
      </c>
      <c r="AA1224" s="368">
        <v>0</v>
      </c>
      <c r="AB1224" s="535">
        <v>2</v>
      </c>
      <c r="AC1224" s="39" t="s">
        <v>160</v>
      </c>
      <c r="AD1224" s="75" t="s">
        <v>10</v>
      </c>
      <c r="AE1224" s="95">
        <v>0</v>
      </c>
      <c r="AF1224" s="75">
        <v>0</v>
      </c>
      <c r="AG1224" s="75">
        <v>0</v>
      </c>
      <c r="AH1224" s="75">
        <v>0</v>
      </c>
      <c r="AI1224" s="75">
        <v>0</v>
      </c>
      <c r="AJ1224" s="75">
        <v>0</v>
      </c>
      <c r="AK1224" s="75">
        <v>0</v>
      </c>
      <c r="AL1224" s="95">
        <v>1</v>
      </c>
      <c r="AM1224" s="92">
        <v>0</v>
      </c>
      <c r="AN1224" s="79" t="s">
        <v>195</v>
      </c>
      <c r="AO1224" s="75">
        <v>1</v>
      </c>
      <c r="AP1224" s="75" t="s">
        <v>84</v>
      </c>
      <c r="AQ1224" s="122">
        <v>1</v>
      </c>
      <c r="AR1224" s="515" t="s">
        <v>226</v>
      </c>
      <c r="AS1224" s="95">
        <v>1</v>
      </c>
      <c r="AT1224" s="75">
        <v>0</v>
      </c>
      <c r="AU1224" s="75">
        <v>1</v>
      </c>
      <c r="AV1224" s="75">
        <v>0</v>
      </c>
      <c r="AW1224" s="123">
        <v>0</v>
      </c>
      <c r="AX1224" s="516"/>
      <c r="AY1224" s="75">
        <v>0</v>
      </c>
      <c r="AZ1224" s="77" t="s">
        <v>131</v>
      </c>
      <c r="BA1224" s="78" t="s">
        <v>131</v>
      </c>
      <c r="BB1224" s="78" t="s">
        <v>131</v>
      </c>
      <c r="BC1224" s="78" t="s">
        <v>131</v>
      </c>
      <c r="BD1224" s="78" t="s">
        <v>131</v>
      </c>
      <c r="BE1224" s="78" t="s">
        <v>131</v>
      </c>
      <c r="BF1224" s="78" t="s">
        <v>131</v>
      </c>
      <c r="BG1224" s="78" t="s">
        <v>132</v>
      </c>
      <c r="BH1224" s="75" t="s">
        <v>5970</v>
      </c>
      <c r="BI1224" s="295" t="s">
        <v>2225</v>
      </c>
      <c r="BJ1224" s="546">
        <v>1</v>
      </c>
      <c r="BK1224" s="294" t="s">
        <v>16</v>
      </c>
      <c r="BL1224" s="157" t="s">
        <v>16</v>
      </c>
      <c r="BM1224" s="548" t="s">
        <v>2343</v>
      </c>
      <c r="BN1224" s="548" t="s">
        <v>4161</v>
      </c>
      <c r="BO1224" s="157" t="s">
        <v>4293</v>
      </c>
      <c r="BP1224" s="548" t="s">
        <v>2225</v>
      </c>
      <c r="BQ1224" s="157" t="s">
        <v>4292</v>
      </c>
      <c r="BR1224" s="157"/>
    </row>
    <row r="1225" spans="1:70" x14ac:dyDescent="0.25">
      <c r="A1225" s="19" t="s">
        <v>3686</v>
      </c>
      <c r="B1225" s="37" t="s">
        <v>3601</v>
      </c>
      <c r="C1225" s="90">
        <v>45031.671967592592</v>
      </c>
      <c r="D1225" s="114">
        <v>45031.421967592592</v>
      </c>
      <c r="E1225" s="38">
        <v>45031</v>
      </c>
      <c r="F1225" s="91">
        <v>2023</v>
      </c>
      <c r="G1225" s="93">
        <v>4</v>
      </c>
      <c r="H1225" s="37" t="s">
        <v>1517</v>
      </c>
      <c r="I1225" s="37"/>
      <c r="J1225" s="103">
        <v>-91.408014768458756</v>
      </c>
      <c r="K1225" s="40">
        <v>44.759587501041416</v>
      </c>
      <c r="L1225" s="74"/>
      <c r="M1225" s="272" t="s">
        <v>16</v>
      </c>
      <c r="N1225" s="74">
        <v>0</v>
      </c>
      <c r="O1225" s="94"/>
      <c r="P1225" s="118">
        <v>1</v>
      </c>
      <c r="Q1225" s="510">
        <v>40</v>
      </c>
      <c r="R1225" s="513">
        <v>60</v>
      </c>
      <c r="S1225" s="41"/>
      <c r="T1225" s="40"/>
      <c r="U1225" s="40">
        <v>7</v>
      </c>
      <c r="V1225" s="119">
        <v>1</v>
      </c>
      <c r="W1225" s="40">
        <v>100</v>
      </c>
      <c r="X1225" s="119">
        <v>1</v>
      </c>
      <c r="Y1225" s="40">
        <v>56</v>
      </c>
      <c r="Z1225" s="119">
        <v>1</v>
      </c>
      <c r="AA1225" s="368">
        <v>0</v>
      </c>
      <c r="AB1225" s="535">
        <v>0</v>
      </c>
      <c r="AC1225" s="39" t="s">
        <v>160</v>
      </c>
      <c r="AD1225" s="75" t="s">
        <v>8</v>
      </c>
      <c r="AE1225" s="95">
        <v>0</v>
      </c>
      <c r="AF1225" s="75">
        <v>1</v>
      </c>
      <c r="AG1225" s="75">
        <v>0</v>
      </c>
      <c r="AH1225" s="75">
        <v>0</v>
      </c>
      <c r="AI1225" s="75">
        <v>0</v>
      </c>
      <c r="AJ1225" s="75">
        <v>0</v>
      </c>
      <c r="AK1225" s="75">
        <v>0</v>
      </c>
      <c r="AL1225" s="95">
        <v>0</v>
      </c>
      <c r="AM1225" s="92">
        <v>0</v>
      </c>
      <c r="AN1225" s="79" t="s">
        <v>81</v>
      </c>
      <c r="AO1225" s="75">
        <v>1</v>
      </c>
      <c r="AP1225" s="75" t="s">
        <v>84</v>
      </c>
      <c r="AQ1225" s="122">
        <v>1</v>
      </c>
      <c r="AR1225" s="515" t="s">
        <v>58</v>
      </c>
      <c r="AS1225" s="95">
        <v>0</v>
      </c>
      <c r="AT1225" s="75">
        <v>0</v>
      </c>
      <c r="AU1225" s="75">
        <v>1</v>
      </c>
      <c r="AV1225" s="75">
        <v>0</v>
      </c>
      <c r="AW1225" s="123">
        <v>0</v>
      </c>
      <c r="AX1225" s="516" t="s">
        <v>16</v>
      </c>
      <c r="AY1225" s="75">
        <v>0</v>
      </c>
      <c r="AZ1225" s="77" t="s">
        <v>131</v>
      </c>
      <c r="BA1225" s="78" t="s">
        <v>132</v>
      </c>
      <c r="BB1225" s="78" t="s">
        <v>131</v>
      </c>
      <c r="BC1225" s="78" t="s">
        <v>131</v>
      </c>
      <c r="BD1225" s="78" t="s">
        <v>131</v>
      </c>
      <c r="BE1225" s="78" t="s">
        <v>131</v>
      </c>
      <c r="BF1225" s="78" t="s">
        <v>131</v>
      </c>
      <c r="BG1225" s="78" t="s">
        <v>131</v>
      </c>
      <c r="BH1225" s="75" t="s">
        <v>5970</v>
      </c>
      <c r="BI1225" s="295" t="s">
        <v>2264</v>
      </c>
      <c r="BJ1225" s="546">
        <v>1</v>
      </c>
      <c r="BK1225" s="294" t="s">
        <v>16</v>
      </c>
      <c r="BL1225" s="157" t="s">
        <v>16</v>
      </c>
      <c r="BM1225" s="548" t="s">
        <v>1340</v>
      </c>
      <c r="BN1225" s="548" t="s">
        <v>2344</v>
      </c>
      <c r="BO1225" s="157" t="s">
        <v>4634</v>
      </c>
      <c r="BP1225" s="548" t="s">
        <v>2264</v>
      </c>
      <c r="BQ1225" s="157" t="s">
        <v>4633</v>
      </c>
      <c r="BR1225" s="157"/>
    </row>
    <row r="1226" spans="1:70" x14ac:dyDescent="0.25">
      <c r="A1226" s="19" t="s">
        <v>3686</v>
      </c>
      <c r="B1226" s="37" t="s">
        <v>3602</v>
      </c>
      <c r="C1226" s="90">
        <v>45030.838379629633</v>
      </c>
      <c r="D1226" s="114">
        <v>45030.588379629633</v>
      </c>
      <c r="E1226" s="38">
        <v>45030</v>
      </c>
      <c r="F1226" s="91">
        <v>2023</v>
      </c>
      <c r="G1226" s="93">
        <v>4</v>
      </c>
      <c r="H1226" s="37" t="s">
        <v>302</v>
      </c>
      <c r="I1226" s="37"/>
      <c r="J1226" s="103">
        <v>-91.58382270350576</v>
      </c>
      <c r="K1226" s="40">
        <v>43.670285576158534</v>
      </c>
      <c r="L1226" s="74"/>
      <c r="M1226" s="272" t="s">
        <v>16</v>
      </c>
      <c r="N1226" s="74">
        <v>0</v>
      </c>
      <c r="O1226" s="94"/>
      <c r="P1226" s="118">
        <v>1</v>
      </c>
      <c r="Q1226" s="510">
        <v>180</v>
      </c>
      <c r="R1226" s="513">
        <v>120</v>
      </c>
      <c r="S1226" s="41"/>
      <c r="T1226" s="40"/>
      <c r="U1226" s="40">
        <v>7.5</v>
      </c>
      <c r="V1226" s="119">
        <v>1</v>
      </c>
      <c r="W1226" s="40">
        <v>200</v>
      </c>
      <c r="X1226" s="119">
        <v>0</v>
      </c>
      <c r="Y1226" s="40"/>
      <c r="Z1226" s="119">
        <v>1</v>
      </c>
      <c r="AA1226" s="368">
        <v>0</v>
      </c>
      <c r="AB1226" s="535">
        <v>2</v>
      </c>
      <c r="AC1226" s="39" t="s">
        <v>160</v>
      </c>
      <c r="AD1226" s="75" t="s">
        <v>10</v>
      </c>
      <c r="AE1226" s="95">
        <v>0</v>
      </c>
      <c r="AF1226" s="75">
        <v>0</v>
      </c>
      <c r="AG1226" s="75">
        <v>0</v>
      </c>
      <c r="AH1226" s="75">
        <v>0</v>
      </c>
      <c r="AI1226" s="75">
        <v>0</v>
      </c>
      <c r="AJ1226" s="75">
        <v>0</v>
      </c>
      <c r="AK1226" s="75">
        <v>0</v>
      </c>
      <c r="AL1226" s="95">
        <v>1</v>
      </c>
      <c r="AM1226" s="92">
        <v>0</v>
      </c>
      <c r="AN1226" s="79" t="s">
        <v>80</v>
      </c>
      <c r="AO1226" s="75">
        <v>1</v>
      </c>
      <c r="AP1226" s="75" t="s">
        <v>83</v>
      </c>
      <c r="AQ1226" s="122">
        <v>1</v>
      </c>
      <c r="AR1226" s="515" t="s">
        <v>10</v>
      </c>
      <c r="AS1226" s="95">
        <v>0</v>
      </c>
      <c r="AT1226" s="75">
        <v>0</v>
      </c>
      <c r="AU1226" s="75">
        <v>0</v>
      </c>
      <c r="AV1226" s="75">
        <v>0</v>
      </c>
      <c r="AW1226" s="123">
        <v>0</v>
      </c>
      <c r="AX1226" s="516" t="s">
        <v>3603</v>
      </c>
      <c r="AY1226" s="75">
        <v>1</v>
      </c>
      <c r="AZ1226" s="77" t="s">
        <v>131</v>
      </c>
      <c r="BA1226" s="78" t="s">
        <v>131</v>
      </c>
      <c r="BB1226" s="78" t="s">
        <v>131</v>
      </c>
      <c r="BC1226" s="78" t="s">
        <v>131</v>
      </c>
      <c r="BD1226" s="78" t="s">
        <v>131</v>
      </c>
      <c r="BE1226" s="78" t="s">
        <v>131</v>
      </c>
      <c r="BF1226" s="78" t="s">
        <v>131</v>
      </c>
      <c r="BG1226" s="78" t="s">
        <v>132</v>
      </c>
      <c r="BH1226" s="75" t="s">
        <v>5970</v>
      </c>
      <c r="BI1226" s="295" t="s">
        <v>307</v>
      </c>
      <c r="BJ1226" s="546">
        <v>1</v>
      </c>
      <c r="BK1226" s="294" t="s">
        <v>16</v>
      </c>
      <c r="BL1226" s="157" t="s">
        <v>16</v>
      </c>
      <c r="BM1226" s="548" t="s">
        <v>1341</v>
      </c>
      <c r="BN1226" s="548" t="s">
        <v>4160</v>
      </c>
      <c r="BO1226" s="157" t="s">
        <v>4233</v>
      </c>
      <c r="BP1226" s="548" t="s">
        <v>307</v>
      </c>
      <c r="BQ1226" s="157" t="s">
        <v>4232</v>
      </c>
      <c r="BR1226" s="157"/>
    </row>
    <row r="1227" spans="1:70" x14ac:dyDescent="0.25">
      <c r="A1227" s="19" t="s">
        <v>3686</v>
      </c>
      <c r="B1227" s="37" t="s">
        <v>3604</v>
      </c>
      <c r="C1227" s="90">
        <v>45030.817928240744</v>
      </c>
      <c r="D1227" s="114">
        <v>45030.567928240744</v>
      </c>
      <c r="E1227" s="38">
        <v>45030</v>
      </c>
      <c r="F1227" s="91">
        <v>2023</v>
      </c>
      <c r="G1227" s="93">
        <v>4</v>
      </c>
      <c r="H1227" s="37" t="s">
        <v>617</v>
      </c>
      <c r="I1227" s="37" t="s">
        <v>2362</v>
      </c>
      <c r="J1227" s="103">
        <v>-92.284249798254564</v>
      </c>
      <c r="K1227" s="40">
        <v>44.542191935473902</v>
      </c>
      <c r="L1227" s="74"/>
      <c r="M1227" s="272" t="s">
        <v>16</v>
      </c>
      <c r="N1227" s="74">
        <v>0</v>
      </c>
      <c r="O1227" s="94"/>
      <c r="P1227" s="118">
        <v>1</v>
      </c>
      <c r="Q1227" s="510">
        <v>180</v>
      </c>
      <c r="R1227" s="513">
        <v>120</v>
      </c>
      <c r="S1227" s="41"/>
      <c r="T1227" s="40"/>
      <c r="U1227" s="40">
        <v>7.5</v>
      </c>
      <c r="V1227" s="119">
        <v>1</v>
      </c>
      <c r="W1227" s="40">
        <v>0</v>
      </c>
      <c r="X1227" s="119">
        <v>1</v>
      </c>
      <c r="Y1227" s="40">
        <v>58</v>
      </c>
      <c r="Z1227" s="119">
        <v>1</v>
      </c>
      <c r="AA1227" s="368">
        <v>0</v>
      </c>
      <c r="AB1227" s="535">
        <v>2</v>
      </c>
      <c r="AC1227" s="39" t="s">
        <v>160</v>
      </c>
      <c r="AD1227" s="75" t="s">
        <v>10</v>
      </c>
      <c r="AE1227" s="95">
        <v>0</v>
      </c>
      <c r="AF1227" s="75">
        <v>0</v>
      </c>
      <c r="AG1227" s="75">
        <v>0</v>
      </c>
      <c r="AH1227" s="75">
        <v>0</v>
      </c>
      <c r="AI1227" s="75">
        <v>0</v>
      </c>
      <c r="AJ1227" s="75">
        <v>0</v>
      </c>
      <c r="AK1227" s="75">
        <v>0</v>
      </c>
      <c r="AL1227" s="95">
        <v>1</v>
      </c>
      <c r="AM1227" s="92">
        <v>0</v>
      </c>
      <c r="AN1227" s="79" t="s">
        <v>80</v>
      </c>
      <c r="AO1227" s="75">
        <v>1</v>
      </c>
      <c r="AP1227" s="75" t="s">
        <v>83</v>
      </c>
      <c r="AQ1227" s="122">
        <v>1</v>
      </c>
      <c r="AR1227" s="515" t="s">
        <v>58</v>
      </c>
      <c r="AS1227" s="95">
        <v>0</v>
      </c>
      <c r="AT1227" s="75">
        <v>0</v>
      </c>
      <c r="AU1227" s="75">
        <v>1</v>
      </c>
      <c r="AV1227" s="75">
        <v>0</v>
      </c>
      <c r="AW1227" s="123">
        <v>0</v>
      </c>
      <c r="AX1227" s="516"/>
      <c r="AY1227" s="75">
        <v>0</v>
      </c>
      <c r="AZ1227" s="77" t="s">
        <v>131</v>
      </c>
      <c r="BA1227" s="78" t="s">
        <v>131</v>
      </c>
      <c r="BB1227" s="78" t="s">
        <v>131</v>
      </c>
      <c r="BC1227" s="78" t="s">
        <v>131</v>
      </c>
      <c r="BD1227" s="78" t="s">
        <v>131</v>
      </c>
      <c r="BE1227" s="78" t="s">
        <v>131</v>
      </c>
      <c r="BF1227" s="78" t="s">
        <v>131</v>
      </c>
      <c r="BG1227" s="78" t="s">
        <v>132</v>
      </c>
      <c r="BH1227" s="75" t="s">
        <v>5970</v>
      </c>
      <c r="BI1227" s="295" t="s">
        <v>2261</v>
      </c>
      <c r="BJ1227" s="546">
        <v>1</v>
      </c>
      <c r="BK1227" s="294">
        <v>1</v>
      </c>
      <c r="BL1227" s="157">
        <v>1</v>
      </c>
      <c r="BM1227" s="548" t="s">
        <v>1340</v>
      </c>
      <c r="BN1227" s="548" t="s">
        <v>578</v>
      </c>
      <c r="BO1227" s="157" t="s">
        <v>4268</v>
      </c>
      <c r="BP1227" s="548" t="s">
        <v>2261</v>
      </c>
      <c r="BQ1227" s="157" t="s">
        <v>4214</v>
      </c>
      <c r="BR1227" s="157"/>
    </row>
    <row r="1228" spans="1:70" x14ac:dyDescent="0.25">
      <c r="A1228" s="19" t="s">
        <v>3686</v>
      </c>
      <c r="B1228" s="37" t="s">
        <v>3605</v>
      </c>
      <c r="C1228" s="90">
        <v>45030.72314814815</v>
      </c>
      <c r="D1228" s="114">
        <v>45030.47314814815</v>
      </c>
      <c r="E1228" s="38">
        <v>45030</v>
      </c>
      <c r="F1228" s="91">
        <v>2023</v>
      </c>
      <c r="G1228" s="93">
        <v>4</v>
      </c>
      <c r="H1228" s="37" t="s">
        <v>1386</v>
      </c>
      <c r="I1228" s="37"/>
      <c r="J1228" s="103">
        <v>-92.294288399999999</v>
      </c>
      <c r="K1228" s="40">
        <v>43.728038300000001</v>
      </c>
      <c r="L1228" s="74"/>
      <c r="M1228" s="272" t="s">
        <v>3606</v>
      </c>
      <c r="N1228" s="74">
        <v>1</v>
      </c>
      <c r="O1228" s="94"/>
      <c r="P1228" s="118">
        <v>1</v>
      </c>
      <c r="Q1228" s="510">
        <v>80</v>
      </c>
      <c r="R1228" s="513">
        <v>0</v>
      </c>
      <c r="S1228" s="41"/>
      <c r="T1228" s="40"/>
      <c r="U1228" s="40">
        <v>7.5</v>
      </c>
      <c r="V1228" s="119">
        <v>1</v>
      </c>
      <c r="W1228" s="40">
        <v>100</v>
      </c>
      <c r="X1228" s="119">
        <v>1</v>
      </c>
      <c r="Y1228" s="40">
        <v>56</v>
      </c>
      <c r="Z1228" s="119">
        <v>1</v>
      </c>
      <c r="AA1228" s="368">
        <v>0</v>
      </c>
      <c r="AB1228" s="535">
        <v>5</v>
      </c>
      <c r="AC1228" s="39" t="s">
        <v>160</v>
      </c>
      <c r="AD1228" s="75" t="s">
        <v>10</v>
      </c>
      <c r="AE1228" s="95">
        <v>0</v>
      </c>
      <c r="AF1228" s="75">
        <v>0</v>
      </c>
      <c r="AG1228" s="75">
        <v>0</v>
      </c>
      <c r="AH1228" s="75">
        <v>0</v>
      </c>
      <c r="AI1228" s="75">
        <v>0</v>
      </c>
      <c r="AJ1228" s="75">
        <v>0</v>
      </c>
      <c r="AK1228" s="75">
        <v>0</v>
      </c>
      <c r="AL1228" s="95">
        <v>1</v>
      </c>
      <c r="AM1228" s="92">
        <v>0</v>
      </c>
      <c r="AN1228" s="79" t="s">
        <v>80</v>
      </c>
      <c r="AO1228" s="75">
        <v>1</v>
      </c>
      <c r="AP1228" s="75" t="s">
        <v>83</v>
      </c>
      <c r="AQ1228" s="122">
        <v>1</v>
      </c>
      <c r="AR1228" s="515" t="s">
        <v>10</v>
      </c>
      <c r="AS1228" s="95">
        <v>0</v>
      </c>
      <c r="AT1228" s="75">
        <v>0</v>
      </c>
      <c r="AU1228" s="75">
        <v>0</v>
      </c>
      <c r="AV1228" s="75">
        <v>0</v>
      </c>
      <c r="AW1228" s="123">
        <v>0</v>
      </c>
      <c r="AX1228" s="516"/>
      <c r="AY1228" s="75">
        <v>0</v>
      </c>
      <c r="AZ1228" s="77" t="s">
        <v>131</v>
      </c>
      <c r="BA1228" s="78" t="s">
        <v>131</v>
      </c>
      <c r="BB1228" s="78" t="s">
        <v>131</v>
      </c>
      <c r="BC1228" s="78" t="s">
        <v>131</v>
      </c>
      <c r="BD1228" s="78" t="s">
        <v>131</v>
      </c>
      <c r="BE1228" s="78" t="s">
        <v>131</v>
      </c>
      <c r="BF1228" s="78" t="s">
        <v>131</v>
      </c>
      <c r="BG1228" s="78" t="s">
        <v>132</v>
      </c>
      <c r="BH1228" s="75" t="s">
        <v>5970</v>
      </c>
      <c r="BI1228" s="295" t="s">
        <v>2230</v>
      </c>
      <c r="BJ1228" s="546">
        <v>1</v>
      </c>
      <c r="BK1228" s="294" t="s">
        <v>16</v>
      </c>
      <c r="BL1228" s="157" t="s">
        <v>16</v>
      </c>
      <c r="BM1228" s="548" t="s">
        <v>1339</v>
      </c>
      <c r="BN1228" s="548" t="s">
        <v>1339</v>
      </c>
      <c r="BO1228" s="157" t="s">
        <v>4227</v>
      </c>
      <c r="BP1228" s="548" t="s">
        <v>2230</v>
      </c>
      <c r="BQ1228" s="157" t="s">
        <v>4226</v>
      </c>
      <c r="BR1228" s="157"/>
    </row>
    <row r="1229" spans="1:70" x14ac:dyDescent="0.25">
      <c r="A1229" s="19" t="s">
        <v>3686</v>
      </c>
      <c r="B1229" s="37" t="s">
        <v>3607</v>
      </c>
      <c r="C1229" s="90">
        <v>45030.691724537035</v>
      </c>
      <c r="D1229" s="114">
        <v>45030.441724537035</v>
      </c>
      <c r="E1229" s="38">
        <v>45030</v>
      </c>
      <c r="F1229" s="91">
        <v>2023</v>
      </c>
      <c r="G1229" s="93">
        <v>4</v>
      </c>
      <c r="H1229" s="37" t="s">
        <v>1386</v>
      </c>
      <c r="I1229" s="37"/>
      <c r="J1229" s="103">
        <v>-92.342184599999996</v>
      </c>
      <c r="K1229" s="40">
        <v>43.603163299999999</v>
      </c>
      <c r="L1229" s="74"/>
      <c r="M1229" s="272" t="s">
        <v>3608</v>
      </c>
      <c r="N1229" s="74">
        <v>1</v>
      </c>
      <c r="O1229" s="94"/>
      <c r="P1229" s="118">
        <v>1</v>
      </c>
      <c r="Q1229" s="510">
        <v>40</v>
      </c>
      <c r="R1229" s="513">
        <v>0</v>
      </c>
      <c r="S1229" s="41"/>
      <c r="T1229" s="40"/>
      <c r="U1229" s="40">
        <v>7.5</v>
      </c>
      <c r="V1229" s="119">
        <v>1</v>
      </c>
      <c r="W1229" s="40">
        <v>0</v>
      </c>
      <c r="X1229" s="119">
        <v>1</v>
      </c>
      <c r="Y1229" s="40">
        <v>54</v>
      </c>
      <c r="Z1229" s="119">
        <v>1</v>
      </c>
      <c r="AA1229" s="368">
        <v>0</v>
      </c>
      <c r="AB1229" s="535">
        <v>0</v>
      </c>
      <c r="AC1229" s="39" t="s">
        <v>160</v>
      </c>
      <c r="AD1229" s="75" t="s">
        <v>10</v>
      </c>
      <c r="AE1229" s="95">
        <v>0</v>
      </c>
      <c r="AF1229" s="75">
        <v>0</v>
      </c>
      <c r="AG1229" s="75">
        <v>0</v>
      </c>
      <c r="AH1229" s="75">
        <v>0</v>
      </c>
      <c r="AI1229" s="75">
        <v>0</v>
      </c>
      <c r="AJ1229" s="75">
        <v>0</v>
      </c>
      <c r="AK1229" s="75">
        <v>0</v>
      </c>
      <c r="AL1229" s="95">
        <v>1</v>
      </c>
      <c r="AM1229" s="92">
        <v>0</v>
      </c>
      <c r="AN1229" s="79" t="s">
        <v>80</v>
      </c>
      <c r="AO1229" s="75">
        <v>1</v>
      </c>
      <c r="AP1229" s="75" t="s">
        <v>83</v>
      </c>
      <c r="AQ1229" s="122">
        <v>1</v>
      </c>
      <c r="AR1229" s="515" t="s">
        <v>10</v>
      </c>
      <c r="AS1229" s="95">
        <v>0</v>
      </c>
      <c r="AT1229" s="75">
        <v>0</v>
      </c>
      <c r="AU1229" s="75">
        <v>0</v>
      </c>
      <c r="AV1229" s="75">
        <v>0</v>
      </c>
      <c r="AW1229" s="123">
        <v>0</v>
      </c>
      <c r="AX1229" s="516"/>
      <c r="AY1229" s="75">
        <v>0</v>
      </c>
      <c r="AZ1229" s="77" t="s">
        <v>131</v>
      </c>
      <c r="BA1229" s="78" t="s">
        <v>131</v>
      </c>
      <c r="BB1229" s="78" t="s">
        <v>131</v>
      </c>
      <c r="BC1229" s="78" t="s">
        <v>131</v>
      </c>
      <c r="BD1229" s="78" t="s">
        <v>131</v>
      </c>
      <c r="BE1229" s="78" t="s">
        <v>131</v>
      </c>
      <c r="BF1229" s="78" t="s">
        <v>131</v>
      </c>
      <c r="BG1229" s="78" t="s">
        <v>132</v>
      </c>
      <c r="BH1229" s="75" t="s">
        <v>5970</v>
      </c>
      <c r="BI1229" s="295" t="s">
        <v>2294</v>
      </c>
      <c r="BJ1229" s="546">
        <v>1</v>
      </c>
      <c r="BK1229" s="294" t="s">
        <v>16</v>
      </c>
      <c r="BL1229" s="157" t="s">
        <v>16</v>
      </c>
      <c r="BM1229" s="548" t="s">
        <v>1339</v>
      </c>
      <c r="BN1229" s="548" t="s">
        <v>1339</v>
      </c>
      <c r="BO1229" s="157" t="s">
        <v>4230</v>
      </c>
      <c r="BP1229" s="548" t="s">
        <v>4231</v>
      </c>
      <c r="BQ1229" s="157" t="s">
        <v>4229</v>
      </c>
      <c r="BR1229" s="157"/>
    </row>
    <row r="1230" spans="1:70" x14ac:dyDescent="0.25">
      <c r="A1230" s="19" t="s">
        <v>3686</v>
      </c>
      <c r="B1230" s="37" t="s">
        <v>3609</v>
      </c>
      <c r="C1230" s="90">
        <v>45030.662615740737</v>
      </c>
      <c r="D1230" s="114">
        <v>45030.412615740737</v>
      </c>
      <c r="E1230" s="38">
        <v>45030</v>
      </c>
      <c r="F1230" s="91">
        <v>2023</v>
      </c>
      <c r="G1230" s="93">
        <v>4</v>
      </c>
      <c r="H1230" s="37" t="s">
        <v>1514</v>
      </c>
      <c r="I1230" s="37" t="s">
        <v>1772</v>
      </c>
      <c r="J1230" s="103">
        <v>-92.189674075621582</v>
      </c>
      <c r="K1230" s="40">
        <v>44.632753292743878</v>
      </c>
      <c r="L1230" s="74"/>
      <c r="M1230" s="272" t="s">
        <v>16</v>
      </c>
      <c r="N1230" s="74">
        <v>0</v>
      </c>
      <c r="O1230" s="94"/>
      <c r="P1230" s="118">
        <v>1</v>
      </c>
      <c r="Q1230" s="510">
        <v>80</v>
      </c>
      <c r="R1230" s="513">
        <v>120</v>
      </c>
      <c r="S1230" s="41"/>
      <c r="T1230" s="40"/>
      <c r="U1230" s="40">
        <v>7.5</v>
      </c>
      <c r="V1230" s="119">
        <v>1</v>
      </c>
      <c r="W1230" s="40">
        <v>0</v>
      </c>
      <c r="X1230" s="119">
        <v>1</v>
      </c>
      <c r="Y1230" s="40">
        <v>45</v>
      </c>
      <c r="Z1230" s="119">
        <v>1</v>
      </c>
      <c r="AA1230" s="368">
        <v>0</v>
      </c>
      <c r="AB1230" s="535">
        <v>2</v>
      </c>
      <c r="AC1230" s="39" t="s">
        <v>160</v>
      </c>
      <c r="AD1230" s="75" t="s">
        <v>10</v>
      </c>
      <c r="AE1230" s="95">
        <v>0</v>
      </c>
      <c r="AF1230" s="75">
        <v>0</v>
      </c>
      <c r="AG1230" s="75">
        <v>0</v>
      </c>
      <c r="AH1230" s="75">
        <v>0</v>
      </c>
      <c r="AI1230" s="75">
        <v>0</v>
      </c>
      <c r="AJ1230" s="75">
        <v>0</v>
      </c>
      <c r="AK1230" s="75">
        <v>0</v>
      </c>
      <c r="AL1230" s="95">
        <v>1</v>
      </c>
      <c r="AM1230" s="92">
        <v>0</v>
      </c>
      <c r="AN1230" s="79" t="s">
        <v>81</v>
      </c>
      <c r="AO1230" s="75">
        <v>1</v>
      </c>
      <c r="AP1230" s="75" t="s">
        <v>84</v>
      </c>
      <c r="AQ1230" s="122">
        <v>1</v>
      </c>
      <c r="AR1230" s="515" t="s">
        <v>58</v>
      </c>
      <c r="AS1230" s="95">
        <v>0</v>
      </c>
      <c r="AT1230" s="75">
        <v>0</v>
      </c>
      <c r="AU1230" s="75">
        <v>1</v>
      </c>
      <c r="AV1230" s="75">
        <v>0</v>
      </c>
      <c r="AW1230" s="123">
        <v>0</v>
      </c>
      <c r="AX1230" s="516" t="s">
        <v>16</v>
      </c>
      <c r="AY1230" s="75">
        <v>0</v>
      </c>
      <c r="AZ1230" s="77" t="s">
        <v>131</v>
      </c>
      <c r="BA1230" s="78" t="s">
        <v>131</v>
      </c>
      <c r="BB1230" s="78" t="s">
        <v>131</v>
      </c>
      <c r="BC1230" s="78" t="s">
        <v>131</v>
      </c>
      <c r="BD1230" s="78" t="s">
        <v>131</v>
      </c>
      <c r="BE1230" s="78" t="s">
        <v>131</v>
      </c>
      <c r="BF1230" s="78" t="s">
        <v>131</v>
      </c>
      <c r="BG1230" s="78" t="s">
        <v>132</v>
      </c>
      <c r="BH1230" s="75" t="s">
        <v>5970</v>
      </c>
      <c r="BI1230" s="295" t="s">
        <v>2248</v>
      </c>
      <c r="BJ1230" s="546">
        <v>1</v>
      </c>
      <c r="BK1230" s="294">
        <v>1</v>
      </c>
      <c r="BL1230" s="157">
        <v>1</v>
      </c>
      <c r="BM1230" s="548" t="s">
        <v>578</v>
      </c>
      <c r="BN1230" s="548" t="s">
        <v>578</v>
      </c>
      <c r="BO1230" s="157" t="s">
        <v>4218</v>
      </c>
      <c r="BP1230" s="548" t="s">
        <v>4221</v>
      </c>
      <c r="BQ1230" s="157" t="s">
        <v>4217</v>
      </c>
      <c r="BR1230" s="157"/>
    </row>
    <row r="1231" spans="1:70" x14ac:dyDescent="0.25">
      <c r="A1231" s="19" t="s">
        <v>3686</v>
      </c>
      <c r="B1231" s="37" t="s">
        <v>3610</v>
      </c>
      <c r="C1231" s="90">
        <v>45029.940289351849</v>
      </c>
      <c r="D1231" s="114">
        <v>45029.690289351849</v>
      </c>
      <c r="E1231" s="38">
        <v>45029</v>
      </c>
      <c r="F1231" s="91">
        <v>2023</v>
      </c>
      <c r="G1231" s="93">
        <v>4</v>
      </c>
      <c r="H1231" s="37" t="s">
        <v>606</v>
      </c>
      <c r="I1231" s="37" t="s">
        <v>16</v>
      </c>
      <c r="J1231" s="103">
        <v>-92.145838693740544</v>
      </c>
      <c r="K1231" s="40">
        <v>44.238957548139574</v>
      </c>
      <c r="L1231" s="74"/>
      <c r="M1231" s="272" t="s">
        <v>3611</v>
      </c>
      <c r="N1231" s="74">
        <v>1</v>
      </c>
      <c r="O1231" s="94"/>
      <c r="P1231" s="118">
        <v>1</v>
      </c>
      <c r="Q1231" s="510">
        <v>180</v>
      </c>
      <c r="R1231" s="513">
        <v>120</v>
      </c>
      <c r="S1231" s="41"/>
      <c r="T1231" s="40"/>
      <c r="U1231" s="40">
        <v>8</v>
      </c>
      <c r="V1231" s="119">
        <v>1</v>
      </c>
      <c r="W1231" s="40">
        <v>200</v>
      </c>
      <c r="X1231" s="119">
        <v>1</v>
      </c>
      <c r="Y1231" s="40">
        <v>62</v>
      </c>
      <c r="Z1231" s="119">
        <v>1</v>
      </c>
      <c r="AA1231" s="368">
        <v>0</v>
      </c>
      <c r="AB1231" s="535">
        <v>2</v>
      </c>
      <c r="AC1231" s="39" t="s">
        <v>160</v>
      </c>
      <c r="AD1231" s="75" t="s">
        <v>10</v>
      </c>
      <c r="AE1231" s="95">
        <v>0</v>
      </c>
      <c r="AF1231" s="75">
        <v>0</v>
      </c>
      <c r="AG1231" s="75">
        <v>0</v>
      </c>
      <c r="AH1231" s="75">
        <v>0</v>
      </c>
      <c r="AI1231" s="75">
        <v>0</v>
      </c>
      <c r="AJ1231" s="75">
        <v>0</v>
      </c>
      <c r="AK1231" s="75">
        <v>0</v>
      </c>
      <c r="AL1231" s="95">
        <v>1</v>
      </c>
      <c r="AM1231" s="92">
        <v>0</v>
      </c>
      <c r="AN1231" s="79" t="s">
        <v>80</v>
      </c>
      <c r="AO1231" s="75">
        <v>1</v>
      </c>
      <c r="AP1231" s="75" t="s">
        <v>83</v>
      </c>
      <c r="AQ1231" s="122">
        <v>1</v>
      </c>
      <c r="AR1231" s="515" t="s">
        <v>10</v>
      </c>
      <c r="AS1231" s="95">
        <v>0</v>
      </c>
      <c r="AT1231" s="75">
        <v>0</v>
      </c>
      <c r="AU1231" s="75">
        <v>0</v>
      </c>
      <c r="AV1231" s="75">
        <v>0</v>
      </c>
      <c r="AW1231" s="123">
        <v>0</v>
      </c>
      <c r="AX1231" s="516" t="s">
        <v>3612</v>
      </c>
      <c r="AY1231" s="75">
        <v>1</v>
      </c>
      <c r="AZ1231" s="77" t="s">
        <v>131</v>
      </c>
      <c r="BA1231" s="78" t="s">
        <v>131</v>
      </c>
      <c r="BB1231" s="78" t="s">
        <v>131</v>
      </c>
      <c r="BC1231" s="78" t="s">
        <v>131</v>
      </c>
      <c r="BD1231" s="78" t="s">
        <v>131</v>
      </c>
      <c r="BE1231" s="78" t="s">
        <v>131</v>
      </c>
      <c r="BF1231" s="78" t="s">
        <v>131</v>
      </c>
      <c r="BG1231" s="78" t="s">
        <v>132</v>
      </c>
      <c r="BH1231" s="75" t="s">
        <v>5970</v>
      </c>
      <c r="BI1231" s="295" t="s">
        <v>317</v>
      </c>
      <c r="BJ1231" s="546">
        <v>1</v>
      </c>
      <c r="BK1231" s="294">
        <v>1</v>
      </c>
      <c r="BL1231" s="157">
        <v>1</v>
      </c>
      <c r="BM1231" s="548" t="s">
        <v>1339</v>
      </c>
      <c r="BN1231" s="548" t="s">
        <v>1339</v>
      </c>
      <c r="BO1231" s="157" t="s">
        <v>4358</v>
      </c>
      <c r="BP1231" s="548" t="s">
        <v>317</v>
      </c>
      <c r="BQ1231" s="157" t="s">
        <v>4330</v>
      </c>
      <c r="BR1231" s="157"/>
    </row>
    <row r="1232" spans="1:70" x14ac:dyDescent="0.25">
      <c r="A1232" s="19" t="s">
        <v>3686</v>
      </c>
      <c r="B1232" s="37" t="s">
        <v>3613</v>
      </c>
      <c r="C1232" s="90">
        <v>45029.8202662037</v>
      </c>
      <c r="D1232" s="114">
        <v>45029.5702662037</v>
      </c>
      <c r="E1232" s="38">
        <v>45029</v>
      </c>
      <c r="F1232" s="91">
        <v>2023</v>
      </c>
      <c r="G1232" s="93">
        <v>4</v>
      </c>
      <c r="H1232" s="37" t="s">
        <v>3614</v>
      </c>
      <c r="I1232" s="37" t="s">
        <v>16</v>
      </c>
      <c r="J1232" s="103">
        <v>-93.384171361190624</v>
      </c>
      <c r="K1232" s="40">
        <v>44.779662690167363</v>
      </c>
      <c r="L1232" s="74"/>
      <c r="M1232" s="272" t="s">
        <v>16</v>
      </c>
      <c r="N1232" s="74">
        <v>0</v>
      </c>
      <c r="O1232" s="94"/>
      <c r="P1232" s="118">
        <v>1</v>
      </c>
      <c r="Q1232" s="510">
        <v>180</v>
      </c>
      <c r="R1232" s="513">
        <v>120</v>
      </c>
      <c r="S1232" s="41"/>
      <c r="T1232" s="40"/>
      <c r="U1232" s="40">
        <v>8</v>
      </c>
      <c r="V1232" s="119">
        <v>0</v>
      </c>
      <c r="W1232" s="40"/>
      <c r="X1232" s="119">
        <v>0</v>
      </c>
      <c r="Y1232" s="40"/>
      <c r="Z1232" s="119">
        <v>0</v>
      </c>
      <c r="AA1232" s="368" t="s">
        <v>16</v>
      </c>
      <c r="AB1232" s="535" t="s">
        <v>16</v>
      </c>
      <c r="AC1232" s="39" t="s">
        <v>160</v>
      </c>
      <c r="AD1232" s="75" t="s">
        <v>10</v>
      </c>
      <c r="AE1232" s="95">
        <v>0</v>
      </c>
      <c r="AF1232" s="75">
        <v>0</v>
      </c>
      <c r="AG1232" s="75">
        <v>0</v>
      </c>
      <c r="AH1232" s="75">
        <v>0</v>
      </c>
      <c r="AI1232" s="75">
        <v>0</v>
      </c>
      <c r="AJ1232" s="75">
        <v>0</v>
      </c>
      <c r="AK1232" s="75">
        <v>0</v>
      </c>
      <c r="AL1232" s="95">
        <v>1</v>
      </c>
      <c r="AM1232" s="92">
        <v>0</v>
      </c>
      <c r="AN1232" s="79" t="s">
        <v>80</v>
      </c>
      <c r="AO1232" s="75">
        <v>1</v>
      </c>
      <c r="AP1232" s="75" t="s">
        <v>83</v>
      </c>
      <c r="AQ1232" s="122">
        <v>1</v>
      </c>
      <c r="AR1232" s="515" t="s">
        <v>58</v>
      </c>
      <c r="AS1232" s="95">
        <v>0</v>
      </c>
      <c r="AT1232" s="75">
        <v>0</v>
      </c>
      <c r="AU1232" s="75">
        <v>1</v>
      </c>
      <c r="AV1232" s="75">
        <v>0</v>
      </c>
      <c r="AW1232" s="123">
        <v>0</v>
      </c>
      <c r="AX1232" s="516"/>
      <c r="AY1232" s="75">
        <v>0</v>
      </c>
      <c r="AZ1232" s="77" t="s">
        <v>131</v>
      </c>
      <c r="BA1232" s="78" t="s">
        <v>131</v>
      </c>
      <c r="BB1232" s="78" t="s">
        <v>131</v>
      </c>
      <c r="BC1232" s="78" t="s">
        <v>131</v>
      </c>
      <c r="BD1232" s="78" t="s">
        <v>131</v>
      </c>
      <c r="BE1232" s="78" t="s">
        <v>131</v>
      </c>
      <c r="BF1232" s="78" t="s">
        <v>131</v>
      </c>
      <c r="BG1232" s="78" t="s">
        <v>132</v>
      </c>
      <c r="BH1232" s="75" t="s">
        <v>5970</v>
      </c>
      <c r="BI1232" s="295" t="s">
        <v>2277</v>
      </c>
      <c r="BJ1232" s="546">
        <v>1</v>
      </c>
      <c r="BK1232" s="294" t="s">
        <v>16</v>
      </c>
      <c r="BL1232" s="157" t="s">
        <v>16</v>
      </c>
      <c r="BM1232" s="548" t="s">
        <v>2343</v>
      </c>
      <c r="BN1232" s="548" t="s">
        <v>544</v>
      </c>
      <c r="BO1232" s="157" t="s">
        <v>4313</v>
      </c>
      <c r="BP1232" s="548" t="s">
        <v>4315</v>
      </c>
      <c r="BQ1232" s="157" t="s">
        <v>4312</v>
      </c>
      <c r="BR1232" s="157"/>
    </row>
    <row r="1233" spans="1:70" x14ac:dyDescent="0.25">
      <c r="A1233" s="19" t="s">
        <v>3686</v>
      </c>
      <c r="B1233" s="37" t="s">
        <v>3615</v>
      </c>
      <c r="C1233" s="90">
        <v>45029.811886574076</v>
      </c>
      <c r="D1233" s="114">
        <v>45029.561886574076</v>
      </c>
      <c r="E1233" s="38">
        <v>45029</v>
      </c>
      <c r="F1233" s="91">
        <v>2023</v>
      </c>
      <c r="G1233" s="93">
        <v>4</v>
      </c>
      <c r="H1233" s="37" t="s">
        <v>3614</v>
      </c>
      <c r="I1233" s="37" t="s">
        <v>16</v>
      </c>
      <c r="J1233" s="103">
        <v>-93.384370819866206</v>
      </c>
      <c r="K1233" s="40">
        <v>44.779449839513383</v>
      </c>
      <c r="L1233" s="74"/>
      <c r="M1233" s="272" t="s">
        <v>3616</v>
      </c>
      <c r="N1233" s="74">
        <v>1</v>
      </c>
      <c r="O1233" s="94"/>
      <c r="P1233" s="118">
        <v>1</v>
      </c>
      <c r="Q1233" s="510">
        <v>0</v>
      </c>
      <c r="R1233" s="513">
        <v>30</v>
      </c>
      <c r="S1233" s="41"/>
      <c r="T1233" s="40"/>
      <c r="U1233" s="40">
        <v>7</v>
      </c>
      <c r="V1233" s="119">
        <v>0</v>
      </c>
      <c r="W1233" s="40"/>
      <c r="X1233" s="119">
        <v>0</v>
      </c>
      <c r="Y1233" s="40"/>
      <c r="Z1233" s="119">
        <v>0</v>
      </c>
      <c r="AA1233" s="368" t="s">
        <v>16</v>
      </c>
      <c r="AB1233" s="535" t="s">
        <v>16</v>
      </c>
      <c r="AC1233" s="39" t="s">
        <v>160</v>
      </c>
      <c r="AD1233" s="75" t="s">
        <v>10</v>
      </c>
      <c r="AE1233" s="95">
        <v>0</v>
      </c>
      <c r="AF1233" s="75">
        <v>0</v>
      </c>
      <c r="AG1233" s="75">
        <v>0</v>
      </c>
      <c r="AH1233" s="75">
        <v>0</v>
      </c>
      <c r="AI1233" s="75">
        <v>0</v>
      </c>
      <c r="AJ1233" s="75">
        <v>0</v>
      </c>
      <c r="AK1233" s="75">
        <v>0</v>
      </c>
      <c r="AL1233" s="95">
        <v>1</v>
      </c>
      <c r="AM1233" s="92">
        <v>0</v>
      </c>
      <c r="AN1233" s="79" t="s">
        <v>80</v>
      </c>
      <c r="AO1233" s="75">
        <v>1</v>
      </c>
      <c r="AP1233" s="75" t="s">
        <v>83</v>
      </c>
      <c r="AQ1233" s="122">
        <v>1</v>
      </c>
      <c r="AR1233" s="515" t="s">
        <v>58</v>
      </c>
      <c r="AS1233" s="95">
        <v>0</v>
      </c>
      <c r="AT1233" s="75">
        <v>0</v>
      </c>
      <c r="AU1233" s="75">
        <v>1</v>
      </c>
      <c r="AV1233" s="75">
        <v>0</v>
      </c>
      <c r="AW1233" s="123">
        <v>0</v>
      </c>
      <c r="AX1233" s="516"/>
      <c r="AY1233" s="75">
        <v>0</v>
      </c>
      <c r="AZ1233" s="77" t="s">
        <v>131</v>
      </c>
      <c r="BA1233" s="78" t="s">
        <v>131</v>
      </c>
      <c r="BB1233" s="78" t="s">
        <v>131</v>
      </c>
      <c r="BC1233" s="78" t="s">
        <v>131</v>
      </c>
      <c r="BD1233" s="78" t="s">
        <v>131</v>
      </c>
      <c r="BE1233" s="78" t="s">
        <v>131</v>
      </c>
      <c r="BF1233" s="78" t="s">
        <v>131</v>
      </c>
      <c r="BG1233" s="78" t="s">
        <v>132</v>
      </c>
      <c r="BH1233" s="75" t="s">
        <v>5970</v>
      </c>
      <c r="BI1233" s="295" t="s">
        <v>2277</v>
      </c>
      <c r="BJ1233" s="546">
        <v>1</v>
      </c>
      <c r="BK1233" s="294" t="s">
        <v>16</v>
      </c>
      <c r="BL1233" s="157" t="s">
        <v>16</v>
      </c>
      <c r="BM1233" s="548" t="s">
        <v>2343</v>
      </c>
      <c r="BN1233" s="548" t="s">
        <v>544</v>
      </c>
      <c r="BO1233" s="157" t="s">
        <v>4313</v>
      </c>
      <c r="BP1233" s="548" t="s">
        <v>4315</v>
      </c>
      <c r="BQ1233" s="157" t="s">
        <v>4312</v>
      </c>
      <c r="BR1233" s="157"/>
    </row>
    <row r="1234" spans="1:70" x14ac:dyDescent="0.25">
      <c r="A1234" s="19" t="s">
        <v>3686</v>
      </c>
      <c r="B1234" s="37" t="s">
        <v>3617</v>
      </c>
      <c r="C1234" s="90">
        <v>45028.783958333333</v>
      </c>
      <c r="D1234" s="114">
        <v>45028.533958333333</v>
      </c>
      <c r="E1234" s="38">
        <v>45028</v>
      </c>
      <c r="F1234" s="91">
        <v>2023</v>
      </c>
      <c r="G1234" s="93">
        <v>4</v>
      </c>
      <c r="H1234" s="37" t="s">
        <v>599</v>
      </c>
      <c r="I1234" s="37" t="s">
        <v>2361</v>
      </c>
      <c r="J1234" s="103">
        <v>-92.44291112824726</v>
      </c>
      <c r="K1234" s="40">
        <v>44.621396154379262</v>
      </c>
      <c r="L1234" s="74"/>
      <c r="M1234" s="272" t="s">
        <v>16</v>
      </c>
      <c r="N1234" s="74">
        <v>0</v>
      </c>
      <c r="O1234" s="94"/>
      <c r="P1234" s="118">
        <v>1</v>
      </c>
      <c r="Q1234" s="510">
        <v>180</v>
      </c>
      <c r="R1234" s="513">
        <v>120</v>
      </c>
      <c r="S1234" s="41"/>
      <c r="T1234" s="40"/>
      <c r="U1234" s="40">
        <v>8</v>
      </c>
      <c r="V1234" s="119">
        <v>1</v>
      </c>
      <c r="W1234" s="40">
        <v>100</v>
      </c>
      <c r="X1234" s="119">
        <v>1</v>
      </c>
      <c r="Y1234" s="40">
        <v>58</v>
      </c>
      <c r="Z1234" s="119">
        <v>1</v>
      </c>
      <c r="AA1234" s="368">
        <v>0</v>
      </c>
      <c r="AB1234" s="535">
        <v>1</v>
      </c>
      <c r="AC1234" s="39" t="s">
        <v>160</v>
      </c>
      <c r="AD1234" s="75" t="s">
        <v>10</v>
      </c>
      <c r="AE1234" s="95">
        <v>0</v>
      </c>
      <c r="AF1234" s="75">
        <v>0</v>
      </c>
      <c r="AG1234" s="75">
        <v>0</v>
      </c>
      <c r="AH1234" s="75">
        <v>0</v>
      </c>
      <c r="AI1234" s="75">
        <v>0</v>
      </c>
      <c r="AJ1234" s="75">
        <v>0</v>
      </c>
      <c r="AK1234" s="75">
        <v>0</v>
      </c>
      <c r="AL1234" s="95">
        <v>1</v>
      </c>
      <c r="AM1234" s="92">
        <v>0</v>
      </c>
      <c r="AN1234" s="79" t="s">
        <v>80</v>
      </c>
      <c r="AO1234" s="75">
        <v>1</v>
      </c>
      <c r="AP1234" s="75" t="s">
        <v>83</v>
      </c>
      <c r="AQ1234" s="122">
        <v>1</v>
      </c>
      <c r="AR1234" s="515" t="s">
        <v>10</v>
      </c>
      <c r="AS1234" s="95">
        <v>0</v>
      </c>
      <c r="AT1234" s="75">
        <v>0</v>
      </c>
      <c r="AU1234" s="75">
        <v>0</v>
      </c>
      <c r="AV1234" s="75">
        <v>0</v>
      </c>
      <c r="AW1234" s="123">
        <v>0</v>
      </c>
      <c r="AX1234" s="516"/>
      <c r="AY1234" s="75">
        <v>0</v>
      </c>
      <c r="AZ1234" s="77" t="s">
        <v>131</v>
      </c>
      <c r="BA1234" s="78" t="s">
        <v>131</v>
      </c>
      <c r="BB1234" s="78" t="s">
        <v>131</v>
      </c>
      <c r="BC1234" s="78" t="s">
        <v>131</v>
      </c>
      <c r="BD1234" s="78" t="s">
        <v>131</v>
      </c>
      <c r="BE1234" s="78" t="s">
        <v>131</v>
      </c>
      <c r="BF1234" s="78" t="s">
        <v>131</v>
      </c>
      <c r="BG1234" s="78" t="s">
        <v>132</v>
      </c>
      <c r="BH1234" s="75" t="s">
        <v>5970</v>
      </c>
      <c r="BI1234" s="295" t="s">
        <v>2289</v>
      </c>
      <c r="BJ1234" s="546">
        <v>1</v>
      </c>
      <c r="BK1234" s="294" t="s">
        <v>16</v>
      </c>
      <c r="BL1234" s="157" t="s">
        <v>16</v>
      </c>
      <c r="BM1234" s="548" t="s">
        <v>578</v>
      </c>
      <c r="BN1234" s="548" t="s">
        <v>544</v>
      </c>
      <c r="BO1234" s="157" t="s">
        <v>4283</v>
      </c>
      <c r="BP1234" s="548" t="s">
        <v>2289</v>
      </c>
      <c r="BQ1234" s="157" t="s">
        <v>4214</v>
      </c>
      <c r="BR1234" s="157"/>
    </row>
    <row r="1235" spans="1:70" x14ac:dyDescent="0.25">
      <c r="A1235" s="19" t="s">
        <v>3686</v>
      </c>
      <c r="B1235" s="37" t="s">
        <v>3618</v>
      </c>
      <c r="C1235" s="90">
        <v>45027.84814814815</v>
      </c>
      <c r="D1235" s="114">
        <v>45027.59814814815</v>
      </c>
      <c r="E1235" s="38">
        <v>45027</v>
      </c>
      <c r="F1235" s="91">
        <v>2023</v>
      </c>
      <c r="G1235" s="93">
        <v>4</v>
      </c>
      <c r="H1235" s="37" t="s">
        <v>475</v>
      </c>
      <c r="I1235" s="37"/>
      <c r="J1235" s="103">
        <v>-92.169425389332559</v>
      </c>
      <c r="K1235" s="40">
        <v>44.113603901286695</v>
      </c>
      <c r="L1235" s="74"/>
      <c r="M1235" s="272" t="s">
        <v>16</v>
      </c>
      <c r="N1235" s="74">
        <v>0</v>
      </c>
      <c r="O1235" s="94"/>
      <c r="P1235" s="118">
        <v>1</v>
      </c>
      <c r="Q1235" s="510">
        <v>180</v>
      </c>
      <c r="R1235" s="513">
        <v>180</v>
      </c>
      <c r="S1235" s="41"/>
      <c r="T1235" s="40"/>
      <c r="U1235" s="40">
        <v>7.5</v>
      </c>
      <c r="V1235" s="119">
        <v>1</v>
      </c>
      <c r="W1235" s="40">
        <v>0</v>
      </c>
      <c r="X1235" s="119">
        <v>1</v>
      </c>
      <c r="Y1235" s="40">
        <v>58</v>
      </c>
      <c r="Z1235" s="119">
        <v>1</v>
      </c>
      <c r="AA1235" s="368">
        <v>0</v>
      </c>
      <c r="AB1235" s="535">
        <v>10</v>
      </c>
      <c r="AC1235" s="39" t="s">
        <v>160</v>
      </c>
      <c r="AD1235" s="75" t="s">
        <v>10</v>
      </c>
      <c r="AE1235" s="95">
        <v>0</v>
      </c>
      <c r="AF1235" s="75">
        <v>0</v>
      </c>
      <c r="AG1235" s="75">
        <v>0</v>
      </c>
      <c r="AH1235" s="75">
        <v>0</v>
      </c>
      <c r="AI1235" s="75">
        <v>0</v>
      </c>
      <c r="AJ1235" s="75">
        <v>0</v>
      </c>
      <c r="AK1235" s="75">
        <v>0</v>
      </c>
      <c r="AL1235" s="95">
        <v>1</v>
      </c>
      <c r="AM1235" s="92">
        <v>0</v>
      </c>
      <c r="AN1235" s="79" t="s">
        <v>81</v>
      </c>
      <c r="AO1235" s="75">
        <v>1</v>
      </c>
      <c r="AP1235" s="75" t="s">
        <v>84</v>
      </c>
      <c r="AQ1235" s="122">
        <v>1</v>
      </c>
      <c r="AR1235" s="515" t="s">
        <v>10</v>
      </c>
      <c r="AS1235" s="95">
        <v>0</v>
      </c>
      <c r="AT1235" s="75">
        <v>0</v>
      </c>
      <c r="AU1235" s="75">
        <v>0</v>
      </c>
      <c r="AV1235" s="75">
        <v>0</v>
      </c>
      <c r="AW1235" s="123">
        <v>0</v>
      </c>
      <c r="AX1235" s="516" t="s">
        <v>3619</v>
      </c>
      <c r="AY1235" s="75">
        <v>1</v>
      </c>
      <c r="AZ1235" s="77" t="s">
        <v>131</v>
      </c>
      <c r="BA1235" s="78" t="s">
        <v>131</v>
      </c>
      <c r="BB1235" s="78" t="s">
        <v>131</v>
      </c>
      <c r="BC1235" s="78" t="s">
        <v>131</v>
      </c>
      <c r="BD1235" s="78" t="s">
        <v>131</v>
      </c>
      <c r="BE1235" s="78" t="s">
        <v>131</v>
      </c>
      <c r="BF1235" s="78" t="s">
        <v>131</v>
      </c>
      <c r="BG1235" s="78" t="s">
        <v>132</v>
      </c>
      <c r="BH1235" s="75" t="s">
        <v>5970</v>
      </c>
      <c r="BI1235" s="295" t="s">
        <v>3964</v>
      </c>
      <c r="BJ1235" s="546">
        <v>1</v>
      </c>
      <c r="BK1235" s="294" t="s">
        <v>16</v>
      </c>
      <c r="BL1235" s="157" t="s">
        <v>16</v>
      </c>
      <c r="BM1235" s="548" t="s">
        <v>1339</v>
      </c>
      <c r="BN1235" s="548" t="s">
        <v>1339</v>
      </c>
      <c r="BO1235" s="157" t="s">
        <v>4532</v>
      </c>
      <c r="BP1235" s="548" t="s">
        <v>4533</v>
      </c>
      <c r="BQ1235" s="157" t="s">
        <v>4361</v>
      </c>
      <c r="BR1235" s="157"/>
    </row>
    <row r="1236" spans="1:70" x14ac:dyDescent="0.25">
      <c r="A1236" s="19" t="s">
        <v>3686</v>
      </c>
      <c r="B1236" s="37" t="s">
        <v>3620</v>
      </c>
      <c r="C1236" s="90">
        <v>45027.823819444442</v>
      </c>
      <c r="D1236" s="114">
        <v>45027.573819444442</v>
      </c>
      <c r="E1236" s="38">
        <v>45027</v>
      </c>
      <c r="F1236" s="91">
        <v>2023</v>
      </c>
      <c r="G1236" s="93">
        <v>4</v>
      </c>
      <c r="H1236" s="37" t="s">
        <v>475</v>
      </c>
      <c r="I1236" s="37"/>
      <c r="J1236" s="103">
        <v>-92.100133058077802</v>
      </c>
      <c r="K1236" s="40">
        <v>44.036407020426601</v>
      </c>
      <c r="L1236" s="74"/>
      <c r="M1236" s="272" t="s">
        <v>3621</v>
      </c>
      <c r="N1236" s="74">
        <v>1</v>
      </c>
      <c r="O1236" s="94"/>
      <c r="P1236" s="118">
        <v>1</v>
      </c>
      <c r="Q1236" s="510">
        <v>180</v>
      </c>
      <c r="R1236" s="513">
        <v>180</v>
      </c>
      <c r="S1236" s="41"/>
      <c r="T1236" s="40"/>
      <c r="U1236" s="40">
        <v>8</v>
      </c>
      <c r="V1236" s="119">
        <v>1</v>
      </c>
      <c r="W1236" s="40">
        <v>0</v>
      </c>
      <c r="X1236" s="119">
        <v>1</v>
      </c>
      <c r="Y1236" s="40">
        <v>56</v>
      </c>
      <c r="Z1236" s="119">
        <v>1</v>
      </c>
      <c r="AA1236" s="368">
        <v>0</v>
      </c>
      <c r="AB1236" s="535">
        <v>5</v>
      </c>
      <c r="AC1236" s="39" t="s">
        <v>160</v>
      </c>
      <c r="AD1236" s="75" t="s">
        <v>10</v>
      </c>
      <c r="AE1236" s="95">
        <v>0</v>
      </c>
      <c r="AF1236" s="75">
        <v>0</v>
      </c>
      <c r="AG1236" s="75">
        <v>0</v>
      </c>
      <c r="AH1236" s="75">
        <v>0</v>
      </c>
      <c r="AI1236" s="75">
        <v>0</v>
      </c>
      <c r="AJ1236" s="75">
        <v>0</v>
      </c>
      <c r="AK1236" s="75">
        <v>0</v>
      </c>
      <c r="AL1236" s="95">
        <v>1</v>
      </c>
      <c r="AM1236" s="92">
        <v>0</v>
      </c>
      <c r="AN1236" s="79" t="s">
        <v>81</v>
      </c>
      <c r="AO1236" s="75">
        <v>1</v>
      </c>
      <c r="AP1236" s="75" t="s">
        <v>83</v>
      </c>
      <c r="AQ1236" s="122">
        <v>1</v>
      </c>
      <c r="AR1236" s="515" t="s">
        <v>10</v>
      </c>
      <c r="AS1236" s="95">
        <v>0</v>
      </c>
      <c r="AT1236" s="75">
        <v>0</v>
      </c>
      <c r="AU1236" s="75">
        <v>0</v>
      </c>
      <c r="AV1236" s="75">
        <v>0</v>
      </c>
      <c r="AW1236" s="123">
        <v>0</v>
      </c>
      <c r="AX1236" s="516" t="s">
        <v>3622</v>
      </c>
      <c r="AY1236" s="75">
        <v>1</v>
      </c>
      <c r="AZ1236" s="77" t="s">
        <v>131</v>
      </c>
      <c r="BA1236" s="78" t="s">
        <v>131</v>
      </c>
      <c r="BB1236" s="78" t="s">
        <v>131</v>
      </c>
      <c r="BC1236" s="78" t="s">
        <v>131</v>
      </c>
      <c r="BD1236" s="78" t="s">
        <v>131</v>
      </c>
      <c r="BE1236" s="78" t="s">
        <v>131</v>
      </c>
      <c r="BF1236" s="78" t="s">
        <v>131</v>
      </c>
      <c r="BG1236" s="78" t="s">
        <v>132</v>
      </c>
      <c r="BH1236" s="75" t="s">
        <v>5970</v>
      </c>
      <c r="BI1236" s="295" t="s">
        <v>2292</v>
      </c>
      <c r="BJ1236" s="546">
        <v>1</v>
      </c>
      <c r="BK1236" s="294" t="s">
        <v>16</v>
      </c>
      <c r="BL1236" s="157" t="s">
        <v>16</v>
      </c>
      <c r="BM1236" s="548" t="s">
        <v>1339</v>
      </c>
      <c r="BN1236" s="548" t="s">
        <v>1339</v>
      </c>
      <c r="BO1236" s="157" t="s">
        <v>4364</v>
      </c>
      <c r="BP1236" s="548" t="s">
        <v>2292</v>
      </c>
      <c r="BQ1236" s="157" t="s">
        <v>4361</v>
      </c>
      <c r="BR1236" s="157"/>
    </row>
    <row r="1237" spans="1:70" x14ac:dyDescent="0.25">
      <c r="A1237" s="19" t="s">
        <v>3686</v>
      </c>
      <c r="B1237" s="37" t="s">
        <v>3623</v>
      </c>
      <c r="C1237" s="90">
        <v>45027.798136574071</v>
      </c>
      <c r="D1237" s="114">
        <v>45027.548136574071</v>
      </c>
      <c r="E1237" s="38">
        <v>45027</v>
      </c>
      <c r="F1237" s="91">
        <v>2023</v>
      </c>
      <c r="G1237" s="93">
        <v>4</v>
      </c>
      <c r="H1237" s="37" t="s">
        <v>475</v>
      </c>
      <c r="I1237" s="37"/>
      <c r="J1237" s="103">
        <v>-92.048057138161681</v>
      </c>
      <c r="K1237" s="40">
        <v>44.046800153625895</v>
      </c>
      <c r="L1237" s="74"/>
      <c r="M1237" s="272" t="s">
        <v>3624</v>
      </c>
      <c r="N1237" s="74">
        <v>1</v>
      </c>
      <c r="O1237" s="94"/>
      <c r="P1237" s="118">
        <v>1</v>
      </c>
      <c r="Q1237" s="510">
        <v>180</v>
      </c>
      <c r="R1237" s="513">
        <v>180</v>
      </c>
      <c r="S1237" s="41"/>
      <c r="T1237" s="40"/>
      <c r="U1237" s="40">
        <v>7.5</v>
      </c>
      <c r="V1237" s="119">
        <v>1</v>
      </c>
      <c r="W1237" s="40">
        <v>0</v>
      </c>
      <c r="X1237" s="119">
        <v>1</v>
      </c>
      <c r="Y1237" s="40">
        <v>53</v>
      </c>
      <c r="Z1237" s="119">
        <v>1</v>
      </c>
      <c r="AA1237" s="368">
        <v>0</v>
      </c>
      <c r="AB1237" s="535">
        <v>5</v>
      </c>
      <c r="AC1237" s="39" t="s">
        <v>160</v>
      </c>
      <c r="AD1237" s="75" t="s">
        <v>7</v>
      </c>
      <c r="AE1237" s="95">
        <v>1</v>
      </c>
      <c r="AF1237" s="75">
        <v>0</v>
      </c>
      <c r="AG1237" s="75">
        <v>0</v>
      </c>
      <c r="AH1237" s="75">
        <v>0</v>
      </c>
      <c r="AI1237" s="75">
        <v>0</v>
      </c>
      <c r="AJ1237" s="75">
        <v>0</v>
      </c>
      <c r="AK1237" s="75">
        <v>0</v>
      </c>
      <c r="AL1237" s="95">
        <v>0</v>
      </c>
      <c r="AM1237" s="92">
        <v>0</v>
      </c>
      <c r="AN1237" s="79" t="s">
        <v>80</v>
      </c>
      <c r="AO1237" s="75">
        <v>1</v>
      </c>
      <c r="AP1237" s="75" t="s">
        <v>83</v>
      </c>
      <c r="AQ1237" s="122">
        <v>1</v>
      </c>
      <c r="AR1237" s="515" t="s">
        <v>10</v>
      </c>
      <c r="AS1237" s="95">
        <v>0</v>
      </c>
      <c r="AT1237" s="75">
        <v>0</v>
      </c>
      <c r="AU1237" s="75">
        <v>0</v>
      </c>
      <c r="AV1237" s="75">
        <v>0</v>
      </c>
      <c r="AW1237" s="123">
        <v>0</v>
      </c>
      <c r="AX1237" s="516" t="s">
        <v>3625</v>
      </c>
      <c r="AY1237" s="75">
        <v>1</v>
      </c>
      <c r="AZ1237" s="77" t="s">
        <v>132</v>
      </c>
      <c r="BA1237" s="78" t="s">
        <v>131</v>
      </c>
      <c r="BB1237" s="78" t="s">
        <v>131</v>
      </c>
      <c r="BC1237" s="78" t="s">
        <v>131</v>
      </c>
      <c r="BD1237" s="78" t="s">
        <v>131</v>
      </c>
      <c r="BE1237" s="78" t="s">
        <v>131</v>
      </c>
      <c r="BF1237" s="78" t="s">
        <v>131</v>
      </c>
      <c r="BG1237" s="78" t="s">
        <v>131</v>
      </c>
      <c r="BH1237" s="75" t="s">
        <v>5970</v>
      </c>
      <c r="BI1237" s="295" t="s">
        <v>2292</v>
      </c>
      <c r="BJ1237" s="546">
        <v>1</v>
      </c>
      <c r="BK1237" s="294">
        <v>1</v>
      </c>
      <c r="BL1237" s="157">
        <v>1</v>
      </c>
      <c r="BM1237" s="548" t="s">
        <v>1339</v>
      </c>
      <c r="BN1237" s="548" t="s">
        <v>1339</v>
      </c>
      <c r="BO1237" s="157" t="s">
        <v>4364</v>
      </c>
      <c r="BP1237" s="548" t="s">
        <v>2292</v>
      </c>
      <c r="BQ1237" s="157" t="s">
        <v>4361</v>
      </c>
      <c r="BR1237" s="157"/>
    </row>
    <row r="1238" spans="1:70" x14ac:dyDescent="0.25">
      <c r="A1238" s="19" t="s">
        <v>3686</v>
      </c>
      <c r="B1238" s="37" t="s">
        <v>3626</v>
      </c>
      <c r="C1238" s="90">
        <v>45027.773368055554</v>
      </c>
      <c r="D1238" s="114">
        <v>45027.523368055554</v>
      </c>
      <c r="E1238" s="38">
        <v>45027</v>
      </c>
      <c r="F1238" s="91">
        <v>2023</v>
      </c>
      <c r="G1238" s="93">
        <v>4</v>
      </c>
      <c r="H1238" s="37" t="s">
        <v>475</v>
      </c>
      <c r="I1238" s="37"/>
      <c r="J1238" s="103">
        <v>-92.030014882708443</v>
      </c>
      <c r="K1238" s="40">
        <v>44.086913995865629</v>
      </c>
      <c r="L1238" s="74"/>
      <c r="M1238" s="272" t="s">
        <v>3627</v>
      </c>
      <c r="N1238" s="74">
        <v>1</v>
      </c>
      <c r="O1238" s="94"/>
      <c r="P1238" s="118">
        <v>1</v>
      </c>
      <c r="Q1238" s="510">
        <v>180</v>
      </c>
      <c r="R1238" s="513">
        <v>180</v>
      </c>
      <c r="S1238" s="41"/>
      <c r="T1238" s="40"/>
      <c r="U1238" s="40">
        <v>7.5</v>
      </c>
      <c r="V1238" s="119">
        <v>1</v>
      </c>
      <c r="W1238" s="40">
        <v>0</v>
      </c>
      <c r="X1238" s="119">
        <v>1</v>
      </c>
      <c r="Y1238" s="40">
        <v>55</v>
      </c>
      <c r="Z1238" s="119">
        <v>1</v>
      </c>
      <c r="AA1238" s="368">
        <v>0</v>
      </c>
      <c r="AB1238" s="535">
        <v>10</v>
      </c>
      <c r="AC1238" s="39" t="s">
        <v>160</v>
      </c>
      <c r="AD1238" s="75" t="s">
        <v>8</v>
      </c>
      <c r="AE1238" s="95">
        <v>0</v>
      </c>
      <c r="AF1238" s="75">
        <v>1</v>
      </c>
      <c r="AG1238" s="75">
        <v>0</v>
      </c>
      <c r="AH1238" s="75">
        <v>0</v>
      </c>
      <c r="AI1238" s="75">
        <v>0</v>
      </c>
      <c r="AJ1238" s="75">
        <v>0</v>
      </c>
      <c r="AK1238" s="75">
        <v>0</v>
      </c>
      <c r="AL1238" s="95">
        <v>0</v>
      </c>
      <c r="AM1238" s="92">
        <v>0</v>
      </c>
      <c r="AN1238" s="79" t="s">
        <v>81</v>
      </c>
      <c r="AO1238" s="75">
        <v>1</v>
      </c>
      <c r="AP1238" s="75" t="s">
        <v>84</v>
      </c>
      <c r="AQ1238" s="122">
        <v>1</v>
      </c>
      <c r="AR1238" s="515" t="s">
        <v>10</v>
      </c>
      <c r="AS1238" s="95">
        <v>0</v>
      </c>
      <c r="AT1238" s="75">
        <v>0</v>
      </c>
      <c r="AU1238" s="75">
        <v>0</v>
      </c>
      <c r="AV1238" s="75">
        <v>0</v>
      </c>
      <c r="AW1238" s="123">
        <v>0</v>
      </c>
      <c r="AX1238" s="516" t="s">
        <v>3628</v>
      </c>
      <c r="AY1238" s="75">
        <v>1</v>
      </c>
      <c r="AZ1238" s="77" t="s">
        <v>131</v>
      </c>
      <c r="BA1238" s="78" t="s">
        <v>132</v>
      </c>
      <c r="BB1238" s="78" t="s">
        <v>131</v>
      </c>
      <c r="BC1238" s="78" t="s">
        <v>131</v>
      </c>
      <c r="BD1238" s="78" t="s">
        <v>131</v>
      </c>
      <c r="BE1238" s="78" t="s">
        <v>131</v>
      </c>
      <c r="BF1238" s="78" t="s">
        <v>131</v>
      </c>
      <c r="BG1238" s="78" t="s">
        <v>131</v>
      </c>
      <c r="BH1238" s="75" t="s">
        <v>5970</v>
      </c>
      <c r="BI1238" s="295" t="s">
        <v>3964</v>
      </c>
      <c r="BJ1238" s="546">
        <v>1</v>
      </c>
      <c r="BK1238" s="294" t="s">
        <v>16</v>
      </c>
      <c r="BL1238" s="157" t="s">
        <v>16</v>
      </c>
      <c r="BM1238" s="548" t="s">
        <v>1341</v>
      </c>
      <c r="BN1238" s="548" t="s">
        <v>1339</v>
      </c>
      <c r="BO1238" s="157" t="s">
        <v>4532</v>
      </c>
      <c r="BP1238" s="548" t="s">
        <v>4533</v>
      </c>
      <c r="BQ1238" s="157" t="s">
        <v>4361</v>
      </c>
      <c r="BR1238" s="157"/>
    </row>
    <row r="1239" spans="1:70" x14ac:dyDescent="0.25">
      <c r="A1239" s="19" t="s">
        <v>3686</v>
      </c>
      <c r="B1239" s="37" t="s">
        <v>3629</v>
      </c>
      <c r="C1239" s="90">
        <v>45027.750127314815</v>
      </c>
      <c r="D1239" s="114">
        <v>45027.500127314815</v>
      </c>
      <c r="E1239" s="38">
        <v>45027</v>
      </c>
      <c r="F1239" s="91">
        <v>2023</v>
      </c>
      <c r="G1239" s="93">
        <v>4</v>
      </c>
      <c r="H1239" s="37" t="s">
        <v>475</v>
      </c>
      <c r="I1239" s="37"/>
      <c r="J1239" s="103">
        <v>-91.97360004549796</v>
      </c>
      <c r="K1239" s="40">
        <v>44.062096670891137</v>
      </c>
      <c r="L1239" s="74"/>
      <c r="M1239" s="272" t="s">
        <v>3630</v>
      </c>
      <c r="N1239" s="74">
        <v>1</v>
      </c>
      <c r="O1239" s="94"/>
      <c r="P1239" s="118">
        <v>1</v>
      </c>
      <c r="Q1239" s="510">
        <v>80</v>
      </c>
      <c r="R1239" s="513">
        <v>180</v>
      </c>
      <c r="S1239" s="41"/>
      <c r="T1239" s="40"/>
      <c r="U1239" s="40">
        <v>8</v>
      </c>
      <c r="V1239" s="119">
        <v>1</v>
      </c>
      <c r="W1239" s="40">
        <v>0</v>
      </c>
      <c r="X1239" s="119">
        <v>1</v>
      </c>
      <c r="Y1239" s="40">
        <v>58</v>
      </c>
      <c r="Z1239" s="119">
        <v>1</v>
      </c>
      <c r="AA1239" s="368">
        <v>0</v>
      </c>
      <c r="AB1239" s="535">
        <v>5</v>
      </c>
      <c r="AC1239" s="39" t="s">
        <v>160</v>
      </c>
      <c r="AD1239" s="75" t="s">
        <v>8</v>
      </c>
      <c r="AE1239" s="95">
        <v>0</v>
      </c>
      <c r="AF1239" s="75">
        <v>1</v>
      </c>
      <c r="AG1239" s="75">
        <v>0</v>
      </c>
      <c r="AH1239" s="75">
        <v>0</v>
      </c>
      <c r="AI1239" s="75">
        <v>0</v>
      </c>
      <c r="AJ1239" s="75">
        <v>0</v>
      </c>
      <c r="AK1239" s="75">
        <v>0</v>
      </c>
      <c r="AL1239" s="95">
        <v>0</v>
      </c>
      <c r="AM1239" s="92">
        <v>0</v>
      </c>
      <c r="AN1239" s="79" t="s">
        <v>81</v>
      </c>
      <c r="AO1239" s="75">
        <v>1</v>
      </c>
      <c r="AP1239" s="75" t="s">
        <v>84</v>
      </c>
      <c r="AQ1239" s="122">
        <v>1</v>
      </c>
      <c r="AR1239" s="515" t="s">
        <v>10</v>
      </c>
      <c r="AS1239" s="95">
        <v>0</v>
      </c>
      <c r="AT1239" s="75">
        <v>0</v>
      </c>
      <c r="AU1239" s="75">
        <v>0</v>
      </c>
      <c r="AV1239" s="75">
        <v>0</v>
      </c>
      <c r="AW1239" s="123">
        <v>0</v>
      </c>
      <c r="AX1239" s="516" t="s">
        <v>3631</v>
      </c>
      <c r="AY1239" s="75">
        <v>1</v>
      </c>
      <c r="AZ1239" s="77" t="s">
        <v>131</v>
      </c>
      <c r="BA1239" s="78" t="s">
        <v>132</v>
      </c>
      <c r="BB1239" s="78" t="s">
        <v>131</v>
      </c>
      <c r="BC1239" s="78" t="s">
        <v>131</v>
      </c>
      <c r="BD1239" s="78" t="s">
        <v>131</v>
      </c>
      <c r="BE1239" s="78" t="s">
        <v>131</v>
      </c>
      <c r="BF1239" s="78" t="s">
        <v>131</v>
      </c>
      <c r="BG1239" s="78" t="s">
        <v>131</v>
      </c>
      <c r="BH1239" s="75" t="s">
        <v>5970</v>
      </c>
      <c r="BI1239" s="295" t="s">
        <v>2255</v>
      </c>
      <c r="BJ1239" s="546">
        <v>1</v>
      </c>
      <c r="BK1239" s="294" t="s">
        <v>16</v>
      </c>
      <c r="BL1239" s="157" t="s">
        <v>16</v>
      </c>
      <c r="BM1239" s="548" t="s">
        <v>1341</v>
      </c>
      <c r="BN1239" s="548" t="s">
        <v>1339</v>
      </c>
      <c r="BO1239" s="157" t="s">
        <v>4362</v>
      </c>
      <c r="BP1239" s="548" t="s">
        <v>4363</v>
      </c>
      <c r="BQ1239" s="157" t="s">
        <v>4361</v>
      </c>
      <c r="BR1239" s="157"/>
    </row>
    <row r="1240" spans="1:70" x14ac:dyDescent="0.25">
      <c r="A1240" s="19" t="s">
        <v>3686</v>
      </c>
      <c r="B1240" s="37" t="s">
        <v>3632</v>
      </c>
      <c r="C1240" s="90">
        <v>45026.866979166669</v>
      </c>
      <c r="D1240" s="114">
        <v>45026.616979166669</v>
      </c>
      <c r="E1240" s="38">
        <v>45026</v>
      </c>
      <c r="F1240" s="91">
        <v>2023</v>
      </c>
      <c r="G1240" s="93">
        <v>4</v>
      </c>
      <c r="H1240" s="37" t="s">
        <v>475</v>
      </c>
      <c r="I1240" s="37"/>
      <c r="J1240" s="103">
        <v>-92.227829702847984</v>
      </c>
      <c r="K1240" s="40">
        <v>44.265841033880235</v>
      </c>
      <c r="L1240" s="74"/>
      <c r="M1240" s="272" t="s">
        <v>3633</v>
      </c>
      <c r="N1240" s="74">
        <v>1</v>
      </c>
      <c r="O1240" s="94"/>
      <c r="P1240" s="118">
        <v>1</v>
      </c>
      <c r="Q1240" s="510">
        <v>180</v>
      </c>
      <c r="R1240" s="513">
        <v>180</v>
      </c>
      <c r="S1240" s="41"/>
      <c r="T1240" s="40"/>
      <c r="U1240" s="40">
        <v>9</v>
      </c>
      <c r="V1240" s="119">
        <v>1</v>
      </c>
      <c r="W1240" s="40">
        <v>0</v>
      </c>
      <c r="X1240" s="119">
        <v>1</v>
      </c>
      <c r="Y1240" s="40">
        <v>59</v>
      </c>
      <c r="Z1240" s="119">
        <v>1</v>
      </c>
      <c r="AA1240" s="368">
        <v>0</v>
      </c>
      <c r="AB1240" s="535">
        <v>2</v>
      </c>
      <c r="AC1240" s="39" t="s">
        <v>160</v>
      </c>
      <c r="AD1240" s="75" t="s">
        <v>8</v>
      </c>
      <c r="AE1240" s="95">
        <v>0</v>
      </c>
      <c r="AF1240" s="75">
        <v>1</v>
      </c>
      <c r="AG1240" s="75">
        <v>0</v>
      </c>
      <c r="AH1240" s="75">
        <v>0</v>
      </c>
      <c r="AI1240" s="75">
        <v>0</v>
      </c>
      <c r="AJ1240" s="75">
        <v>0</v>
      </c>
      <c r="AK1240" s="75">
        <v>0</v>
      </c>
      <c r="AL1240" s="95">
        <v>0</v>
      </c>
      <c r="AM1240" s="92">
        <v>0</v>
      </c>
      <c r="AN1240" s="79" t="s">
        <v>81</v>
      </c>
      <c r="AO1240" s="75">
        <v>1</v>
      </c>
      <c r="AP1240" s="75" t="s">
        <v>83</v>
      </c>
      <c r="AQ1240" s="122">
        <v>1</v>
      </c>
      <c r="AR1240" s="515" t="s">
        <v>10</v>
      </c>
      <c r="AS1240" s="95">
        <v>0</v>
      </c>
      <c r="AT1240" s="75">
        <v>0</v>
      </c>
      <c r="AU1240" s="75">
        <v>0</v>
      </c>
      <c r="AV1240" s="75">
        <v>0</v>
      </c>
      <c r="AW1240" s="123">
        <v>0</v>
      </c>
      <c r="AX1240" s="516" t="s">
        <v>3634</v>
      </c>
      <c r="AY1240" s="75">
        <v>1</v>
      </c>
      <c r="AZ1240" s="77" t="s">
        <v>131</v>
      </c>
      <c r="BA1240" s="78" t="s">
        <v>132</v>
      </c>
      <c r="BB1240" s="78" t="s">
        <v>131</v>
      </c>
      <c r="BC1240" s="78" t="s">
        <v>131</v>
      </c>
      <c r="BD1240" s="78" t="s">
        <v>131</v>
      </c>
      <c r="BE1240" s="78" t="s">
        <v>131</v>
      </c>
      <c r="BF1240" s="78" t="s">
        <v>131</v>
      </c>
      <c r="BG1240" s="78" t="s">
        <v>131</v>
      </c>
      <c r="BH1240" s="75" t="s">
        <v>5970</v>
      </c>
      <c r="BI1240" s="295" t="s">
        <v>3965</v>
      </c>
      <c r="BJ1240" s="546">
        <v>1</v>
      </c>
      <c r="BK1240" s="294">
        <v>1</v>
      </c>
      <c r="BL1240" s="157">
        <v>1</v>
      </c>
      <c r="BM1240" s="548" t="s">
        <v>1339</v>
      </c>
      <c r="BN1240" s="548" t="s">
        <v>1339</v>
      </c>
      <c r="BO1240" s="157" t="s">
        <v>4647</v>
      </c>
      <c r="BP1240" s="548" t="s">
        <v>3965</v>
      </c>
      <c r="BQ1240" s="157" t="s">
        <v>4330</v>
      </c>
      <c r="BR1240" s="157"/>
    </row>
    <row r="1241" spans="1:70" x14ac:dyDescent="0.25">
      <c r="A1241" s="19" t="s">
        <v>3686</v>
      </c>
      <c r="B1241" s="37" t="s">
        <v>3635</v>
      </c>
      <c r="C1241" s="90">
        <v>45026.834398148145</v>
      </c>
      <c r="D1241" s="114">
        <v>45026.584398148145</v>
      </c>
      <c r="E1241" s="38">
        <v>45026</v>
      </c>
      <c r="F1241" s="91">
        <v>2023</v>
      </c>
      <c r="G1241" s="93">
        <v>4</v>
      </c>
      <c r="H1241" s="37" t="s">
        <v>475</v>
      </c>
      <c r="I1241" s="37"/>
      <c r="J1241" s="103">
        <v>-92.23646858839804</v>
      </c>
      <c r="K1241" s="40">
        <v>44.229320136754595</v>
      </c>
      <c r="L1241" s="74"/>
      <c r="M1241" s="272" t="s">
        <v>3636</v>
      </c>
      <c r="N1241" s="74">
        <v>1</v>
      </c>
      <c r="O1241" s="94"/>
      <c r="P1241" s="118">
        <v>1</v>
      </c>
      <c r="Q1241" s="510">
        <v>180</v>
      </c>
      <c r="R1241" s="513">
        <v>180</v>
      </c>
      <c r="S1241" s="41"/>
      <c r="T1241" s="40"/>
      <c r="U1241" s="40">
        <v>8</v>
      </c>
      <c r="V1241" s="119">
        <v>1</v>
      </c>
      <c r="W1241" s="40">
        <v>0</v>
      </c>
      <c r="X1241" s="119">
        <v>1</v>
      </c>
      <c r="Y1241" s="40">
        <v>55</v>
      </c>
      <c r="Z1241" s="119">
        <v>1</v>
      </c>
      <c r="AA1241" s="368">
        <v>0</v>
      </c>
      <c r="AB1241" s="535">
        <v>5</v>
      </c>
      <c r="AC1241" s="39" t="s">
        <v>160</v>
      </c>
      <c r="AD1241" s="75" t="s">
        <v>10</v>
      </c>
      <c r="AE1241" s="95">
        <v>0</v>
      </c>
      <c r="AF1241" s="75">
        <v>0</v>
      </c>
      <c r="AG1241" s="75">
        <v>0</v>
      </c>
      <c r="AH1241" s="75">
        <v>0</v>
      </c>
      <c r="AI1241" s="75">
        <v>0</v>
      </c>
      <c r="AJ1241" s="75">
        <v>0</v>
      </c>
      <c r="AK1241" s="75">
        <v>0</v>
      </c>
      <c r="AL1241" s="95">
        <v>1</v>
      </c>
      <c r="AM1241" s="92">
        <v>0</v>
      </c>
      <c r="AN1241" s="79" t="s">
        <v>81</v>
      </c>
      <c r="AO1241" s="75">
        <v>1</v>
      </c>
      <c r="AP1241" s="75" t="s">
        <v>83</v>
      </c>
      <c r="AQ1241" s="122">
        <v>1</v>
      </c>
      <c r="AR1241" s="515" t="s">
        <v>10</v>
      </c>
      <c r="AS1241" s="95">
        <v>0</v>
      </c>
      <c r="AT1241" s="75">
        <v>0</v>
      </c>
      <c r="AU1241" s="75">
        <v>0</v>
      </c>
      <c r="AV1241" s="75">
        <v>0</v>
      </c>
      <c r="AW1241" s="123">
        <v>0</v>
      </c>
      <c r="AX1241" s="516" t="s">
        <v>3637</v>
      </c>
      <c r="AY1241" s="75">
        <v>1</v>
      </c>
      <c r="AZ1241" s="77" t="s">
        <v>131</v>
      </c>
      <c r="BA1241" s="78" t="s">
        <v>131</v>
      </c>
      <c r="BB1241" s="78" t="s">
        <v>131</v>
      </c>
      <c r="BC1241" s="78" t="s">
        <v>131</v>
      </c>
      <c r="BD1241" s="78" t="s">
        <v>131</v>
      </c>
      <c r="BE1241" s="78" t="s">
        <v>131</v>
      </c>
      <c r="BF1241" s="78" t="s">
        <v>131</v>
      </c>
      <c r="BG1241" s="78" t="s">
        <v>132</v>
      </c>
      <c r="BH1241" s="75" t="s">
        <v>5970</v>
      </c>
      <c r="BI1241" s="295" t="s">
        <v>3966</v>
      </c>
      <c r="BJ1241" s="546">
        <v>1</v>
      </c>
      <c r="BK1241" s="294">
        <v>1</v>
      </c>
      <c r="BL1241" s="157">
        <v>1</v>
      </c>
      <c r="BM1241" s="548" t="s">
        <v>1339</v>
      </c>
      <c r="BN1241" s="548" t="s">
        <v>1339</v>
      </c>
      <c r="BO1241" s="157" t="s">
        <v>4334</v>
      </c>
      <c r="BP1241" s="548" t="s">
        <v>3966</v>
      </c>
      <c r="BQ1241" s="157" t="s">
        <v>4330</v>
      </c>
      <c r="BR1241" s="157"/>
    </row>
    <row r="1242" spans="1:70" x14ac:dyDescent="0.25">
      <c r="A1242" s="19" t="s">
        <v>3686</v>
      </c>
      <c r="B1242" s="37" t="s">
        <v>3638</v>
      </c>
      <c r="C1242" s="90">
        <v>45026.812430555554</v>
      </c>
      <c r="D1242" s="114">
        <v>45026.562430555554</v>
      </c>
      <c r="E1242" s="38">
        <v>45026</v>
      </c>
      <c r="F1242" s="91">
        <v>2023</v>
      </c>
      <c r="G1242" s="93">
        <v>4</v>
      </c>
      <c r="H1242" s="37" t="s">
        <v>475</v>
      </c>
      <c r="I1242" s="37"/>
      <c r="J1242" s="103">
        <v>-92.244430246049447</v>
      </c>
      <c r="K1242" s="40">
        <v>44.301438010839334</v>
      </c>
      <c r="L1242" s="74"/>
      <c r="M1242" s="272" t="s">
        <v>16</v>
      </c>
      <c r="N1242" s="74">
        <v>0</v>
      </c>
      <c r="O1242" s="94"/>
      <c r="P1242" s="118">
        <v>1</v>
      </c>
      <c r="Q1242" s="510">
        <v>180</v>
      </c>
      <c r="R1242" s="513">
        <v>180</v>
      </c>
      <c r="S1242" s="41"/>
      <c r="T1242" s="40"/>
      <c r="U1242" s="40">
        <v>8</v>
      </c>
      <c r="V1242" s="119">
        <v>1</v>
      </c>
      <c r="W1242" s="40">
        <v>0</v>
      </c>
      <c r="X1242" s="119">
        <v>1</v>
      </c>
      <c r="Y1242" s="40">
        <v>56</v>
      </c>
      <c r="Z1242" s="119">
        <v>1</v>
      </c>
      <c r="AA1242" s="368">
        <v>0</v>
      </c>
      <c r="AB1242" s="535">
        <v>5</v>
      </c>
      <c r="AC1242" s="39" t="s">
        <v>160</v>
      </c>
      <c r="AD1242" s="75" t="s">
        <v>8</v>
      </c>
      <c r="AE1242" s="95">
        <v>0</v>
      </c>
      <c r="AF1242" s="75">
        <v>1</v>
      </c>
      <c r="AG1242" s="75">
        <v>0</v>
      </c>
      <c r="AH1242" s="75">
        <v>0</v>
      </c>
      <c r="AI1242" s="75">
        <v>0</v>
      </c>
      <c r="AJ1242" s="75">
        <v>0</v>
      </c>
      <c r="AK1242" s="75">
        <v>0</v>
      </c>
      <c r="AL1242" s="95">
        <v>0</v>
      </c>
      <c r="AM1242" s="92">
        <v>0</v>
      </c>
      <c r="AN1242" s="79" t="s">
        <v>80</v>
      </c>
      <c r="AO1242" s="75">
        <v>1</v>
      </c>
      <c r="AP1242" s="75" t="s">
        <v>83</v>
      </c>
      <c r="AQ1242" s="122">
        <v>1</v>
      </c>
      <c r="AR1242" s="515" t="s">
        <v>10</v>
      </c>
      <c r="AS1242" s="95">
        <v>0</v>
      </c>
      <c r="AT1242" s="75">
        <v>0</v>
      </c>
      <c r="AU1242" s="75">
        <v>0</v>
      </c>
      <c r="AV1242" s="75">
        <v>0</v>
      </c>
      <c r="AW1242" s="123">
        <v>0</v>
      </c>
      <c r="AX1242" s="516" t="s">
        <v>3639</v>
      </c>
      <c r="AY1242" s="75">
        <v>1</v>
      </c>
      <c r="AZ1242" s="77" t="s">
        <v>131</v>
      </c>
      <c r="BA1242" s="78" t="s">
        <v>132</v>
      </c>
      <c r="BB1242" s="78" t="s">
        <v>131</v>
      </c>
      <c r="BC1242" s="78" t="s">
        <v>131</v>
      </c>
      <c r="BD1242" s="78" t="s">
        <v>131</v>
      </c>
      <c r="BE1242" s="78" t="s">
        <v>131</v>
      </c>
      <c r="BF1242" s="78" t="s">
        <v>131</v>
      </c>
      <c r="BG1242" s="78" t="s">
        <v>131</v>
      </c>
      <c r="BH1242" s="75" t="s">
        <v>5970</v>
      </c>
      <c r="BI1242" s="295" t="s">
        <v>2237</v>
      </c>
      <c r="BJ1242" s="546">
        <v>1</v>
      </c>
      <c r="BK1242" s="294" t="s">
        <v>16</v>
      </c>
      <c r="BL1242" s="157" t="s">
        <v>16</v>
      </c>
      <c r="BM1242" s="548" t="s">
        <v>1339</v>
      </c>
      <c r="BN1242" s="548" t="s">
        <v>1339</v>
      </c>
      <c r="BO1242" s="157" t="s">
        <v>4648</v>
      </c>
      <c r="BP1242" s="548" t="s">
        <v>2237</v>
      </c>
      <c r="BQ1242" s="157" t="s">
        <v>4330</v>
      </c>
      <c r="BR1242" s="157"/>
    </row>
    <row r="1243" spans="1:70" x14ac:dyDescent="0.25">
      <c r="A1243" s="19" t="s">
        <v>3686</v>
      </c>
      <c r="B1243" s="37" t="s">
        <v>3640</v>
      </c>
      <c r="C1243" s="90">
        <v>45026.75</v>
      </c>
      <c r="D1243" s="114">
        <v>45026.5</v>
      </c>
      <c r="E1243" s="38">
        <v>45026</v>
      </c>
      <c r="F1243" s="91">
        <v>2023</v>
      </c>
      <c r="G1243" s="93">
        <v>4</v>
      </c>
      <c r="H1243" s="37" t="s">
        <v>302</v>
      </c>
      <c r="I1243" s="37"/>
      <c r="J1243" s="103">
        <v>-92.064189446522462</v>
      </c>
      <c r="K1243" s="40">
        <v>43.667133077193235</v>
      </c>
      <c r="L1243" s="74"/>
      <c r="M1243" s="272" t="s">
        <v>16</v>
      </c>
      <c r="N1243" s="74">
        <v>0</v>
      </c>
      <c r="O1243" s="94"/>
      <c r="P1243" s="118">
        <v>1</v>
      </c>
      <c r="Q1243" s="510">
        <v>180</v>
      </c>
      <c r="R1243" s="513">
        <v>180</v>
      </c>
      <c r="S1243" s="41"/>
      <c r="T1243" s="40"/>
      <c r="U1243" s="40">
        <v>8</v>
      </c>
      <c r="V1243" s="119">
        <v>1</v>
      </c>
      <c r="W1243" s="40">
        <v>0</v>
      </c>
      <c r="X1243" s="119">
        <v>0</v>
      </c>
      <c r="Y1243" s="40"/>
      <c r="Z1243" s="119">
        <v>1</v>
      </c>
      <c r="AA1243" s="368">
        <v>0</v>
      </c>
      <c r="AB1243" s="535">
        <v>2</v>
      </c>
      <c r="AC1243" s="39" t="s">
        <v>160</v>
      </c>
      <c r="AD1243" s="75" t="s">
        <v>439</v>
      </c>
      <c r="AE1243" s="95">
        <v>0</v>
      </c>
      <c r="AF1243" s="75">
        <v>1</v>
      </c>
      <c r="AG1243" s="75">
        <v>0</v>
      </c>
      <c r="AH1243" s="75">
        <v>0</v>
      </c>
      <c r="AI1243" s="75">
        <v>1</v>
      </c>
      <c r="AJ1243" s="75">
        <v>0</v>
      </c>
      <c r="AK1243" s="75">
        <v>0</v>
      </c>
      <c r="AL1243" s="95">
        <v>0</v>
      </c>
      <c r="AM1243" s="92">
        <v>0</v>
      </c>
      <c r="AN1243" s="79" t="s">
        <v>80</v>
      </c>
      <c r="AO1243" s="75">
        <v>1</v>
      </c>
      <c r="AP1243" s="75" t="s">
        <v>83</v>
      </c>
      <c r="AQ1243" s="122">
        <v>1</v>
      </c>
      <c r="AR1243" s="515" t="s">
        <v>10</v>
      </c>
      <c r="AS1243" s="95">
        <v>0</v>
      </c>
      <c r="AT1243" s="75">
        <v>0</v>
      </c>
      <c r="AU1243" s="75">
        <v>0</v>
      </c>
      <c r="AV1243" s="75">
        <v>0</v>
      </c>
      <c r="AW1243" s="123">
        <v>0</v>
      </c>
      <c r="AX1243" s="516" t="s">
        <v>2269</v>
      </c>
      <c r="AY1243" s="75">
        <v>1</v>
      </c>
      <c r="AZ1243" s="77" t="s">
        <v>131</v>
      </c>
      <c r="BA1243" s="78" t="s">
        <v>132</v>
      </c>
      <c r="BB1243" s="78" t="s">
        <v>131</v>
      </c>
      <c r="BC1243" s="78" t="s">
        <v>131</v>
      </c>
      <c r="BD1243" s="78" t="s">
        <v>132</v>
      </c>
      <c r="BE1243" s="78" t="s">
        <v>131</v>
      </c>
      <c r="BF1243" s="78" t="s">
        <v>131</v>
      </c>
      <c r="BG1243" s="78" t="s">
        <v>131</v>
      </c>
      <c r="BH1243" s="75" t="s">
        <v>5970</v>
      </c>
      <c r="BI1243" s="295" t="s">
        <v>2269</v>
      </c>
      <c r="BJ1243" s="546">
        <v>1</v>
      </c>
      <c r="BK1243" s="294" t="s">
        <v>16</v>
      </c>
      <c r="BL1243" s="157" t="s">
        <v>16</v>
      </c>
      <c r="BM1243" s="548" t="s">
        <v>1339</v>
      </c>
      <c r="BN1243" s="548" t="s">
        <v>4160</v>
      </c>
      <c r="BO1243" s="157" t="s">
        <v>4528</v>
      </c>
      <c r="BP1243" s="548" t="s">
        <v>2269</v>
      </c>
      <c r="BQ1243" s="157" t="s">
        <v>4229</v>
      </c>
      <c r="BR1243" s="157"/>
    </row>
    <row r="1244" spans="1:70" x14ac:dyDescent="0.25">
      <c r="A1244" s="19" t="s">
        <v>3686</v>
      </c>
      <c r="B1244" s="37" t="s">
        <v>3641</v>
      </c>
      <c r="C1244" s="90">
        <v>45026.70716435185</v>
      </c>
      <c r="D1244" s="114">
        <v>45026.45716435185</v>
      </c>
      <c r="E1244" s="38">
        <v>45026</v>
      </c>
      <c r="F1244" s="91">
        <v>2023</v>
      </c>
      <c r="G1244" s="93">
        <v>4</v>
      </c>
      <c r="H1244" s="37" t="s">
        <v>475</v>
      </c>
      <c r="I1244" s="37" t="s">
        <v>16</v>
      </c>
      <c r="J1244" s="103">
        <v>-92.504283848583896</v>
      </c>
      <c r="K1244" s="40">
        <v>44.265926805462939</v>
      </c>
      <c r="L1244" s="74"/>
      <c r="M1244" s="272" t="s">
        <v>3642</v>
      </c>
      <c r="N1244" s="74">
        <v>1</v>
      </c>
      <c r="O1244" s="94"/>
      <c r="P1244" s="118">
        <v>0</v>
      </c>
      <c r="Q1244" s="510"/>
      <c r="R1244" s="513"/>
      <c r="S1244" s="41"/>
      <c r="T1244" s="40"/>
      <c r="U1244" s="40"/>
      <c r="V1244" s="119">
        <v>1</v>
      </c>
      <c r="W1244" s="40">
        <v>0</v>
      </c>
      <c r="X1244" s="119">
        <v>1</v>
      </c>
      <c r="Y1244" s="40">
        <v>50</v>
      </c>
      <c r="Z1244" s="119">
        <v>1</v>
      </c>
      <c r="AA1244" s="368">
        <v>0</v>
      </c>
      <c r="AB1244" s="535">
        <v>10</v>
      </c>
      <c r="AC1244" s="39" t="s">
        <v>160</v>
      </c>
      <c r="AD1244" s="75" t="s">
        <v>8</v>
      </c>
      <c r="AE1244" s="95">
        <v>0</v>
      </c>
      <c r="AF1244" s="75">
        <v>1</v>
      </c>
      <c r="AG1244" s="75">
        <v>0</v>
      </c>
      <c r="AH1244" s="75">
        <v>0</v>
      </c>
      <c r="AI1244" s="75">
        <v>0</v>
      </c>
      <c r="AJ1244" s="75">
        <v>0</v>
      </c>
      <c r="AK1244" s="75">
        <v>0</v>
      </c>
      <c r="AL1244" s="95">
        <v>0</v>
      </c>
      <c r="AM1244" s="92">
        <v>0</v>
      </c>
      <c r="AN1244" s="79" t="s">
        <v>81</v>
      </c>
      <c r="AO1244" s="75">
        <v>1</v>
      </c>
      <c r="AP1244" s="75" t="s">
        <v>83</v>
      </c>
      <c r="AQ1244" s="122">
        <v>1</v>
      </c>
      <c r="AR1244" s="515" t="s">
        <v>10</v>
      </c>
      <c r="AS1244" s="95">
        <v>0</v>
      </c>
      <c r="AT1244" s="75">
        <v>0</v>
      </c>
      <c r="AU1244" s="75">
        <v>0</v>
      </c>
      <c r="AV1244" s="75">
        <v>0</v>
      </c>
      <c r="AW1244" s="123">
        <v>0</v>
      </c>
      <c r="AX1244" s="516" t="s">
        <v>3643</v>
      </c>
      <c r="AY1244" s="75">
        <v>1</v>
      </c>
      <c r="AZ1244" s="77" t="s">
        <v>131</v>
      </c>
      <c r="BA1244" s="78" t="s">
        <v>132</v>
      </c>
      <c r="BB1244" s="78" t="s">
        <v>131</v>
      </c>
      <c r="BC1244" s="78" t="s">
        <v>131</v>
      </c>
      <c r="BD1244" s="78" t="s">
        <v>131</v>
      </c>
      <c r="BE1244" s="78" t="s">
        <v>131</v>
      </c>
      <c r="BF1244" s="78" t="s">
        <v>131</v>
      </c>
      <c r="BG1244" s="78" t="s">
        <v>131</v>
      </c>
      <c r="BH1244" s="75" t="s">
        <v>5970</v>
      </c>
      <c r="BI1244" s="295" t="s">
        <v>753</v>
      </c>
      <c r="BJ1244" s="546">
        <v>1</v>
      </c>
      <c r="BK1244" s="294" t="s">
        <v>16</v>
      </c>
      <c r="BL1244" s="157" t="s">
        <v>16</v>
      </c>
      <c r="BM1244" s="548" t="s">
        <v>1339</v>
      </c>
      <c r="BN1244" s="548" t="s">
        <v>1339</v>
      </c>
      <c r="BO1244" s="157" t="s">
        <v>4256</v>
      </c>
      <c r="BP1244" s="548" t="s">
        <v>4257</v>
      </c>
      <c r="BQ1244" s="157" t="s">
        <v>4255</v>
      </c>
      <c r="BR1244" s="157"/>
    </row>
    <row r="1245" spans="1:70" x14ac:dyDescent="0.25">
      <c r="A1245" s="19" t="s">
        <v>3686</v>
      </c>
      <c r="B1245" s="37" t="s">
        <v>3644</v>
      </c>
      <c r="C1245" s="90">
        <v>45024.768993055557</v>
      </c>
      <c r="D1245" s="114">
        <v>45024.518993055557</v>
      </c>
      <c r="E1245" s="38">
        <v>45024</v>
      </c>
      <c r="F1245" s="91">
        <v>2023</v>
      </c>
      <c r="G1245" s="93">
        <v>4</v>
      </c>
      <c r="H1245" s="37" t="s">
        <v>379</v>
      </c>
      <c r="I1245" s="37" t="s">
        <v>642</v>
      </c>
      <c r="J1245" s="103">
        <v>-92.583487378519564</v>
      </c>
      <c r="K1245" s="40">
        <v>44.848865023855907</v>
      </c>
      <c r="L1245" s="74"/>
      <c r="M1245" s="272" t="s">
        <v>16</v>
      </c>
      <c r="N1245" s="74">
        <v>0</v>
      </c>
      <c r="O1245" s="94"/>
      <c r="P1245" s="118">
        <v>1</v>
      </c>
      <c r="Q1245" s="510">
        <v>80</v>
      </c>
      <c r="R1245" s="513">
        <v>60</v>
      </c>
      <c r="S1245" s="41"/>
      <c r="T1245" s="40"/>
      <c r="U1245" s="40">
        <v>7</v>
      </c>
      <c r="V1245" s="119">
        <v>1</v>
      </c>
      <c r="W1245" s="40">
        <v>100</v>
      </c>
      <c r="X1245" s="119">
        <v>1</v>
      </c>
      <c r="Y1245" s="40">
        <v>41</v>
      </c>
      <c r="Z1245" s="119">
        <v>1</v>
      </c>
      <c r="AA1245" s="368">
        <v>0</v>
      </c>
      <c r="AB1245" s="535">
        <v>2</v>
      </c>
      <c r="AC1245" s="39" t="s">
        <v>160</v>
      </c>
      <c r="AD1245" s="75" t="s">
        <v>16</v>
      </c>
      <c r="AE1245" s="95">
        <v>-1</v>
      </c>
      <c r="AF1245" s="75">
        <v>-1</v>
      </c>
      <c r="AG1245" s="75">
        <v>-1</v>
      </c>
      <c r="AH1245" s="75">
        <v>-1</v>
      </c>
      <c r="AI1245" s="75">
        <v>-1</v>
      </c>
      <c r="AJ1245" s="75">
        <v>-1</v>
      </c>
      <c r="AK1245" s="75">
        <v>-1</v>
      </c>
      <c r="AL1245" s="95">
        <v>-1</v>
      </c>
      <c r="AM1245" s="92">
        <v>1</v>
      </c>
      <c r="AN1245" s="79" t="s">
        <v>81</v>
      </c>
      <c r="AO1245" s="75">
        <v>1</v>
      </c>
      <c r="AP1245" s="75" t="s">
        <v>85</v>
      </c>
      <c r="AQ1245" s="122">
        <v>1</v>
      </c>
      <c r="AR1245" s="515" t="s">
        <v>58</v>
      </c>
      <c r="AS1245" s="95">
        <v>0</v>
      </c>
      <c r="AT1245" s="75">
        <v>0</v>
      </c>
      <c r="AU1245" s="75">
        <v>1</v>
      </c>
      <c r="AV1245" s="75">
        <v>0</v>
      </c>
      <c r="AW1245" s="123">
        <v>0</v>
      </c>
      <c r="AX1245" s="516"/>
      <c r="AY1245" s="75">
        <v>0</v>
      </c>
      <c r="AZ1245" s="77" t="s">
        <v>5971</v>
      </c>
      <c r="BA1245" s="78" t="s">
        <v>5971</v>
      </c>
      <c r="BB1245" s="78" t="s">
        <v>5971</v>
      </c>
      <c r="BC1245" s="78" t="s">
        <v>5971</v>
      </c>
      <c r="BD1245" s="78" t="s">
        <v>5971</v>
      </c>
      <c r="BE1245" s="78" t="s">
        <v>5971</v>
      </c>
      <c r="BF1245" s="78" t="s">
        <v>5971</v>
      </c>
      <c r="BG1245" s="78" t="s">
        <v>5971</v>
      </c>
      <c r="BH1245" s="75" t="s">
        <v>5971</v>
      </c>
      <c r="BI1245" s="295" t="s">
        <v>16</v>
      </c>
      <c r="BJ1245" s="546">
        <v>1</v>
      </c>
      <c r="BK1245" s="294">
        <v>1</v>
      </c>
      <c r="BL1245" s="157">
        <v>1</v>
      </c>
      <c r="BM1245" s="548" t="s">
        <v>578</v>
      </c>
      <c r="BN1245" s="548" t="s">
        <v>578</v>
      </c>
      <c r="BO1245" s="157" t="s">
        <v>4310</v>
      </c>
      <c r="BP1245" s="548" t="s">
        <v>2226</v>
      </c>
      <c r="BQ1245" s="157" t="s">
        <v>4309</v>
      </c>
      <c r="BR1245" s="157"/>
    </row>
    <row r="1246" spans="1:70" x14ac:dyDescent="0.25">
      <c r="A1246" s="19" t="s">
        <v>3686</v>
      </c>
      <c r="B1246" s="37" t="s">
        <v>3645</v>
      </c>
      <c r="C1246" s="90">
        <v>45024.71</v>
      </c>
      <c r="D1246" s="114">
        <v>45024.46</v>
      </c>
      <c r="E1246" s="38">
        <v>45024</v>
      </c>
      <c r="F1246" s="91">
        <v>2023</v>
      </c>
      <c r="G1246" s="93">
        <v>4</v>
      </c>
      <c r="H1246" s="37" t="s">
        <v>611</v>
      </c>
      <c r="I1246" s="37" t="s">
        <v>16</v>
      </c>
      <c r="J1246" s="103">
        <v>-92.433265300000002</v>
      </c>
      <c r="K1246" s="40">
        <v>44.291809600000001</v>
      </c>
      <c r="L1246" s="74"/>
      <c r="M1246" s="272" t="s">
        <v>16</v>
      </c>
      <c r="N1246" s="74">
        <v>0</v>
      </c>
      <c r="O1246" s="94"/>
      <c r="P1246" s="118">
        <v>1</v>
      </c>
      <c r="Q1246" s="510">
        <v>120</v>
      </c>
      <c r="R1246" s="513">
        <v>120</v>
      </c>
      <c r="S1246" s="41"/>
      <c r="T1246" s="40"/>
      <c r="U1246" s="40">
        <v>7</v>
      </c>
      <c r="V1246" s="119">
        <v>1</v>
      </c>
      <c r="W1246" s="40">
        <v>100</v>
      </c>
      <c r="X1246" s="119">
        <v>1</v>
      </c>
      <c r="Y1246" s="40">
        <v>47</v>
      </c>
      <c r="Z1246" s="119">
        <v>1</v>
      </c>
      <c r="AA1246" s="368">
        <v>0</v>
      </c>
      <c r="AB1246" s="535">
        <v>5</v>
      </c>
      <c r="AC1246" s="39" t="s">
        <v>162</v>
      </c>
      <c r="AD1246" s="75" t="s">
        <v>10</v>
      </c>
      <c r="AE1246" s="95">
        <v>0</v>
      </c>
      <c r="AF1246" s="75">
        <v>0</v>
      </c>
      <c r="AG1246" s="75">
        <v>0</v>
      </c>
      <c r="AH1246" s="75">
        <v>0</v>
      </c>
      <c r="AI1246" s="75">
        <v>0</v>
      </c>
      <c r="AJ1246" s="75">
        <v>0</v>
      </c>
      <c r="AK1246" s="75">
        <v>0</v>
      </c>
      <c r="AL1246" s="95">
        <v>1</v>
      </c>
      <c r="AM1246" s="92">
        <v>0</v>
      </c>
      <c r="AN1246" s="79" t="s">
        <v>80</v>
      </c>
      <c r="AO1246" s="75">
        <v>1</v>
      </c>
      <c r="AP1246" s="75" t="s">
        <v>83</v>
      </c>
      <c r="AQ1246" s="122">
        <v>1</v>
      </c>
      <c r="AR1246" s="515" t="s">
        <v>10</v>
      </c>
      <c r="AS1246" s="95">
        <v>0</v>
      </c>
      <c r="AT1246" s="75">
        <v>0</v>
      </c>
      <c r="AU1246" s="75">
        <v>0</v>
      </c>
      <c r="AV1246" s="75">
        <v>0</v>
      </c>
      <c r="AW1246" s="123">
        <v>0</v>
      </c>
      <c r="AX1246" s="516" t="s">
        <v>3646</v>
      </c>
      <c r="AY1246" s="75">
        <v>1</v>
      </c>
      <c r="AZ1246" s="77" t="s">
        <v>131</v>
      </c>
      <c r="BA1246" s="78" t="s">
        <v>131</v>
      </c>
      <c r="BB1246" s="78" t="s">
        <v>131</v>
      </c>
      <c r="BC1246" s="78" t="s">
        <v>131</v>
      </c>
      <c r="BD1246" s="78" t="s">
        <v>131</v>
      </c>
      <c r="BE1246" s="78" t="s">
        <v>131</v>
      </c>
      <c r="BF1246" s="78" t="s">
        <v>131</v>
      </c>
      <c r="BG1246" s="78" t="s">
        <v>132</v>
      </c>
      <c r="BH1246" s="75" t="s">
        <v>5970</v>
      </c>
      <c r="BI1246" s="295" t="s">
        <v>2234</v>
      </c>
      <c r="BJ1246" s="546">
        <v>1</v>
      </c>
      <c r="BK1246" s="294">
        <v>1</v>
      </c>
      <c r="BL1246" s="157">
        <v>1</v>
      </c>
      <c r="BM1246" s="548" t="s">
        <v>1339</v>
      </c>
      <c r="BN1246" s="548" t="s">
        <v>1339</v>
      </c>
      <c r="BO1246" s="157" t="s">
        <v>4331</v>
      </c>
      <c r="BP1246" s="548" t="s">
        <v>2234</v>
      </c>
      <c r="BQ1246" s="157" t="s">
        <v>4330</v>
      </c>
      <c r="BR1246" s="157"/>
    </row>
    <row r="1247" spans="1:70" x14ac:dyDescent="0.25">
      <c r="A1247" s="19" t="s">
        <v>3686</v>
      </c>
      <c r="B1247" s="37" t="s">
        <v>3647</v>
      </c>
      <c r="C1247" s="90">
        <v>45024.017581018517</v>
      </c>
      <c r="D1247" s="114">
        <v>45023.767581018517</v>
      </c>
      <c r="E1247" s="38">
        <v>45023</v>
      </c>
      <c r="F1247" s="91">
        <v>2023</v>
      </c>
      <c r="G1247" s="93">
        <v>4</v>
      </c>
      <c r="H1247" s="37" t="s">
        <v>302</v>
      </c>
      <c r="I1247" s="37"/>
      <c r="J1247" s="103">
        <v>-91.684322906743446</v>
      </c>
      <c r="K1247" s="40">
        <v>43.904938842211067</v>
      </c>
      <c r="L1247" s="74"/>
      <c r="M1247" s="272" t="s">
        <v>16</v>
      </c>
      <c r="N1247" s="74">
        <v>0</v>
      </c>
      <c r="O1247" s="94"/>
      <c r="P1247" s="118">
        <v>1</v>
      </c>
      <c r="Q1247" s="510">
        <v>180</v>
      </c>
      <c r="R1247" s="513">
        <v>180</v>
      </c>
      <c r="S1247" s="41"/>
      <c r="T1247" s="40"/>
      <c r="U1247" s="40">
        <v>7</v>
      </c>
      <c r="V1247" s="119">
        <v>1</v>
      </c>
      <c r="W1247" s="40">
        <v>0</v>
      </c>
      <c r="X1247" s="119">
        <v>0</v>
      </c>
      <c r="Y1247" s="40"/>
      <c r="Z1247" s="119">
        <v>1</v>
      </c>
      <c r="AA1247" s="368">
        <v>0</v>
      </c>
      <c r="AB1247" s="535">
        <v>2</v>
      </c>
      <c r="AC1247" s="39" t="s">
        <v>160</v>
      </c>
      <c r="AD1247" s="75" t="s">
        <v>718</v>
      </c>
      <c r="AE1247" s="95">
        <v>0</v>
      </c>
      <c r="AF1247" s="75">
        <v>1</v>
      </c>
      <c r="AG1247" s="75">
        <v>0</v>
      </c>
      <c r="AH1247" s="75">
        <v>1</v>
      </c>
      <c r="AI1247" s="75">
        <v>0</v>
      </c>
      <c r="AJ1247" s="75">
        <v>0</v>
      </c>
      <c r="AK1247" s="75">
        <v>0</v>
      </c>
      <c r="AL1247" s="95">
        <v>0</v>
      </c>
      <c r="AM1247" s="92">
        <v>0</v>
      </c>
      <c r="AN1247" s="79" t="s">
        <v>80</v>
      </c>
      <c r="AO1247" s="75">
        <v>1</v>
      </c>
      <c r="AP1247" s="75" t="s">
        <v>84</v>
      </c>
      <c r="AQ1247" s="122">
        <v>1</v>
      </c>
      <c r="AR1247" s="515" t="s">
        <v>10</v>
      </c>
      <c r="AS1247" s="95">
        <v>0</v>
      </c>
      <c r="AT1247" s="75">
        <v>0</v>
      </c>
      <c r="AU1247" s="75">
        <v>0</v>
      </c>
      <c r="AV1247" s="75">
        <v>0</v>
      </c>
      <c r="AW1247" s="123">
        <v>0</v>
      </c>
      <c r="AX1247" s="516"/>
      <c r="AY1247" s="75">
        <v>0</v>
      </c>
      <c r="AZ1247" s="77" t="s">
        <v>131</v>
      </c>
      <c r="BA1247" s="78" t="s">
        <v>132</v>
      </c>
      <c r="BB1247" s="78" t="s">
        <v>131</v>
      </c>
      <c r="BC1247" s="78" t="s">
        <v>132</v>
      </c>
      <c r="BD1247" s="78" t="s">
        <v>131</v>
      </c>
      <c r="BE1247" s="78" t="s">
        <v>131</v>
      </c>
      <c r="BF1247" s="78" t="s">
        <v>131</v>
      </c>
      <c r="BG1247" s="78" t="s">
        <v>131</v>
      </c>
      <c r="BH1247" s="75" t="s">
        <v>5970</v>
      </c>
      <c r="BI1247" s="295">
        <v>0</v>
      </c>
      <c r="BJ1247" s="546">
        <v>1</v>
      </c>
      <c r="BK1247" s="294" t="s">
        <v>16</v>
      </c>
      <c r="BL1247" s="157" t="s">
        <v>16</v>
      </c>
      <c r="BM1247" s="548" t="s">
        <v>1341</v>
      </c>
      <c r="BN1247" s="548" t="s">
        <v>4160</v>
      </c>
      <c r="BO1247" s="157" t="s">
        <v>4650</v>
      </c>
      <c r="BP1247" s="548" t="s">
        <v>4651</v>
      </c>
      <c r="BQ1247" s="157" t="s">
        <v>4649</v>
      </c>
      <c r="BR1247" s="157"/>
    </row>
    <row r="1248" spans="1:70" x14ac:dyDescent="0.25">
      <c r="A1248" s="19" t="s">
        <v>3686</v>
      </c>
      <c r="B1248" s="37" t="s">
        <v>3648</v>
      </c>
      <c r="C1248" s="90">
        <v>45023.741087962961</v>
      </c>
      <c r="D1248" s="114">
        <v>45023.491087962961</v>
      </c>
      <c r="E1248" s="38">
        <v>45023</v>
      </c>
      <c r="F1248" s="91">
        <v>2023</v>
      </c>
      <c r="G1248" s="93">
        <v>4</v>
      </c>
      <c r="H1248" s="37" t="s">
        <v>260</v>
      </c>
      <c r="I1248" s="37" t="s">
        <v>337</v>
      </c>
      <c r="J1248" s="103">
        <v>-92.644970481267677</v>
      </c>
      <c r="K1248" s="40">
        <v>44.843613507489927</v>
      </c>
      <c r="L1248" s="74"/>
      <c r="M1248" s="272" t="s">
        <v>16</v>
      </c>
      <c r="N1248" s="74">
        <v>0</v>
      </c>
      <c r="O1248" s="94"/>
      <c r="P1248" s="118">
        <v>0</v>
      </c>
      <c r="Q1248" s="510"/>
      <c r="R1248" s="513"/>
      <c r="S1248" s="41"/>
      <c r="T1248" s="40"/>
      <c r="U1248" s="40"/>
      <c r="V1248" s="119">
        <v>0</v>
      </c>
      <c r="W1248" s="40"/>
      <c r="X1248" s="119">
        <v>0</v>
      </c>
      <c r="Y1248" s="40"/>
      <c r="Z1248" s="119">
        <v>1</v>
      </c>
      <c r="AA1248" s="368">
        <v>0</v>
      </c>
      <c r="AB1248" s="535">
        <v>5</v>
      </c>
      <c r="AC1248" s="39" t="s">
        <v>160</v>
      </c>
      <c r="AD1248" s="75" t="s">
        <v>10</v>
      </c>
      <c r="AE1248" s="95">
        <v>0</v>
      </c>
      <c r="AF1248" s="75">
        <v>0</v>
      </c>
      <c r="AG1248" s="75">
        <v>0</v>
      </c>
      <c r="AH1248" s="75">
        <v>0</v>
      </c>
      <c r="AI1248" s="75">
        <v>0</v>
      </c>
      <c r="AJ1248" s="75">
        <v>0</v>
      </c>
      <c r="AK1248" s="75">
        <v>0</v>
      </c>
      <c r="AL1248" s="95">
        <v>1</v>
      </c>
      <c r="AM1248" s="92">
        <v>0</v>
      </c>
      <c r="AN1248" s="79" t="s">
        <v>195</v>
      </c>
      <c r="AO1248" s="75">
        <v>1</v>
      </c>
      <c r="AP1248" s="75" t="s">
        <v>84</v>
      </c>
      <c r="AQ1248" s="122">
        <v>1</v>
      </c>
      <c r="AR1248" s="515" t="s">
        <v>58</v>
      </c>
      <c r="AS1248" s="95">
        <v>0</v>
      </c>
      <c r="AT1248" s="75">
        <v>0</v>
      </c>
      <c r="AU1248" s="75">
        <v>1</v>
      </c>
      <c r="AV1248" s="75">
        <v>0</v>
      </c>
      <c r="AW1248" s="123">
        <v>0</v>
      </c>
      <c r="AX1248" s="516" t="s">
        <v>3649</v>
      </c>
      <c r="AY1248" s="75">
        <v>1</v>
      </c>
      <c r="AZ1248" s="77" t="s">
        <v>131</v>
      </c>
      <c r="BA1248" s="78" t="s">
        <v>131</v>
      </c>
      <c r="BB1248" s="78" t="s">
        <v>131</v>
      </c>
      <c r="BC1248" s="78" t="s">
        <v>131</v>
      </c>
      <c r="BD1248" s="78" t="s">
        <v>131</v>
      </c>
      <c r="BE1248" s="78" t="s">
        <v>131</v>
      </c>
      <c r="BF1248" s="78" t="s">
        <v>131</v>
      </c>
      <c r="BG1248" s="78" t="s">
        <v>132</v>
      </c>
      <c r="BH1248" s="75" t="s">
        <v>5970</v>
      </c>
      <c r="BI1248" s="295" t="s">
        <v>2227</v>
      </c>
      <c r="BJ1248" s="546">
        <v>1</v>
      </c>
      <c r="BK1248" s="294" t="s">
        <v>16</v>
      </c>
      <c r="BL1248" s="157" t="s">
        <v>16</v>
      </c>
      <c r="BM1248" s="548" t="s">
        <v>578</v>
      </c>
      <c r="BN1248" s="548" t="s">
        <v>578</v>
      </c>
      <c r="BO1248" s="157" t="s">
        <v>4341</v>
      </c>
      <c r="BP1248" s="548" t="s">
        <v>4343</v>
      </c>
      <c r="BQ1248" s="157" t="s">
        <v>4309</v>
      </c>
      <c r="BR1248" s="157"/>
    </row>
    <row r="1249" spans="1:70" x14ac:dyDescent="0.25">
      <c r="A1249" s="19" t="s">
        <v>3686</v>
      </c>
      <c r="B1249" s="37" t="s">
        <v>3650</v>
      </c>
      <c r="C1249" s="90">
        <v>45023.73065972222</v>
      </c>
      <c r="D1249" s="114">
        <v>45023.48065972222</v>
      </c>
      <c r="E1249" s="38">
        <v>45023</v>
      </c>
      <c r="F1249" s="91">
        <v>2023</v>
      </c>
      <c r="G1249" s="93">
        <v>4</v>
      </c>
      <c r="H1249" s="37" t="s">
        <v>260</v>
      </c>
      <c r="I1249" s="37" t="s">
        <v>337</v>
      </c>
      <c r="J1249" s="103">
        <v>-92.644941836906924</v>
      </c>
      <c r="K1249" s="40">
        <v>44.843574363560045</v>
      </c>
      <c r="L1249" s="74"/>
      <c r="M1249" s="272" t="s">
        <v>3651</v>
      </c>
      <c r="N1249" s="74">
        <v>1</v>
      </c>
      <c r="O1249" s="94"/>
      <c r="P1249" s="118">
        <v>1</v>
      </c>
      <c r="Q1249" s="510">
        <v>80</v>
      </c>
      <c r="R1249" s="513">
        <v>180</v>
      </c>
      <c r="S1249" s="41"/>
      <c r="T1249" s="40"/>
      <c r="U1249" s="40">
        <v>7.5</v>
      </c>
      <c r="V1249" s="119">
        <v>1</v>
      </c>
      <c r="W1249" s="40">
        <v>0</v>
      </c>
      <c r="X1249" s="119">
        <v>1</v>
      </c>
      <c r="Y1249" s="40">
        <v>41</v>
      </c>
      <c r="Z1249" s="119">
        <v>1</v>
      </c>
      <c r="AA1249" s="368">
        <v>0</v>
      </c>
      <c r="AB1249" s="535">
        <v>5</v>
      </c>
      <c r="AC1249" s="39" t="s">
        <v>160</v>
      </c>
      <c r="AD1249" s="75" t="s">
        <v>10</v>
      </c>
      <c r="AE1249" s="95">
        <v>0</v>
      </c>
      <c r="AF1249" s="75">
        <v>0</v>
      </c>
      <c r="AG1249" s="75">
        <v>0</v>
      </c>
      <c r="AH1249" s="75">
        <v>0</v>
      </c>
      <c r="AI1249" s="75">
        <v>0</v>
      </c>
      <c r="AJ1249" s="75">
        <v>0</v>
      </c>
      <c r="AK1249" s="75">
        <v>0</v>
      </c>
      <c r="AL1249" s="95">
        <v>1</v>
      </c>
      <c r="AM1249" s="92">
        <v>0</v>
      </c>
      <c r="AN1249" s="79" t="s">
        <v>195</v>
      </c>
      <c r="AO1249" s="75">
        <v>1</v>
      </c>
      <c r="AP1249" s="75" t="s">
        <v>84</v>
      </c>
      <c r="AQ1249" s="122">
        <v>1</v>
      </c>
      <c r="AR1249" s="515" t="s">
        <v>58</v>
      </c>
      <c r="AS1249" s="95">
        <v>0</v>
      </c>
      <c r="AT1249" s="75">
        <v>0</v>
      </c>
      <c r="AU1249" s="75">
        <v>1</v>
      </c>
      <c r="AV1249" s="75">
        <v>0</v>
      </c>
      <c r="AW1249" s="123">
        <v>0</v>
      </c>
      <c r="AX1249" s="516" t="s">
        <v>3652</v>
      </c>
      <c r="AY1249" s="75">
        <v>1</v>
      </c>
      <c r="AZ1249" s="77" t="s">
        <v>131</v>
      </c>
      <c r="BA1249" s="78" t="s">
        <v>131</v>
      </c>
      <c r="BB1249" s="78" t="s">
        <v>131</v>
      </c>
      <c r="BC1249" s="78" t="s">
        <v>131</v>
      </c>
      <c r="BD1249" s="78" t="s">
        <v>131</v>
      </c>
      <c r="BE1249" s="78" t="s">
        <v>131</v>
      </c>
      <c r="BF1249" s="78" t="s">
        <v>131</v>
      </c>
      <c r="BG1249" s="78" t="s">
        <v>132</v>
      </c>
      <c r="BH1249" s="75" t="s">
        <v>5970</v>
      </c>
      <c r="BI1249" s="295" t="s">
        <v>2227</v>
      </c>
      <c r="BJ1249" s="546">
        <v>1</v>
      </c>
      <c r="BK1249" s="294" t="s">
        <v>16</v>
      </c>
      <c r="BL1249" s="157" t="s">
        <v>16</v>
      </c>
      <c r="BM1249" s="548" t="s">
        <v>578</v>
      </c>
      <c r="BN1249" s="548" t="s">
        <v>578</v>
      </c>
      <c r="BO1249" s="157" t="s">
        <v>4341</v>
      </c>
      <c r="BP1249" s="548" t="s">
        <v>4343</v>
      </c>
      <c r="BQ1249" s="157" t="s">
        <v>4309</v>
      </c>
      <c r="BR1249" s="157"/>
    </row>
    <row r="1250" spans="1:70" x14ac:dyDescent="0.25">
      <c r="A1250" s="19" t="s">
        <v>3686</v>
      </c>
      <c r="B1250" s="37" t="s">
        <v>3653</v>
      </c>
      <c r="C1250" s="90">
        <v>45023.717569444445</v>
      </c>
      <c r="D1250" s="114">
        <v>45023.467569444445</v>
      </c>
      <c r="E1250" s="38">
        <v>45023</v>
      </c>
      <c r="F1250" s="91">
        <v>2023</v>
      </c>
      <c r="G1250" s="93">
        <v>4</v>
      </c>
      <c r="H1250" s="37" t="s">
        <v>611</v>
      </c>
      <c r="I1250" s="37"/>
      <c r="J1250" s="103">
        <v>-92.433257499999996</v>
      </c>
      <c r="K1250" s="40">
        <v>44.291825199999998</v>
      </c>
      <c r="L1250" s="74"/>
      <c r="M1250" s="272" t="s">
        <v>3654</v>
      </c>
      <c r="N1250" s="74">
        <v>1</v>
      </c>
      <c r="O1250" s="94"/>
      <c r="P1250" s="118">
        <v>1</v>
      </c>
      <c r="Q1250" s="510">
        <v>180</v>
      </c>
      <c r="R1250" s="513">
        <v>180</v>
      </c>
      <c r="S1250" s="41"/>
      <c r="T1250" s="40"/>
      <c r="U1250" s="40">
        <v>7.5</v>
      </c>
      <c r="V1250" s="119">
        <v>1</v>
      </c>
      <c r="W1250" s="40">
        <v>0</v>
      </c>
      <c r="X1250" s="119">
        <v>0</v>
      </c>
      <c r="Y1250" s="40"/>
      <c r="Z1250" s="119">
        <v>1</v>
      </c>
      <c r="AA1250" s="368">
        <v>0</v>
      </c>
      <c r="AB1250" s="535">
        <v>5</v>
      </c>
      <c r="AC1250" s="39" t="s">
        <v>160</v>
      </c>
      <c r="AD1250" s="75" t="s">
        <v>10</v>
      </c>
      <c r="AE1250" s="95">
        <v>0</v>
      </c>
      <c r="AF1250" s="75">
        <v>0</v>
      </c>
      <c r="AG1250" s="75">
        <v>0</v>
      </c>
      <c r="AH1250" s="75">
        <v>0</v>
      </c>
      <c r="AI1250" s="75">
        <v>0</v>
      </c>
      <c r="AJ1250" s="75">
        <v>0</v>
      </c>
      <c r="AK1250" s="75">
        <v>0</v>
      </c>
      <c r="AL1250" s="95">
        <v>1</v>
      </c>
      <c r="AM1250" s="92">
        <v>0</v>
      </c>
      <c r="AN1250" s="79" t="s">
        <v>80</v>
      </c>
      <c r="AO1250" s="75">
        <v>1</v>
      </c>
      <c r="AP1250" s="75" t="s">
        <v>83</v>
      </c>
      <c r="AQ1250" s="122">
        <v>1</v>
      </c>
      <c r="AR1250" s="515" t="s">
        <v>58</v>
      </c>
      <c r="AS1250" s="95">
        <v>0</v>
      </c>
      <c r="AT1250" s="75">
        <v>0</v>
      </c>
      <c r="AU1250" s="75">
        <v>1</v>
      </c>
      <c r="AV1250" s="75">
        <v>0</v>
      </c>
      <c r="AW1250" s="123">
        <v>0</v>
      </c>
      <c r="AX1250" s="516" t="s">
        <v>3655</v>
      </c>
      <c r="AY1250" s="75">
        <v>1</v>
      </c>
      <c r="AZ1250" s="77" t="s">
        <v>131</v>
      </c>
      <c r="BA1250" s="78" t="s">
        <v>131</v>
      </c>
      <c r="BB1250" s="78" t="s">
        <v>131</v>
      </c>
      <c r="BC1250" s="78" t="s">
        <v>131</v>
      </c>
      <c r="BD1250" s="78" t="s">
        <v>131</v>
      </c>
      <c r="BE1250" s="78" t="s">
        <v>131</v>
      </c>
      <c r="BF1250" s="78" t="s">
        <v>131</v>
      </c>
      <c r="BG1250" s="78" t="s">
        <v>132</v>
      </c>
      <c r="BH1250" s="75" t="s">
        <v>5970</v>
      </c>
      <c r="BI1250" s="295" t="s">
        <v>2234</v>
      </c>
      <c r="BJ1250" s="546">
        <v>1</v>
      </c>
      <c r="BK1250" s="294">
        <v>1</v>
      </c>
      <c r="BL1250" s="157">
        <v>1</v>
      </c>
      <c r="BM1250" s="548" t="s">
        <v>1339</v>
      </c>
      <c r="BN1250" s="548" t="s">
        <v>1339</v>
      </c>
      <c r="BO1250" s="157" t="s">
        <v>4331</v>
      </c>
      <c r="BP1250" s="548" t="s">
        <v>2234</v>
      </c>
      <c r="BQ1250" s="157" t="s">
        <v>4330</v>
      </c>
      <c r="BR1250" s="157"/>
    </row>
    <row r="1251" spans="1:70" x14ac:dyDescent="0.25">
      <c r="A1251" s="19" t="s">
        <v>3686</v>
      </c>
      <c r="B1251" s="37" t="s">
        <v>3656</v>
      </c>
      <c r="C1251" s="90">
        <v>45019.762731481482</v>
      </c>
      <c r="D1251" s="114">
        <v>45019.512731481482</v>
      </c>
      <c r="E1251" s="38">
        <v>45019</v>
      </c>
      <c r="F1251" s="91">
        <v>2023</v>
      </c>
      <c r="G1251" s="93">
        <v>4</v>
      </c>
      <c r="H1251" s="37" t="s">
        <v>302</v>
      </c>
      <c r="I1251" s="37"/>
      <c r="J1251" s="103">
        <v>-91.570184648269915</v>
      </c>
      <c r="K1251" s="40">
        <v>43.502599123576509</v>
      </c>
      <c r="L1251" s="74"/>
      <c r="M1251" s="272" t="s">
        <v>16</v>
      </c>
      <c r="N1251" s="74">
        <v>0</v>
      </c>
      <c r="O1251" s="94"/>
      <c r="P1251" s="118">
        <v>1</v>
      </c>
      <c r="Q1251" s="510">
        <v>180</v>
      </c>
      <c r="R1251" s="513">
        <v>180</v>
      </c>
      <c r="S1251" s="41"/>
      <c r="T1251" s="40"/>
      <c r="U1251" s="40">
        <v>7</v>
      </c>
      <c r="V1251" s="119">
        <v>1</v>
      </c>
      <c r="W1251" s="40">
        <v>0</v>
      </c>
      <c r="X1251" s="119">
        <v>1</v>
      </c>
      <c r="Y1251" s="40">
        <v>50</v>
      </c>
      <c r="Z1251" s="119">
        <v>1</v>
      </c>
      <c r="AA1251" s="368">
        <v>0</v>
      </c>
      <c r="AB1251" s="535">
        <v>1</v>
      </c>
      <c r="AC1251" s="39" t="s">
        <v>160</v>
      </c>
      <c r="AD1251" s="75" t="s">
        <v>8</v>
      </c>
      <c r="AE1251" s="95">
        <v>0</v>
      </c>
      <c r="AF1251" s="75">
        <v>1</v>
      </c>
      <c r="AG1251" s="75">
        <v>0</v>
      </c>
      <c r="AH1251" s="75">
        <v>0</v>
      </c>
      <c r="AI1251" s="75">
        <v>0</v>
      </c>
      <c r="AJ1251" s="75">
        <v>0</v>
      </c>
      <c r="AK1251" s="75">
        <v>0</v>
      </c>
      <c r="AL1251" s="95">
        <v>0</v>
      </c>
      <c r="AM1251" s="92">
        <v>0</v>
      </c>
      <c r="AN1251" s="79" t="s">
        <v>80</v>
      </c>
      <c r="AO1251" s="75">
        <v>1</v>
      </c>
      <c r="AP1251" s="75" t="s">
        <v>83</v>
      </c>
      <c r="AQ1251" s="122">
        <v>1</v>
      </c>
      <c r="AR1251" s="515" t="s">
        <v>10</v>
      </c>
      <c r="AS1251" s="95">
        <v>0</v>
      </c>
      <c r="AT1251" s="75">
        <v>0</v>
      </c>
      <c r="AU1251" s="75">
        <v>0</v>
      </c>
      <c r="AV1251" s="75">
        <v>0</v>
      </c>
      <c r="AW1251" s="123">
        <v>0</v>
      </c>
      <c r="AX1251" s="516" t="s">
        <v>2265</v>
      </c>
      <c r="AY1251" s="75">
        <v>1</v>
      </c>
      <c r="AZ1251" s="77" t="s">
        <v>131</v>
      </c>
      <c r="BA1251" s="78" t="s">
        <v>132</v>
      </c>
      <c r="BB1251" s="78" t="s">
        <v>131</v>
      </c>
      <c r="BC1251" s="78" t="s">
        <v>131</v>
      </c>
      <c r="BD1251" s="78" t="s">
        <v>131</v>
      </c>
      <c r="BE1251" s="78" t="s">
        <v>131</v>
      </c>
      <c r="BF1251" s="78" t="s">
        <v>131</v>
      </c>
      <c r="BG1251" s="78" t="s">
        <v>131</v>
      </c>
      <c r="BH1251" s="75" t="s">
        <v>5970</v>
      </c>
      <c r="BI1251" s="295" t="s">
        <v>2265</v>
      </c>
      <c r="BJ1251" s="546">
        <v>1</v>
      </c>
      <c r="BK1251" s="294">
        <v>1</v>
      </c>
      <c r="BL1251" s="157">
        <v>1</v>
      </c>
      <c r="BM1251" s="548" t="s">
        <v>1341</v>
      </c>
      <c r="BN1251" s="548" t="s">
        <v>4160</v>
      </c>
      <c r="BO1251" s="157" t="s">
        <v>4242</v>
      </c>
      <c r="BP1251" s="548" t="s">
        <v>4041</v>
      </c>
      <c r="BQ1251" s="157" t="s">
        <v>4241</v>
      </c>
      <c r="BR1251" s="157"/>
    </row>
    <row r="1252" spans="1:70" x14ac:dyDescent="0.25">
      <c r="A1252" s="19" t="s">
        <v>3686</v>
      </c>
      <c r="B1252" s="37" t="s">
        <v>3657</v>
      </c>
      <c r="C1252" s="90">
        <v>45006.997870370367</v>
      </c>
      <c r="D1252" s="114">
        <v>45006.747870370367</v>
      </c>
      <c r="E1252" s="38">
        <v>45006</v>
      </c>
      <c r="F1252" s="91">
        <v>2023</v>
      </c>
      <c r="G1252" s="93">
        <v>3</v>
      </c>
      <c r="H1252" s="37" t="s">
        <v>302</v>
      </c>
      <c r="I1252" s="37"/>
      <c r="J1252" s="103">
        <v>-91.984811588871366</v>
      </c>
      <c r="K1252" s="40">
        <v>44.254456085038186</v>
      </c>
      <c r="L1252" s="74"/>
      <c r="M1252" s="272" t="s">
        <v>3658</v>
      </c>
      <c r="N1252" s="74">
        <v>1</v>
      </c>
      <c r="O1252" s="94"/>
      <c r="P1252" s="118">
        <v>1</v>
      </c>
      <c r="Q1252" s="510">
        <v>0</v>
      </c>
      <c r="R1252" s="513">
        <v>0</v>
      </c>
      <c r="S1252" s="41"/>
      <c r="T1252" s="40"/>
      <c r="U1252" s="40">
        <v>7</v>
      </c>
      <c r="V1252" s="119">
        <v>1</v>
      </c>
      <c r="W1252" s="40">
        <v>200</v>
      </c>
      <c r="X1252" s="119">
        <v>0</v>
      </c>
      <c r="Y1252" s="40"/>
      <c r="Z1252" s="119">
        <v>1</v>
      </c>
      <c r="AA1252" s="368">
        <v>0</v>
      </c>
      <c r="AB1252" s="535">
        <v>0</v>
      </c>
      <c r="AC1252" s="39" t="s">
        <v>160</v>
      </c>
      <c r="AD1252" s="75" t="s">
        <v>8</v>
      </c>
      <c r="AE1252" s="95">
        <v>0</v>
      </c>
      <c r="AF1252" s="75">
        <v>1</v>
      </c>
      <c r="AG1252" s="75">
        <v>0</v>
      </c>
      <c r="AH1252" s="75">
        <v>0</v>
      </c>
      <c r="AI1252" s="75">
        <v>0</v>
      </c>
      <c r="AJ1252" s="75">
        <v>0</v>
      </c>
      <c r="AK1252" s="75">
        <v>0</v>
      </c>
      <c r="AL1252" s="95">
        <v>0</v>
      </c>
      <c r="AM1252" s="92">
        <v>0</v>
      </c>
      <c r="AN1252" s="79" t="s">
        <v>80</v>
      </c>
      <c r="AO1252" s="75">
        <v>1</v>
      </c>
      <c r="AP1252" s="75" t="s">
        <v>84</v>
      </c>
      <c r="AQ1252" s="122">
        <v>1</v>
      </c>
      <c r="AR1252" s="515" t="s">
        <v>10</v>
      </c>
      <c r="AS1252" s="95">
        <v>0</v>
      </c>
      <c r="AT1252" s="75">
        <v>0</v>
      </c>
      <c r="AU1252" s="75">
        <v>0</v>
      </c>
      <c r="AV1252" s="75">
        <v>0</v>
      </c>
      <c r="AW1252" s="123">
        <v>0</v>
      </c>
      <c r="AX1252" s="516" t="s">
        <v>3659</v>
      </c>
      <c r="AY1252" s="75">
        <v>1</v>
      </c>
      <c r="AZ1252" s="77" t="s">
        <v>131</v>
      </c>
      <c r="BA1252" s="78" t="s">
        <v>132</v>
      </c>
      <c r="BB1252" s="78" t="s">
        <v>131</v>
      </c>
      <c r="BC1252" s="78" t="s">
        <v>131</v>
      </c>
      <c r="BD1252" s="78" t="s">
        <v>131</v>
      </c>
      <c r="BE1252" s="78" t="s">
        <v>131</v>
      </c>
      <c r="BF1252" s="78" t="s">
        <v>131</v>
      </c>
      <c r="BG1252" s="78" t="s">
        <v>131</v>
      </c>
      <c r="BH1252" s="75" t="s">
        <v>5970</v>
      </c>
      <c r="BI1252" s="295" t="s">
        <v>2241</v>
      </c>
      <c r="BJ1252" s="546">
        <v>1</v>
      </c>
      <c r="BK1252" s="294">
        <v>1</v>
      </c>
      <c r="BL1252" s="157">
        <v>1</v>
      </c>
      <c r="BM1252" s="548" t="s">
        <v>1341</v>
      </c>
      <c r="BN1252" s="548" t="s">
        <v>4160</v>
      </c>
      <c r="BO1252" s="157" t="s">
        <v>4652</v>
      </c>
      <c r="BP1252" s="548" t="s">
        <v>2241</v>
      </c>
      <c r="BQ1252" s="157" t="s">
        <v>4269</v>
      </c>
      <c r="BR1252" s="157"/>
    </row>
    <row r="1253" spans="1:70" x14ac:dyDescent="0.25">
      <c r="A1253" s="19" t="s">
        <v>3686</v>
      </c>
      <c r="B1253" s="37" t="s">
        <v>3660</v>
      </c>
      <c r="C1253" s="90">
        <v>45006.990960648145</v>
      </c>
      <c r="D1253" s="114">
        <v>45006.740960648145</v>
      </c>
      <c r="E1253" s="38">
        <v>45006</v>
      </c>
      <c r="F1253" s="91">
        <v>2023</v>
      </c>
      <c r="G1253" s="93">
        <v>3</v>
      </c>
      <c r="H1253" s="37" t="s">
        <v>302</v>
      </c>
      <c r="I1253" s="37"/>
      <c r="J1253" s="103">
        <v>-91.984841430213976</v>
      </c>
      <c r="K1253" s="40">
        <v>44.254501878425351</v>
      </c>
      <c r="L1253" s="74"/>
      <c r="M1253" s="272" t="s">
        <v>3661</v>
      </c>
      <c r="N1253" s="74">
        <v>1</v>
      </c>
      <c r="O1253" s="94"/>
      <c r="P1253" s="118">
        <v>1</v>
      </c>
      <c r="Q1253" s="510">
        <v>180</v>
      </c>
      <c r="R1253" s="513">
        <v>180</v>
      </c>
      <c r="S1253" s="41"/>
      <c r="T1253" s="40"/>
      <c r="U1253" s="40">
        <v>7</v>
      </c>
      <c r="V1253" s="119">
        <v>1</v>
      </c>
      <c r="W1253" s="40">
        <v>0</v>
      </c>
      <c r="X1253" s="119">
        <v>0</v>
      </c>
      <c r="Y1253" s="40"/>
      <c r="Z1253" s="119">
        <v>1</v>
      </c>
      <c r="AA1253" s="368">
        <v>0</v>
      </c>
      <c r="AB1253" s="535">
        <v>2</v>
      </c>
      <c r="AC1253" s="39" t="s">
        <v>160</v>
      </c>
      <c r="AD1253" s="75" t="s">
        <v>8</v>
      </c>
      <c r="AE1253" s="95">
        <v>0</v>
      </c>
      <c r="AF1253" s="75">
        <v>1</v>
      </c>
      <c r="AG1253" s="75">
        <v>0</v>
      </c>
      <c r="AH1253" s="75">
        <v>0</v>
      </c>
      <c r="AI1253" s="75">
        <v>0</v>
      </c>
      <c r="AJ1253" s="75">
        <v>0</v>
      </c>
      <c r="AK1253" s="75">
        <v>0</v>
      </c>
      <c r="AL1253" s="95">
        <v>0</v>
      </c>
      <c r="AM1253" s="92">
        <v>0</v>
      </c>
      <c r="AN1253" s="79" t="s">
        <v>80</v>
      </c>
      <c r="AO1253" s="75">
        <v>1</v>
      </c>
      <c r="AP1253" s="75" t="s">
        <v>83</v>
      </c>
      <c r="AQ1253" s="122">
        <v>1</v>
      </c>
      <c r="AR1253" s="515" t="s">
        <v>10</v>
      </c>
      <c r="AS1253" s="95">
        <v>0</v>
      </c>
      <c r="AT1253" s="75">
        <v>0</v>
      </c>
      <c r="AU1253" s="75">
        <v>0</v>
      </c>
      <c r="AV1253" s="75">
        <v>0</v>
      </c>
      <c r="AW1253" s="123">
        <v>0</v>
      </c>
      <c r="AX1253" s="516" t="s">
        <v>3662</v>
      </c>
      <c r="AY1253" s="75">
        <v>1</v>
      </c>
      <c r="AZ1253" s="77" t="s">
        <v>131</v>
      </c>
      <c r="BA1253" s="78" t="s">
        <v>132</v>
      </c>
      <c r="BB1253" s="78" t="s">
        <v>131</v>
      </c>
      <c r="BC1253" s="78" t="s">
        <v>131</v>
      </c>
      <c r="BD1253" s="78" t="s">
        <v>131</v>
      </c>
      <c r="BE1253" s="78" t="s">
        <v>131</v>
      </c>
      <c r="BF1253" s="78" t="s">
        <v>131</v>
      </c>
      <c r="BG1253" s="78" t="s">
        <v>131</v>
      </c>
      <c r="BH1253" s="75" t="s">
        <v>5970</v>
      </c>
      <c r="BI1253" s="295" t="s">
        <v>2241</v>
      </c>
      <c r="BJ1253" s="546">
        <v>1</v>
      </c>
      <c r="BK1253" s="294">
        <v>1</v>
      </c>
      <c r="BL1253" s="157">
        <v>1</v>
      </c>
      <c r="BM1253" s="548" t="s">
        <v>1341</v>
      </c>
      <c r="BN1253" s="548" t="s">
        <v>4160</v>
      </c>
      <c r="BO1253" s="157" t="s">
        <v>4652</v>
      </c>
      <c r="BP1253" s="548" t="s">
        <v>2241</v>
      </c>
      <c r="BQ1253" s="157" t="s">
        <v>4269</v>
      </c>
      <c r="BR1253" s="157"/>
    </row>
    <row r="1254" spans="1:70" x14ac:dyDescent="0.25">
      <c r="A1254" s="19" t="s">
        <v>3686</v>
      </c>
      <c r="B1254" s="37" t="s">
        <v>3663</v>
      </c>
      <c r="C1254" s="90">
        <v>45005.001400462963</v>
      </c>
      <c r="D1254" s="114">
        <v>45004.751400462963</v>
      </c>
      <c r="E1254" s="38">
        <v>45004</v>
      </c>
      <c r="F1254" s="91">
        <v>2023</v>
      </c>
      <c r="G1254" s="93">
        <v>3</v>
      </c>
      <c r="H1254" s="37" t="s">
        <v>302</v>
      </c>
      <c r="I1254" s="37"/>
      <c r="J1254" s="103">
        <v>-91.748797600192958</v>
      </c>
      <c r="K1254" s="40">
        <v>44.055555141188961</v>
      </c>
      <c r="L1254" s="74"/>
      <c r="M1254" s="272" t="s">
        <v>16</v>
      </c>
      <c r="N1254" s="74">
        <v>0</v>
      </c>
      <c r="O1254" s="94"/>
      <c r="P1254" s="118">
        <v>1</v>
      </c>
      <c r="Q1254" s="510">
        <v>80</v>
      </c>
      <c r="R1254" s="513">
        <v>0</v>
      </c>
      <c r="S1254" s="41"/>
      <c r="T1254" s="40"/>
      <c r="U1254" s="40">
        <v>6</v>
      </c>
      <c r="V1254" s="119">
        <v>1</v>
      </c>
      <c r="W1254" s="40">
        <v>100</v>
      </c>
      <c r="X1254" s="119">
        <v>0</v>
      </c>
      <c r="Y1254" s="40"/>
      <c r="Z1254" s="119">
        <v>1</v>
      </c>
      <c r="AA1254" s="368">
        <v>0</v>
      </c>
      <c r="AB1254" s="535">
        <v>0</v>
      </c>
      <c r="AC1254" s="39" t="s">
        <v>160</v>
      </c>
      <c r="AD1254" s="75" t="s">
        <v>8</v>
      </c>
      <c r="AE1254" s="95">
        <v>0</v>
      </c>
      <c r="AF1254" s="75">
        <v>1</v>
      </c>
      <c r="AG1254" s="75">
        <v>0</v>
      </c>
      <c r="AH1254" s="75">
        <v>0</v>
      </c>
      <c r="AI1254" s="75">
        <v>0</v>
      </c>
      <c r="AJ1254" s="75">
        <v>0</v>
      </c>
      <c r="AK1254" s="75">
        <v>0</v>
      </c>
      <c r="AL1254" s="95">
        <v>0</v>
      </c>
      <c r="AM1254" s="92">
        <v>0</v>
      </c>
      <c r="AN1254" s="79" t="s">
        <v>80</v>
      </c>
      <c r="AO1254" s="75">
        <v>1</v>
      </c>
      <c r="AP1254" s="75" t="s">
        <v>83</v>
      </c>
      <c r="AQ1254" s="122">
        <v>1</v>
      </c>
      <c r="AR1254" s="515" t="s">
        <v>10</v>
      </c>
      <c r="AS1254" s="95">
        <v>0</v>
      </c>
      <c r="AT1254" s="75">
        <v>0</v>
      </c>
      <c r="AU1254" s="75">
        <v>0</v>
      </c>
      <c r="AV1254" s="75">
        <v>0</v>
      </c>
      <c r="AW1254" s="123">
        <v>0</v>
      </c>
      <c r="AX1254" s="516" t="s">
        <v>313</v>
      </c>
      <c r="AY1254" s="75">
        <v>1</v>
      </c>
      <c r="AZ1254" s="77" t="s">
        <v>131</v>
      </c>
      <c r="BA1254" s="78" t="s">
        <v>132</v>
      </c>
      <c r="BB1254" s="78" t="s">
        <v>131</v>
      </c>
      <c r="BC1254" s="78" t="s">
        <v>131</v>
      </c>
      <c r="BD1254" s="78" t="s">
        <v>131</v>
      </c>
      <c r="BE1254" s="78" t="s">
        <v>131</v>
      </c>
      <c r="BF1254" s="78" t="s">
        <v>131</v>
      </c>
      <c r="BG1254" s="78" t="s">
        <v>131</v>
      </c>
      <c r="BH1254" s="75" t="s">
        <v>5970</v>
      </c>
      <c r="BI1254" s="295" t="s">
        <v>313</v>
      </c>
      <c r="BJ1254" s="546">
        <v>1</v>
      </c>
      <c r="BK1254" s="294" t="s">
        <v>16</v>
      </c>
      <c r="BL1254" s="157" t="s">
        <v>16</v>
      </c>
      <c r="BM1254" s="548" t="s">
        <v>1341</v>
      </c>
      <c r="BN1254" s="548" t="s">
        <v>4160</v>
      </c>
      <c r="BO1254" s="157" t="s">
        <v>4360</v>
      </c>
      <c r="BP1254" s="548" t="s">
        <v>313</v>
      </c>
      <c r="BQ1254" s="157" t="s">
        <v>4359</v>
      </c>
      <c r="BR1254" s="157"/>
    </row>
    <row r="1255" spans="1:70" x14ac:dyDescent="0.25">
      <c r="A1255" s="19" t="s">
        <v>3686</v>
      </c>
      <c r="B1255" s="37" t="s">
        <v>3664</v>
      </c>
      <c r="C1255" s="90">
        <v>44994.939074074071</v>
      </c>
      <c r="D1255" s="114">
        <v>44994.689074074071</v>
      </c>
      <c r="E1255" s="38">
        <v>44994</v>
      </c>
      <c r="F1255" s="91">
        <v>2023</v>
      </c>
      <c r="G1255" s="93">
        <v>3</v>
      </c>
      <c r="H1255" s="37" t="s">
        <v>1378</v>
      </c>
      <c r="I1255" s="37"/>
      <c r="J1255" s="103">
        <v>-91.550621185885603</v>
      </c>
      <c r="K1255" s="40">
        <v>43.6946845708813</v>
      </c>
      <c r="L1255" s="74"/>
      <c r="M1255" s="272" t="s">
        <v>3665</v>
      </c>
      <c r="N1255" s="74">
        <v>1</v>
      </c>
      <c r="O1255" s="94"/>
      <c r="P1255" s="118">
        <v>1</v>
      </c>
      <c r="Q1255" s="510">
        <v>120</v>
      </c>
      <c r="R1255" s="513">
        <v>180</v>
      </c>
      <c r="S1255" s="41"/>
      <c r="T1255" s="40"/>
      <c r="U1255" s="40">
        <v>7</v>
      </c>
      <c r="V1255" s="119">
        <v>1</v>
      </c>
      <c r="W1255" s="40">
        <v>100</v>
      </c>
      <c r="X1255" s="119">
        <v>1</v>
      </c>
      <c r="Y1255" s="40">
        <v>44</v>
      </c>
      <c r="Z1255" s="119">
        <v>1</v>
      </c>
      <c r="AA1255" s="368">
        <v>0</v>
      </c>
      <c r="AB1255" s="535">
        <v>5</v>
      </c>
      <c r="AC1255" s="39" t="s">
        <v>160</v>
      </c>
      <c r="AD1255" s="75" t="s">
        <v>8</v>
      </c>
      <c r="AE1255" s="95">
        <v>0</v>
      </c>
      <c r="AF1255" s="75">
        <v>1</v>
      </c>
      <c r="AG1255" s="75">
        <v>0</v>
      </c>
      <c r="AH1255" s="75">
        <v>0</v>
      </c>
      <c r="AI1255" s="75">
        <v>0</v>
      </c>
      <c r="AJ1255" s="75">
        <v>0</v>
      </c>
      <c r="AK1255" s="75">
        <v>0</v>
      </c>
      <c r="AL1255" s="95">
        <v>0</v>
      </c>
      <c r="AM1255" s="92">
        <v>0</v>
      </c>
      <c r="AN1255" s="79" t="s">
        <v>80</v>
      </c>
      <c r="AO1255" s="75">
        <v>1</v>
      </c>
      <c r="AP1255" s="75" t="s">
        <v>83</v>
      </c>
      <c r="AQ1255" s="122">
        <v>1</v>
      </c>
      <c r="AR1255" s="515" t="s">
        <v>10</v>
      </c>
      <c r="AS1255" s="95">
        <v>0</v>
      </c>
      <c r="AT1255" s="75">
        <v>0</v>
      </c>
      <c r="AU1255" s="75">
        <v>0</v>
      </c>
      <c r="AV1255" s="75">
        <v>0</v>
      </c>
      <c r="AW1255" s="123">
        <v>0</v>
      </c>
      <c r="AX1255" s="516" t="s">
        <v>3666</v>
      </c>
      <c r="AY1255" s="75">
        <v>1</v>
      </c>
      <c r="AZ1255" s="77" t="s">
        <v>131</v>
      </c>
      <c r="BA1255" s="78" t="s">
        <v>132</v>
      </c>
      <c r="BB1255" s="78" t="s">
        <v>131</v>
      </c>
      <c r="BC1255" s="78" t="s">
        <v>131</v>
      </c>
      <c r="BD1255" s="78" t="s">
        <v>131</v>
      </c>
      <c r="BE1255" s="78" t="s">
        <v>131</v>
      </c>
      <c r="BF1255" s="78" t="s">
        <v>131</v>
      </c>
      <c r="BG1255" s="78" t="s">
        <v>131</v>
      </c>
      <c r="BH1255" s="75" t="s">
        <v>5970</v>
      </c>
      <c r="BI1255" s="295" t="s">
        <v>2303</v>
      </c>
      <c r="BJ1255" s="546">
        <v>1</v>
      </c>
      <c r="BK1255" s="294" t="s">
        <v>16</v>
      </c>
      <c r="BL1255" s="157" t="s">
        <v>16</v>
      </c>
      <c r="BM1255" s="548" t="s">
        <v>1341</v>
      </c>
      <c r="BN1255" s="548" t="s">
        <v>4158</v>
      </c>
      <c r="BO1255" s="157" t="s">
        <v>4653</v>
      </c>
      <c r="BP1255" s="548" t="s">
        <v>4654</v>
      </c>
      <c r="BQ1255" s="157" t="s">
        <v>4232</v>
      </c>
      <c r="BR1255" s="157"/>
    </row>
    <row r="1256" spans="1:70" x14ac:dyDescent="0.25">
      <c r="A1256" s="19" t="s">
        <v>3686</v>
      </c>
      <c r="B1256" s="37" t="s">
        <v>3957</v>
      </c>
      <c r="C1256" s="90">
        <v>44985.84233796296</v>
      </c>
      <c r="D1256" s="114">
        <v>44985.59233796296</v>
      </c>
      <c r="E1256" s="38">
        <v>44985</v>
      </c>
      <c r="F1256" s="91">
        <v>2023</v>
      </c>
      <c r="G1256" s="93">
        <v>2</v>
      </c>
      <c r="H1256" s="37" t="s">
        <v>1353</v>
      </c>
      <c r="I1256" s="37"/>
      <c r="J1256" s="103">
        <v>-90.765040600000006</v>
      </c>
      <c r="K1256" s="40">
        <v>43.575744399999998</v>
      </c>
      <c r="L1256" s="74"/>
      <c r="M1256" s="272" t="s">
        <v>3958</v>
      </c>
      <c r="N1256" s="74">
        <v>1</v>
      </c>
      <c r="O1256" s="94"/>
      <c r="P1256" s="118">
        <v>1</v>
      </c>
      <c r="Q1256" s="510">
        <v>40</v>
      </c>
      <c r="R1256" s="513">
        <v>120</v>
      </c>
      <c r="S1256" s="41"/>
      <c r="T1256" s="40"/>
      <c r="U1256" s="40">
        <v>8</v>
      </c>
      <c r="V1256" s="119">
        <v>1</v>
      </c>
      <c r="W1256" s="40">
        <v>0</v>
      </c>
      <c r="X1256" s="119">
        <v>1</v>
      </c>
      <c r="Y1256" s="40">
        <v>39</v>
      </c>
      <c r="Z1256" s="119">
        <v>1</v>
      </c>
      <c r="AA1256" s="368">
        <v>0</v>
      </c>
      <c r="AB1256" s="535">
        <v>2</v>
      </c>
      <c r="AC1256" s="39" t="s">
        <v>160</v>
      </c>
      <c r="AD1256" s="75" t="s">
        <v>16</v>
      </c>
      <c r="AE1256" s="95">
        <v>-1</v>
      </c>
      <c r="AF1256" s="75">
        <v>-1</v>
      </c>
      <c r="AG1256" s="75">
        <v>-1</v>
      </c>
      <c r="AH1256" s="75">
        <v>-1</v>
      </c>
      <c r="AI1256" s="75">
        <v>-1</v>
      </c>
      <c r="AJ1256" s="75">
        <v>-1</v>
      </c>
      <c r="AK1256" s="75">
        <v>-1</v>
      </c>
      <c r="AL1256" s="95">
        <v>-1</v>
      </c>
      <c r="AM1256" s="92">
        <v>1</v>
      </c>
      <c r="AN1256" s="79" t="s">
        <v>80</v>
      </c>
      <c r="AO1256" s="75">
        <v>1</v>
      </c>
      <c r="AP1256" s="75" t="s">
        <v>84</v>
      </c>
      <c r="AQ1256" s="122">
        <v>1</v>
      </c>
      <c r="AR1256" s="515" t="s">
        <v>58</v>
      </c>
      <c r="AS1256" s="95">
        <v>0</v>
      </c>
      <c r="AT1256" s="75">
        <v>0</v>
      </c>
      <c r="AU1256" s="75">
        <v>1</v>
      </c>
      <c r="AV1256" s="75">
        <v>0</v>
      </c>
      <c r="AW1256" s="123">
        <v>0</v>
      </c>
      <c r="AX1256" s="516" t="s">
        <v>3959</v>
      </c>
      <c r="AY1256" s="75">
        <v>1</v>
      </c>
      <c r="AZ1256" s="77" t="s">
        <v>5971</v>
      </c>
      <c r="BA1256" s="78" t="s">
        <v>5971</v>
      </c>
      <c r="BB1256" s="78" t="s">
        <v>5971</v>
      </c>
      <c r="BC1256" s="78" t="s">
        <v>5971</v>
      </c>
      <c r="BD1256" s="78" t="s">
        <v>5971</v>
      </c>
      <c r="BE1256" s="78" t="s">
        <v>5971</v>
      </c>
      <c r="BF1256" s="78" t="s">
        <v>5971</v>
      </c>
      <c r="BG1256" s="78" t="s">
        <v>5971</v>
      </c>
      <c r="BH1256" s="75" t="s">
        <v>5971</v>
      </c>
      <c r="BI1256" s="295" t="s">
        <v>2287</v>
      </c>
      <c r="BJ1256" s="546">
        <v>1</v>
      </c>
      <c r="BK1256" s="294">
        <v>1</v>
      </c>
      <c r="BL1256" s="157">
        <v>1</v>
      </c>
      <c r="BM1256" s="548" t="s">
        <v>1342</v>
      </c>
      <c r="BN1256" s="548" t="s">
        <v>4158</v>
      </c>
      <c r="BO1256" s="157" t="s">
        <v>4277</v>
      </c>
      <c r="BP1256" s="548" t="s">
        <v>2287</v>
      </c>
      <c r="BQ1256" s="157" t="s">
        <v>4272</v>
      </c>
      <c r="BR1256" s="157"/>
    </row>
    <row r="1257" spans="1:70" x14ac:dyDescent="0.25">
      <c r="A1257" s="19" t="s">
        <v>3686</v>
      </c>
      <c r="B1257" s="37" t="s">
        <v>3667</v>
      </c>
      <c r="C1257" s="90">
        <v>44882.926076388889</v>
      </c>
      <c r="D1257" s="114">
        <v>44882.676076388889</v>
      </c>
      <c r="E1257" s="38">
        <v>44882</v>
      </c>
      <c r="F1257" s="91">
        <v>2022</v>
      </c>
      <c r="G1257" s="93">
        <v>11</v>
      </c>
      <c r="H1257" s="37" t="s">
        <v>1378</v>
      </c>
      <c r="I1257" s="37" t="s">
        <v>16</v>
      </c>
      <c r="J1257" s="103">
        <v>-91.190195176555235</v>
      </c>
      <c r="K1257" s="40">
        <v>43.790468514884161</v>
      </c>
      <c r="L1257" s="74"/>
      <c r="M1257" s="272" t="s">
        <v>3668</v>
      </c>
      <c r="N1257" s="74">
        <v>1</v>
      </c>
      <c r="O1257" s="94"/>
      <c r="P1257" s="118">
        <v>1</v>
      </c>
      <c r="Q1257" s="510">
        <v>180</v>
      </c>
      <c r="R1257" s="513">
        <v>180</v>
      </c>
      <c r="S1257" s="41"/>
      <c r="T1257" s="40"/>
      <c r="U1257" s="40">
        <v>8</v>
      </c>
      <c r="V1257" s="119">
        <v>1</v>
      </c>
      <c r="W1257" s="40">
        <v>100</v>
      </c>
      <c r="X1257" s="119">
        <v>0</v>
      </c>
      <c r="Y1257" s="40"/>
      <c r="Z1257" s="119">
        <v>1</v>
      </c>
      <c r="AA1257" s="368">
        <v>0</v>
      </c>
      <c r="AB1257" s="535">
        <v>1</v>
      </c>
      <c r="AC1257" s="39" t="s">
        <v>160</v>
      </c>
      <c r="AD1257" s="75" t="s">
        <v>355</v>
      </c>
      <c r="AE1257" s="95">
        <v>0</v>
      </c>
      <c r="AF1257" s="75">
        <v>0</v>
      </c>
      <c r="AG1257" s="75">
        <v>0</v>
      </c>
      <c r="AH1257" s="75">
        <v>1</v>
      </c>
      <c r="AI1257" s="75">
        <v>0</v>
      </c>
      <c r="AJ1257" s="75">
        <v>0</v>
      </c>
      <c r="AK1257" s="75">
        <v>0</v>
      </c>
      <c r="AL1257" s="95">
        <v>0</v>
      </c>
      <c r="AM1257" s="92">
        <v>0</v>
      </c>
      <c r="AN1257" s="79" t="s">
        <v>80</v>
      </c>
      <c r="AO1257" s="75">
        <v>1</v>
      </c>
      <c r="AP1257" s="75" t="s">
        <v>83</v>
      </c>
      <c r="AQ1257" s="122">
        <v>1</v>
      </c>
      <c r="AR1257" s="515" t="s">
        <v>10</v>
      </c>
      <c r="AS1257" s="95">
        <v>0</v>
      </c>
      <c r="AT1257" s="75">
        <v>0</v>
      </c>
      <c r="AU1257" s="75">
        <v>0</v>
      </c>
      <c r="AV1257" s="75">
        <v>0</v>
      </c>
      <c r="AW1257" s="123">
        <v>0</v>
      </c>
      <c r="AX1257" s="516" t="s">
        <v>3669</v>
      </c>
      <c r="AY1257" s="75">
        <v>1</v>
      </c>
      <c r="AZ1257" s="77" t="s">
        <v>131</v>
      </c>
      <c r="BA1257" s="78" t="s">
        <v>131</v>
      </c>
      <c r="BB1257" s="78" t="s">
        <v>131</v>
      </c>
      <c r="BC1257" s="78" t="s">
        <v>132</v>
      </c>
      <c r="BD1257" s="78" t="s">
        <v>131</v>
      </c>
      <c r="BE1257" s="78" t="s">
        <v>131</v>
      </c>
      <c r="BF1257" s="78" t="s">
        <v>131</v>
      </c>
      <c r="BG1257" s="78" t="s">
        <v>131</v>
      </c>
      <c r="BH1257" s="75" t="s">
        <v>5970</v>
      </c>
      <c r="BI1257" s="295" t="s">
        <v>3970</v>
      </c>
      <c r="BJ1257" s="546" t="s">
        <v>16</v>
      </c>
      <c r="BK1257" s="294">
        <v>1</v>
      </c>
      <c r="BL1257" s="157">
        <v>1</v>
      </c>
      <c r="BM1257" s="548" t="s">
        <v>1342</v>
      </c>
      <c r="BN1257" s="548" t="s">
        <v>4158</v>
      </c>
      <c r="BO1257" s="157" t="s">
        <v>4616</v>
      </c>
      <c r="BP1257" s="548" t="s">
        <v>4624</v>
      </c>
      <c r="BQ1257" s="157" t="s">
        <v>4592</v>
      </c>
      <c r="BR1257" s="157"/>
    </row>
    <row r="1258" spans="1:70" x14ac:dyDescent="0.25">
      <c r="A1258" s="19" t="s">
        <v>3686</v>
      </c>
      <c r="B1258" s="37" t="s">
        <v>3670</v>
      </c>
      <c r="C1258" s="90">
        <v>44878.717256944445</v>
      </c>
      <c r="D1258" s="114">
        <v>44878.467256944445</v>
      </c>
      <c r="E1258" s="38">
        <v>44878</v>
      </c>
      <c r="F1258" s="91">
        <v>2022</v>
      </c>
      <c r="G1258" s="93">
        <v>11</v>
      </c>
      <c r="H1258" s="37" t="s">
        <v>475</v>
      </c>
      <c r="I1258" s="37"/>
      <c r="J1258" s="103">
        <v>-91.580516088431153</v>
      </c>
      <c r="K1258" s="40">
        <v>43.641510447906931</v>
      </c>
      <c r="L1258" s="74"/>
      <c r="M1258" s="272" t="s">
        <v>3671</v>
      </c>
      <c r="N1258" s="74">
        <v>1</v>
      </c>
      <c r="O1258" s="94"/>
      <c r="P1258" s="118">
        <v>1</v>
      </c>
      <c r="Q1258" s="510">
        <v>180</v>
      </c>
      <c r="R1258" s="513">
        <v>180</v>
      </c>
      <c r="S1258" s="41"/>
      <c r="T1258" s="40"/>
      <c r="U1258" s="40">
        <v>7</v>
      </c>
      <c r="V1258" s="119">
        <v>1</v>
      </c>
      <c r="W1258" s="40">
        <v>0</v>
      </c>
      <c r="X1258" s="119">
        <v>1</v>
      </c>
      <c r="Y1258" s="40">
        <v>47</v>
      </c>
      <c r="Z1258" s="119">
        <v>1</v>
      </c>
      <c r="AA1258" s="368">
        <v>0</v>
      </c>
      <c r="AB1258" s="535">
        <v>5</v>
      </c>
      <c r="AC1258" s="39" t="s">
        <v>160</v>
      </c>
      <c r="AD1258" s="75" t="s">
        <v>10</v>
      </c>
      <c r="AE1258" s="95">
        <v>0</v>
      </c>
      <c r="AF1258" s="75">
        <v>0</v>
      </c>
      <c r="AG1258" s="75">
        <v>0</v>
      </c>
      <c r="AH1258" s="75">
        <v>0</v>
      </c>
      <c r="AI1258" s="75">
        <v>0</v>
      </c>
      <c r="AJ1258" s="75">
        <v>0</v>
      </c>
      <c r="AK1258" s="75">
        <v>0</v>
      </c>
      <c r="AL1258" s="95">
        <v>1</v>
      </c>
      <c r="AM1258" s="92">
        <v>0</v>
      </c>
      <c r="AN1258" s="79" t="s">
        <v>80</v>
      </c>
      <c r="AO1258" s="75">
        <v>1</v>
      </c>
      <c r="AP1258" s="75" t="s">
        <v>83</v>
      </c>
      <c r="AQ1258" s="122">
        <v>1</v>
      </c>
      <c r="AR1258" s="515" t="s">
        <v>10</v>
      </c>
      <c r="AS1258" s="95">
        <v>0</v>
      </c>
      <c r="AT1258" s="75">
        <v>0</v>
      </c>
      <c r="AU1258" s="75">
        <v>0</v>
      </c>
      <c r="AV1258" s="75">
        <v>0</v>
      </c>
      <c r="AW1258" s="123">
        <v>0</v>
      </c>
      <c r="AX1258" s="516" t="s">
        <v>3672</v>
      </c>
      <c r="AY1258" s="75">
        <v>1</v>
      </c>
      <c r="AZ1258" s="77" t="s">
        <v>131</v>
      </c>
      <c r="BA1258" s="78" t="s">
        <v>131</v>
      </c>
      <c r="BB1258" s="78" t="s">
        <v>131</v>
      </c>
      <c r="BC1258" s="78" t="s">
        <v>131</v>
      </c>
      <c r="BD1258" s="78" t="s">
        <v>131</v>
      </c>
      <c r="BE1258" s="78" t="s">
        <v>131</v>
      </c>
      <c r="BF1258" s="78" t="s">
        <v>131</v>
      </c>
      <c r="BG1258" s="78" t="s">
        <v>132</v>
      </c>
      <c r="BH1258" s="75" t="s">
        <v>5970</v>
      </c>
      <c r="BI1258" s="295" t="s">
        <v>2259</v>
      </c>
      <c r="BJ1258" s="546">
        <v>1</v>
      </c>
      <c r="BK1258" s="294" t="s">
        <v>16</v>
      </c>
      <c r="BL1258" s="157" t="s">
        <v>16</v>
      </c>
      <c r="BM1258" s="548" t="s">
        <v>1341</v>
      </c>
      <c r="BN1258" s="548" t="s">
        <v>1339</v>
      </c>
      <c r="BO1258" s="157" t="s">
        <v>4233</v>
      </c>
      <c r="BP1258" s="548" t="s">
        <v>307</v>
      </c>
      <c r="BQ1258" s="157" t="s">
        <v>4232</v>
      </c>
      <c r="BR1258" s="157"/>
    </row>
    <row r="1259" spans="1:70" x14ac:dyDescent="0.25">
      <c r="A1259" s="19" t="s">
        <v>3686</v>
      </c>
      <c r="B1259" s="37" t="s">
        <v>3673</v>
      </c>
      <c r="C1259" s="90">
        <v>44878.698263888888</v>
      </c>
      <c r="D1259" s="114">
        <v>44878.448263888888</v>
      </c>
      <c r="E1259" s="38">
        <v>44878</v>
      </c>
      <c r="F1259" s="91">
        <v>2022</v>
      </c>
      <c r="G1259" s="93">
        <v>11</v>
      </c>
      <c r="H1259" s="37" t="s">
        <v>475</v>
      </c>
      <c r="I1259" s="37"/>
      <c r="J1259" s="103">
        <v>-91.610694835241759</v>
      </c>
      <c r="K1259" s="40">
        <v>43.633648692900152</v>
      </c>
      <c r="L1259" s="74"/>
      <c r="M1259" s="272" t="s">
        <v>3674</v>
      </c>
      <c r="N1259" s="74">
        <v>1</v>
      </c>
      <c r="O1259" s="94"/>
      <c r="P1259" s="118">
        <v>1</v>
      </c>
      <c r="Q1259" s="510">
        <v>180</v>
      </c>
      <c r="R1259" s="513">
        <v>180</v>
      </c>
      <c r="S1259" s="41"/>
      <c r="T1259" s="40"/>
      <c r="U1259" s="40">
        <v>7</v>
      </c>
      <c r="V1259" s="119">
        <v>1</v>
      </c>
      <c r="W1259" s="40">
        <v>0</v>
      </c>
      <c r="X1259" s="119">
        <v>1</v>
      </c>
      <c r="Y1259" s="40">
        <v>41</v>
      </c>
      <c r="Z1259" s="119">
        <v>1</v>
      </c>
      <c r="AA1259" s="368">
        <v>0</v>
      </c>
      <c r="AB1259" s="535">
        <v>2</v>
      </c>
      <c r="AC1259" s="39" t="s">
        <v>160</v>
      </c>
      <c r="AD1259" s="75" t="s">
        <v>10</v>
      </c>
      <c r="AE1259" s="95">
        <v>0</v>
      </c>
      <c r="AF1259" s="75">
        <v>0</v>
      </c>
      <c r="AG1259" s="75">
        <v>0</v>
      </c>
      <c r="AH1259" s="75">
        <v>0</v>
      </c>
      <c r="AI1259" s="75">
        <v>0</v>
      </c>
      <c r="AJ1259" s="75">
        <v>0</v>
      </c>
      <c r="AK1259" s="75">
        <v>0</v>
      </c>
      <c r="AL1259" s="95">
        <v>1</v>
      </c>
      <c r="AM1259" s="92">
        <v>0</v>
      </c>
      <c r="AN1259" s="79" t="s">
        <v>80</v>
      </c>
      <c r="AO1259" s="75">
        <v>1</v>
      </c>
      <c r="AP1259" s="75" t="s">
        <v>83</v>
      </c>
      <c r="AQ1259" s="122">
        <v>1</v>
      </c>
      <c r="AR1259" s="515" t="s">
        <v>10</v>
      </c>
      <c r="AS1259" s="95">
        <v>0</v>
      </c>
      <c r="AT1259" s="75">
        <v>0</v>
      </c>
      <c r="AU1259" s="75">
        <v>0</v>
      </c>
      <c r="AV1259" s="75">
        <v>0</v>
      </c>
      <c r="AW1259" s="123">
        <v>0</v>
      </c>
      <c r="AX1259" s="516" t="s">
        <v>3675</v>
      </c>
      <c r="AY1259" s="75">
        <v>1</v>
      </c>
      <c r="AZ1259" s="77" t="s">
        <v>131</v>
      </c>
      <c r="BA1259" s="78" t="s">
        <v>131</v>
      </c>
      <c r="BB1259" s="78" t="s">
        <v>131</v>
      </c>
      <c r="BC1259" s="78" t="s">
        <v>131</v>
      </c>
      <c r="BD1259" s="78" t="s">
        <v>131</v>
      </c>
      <c r="BE1259" s="78" t="s">
        <v>131</v>
      </c>
      <c r="BF1259" s="78" t="s">
        <v>131</v>
      </c>
      <c r="BG1259" s="78" t="s">
        <v>132</v>
      </c>
      <c r="BH1259" s="75" t="s">
        <v>5970</v>
      </c>
      <c r="BI1259" s="295" t="s">
        <v>2285</v>
      </c>
      <c r="BJ1259" s="546">
        <v>1</v>
      </c>
      <c r="BK1259" s="294">
        <v>1</v>
      </c>
      <c r="BL1259" s="157">
        <v>1</v>
      </c>
      <c r="BM1259" s="548" t="s">
        <v>1341</v>
      </c>
      <c r="BN1259" s="548" t="s">
        <v>1339</v>
      </c>
      <c r="BO1259" s="157" t="s">
        <v>4233</v>
      </c>
      <c r="BP1259" s="548" t="s">
        <v>307</v>
      </c>
      <c r="BQ1259" s="157" t="s">
        <v>4232</v>
      </c>
      <c r="BR1259" s="157"/>
    </row>
    <row r="1260" spans="1:70" x14ac:dyDescent="0.25">
      <c r="A1260" s="19" t="s">
        <v>3686</v>
      </c>
      <c r="B1260" s="37" t="s">
        <v>3676</v>
      </c>
      <c r="C1260" s="90">
        <v>44878.671215277776</v>
      </c>
      <c r="D1260" s="114">
        <v>44878.421215277776</v>
      </c>
      <c r="E1260" s="38">
        <v>44878</v>
      </c>
      <c r="F1260" s="91">
        <v>2022</v>
      </c>
      <c r="G1260" s="93">
        <v>11</v>
      </c>
      <c r="H1260" s="37" t="s">
        <v>475</v>
      </c>
      <c r="I1260" s="37"/>
      <c r="J1260" s="103">
        <v>-91.813237684346319</v>
      </c>
      <c r="K1260" s="40">
        <v>43.597898678195619</v>
      </c>
      <c r="L1260" s="74"/>
      <c r="M1260" s="272" t="s">
        <v>3677</v>
      </c>
      <c r="N1260" s="74">
        <v>1</v>
      </c>
      <c r="O1260" s="94"/>
      <c r="P1260" s="118">
        <v>1</v>
      </c>
      <c r="Q1260" s="510">
        <v>180</v>
      </c>
      <c r="R1260" s="513">
        <v>180</v>
      </c>
      <c r="S1260" s="41"/>
      <c r="T1260" s="40"/>
      <c r="U1260" s="40">
        <v>7</v>
      </c>
      <c r="V1260" s="119">
        <v>1</v>
      </c>
      <c r="W1260" s="40">
        <v>0</v>
      </c>
      <c r="X1260" s="119">
        <v>1</v>
      </c>
      <c r="Y1260" s="40">
        <v>40</v>
      </c>
      <c r="Z1260" s="119">
        <v>1</v>
      </c>
      <c r="AA1260" s="368">
        <v>0</v>
      </c>
      <c r="AB1260" s="535">
        <v>5</v>
      </c>
      <c r="AC1260" s="39" t="s">
        <v>160</v>
      </c>
      <c r="AD1260" s="75" t="s">
        <v>10</v>
      </c>
      <c r="AE1260" s="95">
        <v>0</v>
      </c>
      <c r="AF1260" s="75">
        <v>0</v>
      </c>
      <c r="AG1260" s="75">
        <v>0</v>
      </c>
      <c r="AH1260" s="75">
        <v>0</v>
      </c>
      <c r="AI1260" s="75">
        <v>0</v>
      </c>
      <c r="AJ1260" s="75">
        <v>0</v>
      </c>
      <c r="AK1260" s="75">
        <v>0</v>
      </c>
      <c r="AL1260" s="95">
        <v>1</v>
      </c>
      <c r="AM1260" s="92">
        <v>0</v>
      </c>
      <c r="AN1260" s="79" t="s">
        <v>80</v>
      </c>
      <c r="AO1260" s="75">
        <v>1</v>
      </c>
      <c r="AP1260" s="75" t="s">
        <v>83</v>
      </c>
      <c r="AQ1260" s="122">
        <v>1</v>
      </c>
      <c r="AR1260" s="515" t="s">
        <v>10</v>
      </c>
      <c r="AS1260" s="95">
        <v>0</v>
      </c>
      <c r="AT1260" s="75">
        <v>0</v>
      </c>
      <c r="AU1260" s="75">
        <v>0</v>
      </c>
      <c r="AV1260" s="75">
        <v>0</v>
      </c>
      <c r="AW1260" s="123">
        <v>0</v>
      </c>
      <c r="AX1260" s="516" t="s">
        <v>3678</v>
      </c>
      <c r="AY1260" s="75">
        <v>1</v>
      </c>
      <c r="AZ1260" s="77" t="s">
        <v>131</v>
      </c>
      <c r="BA1260" s="78" t="s">
        <v>131</v>
      </c>
      <c r="BB1260" s="78" t="s">
        <v>131</v>
      </c>
      <c r="BC1260" s="78" t="s">
        <v>131</v>
      </c>
      <c r="BD1260" s="78" t="s">
        <v>131</v>
      </c>
      <c r="BE1260" s="78" t="s">
        <v>131</v>
      </c>
      <c r="BF1260" s="78" t="s">
        <v>131</v>
      </c>
      <c r="BG1260" s="78" t="s">
        <v>132</v>
      </c>
      <c r="BH1260" s="75" t="s">
        <v>5970</v>
      </c>
      <c r="BI1260" s="295" t="s">
        <v>2271</v>
      </c>
      <c r="BJ1260" s="546">
        <v>1</v>
      </c>
      <c r="BK1260" s="294">
        <v>1</v>
      </c>
      <c r="BL1260" s="157">
        <v>1</v>
      </c>
      <c r="BM1260" s="548" t="s">
        <v>1341</v>
      </c>
      <c r="BN1260" s="548" t="s">
        <v>1339</v>
      </c>
      <c r="BO1260" s="157" t="s">
        <v>4245</v>
      </c>
      <c r="BP1260" s="548" t="s">
        <v>2271</v>
      </c>
      <c r="BQ1260" s="157" t="s">
        <v>4232</v>
      </c>
      <c r="BR1260" s="157"/>
    </row>
    <row r="1261" spans="1:70" x14ac:dyDescent="0.25">
      <c r="A1261" s="19" t="s">
        <v>3686</v>
      </c>
      <c r="B1261" s="37" t="s">
        <v>3679</v>
      </c>
      <c r="C1261" s="90">
        <v>44877.84778935185</v>
      </c>
      <c r="D1261" s="114">
        <v>44877.59778935185</v>
      </c>
      <c r="E1261" s="38">
        <v>44877</v>
      </c>
      <c r="F1261" s="91">
        <v>2022</v>
      </c>
      <c r="G1261" s="93">
        <v>11</v>
      </c>
      <c r="H1261" s="37" t="s">
        <v>1378</v>
      </c>
      <c r="I1261" s="37"/>
      <c r="J1261" s="103">
        <v>-91.218055366365434</v>
      </c>
      <c r="K1261" s="40">
        <v>43.821637509978665</v>
      </c>
      <c r="L1261" s="74"/>
      <c r="M1261" s="272" t="s">
        <v>16</v>
      </c>
      <c r="N1261" s="74">
        <v>0</v>
      </c>
      <c r="O1261" s="94"/>
      <c r="P1261" s="118">
        <v>1</v>
      </c>
      <c r="Q1261" s="510">
        <v>180</v>
      </c>
      <c r="R1261" s="513">
        <v>180</v>
      </c>
      <c r="S1261" s="41"/>
      <c r="T1261" s="40"/>
      <c r="U1261" s="40">
        <v>8</v>
      </c>
      <c r="V1261" s="119">
        <v>1</v>
      </c>
      <c r="W1261" s="40">
        <v>100</v>
      </c>
      <c r="X1261" s="119">
        <v>1</v>
      </c>
      <c r="Y1261" s="40">
        <v>55</v>
      </c>
      <c r="Z1261" s="119">
        <v>0</v>
      </c>
      <c r="AA1261" s="368" t="s">
        <v>16</v>
      </c>
      <c r="AB1261" s="535" t="s">
        <v>16</v>
      </c>
      <c r="AC1261" s="39" t="s">
        <v>160</v>
      </c>
      <c r="AD1261" s="75" t="s">
        <v>355</v>
      </c>
      <c r="AE1261" s="95">
        <v>0</v>
      </c>
      <c r="AF1261" s="75">
        <v>0</v>
      </c>
      <c r="AG1261" s="75">
        <v>0</v>
      </c>
      <c r="AH1261" s="75">
        <v>1</v>
      </c>
      <c r="AI1261" s="75">
        <v>0</v>
      </c>
      <c r="AJ1261" s="75">
        <v>0</v>
      </c>
      <c r="AK1261" s="75">
        <v>0</v>
      </c>
      <c r="AL1261" s="95">
        <v>0</v>
      </c>
      <c r="AM1261" s="92">
        <v>0</v>
      </c>
      <c r="AN1261" s="79" t="s">
        <v>80</v>
      </c>
      <c r="AO1261" s="75">
        <v>1</v>
      </c>
      <c r="AP1261" s="75" t="s">
        <v>83</v>
      </c>
      <c r="AQ1261" s="122">
        <v>1</v>
      </c>
      <c r="AR1261" s="515" t="s">
        <v>10</v>
      </c>
      <c r="AS1261" s="95">
        <v>0</v>
      </c>
      <c r="AT1261" s="75">
        <v>0</v>
      </c>
      <c r="AU1261" s="75">
        <v>0</v>
      </c>
      <c r="AV1261" s="75">
        <v>0</v>
      </c>
      <c r="AW1261" s="123">
        <v>0</v>
      </c>
      <c r="AX1261" s="516"/>
      <c r="AY1261" s="75">
        <v>0</v>
      </c>
      <c r="AZ1261" s="77" t="s">
        <v>131</v>
      </c>
      <c r="BA1261" s="78" t="s">
        <v>131</v>
      </c>
      <c r="BB1261" s="78" t="s">
        <v>131</v>
      </c>
      <c r="BC1261" s="78" t="s">
        <v>132</v>
      </c>
      <c r="BD1261" s="78" t="s">
        <v>131</v>
      </c>
      <c r="BE1261" s="78" t="s">
        <v>131</v>
      </c>
      <c r="BF1261" s="78" t="s">
        <v>131</v>
      </c>
      <c r="BG1261" s="78" t="s">
        <v>131</v>
      </c>
      <c r="BH1261" s="75" t="s">
        <v>5970</v>
      </c>
      <c r="BI1261" s="295">
        <v>0</v>
      </c>
      <c r="BJ1261" s="546" t="s">
        <v>16</v>
      </c>
      <c r="BK1261" s="294" t="s">
        <v>16</v>
      </c>
      <c r="BL1261" s="157" t="s">
        <v>16</v>
      </c>
      <c r="BM1261" s="548" t="s">
        <v>1342</v>
      </c>
      <c r="BN1261" s="548" t="s">
        <v>4158</v>
      </c>
      <c r="BO1261" s="157" t="s">
        <v>4615</v>
      </c>
      <c r="BP1261" s="548" t="s">
        <v>4617</v>
      </c>
      <c r="BQ1261" s="157" t="s">
        <v>4339</v>
      </c>
      <c r="BR1261" s="157"/>
    </row>
    <row r="1262" spans="1:70" x14ac:dyDescent="0.25">
      <c r="A1262" s="19" t="s">
        <v>3686</v>
      </c>
      <c r="B1262" s="37" t="s">
        <v>3680</v>
      </c>
      <c r="C1262" s="90">
        <v>44877.831956018519</v>
      </c>
      <c r="D1262" s="114">
        <v>44877.581956018519</v>
      </c>
      <c r="E1262" s="38">
        <v>44877</v>
      </c>
      <c r="F1262" s="91">
        <v>2022</v>
      </c>
      <c r="G1262" s="93">
        <v>11</v>
      </c>
      <c r="H1262" s="37" t="s">
        <v>1378</v>
      </c>
      <c r="I1262" s="37"/>
      <c r="J1262" s="103">
        <v>-91.215804557843796</v>
      </c>
      <c r="K1262" s="40">
        <v>43.819226970135553</v>
      </c>
      <c r="L1262" s="74"/>
      <c r="M1262" s="272" t="s">
        <v>3681</v>
      </c>
      <c r="N1262" s="74">
        <v>1</v>
      </c>
      <c r="O1262" s="94"/>
      <c r="P1262" s="118">
        <v>1</v>
      </c>
      <c r="Q1262" s="510">
        <v>180</v>
      </c>
      <c r="R1262" s="513">
        <v>180</v>
      </c>
      <c r="S1262" s="41"/>
      <c r="T1262" s="40"/>
      <c r="U1262" s="40">
        <v>8</v>
      </c>
      <c r="V1262" s="119">
        <v>1</v>
      </c>
      <c r="W1262" s="40">
        <v>300</v>
      </c>
      <c r="X1262" s="119">
        <v>0</v>
      </c>
      <c r="Y1262" s="40"/>
      <c r="Z1262" s="119">
        <v>0</v>
      </c>
      <c r="AA1262" s="368" t="s">
        <v>16</v>
      </c>
      <c r="AB1262" s="535" t="s">
        <v>16</v>
      </c>
      <c r="AC1262" s="39" t="s">
        <v>355</v>
      </c>
      <c r="AD1262" s="75" t="s">
        <v>16</v>
      </c>
      <c r="AE1262" s="95">
        <v>-1</v>
      </c>
      <c r="AF1262" s="75">
        <v>-1</v>
      </c>
      <c r="AG1262" s="75">
        <v>-1</v>
      </c>
      <c r="AH1262" s="75">
        <v>-1</v>
      </c>
      <c r="AI1262" s="75">
        <v>-1</v>
      </c>
      <c r="AJ1262" s="75">
        <v>-1</v>
      </c>
      <c r="AK1262" s="75">
        <v>-1</v>
      </c>
      <c r="AL1262" s="95">
        <v>-1</v>
      </c>
      <c r="AM1262" s="92">
        <v>1</v>
      </c>
      <c r="AN1262" s="79" t="s">
        <v>80</v>
      </c>
      <c r="AO1262" s="75">
        <v>1</v>
      </c>
      <c r="AP1262" s="75" t="s">
        <v>83</v>
      </c>
      <c r="AQ1262" s="122">
        <v>1</v>
      </c>
      <c r="AR1262" s="515" t="s">
        <v>10</v>
      </c>
      <c r="AS1262" s="95">
        <v>0</v>
      </c>
      <c r="AT1262" s="75">
        <v>0</v>
      </c>
      <c r="AU1262" s="75">
        <v>0</v>
      </c>
      <c r="AV1262" s="75">
        <v>0</v>
      </c>
      <c r="AW1262" s="123">
        <v>0</v>
      </c>
      <c r="AX1262" s="516"/>
      <c r="AY1262" s="75">
        <v>0</v>
      </c>
      <c r="AZ1262" s="77" t="s">
        <v>5971</v>
      </c>
      <c r="BA1262" s="78" t="s">
        <v>5971</v>
      </c>
      <c r="BB1262" s="78" t="s">
        <v>5971</v>
      </c>
      <c r="BC1262" s="78" t="s">
        <v>5971</v>
      </c>
      <c r="BD1262" s="78" t="s">
        <v>5971</v>
      </c>
      <c r="BE1262" s="78" t="s">
        <v>5971</v>
      </c>
      <c r="BF1262" s="78" t="s">
        <v>5971</v>
      </c>
      <c r="BG1262" s="78" t="s">
        <v>5971</v>
      </c>
      <c r="BH1262" s="75" t="s">
        <v>5971</v>
      </c>
      <c r="BI1262" s="295">
        <v>0</v>
      </c>
      <c r="BJ1262" s="546" t="s">
        <v>16</v>
      </c>
      <c r="BK1262" s="294" t="s">
        <v>16</v>
      </c>
      <c r="BL1262" s="157" t="s">
        <v>16</v>
      </c>
      <c r="BM1262" s="548" t="s">
        <v>1342</v>
      </c>
      <c r="BN1262" s="548" t="s">
        <v>4158</v>
      </c>
      <c r="BO1262" s="157" t="s">
        <v>4615</v>
      </c>
      <c r="BP1262" s="548" t="s">
        <v>4617</v>
      </c>
      <c r="BQ1262" s="157" t="s">
        <v>4339</v>
      </c>
      <c r="BR1262" s="157"/>
    </row>
    <row r="1263" spans="1:70" x14ac:dyDescent="0.25">
      <c r="A1263" s="19" t="s">
        <v>3686</v>
      </c>
      <c r="B1263" s="37" t="s">
        <v>2106</v>
      </c>
      <c r="C1263" s="90">
        <v>44864.800069444442</v>
      </c>
      <c r="D1263" s="114">
        <v>44864.550069444442</v>
      </c>
      <c r="E1263" s="38">
        <v>44864</v>
      </c>
      <c r="F1263" s="91">
        <v>2022</v>
      </c>
      <c r="G1263" s="93">
        <v>10</v>
      </c>
      <c r="H1263" s="37" t="s">
        <v>1491</v>
      </c>
      <c r="I1263" s="37"/>
      <c r="J1263" s="103">
        <v>-92.641685600000002</v>
      </c>
      <c r="K1263" s="40">
        <v>44.849836799999999</v>
      </c>
      <c r="L1263" s="74"/>
      <c r="M1263" s="272" t="s">
        <v>16</v>
      </c>
      <c r="N1263" s="74">
        <v>0</v>
      </c>
      <c r="O1263" s="94"/>
      <c r="P1263" s="118">
        <v>1</v>
      </c>
      <c r="Q1263" s="510">
        <v>40</v>
      </c>
      <c r="R1263" s="513">
        <v>0</v>
      </c>
      <c r="S1263" s="41"/>
      <c r="T1263" s="40"/>
      <c r="U1263" s="40">
        <v>7.5</v>
      </c>
      <c r="V1263" s="119">
        <v>1</v>
      </c>
      <c r="W1263" s="40">
        <v>100</v>
      </c>
      <c r="X1263" s="119">
        <v>1</v>
      </c>
      <c r="Y1263" s="40">
        <v>49</v>
      </c>
      <c r="Z1263" s="119">
        <v>1</v>
      </c>
      <c r="AA1263" s="368">
        <v>0</v>
      </c>
      <c r="AB1263" s="535">
        <v>2</v>
      </c>
      <c r="AC1263" s="39" t="s">
        <v>160</v>
      </c>
      <c r="AD1263" s="75" t="s">
        <v>9</v>
      </c>
      <c r="AE1263" s="95">
        <v>0</v>
      </c>
      <c r="AF1263" s="75">
        <v>0</v>
      </c>
      <c r="AG1263" s="75">
        <v>1</v>
      </c>
      <c r="AH1263" s="75">
        <v>0</v>
      </c>
      <c r="AI1263" s="75">
        <v>0</v>
      </c>
      <c r="AJ1263" s="75">
        <v>0</v>
      </c>
      <c r="AK1263" s="75">
        <v>0</v>
      </c>
      <c r="AL1263" s="95">
        <v>0</v>
      </c>
      <c r="AM1263" s="92">
        <v>0</v>
      </c>
      <c r="AN1263" s="79" t="s">
        <v>80</v>
      </c>
      <c r="AO1263" s="75">
        <v>1</v>
      </c>
      <c r="AP1263" s="75" t="s">
        <v>83</v>
      </c>
      <c r="AQ1263" s="122">
        <v>1</v>
      </c>
      <c r="AR1263" s="515" t="s">
        <v>10</v>
      </c>
      <c r="AS1263" s="95">
        <v>0</v>
      </c>
      <c r="AT1263" s="75">
        <v>0</v>
      </c>
      <c r="AU1263" s="75">
        <v>0</v>
      </c>
      <c r="AV1263" s="75">
        <v>0</v>
      </c>
      <c r="AW1263" s="123">
        <v>0</v>
      </c>
      <c r="AX1263" s="516" t="s">
        <v>2107</v>
      </c>
      <c r="AY1263" s="75">
        <v>1</v>
      </c>
      <c r="AZ1263" s="77" t="s">
        <v>131</v>
      </c>
      <c r="BA1263" s="78" t="s">
        <v>131</v>
      </c>
      <c r="BB1263" s="78" t="s">
        <v>132</v>
      </c>
      <c r="BC1263" s="78" t="s">
        <v>131</v>
      </c>
      <c r="BD1263" s="78" t="s">
        <v>131</v>
      </c>
      <c r="BE1263" s="78" t="s">
        <v>131</v>
      </c>
      <c r="BF1263" s="78" t="s">
        <v>131</v>
      </c>
      <c r="BG1263" s="78" t="s">
        <v>131</v>
      </c>
      <c r="BH1263" s="75" t="s">
        <v>5970</v>
      </c>
      <c r="BI1263" s="295" t="s">
        <v>2227</v>
      </c>
      <c r="BJ1263" s="546">
        <v>1</v>
      </c>
      <c r="BK1263" s="294">
        <v>1</v>
      </c>
      <c r="BL1263" s="157">
        <v>1</v>
      </c>
      <c r="BM1263" s="548" t="s">
        <v>578</v>
      </c>
      <c r="BN1263" s="548" t="s">
        <v>4159</v>
      </c>
      <c r="BO1263" s="157" t="s">
        <v>4341</v>
      </c>
      <c r="BP1263" s="548" t="s">
        <v>4343</v>
      </c>
      <c r="BQ1263" s="157" t="s">
        <v>4309</v>
      </c>
      <c r="BR1263" s="157"/>
    </row>
    <row r="1264" spans="1:70" x14ac:dyDescent="0.25">
      <c r="A1264" s="19" t="s">
        <v>3686</v>
      </c>
      <c r="B1264" s="37" t="s">
        <v>2108</v>
      </c>
      <c r="C1264" s="90">
        <v>44864.780682870369</v>
      </c>
      <c r="D1264" s="114">
        <v>44864.530682870369</v>
      </c>
      <c r="E1264" s="38">
        <v>44864</v>
      </c>
      <c r="F1264" s="91">
        <v>2022</v>
      </c>
      <c r="G1264" s="93">
        <v>10</v>
      </c>
      <c r="H1264" s="37" t="s">
        <v>1491</v>
      </c>
      <c r="I1264" s="37"/>
      <c r="J1264" s="103">
        <v>-92.644036999999997</v>
      </c>
      <c r="K1264" s="40">
        <v>44.844380800000003</v>
      </c>
      <c r="L1264" s="74"/>
      <c r="M1264" s="272" t="s">
        <v>16</v>
      </c>
      <c r="N1264" s="74">
        <v>0</v>
      </c>
      <c r="O1264" s="94"/>
      <c r="P1264" s="118">
        <v>1</v>
      </c>
      <c r="Q1264" s="510">
        <v>80</v>
      </c>
      <c r="R1264" s="513">
        <v>120</v>
      </c>
      <c r="S1264" s="41"/>
      <c r="T1264" s="40"/>
      <c r="U1264" s="40">
        <v>7.5</v>
      </c>
      <c r="V1264" s="119">
        <v>1</v>
      </c>
      <c r="W1264" s="40">
        <v>0</v>
      </c>
      <c r="X1264" s="119">
        <v>1</v>
      </c>
      <c r="Y1264" s="40">
        <v>49</v>
      </c>
      <c r="Z1264" s="119">
        <v>1</v>
      </c>
      <c r="AA1264" s="368">
        <v>0</v>
      </c>
      <c r="AB1264" s="535">
        <v>2</v>
      </c>
      <c r="AC1264" s="39" t="s">
        <v>160</v>
      </c>
      <c r="AD1264" s="75" t="s">
        <v>365</v>
      </c>
      <c r="AE1264" s="95">
        <v>0</v>
      </c>
      <c r="AF1264" s="75">
        <v>1</v>
      </c>
      <c r="AG1264" s="75">
        <v>1</v>
      </c>
      <c r="AH1264" s="75">
        <v>0</v>
      </c>
      <c r="AI1264" s="75">
        <v>0</v>
      </c>
      <c r="AJ1264" s="75">
        <v>0</v>
      </c>
      <c r="AK1264" s="75">
        <v>0</v>
      </c>
      <c r="AL1264" s="95">
        <v>0</v>
      </c>
      <c r="AM1264" s="92">
        <v>0</v>
      </c>
      <c r="AN1264" s="79" t="s">
        <v>80</v>
      </c>
      <c r="AO1264" s="75">
        <v>1</v>
      </c>
      <c r="AP1264" s="75" t="s">
        <v>83</v>
      </c>
      <c r="AQ1264" s="122">
        <v>1</v>
      </c>
      <c r="AR1264" s="515" t="s">
        <v>10</v>
      </c>
      <c r="AS1264" s="95">
        <v>0</v>
      </c>
      <c r="AT1264" s="75">
        <v>0</v>
      </c>
      <c r="AU1264" s="75">
        <v>0</v>
      </c>
      <c r="AV1264" s="75">
        <v>0</v>
      </c>
      <c r="AW1264" s="123">
        <v>0</v>
      </c>
      <c r="AX1264" s="516" t="s">
        <v>2109</v>
      </c>
      <c r="AY1264" s="75">
        <v>1</v>
      </c>
      <c r="AZ1264" s="77" t="s">
        <v>131</v>
      </c>
      <c r="BA1264" s="78" t="s">
        <v>132</v>
      </c>
      <c r="BB1264" s="78" t="s">
        <v>132</v>
      </c>
      <c r="BC1264" s="78" t="s">
        <v>131</v>
      </c>
      <c r="BD1264" s="78" t="s">
        <v>131</v>
      </c>
      <c r="BE1264" s="78" t="s">
        <v>131</v>
      </c>
      <c r="BF1264" s="78" t="s">
        <v>131</v>
      </c>
      <c r="BG1264" s="78" t="s">
        <v>131</v>
      </c>
      <c r="BH1264" s="75" t="s">
        <v>5970</v>
      </c>
      <c r="BI1264" s="295" t="s">
        <v>2227</v>
      </c>
      <c r="BJ1264" s="546">
        <v>1</v>
      </c>
      <c r="BK1264" s="294">
        <v>1</v>
      </c>
      <c r="BL1264" s="157">
        <v>1</v>
      </c>
      <c r="BM1264" s="548" t="s">
        <v>578</v>
      </c>
      <c r="BN1264" s="548" t="s">
        <v>4159</v>
      </c>
      <c r="BO1264" s="157" t="s">
        <v>4341</v>
      </c>
      <c r="BP1264" s="548" t="s">
        <v>4343</v>
      </c>
      <c r="BQ1264" s="157" t="s">
        <v>4309</v>
      </c>
      <c r="BR1264" s="157"/>
    </row>
    <row r="1265" spans="1:70" x14ac:dyDescent="0.25">
      <c r="A1265" s="19" t="s">
        <v>3686</v>
      </c>
      <c r="B1265" s="37" t="s">
        <v>2110</v>
      </c>
      <c r="C1265" s="90">
        <v>44864.750231481485</v>
      </c>
      <c r="D1265" s="114">
        <v>44864.500231481485</v>
      </c>
      <c r="E1265" s="38">
        <v>44864</v>
      </c>
      <c r="F1265" s="91">
        <v>2022</v>
      </c>
      <c r="G1265" s="93">
        <v>10</v>
      </c>
      <c r="H1265" s="37" t="s">
        <v>1491</v>
      </c>
      <c r="I1265" s="37"/>
      <c r="J1265" s="103">
        <v>-92.636524100000003</v>
      </c>
      <c r="K1265" s="40">
        <v>44.854660699999997</v>
      </c>
      <c r="L1265" s="74"/>
      <c r="M1265" s="272" t="s">
        <v>16</v>
      </c>
      <c r="N1265" s="74">
        <v>0</v>
      </c>
      <c r="O1265" s="94"/>
      <c r="P1265" s="118">
        <v>1</v>
      </c>
      <c r="Q1265" s="510">
        <v>80</v>
      </c>
      <c r="R1265" s="513">
        <v>120</v>
      </c>
      <c r="S1265" s="41"/>
      <c r="T1265" s="40"/>
      <c r="U1265" s="40">
        <v>6.5</v>
      </c>
      <c r="V1265" s="119">
        <v>1</v>
      </c>
      <c r="W1265" s="40">
        <v>100</v>
      </c>
      <c r="X1265" s="119">
        <v>1</v>
      </c>
      <c r="Y1265" s="40">
        <v>48</v>
      </c>
      <c r="Z1265" s="119">
        <v>1</v>
      </c>
      <c r="AA1265" s="368">
        <v>0</v>
      </c>
      <c r="AB1265" s="535">
        <v>2</v>
      </c>
      <c r="AC1265" s="39" t="s">
        <v>160</v>
      </c>
      <c r="AD1265" s="75" t="s">
        <v>803</v>
      </c>
      <c r="AE1265" s="95">
        <v>0</v>
      </c>
      <c r="AF1265" s="75">
        <v>1</v>
      </c>
      <c r="AG1265" s="75">
        <v>1</v>
      </c>
      <c r="AH1265" s="75">
        <v>1</v>
      </c>
      <c r="AI1265" s="75">
        <v>0</v>
      </c>
      <c r="AJ1265" s="75">
        <v>0</v>
      </c>
      <c r="AK1265" s="75">
        <v>0</v>
      </c>
      <c r="AL1265" s="95">
        <v>0</v>
      </c>
      <c r="AM1265" s="92">
        <v>0</v>
      </c>
      <c r="AN1265" s="79" t="s">
        <v>80</v>
      </c>
      <c r="AO1265" s="75">
        <v>1</v>
      </c>
      <c r="AP1265" s="75" t="s">
        <v>83</v>
      </c>
      <c r="AQ1265" s="122">
        <v>1</v>
      </c>
      <c r="AR1265" s="515" t="s">
        <v>10</v>
      </c>
      <c r="AS1265" s="95">
        <v>0</v>
      </c>
      <c r="AT1265" s="75">
        <v>0</v>
      </c>
      <c r="AU1265" s="75">
        <v>0</v>
      </c>
      <c r="AV1265" s="75">
        <v>0</v>
      </c>
      <c r="AW1265" s="123">
        <v>0</v>
      </c>
      <c r="AX1265" s="516" t="s">
        <v>2111</v>
      </c>
      <c r="AY1265" s="75">
        <v>1</v>
      </c>
      <c r="AZ1265" s="77" t="s">
        <v>131</v>
      </c>
      <c r="BA1265" s="78" t="s">
        <v>132</v>
      </c>
      <c r="BB1265" s="78" t="s">
        <v>132</v>
      </c>
      <c r="BC1265" s="78" t="s">
        <v>132</v>
      </c>
      <c r="BD1265" s="78" t="s">
        <v>131</v>
      </c>
      <c r="BE1265" s="78" t="s">
        <v>131</v>
      </c>
      <c r="BF1265" s="78" t="s">
        <v>131</v>
      </c>
      <c r="BG1265" s="78" t="s">
        <v>131</v>
      </c>
      <c r="BH1265" s="75" t="s">
        <v>5970</v>
      </c>
      <c r="BI1265" s="295" t="s">
        <v>2227</v>
      </c>
      <c r="BJ1265" s="546">
        <v>1</v>
      </c>
      <c r="BK1265" s="294">
        <v>1</v>
      </c>
      <c r="BL1265" s="157">
        <v>1</v>
      </c>
      <c r="BM1265" s="548" t="s">
        <v>578</v>
      </c>
      <c r="BN1265" s="548" t="s">
        <v>4159</v>
      </c>
      <c r="BO1265" s="157" t="s">
        <v>4341</v>
      </c>
      <c r="BP1265" s="548" t="s">
        <v>4343</v>
      </c>
      <c r="BQ1265" s="157" t="s">
        <v>4309</v>
      </c>
      <c r="BR1265" s="157"/>
    </row>
    <row r="1266" spans="1:70" x14ac:dyDescent="0.25">
      <c r="A1266" s="19" t="s">
        <v>3686</v>
      </c>
      <c r="B1266" s="37" t="s">
        <v>2112</v>
      </c>
      <c r="C1266" s="90">
        <v>44864.734953703701</v>
      </c>
      <c r="D1266" s="114">
        <v>44864.484953703701</v>
      </c>
      <c r="E1266" s="38">
        <v>44864</v>
      </c>
      <c r="F1266" s="91">
        <v>2022</v>
      </c>
      <c r="G1266" s="93">
        <v>10</v>
      </c>
      <c r="H1266" s="37" t="s">
        <v>1491</v>
      </c>
      <c r="I1266" s="37"/>
      <c r="J1266" s="103">
        <v>-92.637257199999993</v>
      </c>
      <c r="K1266" s="40">
        <v>44.853042000000002</v>
      </c>
      <c r="L1266" s="74"/>
      <c r="M1266" s="272" t="s">
        <v>2113</v>
      </c>
      <c r="N1266" s="74">
        <v>1</v>
      </c>
      <c r="O1266" s="94"/>
      <c r="P1266" s="118">
        <v>1</v>
      </c>
      <c r="Q1266" s="510">
        <v>120</v>
      </c>
      <c r="R1266" s="513">
        <v>180</v>
      </c>
      <c r="S1266" s="41"/>
      <c r="T1266" s="40"/>
      <c r="U1266" s="40">
        <v>7</v>
      </c>
      <c r="V1266" s="119">
        <v>1</v>
      </c>
      <c r="W1266" s="40">
        <v>0</v>
      </c>
      <c r="X1266" s="119">
        <v>1</v>
      </c>
      <c r="Y1266" s="40">
        <v>48</v>
      </c>
      <c r="Z1266" s="119">
        <v>1</v>
      </c>
      <c r="AA1266" s="368">
        <v>0</v>
      </c>
      <c r="AB1266" s="535">
        <v>2</v>
      </c>
      <c r="AC1266" s="39" t="s">
        <v>160</v>
      </c>
      <c r="AD1266" s="75" t="s">
        <v>803</v>
      </c>
      <c r="AE1266" s="95">
        <v>0</v>
      </c>
      <c r="AF1266" s="75">
        <v>1</v>
      </c>
      <c r="AG1266" s="75">
        <v>1</v>
      </c>
      <c r="AH1266" s="75">
        <v>1</v>
      </c>
      <c r="AI1266" s="75">
        <v>0</v>
      </c>
      <c r="AJ1266" s="75">
        <v>0</v>
      </c>
      <c r="AK1266" s="75">
        <v>0</v>
      </c>
      <c r="AL1266" s="95">
        <v>0</v>
      </c>
      <c r="AM1266" s="92">
        <v>0</v>
      </c>
      <c r="AN1266" s="79" t="s">
        <v>80</v>
      </c>
      <c r="AO1266" s="75">
        <v>1</v>
      </c>
      <c r="AP1266" s="75" t="s">
        <v>83</v>
      </c>
      <c r="AQ1266" s="122">
        <v>1</v>
      </c>
      <c r="AR1266" s="515" t="s">
        <v>10</v>
      </c>
      <c r="AS1266" s="95">
        <v>0</v>
      </c>
      <c r="AT1266" s="75">
        <v>0</v>
      </c>
      <c r="AU1266" s="75">
        <v>0</v>
      </c>
      <c r="AV1266" s="75">
        <v>0</v>
      </c>
      <c r="AW1266" s="123">
        <v>0</v>
      </c>
      <c r="AX1266" s="516" t="s">
        <v>2114</v>
      </c>
      <c r="AY1266" s="75">
        <v>1</v>
      </c>
      <c r="AZ1266" s="77" t="s">
        <v>131</v>
      </c>
      <c r="BA1266" s="78" t="s">
        <v>132</v>
      </c>
      <c r="BB1266" s="78" t="s">
        <v>132</v>
      </c>
      <c r="BC1266" s="78" t="s">
        <v>132</v>
      </c>
      <c r="BD1266" s="78" t="s">
        <v>131</v>
      </c>
      <c r="BE1266" s="78" t="s">
        <v>131</v>
      </c>
      <c r="BF1266" s="78" t="s">
        <v>131</v>
      </c>
      <c r="BG1266" s="78" t="s">
        <v>131</v>
      </c>
      <c r="BH1266" s="75" t="s">
        <v>5970</v>
      </c>
      <c r="BI1266" s="295" t="s">
        <v>2227</v>
      </c>
      <c r="BJ1266" s="546">
        <v>1</v>
      </c>
      <c r="BK1266" s="294">
        <v>1</v>
      </c>
      <c r="BL1266" s="157">
        <v>1</v>
      </c>
      <c r="BM1266" s="548" t="s">
        <v>578</v>
      </c>
      <c r="BN1266" s="548" t="s">
        <v>4159</v>
      </c>
      <c r="BO1266" s="157" t="s">
        <v>4341</v>
      </c>
      <c r="BP1266" s="548" t="s">
        <v>4343</v>
      </c>
      <c r="BQ1266" s="157" t="s">
        <v>4309</v>
      </c>
      <c r="BR1266" s="157"/>
    </row>
    <row r="1267" spans="1:70" x14ac:dyDescent="0.25">
      <c r="A1267" s="19" t="s">
        <v>3686</v>
      </c>
      <c r="B1267" s="37" t="s">
        <v>2115</v>
      </c>
      <c r="C1267" s="90">
        <v>44864.704259259262</v>
      </c>
      <c r="D1267" s="114">
        <v>44864.454259259262</v>
      </c>
      <c r="E1267" s="38">
        <v>44864</v>
      </c>
      <c r="F1267" s="91">
        <v>2022</v>
      </c>
      <c r="G1267" s="93">
        <v>10</v>
      </c>
      <c r="H1267" s="37" t="s">
        <v>1491</v>
      </c>
      <c r="I1267" s="37" t="s">
        <v>16</v>
      </c>
      <c r="J1267" s="103">
        <v>-92.632011300000002</v>
      </c>
      <c r="K1267" s="40">
        <v>44.8558065</v>
      </c>
      <c r="L1267" s="74"/>
      <c r="M1267" s="272" t="s">
        <v>2116</v>
      </c>
      <c r="N1267" s="74">
        <v>1</v>
      </c>
      <c r="O1267" s="94"/>
      <c r="P1267" s="118">
        <v>1</v>
      </c>
      <c r="Q1267" s="510">
        <v>80</v>
      </c>
      <c r="R1267" s="513">
        <v>120</v>
      </c>
      <c r="S1267" s="41"/>
      <c r="T1267" s="40"/>
      <c r="U1267" s="40">
        <v>7.5</v>
      </c>
      <c r="V1267" s="119">
        <v>1</v>
      </c>
      <c r="W1267" s="40">
        <v>0</v>
      </c>
      <c r="X1267" s="119">
        <v>1</v>
      </c>
      <c r="Y1267" s="40">
        <v>48</v>
      </c>
      <c r="Z1267" s="119">
        <v>1</v>
      </c>
      <c r="AA1267" s="368">
        <v>0</v>
      </c>
      <c r="AB1267" s="535">
        <v>2</v>
      </c>
      <c r="AC1267" s="39" t="s">
        <v>186</v>
      </c>
      <c r="AD1267" s="75" t="s">
        <v>9</v>
      </c>
      <c r="AE1267" s="95">
        <v>0</v>
      </c>
      <c r="AF1267" s="75">
        <v>0</v>
      </c>
      <c r="AG1267" s="75">
        <v>1</v>
      </c>
      <c r="AH1267" s="75">
        <v>0</v>
      </c>
      <c r="AI1267" s="75">
        <v>0</v>
      </c>
      <c r="AJ1267" s="75">
        <v>0</v>
      </c>
      <c r="AK1267" s="75">
        <v>0</v>
      </c>
      <c r="AL1267" s="95">
        <v>0</v>
      </c>
      <c r="AM1267" s="92">
        <v>0</v>
      </c>
      <c r="AN1267" s="79" t="s">
        <v>80</v>
      </c>
      <c r="AO1267" s="75">
        <v>1</v>
      </c>
      <c r="AP1267" s="75" t="s">
        <v>83</v>
      </c>
      <c r="AQ1267" s="122">
        <v>1</v>
      </c>
      <c r="AR1267" s="515" t="s">
        <v>10</v>
      </c>
      <c r="AS1267" s="95">
        <v>0</v>
      </c>
      <c r="AT1267" s="75">
        <v>0</v>
      </c>
      <c r="AU1267" s="75">
        <v>0</v>
      </c>
      <c r="AV1267" s="75">
        <v>0</v>
      </c>
      <c r="AW1267" s="123">
        <v>0</v>
      </c>
      <c r="AX1267" s="516" t="s">
        <v>2117</v>
      </c>
      <c r="AY1267" s="75">
        <v>1</v>
      </c>
      <c r="AZ1267" s="77" t="s">
        <v>131</v>
      </c>
      <c r="BA1267" s="78" t="s">
        <v>131</v>
      </c>
      <c r="BB1267" s="78" t="s">
        <v>132</v>
      </c>
      <c r="BC1267" s="78" t="s">
        <v>131</v>
      </c>
      <c r="BD1267" s="78" t="s">
        <v>131</v>
      </c>
      <c r="BE1267" s="78" t="s">
        <v>131</v>
      </c>
      <c r="BF1267" s="78" t="s">
        <v>131</v>
      </c>
      <c r="BG1267" s="78" t="s">
        <v>131</v>
      </c>
      <c r="BH1267" s="75" t="s">
        <v>5970</v>
      </c>
      <c r="BI1267" s="295" t="s">
        <v>2227</v>
      </c>
      <c r="BJ1267" s="546">
        <v>1</v>
      </c>
      <c r="BK1267" s="294">
        <v>1</v>
      </c>
      <c r="BL1267" s="157">
        <v>1</v>
      </c>
      <c r="BM1267" s="548" t="s">
        <v>578</v>
      </c>
      <c r="BN1267" s="548" t="s">
        <v>4159</v>
      </c>
      <c r="BO1267" s="157" t="s">
        <v>4311</v>
      </c>
      <c r="BP1267" s="548" t="s">
        <v>4395</v>
      </c>
      <c r="BQ1267" s="157" t="s">
        <v>4309</v>
      </c>
      <c r="BR1267" s="157"/>
    </row>
    <row r="1268" spans="1:70" x14ac:dyDescent="0.25">
      <c r="A1268" s="19" t="s">
        <v>3686</v>
      </c>
      <c r="B1268" s="37" t="s">
        <v>2118</v>
      </c>
      <c r="C1268" s="90">
        <v>44860.838078703702</v>
      </c>
      <c r="D1268" s="114">
        <v>44860.588078703702</v>
      </c>
      <c r="E1268" s="38">
        <v>44860</v>
      </c>
      <c r="F1268" s="91">
        <v>2022</v>
      </c>
      <c r="G1268" s="93">
        <v>10</v>
      </c>
      <c r="H1268" s="37" t="s">
        <v>1433</v>
      </c>
      <c r="I1268" s="37" t="s">
        <v>16</v>
      </c>
      <c r="J1268" s="103">
        <v>-92.621327899482679</v>
      </c>
      <c r="K1268" s="40">
        <v>44.875119617250633</v>
      </c>
      <c r="L1268" s="74"/>
      <c r="M1268" s="272" t="s">
        <v>16</v>
      </c>
      <c r="N1268" s="74">
        <v>0</v>
      </c>
      <c r="O1268" s="94"/>
      <c r="P1268" s="118">
        <v>1</v>
      </c>
      <c r="Q1268" s="510">
        <v>180</v>
      </c>
      <c r="R1268" s="513">
        <v>120</v>
      </c>
      <c r="S1268" s="41"/>
      <c r="T1268" s="40"/>
      <c r="U1268" s="40">
        <v>7.5</v>
      </c>
      <c r="V1268" s="119">
        <v>1</v>
      </c>
      <c r="W1268" s="40">
        <v>0</v>
      </c>
      <c r="X1268" s="119">
        <v>0</v>
      </c>
      <c r="Y1268" s="40"/>
      <c r="Z1268" s="119">
        <v>1</v>
      </c>
      <c r="AA1268" s="368">
        <v>0</v>
      </c>
      <c r="AB1268" s="535">
        <v>5</v>
      </c>
      <c r="AC1268" s="39" t="s">
        <v>160</v>
      </c>
      <c r="AD1268" s="75" t="s">
        <v>10</v>
      </c>
      <c r="AE1268" s="95">
        <v>0</v>
      </c>
      <c r="AF1268" s="75">
        <v>0</v>
      </c>
      <c r="AG1268" s="75">
        <v>0</v>
      </c>
      <c r="AH1268" s="75">
        <v>0</v>
      </c>
      <c r="AI1268" s="75">
        <v>0</v>
      </c>
      <c r="AJ1268" s="75">
        <v>0</v>
      </c>
      <c r="AK1268" s="75">
        <v>0</v>
      </c>
      <c r="AL1268" s="95">
        <v>1</v>
      </c>
      <c r="AM1268" s="92">
        <v>0</v>
      </c>
      <c r="AN1268" s="79" t="s">
        <v>80</v>
      </c>
      <c r="AO1268" s="75">
        <v>1</v>
      </c>
      <c r="AP1268" s="75" t="s">
        <v>83</v>
      </c>
      <c r="AQ1268" s="122">
        <v>1</v>
      </c>
      <c r="AR1268" s="515" t="s">
        <v>10</v>
      </c>
      <c r="AS1268" s="95">
        <v>0</v>
      </c>
      <c r="AT1268" s="75">
        <v>0</v>
      </c>
      <c r="AU1268" s="75">
        <v>0</v>
      </c>
      <c r="AV1268" s="75">
        <v>0</v>
      </c>
      <c r="AW1268" s="123">
        <v>0</v>
      </c>
      <c r="AX1268" s="516" t="s">
        <v>2119</v>
      </c>
      <c r="AY1268" s="75">
        <v>1</v>
      </c>
      <c r="AZ1268" s="77" t="s">
        <v>131</v>
      </c>
      <c r="BA1268" s="78" t="s">
        <v>131</v>
      </c>
      <c r="BB1268" s="78" t="s">
        <v>131</v>
      </c>
      <c r="BC1268" s="78" t="s">
        <v>131</v>
      </c>
      <c r="BD1268" s="78" t="s">
        <v>131</v>
      </c>
      <c r="BE1268" s="78" t="s">
        <v>131</v>
      </c>
      <c r="BF1268" s="78" t="s">
        <v>131</v>
      </c>
      <c r="BG1268" s="78" t="s">
        <v>132</v>
      </c>
      <c r="BH1268" s="75" t="s">
        <v>5970</v>
      </c>
      <c r="BI1268" s="295" t="s">
        <v>2227</v>
      </c>
      <c r="BJ1268" s="546">
        <v>1</v>
      </c>
      <c r="BK1268" s="294" t="s">
        <v>16</v>
      </c>
      <c r="BL1268" s="157" t="s">
        <v>16</v>
      </c>
      <c r="BM1268" s="548" t="s">
        <v>578</v>
      </c>
      <c r="BN1268" s="548" t="s">
        <v>4159</v>
      </c>
      <c r="BO1268" s="157" t="s">
        <v>4311</v>
      </c>
      <c r="BP1268" s="548" t="s">
        <v>4395</v>
      </c>
      <c r="BQ1268" s="157" t="s">
        <v>4309</v>
      </c>
      <c r="BR1268" s="157"/>
    </row>
    <row r="1269" spans="1:70" x14ac:dyDescent="0.25">
      <c r="A1269" s="19" t="s">
        <v>3686</v>
      </c>
      <c r="B1269" s="37" t="s">
        <v>2120</v>
      </c>
      <c r="C1269" s="90">
        <v>44859.922094907408</v>
      </c>
      <c r="D1269" s="114">
        <v>44859.672094907408</v>
      </c>
      <c r="E1269" s="38">
        <v>44859</v>
      </c>
      <c r="F1269" s="91">
        <v>2022</v>
      </c>
      <c r="G1269" s="93">
        <v>10</v>
      </c>
      <c r="H1269" s="37" t="s">
        <v>1410</v>
      </c>
      <c r="I1269" s="37" t="s">
        <v>1411</v>
      </c>
      <c r="J1269" s="103">
        <v>-93.231377442025519</v>
      </c>
      <c r="K1269" s="40">
        <v>44.846797266000003</v>
      </c>
      <c r="L1269" s="74"/>
      <c r="M1269" s="272" t="s">
        <v>16</v>
      </c>
      <c r="N1269" s="74">
        <v>0</v>
      </c>
      <c r="O1269" s="94"/>
      <c r="P1269" s="118">
        <v>1</v>
      </c>
      <c r="Q1269" s="510">
        <v>180</v>
      </c>
      <c r="R1269" s="513">
        <v>180</v>
      </c>
      <c r="S1269" s="41"/>
      <c r="T1269" s="40"/>
      <c r="U1269" s="40">
        <v>7.5</v>
      </c>
      <c r="V1269" s="119">
        <v>1</v>
      </c>
      <c r="W1269" s="40">
        <v>0</v>
      </c>
      <c r="X1269" s="119">
        <v>1</v>
      </c>
      <c r="Y1269" s="40">
        <v>51</v>
      </c>
      <c r="Z1269" s="119">
        <v>1</v>
      </c>
      <c r="AA1269" s="368">
        <v>0</v>
      </c>
      <c r="AB1269" s="535">
        <v>0</v>
      </c>
      <c r="AC1269" s="39" t="s">
        <v>160</v>
      </c>
      <c r="AD1269" s="75" t="s">
        <v>10</v>
      </c>
      <c r="AE1269" s="95">
        <v>0</v>
      </c>
      <c r="AF1269" s="75">
        <v>0</v>
      </c>
      <c r="AG1269" s="75">
        <v>0</v>
      </c>
      <c r="AH1269" s="75">
        <v>0</v>
      </c>
      <c r="AI1269" s="75">
        <v>0</v>
      </c>
      <c r="AJ1269" s="75">
        <v>0</v>
      </c>
      <c r="AK1269" s="75">
        <v>0</v>
      </c>
      <c r="AL1269" s="95">
        <v>1</v>
      </c>
      <c r="AM1269" s="92">
        <v>0</v>
      </c>
      <c r="AN1269" s="79" t="s">
        <v>195</v>
      </c>
      <c r="AO1269" s="75">
        <v>1</v>
      </c>
      <c r="AP1269" s="75" t="s">
        <v>83</v>
      </c>
      <c r="AQ1269" s="122">
        <v>1</v>
      </c>
      <c r="AR1269" s="515" t="s">
        <v>10</v>
      </c>
      <c r="AS1269" s="95">
        <v>0</v>
      </c>
      <c r="AT1269" s="75">
        <v>0</v>
      </c>
      <c r="AU1269" s="75">
        <v>0</v>
      </c>
      <c r="AV1269" s="75">
        <v>0</v>
      </c>
      <c r="AW1269" s="123">
        <v>0</v>
      </c>
      <c r="AX1269" s="516" t="s">
        <v>2121</v>
      </c>
      <c r="AY1269" s="75">
        <v>1</v>
      </c>
      <c r="AZ1269" s="77" t="s">
        <v>131</v>
      </c>
      <c r="BA1269" s="78" t="s">
        <v>131</v>
      </c>
      <c r="BB1269" s="78" t="s">
        <v>131</v>
      </c>
      <c r="BC1269" s="78" t="s">
        <v>131</v>
      </c>
      <c r="BD1269" s="78" t="s">
        <v>131</v>
      </c>
      <c r="BE1269" s="78" t="s">
        <v>131</v>
      </c>
      <c r="BF1269" s="78" t="s">
        <v>131</v>
      </c>
      <c r="BG1269" s="78" t="s">
        <v>132</v>
      </c>
      <c r="BH1269" s="75" t="s">
        <v>5970</v>
      </c>
      <c r="BI1269" s="295" t="s">
        <v>16</v>
      </c>
      <c r="BJ1269" s="546" t="s">
        <v>16</v>
      </c>
      <c r="BK1269" s="294" t="s">
        <v>16</v>
      </c>
      <c r="BL1269" s="157" t="s">
        <v>16</v>
      </c>
      <c r="BM1269" s="548" t="s">
        <v>2343</v>
      </c>
      <c r="BN1269" s="548" t="s">
        <v>4161</v>
      </c>
      <c r="BO1269" s="157" t="s">
        <v>4327</v>
      </c>
      <c r="BP1269" s="548" t="s">
        <v>4314</v>
      </c>
      <c r="BQ1269" s="157" t="s">
        <v>4312</v>
      </c>
      <c r="BR1269" s="157"/>
    </row>
    <row r="1270" spans="1:70" x14ac:dyDescent="0.25">
      <c r="A1270" s="19" t="s">
        <v>3686</v>
      </c>
      <c r="B1270" s="37" t="s">
        <v>2122</v>
      </c>
      <c r="C1270" s="90">
        <v>44858.756157407406</v>
      </c>
      <c r="D1270" s="114">
        <v>44858.506157407406</v>
      </c>
      <c r="E1270" s="38">
        <v>44858</v>
      </c>
      <c r="F1270" s="91">
        <v>2022</v>
      </c>
      <c r="G1270" s="93">
        <v>10</v>
      </c>
      <c r="H1270" s="37" t="s">
        <v>475</v>
      </c>
      <c r="I1270" s="37"/>
      <c r="J1270" s="103">
        <v>-92.342481737052395</v>
      </c>
      <c r="K1270" s="40">
        <v>43.773641764114757</v>
      </c>
      <c r="L1270" s="74"/>
      <c r="M1270" s="272" t="s">
        <v>16</v>
      </c>
      <c r="N1270" s="74">
        <v>0</v>
      </c>
      <c r="O1270" s="94"/>
      <c r="P1270" s="118">
        <v>1</v>
      </c>
      <c r="Q1270" s="510">
        <v>180</v>
      </c>
      <c r="R1270" s="513">
        <v>180</v>
      </c>
      <c r="S1270" s="41"/>
      <c r="T1270" s="40"/>
      <c r="U1270" s="40">
        <v>7</v>
      </c>
      <c r="V1270" s="119">
        <v>1</v>
      </c>
      <c r="W1270" s="40">
        <v>0</v>
      </c>
      <c r="X1270" s="119">
        <v>1</v>
      </c>
      <c r="Y1270" s="40">
        <v>51</v>
      </c>
      <c r="Z1270" s="119">
        <v>1</v>
      </c>
      <c r="AA1270" s="368">
        <v>0</v>
      </c>
      <c r="AB1270" s="535">
        <v>5</v>
      </c>
      <c r="AC1270" s="39" t="s">
        <v>160</v>
      </c>
      <c r="AD1270" s="75" t="s">
        <v>10</v>
      </c>
      <c r="AE1270" s="95">
        <v>0</v>
      </c>
      <c r="AF1270" s="75">
        <v>0</v>
      </c>
      <c r="AG1270" s="75">
        <v>0</v>
      </c>
      <c r="AH1270" s="75">
        <v>0</v>
      </c>
      <c r="AI1270" s="75">
        <v>0</v>
      </c>
      <c r="AJ1270" s="75">
        <v>0</v>
      </c>
      <c r="AK1270" s="75">
        <v>0</v>
      </c>
      <c r="AL1270" s="95">
        <v>1</v>
      </c>
      <c r="AM1270" s="92">
        <v>0</v>
      </c>
      <c r="AN1270" s="79" t="s">
        <v>80</v>
      </c>
      <c r="AO1270" s="75">
        <v>1</v>
      </c>
      <c r="AP1270" s="75" t="s">
        <v>83</v>
      </c>
      <c r="AQ1270" s="122">
        <v>1</v>
      </c>
      <c r="AR1270" s="515" t="s">
        <v>10</v>
      </c>
      <c r="AS1270" s="95">
        <v>0</v>
      </c>
      <c r="AT1270" s="75">
        <v>0</v>
      </c>
      <c r="AU1270" s="75">
        <v>0</v>
      </c>
      <c r="AV1270" s="75">
        <v>0</v>
      </c>
      <c r="AW1270" s="123">
        <v>0</v>
      </c>
      <c r="AX1270" s="516" t="s">
        <v>2123</v>
      </c>
      <c r="AY1270" s="75">
        <v>1</v>
      </c>
      <c r="AZ1270" s="77" t="s">
        <v>131</v>
      </c>
      <c r="BA1270" s="78" t="s">
        <v>131</v>
      </c>
      <c r="BB1270" s="78" t="s">
        <v>131</v>
      </c>
      <c r="BC1270" s="78" t="s">
        <v>131</v>
      </c>
      <c r="BD1270" s="78" t="s">
        <v>131</v>
      </c>
      <c r="BE1270" s="78" t="s">
        <v>131</v>
      </c>
      <c r="BF1270" s="78" t="s">
        <v>131</v>
      </c>
      <c r="BG1270" s="78" t="s">
        <v>132</v>
      </c>
      <c r="BH1270" s="75" t="s">
        <v>5970</v>
      </c>
      <c r="BI1270" s="295" t="s">
        <v>2260</v>
      </c>
      <c r="BJ1270" s="546">
        <v>1</v>
      </c>
      <c r="BK1270" s="294" t="s">
        <v>16</v>
      </c>
      <c r="BL1270" s="157" t="s">
        <v>16</v>
      </c>
      <c r="BM1270" s="548" t="s">
        <v>1339</v>
      </c>
      <c r="BN1270" s="548" t="s">
        <v>1339</v>
      </c>
      <c r="BO1270" s="157" t="s">
        <v>4328</v>
      </c>
      <c r="BP1270" s="548" t="s">
        <v>2222</v>
      </c>
      <c r="BQ1270" s="157" t="s">
        <v>4226</v>
      </c>
      <c r="BR1270" s="157"/>
    </row>
    <row r="1271" spans="1:70" x14ac:dyDescent="0.25">
      <c r="A1271" s="19" t="s">
        <v>3686</v>
      </c>
      <c r="B1271" s="37" t="s">
        <v>2124</v>
      </c>
      <c r="C1271" s="90">
        <v>44858.730474537035</v>
      </c>
      <c r="D1271" s="114">
        <v>44858.480474537035</v>
      </c>
      <c r="E1271" s="38">
        <v>44858</v>
      </c>
      <c r="F1271" s="91">
        <v>2022</v>
      </c>
      <c r="G1271" s="93">
        <v>10</v>
      </c>
      <c r="H1271" s="37" t="s">
        <v>475</v>
      </c>
      <c r="I1271" s="37" t="s">
        <v>16</v>
      </c>
      <c r="J1271" s="103">
        <v>-92.278052645088707</v>
      </c>
      <c r="K1271" s="40">
        <v>43.793119860234448</v>
      </c>
      <c r="L1271" s="74"/>
      <c r="M1271" s="272" t="s">
        <v>2125</v>
      </c>
      <c r="N1271" s="74">
        <v>1</v>
      </c>
      <c r="O1271" s="94"/>
      <c r="P1271" s="118">
        <v>1</v>
      </c>
      <c r="Q1271" s="510">
        <v>180</v>
      </c>
      <c r="R1271" s="513">
        <v>180</v>
      </c>
      <c r="S1271" s="41"/>
      <c r="T1271" s="40"/>
      <c r="U1271" s="40">
        <v>7</v>
      </c>
      <c r="V1271" s="119">
        <v>1</v>
      </c>
      <c r="W1271" s="40">
        <v>0</v>
      </c>
      <c r="X1271" s="119">
        <v>1</v>
      </c>
      <c r="Y1271" s="40">
        <v>52</v>
      </c>
      <c r="Z1271" s="119">
        <v>1</v>
      </c>
      <c r="AA1271" s="368">
        <v>0</v>
      </c>
      <c r="AB1271" s="535">
        <v>2</v>
      </c>
      <c r="AC1271" s="39" t="s">
        <v>160</v>
      </c>
      <c r="AD1271" s="75" t="s">
        <v>10</v>
      </c>
      <c r="AE1271" s="95">
        <v>0</v>
      </c>
      <c r="AF1271" s="75">
        <v>0</v>
      </c>
      <c r="AG1271" s="75">
        <v>0</v>
      </c>
      <c r="AH1271" s="75">
        <v>0</v>
      </c>
      <c r="AI1271" s="75">
        <v>0</v>
      </c>
      <c r="AJ1271" s="75">
        <v>0</v>
      </c>
      <c r="AK1271" s="75">
        <v>0</v>
      </c>
      <c r="AL1271" s="95">
        <v>1</v>
      </c>
      <c r="AM1271" s="92">
        <v>0</v>
      </c>
      <c r="AN1271" s="79" t="s">
        <v>80</v>
      </c>
      <c r="AO1271" s="75">
        <v>1</v>
      </c>
      <c r="AP1271" s="75" t="s">
        <v>83</v>
      </c>
      <c r="AQ1271" s="122">
        <v>1</v>
      </c>
      <c r="AR1271" s="515" t="s">
        <v>10</v>
      </c>
      <c r="AS1271" s="95">
        <v>0</v>
      </c>
      <c r="AT1271" s="75">
        <v>0</v>
      </c>
      <c r="AU1271" s="75">
        <v>0</v>
      </c>
      <c r="AV1271" s="75">
        <v>0</v>
      </c>
      <c r="AW1271" s="123">
        <v>0</v>
      </c>
      <c r="AX1271" s="516" t="s">
        <v>2126</v>
      </c>
      <c r="AY1271" s="75">
        <v>1</v>
      </c>
      <c r="AZ1271" s="77" t="s">
        <v>131</v>
      </c>
      <c r="BA1271" s="78" t="s">
        <v>131</v>
      </c>
      <c r="BB1271" s="78" t="s">
        <v>131</v>
      </c>
      <c r="BC1271" s="78" t="s">
        <v>131</v>
      </c>
      <c r="BD1271" s="78" t="s">
        <v>131</v>
      </c>
      <c r="BE1271" s="78" t="s">
        <v>131</v>
      </c>
      <c r="BF1271" s="78" t="s">
        <v>131</v>
      </c>
      <c r="BG1271" s="78" t="s">
        <v>132</v>
      </c>
      <c r="BH1271" s="75" t="s">
        <v>5970</v>
      </c>
      <c r="BI1271" s="295" t="s">
        <v>2251</v>
      </c>
      <c r="BJ1271" s="546">
        <v>1</v>
      </c>
      <c r="BK1271" s="294">
        <v>1</v>
      </c>
      <c r="BL1271" s="157">
        <v>1</v>
      </c>
      <c r="BM1271" s="548" t="s">
        <v>1339</v>
      </c>
      <c r="BN1271" s="548" t="s">
        <v>1339</v>
      </c>
      <c r="BO1271" s="157" t="s">
        <v>4329</v>
      </c>
      <c r="BP1271" s="548" t="s">
        <v>4228</v>
      </c>
      <c r="BQ1271" s="157" t="s">
        <v>4226</v>
      </c>
      <c r="BR1271" s="157"/>
    </row>
    <row r="1272" spans="1:70" x14ac:dyDescent="0.25">
      <c r="A1272" s="19" t="s">
        <v>3686</v>
      </c>
      <c r="B1272" s="37" t="s">
        <v>2127</v>
      </c>
      <c r="C1272" s="90">
        <v>44858.6875</v>
      </c>
      <c r="D1272" s="114">
        <v>44858.4375</v>
      </c>
      <c r="E1272" s="38">
        <v>44858</v>
      </c>
      <c r="F1272" s="91">
        <v>2022</v>
      </c>
      <c r="G1272" s="93">
        <v>10</v>
      </c>
      <c r="H1272" s="37" t="s">
        <v>475</v>
      </c>
      <c r="I1272" s="37"/>
      <c r="J1272" s="103">
        <v>-92.224501618477959</v>
      </c>
      <c r="K1272" s="40">
        <v>43.622265436622449</v>
      </c>
      <c r="L1272" s="74"/>
      <c r="M1272" s="272" t="s">
        <v>16</v>
      </c>
      <c r="N1272" s="74">
        <v>0</v>
      </c>
      <c r="O1272" s="94"/>
      <c r="P1272" s="118">
        <v>1</v>
      </c>
      <c r="Q1272" s="510">
        <v>180</v>
      </c>
      <c r="R1272" s="513">
        <v>180</v>
      </c>
      <c r="S1272" s="41"/>
      <c r="T1272" s="40"/>
      <c r="U1272" s="40">
        <v>7.5</v>
      </c>
      <c r="V1272" s="119">
        <v>1</v>
      </c>
      <c r="W1272" s="40">
        <v>0</v>
      </c>
      <c r="X1272" s="119">
        <v>0</v>
      </c>
      <c r="Y1272" s="40"/>
      <c r="Z1272" s="119">
        <v>1</v>
      </c>
      <c r="AA1272" s="368">
        <v>0</v>
      </c>
      <c r="AB1272" s="535">
        <v>10</v>
      </c>
      <c r="AC1272" s="39" t="s">
        <v>160</v>
      </c>
      <c r="AD1272" s="75" t="s">
        <v>10</v>
      </c>
      <c r="AE1272" s="95">
        <v>0</v>
      </c>
      <c r="AF1272" s="75">
        <v>0</v>
      </c>
      <c r="AG1272" s="75">
        <v>0</v>
      </c>
      <c r="AH1272" s="75">
        <v>0</v>
      </c>
      <c r="AI1272" s="75">
        <v>0</v>
      </c>
      <c r="AJ1272" s="75">
        <v>0</v>
      </c>
      <c r="AK1272" s="75">
        <v>0</v>
      </c>
      <c r="AL1272" s="95">
        <v>1</v>
      </c>
      <c r="AM1272" s="92">
        <v>0</v>
      </c>
      <c r="AN1272" s="79" t="s">
        <v>80</v>
      </c>
      <c r="AO1272" s="75">
        <v>1</v>
      </c>
      <c r="AP1272" s="75" t="s">
        <v>83</v>
      </c>
      <c r="AQ1272" s="122">
        <v>1</v>
      </c>
      <c r="AR1272" s="515" t="s">
        <v>13</v>
      </c>
      <c r="AS1272" s="95">
        <v>1</v>
      </c>
      <c r="AT1272" s="75">
        <v>0</v>
      </c>
      <c r="AU1272" s="75">
        <v>0</v>
      </c>
      <c r="AV1272" s="75">
        <v>0</v>
      </c>
      <c r="AW1272" s="123">
        <v>0</v>
      </c>
      <c r="AX1272" s="516" t="s">
        <v>2128</v>
      </c>
      <c r="AY1272" s="75">
        <v>1</v>
      </c>
      <c r="AZ1272" s="77" t="s">
        <v>131</v>
      </c>
      <c r="BA1272" s="78" t="s">
        <v>131</v>
      </c>
      <c r="BB1272" s="78" t="s">
        <v>131</v>
      </c>
      <c r="BC1272" s="78" t="s">
        <v>131</v>
      </c>
      <c r="BD1272" s="78" t="s">
        <v>131</v>
      </c>
      <c r="BE1272" s="78" t="s">
        <v>131</v>
      </c>
      <c r="BF1272" s="78" t="s">
        <v>131</v>
      </c>
      <c r="BG1272" s="78" t="s">
        <v>132</v>
      </c>
      <c r="BH1272" s="75" t="s">
        <v>5970</v>
      </c>
      <c r="BI1272" s="295" t="s">
        <v>2232</v>
      </c>
      <c r="BJ1272" s="546">
        <v>1</v>
      </c>
      <c r="BK1272" s="294" t="s">
        <v>16</v>
      </c>
      <c r="BL1272" s="157" t="s">
        <v>16</v>
      </c>
      <c r="BM1272" s="548" t="s">
        <v>1339</v>
      </c>
      <c r="BN1272" s="548" t="s">
        <v>1339</v>
      </c>
      <c r="BO1272" s="157" t="s">
        <v>4332</v>
      </c>
      <c r="BP1272" s="548" t="s">
        <v>4333</v>
      </c>
      <c r="BQ1272" s="157" t="s">
        <v>4229</v>
      </c>
      <c r="BR1272" s="157"/>
    </row>
    <row r="1273" spans="1:70" x14ac:dyDescent="0.25">
      <c r="A1273" s="19" t="s">
        <v>3686</v>
      </c>
      <c r="B1273" s="37" t="s">
        <v>2129</v>
      </c>
      <c r="C1273" s="90">
        <v>44857.722199074073</v>
      </c>
      <c r="D1273" s="114">
        <v>44857.472199074073</v>
      </c>
      <c r="E1273" s="38">
        <v>44857</v>
      </c>
      <c r="F1273" s="91">
        <v>2022</v>
      </c>
      <c r="G1273" s="93">
        <v>10</v>
      </c>
      <c r="H1273" s="37" t="s">
        <v>1361</v>
      </c>
      <c r="I1273" s="37" t="s">
        <v>16</v>
      </c>
      <c r="J1273" s="103">
        <v>-91.682659015144836</v>
      </c>
      <c r="K1273" s="40">
        <v>42.882295106577573</v>
      </c>
      <c r="L1273" s="74"/>
      <c r="M1273" s="272" t="s">
        <v>2130</v>
      </c>
      <c r="N1273" s="74">
        <v>1</v>
      </c>
      <c r="O1273" s="94"/>
      <c r="P1273" s="118">
        <v>1</v>
      </c>
      <c r="Q1273" s="510">
        <v>180</v>
      </c>
      <c r="R1273" s="513">
        <v>180</v>
      </c>
      <c r="S1273" s="41"/>
      <c r="T1273" s="40"/>
      <c r="U1273" s="40">
        <v>8</v>
      </c>
      <c r="V1273" s="119">
        <v>1</v>
      </c>
      <c r="W1273" s="40">
        <v>100</v>
      </c>
      <c r="X1273" s="119">
        <v>1</v>
      </c>
      <c r="Y1273" s="40">
        <v>56</v>
      </c>
      <c r="Z1273" s="119">
        <v>1</v>
      </c>
      <c r="AA1273" s="368">
        <v>0</v>
      </c>
      <c r="AB1273" s="535">
        <v>5</v>
      </c>
      <c r="AC1273" s="39" t="s">
        <v>160</v>
      </c>
      <c r="AD1273" s="75" t="s">
        <v>10</v>
      </c>
      <c r="AE1273" s="95">
        <v>0</v>
      </c>
      <c r="AF1273" s="75">
        <v>0</v>
      </c>
      <c r="AG1273" s="75">
        <v>0</v>
      </c>
      <c r="AH1273" s="75">
        <v>0</v>
      </c>
      <c r="AI1273" s="75">
        <v>0</v>
      </c>
      <c r="AJ1273" s="75">
        <v>0</v>
      </c>
      <c r="AK1273" s="75">
        <v>0</v>
      </c>
      <c r="AL1273" s="95">
        <v>1</v>
      </c>
      <c r="AM1273" s="92">
        <v>0</v>
      </c>
      <c r="AN1273" s="79" t="s">
        <v>80</v>
      </c>
      <c r="AO1273" s="75">
        <v>1</v>
      </c>
      <c r="AP1273" s="75" t="s">
        <v>83</v>
      </c>
      <c r="AQ1273" s="122">
        <v>1</v>
      </c>
      <c r="AR1273" s="515" t="s">
        <v>10</v>
      </c>
      <c r="AS1273" s="95">
        <v>0</v>
      </c>
      <c r="AT1273" s="75">
        <v>0</v>
      </c>
      <c r="AU1273" s="75">
        <v>0</v>
      </c>
      <c r="AV1273" s="75">
        <v>0</v>
      </c>
      <c r="AW1273" s="123">
        <v>0</v>
      </c>
      <c r="AX1273" s="516"/>
      <c r="AY1273" s="75">
        <v>0</v>
      </c>
      <c r="AZ1273" s="77" t="s">
        <v>131</v>
      </c>
      <c r="BA1273" s="78" t="s">
        <v>131</v>
      </c>
      <c r="BB1273" s="78" t="s">
        <v>131</v>
      </c>
      <c r="BC1273" s="78" t="s">
        <v>131</v>
      </c>
      <c r="BD1273" s="78" t="s">
        <v>131</v>
      </c>
      <c r="BE1273" s="78" t="s">
        <v>131</v>
      </c>
      <c r="BF1273" s="78" t="s">
        <v>131</v>
      </c>
      <c r="BG1273" s="78" t="s">
        <v>132</v>
      </c>
      <c r="BH1273" s="75" t="s">
        <v>5970</v>
      </c>
      <c r="BI1273" s="295" t="s">
        <v>2283</v>
      </c>
      <c r="BJ1273" s="546">
        <v>1</v>
      </c>
      <c r="BK1273" s="294" t="s">
        <v>16</v>
      </c>
      <c r="BL1273" s="157" t="s">
        <v>16</v>
      </c>
      <c r="BM1273" s="548" t="s">
        <v>1347</v>
      </c>
      <c r="BN1273" s="548" t="s">
        <v>4160</v>
      </c>
      <c r="BO1273" s="157" t="s">
        <v>4564</v>
      </c>
      <c r="BP1273" s="548" t="s">
        <v>2283</v>
      </c>
      <c r="BQ1273" s="157" t="s">
        <v>4563</v>
      </c>
      <c r="BR1273" s="157"/>
    </row>
    <row r="1274" spans="1:70" x14ac:dyDescent="0.25">
      <c r="A1274" s="19" t="s">
        <v>3686</v>
      </c>
      <c r="B1274" s="37" t="s">
        <v>2131</v>
      </c>
      <c r="C1274" s="90">
        <v>44852.805023148147</v>
      </c>
      <c r="D1274" s="114">
        <v>44852.555023148147</v>
      </c>
      <c r="E1274" s="38">
        <v>44852</v>
      </c>
      <c r="F1274" s="91">
        <v>2022</v>
      </c>
      <c r="G1274" s="93">
        <v>10</v>
      </c>
      <c r="H1274" s="37" t="s">
        <v>599</v>
      </c>
      <c r="I1274" s="37" t="s">
        <v>2361</v>
      </c>
      <c r="J1274" s="103">
        <v>-92.442878355911233</v>
      </c>
      <c r="K1274" s="40">
        <v>44.62146176063073</v>
      </c>
      <c r="L1274" s="74"/>
      <c r="M1274" s="272" t="s">
        <v>16</v>
      </c>
      <c r="N1274" s="74">
        <v>0</v>
      </c>
      <c r="O1274" s="94"/>
      <c r="P1274" s="118">
        <v>1</v>
      </c>
      <c r="Q1274" s="510">
        <v>40</v>
      </c>
      <c r="R1274" s="513">
        <v>120</v>
      </c>
      <c r="S1274" s="41"/>
      <c r="T1274" s="40"/>
      <c r="U1274" s="40">
        <v>8</v>
      </c>
      <c r="V1274" s="119">
        <v>1</v>
      </c>
      <c r="W1274" s="40">
        <v>0</v>
      </c>
      <c r="X1274" s="119">
        <v>1</v>
      </c>
      <c r="Y1274" s="40">
        <v>42</v>
      </c>
      <c r="Z1274" s="119">
        <v>1</v>
      </c>
      <c r="AA1274" s="368">
        <v>0</v>
      </c>
      <c r="AB1274" s="535">
        <v>5</v>
      </c>
      <c r="AC1274" s="39" t="s">
        <v>160</v>
      </c>
      <c r="AD1274" s="75" t="s">
        <v>10</v>
      </c>
      <c r="AE1274" s="95">
        <v>0</v>
      </c>
      <c r="AF1274" s="75">
        <v>0</v>
      </c>
      <c r="AG1274" s="75">
        <v>0</v>
      </c>
      <c r="AH1274" s="75">
        <v>0</v>
      </c>
      <c r="AI1274" s="75">
        <v>0</v>
      </c>
      <c r="AJ1274" s="75">
        <v>0</v>
      </c>
      <c r="AK1274" s="75">
        <v>0</v>
      </c>
      <c r="AL1274" s="95">
        <v>1</v>
      </c>
      <c r="AM1274" s="92">
        <v>0</v>
      </c>
      <c r="AN1274" s="79" t="s">
        <v>80</v>
      </c>
      <c r="AO1274" s="75">
        <v>1</v>
      </c>
      <c r="AP1274" s="75" t="s">
        <v>83</v>
      </c>
      <c r="AQ1274" s="122">
        <v>1</v>
      </c>
      <c r="AR1274" s="515" t="s">
        <v>10</v>
      </c>
      <c r="AS1274" s="95">
        <v>0</v>
      </c>
      <c r="AT1274" s="75">
        <v>0</v>
      </c>
      <c r="AU1274" s="75">
        <v>0</v>
      </c>
      <c r="AV1274" s="75">
        <v>0</v>
      </c>
      <c r="AW1274" s="123">
        <v>0</v>
      </c>
      <c r="AX1274" s="516"/>
      <c r="AY1274" s="75">
        <v>0</v>
      </c>
      <c r="AZ1274" s="77" t="s">
        <v>131</v>
      </c>
      <c r="BA1274" s="78" t="s">
        <v>131</v>
      </c>
      <c r="BB1274" s="78" t="s">
        <v>131</v>
      </c>
      <c r="BC1274" s="78" t="s">
        <v>131</v>
      </c>
      <c r="BD1274" s="78" t="s">
        <v>131</v>
      </c>
      <c r="BE1274" s="78" t="s">
        <v>131</v>
      </c>
      <c r="BF1274" s="78" t="s">
        <v>131</v>
      </c>
      <c r="BG1274" s="78" t="s">
        <v>132</v>
      </c>
      <c r="BH1274" s="75" t="s">
        <v>5970</v>
      </c>
      <c r="BI1274" s="295" t="s">
        <v>16</v>
      </c>
      <c r="BJ1274" s="546">
        <v>1</v>
      </c>
      <c r="BK1274" s="294" t="s">
        <v>16</v>
      </c>
      <c r="BL1274" s="157" t="s">
        <v>16</v>
      </c>
      <c r="BM1274" s="548" t="s">
        <v>578</v>
      </c>
      <c r="BN1274" s="548" t="s">
        <v>544</v>
      </c>
      <c r="BO1274" s="157" t="s">
        <v>4283</v>
      </c>
      <c r="BP1274" s="548" t="s">
        <v>2289</v>
      </c>
      <c r="BQ1274" s="157" t="s">
        <v>4214</v>
      </c>
      <c r="BR1274" s="157"/>
    </row>
    <row r="1275" spans="1:70" x14ac:dyDescent="0.25">
      <c r="A1275" s="19" t="s">
        <v>3686</v>
      </c>
      <c r="B1275" s="37" t="s">
        <v>2132</v>
      </c>
      <c r="C1275" s="90">
        <v>44847.832511574074</v>
      </c>
      <c r="D1275" s="114">
        <v>44847.582511574074</v>
      </c>
      <c r="E1275" s="38">
        <v>44847</v>
      </c>
      <c r="F1275" s="91">
        <v>2022</v>
      </c>
      <c r="G1275" s="93">
        <v>10</v>
      </c>
      <c r="H1275" s="37" t="s">
        <v>1514</v>
      </c>
      <c r="I1275" s="37" t="s">
        <v>2362</v>
      </c>
      <c r="J1275" s="103">
        <v>-92.284182306439561</v>
      </c>
      <c r="K1275" s="40">
        <v>44.542253617077911</v>
      </c>
      <c r="L1275" s="74"/>
      <c r="M1275" s="272" t="s">
        <v>16</v>
      </c>
      <c r="N1275" s="74">
        <v>0</v>
      </c>
      <c r="O1275" s="94"/>
      <c r="P1275" s="118">
        <v>1</v>
      </c>
      <c r="Q1275" s="510">
        <v>180</v>
      </c>
      <c r="R1275" s="513">
        <v>180</v>
      </c>
      <c r="S1275" s="41"/>
      <c r="T1275" s="40"/>
      <c r="U1275" s="40">
        <v>7</v>
      </c>
      <c r="V1275" s="119">
        <v>1</v>
      </c>
      <c r="W1275" s="40">
        <v>0</v>
      </c>
      <c r="X1275" s="119">
        <v>1</v>
      </c>
      <c r="Y1275" s="40">
        <v>50</v>
      </c>
      <c r="Z1275" s="119">
        <v>1</v>
      </c>
      <c r="AA1275" s="368">
        <v>0</v>
      </c>
      <c r="AB1275" s="535">
        <v>2</v>
      </c>
      <c r="AC1275" s="39" t="s">
        <v>160</v>
      </c>
      <c r="AD1275" s="75" t="s">
        <v>10</v>
      </c>
      <c r="AE1275" s="95">
        <v>0</v>
      </c>
      <c r="AF1275" s="75">
        <v>0</v>
      </c>
      <c r="AG1275" s="75">
        <v>0</v>
      </c>
      <c r="AH1275" s="75">
        <v>0</v>
      </c>
      <c r="AI1275" s="75">
        <v>0</v>
      </c>
      <c r="AJ1275" s="75">
        <v>0</v>
      </c>
      <c r="AK1275" s="75">
        <v>0</v>
      </c>
      <c r="AL1275" s="95">
        <v>1</v>
      </c>
      <c r="AM1275" s="92">
        <v>0</v>
      </c>
      <c r="AN1275" s="79" t="s">
        <v>80</v>
      </c>
      <c r="AO1275" s="75">
        <v>1</v>
      </c>
      <c r="AP1275" s="75" t="s">
        <v>83</v>
      </c>
      <c r="AQ1275" s="122">
        <v>1</v>
      </c>
      <c r="AR1275" s="515" t="s">
        <v>13</v>
      </c>
      <c r="AS1275" s="95">
        <v>1</v>
      </c>
      <c r="AT1275" s="75">
        <v>0</v>
      </c>
      <c r="AU1275" s="75">
        <v>0</v>
      </c>
      <c r="AV1275" s="75">
        <v>0</v>
      </c>
      <c r="AW1275" s="123">
        <v>0</v>
      </c>
      <c r="AX1275" s="516"/>
      <c r="AY1275" s="75">
        <v>0</v>
      </c>
      <c r="AZ1275" s="77" t="s">
        <v>131</v>
      </c>
      <c r="BA1275" s="78" t="s">
        <v>131</v>
      </c>
      <c r="BB1275" s="78" t="s">
        <v>131</v>
      </c>
      <c r="BC1275" s="78" t="s">
        <v>131</v>
      </c>
      <c r="BD1275" s="78" t="s">
        <v>131</v>
      </c>
      <c r="BE1275" s="78" t="s">
        <v>131</v>
      </c>
      <c r="BF1275" s="78" t="s">
        <v>131</v>
      </c>
      <c r="BG1275" s="78" t="s">
        <v>132</v>
      </c>
      <c r="BH1275" s="75" t="s">
        <v>5970</v>
      </c>
      <c r="BI1275" s="295" t="s">
        <v>2261</v>
      </c>
      <c r="BJ1275" s="546">
        <v>1</v>
      </c>
      <c r="BK1275" s="294">
        <v>1</v>
      </c>
      <c r="BL1275" s="157">
        <v>1</v>
      </c>
      <c r="BM1275" s="548" t="s">
        <v>1340</v>
      </c>
      <c r="BN1275" s="548" t="s">
        <v>578</v>
      </c>
      <c r="BO1275" s="157" t="s">
        <v>4268</v>
      </c>
      <c r="BP1275" s="548" t="s">
        <v>2261</v>
      </c>
      <c r="BQ1275" s="157" t="s">
        <v>4214</v>
      </c>
      <c r="BR1275" s="157"/>
    </row>
    <row r="1276" spans="1:70" x14ac:dyDescent="0.25">
      <c r="A1276" s="19" t="s">
        <v>3686</v>
      </c>
      <c r="B1276" s="37" t="s">
        <v>2133</v>
      </c>
      <c r="C1276" s="90">
        <v>44847.764293981483</v>
      </c>
      <c r="D1276" s="114">
        <v>44847.514293981483</v>
      </c>
      <c r="E1276" s="38">
        <v>44847</v>
      </c>
      <c r="F1276" s="91">
        <v>2022</v>
      </c>
      <c r="G1276" s="93">
        <v>10</v>
      </c>
      <c r="H1276" s="37" t="s">
        <v>1358</v>
      </c>
      <c r="I1276" s="37"/>
      <c r="J1276" s="103">
        <v>-90.990907016809402</v>
      </c>
      <c r="K1276" s="40">
        <v>43.736567085336304</v>
      </c>
      <c r="L1276" s="74"/>
      <c r="M1276" s="272" t="s">
        <v>16</v>
      </c>
      <c r="N1276" s="74">
        <v>0</v>
      </c>
      <c r="O1276" s="94"/>
      <c r="P1276" s="118">
        <v>1</v>
      </c>
      <c r="Q1276" s="510">
        <v>180</v>
      </c>
      <c r="R1276" s="513">
        <v>120</v>
      </c>
      <c r="S1276" s="41"/>
      <c r="T1276" s="40"/>
      <c r="U1276" s="40">
        <v>7</v>
      </c>
      <c r="V1276" s="119">
        <v>0</v>
      </c>
      <c r="W1276" s="40"/>
      <c r="X1276" s="119">
        <v>0</v>
      </c>
      <c r="Y1276" s="40"/>
      <c r="Z1276" s="119">
        <v>1</v>
      </c>
      <c r="AA1276" s="368">
        <v>0</v>
      </c>
      <c r="AB1276" s="535">
        <v>2</v>
      </c>
      <c r="AC1276" s="39" t="s">
        <v>160</v>
      </c>
      <c r="AD1276" s="75" t="s">
        <v>16</v>
      </c>
      <c r="AE1276" s="95">
        <v>-1</v>
      </c>
      <c r="AF1276" s="75">
        <v>-1</v>
      </c>
      <c r="AG1276" s="75">
        <v>-1</v>
      </c>
      <c r="AH1276" s="75">
        <v>-1</v>
      </c>
      <c r="AI1276" s="75">
        <v>-1</v>
      </c>
      <c r="AJ1276" s="75">
        <v>-1</v>
      </c>
      <c r="AK1276" s="75">
        <v>-1</v>
      </c>
      <c r="AL1276" s="95">
        <v>-1</v>
      </c>
      <c r="AM1276" s="92">
        <v>1</v>
      </c>
      <c r="AN1276" s="79" t="s">
        <v>16</v>
      </c>
      <c r="AO1276" s="75">
        <v>0</v>
      </c>
      <c r="AP1276" s="75" t="s">
        <v>83</v>
      </c>
      <c r="AQ1276" s="122">
        <v>1</v>
      </c>
      <c r="AR1276" s="515" t="s">
        <v>13</v>
      </c>
      <c r="AS1276" s="95">
        <v>1</v>
      </c>
      <c r="AT1276" s="75">
        <v>0</v>
      </c>
      <c r="AU1276" s="75">
        <v>0</v>
      </c>
      <c r="AV1276" s="75">
        <v>0</v>
      </c>
      <c r="AW1276" s="123">
        <v>0</v>
      </c>
      <c r="AX1276" s="516"/>
      <c r="AY1276" s="75">
        <v>0</v>
      </c>
      <c r="AZ1276" s="77" t="s">
        <v>5971</v>
      </c>
      <c r="BA1276" s="78" t="s">
        <v>5971</v>
      </c>
      <c r="BB1276" s="78" t="s">
        <v>5971</v>
      </c>
      <c r="BC1276" s="78" t="s">
        <v>5971</v>
      </c>
      <c r="BD1276" s="78" t="s">
        <v>5971</v>
      </c>
      <c r="BE1276" s="78" t="s">
        <v>5971</v>
      </c>
      <c r="BF1276" s="78" t="s">
        <v>5971</v>
      </c>
      <c r="BG1276" s="78" t="s">
        <v>5971</v>
      </c>
      <c r="BH1276" s="75" t="s">
        <v>5971</v>
      </c>
      <c r="BI1276" s="295">
        <v>0</v>
      </c>
      <c r="BJ1276" s="546">
        <v>1</v>
      </c>
      <c r="BK1276" s="294" t="s">
        <v>16</v>
      </c>
      <c r="BL1276" s="157" t="s">
        <v>16</v>
      </c>
      <c r="BM1276" s="548" t="s">
        <v>1342</v>
      </c>
      <c r="BN1276" s="548" t="s">
        <v>4160</v>
      </c>
      <c r="BO1276" s="157" t="s">
        <v>4385</v>
      </c>
      <c r="BP1276" s="548" t="s">
        <v>4414</v>
      </c>
      <c r="BQ1276" s="157" t="s">
        <v>4383</v>
      </c>
      <c r="BR1276" s="157"/>
    </row>
    <row r="1277" spans="1:70" x14ac:dyDescent="0.25">
      <c r="A1277" s="19" t="s">
        <v>3686</v>
      </c>
      <c r="B1277" s="37" t="s">
        <v>2134</v>
      </c>
      <c r="C1277" s="90">
        <v>44847.700104166666</v>
      </c>
      <c r="D1277" s="114">
        <v>44847.450104166666</v>
      </c>
      <c r="E1277" s="38">
        <v>44847</v>
      </c>
      <c r="F1277" s="91">
        <v>2022</v>
      </c>
      <c r="G1277" s="93">
        <v>10</v>
      </c>
      <c r="H1277" s="37" t="s">
        <v>1514</v>
      </c>
      <c r="I1277" s="37" t="s">
        <v>1772</v>
      </c>
      <c r="J1277" s="103">
        <v>-92.189562327644239</v>
      </c>
      <c r="K1277" s="40">
        <v>44.632756143231347</v>
      </c>
      <c r="L1277" s="74"/>
      <c r="M1277" s="272" t="s">
        <v>16</v>
      </c>
      <c r="N1277" s="74">
        <v>0</v>
      </c>
      <c r="O1277" s="94"/>
      <c r="P1277" s="118">
        <v>1</v>
      </c>
      <c r="Q1277" s="510">
        <v>180</v>
      </c>
      <c r="R1277" s="513">
        <v>180</v>
      </c>
      <c r="S1277" s="41"/>
      <c r="T1277" s="40"/>
      <c r="U1277" s="40">
        <v>7</v>
      </c>
      <c r="V1277" s="119">
        <v>1</v>
      </c>
      <c r="W1277" s="40">
        <v>0</v>
      </c>
      <c r="X1277" s="119">
        <v>1</v>
      </c>
      <c r="Y1277" s="40">
        <v>47</v>
      </c>
      <c r="Z1277" s="119">
        <v>1</v>
      </c>
      <c r="AA1277" s="368">
        <v>0</v>
      </c>
      <c r="AB1277" s="535">
        <v>2</v>
      </c>
      <c r="AC1277" s="39" t="s">
        <v>160</v>
      </c>
      <c r="AD1277" s="75" t="s">
        <v>10</v>
      </c>
      <c r="AE1277" s="95">
        <v>0</v>
      </c>
      <c r="AF1277" s="75">
        <v>0</v>
      </c>
      <c r="AG1277" s="75">
        <v>0</v>
      </c>
      <c r="AH1277" s="75">
        <v>0</v>
      </c>
      <c r="AI1277" s="75">
        <v>0</v>
      </c>
      <c r="AJ1277" s="75">
        <v>0</v>
      </c>
      <c r="AK1277" s="75">
        <v>0</v>
      </c>
      <c r="AL1277" s="95">
        <v>1</v>
      </c>
      <c r="AM1277" s="92">
        <v>0</v>
      </c>
      <c r="AN1277" s="79" t="s">
        <v>80</v>
      </c>
      <c r="AO1277" s="75">
        <v>1</v>
      </c>
      <c r="AP1277" s="75" t="s">
        <v>83</v>
      </c>
      <c r="AQ1277" s="122">
        <v>1</v>
      </c>
      <c r="AR1277" s="515" t="s">
        <v>10</v>
      </c>
      <c r="AS1277" s="95">
        <v>0</v>
      </c>
      <c r="AT1277" s="75">
        <v>0</v>
      </c>
      <c r="AU1277" s="75">
        <v>0</v>
      </c>
      <c r="AV1277" s="75">
        <v>0</v>
      </c>
      <c r="AW1277" s="123">
        <v>0</v>
      </c>
      <c r="AX1277" s="516"/>
      <c r="AY1277" s="75">
        <v>0</v>
      </c>
      <c r="AZ1277" s="77" t="s">
        <v>131</v>
      </c>
      <c r="BA1277" s="78" t="s">
        <v>131</v>
      </c>
      <c r="BB1277" s="78" t="s">
        <v>131</v>
      </c>
      <c r="BC1277" s="78" t="s">
        <v>131</v>
      </c>
      <c r="BD1277" s="78" t="s">
        <v>131</v>
      </c>
      <c r="BE1277" s="78" t="s">
        <v>131</v>
      </c>
      <c r="BF1277" s="78" t="s">
        <v>131</v>
      </c>
      <c r="BG1277" s="78" t="s">
        <v>132</v>
      </c>
      <c r="BH1277" s="75" t="s">
        <v>5970</v>
      </c>
      <c r="BI1277" s="295" t="s">
        <v>2248</v>
      </c>
      <c r="BJ1277" s="546">
        <v>1</v>
      </c>
      <c r="BK1277" s="294">
        <v>1</v>
      </c>
      <c r="BL1277" s="157">
        <v>1</v>
      </c>
      <c r="BM1277" s="548" t="s">
        <v>578</v>
      </c>
      <c r="BN1277" s="548" t="s">
        <v>578</v>
      </c>
      <c r="BO1277" s="157" t="s">
        <v>4218</v>
      </c>
      <c r="BP1277" s="548" t="s">
        <v>4221</v>
      </c>
      <c r="BQ1277" s="157" t="s">
        <v>4217</v>
      </c>
      <c r="BR1277" s="157"/>
    </row>
    <row r="1278" spans="1:70" x14ac:dyDescent="0.25">
      <c r="A1278" s="19" t="s">
        <v>3686</v>
      </c>
      <c r="B1278" s="37" t="s">
        <v>2135</v>
      </c>
      <c r="C1278" s="90">
        <v>44847.678483796299</v>
      </c>
      <c r="D1278" s="114">
        <v>44847.428483796299</v>
      </c>
      <c r="E1278" s="38">
        <v>44847</v>
      </c>
      <c r="F1278" s="91">
        <v>2022</v>
      </c>
      <c r="G1278" s="93">
        <v>10</v>
      </c>
      <c r="H1278" s="37" t="s">
        <v>1514</v>
      </c>
      <c r="I1278" s="37" t="s">
        <v>368</v>
      </c>
      <c r="J1278" s="103">
        <v>-92.331583748144283</v>
      </c>
      <c r="K1278" s="40">
        <v>44.746084692391726</v>
      </c>
      <c r="L1278" s="74"/>
      <c r="M1278" s="272" t="s">
        <v>16</v>
      </c>
      <c r="N1278" s="74">
        <v>0</v>
      </c>
      <c r="O1278" s="94"/>
      <c r="P1278" s="118">
        <v>1</v>
      </c>
      <c r="Q1278" s="510">
        <v>120</v>
      </c>
      <c r="R1278" s="513">
        <v>120</v>
      </c>
      <c r="S1278" s="41"/>
      <c r="T1278" s="40"/>
      <c r="U1278" s="40">
        <v>7</v>
      </c>
      <c r="V1278" s="119">
        <v>1</v>
      </c>
      <c r="W1278" s="40">
        <v>0</v>
      </c>
      <c r="X1278" s="119">
        <v>1</v>
      </c>
      <c r="Y1278" s="40">
        <v>48</v>
      </c>
      <c r="Z1278" s="119">
        <v>1</v>
      </c>
      <c r="AA1278" s="368">
        <v>0</v>
      </c>
      <c r="AB1278" s="535">
        <v>2</v>
      </c>
      <c r="AC1278" s="39" t="s">
        <v>160</v>
      </c>
      <c r="AD1278" s="75" t="s">
        <v>10</v>
      </c>
      <c r="AE1278" s="95">
        <v>0</v>
      </c>
      <c r="AF1278" s="75">
        <v>0</v>
      </c>
      <c r="AG1278" s="75">
        <v>0</v>
      </c>
      <c r="AH1278" s="75">
        <v>0</v>
      </c>
      <c r="AI1278" s="75">
        <v>0</v>
      </c>
      <c r="AJ1278" s="75">
        <v>0</v>
      </c>
      <c r="AK1278" s="75">
        <v>0</v>
      </c>
      <c r="AL1278" s="95">
        <v>1</v>
      </c>
      <c r="AM1278" s="92">
        <v>0</v>
      </c>
      <c r="AN1278" s="79" t="s">
        <v>80</v>
      </c>
      <c r="AO1278" s="75">
        <v>1</v>
      </c>
      <c r="AP1278" s="75" t="s">
        <v>83</v>
      </c>
      <c r="AQ1278" s="122">
        <v>1</v>
      </c>
      <c r="AR1278" s="515" t="s">
        <v>10</v>
      </c>
      <c r="AS1278" s="95">
        <v>0</v>
      </c>
      <c r="AT1278" s="75">
        <v>0</v>
      </c>
      <c r="AU1278" s="75">
        <v>0</v>
      </c>
      <c r="AV1278" s="75">
        <v>0</v>
      </c>
      <c r="AW1278" s="123">
        <v>0</v>
      </c>
      <c r="AX1278" s="516" t="s">
        <v>16</v>
      </c>
      <c r="AY1278" s="75">
        <v>0</v>
      </c>
      <c r="AZ1278" s="77" t="s">
        <v>131</v>
      </c>
      <c r="BA1278" s="78" t="s">
        <v>131</v>
      </c>
      <c r="BB1278" s="78" t="s">
        <v>131</v>
      </c>
      <c r="BC1278" s="78" t="s">
        <v>131</v>
      </c>
      <c r="BD1278" s="78" t="s">
        <v>131</v>
      </c>
      <c r="BE1278" s="78" t="s">
        <v>131</v>
      </c>
      <c r="BF1278" s="78" t="s">
        <v>131</v>
      </c>
      <c r="BG1278" s="78" t="s">
        <v>132</v>
      </c>
      <c r="BH1278" s="75" t="s">
        <v>5970</v>
      </c>
      <c r="BI1278" s="295" t="s">
        <v>16</v>
      </c>
      <c r="BJ1278" s="546">
        <v>1</v>
      </c>
      <c r="BK1278" s="294">
        <v>1</v>
      </c>
      <c r="BL1278" s="157">
        <v>1</v>
      </c>
      <c r="BM1278" s="548" t="s">
        <v>578</v>
      </c>
      <c r="BN1278" s="548" t="s">
        <v>578</v>
      </c>
      <c r="BO1278" s="157" t="s">
        <v>4213</v>
      </c>
      <c r="BP1278" s="548" t="s">
        <v>4216</v>
      </c>
      <c r="BQ1278" s="157" t="s">
        <v>4212</v>
      </c>
      <c r="BR1278" s="157"/>
    </row>
    <row r="1279" spans="1:70" x14ac:dyDescent="0.25">
      <c r="A1279" s="19" t="s">
        <v>3686</v>
      </c>
      <c r="B1279" s="37" t="s">
        <v>2136</v>
      </c>
      <c r="C1279" s="90">
        <v>44845.681875000002</v>
      </c>
      <c r="D1279" s="114">
        <v>44845.431875000002</v>
      </c>
      <c r="E1279" s="38">
        <v>44845</v>
      </c>
      <c r="F1279" s="91">
        <v>2022</v>
      </c>
      <c r="G1279" s="93">
        <v>10</v>
      </c>
      <c r="H1279" s="37" t="s">
        <v>1517</v>
      </c>
      <c r="I1279" s="37"/>
      <c r="J1279" s="103">
        <v>-91.355787463222924</v>
      </c>
      <c r="K1279" s="40">
        <v>44.721845022175458</v>
      </c>
      <c r="L1279" s="74"/>
      <c r="M1279" s="272" t="s">
        <v>16</v>
      </c>
      <c r="N1279" s="74">
        <v>0</v>
      </c>
      <c r="O1279" s="94"/>
      <c r="P1279" s="118">
        <v>0</v>
      </c>
      <c r="Q1279" s="510"/>
      <c r="R1279" s="513"/>
      <c r="S1279" s="41"/>
      <c r="T1279" s="40"/>
      <c r="U1279" s="40"/>
      <c r="V1279" s="119">
        <v>0</v>
      </c>
      <c r="W1279" s="40"/>
      <c r="X1279" s="119">
        <v>1</v>
      </c>
      <c r="Y1279" s="40">
        <v>54</v>
      </c>
      <c r="Z1279" s="119">
        <v>0</v>
      </c>
      <c r="AA1279" s="368" t="s">
        <v>16</v>
      </c>
      <c r="AB1279" s="535" t="s">
        <v>16</v>
      </c>
      <c r="AC1279" s="39" t="s">
        <v>160</v>
      </c>
      <c r="AD1279" s="75" t="s">
        <v>439</v>
      </c>
      <c r="AE1279" s="95">
        <v>0</v>
      </c>
      <c r="AF1279" s="75">
        <v>1</v>
      </c>
      <c r="AG1279" s="75">
        <v>0</v>
      </c>
      <c r="AH1279" s="75">
        <v>0</v>
      </c>
      <c r="AI1279" s="75">
        <v>1</v>
      </c>
      <c r="AJ1279" s="75">
        <v>0</v>
      </c>
      <c r="AK1279" s="75">
        <v>0</v>
      </c>
      <c r="AL1279" s="95">
        <v>0</v>
      </c>
      <c r="AM1279" s="92">
        <v>0</v>
      </c>
      <c r="AN1279" s="79" t="s">
        <v>80</v>
      </c>
      <c r="AO1279" s="75">
        <v>1</v>
      </c>
      <c r="AP1279" s="75" t="s">
        <v>84</v>
      </c>
      <c r="AQ1279" s="122">
        <v>1</v>
      </c>
      <c r="AR1279" s="515" t="s">
        <v>10</v>
      </c>
      <c r="AS1279" s="95">
        <v>0</v>
      </c>
      <c r="AT1279" s="75">
        <v>0</v>
      </c>
      <c r="AU1279" s="75">
        <v>0</v>
      </c>
      <c r="AV1279" s="75">
        <v>0</v>
      </c>
      <c r="AW1279" s="123">
        <v>0</v>
      </c>
      <c r="AX1279" s="516" t="s">
        <v>2137</v>
      </c>
      <c r="AY1279" s="75">
        <v>1</v>
      </c>
      <c r="AZ1279" s="77" t="s">
        <v>131</v>
      </c>
      <c r="BA1279" s="78" t="s">
        <v>132</v>
      </c>
      <c r="BB1279" s="78" t="s">
        <v>131</v>
      </c>
      <c r="BC1279" s="78" t="s">
        <v>131</v>
      </c>
      <c r="BD1279" s="78" t="s">
        <v>132</v>
      </c>
      <c r="BE1279" s="78" t="s">
        <v>131</v>
      </c>
      <c r="BF1279" s="78" t="s">
        <v>131</v>
      </c>
      <c r="BG1279" s="78" t="s">
        <v>131</v>
      </c>
      <c r="BH1279" s="75" t="s">
        <v>5970</v>
      </c>
      <c r="BI1279" s="295" t="s">
        <v>2264</v>
      </c>
      <c r="BJ1279" s="546">
        <v>1</v>
      </c>
      <c r="BK1279" s="294" t="s">
        <v>16</v>
      </c>
      <c r="BL1279" s="157" t="s">
        <v>16</v>
      </c>
      <c r="BM1279" s="548" t="s">
        <v>1340</v>
      </c>
      <c r="BN1279" s="548" t="s">
        <v>2344</v>
      </c>
      <c r="BO1279" s="157" t="s">
        <v>4634</v>
      </c>
      <c r="BP1279" s="548" t="s">
        <v>2264</v>
      </c>
      <c r="BQ1279" s="157" t="s">
        <v>4633</v>
      </c>
      <c r="BR1279" s="157"/>
    </row>
    <row r="1280" spans="1:70" x14ac:dyDescent="0.25">
      <c r="A1280" s="19" t="s">
        <v>3686</v>
      </c>
      <c r="B1280" s="37" t="s">
        <v>2138</v>
      </c>
      <c r="C1280" s="90">
        <v>44844.697395833333</v>
      </c>
      <c r="D1280" s="114">
        <v>44844.447395833333</v>
      </c>
      <c r="E1280" s="38">
        <v>44844</v>
      </c>
      <c r="F1280" s="91">
        <v>2022</v>
      </c>
      <c r="G1280" s="93">
        <v>10</v>
      </c>
      <c r="H1280" s="37" t="s">
        <v>1517</v>
      </c>
      <c r="I1280" s="37"/>
      <c r="J1280" s="103">
        <v>-91.529973496342564</v>
      </c>
      <c r="K1280" s="40">
        <v>44.772807588105294</v>
      </c>
      <c r="L1280" s="74"/>
      <c r="M1280" s="272" t="s">
        <v>16</v>
      </c>
      <c r="N1280" s="74">
        <v>0</v>
      </c>
      <c r="O1280" s="94"/>
      <c r="P1280" s="118">
        <v>1</v>
      </c>
      <c r="Q1280" s="510">
        <v>80</v>
      </c>
      <c r="R1280" s="513">
        <v>30</v>
      </c>
      <c r="S1280" s="41"/>
      <c r="T1280" s="40"/>
      <c r="U1280" s="40">
        <v>6</v>
      </c>
      <c r="V1280" s="119">
        <v>0</v>
      </c>
      <c r="W1280" s="40"/>
      <c r="X1280" s="119">
        <v>1</v>
      </c>
      <c r="Y1280" s="40">
        <v>49</v>
      </c>
      <c r="Z1280" s="119">
        <v>0</v>
      </c>
      <c r="AA1280" s="368" t="s">
        <v>16</v>
      </c>
      <c r="AB1280" s="535" t="s">
        <v>16</v>
      </c>
      <c r="AC1280" s="39" t="s">
        <v>160</v>
      </c>
      <c r="AD1280" s="75" t="s">
        <v>8</v>
      </c>
      <c r="AE1280" s="95">
        <v>0</v>
      </c>
      <c r="AF1280" s="75">
        <v>1</v>
      </c>
      <c r="AG1280" s="75">
        <v>0</v>
      </c>
      <c r="AH1280" s="75">
        <v>0</v>
      </c>
      <c r="AI1280" s="75">
        <v>0</v>
      </c>
      <c r="AJ1280" s="75">
        <v>0</v>
      </c>
      <c r="AK1280" s="75">
        <v>0</v>
      </c>
      <c r="AL1280" s="95">
        <v>0</v>
      </c>
      <c r="AM1280" s="92">
        <v>0</v>
      </c>
      <c r="AN1280" s="79" t="s">
        <v>80</v>
      </c>
      <c r="AO1280" s="75">
        <v>1</v>
      </c>
      <c r="AP1280" s="75" t="s">
        <v>83</v>
      </c>
      <c r="AQ1280" s="122">
        <v>1</v>
      </c>
      <c r="AR1280" s="515" t="s">
        <v>10</v>
      </c>
      <c r="AS1280" s="95">
        <v>0</v>
      </c>
      <c r="AT1280" s="75">
        <v>0</v>
      </c>
      <c r="AU1280" s="75">
        <v>0</v>
      </c>
      <c r="AV1280" s="75">
        <v>0</v>
      </c>
      <c r="AW1280" s="123">
        <v>0</v>
      </c>
      <c r="AX1280" s="516" t="s">
        <v>2139</v>
      </c>
      <c r="AY1280" s="75">
        <v>1</v>
      </c>
      <c r="AZ1280" s="77" t="s">
        <v>131</v>
      </c>
      <c r="BA1280" s="78" t="s">
        <v>132</v>
      </c>
      <c r="BB1280" s="78" t="s">
        <v>131</v>
      </c>
      <c r="BC1280" s="78" t="s">
        <v>131</v>
      </c>
      <c r="BD1280" s="78" t="s">
        <v>131</v>
      </c>
      <c r="BE1280" s="78" t="s">
        <v>131</v>
      </c>
      <c r="BF1280" s="78" t="s">
        <v>131</v>
      </c>
      <c r="BG1280" s="78" t="s">
        <v>131</v>
      </c>
      <c r="BH1280" s="75" t="s">
        <v>5970</v>
      </c>
      <c r="BI1280" s="295" t="s">
        <v>16</v>
      </c>
      <c r="BJ1280" s="546">
        <v>1</v>
      </c>
      <c r="BK1280" s="294" t="s">
        <v>16</v>
      </c>
      <c r="BL1280" s="157" t="s">
        <v>16</v>
      </c>
      <c r="BM1280" s="548" t="s">
        <v>1340</v>
      </c>
      <c r="BN1280" s="548" t="s">
        <v>2344</v>
      </c>
      <c r="BO1280" s="157" t="s">
        <v>4628</v>
      </c>
      <c r="BP1280" s="548" t="s">
        <v>4629</v>
      </c>
      <c r="BQ1280" s="157" t="s">
        <v>4627</v>
      </c>
      <c r="BR1280" s="157"/>
    </row>
    <row r="1281" spans="1:70" x14ac:dyDescent="0.25">
      <c r="A1281" s="19" t="s">
        <v>3686</v>
      </c>
      <c r="B1281" s="37" t="s">
        <v>2140</v>
      </c>
      <c r="C1281" s="90">
        <v>44842.682557870372</v>
      </c>
      <c r="D1281" s="114">
        <v>44842.432557870372</v>
      </c>
      <c r="E1281" s="38">
        <v>44842</v>
      </c>
      <c r="F1281" s="91">
        <v>2022</v>
      </c>
      <c r="G1281" s="93">
        <v>10</v>
      </c>
      <c r="H1281" s="37" t="s">
        <v>1364</v>
      </c>
      <c r="I1281" s="37" t="s">
        <v>959</v>
      </c>
      <c r="J1281" s="103">
        <v>-92.597422699999996</v>
      </c>
      <c r="K1281" s="40">
        <v>44.472278699999997</v>
      </c>
      <c r="L1281" s="74"/>
      <c r="M1281" s="272" t="s">
        <v>2141</v>
      </c>
      <c r="N1281" s="74">
        <v>1</v>
      </c>
      <c r="O1281" s="94"/>
      <c r="P1281" s="118">
        <v>1</v>
      </c>
      <c r="Q1281" s="510">
        <v>0</v>
      </c>
      <c r="R1281" s="513">
        <v>180</v>
      </c>
      <c r="S1281" s="41"/>
      <c r="T1281" s="40"/>
      <c r="U1281" s="40">
        <v>7</v>
      </c>
      <c r="V1281" s="119">
        <v>1</v>
      </c>
      <c r="W1281" s="40">
        <v>0</v>
      </c>
      <c r="X1281" s="119">
        <v>1</v>
      </c>
      <c r="Y1281" s="40">
        <v>46</v>
      </c>
      <c r="Z1281" s="119">
        <v>1</v>
      </c>
      <c r="AA1281" s="368">
        <v>0</v>
      </c>
      <c r="AB1281" s="535">
        <v>0</v>
      </c>
      <c r="AC1281" s="39" t="s">
        <v>160</v>
      </c>
      <c r="AD1281" s="75" t="s">
        <v>9</v>
      </c>
      <c r="AE1281" s="95">
        <v>0</v>
      </c>
      <c r="AF1281" s="75">
        <v>0</v>
      </c>
      <c r="AG1281" s="75">
        <v>1</v>
      </c>
      <c r="AH1281" s="75">
        <v>0</v>
      </c>
      <c r="AI1281" s="75">
        <v>0</v>
      </c>
      <c r="AJ1281" s="75">
        <v>0</v>
      </c>
      <c r="AK1281" s="75">
        <v>0</v>
      </c>
      <c r="AL1281" s="95">
        <v>0</v>
      </c>
      <c r="AM1281" s="92">
        <v>0</v>
      </c>
      <c r="AN1281" s="79" t="s">
        <v>80</v>
      </c>
      <c r="AO1281" s="75">
        <v>1</v>
      </c>
      <c r="AP1281" s="75" t="s">
        <v>83</v>
      </c>
      <c r="AQ1281" s="122">
        <v>1</v>
      </c>
      <c r="AR1281" s="515" t="s">
        <v>10</v>
      </c>
      <c r="AS1281" s="95">
        <v>0</v>
      </c>
      <c r="AT1281" s="75">
        <v>0</v>
      </c>
      <c r="AU1281" s="75">
        <v>0</v>
      </c>
      <c r="AV1281" s="75">
        <v>0</v>
      </c>
      <c r="AW1281" s="123">
        <v>0</v>
      </c>
      <c r="AX1281" s="516" t="s">
        <v>2142</v>
      </c>
      <c r="AY1281" s="75">
        <v>1</v>
      </c>
      <c r="AZ1281" s="77" t="s">
        <v>131</v>
      </c>
      <c r="BA1281" s="78" t="s">
        <v>131</v>
      </c>
      <c r="BB1281" s="78" t="s">
        <v>132</v>
      </c>
      <c r="BC1281" s="78" t="s">
        <v>131</v>
      </c>
      <c r="BD1281" s="78" t="s">
        <v>131</v>
      </c>
      <c r="BE1281" s="78" t="s">
        <v>131</v>
      </c>
      <c r="BF1281" s="78" t="s">
        <v>131</v>
      </c>
      <c r="BG1281" s="78" t="s">
        <v>131</v>
      </c>
      <c r="BH1281" s="75" t="s">
        <v>5970</v>
      </c>
      <c r="BI1281" s="295" t="s">
        <v>2238</v>
      </c>
      <c r="BJ1281" s="546">
        <v>1</v>
      </c>
      <c r="BK1281" s="294" t="s">
        <v>16</v>
      </c>
      <c r="BL1281" s="157" t="s">
        <v>16</v>
      </c>
      <c r="BM1281" s="548" t="s">
        <v>2343</v>
      </c>
      <c r="BN1281" s="548" t="s">
        <v>4161</v>
      </c>
      <c r="BO1281" s="157" t="s">
        <v>4308</v>
      </c>
      <c r="BP1281" s="548" t="s">
        <v>2238</v>
      </c>
      <c r="BQ1281" s="157" t="s">
        <v>4307</v>
      </c>
      <c r="BR1281" s="157"/>
    </row>
    <row r="1282" spans="1:70" x14ac:dyDescent="0.25">
      <c r="A1282" s="19" t="s">
        <v>3686</v>
      </c>
      <c r="B1282" s="37" t="s">
        <v>2143</v>
      </c>
      <c r="C1282" s="90">
        <v>44842.665543981479</v>
      </c>
      <c r="D1282" s="114">
        <v>44842.415543981479</v>
      </c>
      <c r="E1282" s="38">
        <v>44842</v>
      </c>
      <c r="F1282" s="91">
        <v>2022</v>
      </c>
      <c r="G1282" s="93">
        <v>10</v>
      </c>
      <c r="H1282" s="37" t="s">
        <v>1364</v>
      </c>
      <c r="I1282" s="37" t="s">
        <v>958</v>
      </c>
      <c r="J1282" s="103">
        <v>-92.575481699999997</v>
      </c>
      <c r="K1282" s="40">
        <v>44.488376700000003</v>
      </c>
      <c r="L1282" s="74"/>
      <c r="M1282" s="272" t="s">
        <v>2144</v>
      </c>
      <c r="N1282" s="74">
        <v>1</v>
      </c>
      <c r="O1282" s="94"/>
      <c r="P1282" s="118">
        <v>1</v>
      </c>
      <c r="Q1282" s="510">
        <v>0</v>
      </c>
      <c r="R1282" s="513">
        <v>0</v>
      </c>
      <c r="S1282" s="41"/>
      <c r="T1282" s="40"/>
      <c r="U1282" s="40">
        <v>7</v>
      </c>
      <c r="V1282" s="119">
        <v>1</v>
      </c>
      <c r="W1282" s="40">
        <v>100</v>
      </c>
      <c r="X1282" s="119">
        <v>1</v>
      </c>
      <c r="Y1282" s="40">
        <v>45</v>
      </c>
      <c r="Z1282" s="119">
        <v>1</v>
      </c>
      <c r="AA1282" s="368">
        <v>0</v>
      </c>
      <c r="AB1282" s="535">
        <v>2</v>
      </c>
      <c r="AC1282" s="39" t="s">
        <v>160</v>
      </c>
      <c r="AD1282" s="75" t="s">
        <v>10</v>
      </c>
      <c r="AE1282" s="95">
        <v>0</v>
      </c>
      <c r="AF1282" s="75">
        <v>0</v>
      </c>
      <c r="AG1282" s="75">
        <v>0</v>
      </c>
      <c r="AH1282" s="75">
        <v>0</v>
      </c>
      <c r="AI1282" s="75">
        <v>0</v>
      </c>
      <c r="AJ1282" s="75">
        <v>0</v>
      </c>
      <c r="AK1282" s="75">
        <v>0</v>
      </c>
      <c r="AL1282" s="95">
        <v>1</v>
      </c>
      <c r="AM1282" s="92">
        <v>0</v>
      </c>
      <c r="AN1282" s="79" t="s">
        <v>80</v>
      </c>
      <c r="AO1282" s="75">
        <v>1</v>
      </c>
      <c r="AP1282" s="75" t="s">
        <v>83</v>
      </c>
      <c r="AQ1282" s="122">
        <v>1</v>
      </c>
      <c r="AR1282" s="515" t="s">
        <v>10</v>
      </c>
      <c r="AS1282" s="95">
        <v>0</v>
      </c>
      <c r="AT1282" s="75">
        <v>0</v>
      </c>
      <c r="AU1282" s="75">
        <v>0</v>
      </c>
      <c r="AV1282" s="75">
        <v>0</v>
      </c>
      <c r="AW1282" s="123">
        <v>0</v>
      </c>
      <c r="AX1282" s="516" t="s">
        <v>2145</v>
      </c>
      <c r="AY1282" s="75">
        <v>1</v>
      </c>
      <c r="AZ1282" s="77" t="s">
        <v>131</v>
      </c>
      <c r="BA1282" s="78" t="s">
        <v>131</v>
      </c>
      <c r="BB1282" s="78" t="s">
        <v>131</v>
      </c>
      <c r="BC1282" s="78" t="s">
        <v>131</v>
      </c>
      <c r="BD1282" s="78" t="s">
        <v>131</v>
      </c>
      <c r="BE1282" s="78" t="s">
        <v>131</v>
      </c>
      <c r="BF1282" s="78" t="s">
        <v>131</v>
      </c>
      <c r="BG1282" s="78" t="s">
        <v>132</v>
      </c>
      <c r="BH1282" s="75" t="s">
        <v>5970</v>
      </c>
      <c r="BI1282" s="295" t="s">
        <v>2238</v>
      </c>
      <c r="BJ1282" s="546">
        <v>1</v>
      </c>
      <c r="BK1282" s="294" t="s">
        <v>16</v>
      </c>
      <c r="BL1282" s="157" t="s">
        <v>16</v>
      </c>
      <c r="BM1282" s="548" t="s">
        <v>2343</v>
      </c>
      <c r="BN1282" s="548" t="s">
        <v>4161</v>
      </c>
      <c r="BO1282" s="157" t="s">
        <v>4308</v>
      </c>
      <c r="BP1282" s="548" t="s">
        <v>2238</v>
      </c>
      <c r="BQ1282" s="157" t="s">
        <v>4307</v>
      </c>
      <c r="BR1282" s="157"/>
    </row>
    <row r="1283" spans="1:70" x14ac:dyDescent="0.25">
      <c r="A1283" s="19" t="s">
        <v>3686</v>
      </c>
      <c r="B1283" s="37" t="s">
        <v>2146</v>
      </c>
      <c r="C1283" s="90">
        <v>44839.675185185188</v>
      </c>
      <c r="D1283" s="114">
        <v>44839.425185185188</v>
      </c>
      <c r="E1283" s="38">
        <v>44839</v>
      </c>
      <c r="F1283" s="91">
        <v>2022</v>
      </c>
      <c r="G1283" s="93">
        <v>10</v>
      </c>
      <c r="H1283" s="37" t="s">
        <v>1517</v>
      </c>
      <c r="I1283" s="37"/>
      <c r="J1283" s="103">
        <v>-91.407488345006087</v>
      </c>
      <c r="K1283" s="40">
        <v>44.759688771554131</v>
      </c>
      <c r="L1283" s="74"/>
      <c r="M1283" s="272" t="s">
        <v>16</v>
      </c>
      <c r="N1283" s="74">
        <v>0</v>
      </c>
      <c r="O1283" s="94"/>
      <c r="P1283" s="118">
        <v>1</v>
      </c>
      <c r="Q1283" s="510">
        <v>80</v>
      </c>
      <c r="R1283" s="513">
        <v>120</v>
      </c>
      <c r="S1283" s="41"/>
      <c r="T1283" s="40"/>
      <c r="U1283" s="40">
        <v>6</v>
      </c>
      <c r="V1283" s="119">
        <v>0</v>
      </c>
      <c r="W1283" s="40"/>
      <c r="X1283" s="119">
        <v>1</v>
      </c>
      <c r="Y1283" s="40">
        <v>56</v>
      </c>
      <c r="Z1283" s="119">
        <v>0</v>
      </c>
      <c r="AA1283" s="368" t="s">
        <v>16</v>
      </c>
      <c r="AB1283" s="535" t="s">
        <v>16</v>
      </c>
      <c r="AC1283" s="39" t="s">
        <v>160</v>
      </c>
      <c r="AD1283" s="75" t="s">
        <v>365</v>
      </c>
      <c r="AE1283" s="95">
        <v>0</v>
      </c>
      <c r="AF1283" s="75">
        <v>1</v>
      </c>
      <c r="AG1283" s="75">
        <v>1</v>
      </c>
      <c r="AH1283" s="75">
        <v>0</v>
      </c>
      <c r="AI1283" s="75">
        <v>0</v>
      </c>
      <c r="AJ1283" s="75">
        <v>0</v>
      </c>
      <c r="AK1283" s="75">
        <v>0</v>
      </c>
      <c r="AL1283" s="95">
        <v>0</v>
      </c>
      <c r="AM1283" s="92">
        <v>0</v>
      </c>
      <c r="AN1283" s="79" t="s">
        <v>80</v>
      </c>
      <c r="AO1283" s="75">
        <v>1</v>
      </c>
      <c r="AP1283" s="75" t="s">
        <v>83</v>
      </c>
      <c r="AQ1283" s="122">
        <v>1</v>
      </c>
      <c r="AR1283" s="515" t="s">
        <v>10</v>
      </c>
      <c r="AS1283" s="95">
        <v>0</v>
      </c>
      <c r="AT1283" s="75">
        <v>0</v>
      </c>
      <c r="AU1283" s="75">
        <v>0</v>
      </c>
      <c r="AV1283" s="75">
        <v>0</v>
      </c>
      <c r="AW1283" s="123">
        <v>0</v>
      </c>
      <c r="AX1283" s="516"/>
      <c r="AY1283" s="75">
        <v>0</v>
      </c>
      <c r="AZ1283" s="77" t="s">
        <v>131</v>
      </c>
      <c r="BA1283" s="78" t="s">
        <v>132</v>
      </c>
      <c r="BB1283" s="78" t="s">
        <v>132</v>
      </c>
      <c r="BC1283" s="78" t="s">
        <v>131</v>
      </c>
      <c r="BD1283" s="78" t="s">
        <v>131</v>
      </c>
      <c r="BE1283" s="78" t="s">
        <v>131</v>
      </c>
      <c r="BF1283" s="78" t="s">
        <v>131</v>
      </c>
      <c r="BG1283" s="78" t="s">
        <v>131</v>
      </c>
      <c r="BH1283" s="75" t="s">
        <v>5970</v>
      </c>
      <c r="BI1283" s="295" t="s">
        <v>2264</v>
      </c>
      <c r="BJ1283" s="546">
        <v>1</v>
      </c>
      <c r="BK1283" s="294" t="s">
        <v>16</v>
      </c>
      <c r="BL1283" s="157" t="s">
        <v>16</v>
      </c>
      <c r="BM1283" s="548" t="s">
        <v>1340</v>
      </c>
      <c r="BN1283" s="548" t="s">
        <v>2344</v>
      </c>
      <c r="BO1283" s="157" t="s">
        <v>4634</v>
      </c>
      <c r="BP1283" s="548" t="s">
        <v>2264</v>
      </c>
      <c r="BQ1283" s="157" t="s">
        <v>4633</v>
      </c>
      <c r="BR1283" s="157"/>
    </row>
    <row r="1284" spans="1:70" x14ac:dyDescent="0.25">
      <c r="A1284" s="19" t="s">
        <v>3686</v>
      </c>
      <c r="B1284" s="37" t="s">
        <v>2147</v>
      </c>
      <c r="C1284" s="90">
        <v>44838.683206018519</v>
      </c>
      <c r="D1284" s="114">
        <v>44838.433206018519</v>
      </c>
      <c r="E1284" s="38">
        <v>44838</v>
      </c>
      <c r="F1284" s="91">
        <v>2022</v>
      </c>
      <c r="G1284" s="93">
        <v>10</v>
      </c>
      <c r="H1284" s="37" t="s">
        <v>1517</v>
      </c>
      <c r="I1284" s="37"/>
      <c r="J1284" s="103">
        <v>-91.457519280608665</v>
      </c>
      <c r="K1284" s="40">
        <v>44.800794228038733</v>
      </c>
      <c r="L1284" s="74"/>
      <c r="M1284" s="272" t="s">
        <v>16</v>
      </c>
      <c r="N1284" s="74">
        <v>0</v>
      </c>
      <c r="O1284" s="94"/>
      <c r="P1284" s="118">
        <v>1</v>
      </c>
      <c r="Q1284" s="510">
        <v>80</v>
      </c>
      <c r="R1284" s="513">
        <v>60</v>
      </c>
      <c r="S1284" s="41"/>
      <c r="T1284" s="40"/>
      <c r="U1284" s="40">
        <v>6</v>
      </c>
      <c r="V1284" s="119">
        <v>0</v>
      </c>
      <c r="W1284" s="40"/>
      <c r="X1284" s="119">
        <v>1</v>
      </c>
      <c r="Y1284" s="40">
        <v>58</v>
      </c>
      <c r="Z1284" s="119">
        <v>0</v>
      </c>
      <c r="AA1284" s="368" t="s">
        <v>16</v>
      </c>
      <c r="AB1284" s="535" t="s">
        <v>16</v>
      </c>
      <c r="AC1284" s="39" t="s">
        <v>160</v>
      </c>
      <c r="AD1284" s="75" t="s">
        <v>365</v>
      </c>
      <c r="AE1284" s="95">
        <v>0</v>
      </c>
      <c r="AF1284" s="75">
        <v>1</v>
      </c>
      <c r="AG1284" s="75">
        <v>1</v>
      </c>
      <c r="AH1284" s="75">
        <v>0</v>
      </c>
      <c r="AI1284" s="75">
        <v>0</v>
      </c>
      <c r="AJ1284" s="75">
        <v>0</v>
      </c>
      <c r="AK1284" s="75">
        <v>0</v>
      </c>
      <c r="AL1284" s="95">
        <v>0</v>
      </c>
      <c r="AM1284" s="92">
        <v>0</v>
      </c>
      <c r="AN1284" s="79" t="s">
        <v>80</v>
      </c>
      <c r="AO1284" s="75">
        <v>1</v>
      </c>
      <c r="AP1284" s="75" t="s">
        <v>83</v>
      </c>
      <c r="AQ1284" s="122">
        <v>1</v>
      </c>
      <c r="AR1284" s="515" t="s">
        <v>10</v>
      </c>
      <c r="AS1284" s="95">
        <v>0</v>
      </c>
      <c r="AT1284" s="75">
        <v>0</v>
      </c>
      <c r="AU1284" s="75">
        <v>0</v>
      </c>
      <c r="AV1284" s="75">
        <v>0</v>
      </c>
      <c r="AW1284" s="123">
        <v>0</v>
      </c>
      <c r="AX1284" s="516"/>
      <c r="AY1284" s="75">
        <v>0</v>
      </c>
      <c r="AZ1284" s="77" t="s">
        <v>131</v>
      </c>
      <c r="BA1284" s="78" t="s">
        <v>132</v>
      </c>
      <c r="BB1284" s="78" t="s">
        <v>132</v>
      </c>
      <c r="BC1284" s="78" t="s">
        <v>131</v>
      </c>
      <c r="BD1284" s="78" t="s">
        <v>131</v>
      </c>
      <c r="BE1284" s="78" t="s">
        <v>131</v>
      </c>
      <c r="BF1284" s="78" t="s">
        <v>131</v>
      </c>
      <c r="BG1284" s="78" t="s">
        <v>131</v>
      </c>
      <c r="BH1284" s="75" t="s">
        <v>5970</v>
      </c>
      <c r="BI1284" s="295" t="s">
        <v>2264</v>
      </c>
      <c r="BJ1284" s="546">
        <v>1</v>
      </c>
      <c r="BK1284" s="294" t="s">
        <v>16</v>
      </c>
      <c r="BL1284" s="157" t="s">
        <v>16</v>
      </c>
      <c r="BM1284" s="548" t="s">
        <v>1340</v>
      </c>
      <c r="BN1284" s="548" t="s">
        <v>2344</v>
      </c>
      <c r="BO1284" s="157" t="s">
        <v>4634</v>
      </c>
      <c r="BP1284" s="548" t="s">
        <v>2264</v>
      </c>
      <c r="BQ1284" s="157" t="s">
        <v>4633</v>
      </c>
      <c r="BR1284" s="157"/>
    </row>
    <row r="1285" spans="1:70" x14ac:dyDescent="0.25">
      <c r="A1285" s="19" t="s">
        <v>3686</v>
      </c>
      <c r="B1285" s="37" t="s">
        <v>2148</v>
      </c>
      <c r="C1285" s="90">
        <v>44837.772233796299</v>
      </c>
      <c r="D1285" s="114">
        <v>44837.522233796299</v>
      </c>
      <c r="E1285" s="38">
        <v>44837</v>
      </c>
      <c r="F1285" s="91">
        <v>2022</v>
      </c>
      <c r="G1285" s="93">
        <v>10</v>
      </c>
      <c r="H1285" s="37" t="s">
        <v>1616</v>
      </c>
      <c r="I1285" s="37" t="s">
        <v>1212</v>
      </c>
      <c r="J1285" s="103">
        <v>-92.236418799999996</v>
      </c>
      <c r="K1285" s="40">
        <v>44.840170100000002</v>
      </c>
      <c r="L1285" s="74"/>
      <c r="M1285" s="272" t="s">
        <v>2149</v>
      </c>
      <c r="N1285" s="74">
        <v>1</v>
      </c>
      <c r="O1285" s="94"/>
      <c r="P1285" s="118">
        <v>1</v>
      </c>
      <c r="Q1285" s="510">
        <v>80</v>
      </c>
      <c r="R1285" s="513">
        <v>120</v>
      </c>
      <c r="S1285" s="41"/>
      <c r="T1285" s="40"/>
      <c r="U1285" s="40">
        <v>8</v>
      </c>
      <c r="V1285" s="119">
        <v>1</v>
      </c>
      <c r="W1285" s="40">
        <v>0</v>
      </c>
      <c r="X1285" s="119">
        <v>1</v>
      </c>
      <c r="Y1285" s="40">
        <v>58</v>
      </c>
      <c r="Z1285" s="119">
        <v>1</v>
      </c>
      <c r="AA1285" s="368">
        <v>0</v>
      </c>
      <c r="AB1285" s="535">
        <v>0</v>
      </c>
      <c r="AC1285" s="39" t="s">
        <v>160</v>
      </c>
      <c r="AD1285" s="75" t="s">
        <v>10</v>
      </c>
      <c r="AE1285" s="95">
        <v>0</v>
      </c>
      <c r="AF1285" s="75">
        <v>0</v>
      </c>
      <c r="AG1285" s="75">
        <v>0</v>
      </c>
      <c r="AH1285" s="75">
        <v>0</v>
      </c>
      <c r="AI1285" s="75">
        <v>0</v>
      </c>
      <c r="AJ1285" s="75">
        <v>0</v>
      </c>
      <c r="AK1285" s="75">
        <v>0</v>
      </c>
      <c r="AL1285" s="95">
        <v>1</v>
      </c>
      <c r="AM1285" s="92">
        <v>0</v>
      </c>
      <c r="AN1285" s="79" t="s">
        <v>80</v>
      </c>
      <c r="AO1285" s="75">
        <v>1</v>
      </c>
      <c r="AP1285" s="75" t="s">
        <v>84</v>
      </c>
      <c r="AQ1285" s="122">
        <v>1</v>
      </c>
      <c r="AR1285" s="515" t="s">
        <v>10</v>
      </c>
      <c r="AS1285" s="95">
        <v>0</v>
      </c>
      <c r="AT1285" s="75">
        <v>0</v>
      </c>
      <c r="AU1285" s="75">
        <v>0</v>
      </c>
      <c r="AV1285" s="75">
        <v>0</v>
      </c>
      <c r="AW1285" s="123">
        <v>0</v>
      </c>
      <c r="AX1285" s="516"/>
      <c r="AY1285" s="75">
        <v>0</v>
      </c>
      <c r="AZ1285" s="77" t="s">
        <v>131</v>
      </c>
      <c r="BA1285" s="78" t="s">
        <v>131</v>
      </c>
      <c r="BB1285" s="78" t="s">
        <v>131</v>
      </c>
      <c r="BC1285" s="78" t="s">
        <v>131</v>
      </c>
      <c r="BD1285" s="78" t="s">
        <v>131</v>
      </c>
      <c r="BE1285" s="78" t="s">
        <v>131</v>
      </c>
      <c r="BF1285" s="78" t="s">
        <v>131</v>
      </c>
      <c r="BG1285" s="78" t="s">
        <v>132</v>
      </c>
      <c r="BH1285" s="75" t="s">
        <v>5970</v>
      </c>
      <c r="BI1285" s="295" t="s">
        <v>2247</v>
      </c>
      <c r="BJ1285" s="546">
        <v>1</v>
      </c>
      <c r="BK1285" s="294">
        <v>1</v>
      </c>
      <c r="BL1285" s="157">
        <v>1</v>
      </c>
      <c r="BM1285" s="548" t="s">
        <v>578</v>
      </c>
      <c r="BN1285" s="548" t="s">
        <v>578</v>
      </c>
      <c r="BO1285" s="157" t="s">
        <v>4318</v>
      </c>
      <c r="BP1285" s="548" t="s">
        <v>4439</v>
      </c>
      <c r="BQ1285" s="157" t="s">
        <v>4316</v>
      </c>
      <c r="BR1285" s="157"/>
    </row>
    <row r="1286" spans="1:70" x14ac:dyDescent="0.25">
      <c r="A1286" s="19" t="s">
        <v>3686</v>
      </c>
      <c r="B1286" s="37" t="s">
        <v>2150</v>
      </c>
      <c r="C1286" s="90">
        <v>44837.666250000002</v>
      </c>
      <c r="D1286" s="114">
        <v>44837.416250000002</v>
      </c>
      <c r="E1286" s="38">
        <v>44837</v>
      </c>
      <c r="F1286" s="91">
        <v>2022</v>
      </c>
      <c r="G1286" s="93">
        <v>10</v>
      </c>
      <c r="H1286" s="37" t="s">
        <v>1517</v>
      </c>
      <c r="I1286" s="37"/>
      <c r="J1286" s="103">
        <v>-91.535320964199585</v>
      </c>
      <c r="K1286" s="40">
        <v>44.773457521840555</v>
      </c>
      <c r="L1286" s="74"/>
      <c r="M1286" s="272" t="s">
        <v>16</v>
      </c>
      <c r="N1286" s="74">
        <v>0</v>
      </c>
      <c r="O1286" s="94"/>
      <c r="P1286" s="118">
        <v>1</v>
      </c>
      <c r="Q1286" s="510">
        <v>80</v>
      </c>
      <c r="R1286" s="513">
        <v>60</v>
      </c>
      <c r="S1286" s="41"/>
      <c r="T1286" s="40"/>
      <c r="U1286" s="40">
        <v>6</v>
      </c>
      <c r="V1286" s="119">
        <v>0</v>
      </c>
      <c r="W1286" s="40"/>
      <c r="X1286" s="119">
        <v>1</v>
      </c>
      <c r="Y1286" s="40">
        <v>56</v>
      </c>
      <c r="Z1286" s="119">
        <v>0</v>
      </c>
      <c r="AA1286" s="368" t="s">
        <v>16</v>
      </c>
      <c r="AB1286" s="535" t="s">
        <v>16</v>
      </c>
      <c r="AC1286" s="39" t="s">
        <v>160</v>
      </c>
      <c r="AD1286" s="75" t="s">
        <v>9</v>
      </c>
      <c r="AE1286" s="95">
        <v>0</v>
      </c>
      <c r="AF1286" s="75">
        <v>0</v>
      </c>
      <c r="AG1286" s="75">
        <v>1</v>
      </c>
      <c r="AH1286" s="75">
        <v>0</v>
      </c>
      <c r="AI1286" s="75">
        <v>0</v>
      </c>
      <c r="AJ1286" s="75">
        <v>0</v>
      </c>
      <c r="AK1286" s="75">
        <v>0</v>
      </c>
      <c r="AL1286" s="95">
        <v>0</v>
      </c>
      <c r="AM1286" s="92">
        <v>0</v>
      </c>
      <c r="AN1286" s="79" t="s">
        <v>80</v>
      </c>
      <c r="AO1286" s="75">
        <v>1</v>
      </c>
      <c r="AP1286" s="75" t="s">
        <v>83</v>
      </c>
      <c r="AQ1286" s="122">
        <v>1</v>
      </c>
      <c r="AR1286" s="515" t="s">
        <v>10</v>
      </c>
      <c r="AS1286" s="95">
        <v>0</v>
      </c>
      <c r="AT1286" s="75">
        <v>0</v>
      </c>
      <c r="AU1286" s="75">
        <v>0</v>
      </c>
      <c r="AV1286" s="75">
        <v>0</v>
      </c>
      <c r="AW1286" s="123">
        <v>0</v>
      </c>
      <c r="AX1286" s="516"/>
      <c r="AY1286" s="75">
        <v>0</v>
      </c>
      <c r="AZ1286" s="77" t="s">
        <v>131</v>
      </c>
      <c r="BA1286" s="78" t="s">
        <v>131</v>
      </c>
      <c r="BB1286" s="78" t="s">
        <v>132</v>
      </c>
      <c r="BC1286" s="78" t="s">
        <v>131</v>
      </c>
      <c r="BD1286" s="78" t="s">
        <v>131</v>
      </c>
      <c r="BE1286" s="78" t="s">
        <v>131</v>
      </c>
      <c r="BF1286" s="78" t="s">
        <v>131</v>
      </c>
      <c r="BG1286" s="78" t="s">
        <v>131</v>
      </c>
      <c r="BH1286" s="75" t="s">
        <v>5970</v>
      </c>
      <c r="BI1286" s="295" t="s">
        <v>2257</v>
      </c>
      <c r="BJ1286" s="546">
        <v>1</v>
      </c>
      <c r="BK1286" s="294" t="s">
        <v>16</v>
      </c>
      <c r="BL1286" s="157" t="s">
        <v>16</v>
      </c>
      <c r="BM1286" s="548" t="s">
        <v>1340</v>
      </c>
      <c r="BN1286" s="548" t="s">
        <v>2344</v>
      </c>
      <c r="BO1286" s="157" t="s">
        <v>4628</v>
      </c>
      <c r="BP1286" s="548" t="s">
        <v>4629</v>
      </c>
      <c r="BQ1286" s="157" t="s">
        <v>4627</v>
      </c>
      <c r="BR1286" s="157"/>
    </row>
    <row r="1287" spans="1:70" x14ac:dyDescent="0.25">
      <c r="A1287" s="19" t="s">
        <v>3686</v>
      </c>
      <c r="B1287" s="37" t="s">
        <v>3682</v>
      </c>
      <c r="C1287" s="90">
        <v>44836.703553240739</v>
      </c>
      <c r="D1287" s="114">
        <v>44836.453553240739</v>
      </c>
      <c r="E1287" s="38">
        <v>44836</v>
      </c>
      <c r="F1287" s="91">
        <v>2022</v>
      </c>
      <c r="G1287" s="93">
        <v>10</v>
      </c>
      <c r="H1287" s="37" t="s">
        <v>621</v>
      </c>
      <c r="I1287" s="37" t="s">
        <v>960</v>
      </c>
      <c r="J1287" s="103">
        <v>-93.008997626689265</v>
      </c>
      <c r="K1287" s="40">
        <v>44.657260207500919</v>
      </c>
      <c r="L1287" s="74"/>
      <c r="M1287" s="272" t="s">
        <v>3683</v>
      </c>
      <c r="N1287" s="74">
        <v>1</v>
      </c>
      <c r="O1287" s="94"/>
      <c r="P1287" s="118">
        <v>1</v>
      </c>
      <c r="Q1287" s="510">
        <v>180</v>
      </c>
      <c r="R1287" s="513">
        <v>180</v>
      </c>
      <c r="S1287" s="41"/>
      <c r="T1287" s="40"/>
      <c r="U1287" s="40">
        <v>8</v>
      </c>
      <c r="V1287" s="119">
        <v>1</v>
      </c>
      <c r="W1287" s="40">
        <v>0</v>
      </c>
      <c r="X1287" s="119">
        <v>1</v>
      </c>
      <c r="Y1287" s="40">
        <v>56</v>
      </c>
      <c r="Z1287" s="119">
        <v>1</v>
      </c>
      <c r="AA1287" s="368">
        <v>0</v>
      </c>
      <c r="AB1287" s="535">
        <v>5</v>
      </c>
      <c r="AC1287" s="39" t="s">
        <v>160</v>
      </c>
      <c r="AD1287" s="75" t="s">
        <v>10</v>
      </c>
      <c r="AE1287" s="95">
        <v>0</v>
      </c>
      <c r="AF1287" s="75">
        <v>0</v>
      </c>
      <c r="AG1287" s="75">
        <v>0</v>
      </c>
      <c r="AH1287" s="75">
        <v>0</v>
      </c>
      <c r="AI1287" s="75">
        <v>0</v>
      </c>
      <c r="AJ1287" s="75">
        <v>0</v>
      </c>
      <c r="AK1287" s="75">
        <v>0</v>
      </c>
      <c r="AL1287" s="95">
        <v>1</v>
      </c>
      <c r="AM1287" s="92">
        <v>0</v>
      </c>
      <c r="AN1287" s="79" t="s">
        <v>81</v>
      </c>
      <c r="AO1287" s="75">
        <v>1</v>
      </c>
      <c r="AP1287" s="75" t="s">
        <v>83</v>
      </c>
      <c r="AQ1287" s="122">
        <v>1</v>
      </c>
      <c r="AR1287" s="515" t="s">
        <v>10</v>
      </c>
      <c r="AS1287" s="95">
        <v>0</v>
      </c>
      <c r="AT1287" s="75">
        <v>0</v>
      </c>
      <c r="AU1287" s="75">
        <v>0</v>
      </c>
      <c r="AV1287" s="75">
        <v>0</v>
      </c>
      <c r="AW1287" s="123">
        <v>0</v>
      </c>
      <c r="AX1287" s="516"/>
      <c r="AY1287" s="75">
        <v>0</v>
      </c>
      <c r="AZ1287" s="77" t="s">
        <v>131</v>
      </c>
      <c r="BA1287" s="78" t="s">
        <v>131</v>
      </c>
      <c r="BB1287" s="78" t="s">
        <v>131</v>
      </c>
      <c r="BC1287" s="78" t="s">
        <v>131</v>
      </c>
      <c r="BD1287" s="78" t="s">
        <v>131</v>
      </c>
      <c r="BE1287" s="78" t="s">
        <v>131</v>
      </c>
      <c r="BF1287" s="78" t="s">
        <v>131</v>
      </c>
      <c r="BG1287" s="78" t="s">
        <v>132</v>
      </c>
      <c r="BH1287" s="75" t="s">
        <v>5970</v>
      </c>
      <c r="BI1287" s="295" t="s">
        <v>2225</v>
      </c>
      <c r="BJ1287" s="546">
        <v>1</v>
      </c>
      <c r="BK1287" s="294" t="s">
        <v>16</v>
      </c>
      <c r="BL1287" s="157" t="s">
        <v>16</v>
      </c>
      <c r="BM1287" s="548" t="s">
        <v>2343</v>
      </c>
      <c r="BN1287" s="548" t="s">
        <v>4161</v>
      </c>
      <c r="BO1287" s="157" t="s">
        <v>4293</v>
      </c>
      <c r="BP1287" s="548" t="s">
        <v>2225</v>
      </c>
      <c r="BQ1287" s="157" t="s">
        <v>4292</v>
      </c>
      <c r="BR1287" s="157"/>
    </row>
    <row r="1288" spans="1:70" x14ac:dyDescent="0.25">
      <c r="A1288" s="19" t="s">
        <v>3686</v>
      </c>
      <c r="B1288" s="37" t="s">
        <v>2151</v>
      </c>
      <c r="C1288" s="90">
        <v>44835.750497685185</v>
      </c>
      <c r="D1288" s="114">
        <v>44835.500497685185</v>
      </c>
      <c r="E1288" s="38">
        <v>44835</v>
      </c>
      <c r="F1288" s="91">
        <v>2022</v>
      </c>
      <c r="G1288" s="93">
        <v>10</v>
      </c>
      <c r="H1288" s="37" t="s">
        <v>475</v>
      </c>
      <c r="I1288" s="37"/>
      <c r="J1288" s="103">
        <v>-92.064549587752722</v>
      </c>
      <c r="K1288" s="40">
        <v>44.28673415448916</v>
      </c>
      <c r="L1288" s="74"/>
      <c r="M1288" s="272" t="s">
        <v>2152</v>
      </c>
      <c r="N1288" s="74">
        <v>1</v>
      </c>
      <c r="O1288" s="94"/>
      <c r="P1288" s="118">
        <v>1</v>
      </c>
      <c r="Q1288" s="510">
        <v>180</v>
      </c>
      <c r="R1288" s="513">
        <v>120</v>
      </c>
      <c r="S1288" s="41"/>
      <c r="T1288" s="40"/>
      <c r="U1288" s="40">
        <v>7.5</v>
      </c>
      <c r="V1288" s="119">
        <v>1</v>
      </c>
      <c r="W1288" s="40">
        <v>0</v>
      </c>
      <c r="X1288" s="119">
        <v>0</v>
      </c>
      <c r="Y1288" s="40"/>
      <c r="Z1288" s="119">
        <v>1</v>
      </c>
      <c r="AA1288" s="368">
        <v>0</v>
      </c>
      <c r="AB1288" s="535">
        <v>5</v>
      </c>
      <c r="AC1288" s="39" t="s">
        <v>160</v>
      </c>
      <c r="AD1288" s="75" t="s">
        <v>10</v>
      </c>
      <c r="AE1288" s="95">
        <v>0</v>
      </c>
      <c r="AF1288" s="75">
        <v>0</v>
      </c>
      <c r="AG1288" s="75">
        <v>0</v>
      </c>
      <c r="AH1288" s="75">
        <v>0</v>
      </c>
      <c r="AI1288" s="75">
        <v>0</v>
      </c>
      <c r="AJ1288" s="75">
        <v>0</v>
      </c>
      <c r="AK1288" s="75">
        <v>0</v>
      </c>
      <c r="AL1288" s="95">
        <v>1</v>
      </c>
      <c r="AM1288" s="92">
        <v>0</v>
      </c>
      <c r="AN1288" s="79" t="s">
        <v>80</v>
      </c>
      <c r="AO1288" s="75">
        <v>1</v>
      </c>
      <c r="AP1288" s="75" t="s">
        <v>83</v>
      </c>
      <c r="AQ1288" s="122">
        <v>1</v>
      </c>
      <c r="AR1288" s="515" t="s">
        <v>10</v>
      </c>
      <c r="AS1288" s="95">
        <v>0</v>
      </c>
      <c r="AT1288" s="75">
        <v>0</v>
      </c>
      <c r="AU1288" s="75">
        <v>0</v>
      </c>
      <c r="AV1288" s="75">
        <v>0</v>
      </c>
      <c r="AW1288" s="123">
        <v>0</v>
      </c>
      <c r="AX1288" s="516" t="s">
        <v>2153</v>
      </c>
      <c r="AY1288" s="75">
        <v>1</v>
      </c>
      <c r="AZ1288" s="77" t="s">
        <v>131</v>
      </c>
      <c r="BA1288" s="78" t="s">
        <v>131</v>
      </c>
      <c r="BB1288" s="78" t="s">
        <v>131</v>
      </c>
      <c r="BC1288" s="78" t="s">
        <v>131</v>
      </c>
      <c r="BD1288" s="78" t="s">
        <v>131</v>
      </c>
      <c r="BE1288" s="78" t="s">
        <v>131</v>
      </c>
      <c r="BF1288" s="78" t="s">
        <v>131</v>
      </c>
      <c r="BG1288" s="78" t="s">
        <v>132</v>
      </c>
      <c r="BH1288" s="75" t="s">
        <v>5970</v>
      </c>
      <c r="BI1288" s="295" t="s">
        <v>16</v>
      </c>
      <c r="BJ1288" s="546">
        <v>1</v>
      </c>
      <c r="BK1288" s="294">
        <v>1</v>
      </c>
      <c r="BL1288" s="157">
        <v>1</v>
      </c>
      <c r="BM1288" s="548" t="s">
        <v>1341</v>
      </c>
      <c r="BN1288" s="548" t="s">
        <v>1339</v>
      </c>
      <c r="BO1288" s="157" t="s">
        <v>4652</v>
      </c>
      <c r="BP1288" s="548" t="s">
        <v>2241</v>
      </c>
      <c r="BQ1288" s="157" t="s">
        <v>4269</v>
      </c>
      <c r="BR1288" s="157"/>
    </row>
    <row r="1289" spans="1:70" x14ac:dyDescent="0.25">
      <c r="A1289" s="19" t="s">
        <v>3686</v>
      </c>
      <c r="B1289" s="37" t="s">
        <v>2154</v>
      </c>
      <c r="C1289" s="90">
        <v>44835.726805555554</v>
      </c>
      <c r="D1289" s="114">
        <v>44835.476805555554</v>
      </c>
      <c r="E1289" s="38">
        <v>44835</v>
      </c>
      <c r="F1289" s="91">
        <v>2022</v>
      </c>
      <c r="G1289" s="93">
        <v>10</v>
      </c>
      <c r="H1289" s="37" t="s">
        <v>475</v>
      </c>
      <c r="I1289" s="37"/>
      <c r="J1289" s="103">
        <v>-91.984996190380286</v>
      </c>
      <c r="K1289" s="40">
        <v>44.254289316054667</v>
      </c>
      <c r="L1289" s="74"/>
      <c r="M1289" s="272" t="s">
        <v>2155</v>
      </c>
      <c r="N1289" s="74">
        <v>1</v>
      </c>
      <c r="O1289" s="94"/>
      <c r="P1289" s="118">
        <v>1</v>
      </c>
      <c r="Q1289" s="510">
        <v>180</v>
      </c>
      <c r="R1289" s="513">
        <v>180</v>
      </c>
      <c r="S1289" s="41"/>
      <c r="T1289" s="40"/>
      <c r="U1289" s="40">
        <v>7.5</v>
      </c>
      <c r="V1289" s="119">
        <v>1</v>
      </c>
      <c r="W1289" s="40">
        <v>0</v>
      </c>
      <c r="X1289" s="119">
        <v>0</v>
      </c>
      <c r="Y1289" s="40"/>
      <c r="Z1289" s="119">
        <v>1</v>
      </c>
      <c r="AA1289" s="368">
        <v>0</v>
      </c>
      <c r="AB1289" s="535">
        <v>2</v>
      </c>
      <c r="AC1289" s="39" t="s">
        <v>160</v>
      </c>
      <c r="AD1289" s="75" t="s">
        <v>10</v>
      </c>
      <c r="AE1289" s="95">
        <v>0</v>
      </c>
      <c r="AF1289" s="75">
        <v>0</v>
      </c>
      <c r="AG1289" s="75">
        <v>0</v>
      </c>
      <c r="AH1289" s="75">
        <v>0</v>
      </c>
      <c r="AI1289" s="75">
        <v>0</v>
      </c>
      <c r="AJ1289" s="75">
        <v>0</v>
      </c>
      <c r="AK1289" s="75">
        <v>0</v>
      </c>
      <c r="AL1289" s="95">
        <v>1</v>
      </c>
      <c r="AM1289" s="92">
        <v>0</v>
      </c>
      <c r="AN1289" s="79" t="s">
        <v>81</v>
      </c>
      <c r="AO1289" s="75">
        <v>1</v>
      </c>
      <c r="AP1289" s="75" t="s">
        <v>84</v>
      </c>
      <c r="AQ1289" s="122">
        <v>1</v>
      </c>
      <c r="AR1289" s="515" t="s">
        <v>10</v>
      </c>
      <c r="AS1289" s="95">
        <v>0</v>
      </c>
      <c r="AT1289" s="75">
        <v>0</v>
      </c>
      <c r="AU1289" s="75">
        <v>0</v>
      </c>
      <c r="AV1289" s="75">
        <v>0</v>
      </c>
      <c r="AW1289" s="123">
        <v>0</v>
      </c>
      <c r="AX1289" s="516" t="s">
        <v>2156</v>
      </c>
      <c r="AY1289" s="75">
        <v>1</v>
      </c>
      <c r="AZ1289" s="77" t="s">
        <v>131</v>
      </c>
      <c r="BA1289" s="78" t="s">
        <v>131</v>
      </c>
      <c r="BB1289" s="78" t="s">
        <v>131</v>
      </c>
      <c r="BC1289" s="78" t="s">
        <v>131</v>
      </c>
      <c r="BD1289" s="78" t="s">
        <v>131</v>
      </c>
      <c r="BE1289" s="78" t="s">
        <v>131</v>
      </c>
      <c r="BF1289" s="78" t="s">
        <v>131</v>
      </c>
      <c r="BG1289" s="78" t="s">
        <v>132</v>
      </c>
      <c r="BH1289" s="75" t="s">
        <v>5970</v>
      </c>
      <c r="BI1289" s="295" t="s">
        <v>2241</v>
      </c>
      <c r="BJ1289" s="546">
        <v>1</v>
      </c>
      <c r="BK1289" s="294">
        <v>1</v>
      </c>
      <c r="BL1289" s="157">
        <v>1</v>
      </c>
      <c r="BM1289" s="548" t="s">
        <v>1341</v>
      </c>
      <c r="BN1289" s="548" t="s">
        <v>1339</v>
      </c>
      <c r="BO1289" s="157" t="s">
        <v>4652</v>
      </c>
      <c r="BP1289" s="548" t="s">
        <v>2241</v>
      </c>
      <c r="BQ1289" s="157" t="s">
        <v>4269</v>
      </c>
      <c r="BR1289" s="157"/>
    </row>
    <row r="1290" spans="1:70" x14ac:dyDescent="0.25">
      <c r="A1290" s="19" t="s">
        <v>3686</v>
      </c>
      <c r="B1290" s="37" t="s">
        <v>2157</v>
      </c>
      <c r="C1290" s="90">
        <v>44835.710590277777</v>
      </c>
      <c r="D1290" s="114">
        <v>44835.460590277777</v>
      </c>
      <c r="E1290" s="38">
        <v>44835</v>
      </c>
      <c r="F1290" s="91">
        <v>2022</v>
      </c>
      <c r="G1290" s="93">
        <v>10</v>
      </c>
      <c r="H1290" s="37" t="s">
        <v>475</v>
      </c>
      <c r="I1290" s="37"/>
      <c r="J1290" s="103">
        <v>-91.929843518968596</v>
      </c>
      <c r="K1290" s="40">
        <v>44.188769236248163</v>
      </c>
      <c r="L1290" s="74"/>
      <c r="M1290" s="272" t="s">
        <v>2158</v>
      </c>
      <c r="N1290" s="74">
        <v>1</v>
      </c>
      <c r="O1290" s="94"/>
      <c r="P1290" s="118">
        <v>1</v>
      </c>
      <c r="Q1290" s="510">
        <v>180</v>
      </c>
      <c r="R1290" s="513">
        <v>180</v>
      </c>
      <c r="S1290" s="41"/>
      <c r="T1290" s="40"/>
      <c r="U1290" s="40">
        <v>7</v>
      </c>
      <c r="V1290" s="119">
        <v>1</v>
      </c>
      <c r="W1290" s="40">
        <v>0</v>
      </c>
      <c r="X1290" s="119">
        <v>0</v>
      </c>
      <c r="Y1290" s="40"/>
      <c r="Z1290" s="119">
        <v>1</v>
      </c>
      <c r="AA1290" s="368">
        <v>0</v>
      </c>
      <c r="AB1290" s="535">
        <v>2</v>
      </c>
      <c r="AC1290" s="39" t="s">
        <v>160</v>
      </c>
      <c r="AD1290" s="75" t="s">
        <v>16</v>
      </c>
      <c r="AE1290" s="95">
        <v>-1</v>
      </c>
      <c r="AF1290" s="75">
        <v>-1</v>
      </c>
      <c r="AG1290" s="75">
        <v>-1</v>
      </c>
      <c r="AH1290" s="75">
        <v>-1</v>
      </c>
      <c r="AI1290" s="75">
        <v>-1</v>
      </c>
      <c r="AJ1290" s="75">
        <v>-1</v>
      </c>
      <c r="AK1290" s="75">
        <v>-1</v>
      </c>
      <c r="AL1290" s="95">
        <v>-1</v>
      </c>
      <c r="AM1290" s="92">
        <v>1</v>
      </c>
      <c r="AN1290" s="79" t="s">
        <v>80</v>
      </c>
      <c r="AO1290" s="75">
        <v>1</v>
      </c>
      <c r="AP1290" s="75" t="s">
        <v>83</v>
      </c>
      <c r="AQ1290" s="122">
        <v>1</v>
      </c>
      <c r="AR1290" s="515" t="s">
        <v>10</v>
      </c>
      <c r="AS1290" s="95">
        <v>0</v>
      </c>
      <c r="AT1290" s="75">
        <v>0</v>
      </c>
      <c r="AU1290" s="75">
        <v>0</v>
      </c>
      <c r="AV1290" s="75">
        <v>0</v>
      </c>
      <c r="AW1290" s="123">
        <v>0</v>
      </c>
      <c r="AX1290" s="516" t="s">
        <v>2159</v>
      </c>
      <c r="AY1290" s="75">
        <v>1</v>
      </c>
      <c r="AZ1290" s="77" t="s">
        <v>5971</v>
      </c>
      <c r="BA1290" s="78" t="s">
        <v>5971</v>
      </c>
      <c r="BB1290" s="78" t="s">
        <v>5971</v>
      </c>
      <c r="BC1290" s="78" t="s">
        <v>5971</v>
      </c>
      <c r="BD1290" s="78" t="s">
        <v>5971</v>
      </c>
      <c r="BE1290" s="78" t="s">
        <v>5971</v>
      </c>
      <c r="BF1290" s="78" t="s">
        <v>5971</v>
      </c>
      <c r="BG1290" s="78" t="s">
        <v>5971</v>
      </c>
      <c r="BH1290" s="75" t="s">
        <v>5971</v>
      </c>
      <c r="BI1290" s="295" t="s">
        <v>2254</v>
      </c>
      <c r="BJ1290" s="546">
        <v>1</v>
      </c>
      <c r="BK1290" s="294">
        <v>1</v>
      </c>
      <c r="BL1290" s="157">
        <v>1</v>
      </c>
      <c r="BM1290" s="548" t="s">
        <v>1341</v>
      </c>
      <c r="BN1290" s="548" t="s">
        <v>1339</v>
      </c>
      <c r="BO1290" s="157" t="s">
        <v>4655</v>
      </c>
      <c r="BP1290" s="548" t="s">
        <v>2254</v>
      </c>
      <c r="BQ1290" s="157" t="s">
        <v>4361</v>
      </c>
      <c r="BR1290" s="157"/>
    </row>
    <row r="1291" spans="1:70" x14ac:dyDescent="0.25">
      <c r="A1291" s="19" t="s">
        <v>3686</v>
      </c>
      <c r="B1291" s="37" t="s">
        <v>2160</v>
      </c>
      <c r="C1291" s="90">
        <v>44835.700115740743</v>
      </c>
      <c r="D1291" s="114">
        <v>44835.450115740743</v>
      </c>
      <c r="E1291" s="38">
        <v>44835</v>
      </c>
      <c r="F1291" s="91">
        <v>2022</v>
      </c>
      <c r="G1291" s="93">
        <v>10</v>
      </c>
      <c r="H1291" s="37" t="s">
        <v>1517</v>
      </c>
      <c r="I1291" s="37"/>
      <c r="J1291" s="103">
        <v>-91.5217898237414</v>
      </c>
      <c r="K1291" s="40">
        <v>44.773823521900049</v>
      </c>
      <c r="L1291" s="74"/>
      <c r="M1291" s="272" t="s">
        <v>16</v>
      </c>
      <c r="N1291" s="74">
        <v>0</v>
      </c>
      <c r="O1291" s="94"/>
      <c r="P1291" s="118">
        <v>1</v>
      </c>
      <c r="Q1291" s="510">
        <v>80</v>
      </c>
      <c r="R1291" s="513">
        <v>120</v>
      </c>
      <c r="S1291" s="41"/>
      <c r="T1291" s="40"/>
      <c r="U1291" s="40">
        <v>6</v>
      </c>
      <c r="V1291" s="119">
        <v>0</v>
      </c>
      <c r="W1291" s="40"/>
      <c r="X1291" s="119">
        <v>1</v>
      </c>
      <c r="Y1291" s="40">
        <v>54</v>
      </c>
      <c r="Z1291" s="119">
        <v>0</v>
      </c>
      <c r="AA1291" s="368" t="s">
        <v>16</v>
      </c>
      <c r="AB1291" s="535" t="s">
        <v>16</v>
      </c>
      <c r="AC1291" s="39" t="s">
        <v>160</v>
      </c>
      <c r="AD1291" s="75" t="s">
        <v>9</v>
      </c>
      <c r="AE1291" s="95">
        <v>0</v>
      </c>
      <c r="AF1291" s="75">
        <v>0</v>
      </c>
      <c r="AG1291" s="75">
        <v>1</v>
      </c>
      <c r="AH1291" s="75">
        <v>0</v>
      </c>
      <c r="AI1291" s="75">
        <v>0</v>
      </c>
      <c r="AJ1291" s="75">
        <v>0</v>
      </c>
      <c r="AK1291" s="75">
        <v>0</v>
      </c>
      <c r="AL1291" s="95">
        <v>0</v>
      </c>
      <c r="AM1291" s="92">
        <v>0</v>
      </c>
      <c r="AN1291" s="79" t="s">
        <v>80</v>
      </c>
      <c r="AO1291" s="75">
        <v>1</v>
      </c>
      <c r="AP1291" s="75" t="s">
        <v>83</v>
      </c>
      <c r="AQ1291" s="122">
        <v>1</v>
      </c>
      <c r="AR1291" s="515" t="s">
        <v>10</v>
      </c>
      <c r="AS1291" s="95">
        <v>0</v>
      </c>
      <c r="AT1291" s="75">
        <v>0</v>
      </c>
      <c r="AU1291" s="75">
        <v>0</v>
      </c>
      <c r="AV1291" s="75">
        <v>0</v>
      </c>
      <c r="AW1291" s="123">
        <v>0</v>
      </c>
      <c r="AX1291" s="516"/>
      <c r="AY1291" s="75">
        <v>0</v>
      </c>
      <c r="AZ1291" s="77" t="s">
        <v>131</v>
      </c>
      <c r="BA1291" s="78" t="s">
        <v>131</v>
      </c>
      <c r="BB1291" s="78" t="s">
        <v>132</v>
      </c>
      <c r="BC1291" s="78" t="s">
        <v>131</v>
      </c>
      <c r="BD1291" s="78" t="s">
        <v>131</v>
      </c>
      <c r="BE1291" s="78" t="s">
        <v>131</v>
      </c>
      <c r="BF1291" s="78" t="s">
        <v>131</v>
      </c>
      <c r="BG1291" s="78" t="s">
        <v>131</v>
      </c>
      <c r="BH1291" s="75" t="s">
        <v>5970</v>
      </c>
      <c r="BI1291" s="295" t="s">
        <v>2257</v>
      </c>
      <c r="BJ1291" s="546">
        <v>1</v>
      </c>
      <c r="BK1291" s="294" t="s">
        <v>16</v>
      </c>
      <c r="BL1291" s="157" t="s">
        <v>16</v>
      </c>
      <c r="BM1291" s="548" t="s">
        <v>1340</v>
      </c>
      <c r="BN1291" s="548" t="s">
        <v>2344</v>
      </c>
      <c r="BO1291" s="157" t="s">
        <v>4628</v>
      </c>
      <c r="BP1291" s="548" t="s">
        <v>4629</v>
      </c>
      <c r="BQ1291" s="157" t="s">
        <v>4627</v>
      </c>
      <c r="BR1291" s="157"/>
    </row>
    <row r="1292" spans="1:70" x14ac:dyDescent="0.25">
      <c r="A1292" s="19" t="s">
        <v>3686</v>
      </c>
      <c r="B1292" s="37" t="s">
        <v>2161</v>
      </c>
      <c r="C1292" s="90">
        <v>44835.694861111115</v>
      </c>
      <c r="D1292" s="114">
        <v>44835.444861111115</v>
      </c>
      <c r="E1292" s="38">
        <v>44835</v>
      </c>
      <c r="F1292" s="91">
        <v>2022</v>
      </c>
      <c r="G1292" s="93">
        <v>10</v>
      </c>
      <c r="H1292" s="37" t="s">
        <v>475</v>
      </c>
      <c r="I1292" s="37"/>
      <c r="J1292" s="103">
        <v>-91.946564745243606</v>
      </c>
      <c r="K1292" s="40">
        <v>44.22740540936983</v>
      </c>
      <c r="L1292" s="74"/>
      <c r="M1292" s="272" t="s">
        <v>16</v>
      </c>
      <c r="N1292" s="74">
        <v>0</v>
      </c>
      <c r="O1292" s="94"/>
      <c r="P1292" s="118">
        <v>1</v>
      </c>
      <c r="Q1292" s="510">
        <v>180</v>
      </c>
      <c r="R1292" s="513">
        <v>120</v>
      </c>
      <c r="S1292" s="41"/>
      <c r="T1292" s="40"/>
      <c r="U1292" s="40">
        <v>8</v>
      </c>
      <c r="V1292" s="119">
        <v>1</v>
      </c>
      <c r="W1292" s="40">
        <v>0</v>
      </c>
      <c r="X1292" s="119">
        <v>0</v>
      </c>
      <c r="Y1292" s="40"/>
      <c r="Z1292" s="119">
        <v>1</v>
      </c>
      <c r="AA1292" s="368">
        <v>0</v>
      </c>
      <c r="AB1292" s="535">
        <v>2</v>
      </c>
      <c r="AC1292" s="39" t="s">
        <v>160</v>
      </c>
      <c r="AD1292" s="75" t="s">
        <v>10</v>
      </c>
      <c r="AE1292" s="95">
        <v>0</v>
      </c>
      <c r="AF1292" s="75">
        <v>0</v>
      </c>
      <c r="AG1292" s="75">
        <v>0</v>
      </c>
      <c r="AH1292" s="75">
        <v>0</v>
      </c>
      <c r="AI1292" s="75">
        <v>0</v>
      </c>
      <c r="AJ1292" s="75">
        <v>0</v>
      </c>
      <c r="AK1292" s="75">
        <v>0</v>
      </c>
      <c r="AL1292" s="95">
        <v>1</v>
      </c>
      <c r="AM1292" s="92">
        <v>0</v>
      </c>
      <c r="AN1292" s="79" t="s">
        <v>16</v>
      </c>
      <c r="AO1292" s="75">
        <v>0</v>
      </c>
      <c r="AP1292" s="75" t="s">
        <v>83</v>
      </c>
      <c r="AQ1292" s="122">
        <v>1</v>
      </c>
      <c r="AR1292" s="515" t="s">
        <v>10</v>
      </c>
      <c r="AS1292" s="95">
        <v>0</v>
      </c>
      <c r="AT1292" s="75">
        <v>0</v>
      </c>
      <c r="AU1292" s="75">
        <v>0</v>
      </c>
      <c r="AV1292" s="75">
        <v>0</v>
      </c>
      <c r="AW1292" s="123">
        <v>0</v>
      </c>
      <c r="AX1292" s="516" t="s">
        <v>2162</v>
      </c>
      <c r="AY1292" s="75">
        <v>1</v>
      </c>
      <c r="AZ1292" s="77" t="s">
        <v>131</v>
      </c>
      <c r="BA1292" s="78" t="s">
        <v>131</v>
      </c>
      <c r="BB1292" s="78" t="s">
        <v>131</v>
      </c>
      <c r="BC1292" s="78" t="s">
        <v>131</v>
      </c>
      <c r="BD1292" s="78" t="s">
        <v>131</v>
      </c>
      <c r="BE1292" s="78" t="s">
        <v>131</v>
      </c>
      <c r="BF1292" s="78" t="s">
        <v>131</v>
      </c>
      <c r="BG1292" s="78" t="s">
        <v>132</v>
      </c>
      <c r="BH1292" s="75" t="s">
        <v>5970</v>
      </c>
      <c r="BI1292" s="295" t="s">
        <v>2256</v>
      </c>
      <c r="BJ1292" s="546">
        <v>1</v>
      </c>
      <c r="BK1292" s="294">
        <v>1</v>
      </c>
      <c r="BL1292" s="157">
        <v>1</v>
      </c>
      <c r="BM1292" s="548" t="s">
        <v>1341</v>
      </c>
      <c r="BN1292" s="548" t="s">
        <v>1339</v>
      </c>
      <c r="BO1292" s="157" t="s">
        <v>4507</v>
      </c>
      <c r="BP1292" s="548" t="s">
        <v>2256</v>
      </c>
      <c r="BQ1292" s="157" t="s">
        <v>4269</v>
      </c>
      <c r="BR1292" s="157"/>
    </row>
    <row r="1293" spans="1:70" x14ac:dyDescent="0.25">
      <c r="A1293" s="19" t="s">
        <v>3686</v>
      </c>
      <c r="B1293" s="37" t="s">
        <v>2163</v>
      </c>
      <c r="C1293" s="90">
        <v>44835.673333333332</v>
      </c>
      <c r="D1293" s="114">
        <v>44835.423333333332</v>
      </c>
      <c r="E1293" s="38">
        <v>44835</v>
      </c>
      <c r="F1293" s="91">
        <v>2022</v>
      </c>
      <c r="G1293" s="93">
        <v>10</v>
      </c>
      <c r="H1293" s="37" t="s">
        <v>475</v>
      </c>
      <c r="I1293" s="37"/>
      <c r="J1293" s="103">
        <v>-91.841229871000962</v>
      </c>
      <c r="K1293" s="40">
        <v>44.172375868115736</v>
      </c>
      <c r="L1293" s="74"/>
      <c r="M1293" s="272" t="s">
        <v>2164</v>
      </c>
      <c r="N1293" s="74">
        <v>1</v>
      </c>
      <c r="O1293" s="94"/>
      <c r="P1293" s="118">
        <v>1</v>
      </c>
      <c r="Q1293" s="510">
        <v>180</v>
      </c>
      <c r="R1293" s="513">
        <v>120</v>
      </c>
      <c r="S1293" s="41"/>
      <c r="T1293" s="40"/>
      <c r="U1293" s="40">
        <v>7</v>
      </c>
      <c r="V1293" s="119">
        <v>1</v>
      </c>
      <c r="W1293" s="40">
        <v>0</v>
      </c>
      <c r="X1293" s="119">
        <v>0</v>
      </c>
      <c r="Y1293" s="40"/>
      <c r="Z1293" s="119">
        <v>1</v>
      </c>
      <c r="AA1293" s="368">
        <v>0</v>
      </c>
      <c r="AB1293" s="535">
        <v>2</v>
      </c>
      <c r="AC1293" s="39" t="s">
        <v>160</v>
      </c>
      <c r="AD1293" s="75" t="s">
        <v>16</v>
      </c>
      <c r="AE1293" s="95">
        <v>-1</v>
      </c>
      <c r="AF1293" s="75">
        <v>-1</v>
      </c>
      <c r="AG1293" s="75">
        <v>-1</v>
      </c>
      <c r="AH1293" s="75">
        <v>-1</v>
      </c>
      <c r="AI1293" s="75">
        <v>-1</v>
      </c>
      <c r="AJ1293" s="75">
        <v>-1</v>
      </c>
      <c r="AK1293" s="75">
        <v>-1</v>
      </c>
      <c r="AL1293" s="95">
        <v>-1</v>
      </c>
      <c r="AM1293" s="92">
        <v>1</v>
      </c>
      <c r="AN1293" s="79" t="s">
        <v>80</v>
      </c>
      <c r="AO1293" s="75">
        <v>1</v>
      </c>
      <c r="AP1293" s="75" t="s">
        <v>83</v>
      </c>
      <c r="AQ1293" s="122">
        <v>1</v>
      </c>
      <c r="AR1293" s="515" t="s">
        <v>10</v>
      </c>
      <c r="AS1293" s="95">
        <v>0</v>
      </c>
      <c r="AT1293" s="75">
        <v>0</v>
      </c>
      <c r="AU1293" s="75">
        <v>0</v>
      </c>
      <c r="AV1293" s="75">
        <v>0</v>
      </c>
      <c r="AW1293" s="123">
        <v>0</v>
      </c>
      <c r="AX1293" s="516" t="s">
        <v>2165</v>
      </c>
      <c r="AY1293" s="75">
        <v>1</v>
      </c>
      <c r="AZ1293" s="77" t="s">
        <v>5971</v>
      </c>
      <c r="BA1293" s="78" t="s">
        <v>5971</v>
      </c>
      <c r="BB1293" s="78" t="s">
        <v>5971</v>
      </c>
      <c r="BC1293" s="78" t="s">
        <v>5971</v>
      </c>
      <c r="BD1293" s="78" t="s">
        <v>5971</v>
      </c>
      <c r="BE1293" s="78" t="s">
        <v>5971</v>
      </c>
      <c r="BF1293" s="78" t="s">
        <v>5971</v>
      </c>
      <c r="BG1293" s="78" t="s">
        <v>5971</v>
      </c>
      <c r="BH1293" s="75" t="s">
        <v>5971</v>
      </c>
      <c r="BI1293" s="295">
        <v>0</v>
      </c>
      <c r="BJ1293" s="546" t="s">
        <v>16</v>
      </c>
      <c r="BK1293" s="294" t="s">
        <v>16</v>
      </c>
      <c r="BL1293" s="157" t="s">
        <v>16</v>
      </c>
      <c r="BM1293" s="548" t="s">
        <v>1341</v>
      </c>
      <c r="BN1293" s="548" t="s">
        <v>1339</v>
      </c>
      <c r="BO1293" s="157" t="s">
        <v>4509</v>
      </c>
      <c r="BP1293" s="548" t="s">
        <v>4656</v>
      </c>
      <c r="BQ1293" s="157" t="s">
        <v>4269</v>
      </c>
      <c r="BR1293" s="157"/>
    </row>
    <row r="1294" spans="1:70" x14ac:dyDescent="0.25">
      <c r="A1294" s="19" t="s">
        <v>3686</v>
      </c>
      <c r="B1294" s="37" t="s">
        <v>2166</v>
      </c>
      <c r="C1294" s="90">
        <v>44835.617974537039</v>
      </c>
      <c r="D1294" s="114">
        <v>44835.367974537039</v>
      </c>
      <c r="E1294" s="38">
        <v>44835</v>
      </c>
      <c r="F1294" s="91">
        <v>2022</v>
      </c>
      <c r="G1294" s="93">
        <v>10</v>
      </c>
      <c r="H1294" s="37" t="s">
        <v>1391</v>
      </c>
      <c r="I1294" s="37" t="s">
        <v>960</v>
      </c>
      <c r="J1294" s="103">
        <v>-93.008986562577078</v>
      </c>
      <c r="K1294" s="40">
        <v>44.657236989629133</v>
      </c>
      <c r="L1294" s="74"/>
      <c r="M1294" s="272" t="s">
        <v>2167</v>
      </c>
      <c r="N1294" s="74">
        <v>1</v>
      </c>
      <c r="O1294" s="94"/>
      <c r="P1294" s="118">
        <v>1</v>
      </c>
      <c r="Q1294" s="510">
        <v>180</v>
      </c>
      <c r="R1294" s="513">
        <v>180</v>
      </c>
      <c r="S1294" s="41"/>
      <c r="T1294" s="40"/>
      <c r="U1294" s="40">
        <v>8</v>
      </c>
      <c r="V1294" s="119">
        <v>1</v>
      </c>
      <c r="W1294" s="40">
        <v>200</v>
      </c>
      <c r="X1294" s="119">
        <v>1</v>
      </c>
      <c r="Y1294" s="40">
        <v>55</v>
      </c>
      <c r="Z1294" s="119">
        <v>1</v>
      </c>
      <c r="AA1294" s="368">
        <v>0</v>
      </c>
      <c r="AB1294" s="535">
        <v>2</v>
      </c>
      <c r="AC1294" s="39" t="s">
        <v>16</v>
      </c>
      <c r="AD1294" s="75" t="s">
        <v>10</v>
      </c>
      <c r="AE1294" s="95">
        <v>0</v>
      </c>
      <c r="AF1294" s="75">
        <v>0</v>
      </c>
      <c r="AG1294" s="75">
        <v>0</v>
      </c>
      <c r="AH1294" s="75">
        <v>0</v>
      </c>
      <c r="AI1294" s="75">
        <v>0</v>
      </c>
      <c r="AJ1294" s="75">
        <v>0</v>
      </c>
      <c r="AK1294" s="75">
        <v>0</v>
      </c>
      <c r="AL1294" s="95">
        <v>1</v>
      </c>
      <c r="AM1294" s="92">
        <v>0</v>
      </c>
      <c r="AN1294" s="79" t="s">
        <v>81</v>
      </c>
      <c r="AO1294" s="75">
        <v>1</v>
      </c>
      <c r="AP1294" s="75" t="s">
        <v>83</v>
      </c>
      <c r="AQ1294" s="122">
        <v>1</v>
      </c>
      <c r="AR1294" s="515" t="s">
        <v>16</v>
      </c>
      <c r="AS1294" s="95">
        <v>-1</v>
      </c>
      <c r="AT1294" s="75">
        <v>-1</v>
      </c>
      <c r="AU1294" s="75">
        <v>-1</v>
      </c>
      <c r="AV1294" s="75">
        <v>-1</v>
      </c>
      <c r="AW1294" s="123">
        <v>1</v>
      </c>
      <c r="AX1294" s="516"/>
      <c r="AY1294" s="75">
        <v>0</v>
      </c>
      <c r="AZ1294" s="77" t="s">
        <v>131</v>
      </c>
      <c r="BA1294" s="78" t="s">
        <v>131</v>
      </c>
      <c r="BB1294" s="78" t="s">
        <v>131</v>
      </c>
      <c r="BC1294" s="78" t="s">
        <v>131</v>
      </c>
      <c r="BD1294" s="78" t="s">
        <v>131</v>
      </c>
      <c r="BE1294" s="78" t="s">
        <v>131</v>
      </c>
      <c r="BF1294" s="78" t="s">
        <v>131</v>
      </c>
      <c r="BG1294" s="78" t="s">
        <v>132</v>
      </c>
      <c r="BH1294" s="75" t="s">
        <v>5970</v>
      </c>
      <c r="BI1294" s="295" t="s">
        <v>2225</v>
      </c>
      <c r="BJ1294" s="546">
        <v>1</v>
      </c>
      <c r="BK1294" s="294" t="s">
        <v>16</v>
      </c>
      <c r="BL1294" s="157" t="s">
        <v>16</v>
      </c>
      <c r="BM1294" s="548" t="s">
        <v>2343</v>
      </c>
      <c r="BN1294" s="548" t="s">
        <v>4161</v>
      </c>
      <c r="BO1294" s="157" t="s">
        <v>4293</v>
      </c>
      <c r="BP1294" s="548" t="s">
        <v>2225</v>
      </c>
      <c r="BQ1294" s="157" t="s">
        <v>4292</v>
      </c>
      <c r="BR1294" s="157"/>
    </row>
    <row r="1295" spans="1:70" x14ac:dyDescent="0.25">
      <c r="A1295" s="19" t="s">
        <v>3686</v>
      </c>
      <c r="B1295" s="37" t="s">
        <v>2168</v>
      </c>
      <c r="C1295" s="90">
        <v>44834.999803240738</v>
      </c>
      <c r="D1295" s="114">
        <v>44834.749803240738</v>
      </c>
      <c r="E1295" s="38">
        <v>44834</v>
      </c>
      <c r="F1295" s="91">
        <v>2022</v>
      </c>
      <c r="G1295" s="93">
        <v>9</v>
      </c>
      <c r="H1295" s="37" t="s">
        <v>1433</v>
      </c>
      <c r="I1295" s="37"/>
      <c r="J1295" s="103">
        <v>-92.621350195345116</v>
      </c>
      <c r="K1295" s="40">
        <v>44.875102769625258</v>
      </c>
      <c r="L1295" s="74"/>
      <c r="M1295" s="272" t="s">
        <v>16</v>
      </c>
      <c r="N1295" s="74">
        <v>0</v>
      </c>
      <c r="O1295" s="94"/>
      <c r="P1295" s="118">
        <v>1</v>
      </c>
      <c r="Q1295" s="510">
        <v>120</v>
      </c>
      <c r="R1295" s="513">
        <v>120</v>
      </c>
      <c r="S1295" s="41"/>
      <c r="T1295" s="40"/>
      <c r="U1295" s="40">
        <v>7</v>
      </c>
      <c r="V1295" s="119">
        <v>1</v>
      </c>
      <c r="W1295" s="40">
        <v>0</v>
      </c>
      <c r="X1295" s="119">
        <v>1</v>
      </c>
      <c r="Y1295" s="40">
        <v>55</v>
      </c>
      <c r="Z1295" s="119">
        <v>1</v>
      </c>
      <c r="AA1295" s="368">
        <v>0</v>
      </c>
      <c r="AB1295" s="535">
        <v>5</v>
      </c>
      <c r="AC1295" s="39" t="s">
        <v>160</v>
      </c>
      <c r="AD1295" s="75" t="s">
        <v>10</v>
      </c>
      <c r="AE1295" s="95">
        <v>0</v>
      </c>
      <c r="AF1295" s="75">
        <v>0</v>
      </c>
      <c r="AG1295" s="75">
        <v>0</v>
      </c>
      <c r="AH1295" s="75">
        <v>0</v>
      </c>
      <c r="AI1295" s="75">
        <v>0</v>
      </c>
      <c r="AJ1295" s="75">
        <v>0</v>
      </c>
      <c r="AK1295" s="75">
        <v>0</v>
      </c>
      <c r="AL1295" s="95">
        <v>1</v>
      </c>
      <c r="AM1295" s="92">
        <v>0</v>
      </c>
      <c r="AN1295" s="79" t="s">
        <v>80</v>
      </c>
      <c r="AO1295" s="75">
        <v>1</v>
      </c>
      <c r="AP1295" s="75" t="s">
        <v>83</v>
      </c>
      <c r="AQ1295" s="122">
        <v>1</v>
      </c>
      <c r="AR1295" s="515" t="s">
        <v>10</v>
      </c>
      <c r="AS1295" s="95">
        <v>0</v>
      </c>
      <c r="AT1295" s="75">
        <v>0</v>
      </c>
      <c r="AU1295" s="75">
        <v>0</v>
      </c>
      <c r="AV1295" s="75">
        <v>0</v>
      </c>
      <c r="AW1295" s="123">
        <v>0</v>
      </c>
      <c r="AX1295" s="516" t="s">
        <v>2169</v>
      </c>
      <c r="AY1295" s="75">
        <v>1</v>
      </c>
      <c r="AZ1295" s="77" t="s">
        <v>131</v>
      </c>
      <c r="BA1295" s="78" t="s">
        <v>131</v>
      </c>
      <c r="BB1295" s="78" t="s">
        <v>131</v>
      </c>
      <c r="BC1295" s="78" t="s">
        <v>131</v>
      </c>
      <c r="BD1295" s="78" t="s">
        <v>131</v>
      </c>
      <c r="BE1295" s="78" t="s">
        <v>131</v>
      </c>
      <c r="BF1295" s="78" t="s">
        <v>131</v>
      </c>
      <c r="BG1295" s="78" t="s">
        <v>132</v>
      </c>
      <c r="BH1295" s="75" t="s">
        <v>5970</v>
      </c>
      <c r="BI1295" s="295" t="s">
        <v>2227</v>
      </c>
      <c r="BJ1295" s="546">
        <v>1</v>
      </c>
      <c r="BK1295" s="294" t="s">
        <v>16</v>
      </c>
      <c r="BL1295" s="157" t="s">
        <v>16</v>
      </c>
      <c r="BM1295" s="548" t="s">
        <v>578</v>
      </c>
      <c r="BN1295" s="548" t="s">
        <v>4159</v>
      </c>
      <c r="BO1295" s="157" t="s">
        <v>4311</v>
      </c>
      <c r="BP1295" s="548" t="s">
        <v>4395</v>
      </c>
      <c r="BQ1295" s="157" t="s">
        <v>4309</v>
      </c>
      <c r="BR1295" s="157"/>
    </row>
    <row r="1296" spans="1:70" x14ac:dyDescent="0.25">
      <c r="A1296" s="19" t="s">
        <v>3686</v>
      </c>
      <c r="B1296" s="37" t="s">
        <v>2170</v>
      </c>
      <c r="C1296" s="90">
        <v>44834.970150462963</v>
      </c>
      <c r="D1296" s="114">
        <v>44834.720150462963</v>
      </c>
      <c r="E1296" s="38">
        <v>44834</v>
      </c>
      <c r="F1296" s="91">
        <v>2022</v>
      </c>
      <c r="G1296" s="93">
        <v>9</v>
      </c>
      <c r="H1296" s="37" t="s">
        <v>1433</v>
      </c>
      <c r="I1296" s="37"/>
      <c r="J1296" s="103">
        <v>-92.641697181474996</v>
      </c>
      <c r="K1296" s="40">
        <v>44.849806940224809</v>
      </c>
      <c r="L1296" s="74"/>
      <c r="M1296" s="272" t="s">
        <v>16</v>
      </c>
      <c r="N1296" s="74">
        <v>0</v>
      </c>
      <c r="O1296" s="94"/>
      <c r="P1296" s="118">
        <v>1</v>
      </c>
      <c r="Q1296" s="510">
        <v>120</v>
      </c>
      <c r="R1296" s="513">
        <v>120</v>
      </c>
      <c r="S1296" s="41"/>
      <c r="T1296" s="40"/>
      <c r="U1296" s="40">
        <v>8</v>
      </c>
      <c r="V1296" s="119">
        <v>1</v>
      </c>
      <c r="W1296" s="40">
        <v>100</v>
      </c>
      <c r="X1296" s="119">
        <v>1</v>
      </c>
      <c r="Y1296" s="40">
        <v>56</v>
      </c>
      <c r="Z1296" s="119">
        <v>1</v>
      </c>
      <c r="AA1296" s="368">
        <v>0</v>
      </c>
      <c r="AB1296" s="535">
        <v>5</v>
      </c>
      <c r="AC1296" s="39" t="s">
        <v>160</v>
      </c>
      <c r="AD1296" s="75" t="s">
        <v>10</v>
      </c>
      <c r="AE1296" s="95">
        <v>0</v>
      </c>
      <c r="AF1296" s="75">
        <v>0</v>
      </c>
      <c r="AG1296" s="75">
        <v>0</v>
      </c>
      <c r="AH1296" s="75">
        <v>0</v>
      </c>
      <c r="AI1296" s="75">
        <v>0</v>
      </c>
      <c r="AJ1296" s="75">
        <v>0</v>
      </c>
      <c r="AK1296" s="75">
        <v>0</v>
      </c>
      <c r="AL1296" s="95">
        <v>1</v>
      </c>
      <c r="AM1296" s="92">
        <v>0</v>
      </c>
      <c r="AN1296" s="79" t="s">
        <v>80</v>
      </c>
      <c r="AO1296" s="75">
        <v>1</v>
      </c>
      <c r="AP1296" s="75" t="s">
        <v>83</v>
      </c>
      <c r="AQ1296" s="122">
        <v>1</v>
      </c>
      <c r="AR1296" s="515" t="s">
        <v>10</v>
      </c>
      <c r="AS1296" s="95">
        <v>0</v>
      </c>
      <c r="AT1296" s="75">
        <v>0</v>
      </c>
      <c r="AU1296" s="75">
        <v>0</v>
      </c>
      <c r="AV1296" s="75">
        <v>0</v>
      </c>
      <c r="AW1296" s="123">
        <v>0</v>
      </c>
      <c r="AX1296" s="516" t="s">
        <v>2171</v>
      </c>
      <c r="AY1296" s="75">
        <v>1</v>
      </c>
      <c r="AZ1296" s="77" t="s">
        <v>131</v>
      </c>
      <c r="BA1296" s="78" t="s">
        <v>131</v>
      </c>
      <c r="BB1296" s="78" t="s">
        <v>131</v>
      </c>
      <c r="BC1296" s="78" t="s">
        <v>131</v>
      </c>
      <c r="BD1296" s="78" t="s">
        <v>131</v>
      </c>
      <c r="BE1296" s="78" t="s">
        <v>131</v>
      </c>
      <c r="BF1296" s="78" t="s">
        <v>131</v>
      </c>
      <c r="BG1296" s="78" t="s">
        <v>132</v>
      </c>
      <c r="BH1296" s="75" t="s">
        <v>5970</v>
      </c>
      <c r="BI1296" s="295" t="s">
        <v>2227</v>
      </c>
      <c r="BJ1296" s="546">
        <v>1</v>
      </c>
      <c r="BK1296" s="294">
        <v>1</v>
      </c>
      <c r="BL1296" s="157">
        <v>1</v>
      </c>
      <c r="BM1296" s="548" t="s">
        <v>578</v>
      </c>
      <c r="BN1296" s="548" t="s">
        <v>4159</v>
      </c>
      <c r="BO1296" s="157" t="s">
        <v>4341</v>
      </c>
      <c r="BP1296" s="548" t="s">
        <v>4343</v>
      </c>
      <c r="BQ1296" s="157" t="s">
        <v>4309</v>
      </c>
      <c r="BR1296" s="157"/>
    </row>
    <row r="1297" spans="1:70" x14ac:dyDescent="0.25">
      <c r="A1297" s="19" t="s">
        <v>3686</v>
      </c>
      <c r="B1297" s="37" t="s">
        <v>2172</v>
      </c>
      <c r="C1297" s="90">
        <v>44834.947314814817</v>
      </c>
      <c r="D1297" s="114">
        <v>44834.697314814817</v>
      </c>
      <c r="E1297" s="38">
        <v>44834</v>
      </c>
      <c r="F1297" s="91">
        <v>2022</v>
      </c>
      <c r="G1297" s="93">
        <v>9</v>
      </c>
      <c r="H1297" s="37" t="s">
        <v>1433</v>
      </c>
      <c r="I1297" s="37"/>
      <c r="J1297" s="103">
        <v>-92.644083593126979</v>
      </c>
      <c r="K1297" s="40">
        <v>44.84431821857099</v>
      </c>
      <c r="L1297" s="74"/>
      <c r="M1297" s="272" t="s">
        <v>16</v>
      </c>
      <c r="N1297" s="74">
        <v>0</v>
      </c>
      <c r="O1297" s="94"/>
      <c r="P1297" s="118">
        <v>1</v>
      </c>
      <c r="Q1297" s="510">
        <v>180</v>
      </c>
      <c r="R1297" s="513">
        <v>180</v>
      </c>
      <c r="S1297" s="41"/>
      <c r="T1297" s="40"/>
      <c r="U1297" s="40">
        <v>7.5</v>
      </c>
      <c r="V1297" s="119">
        <v>1</v>
      </c>
      <c r="W1297" s="40">
        <v>100</v>
      </c>
      <c r="X1297" s="119">
        <v>1</v>
      </c>
      <c r="Y1297" s="40">
        <v>57</v>
      </c>
      <c r="Z1297" s="119">
        <v>1</v>
      </c>
      <c r="AA1297" s="368">
        <v>0</v>
      </c>
      <c r="AB1297" s="535">
        <v>5</v>
      </c>
      <c r="AC1297" s="39" t="s">
        <v>160</v>
      </c>
      <c r="AD1297" s="75" t="s">
        <v>10</v>
      </c>
      <c r="AE1297" s="95">
        <v>0</v>
      </c>
      <c r="AF1297" s="75">
        <v>0</v>
      </c>
      <c r="AG1297" s="75">
        <v>0</v>
      </c>
      <c r="AH1297" s="75">
        <v>0</v>
      </c>
      <c r="AI1297" s="75">
        <v>0</v>
      </c>
      <c r="AJ1297" s="75">
        <v>0</v>
      </c>
      <c r="AK1297" s="75">
        <v>0</v>
      </c>
      <c r="AL1297" s="95">
        <v>1</v>
      </c>
      <c r="AM1297" s="92">
        <v>0</v>
      </c>
      <c r="AN1297" s="79" t="s">
        <v>80</v>
      </c>
      <c r="AO1297" s="75">
        <v>1</v>
      </c>
      <c r="AP1297" s="75" t="s">
        <v>83</v>
      </c>
      <c r="AQ1297" s="122">
        <v>1</v>
      </c>
      <c r="AR1297" s="515" t="s">
        <v>10</v>
      </c>
      <c r="AS1297" s="95">
        <v>0</v>
      </c>
      <c r="AT1297" s="75">
        <v>0</v>
      </c>
      <c r="AU1297" s="75">
        <v>0</v>
      </c>
      <c r="AV1297" s="75">
        <v>0</v>
      </c>
      <c r="AW1297" s="123">
        <v>0</v>
      </c>
      <c r="AX1297" s="516" t="s">
        <v>2173</v>
      </c>
      <c r="AY1297" s="75">
        <v>1</v>
      </c>
      <c r="AZ1297" s="77" t="s">
        <v>131</v>
      </c>
      <c r="BA1297" s="78" t="s">
        <v>131</v>
      </c>
      <c r="BB1297" s="78" t="s">
        <v>131</v>
      </c>
      <c r="BC1297" s="78" t="s">
        <v>131</v>
      </c>
      <c r="BD1297" s="78" t="s">
        <v>131</v>
      </c>
      <c r="BE1297" s="78" t="s">
        <v>131</v>
      </c>
      <c r="BF1297" s="78" t="s">
        <v>131</v>
      </c>
      <c r="BG1297" s="78" t="s">
        <v>132</v>
      </c>
      <c r="BH1297" s="75" t="s">
        <v>5970</v>
      </c>
      <c r="BI1297" s="295" t="s">
        <v>2227</v>
      </c>
      <c r="BJ1297" s="546">
        <v>1</v>
      </c>
      <c r="BK1297" s="294" t="s">
        <v>16</v>
      </c>
      <c r="BL1297" s="157" t="s">
        <v>16</v>
      </c>
      <c r="BM1297" s="548" t="s">
        <v>578</v>
      </c>
      <c r="BN1297" s="548" t="s">
        <v>4159</v>
      </c>
      <c r="BO1297" s="157" t="s">
        <v>4341</v>
      </c>
      <c r="BP1297" s="548" t="s">
        <v>4343</v>
      </c>
      <c r="BQ1297" s="157" t="s">
        <v>4309</v>
      </c>
      <c r="BR1297" s="157"/>
    </row>
    <row r="1298" spans="1:70" x14ac:dyDescent="0.25">
      <c r="A1298" s="19" t="s">
        <v>3686</v>
      </c>
      <c r="B1298" s="37" t="s">
        <v>2174</v>
      </c>
      <c r="C1298" s="90">
        <v>44834.910243055558</v>
      </c>
      <c r="D1298" s="114">
        <v>44834.660243055558</v>
      </c>
      <c r="E1298" s="38">
        <v>44834</v>
      </c>
      <c r="F1298" s="91">
        <v>2022</v>
      </c>
      <c r="G1298" s="93">
        <v>9</v>
      </c>
      <c r="H1298" s="37" t="s">
        <v>1433</v>
      </c>
      <c r="I1298" s="37"/>
      <c r="J1298" s="103">
        <v>-92.732080835935406</v>
      </c>
      <c r="K1298" s="40">
        <v>44.83107950542572</v>
      </c>
      <c r="L1298" s="74"/>
      <c r="M1298" s="272" t="s">
        <v>16</v>
      </c>
      <c r="N1298" s="74">
        <v>0</v>
      </c>
      <c r="O1298" s="94"/>
      <c r="P1298" s="118">
        <v>1</v>
      </c>
      <c r="Q1298" s="510">
        <v>180</v>
      </c>
      <c r="R1298" s="513">
        <v>120</v>
      </c>
      <c r="S1298" s="41"/>
      <c r="T1298" s="40"/>
      <c r="U1298" s="40">
        <v>8</v>
      </c>
      <c r="V1298" s="119">
        <v>1</v>
      </c>
      <c r="W1298" s="40">
        <v>0</v>
      </c>
      <c r="X1298" s="119">
        <v>1</v>
      </c>
      <c r="Y1298" s="40">
        <v>57</v>
      </c>
      <c r="Z1298" s="119">
        <v>1</v>
      </c>
      <c r="AA1298" s="368">
        <v>0</v>
      </c>
      <c r="AB1298" s="535">
        <v>5</v>
      </c>
      <c r="AC1298" s="39" t="s">
        <v>160</v>
      </c>
      <c r="AD1298" s="75" t="s">
        <v>10</v>
      </c>
      <c r="AE1298" s="95">
        <v>0</v>
      </c>
      <c r="AF1298" s="75">
        <v>0</v>
      </c>
      <c r="AG1298" s="75">
        <v>0</v>
      </c>
      <c r="AH1298" s="75">
        <v>0</v>
      </c>
      <c r="AI1298" s="75">
        <v>0</v>
      </c>
      <c r="AJ1298" s="75">
        <v>0</v>
      </c>
      <c r="AK1298" s="75">
        <v>0</v>
      </c>
      <c r="AL1298" s="95">
        <v>1</v>
      </c>
      <c r="AM1298" s="92">
        <v>0</v>
      </c>
      <c r="AN1298" s="79" t="s">
        <v>80</v>
      </c>
      <c r="AO1298" s="75">
        <v>1</v>
      </c>
      <c r="AP1298" s="75" t="s">
        <v>83</v>
      </c>
      <c r="AQ1298" s="122">
        <v>1</v>
      </c>
      <c r="AR1298" s="515" t="s">
        <v>10</v>
      </c>
      <c r="AS1298" s="95">
        <v>0</v>
      </c>
      <c r="AT1298" s="75">
        <v>0</v>
      </c>
      <c r="AU1298" s="75">
        <v>0</v>
      </c>
      <c r="AV1298" s="75">
        <v>0</v>
      </c>
      <c r="AW1298" s="123">
        <v>0</v>
      </c>
      <c r="AX1298" s="516" t="s">
        <v>2175</v>
      </c>
      <c r="AY1298" s="75">
        <v>1</v>
      </c>
      <c r="AZ1298" s="77" t="s">
        <v>131</v>
      </c>
      <c r="BA1298" s="78" t="s">
        <v>131</v>
      </c>
      <c r="BB1298" s="78" t="s">
        <v>131</v>
      </c>
      <c r="BC1298" s="78" t="s">
        <v>131</v>
      </c>
      <c r="BD1298" s="78" t="s">
        <v>131</v>
      </c>
      <c r="BE1298" s="78" t="s">
        <v>131</v>
      </c>
      <c r="BF1298" s="78" t="s">
        <v>131</v>
      </c>
      <c r="BG1298" s="78" t="s">
        <v>132</v>
      </c>
      <c r="BH1298" s="75" t="s">
        <v>5970</v>
      </c>
      <c r="BI1298" s="295" t="s">
        <v>2227</v>
      </c>
      <c r="BJ1298" s="546">
        <v>1</v>
      </c>
      <c r="BK1298" s="294" t="s">
        <v>16</v>
      </c>
      <c r="BL1298" s="157" t="s">
        <v>16</v>
      </c>
      <c r="BM1298" s="548" t="s">
        <v>578</v>
      </c>
      <c r="BN1298" s="548" t="s">
        <v>4159</v>
      </c>
      <c r="BO1298" s="157" t="s">
        <v>4341</v>
      </c>
      <c r="BP1298" s="548" t="s">
        <v>4343</v>
      </c>
      <c r="BQ1298" s="157" t="s">
        <v>4309</v>
      </c>
      <c r="BR1298" s="157"/>
    </row>
    <row r="1299" spans="1:70" x14ac:dyDescent="0.25">
      <c r="A1299" s="19" t="s">
        <v>3686</v>
      </c>
      <c r="B1299" s="37" t="s">
        <v>2176</v>
      </c>
      <c r="C1299" s="90">
        <v>44834.886342592596</v>
      </c>
      <c r="D1299" s="114">
        <v>44834.636342592596</v>
      </c>
      <c r="E1299" s="38">
        <v>44834</v>
      </c>
      <c r="F1299" s="91">
        <v>2022</v>
      </c>
      <c r="G1299" s="93">
        <v>9</v>
      </c>
      <c r="H1299" s="37" t="s">
        <v>1491</v>
      </c>
      <c r="I1299" s="37"/>
      <c r="J1299" s="103">
        <v>-92.624045800000005</v>
      </c>
      <c r="K1299" s="40">
        <v>44.8640683</v>
      </c>
      <c r="L1299" s="74"/>
      <c r="M1299" s="272" t="s">
        <v>16</v>
      </c>
      <c r="N1299" s="74">
        <v>0</v>
      </c>
      <c r="O1299" s="94"/>
      <c r="P1299" s="118">
        <v>1</v>
      </c>
      <c r="Q1299" s="510">
        <v>80</v>
      </c>
      <c r="R1299" s="513">
        <v>120</v>
      </c>
      <c r="S1299" s="41"/>
      <c r="T1299" s="40"/>
      <c r="U1299" s="40">
        <v>7</v>
      </c>
      <c r="V1299" s="119">
        <v>1</v>
      </c>
      <c r="W1299" s="40">
        <v>100</v>
      </c>
      <c r="X1299" s="119">
        <v>1</v>
      </c>
      <c r="Y1299" s="40">
        <v>53</v>
      </c>
      <c r="Z1299" s="119">
        <v>1</v>
      </c>
      <c r="AA1299" s="368">
        <v>0</v>
      </c>
      <c r="AB1299" s="535">
        <v>5</v>
      </c>
      <c r="AC1299" s="39" t="s">
        <v>160</v>
      </c>
      <c r="AD1299" s="75" t="s">
        <v>803</v>
      </c>
      <c r="AE1299" s="95">
        <v>0</v>
      </c>
      <c r="AF1299" s="75">
        <v>1</v>
      </c>
      <c r="AG1299" s="75">
        <v>1</v>
      </c>
      <c r="AH1299" s="75">
        <v>1</v>
      </c>
      <c r="AI1299" s="75">
        <v>0</v>
      </c>
      <c r="AJ1299" s="75">
        <v>0</v>
      </c>
      <c r="AK1299" s="75">
        <v>0</v>
      </c>
      <c r="AL1299" s="95">
        <v>0</v>
      </c>
      <c r="AM1299" s="92">
        <v>0</v>
      </c>
      <c r="AN1299" s="79" t="s">
        <v>80</v>
      </c>
      <c r="AO1299" s="75">
        <v>1</v>
      </c>
      <c r="AP1299" s="75" t="s">
        <v>83</v>
      </c>
      <c r="AQ1299" s="122">
        <v>1</v>
      </c>
      <c r="AR1299" s="515" t="s">
        <v>10</v>
      </c>
      <c r="AS1299" s="95">
        <v>0</v>
      </c>
      <c r="AT1299" s="75">
        <v>0</v>
      </c>
      <c r="AU1299" s="75">
        <v>0</v>
      </c>
      <c r="AV1299" s="75">
        <v>0</v>
      </c>
      <c r="AW1299" s="123">
        <v>0</v>
      </c>
      <c r="AX1299" s="516"/>
      <c r="AY1299" s="75">
        <v>0</v>
      </c>
      <c r="AZ1299" s="77" t="s">
        <v>131</v>
      </c>
      <c r="BA1299" s="78" t="s">
        <v>132</v>
      </c>
      <c r="BB1299" s="78" t="s">
        <v>132</v>
      </c>
      <c r="BC1299" s="78" t="s">
        <v>132</v>
      </c>
      <c r="BD1299" s="78" t="s">
        <v>131</v>
      </c>
      <c r="BE1299" s="78" t="s">
        <v>131</v>
      </c>
      <c r="BF1299" s="78" t="s">
        <v>131</v>
      </c>
      <c r="BG1299" s="78" t="s">
        <v>131</v>
      </c>
      <c r="BH1299" s="75" t="s">
        <v>5970</v>
      </c>
      <c r="BI1299" s="295" t="s">
        <v>2227</v>
      </c>
      <c r="BJ1299" s="546">
        <v>1</v>
      </c>
      <c r="BK1299" s="294" t="s">
        <v>16</v>
      </c>
      <c r="BL1299" s="157" t="s">
        <v>16</v>
      </c>
      <c r="BM1299" s="548" t="s">
        <v>578</v>
      </c>
      <c r="BN1299" s="548" t="s">
        <v>4159</v>
      </c>
      <c r="BO1299" s="157" t="s">
        <v>4311</v>
      </c>
      <c r="BP1299" s="548" t="s">
        <v>4395</v>
      </c>
      <c r="BQ1299" s="157" t="s">
        <v>4309</v>
      </c>
      <c r="BR1299" s="157"/>
    </row>
    <row r="1300" spans="1:70" x14ac:dyDescent="0.25">
      <c r="A1300" s="19" t="s">
        <v>3686</v>
      </c>
      <c r="B1300" s="37" t="s">
        <v>2177</v>
      </c>
      <c r="C1300" s="90">
        <v>44834.866828703707</v>
      </c>
      <c r="D1300" s="114">
        <v>44834.616828703707</v>
      </c>
      <c r="E1300" s="38">
        <v>44834</v>
      </c>
      <c r="F1300" s="91">
        <v>2022</v>
      </c>
      <c r="G1300" s="93">
        <v>9</v>
      </c>
      <c r="H1300" s="37" t="s">
        <v>1491</v>
      </c>
      <c r="I1300" s="37" t="s">
        <v>146</v>
      </c>
      <c r="J1300" s="103">
        <v>-92.636501300000006</v>
      </c>
      <c r="K1300" s="40">
        <v>44.854574499999998</v>
      </c>
      <c r="L1300" s="74"/>
      <c r="M1300" s="272" t="s">
        <v>16</v>
      </c>
      <c r="N1300" s="74">
        <v>0</v>
      </c>
      <c r="O1300" s="94"/>
      <c r="P1300" s="118">
        <v>0</v>
      </c>
      <c r="Q1300" s="510"/>
      <c r="R1300" s="513"/>
      <c r="S1300" s="41"/>
      <c r="T1300" s="40"/>
      <c r="U1300" s="40"/>
      <c r="V1300" s="119">
        <v>0</v>
      </c>
      <c r="W1300" s="40"/>
      <c r="X1300" s="119">
        <v>0</v>
      </c>
      <c r="Y1300" s="40"/>
      <c r="Z1300" s="119">
        <v>0</v>
      </c>
      <c r="AA1300" s="368" t="s">
        <v>16</v>
      </c>
      <c r="AB1300" s="535" t="s">
        <v>16</v>
      </c>
      <c r="AC1300" s="39"/>
      <c r="AD1300" s="75" t="s">
        <v>16</v>
      </c>
      <c r="AE1300" s="95">
        <v>-1</v>
      </c>
      <c r="AF1300" s="75">
        <v>-1</v>
      </c>
      <c r="AG1300" s="75">
        <v>-1</v>
      </c>
      <c r="AH1300" s="75">
        <v>-1</v>
      </c>
      <c r="AI1300" s="75">
        <v>-1</v>
      </c>
      <c r="AJ1300" s="75">
        <v>-1</v>
      </c>
      <c r="AK1300" s="75">
        <v>-1</v>
      </c>
      <c r="AL1300" s="95">
        <v>-1</v>
      </c>
      <c r="AM1300" s="92">
        <v>1</v>
      </c>
      <c r="AN1300" s="79"/>
      <c r="AO1300" s="75">
        <v>0</v>
      </c>
      <c r="AP1300" s="75"/>
      <c r="AQ1300" s="122">
        <v>0</v>
      </c>
      <c r="AR1300" s="515" t="s">
        <v>16</v>
      </c>
      <c r="AS1300" s="95">
        <v>-1</v>
      </c>
      <c r="AT1300" s="75">
        <v>-1</v>
      </c>
      <c r="AU1300" s="75">
        <v>-1</v>
      </c>
      <c r="AV1300" s="75">
        <v>-1</v>
      </c>
      <c r="AW1300" s="123">
        <v>1</v>
      </c>
      <c r="AX1300" s="516" t="s">
        <v>2178</v>
      </c>
      <c r="AY1300" s="75">
        <v>1</v>
      </c>
      <c r="AZ1300" s="77" t="s">
        <v>5971</v>
      </c>
      <c r="BA1300" s="78" t="s">
        <v>5971</v>
      </c>
      <c r="BB1300" s="78" t="s">
        <v>5971</v>
      </c>
      <c r="BC1300" s="78" t="s">
        <v>5971</v>
      </c>
      <c r="BD1300" s="78" t="s">
        <v>5971</v>
      </c>
      <c r="BE1300" s="78" t="s">
        <v>5971</v>
      </c>
      <c r="BF1300" s="78" t="s">
        <v>5971</v>
      </c>
      <c r="BG1300" s="78" t="s">
        <v>5971</v>
      </c>
      <c r="BH1300" s="75" t="s">
        <v>5971</v>
      </c>
      <c r="BI1300" s="295" t="s">
        <v>2227</v>
      </c>
      <c r="BJ1300" s="546">
        <v>1</v>
      </c>
      <c r="BK1300" s="294">
        <v>1</v>
      </c>
      <c r="BL1300" s="157">
        <v>1</v>
      </c>
      <c r="BM1300" s="548" t="s">
        <v>578</v>
      </c>
      <c r="BN1300" s="548" t="s">
        <v>4159</v>
      </c>
      <c r="BO1300" s="157" t="s">
        <v>4341</v>
      </c>
      <c r="BP1300" s="548" t="s">
        <v>4343</v>
      </c>
      <c r="BQ1300" s="157" t="s">
        <v>4309</v>
      </c>
      <c r="BR1300" s="157"/>
    </row>
    <row r="1301" spans="1:70" x14ac:dyDescent="0.25">
      <c r="A1301" s="19" t="s">
        <v>3686</v>
      </c>
      <c r="B1301" s="37" t="s">
        <v>2179</v>
      </c>
      <c r="C1301" s="90">
        <v>44834.853703703702</v>
      </c>
      <c r="D1301" s="114">
        <v>44834.603703703702</v>
      </c>
      <c r="E1301" s="38">
        <v>44834</v>
      </c>
      <c r="F1301" s="91">
        <v>2022</v>
      </c>
      <c r="G1301" s="93">
        <v>9</v>
      </c>
      <c r="H1301" s="37" t="s">
        <v>1491</v>
      </c>
      <c r="I1301" s="37"/>
      <c r="J1301" s="103">
        <v>-92.637304799999995</v>
      </c>
      <c r="K1301" s="40">
        <v>44.852792999999998</v>
      </c>
      <c r="L1301" s="74"/>
      <c r="M1301" s="272" t="s">
        <v>16</v>
      </c>
      <c r="N1301" s="74">
        <v>0</v>
      </c>
      <c r="O1301" s="94"/>
      <c r="P1301" s="118">
        <v>1</v>
      </c>
      <c r="Q1301" s="510">
        <v>40</v>
      </c>
      <c r="R1301" s="513">
        <v>0</v>
      </c>
      <c r="S1301" s="41"/>
      <c r="T1301" s="40"/>
      <c r="U1301" s="40">
        <v>7.5</v>
      </c>
      <c r="V1301" s="119">
        <v>1</v>
      </c>
      <c r="W1301" s="40">
        <v>0</v>
      </c>
      <c r="X1301" s="119">
        <v>1</v>
      </c>
      <c r="Y1301" s="40">
        <v>55</v>
      </c>
      <c r="Z1301" s="119">
        <v>1</v>
      </c>
      <c r="AA1301" s="368">
        <v>0</v>
      </c>
      <c r="AB1301" s="535">
        <v>5</v>
      </c>
      <c r="AC1301" s="39" t="s">
        <v>160</v>
      </c>
      <c r="AD1301" s="75" t="s">
        <v>365</v>
      </c>
      <c r="AE1301" s="95">
        <v>0</v>
      </c>
      <c r="AF1301" s="75">
        <v>1</v>
      </c>
      <c r="AG1301" s="75">
        <v>1</v>
      </c>
      <c r="AH1301" s="75">
        <v>0</v>
      </c>
      <c r="AI1301" s="75">
        <v>0</v>
      </c>
      <c r="AJ1301" s="75">
        <v>0</v>
      </c>
      <c r="AK1301" s="75">
        <v>0</v>
      </c>
      <c r="AL1301" s="95">
        <v>0</v>
      </c>
      <c r="AM1301" s="92">
        <v>0</v>
      </c>
      <c r="AN1301" s="79" t="s">
        <v>80</v>
      </c>
      <c r="AO1301" s="75">
        <v>1</v>
      </c>
      <c r="AP1301" s="75" t="s">
        <v>83</v>
      </c>
      <c r="AQ1301" s="122">
        <v>1</v>
      </c>
      <c r="AR1301" s="515" t="s">
        <v>10</v>
      </c>
      <c r="AS1301" s="95">
        <v>0</v>
      </c>
      <c r="AT1301" s="75">
        <v>0</v>
      </c>
      <c r="AU1301" s="75">
        <v>0</v>
      </c>
      <c r="AV1301" s="75">
        <v>0</v>
      </c>
      <c r="AW1301" s="123">
        <v>0</v>
      </c>
      <c r="AX1301" s="516" t="s">
        <v>16</v>
      </c>
      <c r="AY1301" s="75">
        <v>0</v>
      </c>
      <c r="AZ1301" s="77" t="s">
        <v>131</v>
      </c>
      <c r="BA1301" s="78" t="s">
        <v>132</v>
      </c>
      <c r="BB1301" s="78" t="s">
        <v>132</v>
      </c>
      <c r="BC1301" s="78" t="s">
        <v>131</v>
      </c>
      <c r="BD1301" s="78" t="s">
        <v>131</v>
      </c>
      <c r="BE1301" s="78" t="s">
        <v>131</v>
      </c>
      <c r="BF1301" s="78" t="s">
        <v>131</v>
      </c>
      <c r="BG1301" s="78" t="s">
        <v>131</v>
      </c>
      <c r="BH1301" s="75" t="s">
        <v>5970</v>
      </c>
      <c r="BI1301" s="295" t="s">
        <v>2227</v>
      </c>
      <c r="BJ1301" s="546">
        <v>1</v>
      </c>
      <c r="BK1301" s="294">
        <v>1</v>
      </c>
      <c r="BL1301" s="157">
        <v>1</v>
      </c>
      <c r="BM1301" s="548" t="s">
        <v>578</v>
      </c>
      <c r="BN1301" s="548" t="s">
        <v>4159</v>
      </c>
      <c r="BO1301" s="157" t="s">
        <v>4341</v>
      </c>
      <c r="BP1301" s="548" t="s">
        <v>4343</v>
      </c>
      <c r="BQ1301" s="157" t="s">
        <v>4309</v>
      </c>
      <c r="BR1301" s="157"/>
    </row>
    <row r="1302" spans="1:70" x14ac:dyDescent="0.25">
      <c r="A1302" s="19" t="s">
        <v>3686</v>
      </c>
      <c r="B1302" s="37" t="s">
        <v>2180</v>
      </c>
      <c r="C1302" s="90">
        <v>44834.845277777778</v>
      </c>
      <c r="D1302" s="114">
        <v>44834.595277777778</v>
      </c>
      <c r="E1302" s="38">
        <v>44834</v>
      </c>
      <c r="F1302" s="91">
        <v>2022</v>
      </c>
      <c r="G1302" s="93">
        <v>9</v>
      </c>
      <c r="H1302" s="37" t="s">
        <v>1491</v>
      </c>
      <c r="I1302" s="37"/>
      <c r="J1302" s="103">
        <v>-92.636198800000003</v>
      </c>
      <c r="K1302" s="40">
        <v>44.854683100000003</v>
      </c>
      <c r="L1302" s="74"/>
      <c r="M1302" s="272" t="s">
        <v>2181</v>
      </c>
      <c r="N1302" s="74">
        <v>1</v>
      </c>
      <c r="O1302" s="94"/>
      <c r="P1302" s="118">
        <v>1</v>
      </c>
      <c r="Q1302" s="510">
        <v>180</v>
      </c>
      <c r="R1302" s="513">
        <v>180</v>
      </c>
      <c r="S1302" s="41"/>
      <c r="T1302" s="40"/>
      <c r="U1302" s="40">
        <v>7.5</v>
      </c>
      <c r="V1302" s="119">
        <v>1</v>
      </c>
      <c r="W1302" s="40">
        <v>0</v>
      </c>
      <c r="X1302" s="119">
        <v>1</v>
      </c>
      <c r="Y1302" s="40">
        <v>55</v>
      </c>
      <c r="Z1302" s="119">
        <v>1</v>
      </c>
      <c r="AA1302" s="368">
        <v>0</v>
      </c>
      <c r="AB1302" s="535">
        <v>2</v>
      </c>
      <c r="AC1302" s="39" t="s">
        <v>160</v>
      </c>
      <c r="AD1302" s="75" t="s">
        <v>803</v>
      </c>
      <c r="AE1302" s="95">
        <v>0</v>
      </c>
      <c r="AF1302" s="75">
        <v>1</v>
      </c>
      <c r="AG1302" s="75">
        <v>1</v>
      </c>
      <c r="AH1302" s="75">
        <v>1</v>
      </c>
      <c r="AI1302" s="75">
        <v>0</v>
      </c>
      <c r="AJ1302" s="75">
        <v>0</v>
      </c>
      <c r="AK1302" s="75">
        <v>0</v>
      </c>
      <c r="AL1302" s="95">
        <v>0</v>
      </c>
      <c r="AM1302" s="92">
        <v>0</v>
      </c>
      <c r="AN1302" s="79" t="s">
        <v>80</v>
      </c>
      <c r="AO1302" s="75">
        <v>1</v>
      </c>
      <c r="AP1302" s="75" t="s">
        <v>83</v>
      </c>
      <c r="AQ1302" s="122">
        <v>1</v>
      </c>
      <c r="AR1302" s="515" t="s">
        <v>10</v>
      </c>
      <c r="AS1302" s="95">
        <v>0</v>
      </c>
      <c r="AT1302" s="75">
        <v>0</v>
      </c>
      <c r="AU1302" s="75">
        <v>0</v>
      </c>
      <c r="AV1302" s="75">
        <v>0</v>
      </c>
      <c r="AW1302" s="123">
        <v>0</v>
      </c>
      <c r="AX1302" s="516" t="s">
        <v>2182</v>
      </c>
      <c r="AY1302" s="75">
        <v>1</v>
      </c>
      <c r="AZ1302" s="77" t="s">
        <v>131</v>
      </c>
      <c r="BA1302" s="78" t="s">
        <v>132</v>
      </c>
      <c r="BB1302" s="78" t="s">
        <v>132</v>
      </c>
      <c r="BC1302" s="78" t="s">
        <v>132</v>
      </c>
      <c r="BD1302" s="78" t="s">
        <v>131</v>
      </c>
      <c r="BE1302" s="78" t="s">
        <v>131</v>
      </c>
      <c r="BF1302" s="78" t="s">
        <v>131</v>
      </c>
      <c r="BG1302" s="78" t="s">
        <v>131</v>
      </c>
      <c r="BH1302" s="75" t="s">
        <v>5970</v>
      </c>
      <c r="BI1302" s="295" t="s">
        <v>2227</v>
      </c>
      <c r="BJ1302" s="546">
        <v>1</v>
      </c>
      <c r="BK1302" s="294">
        <v>1</v>
      </c>
      <c r="BL1302" s="157">
        <v>1</v>
      </c>
      <c r="BM1302" s="548" t="s">
        <v>578</v>
      </c>
      <c r="BN1302" s="548" t="s">
        <v>4159</v>
      </c>
      <c r="BO1302" s="157" t="s">
        <v>4341</v>
      </c>
      <c r="BP1302" s="548" t="s">
        <v>4343</v>
      </c>
      <c r="BQ1302" s="157" t="s">
        <v>4309</v>
      </c>
      <c r="BR1302" s="157"/>
    </row>
    <row r="1303" spans="1:70" x14ac:dyDescent="0.25">
      <c r="A1303" s="19" t="s">
        <v>3686</v>
      </c>
      <c r="B1303" s="37" t="s">
        <v>2183</v>
      </c>
      <c r="C1303" s="90">
        <v>44833.955914351849</v>
      </c>
      <c r="D1303" s="114">
        <v>44833.705914351849</v>
      </c>
      <c r="E1303" s="38">
        <v>44833</v>
      </c>
      <c r="F1303" s="91">
        <v>2022</v>
      </c>
      <c r="G1303" s="93">
        <v>9</v>
      </c>
      <c r="H1303" s="37" t="s">
        <v>461</v>
      </c>
      <c r="I1303" s="37" t="s">
        <v>154</v>
      </c>
      <c r="J1303" s="103">
        <v>-92.155816479922464</v>
      </c>
      <c r="K1303" s="40">
        <v>44.79799459297638</v>
      </c>
      <c r="L1303" s="74"/>
      <c r="M1303" s="272" t="s">
        <v>2184</v>
      </c>
      <c r="N1303" s="74">
        <v>1</v>
      </c>
      <c r="O1303" s="94"/>
      <c r="P1303" s="118">
        <v>1</v>
      </c>
      <c r="Q1303" s="510">
        <v>120</v>
      </c>
      <c r="R1303" s="513">
        <v>180</v>
      </c>
      <c r="S1303" s="41"/>
      <c r="T1303" s="40"/>
      <c r="U1303" s="40">
        <v>7</v>
      </c>
      <c r="V1303" s="119">
        <v>1</v>
      </c>
      <c r="W1303" s="40">
        <v>0</v>
      </c>
      <c r="X1303" s="119">
        <v>1</v>
      </c>
      <c r="Y1303" s="40">
        <v>52</v>
      </c>
      <c r="Z1303" s="119">
        <v>1</v>
      </c>
      <c r="AA1303" s="368">
        <v>0</v>
      </c>
      <c r="AB1303" s="535">
        <v>2</v>
      </c>
      <c r="AC1303" s="39" t="s">
        <v>160</v>
      </c>
      <c r="AD1303" s="75" t="s">
        <v>16</v>
      </c>
      <c r="AE1303" s="95">
        <v>-1</v>
      </c>
      <c r="AF1303" s="75">
        <v>-1</v>
      </c>
      <c r="AG1303" s="75">
        <v>-1</v>
      </c>
      <c r="AH1303" s="75">
        <v>-1</v>
      </c>
      <c r="AI1303" s="75">
        <v>-1</v>
      </c>
      <c r="AJ1303" s="75">
        <v>-1</v>
      </c>
      <c r="AK1303" s="75">
        <v>-1</v>
      </c>
      <c r="AL1303" s="95">
        <v>-1</v>
      </c>
      <c r="AM1303" s="92">
        <v>1</v>
      </c>
      <c r="AN1303" s="79" t="s">
        <v>80</v>
      </c>
      <c r="AO1303" s="75">
        <v>1</v>
      </c>
      <c r="AP1303" s="75" t="s">
        <v>83</v>
      </c>
      <c r="AQ1303" s="122">
        <v>1</v>
      </c>
      <c r="AR1303" s="515" t="s">
        <v>10</v>
      </c>
      <c r="AS1303" s="95">
        <v>0</v>
      </c>
      <c r="AT1303" s="75">
        <v>0</v>
      </c>
      <c r="AU1303" s="75">
        <v>0</v>
      </c>
      <c r="AV1303" s="75">
        <v>0</v>
      </c>
      <c r="AW1303" s="123">
        <v>0</v>
      </c>
      <c r="AX1303" s="516"/>
      <c r="AY1303" s="75">
        <v>0</v>
      </c>
      <c r="AZ1303" s="77" t="s">
        <v>5971</v>
      </c>
      <c r="BA1303" s="78" t="s">
        <v>5971</v>
      </c>
      <c r="BB1303" s="78" t="s">
        <v>5971</v>
      </c>
      <c r="BC1303" s="78" t="s">
        <v>5971</v>
      </c>
      <c r="BD1303" s="78" t="s">
        <v>5971</v>
      </c>
      <c r="BE1303" s="78" t="s">
        <v>5971</v>
      </c>
      <c r="BF1303" s="78" t="s">
        <v>5971</v>
      </c>
      <c r="BG1303" s="78" t="s">
        <v>5971</v>
      </c>
      <c r="BH1303" s="75" t="s">
        <v>5971</v>
      </c>
      <c r="BI1303" s="295" t="s">
        <v>2270</v>
      </c>
      <c r="BJ1303" s="546">
        <v>1</v>
      </c>
      <c r="BK1303" s="294">
        <v>1</v>
      </c>
      <c r="BL1303" s="157">
        <v>1</v>
      </c>
      <c r="BM1303" s="548" t="s">
        <v>578</v>
      </c>
      <c r="BN1303" s="548" t="s">
        <v>578</v>
      </c>
      <c r="BO1303" s="157" t="s">
        <v>4317</v>
      </c>
      <c r="BP1303" s="548" t="s">
        <v>2270</v>
      </c>
      <c r="BQ1303" s="157" t="s">
        <v>4316</v>
      </c>
      <c r="BR1303" s="157"/>
    </row>
    <row r="1304" spans="1:70" x14ac:dyDescent="0.25">
      <c r="A1304" s="19" t="s">
        <v>3686</v>
      </c>
      <c r="B1304" s="37" t="s">
        <v>2185</v>
      </c>
      <c r="C1304" s="90">
        <v>44833.727476851855</v>
      </c>
      <c r="D1304" s="114">
        <v>44833.477476851855</v>
      </c>
      <c r="E1304" s="38">
        <v>44833</v>
      </c>
      <c r="F1304" s="91">
        <v>2022</v>
      </c>
      <c r="G1304" s="93">
        <v>9</v>
      </c>
      <c r="H1304" s="37" t="s">
        <v>1378</v>
      </c>
      <c r="I1304" s="37"/>
      <c r="J1304" s="103">
        <v>-92.517032374554361</v>
      </c>
      <c r="K1304" s="40">
        <v>44.822584423382146</v>
      </c>
      <c r="L1304" s="74"/>
      <c r="M1304" s="272" t="s">
        <v>2186</v>
      </c>
      <c r="N1304" s="74">
        <v>1</v>
      </c>
      <c r="O1304" s="94"/>
      <c r="P1304" s="118">
        <v>1</v>
      </c>
      <c r="Q1304" s="510">
        <v>0</v>
      </c>
      <c r="R1304" s="513">
        <v>0</v>
      </c>
      <c r="S1304" s="41"/>
      <c r="T1304" s="40"/>
      <c r="U1304" s="40">
        <v>6.5</v>
      </c>
      <c r="V1304" s="119">
        <v>0</v>
      </c>
      <c r="W1304" s="40"/>
      <c r="X1304" s="119">
        <v>0</v>
      </c>
      <c r="Y1304" s="40"/>
      <c r="Z1304" s="119">
        <v>0</v>
      </c>
      <c r="AA1304" s="368" t="s">
        <v>16</v>
      </c>
      <c r="AB1304" s="535" t="s">
        <v>16</v>
      </c>
      <c r="AC1304" s="39" t="s">
        <v>160</v>
      </c>
      <c r="AD1304" s="75" t="s">
        <v>8</v>
      </c>
      <c r="AE1304" s="95">
        <v>0</v>
      </c>
      <c r="AF1304" s="75">
        <v>1</v>
      </c>
      <c r="AG1304" s="75">
        <v>0</v>
      </c>
      <c r="AH1304" s="75">
        <v>0</v>
      </c>
      <c r="AI1304" s="75">
        <v>0</v>
      </c>
      <c r="AJ1304" s="75">
        <v>0</v>
      </c>
      <c r="AK1304" s="75">
        <v>0</v>
      </c>
      <c r="AL1304" s="95">
        <v>0</v>
      </c>
      <c r="AM1304" s="92">
        <v>0</v>
      </c>
      <c r="AN1304" s="79" t="s">
        <v>80</v>
      </c>
      <c r="AO1304" s="75">
        <v>1</v>
      </c>
      <c r="AP1304" s="75" t="s">
        <v>83</v>
      </c>
      <c r="AQ1304" s="122">
        <v>1</v>
      </c>
      <c r="AR1304" s="515" t="s">
        <v>10</v>
      </c>
      <c r="AS1304" s="95">
        <v>0</v>
      </c>
      <c r="AT1304" s="75">
        <v>0</v>
      </c>
      <c r="AU1304" s="75">
        <v>0</v>
      </c>
      <c r="AV1304" s="75">
        <v>0</v>
      </c>
      <c r="AW1304" s="123">
        <v>0</v>
      </c>
      <c r="AX1304" s="516"/>
      <c r="AY1304" s="75">
        <v>0</v>
      </c>
      <c r="AZ1304" s="77" t="s">
        <v>131</v>
      </c>
      <c r="BA1304" s="78" t="s">
        <v>132</v>
      </c>
      <c r="BB1304" s="78" t="s">
        <v>131</v>
      </c>
      <c r="BC1304" s="78" t="s">
        <v>131</v>
      </c>
      <c r="BD1304" s="78" t="s">
        <v>131</v>
      </c>
      <c r="BE1304" s="78" t="s">
        <v>131</v>
      </c>
      <c r="BF1304" s="78" t="s">
        <v>131</v>
      </c>
      <c r="BG1304" s="78" t="s">
        <v>131</v>
      </c>
      <c r="BH1304" s="75" t="s">
        <v>5970</v>
      </c>
      <c r="BI1304" s="295" t="s">
        <v>2236</v>
      </c>
      <c r="BJ1304" s="546">
        <v>1</v>
      </c>
      <c r="BK1304" s="294" t="s">
        <v>16</v>
      </c>
      <c r="BL1304" s="157" t="s">
        <v>16</v>
      </c>
      <c r="BM1304" s="548" t="s">
        <v>578</v>
      </c>
      <c r="BN1304" s="548" t="s">
        <v>4158</v>
      </c>
      <c r="BO1304" s="157" t="s">
        <v>4658</v>
      </c>
      <c r="BP1304" s="548" t="s">
        <v>4660</v>
      </c>
      <c r="BQ1304" s="157" t="s">
        <v>4657</v>
      </c>
      <c r="BR1304" s="157"/>
    </row>
    <row r="1305" spans="1:70" x14ac:dyDescent="0.25">
      <c r="A1305" s="19" t="s">
        <v>3686</v>
      </c>
      <c r="B1305" s="37" t="s">
        <v>2187</v>
      </c>
      <c r="C1305" s="90">
        <v>44832.8125462963</v>
      </c>
      <c r="D1305" s="114">
        <v>44832.5625462963</v>
      </c>
      <c r="E1305" s="38">
        <v>44832</v>
      </c>
      <c r="F1305" s="91">
        <v>2022</v>
      </c>
      <c r="G1305" s="93">
        <v>9</v>
      </c>
      <c r="H1305" s="37" t="s">
        <v>1378</v>
      </c>
      <c r="I1305" s="37"/>
      <c r="J1305" s="103">
        <v>-90.373651338913234</v>
      </c>
      <c r="K1305" s="40">
        <v>43.871767341640975</v>
      </c>
      <c r="L1305" s="74"/>
      <c r="M1305" s="272" t="s">
        <v>16</v>
      </c>
      <c r="N1305" s="74">
        <v>0</v>
      </c>
      <c r="O1305" s="94"/>
      <c r="P1305" s="118">
        <v>1</v>
      </c>
      <c r="Q1305" s="510">
        <v>120</v>
      </c>
      <c r="R1305" s="513">
        <v>120</v>
      </c>
      <c r="S1305" s="41"/>
      <c r="T1305" s="40"/>
      <c r="U1305" s="40">
        <v>7</v>
      </c>
      <c r="V1305" s="119">
        <v>0</v>
      </c>
      <c r="W1305" s="40"/>
      <c r="X1305" s="119">
        <v>1</v>
      </c>
      <c r="Y1305" s="40">
        <v>49</v>
      </c>
      <c r="Z1305" s="119">
        <v>1</v>
      </c>
      <c r="AA1305" s="368">
        <v>0</v>
      </c>
      <c r="AB1305" s="535">
        <v>0</v>
      </c>
      <c r="AC1305" s="39" t="s">
        <v>160</v>
      </c>
      <c r="AD1305" s="75" t="s">
        <v>16</v>
      </c>
      <c r="AE1305" s="95">
        <v>-1</v>
      </c>
      <c r="AF1305" s="75">
        <v>-1</v>
      </c>
      <c r="AG1305" s="75">
        <v>-1</v>
      </c>
      <c r="AH1305" s="75">
        <v>-1</v>
      </c>
      <c r="AI1305" s="75">
        <v>-1</v>
      </c>
      <c r="AJ1305" s="75">
        <v>-1</v>
      </c>
      <c r="AK1305" s="75">
        <v>-1</v>
      </c>
      <c r="AL1305" s="95">
        <v>-1</v>
      </c>
      <c r="AM1305" s="92">
        <v>1</v>
      </c>
      <c r="AN1305" s="79"/>
      <c r="AO1305" s="75">
        <v>0</v>
      </c>
      <c r="AP1305" s="75"/>
      <c r="AQ1305" s="122">
        <v>0</v>
      </c>
      <c r="AR1305" s="515" t="s">
        <v>16</v>
      </c>
      <c r="AS1305" s="95">
        <v>-1</v>
      </c>
      <c r="AT1305" s="75">
        <v>-1</v>
      </c>
      <c r="AU1305" s="75">
        <v>-1</v>
      </c>
      <c r="AV1305" s="75">
        <v>-1</v>
      </c>
      <c r="AW1305" s="123">
        <v>1</v>
      </c>
      <c r="AX1305" s="516"/>
      <c r="AY1305" s="75">
        <v>0</v>
      </c>
      <c r="AZ1305" s="77" t="s">
        <v>5971</v>
      </c>
      <c r="BA1305" s="78" t="s">
        <v>5971</v>
      </c>
      <c r="BB1305" s="78" t="s">
        <v>5971</v>
      </c>
      <c r="BC1305" s="78" t="s">
        <v>5971</v>
      </c>
      <c r="BD1305" s="78" t="s">
        <v>5971</v>
      </c>
      <c r="BE1305" s="78" t="s">
        <v>5971</v>
      </c>
      <c r="BF1305" s="78" t="s">
        <v>5971</v>
      </c>
      <c r="BG1305" s="78" t="s">
        <v>5971</v>
      </c>
      <c r="BH1305" s="75" t="s">
        <v>5971</v>
      </c>
      <c r="BI1305" s="295" t="s">
        <v>2223</v>
      </c>
      <c r="BJ1305" s="546">
        <v>1</v>
      </c>
      <c r="BK1305" s="294" t="s">
        <v>16</v>
      </c>
      <c r="BL1305" s="157" t="s">
        <v>16</v>
      </c>
      <c r="BM1305" s="548" t="s">
        <v>1342</v>
      </c>
      <c r="BN1305" s="548" t="s">
        <v>4158</v>
      </c>
      <c r="BO1305" s="157" t="s">
        <v>4662</v>
      </c>
      <c r="BP1305" s="548" t="s">
        <v>4663</v>
      </c>
      <c r="BQ1305" s="157" t="s">
        <v>4661</v>
      </c>
      <c r="BR1305" s="157"/>
    </row>
    <row r="1306" spans="1:70" x14ac:dyDescent="0.25">
      <c r="A1306" s="19" t="s">
        <v>3686</v>
      </c>
      <c r="B1306" s="37" t="s">
        <v>2188</v>
      </c>
      <c r="C1306" s="90">
        <v>44830.949652777781</v>
      </c>
      <c r="D1306" s="114">
        <v>44830.699652777781</v>
      </c>
      <c r="E1306" s="38">
        <v>44830</v>
      </c>
      <c r="F1306" s="91">
        <v>2022</v>
      </c>
      <c r="G1306" s="93">
        <v>9</v>
      </c>
      <c r="H1306" s="37" t="s">
        <v>1410</v>
      </c>
      <c r="I1306" s="37" t="s">
        <v>1411</v>
      </c>
      <c r="J1306" s="103">
        <v>-93.231445126903836</v>
      </c>
      <c r="K1306" s="40">
        <v>44.846873731418391</v>
      </c>
      <c r="L1306" s="74"/>
      <c r="M1306" s="272" t="s">
        <v>16</v>
      </c>
      <c r="N1306" s="74">
        <v>0</v>
      </c>
      <c r="O1306" s="94"/>
      <c r="P1306" s="118">
        <v>1</v>
      </c>
      <c r="Q1306" s="510">
        <v>180</v>
      </c>
      <c r="R1306" s="513">
        <v>180</v>
      </c>
      <c r="S1306" s="41"/>
      <c r="T1306" s="40"/>
      <c r="U1306" s="40">
        <v>8</v>
      </c>
      <c r="V1306" s="119">
        <v>1</v>
      </c>
      <c r="W1306" s="40">
        <v>0</v>
      </c>
      <c r="X1306" s="119">
        <v>1</v>
      </c>
      <c r="Y1306" s="40">
        <v>56</v>
      </c>
      <c r="Z1306" s="119">
        <v>1</v>
      </c>
      <c r="AA1306" s="368">
        <v>0</v>
      </c>
      <c r="AB1306" s="535">
        <v>2</v>
      </c>
      <c r="AC1306" s="39" t="s">
        <v>160</v>
      </c>
      <c r="AD1306" s="75" t="s">
        <v>10</v>
      </c>
      <c r="AE1306" s="95">
        <v>0</v>
      </c>
      <c r="AF1306" s="75">
        <v>0</v>
      </c>
      <c r="AG1306" s="75">
        <v>0</v>
      </c>
      <c r="AH1306" s="75">
        <v>0</v>
      </c>
      <c r="AI1306" s="75">
        <v>0</v>
      </c>
      <c r="AJ1306" s="75">
        <v>0</v>
      </c>
      <c r="AK1306" s="75">
        <v>0</v>
      </c>
      <c r="AL1306" s="95">
        <v>1</v>
      </c>
      <c r="AM1306" s="92">
        <v>0</v>
      </c>
      <c r="AN1306" s="79" t="s">
        <v>195</v>
      </c>
      <c r="AO1306" s="75">
        <v>1</v>
      </c>
      <c r="AP1306" s="75" t="s">
        <v>83</v>
      </c>
      <c r="AQ1306" s="122">
        <v>1</v>
      </c>
      <c r="AR1306" s="515" t="s">
        <v>10</v>
      </c>
      <c r="AS1306" s="95">
        <v>0</v>
      </c>
      <c r="AT1306" s="75">
        <v>0</v>
      </c>
      <c r="AU1306" s="75">
        <v>0</v>
      </c>
      <c r="AV1306" s="75">
        <v>0</v>
      </c>
      <c r="AW1306" s="123">
        <v>0</v>
      </c>
      <c r="AX1306" s="516"/>
      <c r="AY1306" s="75">
        <v>0</v>
      </c>
      <c r="AZ1306" s="77" t="s">
        <v>131</v>
      </c>
      <c r="BA1306" s="78" t="s">
        <v>131</v>
      </c>
      <c r="BB1306" s="78" t="s">
        <v>131</v>
      </c>
      <c r="BC1306" s="78" t="s">
        <v>131</v>
      </c>
      <c r="BD1306" s="78" t="s">
        <v>131</v>
      </c>
      <c r="BE1306" s="78" t="s">
        <v>131</v>
      </c>
      <c r="BF1306" s="78" t="s">
        <v>131</v>
      </c>
      <c r="BG1306" s="78" t="s">
        <v>132</v>
      </c>
      <c r="BH1306" s="75" t="s">
        <v>5970</v>
      </c>
      <c r="BI1306" s="295" t="s">
        <v>16</v>
      </c>
      <c r="BJ1306" s="546" t="s">
        <v>16</v>
      </c>
      <c r="BK1306" s="294" t="s">
        <v>16</v>
      </c>
      <c r="BL1306" s="157" t="s">
        <v>16</v>
      </c>
      <c r="BM1306" s="548" t="s">
        <v>2343</v>
      </c>
      <c r="BN1306" s="548" t="s">
        <v>4161</v>
      </c>
      <c r="BO1306" s="157" t="s">
        <v>4327</v>
      </c>
      <c r="BP1306" s="548" t="s">
        <v>4314</v>
      </c>
      <c r="BQ1306" s="157" t="s">
        <v>4312</v>
      </c>
      <c r="BR1306" s="157"/>
    </row>
    <row r="1307" spans="1:70" x14ac:dyDescent="0.25">
      <c r="A1307" s="19" t="s">
        <v>3686</v>
      </c>
      <c r="B1307" s="37" t="s">
        <v>2189</v>
      </c>
      <c r="C1307" s="90">
        <v>44830.826099537036</v>
      </c>
      <c r="D1307" s="114">
        <v>44830.576099537036</v>
      </c>
      <c r="E1307" s="38">
        <v>44830</v>
      </c>
      <c r="F1307" s="91">
        <v>2022</v>
      </c>
      <c r="G1307" s="93">
        <v>9</v>
      </c>
      <c r="H1307" s="37" t="s">
        <v>475</v>
      </c>
      <c r="I1307" s="37"/>
      <c r="J1307" s="103">
        <v>-91.979578211989235</v>
      </c>
      <c r="K1307" s="40">
        <v>44.070339775685277</v>
      </c>
      <c r="L1307" s="74"/>
      <c r="M1307" s="272" t="s">
        <v>16</v>
      </c>
      <c r="N1307" s="74">
        <v>0</v>
      </c>
      <c r="O1307" s="94"/>
      <c r="P1307" s="118">
        <v>0</v>
      </c>
      <c r="Q1307" s="510"/>
      <c r="R1307" s="513"/>
      <c r="S1307" s="41"/>
      <c r="T1307" s="40"/>
      <c r="U1307" s="40"/>
      <c r="V1307" s="119">
        <v>1</v>
      </c>
      <c r="W1307" s="40">
        <v>0</v>
      </c>
      <c r="X1307" s="119">
        <v>0</v>
      </c>
      <c r="Y1307" s="40"/>
      <c r="Z1307" s="119">
        <v>1</v>
      </c>
      <c r="AA1307" s="368">
        <v>0</v>
      </c>
      <c r="AB1307" s="535">
        <v>5</v>
      </c>
      <c r="AC1307" s="39" t="s">
        <v>160</v>
      </c>
      <c r="AD1307" s="75" t="s">
        <v>10</v>
      </c>
      <c r="AE1307" s="95">
        <v>0</v>
      </c>
      <c r="AF1307" s="75">
        <v>0</v>
      </c>
      <c r="AG1307" s="75">
        <v>0</v>
      </c>
      <c r="AH1307" s="75">
        <v>0</v>
      </c>
      <c r="AI1307" s="75">
        <v>0</v>
      </c>
      <c r="AJ1307" s="75">
        <v>0</v>
      </c>
      <c r="AK1307" s="75">
        <v>0</v>
      </c>
      <c r="AL1307" s="95">
        <v>1</v>
      </c>
      <c r="AM1307" s="92">
        <v>0</v>
      </c>
      <c r="AN1307" s="79" t="s">
        <v>80</v>
      </c>
      <c r="AO1307" s="75">
        <v>1</v>
      </c>
      <c r="AP1307" s="75" t="s">
        <v>83</v>
      </c>
      <c r="AQ1307" s="122">
        <v>1</v>
      </c>
      <c r="AR1307" s="515" t="s">
        <v>10</v>
      </c>
      <c r="AS1307" s="95">
        <v>0</v>
      </c>
      <c r="AT1307" s="75">
        <v>0</v>
      </c>
      <c r="AU1307" s="75">
        <v>0</v>
      </c>
      <c r="AV1307" s="75">
        <v>0</v>
      </c>
      <c r="AW1307" s="123">
        <v>0</v>
      </c>
      <c r="AX1307" s="516" t="s">
        <v>2190</v>
      </c>
      <c r="AY1307" s="75">
        <v>1</v>
      </c>
      <c r="AZ1307" s="77" t="s">
        <v>131</v>
      </c>
      <c r="BA1307" s="78" t="s">
        <v>131</v>
      </c>
      <c r="BB1307" s="78" t="s">
        <v>131</v>
      </c>
      <c r="BC1307" s="78" t="s">
        <v>131</v>
      </c>
      <c r="BD1307" s="78" t="s">
        <v>131</v>
      </c>
      <c r="BE1307" s="78" t="s">
        <v>131</v>
      </c>
      <c r="BF1307" s="78" t="s">
        <v>131</v>
      </c>
      <c r="BG1307" s="78" t="s">
        <v>132</v>
      </c>
      <c r="BH1307" s="75" t="s">
        <v>5970</v>
      </c>
      <c r="BI1307" s="295" t="s">
        <v>2255</v>
      </c>
      <c r="BJ1307" s="546">
        <v>1</v>
      </c>
      <c r="BK1307" s="294" t="s">
        <v>16</v>
      </c>
      <c r="BL1307" s="157" t="s">
        <v>16</v>
      </c>
      <c r="BM1307" s="548" t="s">
        <v>1341</v>
      </c>
      <c r="BN1307" s="548" t="s">
        <v>1339</v>
      </c>
      <c r="BO1307" s="157" t="s">
        <v>4362</v>
      </c>
      <c r="BP1307" s="548" t="s">
        <v>4363</v>
      </c>
      <c r="BQ1307" s="157" t="s">
        <v>4361</v>
      </c>
      <c r="BR1307" s="157"/>
    </row>
    <row r="1308" spans="1:70" x14ac:dyDescent="0.25">
      <c r="A1308" s="19" t="s">
        <v>3686</v>
      </c>
      <c r="B1308" s="37" t="s">
        <v>2191</v>
      </c>
      <c r="C1308" s="90">
        <v>44830.798136574071</v>
      </c>
      <c r="D1308" s="114">
        <v>44830.548136574071</v>
      </c>
      <c r="E1308" s="38">
        <v>44830</v>
      </c>
      <c r="F1308" s="91">
        <v>2022</v>
      </c>
      <c r="G1308" s="93">
        <v>9</v>
      </c>
      <c r="H1308" s="37" t="s">
        <v>475</v>
      </c>
      <c r="I1308" s="37"/>
      <c r="J1308" s="103">
        <v>-92.100329669278196</v>
      </c>
      <c r="K1308" s="40">
        <v>44.036570051725988</v>
      </c>
      <c r="L1308" s="74"/>
      <c r="M1308" s="272" t="s">
        <v>16</v>
      </c>
      <c r="N1308" s="74">
        <v>0</v>
      </c>
      <c r="O1308" s="94"/>
      <c r="P1308" s="118">
        <v>1</v>
      </c>
      <c r="Q1308" s="510">
        <v>180</v>
      </c>
      <c r="R1308" s="513">
        <v>180</v>
      </c>
      <c r="S1308" s="41"/>
      <c r="T1308" s="40"/>
      <c r="U1308" s="40">
        <v>8</v>
      </c>
      <c r="V1308" s="119">
        <v>1</v>
      </c>
      <c r="W1308" s="40">
        <v>0</v>
      </c>
      <c r="X1308" s="119">
        <v>1</v>
      </c>
      <c r="Y1308" s="40">
        <v>0</v>
      </c>
      <c r="Z1308" s="119">
        <v>1</v>
      </c>
      <c r="AA1308" s="368">
        <v>0</v>
      </c>
      <c r="AB1308" s="535">
        <v>5</v>
      </c>
      <c r="AC1308" s="39" t="s">
        <v>160</v>
      </c>
      <c r="AD1308" s="75" t="s">
        <v>10</v>
      </c>
      <c r="AE1308" s="95">
        <v>0</v>
      </c>
      <c r="AF1308" s="75">
        <v>0</v>
      </c>
      <c r="AG1308" s="75">
        <v>0</v>
      </c>
      <c r="AH1308" s="75">
        <v>0</v>
      </c>
      <c r="AI1308" s="75">
        <v>0</v>
      </c>
      <c r="AJ1308" s="75">
        <v>0</v>
      </c>
      <c r="AK1308" s="75">
        <v>0</v>
      </c>
      <c r="AL1308" s="95">
        <v>1</v>
      </c>
      <c r="AM1308" s="92">
        <v>0</v>
      </c>
      <c r="AN1308" s="79" t="s">
        <v>80</v>
      </c>
      <c r="AO1308" s="75">
        <v>1</v>
      </c>
      <c r="AP1308" s="75" t="s">
        <v>83</v>
      </c>
      <c r="AQ1308" s="122">
        <v>1</v>
      </c>
      <c r="AR1308" s="515" t="s">
        <v>10</v>
      </c>
      <c r="AS1308" s="95">
        <v>0</v>
      </c>
      <c r="AT1308" s="75">
        <v>0</v>
      </c>
      <c r="AU1308" s="75">
        <v>0</v>
      </c>
      <c r="AV1308" s="75">
        <v>0</v>
      </c>
      <c r="AW1308" s="123">
        <v>0</v>
      </c>
      <c r="AX1308" s="516" t="s">
        <v>2192</v>
      </c>
      <c r="AY1308" s="75">
        <v>1</v>
      </c>
      <c r="AZ1308" s="77" t="s">
        <v>131</v>
      </c>
      <c r="BA1308" s="78" t="s">
        <v>131</v>
      </c>
      <c r="BB1308" s="78" t="s">
        <v>131</v>
      </c>
      <c r="BC1308" s="78" t="s">
        <v>131</v>
      </c>
      <c r="BD1308" s="78" t="s">
        <v>131</v>
      </c>
      <c r="BE1308" s="78" t="s">
        <v>131</v>
      </c>
      <c r="BF1308" s="78" t="s">
        <v>131</v>
      </c>
      <c r="BG1308" s="78" t="s">
        <v>132</v>
      </c>
      <c r="BH1308" s="75" t="s">
        <v>5970</v>
      </c>
      <c r="BI1308" s="295" t="s">
        <v>2292</v>
      </c>
      <c r="BJ1308" s="546">
        <v>1</v>
      </c>
      <c r="BK1308" s="294" t="s">
        <v>16</v>
      </c>
      <c r="BL1308" s="157" t="s">
        <v>16</v>
      </c>
      <c r="BM1308" s="548" t="s">
        <v>1339</v>
      </c>
      <c r="BN1308" s="548" t="s">
        <v>1339</v>
      </c>
      <c r="BO1308" s="157" t="s">
        <v>4364</v>
      </c>
      <c r="BP1308" s="548" t="s">
        <v>2292</v>
      </c>
      <c r="BQ1308" s="157" t="s">
        <v>4361</v>
      </c>
      <c r="BR1308" s="157"/>
    </row>
    <row r="1309" spans="1:70" x14ac:dyDescent="0.25">
      <c r="A1309" s="19" t="s">
        <v>3686</v>
      </c>
      <c r="B1309" s="37" t="s">
        <v>2193</v>
      </c>
      <c r="C1309" s="90">
        <v>44830.783738425926</v>
      </c>
      <c r="D1309" s="114">
        <v>44830.533738425926</v>
      </c>
      <c r="E1309" s="38">
        <v>44830</v>
      </c>
      <c r="F1309" s="91">
        <v>2022</v>
      </c>
      <c r="G1309" s="93">
        <v>9</v>
      </c>
      <c r="H1309" s="37" t="s">
        <v>2194</v>
      </c>
      <c r="I1309" s="37"/>
      <c r="J1309" s="103">
        <v>-91.691425028926602</v>
      </c>
      <c r="K1309" s="40">
        <v>44.043549801110338</v>
      </c>
      <c r="L1309" s="74"/>
      <c r="M1309" s="272" t="s">
        <v>2195</v>
      </c>
      <c r="N1309" s="74">
        <v>1</v>
      </c>
      <c r="O1309" s="94"/>
      <c r="P1309" s="118">
        <v>0</v>
      </c>
      <c r="Q1309" s="510"/>
      <c r="R1309" s="513"/>
      <c r="S1309" s="41"/>
      <c r="T1309" s="40"/>
      <c r="U1309" s="40"/>
      <c r="V1309" s="119">
        <v>0</v>
      </c>
      <c r="W1309" s="40"/>
      <c r="X1309" s="119">
        <v>0</v>
      </c>
      <c r="Y1309" s="40"/>
      <c r="Z1309" s="119">
        <v>0</v>
      </c>
      <c r="AA1309" s="368" t="s">
        <v>16</v>
      </c>
      <c r="AB1309" s="535" t="s">
        <v>16</v>
      </c>
      <c r="AC1309" s="39"/>
      <c r="AD1309" s="75" t="s">
        <v>16</v>
      </c>
      <c r="AE1309" s="95">
        <v>-1</v>
      </c>
      <c r="AF1309" s="75">
        <v>-1</v>
      </c>
      <c r="AG1309" s="75">
        <v>-1</v>
      </c>
      <c r="AH1309" s="75">
        <v>-1</v>
      </c>
      <c r="AI1309" s="75">
        <v>-1</v>
      </c>
      <c r="AJ1309" s="75">
        <v>-1</v>
      </c>
      <c r="AK1309" s="75">
        <v>-1</v>
      </c>
      <c r="AL1309" s="95">
        <v>-1</v>
      </c>
      <c r="AM1309" s="92">
        <v>1</v>
      </c>
      <c r="AN1309" s="79"/>
      <c r="AO1309" s="75">
        <v>0</v>
      </c>
      <c r="AP1309" s="75"/>
      <c r="AQ1309" s="122">
        <v>0</v>
      </c>
      <c r="AR1309" s="515" t="s">
        <v>16</v>
      </c>
      <c r="AS1309" s="95">
        <v>-1</v>
      </c>
      <c r="AT1309" s="75">
        <v>-1</v>
      </c>
      <c r="AU1309" s="75">
        <v>-1</v>
      </c>
      <c r="AV1309" s="75">
        <v>-1</v>
      </c>
      <c r="AW1309" s="123">
        <v>1</v>
      </c>
      <c r="AX1309" s="516"/>
      <c r="AY1309" s="75">
        <v>0</v>
      </c>
      <c r="AZ1309" s="77" t="s">
        <v>5971</v>
      </c>
      <c r="BA1309" s="78" t="s">
        <v>5971</v>
      </c>
      <c r="BB1309" s="78" t="s">
        <v>5971</v>
      </c>
      <c r="BC1309" s="78" t="s">
        <v>5971</v>
      </c>
      <c r="BD1309" s="78" t="s">
        <v>5971</v>
      </c>
      <c r="BE1309" s="78" t="s">
        <v>5971</v>
      </c>
      <c r="BF1309" s="78" t="s">
        <v>5971</v>
      </c>
      <c r="BG1309" s="78" t="s">
        <v>5971</v>
      </c>
      <c r="BH1309" s="75" t="s">
        <v>5971</v>
      </c>
      <c r="BI1309" s="295" t="s">
        <v>2258</v>
      </c>
      <c r="BJ1309" s="546">
        <v>1</v>
      </c>
      <c r="BK1309" s="294" t="s">
        <v>16</v>
      </c>
      <c r="BL1309" s="157" t="s">
        <v>16</v>
      </c>
      <c r="BM1309" s="548" t="s">
        <v>1341</v>
      </c>
      <c r="BN1309" s="548" t="s">
        <v>4160</v>
      </c>
      <c r="BO1309" s="157" t="s">
        <v>4664</v>
      </c>
      <c r="BP1309" s="548" t="s">
        <v>4665</v>
      </c>
      <c r="BQ1309" s="157" t="s">
        <v>4269</v>
      </c>
      <c r="BR1309" s="157"/>
    </row>
    <row r="1310" spans="1:70" x14ac:dyDescent="0.25">
      <c r="A1310" s="19" t="s">
        <v>3686</v>
      </c>
      <c r="B1310" s="37" t="s">
        <v>2196</v>
      </c>
      <c r="C1310" s="90">
        <v>44830.783009259256</v>
      </c>
      <c r="D1310" s="114">
        <v>44830.533009259256</v>
      </c>
      <c r="E1310" s="38">
        <v>44830</v>
      </c>
      <c r="F1310" s="91">
        <v>2022</v>
      </c>
      <c r="G1310" s="93">
        <v>9</v>
      </c>
      <c r="H1310" s="37" t="s">
        <v>2194</v>
      </c>
      <c r="I1310" s="37"/>
      <c r="J1310" s="103">
        <v>-91.691449832459838</v>
      </c>
      <c r="K1310" s="40">
        <v>44.043558695382089</v>
      </c>
      <c r="L1310" s="74"/>
      <c r="M1310" s="272" t="s">
        <v>2197</v>
      </c>
      <c r="N1310" s="74">
        <v>1</v>
      </c>
      <c r="O1310" s="94"/>
      <c r="P1310" s="118">
        <v>0</v>
      </c>
      <c r="Q1310" s="510"/>
      <c r="R1310" s="513"/>
      <c r="S1310" s="41"/>
      <c r="T1310" s="40"/>
      <c r="U1310" s="40"/>
      <c r="V1310" s="119">
        <v>0</v>
      </c>
      <c r="W1310" s="40"/>
      <c r="X1310" s="119">
        <v>0</v>
      </c>
      <c r="Y1310" s="40"/>
      <c r="Z1310" s="119">
        <v>0</v>
      </c>
      <c r="AA1310" s="368" t="s">
        <v>16</v>
      </c>
      <c r="AB1310" s="535" t="s">
        <v>16</v>
      </c>
      <c r="AC1310" s="39" t="s">
        <v>160</v>
      </c>
      <c r="AD1310" s="75" t="s">
        <v>16</v>
      </c>
      <c r="AE1310" s="95">
        <v>-1</v>
      </c>
      <c r="AF1310" s="75">
        <v>-1</v>
      </c>
      <c r="AG1310" s="75">
        <v>-1</v>
      </c>
      <c r="AH1310" s="75">
        <v>-1</v>
      </c>
      <c r="AI1310" s="75">
        <v>-1</v>
      </c>
      <c r="AJ1310" s="75">
        <v>-1</v>
      </c>
      <c r="AK1310" s="75">
        <v>-1</v>
      </c>
      <c r="AL1310" s="95">
        <v>-1</v>
      </c>
      <c r="AM1310" s="92">
        <v>1</v>
      </c>
      <c r="AN1310" s="79"/>
      <c r="AO1310" s="75">
        <v>0</v>
      </c>
      <c r="AP1310" s="75"/>
      <c r="AQ1310" s="122">
        <v>0</v>
      </c>
      <c r="AR1310" s="515" t="s">
        <v>16</v>
      </c>
      <c r="AS1310" s="95">
        <v>-1</v>
      </c>
      <c r="AT1310" s="75">
        <v>-1</v>
      </c>
      <c r="AU1310" s="75">
        <v>-1</v>
      </c>
      <c r="AV1310" s="75">
        <v>-1</v>
      </c>
      <c r="AW1310" s="123">
        <v>1</v>
      </c>
      <c r="AX1310" s="516"/>
      <c r="AY1310" s="75">
        <v>0</v>
      </c>
      <c r="AZ1310" s="77" t="s">
        <v>5971</v>
      </c>
      <c r="BA1310" s="78" t="s">
        <v>5971</v>
      </c>
      <c r="BB1310" s="78" t="s">
        <v>5971</v>
      </c>
      <c r="BC1310" s="78" t="s">
        <v>5971</v>
      </c>
      <c r="BD1310" s="78" t="s">
        <v>5971</v>
      </c>
      <c r="BE1310" s="78" t="s">
        <v>5971</v>
      </c>
      <c r="BF1310" s="78" t="s">
        <v>5971</v>
      </c>
      <c r="BG1310" s="78" t="s">
        <v>5971</v>
      </c>
      <c r="BH1310" s="75" t="s">
        <v>5971</v>
      </c>
      <c r="BI1310" s="295" t="s">
        <v>2258</v>
      </c>
      <c r="BJ1310" s="546">
        <v>1</v>
      </c>
      <c r="BK1310" s="294" t="s">
        <v>16</v>
      </c>
      <c r="BL1310" s="157" t="s">
        <v>16</v>
      </c>
      <c r="BM1310" s="548" t="s">
        <v>1341</v>
      </c>
      <c r="BN1310" s="548" t="s">
        <v>4160</v>
      </c>
      <c r="BO1310" s="157" t="s">
        <v>4664</v>
      </c>
      <c r="BP1310" s="548" t="s">
        <v>4665</v>
      </c>
      <c r="BQ1310" s="157" t="s">
        <v>4269</v>
      </c>
      <c r="BR1310" s="157"/>
    </row>
    <row r="1311" spans="1:70" x14ac:dyDescent="0.25">
      <c r="A1311" s="19" t="s">
        <v>3686</v>
      </c>
      <c r="B1311" s="37" t="s">
        <v>2198</v>
      </c>
      <c r="C1311" s="90">
        <v>44830.78266203704</v>
      </c>
      <c r="D1311" s="114">
        <v>44830.53266203704</v>
      </c>
      <c r="E1311" s="38">
        <v>44830</v>
      </c>
      <c r="F1311" s="91">
        <v>2022</v>
      </c>
      <c r="G1311" s="93">
        <v>9</v>
      </c>
      <c r="H1311" s="37" t="s">
        <v>1378</v>
      </c>
      <c r="I1311" s="37"/>
      <c r="J1311" s="103">
        <v>-91.626034265679678</v>
      </c>
      <c r="K1311" s="40">
        <v>43.138367977457229</v>
      </c>
      <c r="L1311" s="74"/>
      <c r="M1311" s="272" t="s">
        <v>2199</v>
      </c>
      <c r="N1311" s="74">
        <v>1</v>
      </c>
      <c r="O1311" s="94"/>
      <c r="P1311" s="118">
        <v>1</v>
      </c>
      <c r="Q1311" s="510">
        <v>180</v>
      </c>
      <c r="R1311" s="513">
        <v>180</v>
      </c>
      <c r="S1311" s="41"/>
      <c r="T1311" s="40"/>
      <c r="U1311" s="40">
        <v>8</v>
      </c>
      <c r="V1311" s="119">
        <v>0</v>
      </c>
      <c r="W1311" s="40"/>
      <c r="X1311" s="119">
        <v>0</v>
      </c>
      <c r="Y1311" s="40"/>
      <c r="Z1311" s="119">
        <v>0</v>
      </c>
      <c r="AA1311" s="368" t="s">
        <v>16</v>
      </c>
      <c r="AB1311" s="535" t="s">
        <v>16</v>
      </c>
      <c r="AC1311" s="39" t="s">
        <v>160</v>
      </c>
      <c r="AD1311" s="75" t="s">
        <v>16</v>
      </c>
      <c r="AE1311" s="95">
        <v>-1</v>
      </c>
      <c r="AF1311" s="75">
        <v>-1</v>
      </c>
      <c r="AG1311" s="75">
        <v>-1</v>
      </c>
      <c r="AH1311" s="75">
        <v>-1</v>
      </c>
      <c r="AI1311" s="75">
        <v>-1</v>
      </c>
      <c r="AJ1311" s="75">
        <v>-1</v>
      </c>
      <c r="AK1311" s="75">
        <v>-1</v>
      </c>
      <c r="AL1311" s="95">
        <v>-1</v>
      </c>
      <c r="AM1311" s="92">
        <v>1</v>
      </c>
      <c r="AN1311" s="79"/>
      <c r="AO1311" s="75">
        <v>0</v>
      </c>
      <c r="AP1311" s="75"/>
      <c r="AQ1311" s="122">
        <v>0</v>
      </c>
      <c r="AR1311" s="515" t="s">
        <v>16</v>
      </c>
      <c r="AS1311" s="95">
        <v>-1</v>
      </c>
      <c r="AT1311" s="75">
        <v>-1</v>
      </c>
      <c r="AU1311" s="75">
        <v>-1</v>
      </c>
      <c r="AV1311" s="75">
        <v>-1</v>
      </c>
      <c r="AW1311" s="123">
        <v>1</v>
      </c>
      <c r="AX1311" s="516"/>
      <c r="AY1311" s="75">
        <v>0</v>
      </c>
      <c r="AZ1311" s="77" t="s">
        <v>5971</v>
      </c>
      <c r="BA1311" s="78" t="s">
        <v>5971</v>
      </c>
      <c r="BB1311" s="78" t="s">
        <v>5971</v>
      </c>
      <c r="BC1311" s="78" t="s">
        <v>5971</v>
      </c>
      <c r="BD1311" s="78" t="s">
        <v>5971</v>
      </c>
      <c r="BE1311" s="78" t="s">
        <v>5971</v>
      </c>
      <c r="BF1311" s="78" t="s">
        <v>5971</v>
      </c>
      <c r="BG1311" s="78" t="s">
        <v>5971</v>
      </c>
      <c r="BH1311" s="75" t="s">
        <v>5971</v>
      </c>
      <c r="BI1311" s="295" t="s">
        <v>16</v>
      </c>
      <c r="BJ1311" s="546">
        <v>1</v>
      </c>
      <c r="BK1311" s="294" t="s">
        <v>16</v>
      </c>
      <c r="BL1311" s="157" t="s">
        <v>16</v>
      </c>
      <c r="BM1311" s="548" t="s">
        <v>1344</v>
      </c>
      <c r="BN1311" s="548" t="s">
        <v>4158</v>
      </c>
      <c r="BO1311" s="157" t="s">
        <v>4666</v>
      </c>
      <c r="BP1311" s="548" t="s">
        <v>4667</v>
      </c>
      <c r="BQ1311" s="157" t="s">
        <v>4371</v>
      </c>
      <c r="BR1311" s="157"/>
    </row>
    <row r="1312" spans="1:70" x14ac:dyDescent="0.25">
      <c r="A1312" s="19" t="s">
        <v>3686</v>
      </c>
      <c r="B1312" s="37" t="s">
        <v>2200</v>
      </c>
      <c r="C1312" s="90">
        <v>44830.77138888889</v>
      </c>
      <c r="D1312" s="114">
        <v>44830.52138888889</v>
      </c>
      <c r="E1312" s="38">
        <v>44830</v>
      </c>
      <c r="F1312" s="91">
        <v>2022</v>
      </c>
      <c r="G1312" s="93">
        <v>9</v>
      </c>
      <c r="H1312" s="37" t="s">
        <v>1378</v>
      </c>
      <c r="I1312" s="37"/>
      <c r="J1312" s="103">
        <v>-91.629775023861825</v>
      </c>
      <c r="K1312" s="40">
        <v>43.138589766887755</v>
      </c>
      <c r="L1312" s="74"/>
      <c r="M1312" s="272" t="s">
        <v>2201</v>
      </c>
      <c r="N1312" s="74">
        <v>1</v>
      </c>
      <c r="O1312" s="94"/>
      <c r="P1312" s="118">
        <v>0</v>
      </c>
      <c r="Q1312" s="510"/>
      <c r="R1312" s="513"/>
      <c r="S1312" s="41"/>
      <c r="T1312" s="40"/>
      <c r="U1312" s="40"/>
      <c r="V1312" s="119">
        <v>0</v>
      </c>
      <c r="W1312" s="40"/>
      <c r="X1312" s="119">
        <v>0</v>
      </c>
      <c r="Y1312" s="40"/>
      <c r="Z1312" s="119">
        <v>1</v>
      </c>
      <c r="AA1312" s="368">
        <v>0</v>
      </c>
      <c r="AB1312" s="535">
        <v>5</v>
      </c>
      <c r="AC1312" s="39" t="s">
        <v>160</v>
      </c>
      <c r="AD1312" s="75" t="s">
        <v>8</v>
      </c>
      <c r="AE1312" s="95">
        <v>0</v>
      </c>
      <c r="AF1312" s="75">
        <v>1</v>
      </c>
      <c r="AG1312" s="75">
        <v>0</v>
      </c>
      <c r="AH1312" s="75">
        <v>0</v>
      </c>
      <c r="AI1312" s="75">
        <v>0</v>
      </c>
      <c r="AJ1312" s="75">
        <v>0</v>
      </c>
      <c r="AK1312" s="75">
        <v>0</v>
      </c>
      <c r="AL1312" s="95">
        <v>0</v>
      </c>
      <c r="AM1312" s="92">
        <v>0</v>
      </c>
      <c r="AN1312" s="79"/>
      <c r="AO1312" s="75">
        <v>0</v>
      </c>
      <c r="AP1312" s="75"/>
      <c r="AQ1312" s="122">
        <v>0</v>
      </c>
      <c r="AR1312" s="515" t="s">
        <v>16</v>
      </c>
      <c r="AS1312" s="95">
        <v>-1</v>
      </c>
      <c r="AT1312" s="75">
        <v>-1</v>
      </c>
      <c r="AU1312" s="75">
        <v>-1</v>
      </c>
      <c r="AV1312" s="75">
        <v>-1</v>
      </c>
      <c r="AW1312" s="123">
        <v>1</v>
      </c>
      <c r="AX1312" s="516"/>
      <c r="AY1312" s="75">
        <v>0</v>
      </c>
      <c r="AZ1312" s="77" t="s">
        <v>131</v>
      </c>
      <c r="BA1312" s="78" t="s">
        <v>132</v>
      </c>
      <c r="BB1312" s="78" t="s">
        <v>131</v>
      </c>
      <c r="BC1312" s="78" t="s">
        <v>131</v>
      </c>
      <c r="BD1312" s="78" t="s">
        <v>131</v>
      </c>
      <c r="BE1312" s="78" t="s">
        <v>131</v>
      </c>
      <c r="BF1312" s="78" t="s">
        <v>131</v>
      </c>
      <c r="BG1312" s="78" t="s">
        <v>131</v>
      </c>
      <c r="BH1312" s="75" t="s">
        <v>5970</v>
      </c>
      <c r="BI1312" s="295" t="s">
        <v>2290</v>
      </c>
      <c r="BJ1312" s="546">
        <v>1</v>
      </c>
      <c r="BK1312" s="294" t="s">
        <v>16</v>
      </c>
      <c r="BL1312" s="157" t="s">
        <v>16</v>
      </c>
      <c r="BM1312" s="548" t="s">
        <v>1344</v>
      </c>
      <c r="BN1312" s="548" t="s">
        <v>4158</v>
      </c>
      <c r="BO1312" s="157" t="s">
        <v>4666</v>
      </c>
      <c r="BP1312" s="548" t="s">
        <v>4667</v>
      </c>
      <c r="BQ1312" s="157" t="s">
        <v>4371</v>
      </c>
      <c r="BR1312" s="157"/>
    </row>
    <row r="1313" spans="1:70" x14ac:dyDescent="0.25">
      <c r="A1313" s="19" t="s">
        <v>3686</v>
      </c>
      <c r="B1313" s="37" t="s">
        <v>2202</v>
      </c>
      <c r="C1313" s="90">
        <v>44830.760509259257</v>
      </c>
      <c r="D1313" s="114">
        <v>44830.510509259257</v>
      </c>
      <c r="E1313" s="38">
        <v>44830</v>
      </c>
      <c r="F1313" s="91">
        <v>2022</v>
      </c>
      <c r="G1313" s="93">
        <v>9</v>
      </c>
      <c r="H1313" s="37" t="s">
        <v>1378</v>
      </c>
      <c r="I1313" s="37"/>
      <c r="J1313" s="103">
        <v>-91.62793694661184</v>
      </c>
      <c r="K1313" s="40">
        <v>43.139013418083202</v>
      </c>
      <c r="L1313" s="74"/>
      <c r="M1313" s="272" t="s">
        <v>16</v>
      </c>
      <c r="N1313" s="74">
        <v>0</v>
      </c>
      <c r="O1313" s="94"/>
      <c r="P1313" s="118">
        <v>1</v>
      </c>
      <c r="Q1313" s="510">
        <v>180</v>
      </c>
      <c r="R1313" s="513">
        <v>180</v>
      </c>
      <c r="S1313" s="41"/>
      <c r="T1313" s="40"/>
      <c r="U1313" s="40">
        <v>8</v>
      </c>
      <c r="V1313" s="119">
        <v>1</v>
      </c>
      <c r="W1313" s="40">
        <v>100</v>
      </c>
      <c r="X1313" s="119">
        <v>0</v>
      </c>
      <c r="Y1313" s="40"/>
      <c r="Z1313" s="119">
        <v>1</v>
      </c>
      <c r="AA1313" s="368">
        <v>0</v>
      </c>
      <c r="AB1313" s="535">
        <v>0</v>
      </c>
      <c r="AC1313" s="39" t="s">
        <v>355</v>
      </c>
      <c r="AD1313" s="75" t="s">
        <v>355</v>
      </c>
      <c r="AE1313" s="95">
        <v>0</v>
      </c>
      <c r="AF1313" s="75">
        <v>0</v>
      </c>
      <c r="AG1313" s="75">
        <v>0</v>
      </c>
      <c r="AH1313" s="75">
        <v>1</v>
      </c>
      <c r="AI1313" s="75">
        <v>0</v>
      </c>
      <c r="AJ1313" s="75">
        <v>0</v>
      </c>
      <c r="AK1313" s="75">
        <v>0</v>
      </c>
      <c r="AL1313" s="95">
        <v>0</v>
      </c>
      <c r="AM1313" s="92">
        <v>0</v>
      </c>
      <c r="AN1313" s="79" t="s">
        <v>16</v>
      </c>
      <c r="AO1313" s="75">
        <v>0</v>
      </c>
      <c r="AP1313" s="75"/>
      <c r="AQ1313" s="122">
        <v>0</v>
      </c>
      <c r="AR1313" s="515" t="s">
        <v>10</v>
      </c>
      <c r="AS1313" s="95">
        <v>0</v>
      </c>
      <c r="AT1313" s="75">
        <v>0</v>
      </c>
      <c r="AU1313" s="75">
        <v>0</v>
      </c>
      <c r="AV1313" s="75">
        <v>0</v>
      </c>
      <c r="AW1313" s="123">
        <v>0</v>
      </c>
      <c r="AX1313" s="516" t="s">
        <v>2203</v>
      </c>
      <c r="AY1313" s="75">
        <v>1</v>
      </c>
      <c r="AZ1313" s="77" t="s">
        <v>131</v>
      </c>
      <c r="BA1313" s="78" t="s">
        <v>131</v>
      </c>
      <c r="BB1313" s="78" t="s">
        <v>131</v>
      </c>
      <c r="BC1313" s="78" t="s">
        <v>132</v>
      </c>
      <c r="BD1313" s="78" t="s">
        <v>131</v>
      </c>
      <c r="BE1313" s="78" t="s">
        <v>131</v>
      </c>
      <c r="BF1313" s="78" t="s">
        <v>131</v>
      </c>
      <c r="BG1313" s="78" t="s">
        <v>131</v>
      </c>
      <c r="BH1313" s="75" t="s">
        <v>5970</v>
      </c>
      <c r="BI1313" s="295" t="s">
        <v>2290</v>
      </c>
      <c r="BJ1313" s="546">
        <v>1</v>
      </c>
      <c r="BK1313" s="294" t="s">
        <v>16</v>
      </c>
      <c r="BL1313" s="157" t="s">
        <v>16</v>
      </c>
      <c r="BM1313" s="548" t="s">
        <v>1344</v>
      </c>
      <c r="BN1313" s="548" t="s">
        <v>4158</v>
      </c>
      <c r="BO1313" s="157" t="s">
        <v>4666</v>
      </c>
      <c r="BP1313" s="548" t="s">
        <v>4667</v>
      </c>
      <c r="BQ1313" s="157" t="s">
        <v>4371</v>
      </c>
      <c r="BR1313" s="157"/>
    </row>
    <row r="1314" spans="1:70" x14ac:dyDescent="0.25">
      <c r="A1314" s="19" t="s">
        <v>3686</v>
      </c>
      <c r="B1314" s="37" t="s">
        <v>2204</v>
      </c>
      <c r="C1314" s="90">
        <v>44829.833993055552</v>
      </c>
      <c r="D1314" s="114">
        <v>44829.583993055552</v>
      </c>
      <c r="E1314" s="38">
        <v>44829</v>
      </c>
      <c r="F1314" s="91">
        <v>2022</v>
      </c>
      <c r="G1314" s="93">
        <v>9</v>
      </c>
      <c r="H1314" s="37" t="s">
        <v>599</v>
      </c>
      <c r="I1314" s="37"/>
      <c r="J1314" s="103">
        <v>-92.442803976869484</v>
      </c>
      <c r="K1314" s="40">
        <v>44.62135880010775</v>
      </c>
      <c r="L1314" s="74"/>
      <c r="M1314" s="272" t="s">
        <v>16</v>
      </c>
      <c r="N1314" s="74">
        <v>0</v>
      </c>
      <c r="O1314" s="94"/>
      <c r="P1314" s="118">
        <v>1</v>
      </c>
      <c r="Q1314" s="510">
        <v>40</v>
      </c>
      <c r="R1314" s="513">
        <v>120</v>
      </c>
      <c r="S1314" s="41"/>
      <c r="T1314" s="40"/>
      <c r="U1314" s="40">
        <v>8</v>
      </c>
      <c r="V1314" s="119">
        <v>1</v>
      </c>
      <c r="W1314" s="40">
        <v>100</v>
      </c>
      <c r="X1314" s="119">
        <v>1</v>
      </c>
      <c r="Y1314" s="40">
        <v>55</v>
      </c>
      <c r="Z1314" s="119">
        <v>1</v>
      </c>
      <c r="AA1314" s="368">
        <v>0</v>
      </c>
      <c r="AB1314" s="535">
        <v>5</v>
      </c>
      <c r="AC1314" s="39" t="s">
        <v>160</v>
      </c>
      <c r="AD1314" s="75" t="s">
        <v>10</v>
      </c>
      <c r="AE1314" s="95">
        <v>0</v>
      </c>
      <c r="AF1314" s="75">
        <v>0</v>
      </c>
      <c r="AG1314" s="75">
        <v>0</v>
      </c>
      <c r="AH1314" s="75">
        <v>0</v>
      </c>
      <c r="AI1314" s="75">
        <v>0</v>
      </c>
      <c r="AJ1314" s="75">
        <v>0</v>
      </c>
      <c r="AK1314" s="75">
        <v>0</v>
      </c>
      <c r="AL1314" s="95">
        <v>1</v>
      </c>
      <c r="AM1314" s="92">
        <v>0</v>
      </c>
      <c r="AN1314" s="79" t="s">
        <v>80</v>
      </c>
      <c r="AO1314" s="75">
        <v>1</v>
      </c>
      <c r="AP1314" s="75" t="s">
        <v>83</v>
      </c>
      <c r="AQ1314" s="122">
        <v>1</v>
      </c>
      <c r="AR1314" s="515" t="s">
        <v>10</v>
      </c>
      <c r="AS1314" s="95">
        <v>0</v>
      </c>
      <c r="AT1314" s="75">
        <v>0</v>
      </c>
      <c r="AU1314" s="75">
        <v>0</v>
      </c>
      <c r="AV1314" s="75">
        <v>0</v>
      </c>
      <c r="AW1314" s="123">
        <v>0</v>
      </c>
      <c r="AX1314" s="516"/>
      <c r="AY1314" s="75">
        <v>0</v>
      </c>
      <c r="AZ1314" s="77" t="s">
        <v>131</v>
      </c>
      <c r="BA1314" s="78" t="s">
        <v>131</v>
      </c>
      <c r="BB1314" s="78" t="s">
        <v>131</v>
      </c>
      <c r="BC1314" s="78" t="s">
        <v>131</v>
      </c>
      <c r="BD1314" s="78" t="s">
        <v>131</v>
      </c>
      <c r="BE1314" s="78" t="s">
        <v>131</v>
      </c>
      <c r="BF1314" s="78" t="s">
        <v>131</v>
      </c>
      <c r="BG1314" s="78" t="s">
        <v>132</v>
      </c>
      <c r="BH1314" s="75" t="s">
        <v>5970</v>
      </c>
      <c r="BI1314" s="295" t="s">
        <v>2289</v>
      </c>
      <c r="BJ1314" s="546">
        <v>1</v>
      </c>
      <c r="BK1314" s="294" t="s">
        <v>16</v>
      </c>
      <c r="BL1314" s="157" t="s">
        <v>16</v>
      </c>
      <c r="BM1314" s="548" t="s">
        <v>578</v>
      </c>
      <c r="BN1314" s="548" t="s">
        <v>544</v>
      </c>
      <c r="BO1314" s="157" t="s">
        <v>4283</v>
      </c>
      <c r="BP1314" s="548" t="s">
        <v>2289</v>
      </c>
      <c r="BQ1314" s="157" t="s">
        <v>4214</v>
      </c>
      <c r="BR1314" s="157"/>
    </row>
    <row r="1315" spans="1:70" x14ac:dyDescent="0.25">
      <c r="A1315" s="19" t="s">
        <v>3686</v>
      </c>
      <c r="B1315" s="37" t="s">
        <v>2205</v>
      </c>
      <c r="C1315" s="90">
        <v>44826.658587962964</v>
      </c>
      <c r="D1315" s="114">
        <v>44826.408587962964</v>
      </c>
      <c r="E1315" s="38">
        <v>44826</v>
      </c>
      <c r="F1315" s="91">
        <v>2022</v>
      </c>
      <c r="G1315" s="93">
        <v>9</v>
      </c>
      <c r="H1315" s="37" t="s">
        <v>1358</v>
      </c>
      <c r="I1315" s="37"/>
      <c r="J1315" s="103">
        <v>-90.999824599322366</v>
      </c>
      <c r="K1315" s="40">
        <v>43.376207231512346</v>
      </c>
      <c r="L1315" s="74"/>
      <c r="M1315" s="272" t="s">
        <v>16</v>
      </c>
      <c r="N1315" s="74">
        <v>0</v>
      </c>
      <c r="O1315" s="94"/>
      <c r="P1315" s="118">
        <v>1</v>
      </c>
      <c r="Q1315" s="510">
        <v>120</v>
      </c>
      <c r="R1315" s="513">
        <v>180</v>
      </c>
      <c r="S1315" s="41"/>
      <c r="T1315" s="40"/>
      <c r="U1315" s="40">
        <v>8</v>
      </c>
      <c r="V1315" s="119">
        <v>0</v>
      </c>
      <c r="W1315" s="40"/>
      <c r="X1315" s="119">
        <v>0</v>
      </c>
      <c r="Y1315" s="40"/>
      <c r="Z1315" s="119">
        <v>1</v>
      </c>
      <c r="AA1315" s="368">
        <v>0</v>
      </c>
      <c r="AB1315" s="535">
        <v>2</v>
      </c>
      <c r="AC1315" s="39" t="s">
        <v>160</v>
      </c>
      <c r="AD1315" s="75" t="s">
        <v>16</v>
      </c>
      <c r="AE1315" s="95">
        <v>-1</v>
      </c>
      <c r="AF1315" s="75">
        <v>-1</v>
      </c>
      <c r="AG1315" s="75">
        <v>-1</v>
      </c>
      <c r="AH1315" s="75">
        <v>-1</v>
      </c>
      <c r="AI1315" s="75">
        <v>-1</v>
      </c>
      <c r="AJ1315" s="75">
        <v>-1</v>
      </c>
      <c r="AK1315" s="75">
        <v>-1</v>
      </c>
      <c r="AL1315" s="95">
        <v>-1</v>
      </c>
      <c r="AM1315" s="92">
        <v>1</v>
      </c>
      <c r="AN1315" s="79"/>
      <c r="AO1315" s="75">
        <v>0</v>
      </c>
      <c r="AP1315" s="75"/>
      <c r="AQ1315" s="122">
        <v>0</v>
      </c>
      <c r="AR1315" s="515" t="s">
        <v>16</v>
      </c>
      <c r="AS1315" s="95">
        <v>-1</v>
      </c>
      <c r="AT1315" s="75">
        <v>-1</v>
      </c>
      <c r="AU1315" s="75">
        <v>-1</v>
      </c>
      <c r="AV1315" s="75">
        <v>-1</v>
      </c>
      <c r="AW1315" s="123">
        <v>1</v>
      </c>
      <c r="AX1315" s="516"/>
      <c r="AY1315" s="75">
        <v>0</v>
      </c>
      <c r="AZ1315" s="77" t="s">
        <v>5971</v>
      </c>
      <c r="BA1315" s="78" t="s">
        <v>5971</v>
      </c>
      <c r="BB1315" s="78" t="s">
        <v>5971</v>
      </c>
      <c r="BC1315" s="78" t="s">
        <v>5971</v>
      </c>
      <c r="BD1315" s="78" t="s">
        <v>5971</v>
      </c>
      <c r="BE1315" s="78" t="s">
        <v>5971</v>
      </c>
      <c r="BF1315" s="78" t="s">
        <v>5971</v>
      </c>
      <c r="BG1315" s="78" t="s">
        <v>5971</v>
      </c>
      <c r="BH1315" s="75" t="s">
        <v>5971</v>
      </c>
      <c r="BI1315" s="295" t="s">
        <v>2239</v>
      </c>
      <c r="BJ1315" s="546">
        <v>1</v>
      </c>
      <c r="BK1315" s="294" t="s">
        <v>16</v>
      </c>
      <c r="BL1315" s="157" t="s">
        <v>16</v>
      </c>
      <c r="BM1315" s="548" t="s">
        <v>1342</v>
      </c>
      <c r="BN1315" s="548" t="s">
        <v>4160</v>
      </c>
      <c r="BO1315" s="157" t="s">
        <v>4437</v>
      </c>
      <c r="BP1315" s="548" t="s">
        <v>2239</v>
      </c>
      <c r="BQ1315" s="157" t="s">
        <v>4336</v>
      </c>
      <c r="BR1315" s="157"/>
    </row>
    <row r="1316" spans="1:70" x14ac:dyDescent="0.25">
      <c r="A1316" s="19" t="s">
        <v>3686</v>
      </c>
      <c r="B1316" s="37" t="s">
        <v>2206</v>
      </c>
      <c r="C1316" s="90">
        <v>44826.621504629627</v>
      </c>
      <c r="D1316" s="114">
        <v>44826.371504629627</v>
      </c>
      <c r="E1316" s="38">
        <v>44826</v>
      </c>
      <c r="F1316" s="91">
        <v>2022</v>
      </c>
      <c r="G1316" s="93">
        <v>9</v>
      </c>
      <c r="H1316" s="37" t="s">
        <v>1358</v>
      </c>
      <c r="I1316" s="37"/>
      <c r="J1316" s="103">
        <v>-90.999746768086482</v>
      </c>
      <c r="K1316" s="40">
        <v>43.376352738950594</v>
      </c>
      <c r="L1316" s="74"/>
      <c r="M1316" s="272" t="s">
        <v>16</v>
      </c>
      <c r="N1316" s="74">
        <v>0</v>
      </c>
      <c r="O1316" s="94"/>
      <c r="P1316" s="118">
        <v>1</v>
      </c>
      <c r="Q1316" s="510">
        <v>40</v>
      </c>
      <c r="R1316" s="513">
        <v>180</v>
      </c>
      <c r="S1316" s="41"/>
      <c r="T1316" s="40"/>
      <c r="U1316" s="40">
        <v>7</v>
      </c>
      <c r="V1316" s="119">
        <v>0</v>
      </c>
      <c r="W1316" s="40"/>
      <c r="X1316" s="119">
        <v>1</v>
      </c>
      <c r="Y1316" s="40">
        <v>57</v>
      </c>
      <c r="Z1316" s="119">
        <v>1</v>
      </c>
      <c r="AA1316" s="368">
        <v>0</v>
      </c>
      <c r="AB1316" s="535">
        <v>2</v>
      </c>
      <c r="AC1316" s="39" t="s">
        <v>160</v>
      </c>
      <c r="AD1316" s="75" t="s">
        <v>16</v>
      </c>
      <c r="AE1316" s="95">
        <v>-1</v>
      </c>
      <c r="AF1316" s="75">
        <v>-1</v>
      </c>
      <c r="AG1316" s="75">
        <v>-1</v>
      </c>
      <c r="AH1316" s="75">
        <v>-1</v>
      </c>
      <c r="AI1316" s="75">
        <v>-1</v>
      </c>
      <c r="AJ1316" s="75">
        <v>-1</v>
      </c>
      <c r="AK1316" s="75">
        <v>-1</v>
      </c>
      <c r="AL1316" s="95">
        <v>-1</v>
      </c>
      <c r="AM1316" s="92">
        <v>1</v>
      </c>
      <c r="AN1316" s="79"/>
      <c r="AO1316" s="75">
        <v>0</v>
      </c>
      <c r="AP1316" s="75"/>
      <c r="AQ1316" s="122">
        <v>0</v>
      </c>
      <c r="AR1316" s="515" t="s">
        <v>16</v>
      </c>
      <c r="AS1316" s="95">
        <v>-1</v>
      </c>
      <c r="AT1316" s="75">
        <v>-1</v>
      </c>
      <c r="AU1316" s="75">
        <v>-1</v>
      </c>
      <c r="AV1316" s="75">
        <v>-1</v>
      </c>
      <c r="AW1316" s="123">
        <v>1</v>
      </c>
      <c r="AX1316" s="516"/>
      <c r="AY1316" s="75">
        <v>0</v>
      </c>
      <c r="AZ1316" s="77" t="s">
        <v>5971</v>
      </c>
      <c r="BA1316" s="78" t="s">
        <v>5971</v>
      </c>
      <c r="BB1316" s="78" t="s">
        <v>5971</v>
      </c>
      <c r="BC1316" s="78" t="s">
        <v>5971</v>
      </c>
      <c r="BD1316" s="78" t="s">
        <v>5971</v>
      </c>
      <c r="BE1316" s="78" t="s">
        <v>5971</v>
      </c>
      <c r="BF1316" s="78" t="s">
        <v>5971</v>
      </c>
      <c r="BG1316" s="78" t="s">
        <v>5971</v>
      </c>
      <c r="BH1316" s="75" t="s">
        <v>5971</v>
      </c>
      <c r="BI1316" s="295" t="s">
        <v>2239</v>
      </c>
      <c r="BJ1316" s="546">
        <v>1</v>
      </c>
      <c r="BK1316" s="294" t="s">
        <v>16</v>
      </c>
      <c r="BL1316" s="157" t="s">
        <v>16</v>
      </c>
      <c r="BM1316" s="548" t="s">
        <v>1342</v>
      </c>
      <c r="BN1316" s="548" t="s">
        <v>4160</v>
      </c>
      <c r="BO1316" s="157" t="s">
        <v>4437</v>
      </c>
      <c r="BP1316" s="548" t="s">
        <v>2239</v>
      </c>
      <c r="BQ1316" s="157" t="s">
        <v>4336</v>
      </c>
      <c r="BR1316" s="157"/>
    </row>
    <row r="1317" spans="1:70" x14ac:dyDescent="0.25">
      <c r="A1317" s="19" t="s">
        <v>3686</v>
      </c>
      <c r="B1317" s="37" t="s">
        <v>1351</v>
      </c>
      <c r="C1317" s="90">
        <v>44825.894837962966</v>
      </c>
      <c r="D1317" s="114">
        <v>44825.644837962966</v>
      </c>
      <c r="E1317" s="38">
        <v>44825</v>
      </c>
      <c r="F1317" s="91">
        <v>2022</v>
      </c>
      <c r="G1317" s="93">
        <v>9</v>
      </c>
      <c r="H1317" s="37" t="s">
        <v>622</v>
      </c>
      <c r="I1317" s="37"/>
      <c r="J1317" s="103">
        <v>-92.276551975023239</v>
      </c>
      <c r="K1317" s="40">
        <v>44.431260922033736</v>
      </c>
      <c r="L1317" s="74"/>
      <c r="M1317" s="272" t="s">
        <v>16</v>
      </c>
      <c r="N1317" s="74">
        <v>0</v>
      </c>
      <c r="O1317" s="94"/>
      <c r="P1317" s="118">
        <v>1</v>
      </c>
      <c r="Q1317" s="510">
        <v>0</v>
      </c>
      <c r="R1317" s="513">
        <v>30</v>
      </c>
      <c r="S1317" s="41"/>
      <c r="T1317" s="40"/>
      <c r="U1317" s="40">
        <v>7.5</v>
      </c>
      <c r="V1317" s="119">
        <v>0</v>
      </c>
      <c r="W1317" s="40"/>
      <c r="X1317" s="119">
        <v>0</v>
      </c>
      <c r="Y1317" s="40"/>
      <c r="Z1317" s="119">
        <v>0</v>
      </c>
      <c r="AA1317" s="368" t="s">
        <v>16</v>
      </c>
      <c r="AB1317" s="535" t="s">
        <v>16</v>
      </c>
      <c r="AC1317" s="39" t="s">
        <v>160</v>
      </c>
      <c r="AD1317" s="75" t="s">
        <v>16</v>
      </c>
      <c r="AE1317" s="95">
        <v>-1</v>
      </c>
      <c r="AF1317" s="75">
        <v>-1</v>
      </c>
      <c r="AG1317" s="75">
        <v>-1</v>
      </c>
      <c r="AH1317" s="75">
        <v>-1</v>
      </c>
      <c r="AI1317" s="75">
        <v>-1</v>
      </c>
      <c r="AJ1317" s="75">
        <v>-1</v>
      </c>
      <c r="AK1317" s="75">
        <v>-1</v>
      </c>
      <c r="AL1317" s="95">
        <v>-1</v>
      </c>
      <c r="AM1317" s="92">
        <v>1</v>
      </c>
      <c r="AN1317" s="79"/>
      <c r="AO1317" s="75">
        <v>0</v>
      </c>
      <c r="AP1317" s="75"/>
      <c r="AQ1317" s="122">
        <v>0</v>
      </c>
      <c r="AR1317" s="515" t="s">
        <v>16</v>
      </c>
      <c r="AS1317" s="95">
        <v>-1</v>
      </c>
      <c r="AT1317" s="75">
        <v>-1</v>
      </c>
      <c r="AU1317" s="75">
        <v>-1</v>
      </c>
      <c r="AV1317" s="75">
        <v>-1</v>
      </c>
      <c r="AW1317" s="123">
        <v>1</v>
      </c>
      <c r="AX1317" s="516"/>
      <c r="AY1317" s="75">
        <v>0</v>
      </c>
      <c r="AZ1317" s="77" t="s">
        <v>5971</v>
      </c>
      <c r="BA1317" s="78" t="s">
        <v>5971</v>
      </c>
      <c r="BB1317" s="78" t="s">
        <v>5971</v>
      </c>
      <c r="BC1317" s="78" t="s">
        <v>5971</v>
      </c>
      <c r="BD1317" s="78" t="s">
        <v>5971</v>
      </c>
      <c r="BE1317" s="78" t="s">
        <v>5971</v>
      </c>
      <c r="BF1317" s="78" t="s">
        <v>5971</v>
      </c>
      <c r="BG1317" s="78" t="s">
        <v>5971</v>
      </c>
      <c r="BH1317" s="75" t="s">
        <v>5971</v>
      </c>
      <c r="BI1317" s="295" t="s">
        <v>16</v>
      </c>
      <c r="BJ1317" s="546">
        <v>1</v>
      </c>
      <c r="BK1317" s="294" t="s">
        <v>16</v>
      </c>
      <c r="BL1317" s="157" t="s">
        <v>16</v>
      </c>
      <c r="BM1317" s="548" t="s">
        <v>1339</v>
      </c>
      <c r="BN1317" s="548" t="s">
        <v>1339</v>
      </c>
      <c r="BO1317" s="157" t="s">
        <v>4614</v>
      </c>
      <c r="BP1317" s="548" t="s">
        <v>2228</v>
      </c>
      <c r="BQ1317" s="157" t="s">
        <v>4214</v>
      </c>
      <c r="BR1317" s="157"/>
    </row>
    <row r="1318" spans="1:70" x14ac:dyDescent="0.25">
      <c r="A1318" s="19" t="s">
        <v>3686</v>
      </c>
      <c r="B1318" s="37" t="s">
        <v>1352</v>
      </c>
      <c r="C1318" s="90">
        <v>44824.755787037036</v>
      </c>
      <c r="D1318" s="114">
        <v>44824.505787037036</v>
      </c>
      <c r="E1318" s="38">
        <v>44824</v>
      </c>
      <c r="F1318" s="91">
        <v>2022</v>
      </c>
      <c r="G1318" s="93">
        <v>9</v>
      </c>
      <c r="H1318" s="37" t="s">
        <v>1353</v>
      </c>
      <c r="I1318" s="37" t="s">
        <v>16</v>
      </c>
      <c r="J1318" s="103">
        <v>-91.650631300000001</v>
      </c>
      <c r="K1318" s="40">
        <v>43.496033300000001</v>
      </c>
      <c r="L1318" s="74"/>
      <c r="M1318" s="272" t="s">
        <v>1354</v>
      </c>
      <c r="N1318" s="74">
        <v>1</v>
      </c>
      <c r="O1318" s="94"/>
      <c r="P1318" s="118">
        <v>1</v>
      </c>
      <c r="Q1318" s="510">
        <v>180</v>
      </c>
      <c r="R1318" s="513">
        <v>120</v>
      </c>
      <c r="S1318" s="41"/>
      <c r="T1318" s="40"/>
      <c r="U1318" s="40">
        <v>7.5</v>
      </c>
      <c r="V1318" s="119">
        <v>0</v>
      </c>
      <c r="W1318" s="40"/>
      <c r="X1318" s="119">
        <v>1</v>
      </c>
      <c r="Y1318" s="40">
        <v>55</v>
      </c>
      <c r="Z1318" s="119">
        <v>1</v>
      </c>
      <c r="AA1318" s="368">
        <v>0</v>
      </c>
      <c r="AB1318" s="535">
        <v>2</v>
      </c>
      <c r="AC1318" s="39" t="s">
        <v>160</v>
      </c>
      <c r="AD1318" s="75" t="s">
        <v>10</v>
      </c>
      <c r="AE1318" s="95">
        <v>0</v>
      </c>
      <c r="AF1318" s="75">
        <v>0</v>
      </c>
      <c r="AG1318" s="75">
        <v>0</v>
      </c>
      <c r="AH1318" s="75">
        <v>0</v>
      </c>
      <c r="AI1318" s="75">
        <v>0</v>
      </c>
      <c r="AJ1318" s="75">
        <v>0</v>
      </c>
      <c r="AK1318" s="75">
        <v>0</v>
      </c>
      <c r="AL1318" s="95">
        <v>1</v>
      </c>
      <c r="AM1318" s="92">
        <v>0</v>
      </c>
      <c r="AN1318" s="79" t="s">
        <v>80</v>
      </c>
      <c r="AO1318" s="75">
        <v>1</v>
      </c>
      <c r="AP1318" s="75" t="s">
        <v>83</v>
      </c>
      <c r="AQ1318" s="122">
        <v>1</v>
      </c>
      <c r="AR1318" s="515" t="s">
        <v>10</v>
      </c>
      <c r="AS1318" s="95">
        <v>0</v>
      </c>
      <c r="AT1318" s="75">
        <v>0</v>
      </c>
      <c r="AU1318" s="75">
        <v>0</v>
      </c>
      <c r="AV1318" s="75">
        <v>0</v>
      </c>
      <c r="AW1318" s="123">
        <v>0</v>
      </c>
      <c r="AX1318" s="516"/>
      <c r="AY1318" s="75">
        <v>0</v>
      </c>
      <c r="AZ1318" s="77" t="s">
        <v>131</v>
      </c>
      <c r="BA1318" s="78" t="s">
        <v>131</v>
      </c>
      <c r="BB1318" s="78" t="s">
        <v>131</v>
      </c>
      <c r="BC1318" s="78" t="s">
        <v>131</v>
      </c>
      <c r="BD1318" s="78" t="s">
        <v>131</v>
      </c>
      <c r="BE1318" s="78" t="s">
        <v>131</v>
      </c>
      <c r="BF1318" s="78" t="s">
        <v>131</v>
      </c>
      <c r="BG1318" s="78" t="s">
        <v>132</v>
      </c>
      <c r="BH1318" s="75" t="s">
        <v>5970</v>
      </c>
      <c r="BI1318" s="295" t="s">
        <v>4042</v>
      </c>
      <c r="BJ1318" s="546">
        <v>1</v>
      </c>
      <c r="BK1318" s="294" t="s">
        <v>16</v>
      </c>
      <c r="BL1318" s="157" t="s">
        <v>16</v>
      </c>
      <c r="BM1318" s="548" t="s">
        <v>1344</v>
      </c>
      <c r="BN1318" s="548" t="s">
        <v>4158</v>
      </c>
      <c r="BO1318" s="157" t="s">
        <v>4443</v>
      </c>
      <c r="BP1318" s="548" t="s">
        <v>4042</v>
      </c>
      <c r="BQ1318" s="157" t="s">
        <v>4241</v>
      </c>
      <c r="BR1318" s="157"/>
    </row>
    <row r="1319" spans="1:70" x14ac:dyDescent="0.25">
      <c r="A1319" s="19" t="s">
        <v>3686</v>
      </c>
      <c r="B1319" s="37" t="s">
        <v>1355</v>
      </c>
      <c r="C1319" s="90">
        <v>44824.658460648148</v>
      </c>
      <c r="D1319" s="114">
        <v>44824.408460648148</v>
      </c>
      <c r="E1319" s="38">
        <v>44824</v>
      </c>
      <c r="F1319" s="91">
        <v>2022</v>
      </c>
      <c r="G1319" s="93">
        <v>9</v>
      </c>
      <c r="H1319" s="37" t="s">
        <v>201</v>
      </c>
      <c r="I1319" s="37"/>
      <c r="J1319" s="103">
        <v>-92.732057361886945</v>
      </c>
      <c r="K1319" s="40">
        <v>44.831070237420448</v>
      </c>
      <c r="L1319" s="74"/>
      <c r="M1319" s="272" t="s">
        <v>16</v>
      </c>
      <c r="N1319" s="74">
        <v>0</v>
      </c>
      <c r="O1319" s="94"/>
      <c r="P1319" s="118">
        <v>1</v>
      </c>
      <c r="Q1319" s="510">
        <v>180</v>
      </c>
      <c r="R1319" s="513">
        <v>180</v>
      </c>
      <c r="S1319" s="41"/>
      <c r="T1319" s="40"/>
      <c r="U1319" s="40">
        <v>8</v>
      </c>
      <c r="V1319" s="119">
        <v>1</v>
      </c>
      <c r="W1319" s="40">
        <v>0</v>
      </c>
      <c r="X1319" s="119">
        <v>1</v>
      </c>
      <c r="Y1319" s="40">
        <v>59</v>
      </c>
      <c r="Z1319" s="119">
        <v>1</v>
      </c>
      <c r="AA1319" s="368">
        <v>0</v>
      </c>
      <c r="AB1319" s="535">
        <v>5</v>
      </c>
      <c r="AC1319" s="39" t="s">
        <v>160</v>
      </c>
      <c r="AD1319" s="75" t="s">
        <v>365</v>
      </c>
      <c r="AE1319" s="95">
        <v>0</v>
      </c>
      <c r="AF1319" s="75">
        <v>1</v>
      </c>
      <c r="AG1319" s="75">
        <v>1</v>
      </c>
      <c r="AH1319" s="75">
        <v>0</v>
      </c>
      <c r="AI1319" s="75">
        <v>0</v>
      </c>
      <c r="AJ1319" s="75">
        <v>0</v>
      </c>
      <c r="AK1319" s="75">
        <v>0</v>
      </c>
      <c r="AL1319" s="95">
        <v>0</v>
      </c>
      <c r="AM1319" s="92">
        <v>0</v>
      </c>
      <c r="AN1319" s="79" t="s">
        <v>80</v>
      </c>
      <c r="AO1319" s="75">
        <v>1</v>
      </c>
      <c r="AP1319" s="75" t="s">
        <v>83</v>
      </c>
      <c r="AQ1319" s="122">
        <v>1</v>
      </c>
      <c r="AR1319" s="515" t="s">
        <v>10</v>
      </c>
      <c r="AS1319" s="95">
        <v>0</v>
      </c>
      <c r="AT1319" s="75">
        <v>0</v>
      </c>
      <c r="AU1319" s="75">
        <v>0</v>
      </c>
      <c r="AV1319" s="75">
        <v>0</v>
      </c>
      <c r="AW1319" s="123">
        <v>0</v>
      </c>
      <c r="AX1319" s="516" t="s">
        <v>1356</v>
      </c>
      <c r="AY1319" s="75">
        <v>1</v>
      </c>
      <c r="AZ1319" s="77" t="s">
        <v>131</v>
      </c>
      <c r="BA1319" s="78" t="s">
        <v>132</v>
      </c>
      <c r="BB1319" s="78" t="s">
        <v>132</v>
      </c>
      <c r="BC1319" s="78" t="s">
        <v>131</v>
      </c>
      <c r="BD1319" s="78" t="s">
        <v>131</v>
      </c>
      <c r="BE1319" s="78" t="s">
        <v>131</v>
      </c>
      <c r="BF1319" s="78" t="s">
        <v>131</v>
      </c>
      <c r="BG1319" s="78" t="s">
        <v>131</v>
      </c>
      <c r="BH1319" s="75" t="s">
        <v>5970</v>
      </c>
      <c r="BI1319" s="295" t="s">
        <v>2227</v>
      </c>
      <c r="BJ1319" s="546">
        <v>1</v>
      </c>
      <c r="BK1319" s="294" t="s">
        <v>16</v>
      </c>
      <c r="BL1319" s="157" t="s">
        <v>16</v>
      </c>
      <c r="BM1319" s="548" t="s">
        <v>578</v>
      </c>
      <c r="BN1319" s="548" t="s">
        <v>578</v>
      </c>
      <c r="BO1319" s="157" t="s">
        <v>4341</v>
      </c>
      <c r="BP1319" s="548" t="s">
        <v>4343</v>
      </c>
      <c r="BQ1319" s="157" t="s">
        <v>4309</v>
      </c>
      <c r="BR1319" s="157"/>
    </row>
    <row r="1320" spans="1:70" x14ac:dyDescent="0.25">
      <c r="A1320" s="19" t="s">
        <v>3686</v>
      </c>
      <c r="B1320" s="37" t="s">
        <v>1357</v>
      </c>
      <c r="C1320" s="90">
        <v>44823.71769675926</v>
      </c>
      <c r="D1320" s="114">
        <v>44823.46769675926</v>
      </c>
      <c r="E1320" s="38">
        <v>44823</v>
      </c>
      <c r="F1320" s="91">
        <v>2022</v>
      </c>
      <c r="G1320" s="93">
        <v>9</v>
      </c>
      <c r="H1320" s="37" t="s">
        <v>1358</v>
      </c>
      <c r="I1320" s="37" t="s">
        <v>146</v>
      </c>
      <c r="J1320" s="103">
        <v>-91.186612720719523</v>
      </c>
      <c r="K1320" s="40">
        <v>43.864698204247922</v>
      </c>
      <c r="L1320" s="74"/>
      <c r="M1320" s="272" t="s">
        <v>16</v>
      </c>
      <c r="N1320" s="74">
        <v>0</v>
      </c>
      <c r="O1320" s="94"/>
      <c r="P1320" s="118">
        <v>1</v>
      </c>
      <c r="Q1320" s="510">
        <v>180</v>
      </c>
      <c r="R1320" s="513">
        <v>180</v>
      </c>
      <c r="S1320" s="41"/>
      <c r="T1320" s="40"/>
      <c r="U1320" s="40">
        <v>8</v>
      </c>
      <c r="V1320" s="119">
        <v>1</v>
      </c>
      <c r="W1320" s="40">
        <v>0</v>
      </c>
      <c r="X1320" s="119">
        <v>1</v>
      </c>
      <c r="Y1320" s="40">
        <v>62</v>
      </c>
      <c r="Z1320" s="119">
        <v>1</v>
      </c>
      <c r="AA1320" s="368">
        <v>0</v>
      </c>
      <c r="AB1320" s="535">
        <v>0</v>
      </c>
      <c r="AC1320" s="39" t="s">
        <v>160</v>
      </c>
      <c r="AD1320" s="75" t="s">
        <v>16</v>
      </c>
      <c r="AE1320" s="95">
        <v>-1</v>
      </c>
      <c r="AF1320" s="75">
        <v>-1</v>
      </c>
      <c r="AG1320" s="75">
        <v>-1</v>
      </c>
      <c r="AH1320" s="75">
        <v>-1</v>
      </c>
      <c r="AI1320" s="75">
        <v>-1</v>
      </c>
      <c r="AJ1320" s="75">
        <v>-1</v>
      </c>
      <c r="AK1320" s="75">
        <v>-1</v>
      </c>
      <c r="AL1320" s="95">
        <v>-1</v>
      </c>
      <c r="AM1320" s="92">
        <v>1</v>
      </c>
      <c r="AN1320" s="79" t="s">
        <v>16</v>
      </c>
      <c r="AO1320" s="75">
        <v>0</v>
      </c>
      <c r="AP1320" s="75" t="s">
        <v>83</v>
      </c>
      <c r="AQ1320" s="122">
        <v>1</v>
      </c>
      <c r="AR1320" s="515" t="s">
        <v>10</v>
      </c>
      <c r="AS1320" s="95">
        <v>0</v>
      </c>
      <c r="AT1320" s="75">
        <v>0</v>
      </c>
      <c r="AU1320" s="75">
        <v>0</v>
      </c>
      <c r="AV1320" s="75">
        <v>0</v>
      </c>
      <c r="AW1320" s="123">
        <v>0</v>
      </c>
      <c r="AX1320" s="516"/>
      <c r="AY1320" s="75">
        <v>0</v>
      </c>
      <c r="AZ1320" s="77" t="s">
        <v>5971</v>
      </c>
      <c r="BA1320" s="78" t="s">
        <v>5971</v>
      </c>
      <c r="BB1320" s="78" t="s">
        <v>5971</v>
      </c>
      <c r="BC1320" s="78" t="s">
        <v>5971</v>
      </c>
      <c r="BD1320" s="78" t="s">
        <v>5971</v>
      </c>
      <c r="BE1320" s="78" t="s">
        <v>5971</v>
      </c>
      <c r="BF1320" s="78" t="s">
        <v>5971</v>
      </c>
      <c r="BG1320" s="78" t="s">
        <v>5971</v>
      </c>
      <c r="BH1320" s="75" t="s">
        <v>5971</v>
      </c>
      <c r="BI1320" s="295" t="s">
        <v>5966</v>
      </c>
      <c r="BJ1320" s="546" t="s">
        <v>16</v>
      </c>
      <c r="BK1320" s="294">
        <v>1</v>
      </c>
      <c r="BL1320" s="157">
        <v>1</v>
      </c>
      <c r="BM1320" s="548" t="s">
        <v>1342</v>
      </c>
      <c r="BN1320" s="548" t="s">
        <v>4160</v>
      </c>
      <c r="BO1320" s="157" t="s">
        <v>4615</v>
      </c>
      <c r="BP1320" s="548" t="s">
        <v>4617</v>
      </c>
      <c r="BQ1320" s="157" t="s">
        <v>4339</v>
      </c>
      <c r="BR1320" s="157"/>
    </row>
    <row r="1321" spans="1:70" x14ac:dyDescent="0.25">
      <c r="A1321" s="19" t="s">
        <v>3686</v>
      </c>
      <c r="B1321" s="37" t="s">
        <v>1359</v>
      </c>
      <c r="C1321" s="90">
        <v>44823.683495370373</v>
      </c>
      <c r="D1321" s="114">
        <v>44823.433495370373</v>
      </c>
      <c r="E1321" s="38">
        <v>44823</v>
      </c>
      <c r="F1321" s="91">
        <v>2022</v>
      </c>
      <c r="G1321" s="93">
        <v>9</v>
      </c>
      <c r="H1321" s="37" t="s">
        <v>1358</v>
      </c>
      <c r="I1321" s="37"/>
      <c r="J1321" s="103">
        <v>-91.182340449952562</v>
      </c>
      <c r="K1321" s="40">
        <v>43.855751372208303</v>
      </c>
      <c r="L1321" s="74"/>
      <c r="M1321" s="272" t="s">
        <v>16</v>
      </c>
      <c r="N1321" s="74">
        <v>0</v>
      </c>
      <c r="O1321" s="94"/>
      <c r="P1321" s="118">
        <v>1</v>
      </c>
      <c r="Q1321" s="510">
        <v>180</v>
      </c>
      <c r="R1321" s="513">
        <v>180</v>
      </c>
      <c r="S1321" s="41"/>
      <c r="T1321" s="40"/>
      <c r="U1321" s="40">
        <v>8</v>
      </c>
      <c r="V1321" s="119">
        <v>0</v>
      </c>
      <c r="W1321" s="40"/>
      <c r="X1321" s="119">
        <v>1</v>
      </c>
      <c r="Y1321" s="40">
        <v>62</v>
      </c>
      <c r="Z1321" s="119">
        <v>0</v>
      </c>
      <c r="AA1321" s="368" t="s">
        <v>16</v>
      </c>
      <c r="AB1321" s="535" t="s">
        <v>16</v>
      </c>
      <c r="AC1321" s="39" t="s">
        <v>160</v>
      </c>
      <c r="AD1321" s="75" t="s">
        <v>16</v>
      </c>
      <c r="AE1321" s="95">
        <v>-1</v>
      </c>
      <c r="AF1321" s="75">
        <v>-1</v>
      </c>
      <c r="AG1321" s="75">
        <v>-1</v>
      </c>
      <c r="AH1321" s="75">
        <v>-1</v>
      </c>
      <c r="AI1321" s="75">
        <v>-1</v>
      </c>
      <c r="AJ1321" s="75">
        <v>-1</v>
      </c>
      <c r="AK1321" s="75">
        <v>-1</v>
      </c>
      <c r="AL1321" s="95">
        <v>-1</v>
      </c>
      <c r="AM1321" s="92">
        <v>1</v>
      </c>
      <c r="AN1321" s="79"/>
      <c r="AO1321" s="75">
        <v>0</v>
      </c>
      <c r="AP1321" s="75"/>
      <c r="AQ1321" s="122">
        <v>0</v>
      </c>
      <c r="AR1321" s="515" t="s">
        <v>16</v>
      </c>
      <c r="AS1321" s="95">
        <v>-1</v>
      </c>
      <c r="AT1321" s="75">
        <v>-1</v>
      </c>
      <c r="AU1321" s="75">
        <v>-1</v>
      </c>
      <c r="AV1321" s="75">
        <v>-1</v>
      </c>
      <c r="AW1321" s="123">
        <v>1</v>
      </c>
      <c r="AX1321" s="516"/>
      <c r="AY1321" s="75">
        <v>0</v>
      </c>
      <c r="AZ1321" s="77" t="s">
        <v>5971</v>
      </c>
      <c r="BA1321" s="78" t="s">
        <v>5971</v>
      </c>
      <c r="BB1321" s="78" t="s">
        <v>5971</v>
      </c>
      <c r="BC1321" s="78" t="s">
        <v>5971</v>
      </c>
      <c r="BD1321" s="78" t="s">
        <v>5971</v>
      </c>
      <c r="BE1321" s="78" t="s">
        <v>5971</v>
      </c>
      <c r="BF1321" s="78" t="s">
        <v>5971</v>
      </c>
      <c r="BG1321" s="78" t="s">
        <v>5971</v>
      </c>
      <c r="BH1321" s="75" t="s">
        <v>5971</v>
      </c>
      <c r="BI1321" s="295">
        <v>0</v>
      </c>
      <c r="BJ1321" s="546">
        <v>1</v>
      </c>
      <c r="BK1321" s="294">
        <v>1</v>
      </c>
      <c r="BL1321" s="157">
        <v>1</v>
      </c>
      <c r="BM1321" s="548" t="s">
        <v>1342</v>
      </c>
      <c r="BN1321" s="548" t="s">
        <v>4160</v>
      </c>
      <c r="BO1321" s="157" t="s">
        <v>4615</v>
      </c>
      <c r="BP1321" s="548" t="s">
        <v>4617</v>
      </c>
      <c r="BQ1321" s="157" t="s">
        <v>4339</v>
      </c>
      <c r="BR1321" s="157"/>
    </row>
    <row r="1322" spans="1:70" x14ac:dyDescent="0.25">
      <c r="A1322" s="19" t="s">
        <v>3686</v>
      </c>
      <c r="B1322" s="37" t="s">
        <v>1360</v>
      </c>
      <c r="C1322" s="90">
        <v>44821.722060185188</v>
      </c>
      <c r="D1322" s="114">
        <v>44821.472060185188</v>
      </c>
      <c r="E1322" s="38">
        <v>44821</v>
      </c>
      <c r="F1322" s="91">
        <v>2022</v>
      </c>
      <c r="G1322" s="93">
        <v>9</v>
      </c>
      <c r="H1322" s="37" t="s">
        <v>1361</v>
      </c>
      <c r="I1322" s="37"/>
      <c r="J1322" s="103">
        <v>-91.687978841449777</v>
      </c>
      <c r="K1322" s="40">
        <v>42.803196259814129</v>
      </c>
      <c r="L1322" s="74"/>
      <c r="M1322" s="272" t="s">
        <v>1362</v>
      </c>
      <c r="N1322" s="74">
        <v>1</v>
      </c>
      <c r="O1322" s="94"/>
      <c r="P1322" s="118">
        <v>1</v>
      </c>
      <c r="Q1322" s="510">
        <v>180</v>
      </c>
      <c r="R1322" s="513">
        <v>180</v>
      </c>
      <c r="S1322" s="41"/>
      <c r="T1322" s="40"/>
      <c r="U1322" s="40">
        <v>8</v>
      </c>
      <c r="V1322" s="119">
        <v>1</v>
      </c>
      <c r="W1322" s="40">
        <v>0</v>
      </c>
      <c r="X1322" s="119">
        <v>1</v>
      </c>
      <c r="Y1322" s="40">
        <v>0</v>
      </c>
      <c r="Z1322" s="119">
        <v>1</v>
      </c>
      <c r="AA1322" s="368">
        <v>0</v>
      </c>
      <c r="AB1322" s="535">
        <v>0</v>
      </c>
      <c r="AC1322" s="39" t="s">
        <v>160</v>
      </c>
      <c r="AD1322" s="75" t="s">
        <v>10</v>
      </c>
      <c r="AE1322" s="95">
        <v>0</v>
      </c>
      <c r="AF1322" s="75">
        <v>0</v>
      </c>
      <c r="AG1322" s="75">
        <v>0</v>
      </c>
      <c r="AH1322" s="75">
        <v>0</v>
      </c>
      <c r="AI1322" s="75">
        <v>0</v>
      </c>
      <c r="AJ1322" s="75">
        <v>0</v>
      </c>
      <c r="AK1322" s="75">
        <v>0</v>
      </c>
      <c r="AL1322" s="95">
        <v>1</v>
      </c>
      <c r="AM1322" s="92">
        <v>0</v>
      </c>
      <c r="AN1322" s="79" t="s">
        <v>80</v>
      </c>
      <c r="AO1322" s="75">
        <v>1</v>
      </c>
      <c r="AP1322" s="75" t="s">
        <v>83</v>
      </c>
      <c r="AQ1322" s="122">
        <v>1</v>
      </c>
      <c r="AR1322" s="515" t="s">
        <v>13</v>
      </c>
      <c r="AS1322" s="95">
        <v>1</v>
      </c>
      <c r="AT1322" s="75">
        <v>0</v>
      </c>
      <c r="AU1322" s="75">
        <v>0</v>
      </c>
      <c r="AV1322" s="75">
        <v>0</v>
      </c>
      <c r="AW1322" s="123">
        <v>0</v>
      </c>
      <c r="AX1322" s="516"/>
      <c r="AY1322" s="75">
        <v>0</v>
      </c>
      <c r="AZ1322" s="77" t="s">
        <v>131</v>
      </c>
      <c r="BA1322" s="78" t="s">
        <v>131</v>
      </c>
      <c r="BB1322" s="78" t="s">
        <v>131</v>
      </c>
      <c r="BC1322" s="78" t="s">
        <v>131</v>
      </c>
      <c r="BD1322" s="78" t="s">
        <v>131</v>
      </c>
      <c r="BE1322" s="78" t="s">
        <v>131</v>
      </c>
      <c r="BF1322" s="78" t="s">
        <v>131</v>
      </c>
      <c r="BG1322" s="78" t="s">
        <v>132</v>
      </c>
      <c r="BH1322" s="75" t="s">
        <v>5970</v>
      </c>
      <c r="BI1322" s="295" t="s">
        <v>2260</v>
      </c>
      <c r="BJ1322" s="546">
        <v>1</v>
      </c>
      <c r="BK1322" s="294" t="s">
        <v>16</v>
      </c>
      <c r="BL1322" s="157" t="s">
        <v>16</v>
      </c>
      <c r="BM1322" s="548" t="s">
        <v>1348</v>
      </c>
      <c r="BN1322" s="548" t="s">
        <v>4160</v>
      </c>
      <c r="BO1322" s="157" t="s">
        <v>4569</v>
      </c>
      <c r="BP1322" s="548" t="s">
        <v>2299</v>
      </c>
      <c r="BQ1322" s="157" t="s">
        <v>4563</v>
      </c>
      <c r="BR1322" s="157"/>
    </row>
    <row r="1323" spans="1:70" x14ac:dyDescent="0.25">
      <c r="A1323" s="19" t="s">
        <v>3686</v>
      </c>
      <c r="B1323" s="37" t="s">
        <v>1363</v>
      </c>
      <c r="C1323" s="90">
        <v>44821.708657407406</v>
      </c>
      <c r="D1323" s="114">
        <v>44821.458657407406</v>
      </c>
      <c r="E1323" s="38">
        <v>44821</v>
      </c>
      <c r="F1323" s="91">
        <v>2022</v>
      </c>
      <c r="G1323" s="93">
        <v>9</v>
      </c>
      <c r="H1323" s="37" t="s">
        <v>1364</v>
      </c>
      <c r="I1323" s="37" t="s">
        <v>959</v>
      </c>
      <c r="J1323" s="103">
        <v>-92.597489999999993</v>
      </c>
      <c r="K1323" s="40">
        <v>44.472321700000002</v>
      </c>
      <c r="L1323" s="74"/>
      <c r="M1323" s="272" t="s">
        <v>1365</v>
      </c>
      <c r="N1323" s="74">
        <v>1</v>
      </c>
      <c r="O1323" s="94"/>
      <c r="P1323" s="118">
        <v>1</v>
      </c>
      <c r="Q1323" s="510">
        <v>80</v>
      </c>
      <c r="R1323" s="513">
        <v>180</v>
      </c>
      <c r="S1323" s="41"/>
      <c r="T1323" s="40"/>
      <c r="U1323" s="40">
        <v>7.5</v>
      </c>
      <c r="V1323" s="119">
        <v>1</v>
      </c>
      <c r="W1323" s="40">
        <v>100</v>
      </c>
      <c r="X1323" s="119">
        <v>1</v>
      </c>
      <c r="Y1323" s="40">
        <v>54</v>
      </c>
      <c r="Z1323" s="119">
        <v>1</v>
      </c>
      <c r="AA1323" s="368">
        <v>0</v>
      </c>
      <c r="AB1323" s="535">
        <v>0</v>
      </c>
      <c r="AC1323" s="39" t="s">
        <v>160</v>
      </c>
      <c r="AD1323" s="75" t="s">
        <v>10</v>
      </c>
      <c r="AE1323" s="95">
        <v>0</v>
      </c>
      <c r="AF1323" s="75">
        <v>0</v>
      </c>
      <c r="AG1323" s="75">
        <v>0</v>
      </c>
      <c r="AH1323" s="75">
        <v>0</v>
      </c>
      <c r="AI1323" s="75">
        <v>0</v>
      </c>
      <c r="AJ1323" s="75">
        <v>0</v>
      </c>
      <c r="AK1323" s="75">
        <v>0</v>
      </c>
      <c r="AL1323" s="95">
        <v>1</v>
      </c>
      <c r="AM1323" s="92">
        <v>0</v>
      </c>
      <c r="AN1323" s="79" t="s">
        <v>81</v>
      </c>
      <c r="AO1323" s="75">
        <v>1</v>
      </c>
      <c r="AP1323" s="75" t="s">
        <v>83</v>
      </c>
      <c r="AQ1323" s="122">
        <v>1</v>
      </c>
      <c r="AR1323" s="515" t="s">
        <v>10</v>
      </c>
      <c r="AS1323" s="95">
        <v>0</v>
      </c>
      <c r="AT1323" s="75">
        <v>0</v>
      </c>
      <c r="AU1323" s="75">
        <v>0</v>
      </c>
      <c r="AV1323" s="75">
        <v>0</v>
      </c>
      <c r="AW1323" s="123">
        <v>0</v>
      </c>
      <c r="AX1323" s="516"/>
      <c r="AY1323" s="75">
        <v>0</v>
      </c>
      <c r="AZ1323" s="77" t="s">
        <v>131</v>
      </c>
      <c r="BA1323" s="78" t="s">
        <v>131</v>
      </c>
      <c r="BB1323" s="78" t="s">
        <v>131</v>
      </c>
      <c r="BC1323" s="78" t="s">
        <v>131</v>
      </c>
      <c r="BD1323" s="78" t="s">
        <v>131</v>
      </c>
      <c r="BE1323" s="78" t="s">
        <v>131</v>
      </c>
      <c r="BF1323" s="78" t="s">
        <v>131</v>
      </c>
      <c r="BG1323" s="78" t="s">
        <v>132</v>
      </c>
      <c r="BH1323" s="75" t="s">
        <v>5970</v>
      </c>
      <c r="BI1323" s="295" t="s">
        <v>2238</v>
      </c>
      <c r="BJ1323" s="546">
        <v>1</v>
      </c>
      <c r="BK1323" s="294" t="s">
        <v>16</v>
      </c>
      <c r="BL1323" s="157" t="s">
        <v>16</v>
      </c>
      <c r="BM1323" s="548" t="s">
        <v>2343</v>
      </c>
      <c r="BN1323" s="548" t="s">
        <v>4161</v>
      </c>
      <c r="BO1323" s="157" t="s">
        <v>4308</v>
      </c>
      <c r="BP1323" s="548" t="s">
        <v>2238</v>
      </c>
      <c r="BQ1323" s="157" t="s">
        <v>4307</v>
      </c>
      <c r="BR1323" s="157"/>
    </row>
    <row r="1324" spans="1:70" x14ac:dyDescent="0.25">
      <c r="A1324" s="19" t="s">
        <v>3686</v>
      </c>
      <c r="B1324" s="37" t="s">
        <v>1366</v>
      </c>
      <c r="C1324" s="90">
        <v>44821.691180555557</v>
      </c>
      <c r="D1324" s="114">
        <v>44821.441180555557</v>
      </c>
      <c r="E1324" s="38">
        <v>44821</v>
      </c>
      <c r="F1324" s="91">
        <v>2022</v>
      </c>
      <c r="G1324" s="93">
        <v>9</v>
      </c>
      <c r="H1324" s="37" t="s">
        <v>1364</v>
      </c>
      <c r="I1324" s="37" t="s">
        <v>958</v>
      </c>
      <c r="J1324" s="103">
        <v>-92.575618300000002</v>
      </c>
      <c r="K1324" s="40">
        <v>44.488410000000002</v>
      </c>
      <c r="L1324" s="74"/>
      <c r="M1324" s="272" t="s">
        <v>16</v>
      </c>
      <c r="N1324" s="74">
        <v>0</v>
      </c>
      <c r="O1324" s="94"/>
      <c r="P1324" s="118">
        <v>1</v>
      </c>
      <c r="Q1324" s="510">
        <v>0</v>
      </c>
      <c r="R1324" s="513">
        <v>0</v>
      </c>
      <c r="S1324" s="41"/>
      <c r="T1324" s="40"/>
      <c r="U1324" s="40">
        <v>7</v>
      </c>
      <c r="V1324" s="119">
        <v>1</v>
      </c>
      <c r="W1324" s="40">
        <v>100</v>
      </c>
      <c r="X1324" s="119">
        <v>1</v>
      </c>
      <c r="Y1324" s="40">
        <v>54</v>
      </c>
      <c r="Z1324" s="119">
        <v>1</v>
      </c>
      <c r="AA1324" s="368">
        <v>0</v>
      </c>
      <c r="AB1324" s="535">
        <v>5</v>
      </c>
      <c r="AC1324" s="39" t="s">
        <v>160</v>
      </c>
      <c r="AD1324" s="75" t="s">
        <v>10</v>
      </c>
      <c r="AE1324" s="95">
        <v>0</v>
      </c>
      <c r="AF1324" s="75">
        <v>0</v>
      </c>
      <c r="AG1324" s="75">
        <v>0</v>
      </c>
      <c r="AH1324" s="75">
        <v>0</v>
      </c>
      <c r="AI1324" s="75">
        <v>0</v>
      </c>
      <c r="AJ1324" s="75">
        <v>0</v>
      </c>
      <c r="AK1324" s="75">
        <v>0</v>
      </c>
      <c r="AL1324" s="95">
        <v>1</v>
      </c>
      <c r="AM1324" s="92">
        <v>0</v>
      </c>
      <c r="AN1324" s="79" t="s">
        <v>81</v>
      </c>
      <c r="AO1324" s="75">
        <v>1</v>
      </c>
      <c r="AP1324" s="75" t="s">
        <v>83</v>
      </c>
      <c r="AQ1324" s="122">
        <v>1</v>
      </c>
      <c r="AR1324" s="515" t="s">
        <v>10</v>
      </c>
      <c r="AS1324" s="95">
        <v>0</v>
      </c>
      <c r="AT1324" s="75">
        <v>0</v>
      </c>
      <c r="AU1324" s="75">
        <v>0</v>
      </c>
      <c r="AV1324" s="75">
        <v>0</v>
      </c>
      <c r="AW1324" s="123">
        <v>0</v>
      </c>
      <c r="AX1324" s="516"/>
      <c r="AY1324" s="75">
        <v>0</v>
      </c>
      <c r="AZ1324" s="77" t="s">
        <v>131</v>
      </c>
      <c r="BA1324" s="78" t="s">
        <v>131</v>
      </c>
      <c r="BB1324" s="78" t="s">
        <v>131</v>
      </c>
      <c r="BC1324" s="78" t="s">
        <v>131</v>
      </c>
      <c r="BD1324" s="78" t="s">
        <v>131</v>
      </c>
      <c r="BE1324" s="78" t="s">
        <v>131</v>
      </c>
      <c r="BF1324" s="78" t="s">
        <v>131</v>
      </c>
      <c r="BG1324" s="78" t="s">
        <v>132</v>
      </c>
      <c r="BH1324" s="75" t="s">
        <v>5970</v>
      </c>
      <c r="BI1324" s="295" t="s">
        <v>2238</v>
      </c>
      <c r="BJ1324" s="546">
        <v>1</v>
      </c>
      <c r="BK1324" s="294" t="s">
        <v>16</v>
      </c>
      <c r="BL1324" s="157" t="s">
        <v>16</v>
      </c>
      <c r="BM1324" s="548" t="s">
        <v>2343</v>
      </c>
      <c r="BN1324" s="548" t="s">
        <v>4161</v>
      </c>
      <c r="BO1324" s="157" t="s">
        <v>4308</v>
      </c>
      <c r="BP1324" s="548" t="s">
        <v>2238</v>
      </c>
      <c r="BQ1324" s="157" t="s">
        <v>4307</v>
      </c>
      <c r="BR1324" s="157"/>
    </row>
    <row r="1325" spans="1:70" x14ac:dyDescent="0.25">
      <c r="A1325" s="19" t="s">
        <v>3686</v>
      </c>
      <c r="B1325" s="37" t="s">
        <v>1367</v>
      </c>
      <c r="C1325" s="90">
        <v>44821.609953703701</v>
      </c>
      <c r="D1325" s="114">
        <v>44821.359953703701</v>
      </c>
      <c r="E1325" s="38">
        <v>44821</v>
      </c>
      <c r="F1325" s="91">
        <v>2022</v>
      </c>
      <c r="G1325" s="93">
        <v>9</v>
      </c>
      <c r="H1325" s="37" t="s">
        <v>1361</v>
      </c>
      <c r="I1325" s="37"/>
      <c r="J1325" s="103">
        <v>-91.685689576055566</v>
      </c>
      <c r="K1325" s="40">
        <v>42.806171751620994</v>
      </c>
      <c r="L1325" s="74"/>
      <c r="M1325" s="272" t="s">
        <v>1368</v>
      </c>
      <c r="N1325" s="74">
        <v>1</v>
      </c>
      <c r="O1325" s="94"/>
      <c r="P1325" s="118">
        <v>1</v>
      </c>
      <c r="Q1325" s="510">
        <v>80</v>
      </c>
      <c r="R1325" s="513">
        <v>180</v>
      </c>
      <c r="S1325" s="41"/>
      <c r="T1325" s="40"/>
      <c r="U1325" s="40">
        <v>8</v>
      </c>
      <c r="V1325" s="119">
        <v>1</v>
      </c>
      <c r="W1325" s="40">
        <v>0</v>
      </c>
      <c r="X1325" s="119">
        <v>1</v>
      </c>
      <c r="Y1325" s="40">
        <v>0</v>
      </c>
      <c r="Z1325" s="119">
        <v>1</v>
      </c>
      <c r="AA1325" s="368">
        <v>0</v>
      </c>
      <c r="AB1325" s="535">
        <v>2</v>
      </c>
      <c r="AC1325" s="39" t="s">
        <v>160</v>
      </c>
      <c r="AD1325" s="75" t="s">
        <v>10</v>
      </c>
      <c r="AE1325" s="95">
        <v>0</v>
      </c>
      <c r="AF1325" s="75">
        <v>0</v>
      </c>
      <c r="AG1325" s="75">
        <v>0</v>
      </c>
      <c r="AH1325" s="75">
        <v>0</v>
      </c>
      <c r="AI1325" s="75">
        <v>0</v>
      </c>
      <c r="AJ1325" s="75">
        <v>0</v>
      </c>
      <c r="AK1325" s="75">
        <v>0</v>
      </c>
      <c r="AL1325" s="95">
        <v>1</v>
      </c>
      <c r="AM1325" s="92">
        <v>0</v>
      </c>
      <c r="AN1325" s="79" t="s">
        <v>80</v>
      </c>
      <c r="AO1325" s="75">
        <v>1</v>
      </c>
      <c r="AP1325" s="75" t="s">
        <v>84</v>
      </c>
      <c r="AQ1325" s="122">
        <v>1</v>
      </c>
      <c r="AR1325" s="515" t="s">
        <v>13</v>
      </c>
      <c r="AS1325" s="95">
        <v>1</v>
      </c>
      <c r="AT1325" s="75">
        <v>0</v>
      </c>
      <c r="AU1325" s="75">
        <v>0</v>
      </c>
      <c r="AV1325" s="75">
        <v>0</v>
      </c>
      <c r="AW1325" s="123">
        <v>0</v>
      </c>
      <c r="AX1325" s="516"/>
      <c r="AY1325" s="75">
        <v>0</v>
      </c>
      <c r="AZ1325" s="77" t="s">
        <v>131</v>
      </c>
      <c r="BA1325" s="78" t="s">
        <v>131</v>
      </c>
      <c r="BB1325" s="78" t="s">
        <v>131</v>
      </c>
      <c r="BC1325" s="78" t="s">
        <v>131</v>
      </c>
      <c r="BD1325" s="78" t="s">
        <v>131</v>
      </c>
      <c r="BE1325" s="78" t="s">
        <v>131</v>
      </c>
      <c r="BF1325" s="78" t="s">
        <v>131</v>
      </c>
      <c r="BG1325" s="78" t="s">
        <v>132</v>
      </c>
      <c r="BH1325" s="75" t="s">
        <v>5970</v>
      </c>
      <c r="BI1325" s="295" t="s">
        <v>2260</v>
      </c>
      <c r="BJ1325" s="546">
        <v>1</v>
      </c>
      <c r="BK1325" s="294" t="s">
        <v>16</v>
      </c>
      <c r="BL1325" s="157" t="s">
        <v>16</v>
      </c>
      <c r="BM1325" s="548" t="s">
        <v>1344</v>
      </c>
      <c r="BN1325" s="548" t="s">
        <v>4160</v>
      </c>
      <c r="BO1325" s="157" t="s">
        <v>4569</v>
      </c>
      <c r="BP1325" s="548" t="s">
        <v>2299</v>
      </c>
      <c r="BQ1325" s="157" t="s">
        <v>4563</v>
      </c>
      <c r="BR1325" s="157"/>
    </row>
    <row r="1326" spans="1:70" x14ac:dyDescent="0.25">
      <c r="A1326" s="19" t="s">
        <v>3686</v>
      </c>
      <c r="B1326" s="37" t="s">
        <v>1369</v>
      </c>
      <c r="C1326" s="90">
        <v>44820.738993055558</v>
      </c>
      <c r="D1326" s="114">
        <v>44820.488993055558</v>
      </c>
      <c r="E1326" s="38">
        <v>44820</v>
      </c>
      <c r="F1326" s="91">
        <v>2022</v>
      </c>
      <c r="G1326" s="93">
        <v>9</v>
      </c>
      <c r="H1326" s="37" t="s">
        <v>966</v>
      </c>
      <c r="I1326" s="37"/>
      <c r="J1326" s="103">
        <v>-92.587006533597162</v>
      </c>
      <c r="K1326" s="40">
        <v>44.478917853953078</v>
      </c>
      <c r="L1326" s="74"/>
      <c r="M1326" s="272" t="s">
        <v>16</v>
      </c>
      <c r="N1326" s="74">
        <v>0</v>
      </c>
      <c r="O1326" s="94"/>
      <c r="P1326" s="118">
        <v>1</v>
      </c>
      <c r="Q1326" s="510">
        <v>120</v>
      </c>
      <c r="R1326" s="513">
        <v>0</v>
      </c>
      <c r="S1326" s="41"/>
      <c r="T1326" s="40"/>
      <c r="U1326" s="40">
        <v>7</v>
      </c>
      <c r="V1326" s="119">
        <v>1</v>
      </c>
      <c r="W1326" s="40">
        <v>100</v>
      </c>
      <c r="X1326" s="119">
        <v>1</v>
      </c>
      <c r="Y1326" s="40">
        <v>59</v>
      </c>
      <c r="Z1326" s="119">
        <v>1</v>
      </c>
      <c r="AA1326" s="368">
        <v>0</v>
      </c>
      <c r="AB1326" s="535">
        <v>5</v>
      </c>
      <c r="AC1326" s="39" t="s">
        <v>160</v>
      </c>
      <c r="AD1326" s="75" t="s">
        <v>16</v>
      </c>
      <c r="AE1326" s="95">
        <v>-1</v>
      </c>
      <c r="AF1326" s="75">
        <v>-1</v>
      </c>
      <c r="AG1326" s="75">
        <v>-1</v>
      </c>
      <c r="AH1326" s="75">
        <v>-1</v>
      </c>
      <c r="AI1326" s="75">
        <v>-1</v>
      </c>
      <c r="AJ1326" s="75">
        <v>-1</v>
      </c>
      <c r="AK1326" s="75">
        <v>-1</v>
      </c>
      <c r="AL1326" s="95">
        <v>-1</v>
      </c>
      <c r="AM1326" s="92">
        <v>1</v>
      </c>
      <c r="AN1326" s="79" t="s">
        <v>195</v>
      </c>
      <c r="AO1326" s="75">
        <v>1</v>
      </c>
      <c r="AP1326" s="75" t="s">
        <v>83</v>
      </c>
      <c r="AQ1326" s="122">
        <v>1</v>
      </c>
      <c r="AR1326" s="515" t="s">
        <v>13</v>
      </c>
      <c r="AS1326" s="95">
        <v>1</v>
      </c>
      <c r="AT1326" s="75">
        <v>0</v>
      </c>
      <c r="AU1326" s="75">
        <v>0</v>
      </c>
      <c r="AV1326" s="75">
        <v>0</v>
      </c>
      <c r="AW1326" s="123">
        <v>0</v>
      </c>
      <c r="AX1326" s="516"/>
      <c r="AY1326" s="75">
        <v>0</v>
      </c>
      <c r="AZ1326" s="77" t="s">
        <v>5971</v>
      </c>
      <c r="BA1326" s="78" t="s">
        <v>5971</v>
      </c>
      <c r="BB1326" s="78" t="s">
        <v>5971</v>
      </c>
      <c r="BC1326" s="78" t="s">
        <v>5971</v>
      </c>
      <c r="BD1326" s="78" t="s">
        <v>5971</v>
      </c>
      <c r="BE1326" s="78" t="s">
        <v>5971</v>
      </c>
      <c r="BF1326" s="78" t="s">
        <v>5971</v>
      </c>
      <c r="BG1326" s="78" t="s">
        <v>5971</v>
      </c>
      <c r="BH1326" s="75" t="s">
        <v>5971</v>
      </c>
      <c r="BI1326" s="295" t="s">
        <v>2238</v>
      </c>
      <c r="BJ1326" s="546">
        <v>1</v>
      </c>
      <c r="BK1326" s="294" t="s">
        <v>16</v>
      </c>
      <c r="BL1326" s="157" t="s">
        <v>16</v>
      </c>
      <c r="BM1326" s="548" t="s">
        <v>2343</v>
      </c>
      <c r="BN1326" s="548" t="s">
        <v>4161</v>
      </c>
      <c r="BO1326" s="157" t="s">
        <v>4308</v>
      </c>
      <c r="BP1326" s="548" t="s">
        <v>2238</v>
      </c>
      <c r="BQ1326" s="157" t="s">
        <v>4307</v>
      </c>
      <c r="BR1326" s="157"/>
    </row>
    <row r="1327" spans="1:70" x14ac:dyDescent="0.25">
      <c r="A1327" s="19" t="s">
        <v>3686</v>
      </c>
      <c r="B1327" s="37" t="s">
        <v>1370</v>
      </c>
      <c r="C1327" s="90">
        <v>44819.877789351849</v>
      </c>
      <c r="D1327" s="114">
        <v>44819.627789351849</v>
      </c>
      <c r="E1327" s="38">
        <v>44819</v>
      </c>
      <c r="F1327" s="91">
        <v>2022</v>
      </c>
      <c r="G1327" s="93">
        <v>9</v>
      </c>
      <c r="H1327" s="37" t="s">
        <v>1353</v>
      </c>
      <c r="I1327" s="37"/>
      <c r="J1327" s="103">
        <v>-90.765048899999996</v>
      </c>
      <c r="K1327" s="40">
        <v>43.575756900000002</v>
      </c>
      <c r="L1327" s="74"/>
      <c r="M1327" s="272" t="s">
        <v>1371</v>
      </c>
      <c r="N1327" s="74">
        <v>1</v>
      </c>
      <c r="O1327" s="94"/>
      <c r="P1327" s="118">
        <v>1</v>
      </c>
      <c r="Q1327" s="510">
        <v>120</v>
      </c>
      <c r="R1327" s="513">
        <v>120</v>
      </c>
      <c r="S1327" s="41"/>
      <c r="T1327" s="40"/>
      <c r="U1327" s="40">
        <v>8</v>
      </c>
      <c r="V1327" s="119">
        <v>0</v>
      </c>
      <c r="W1327" s="40"/>
      <c r="X1327" s="119">
        <v>0</v>
      </c>
      <c r="Y1327" s="40"/>
      <c r="Z1327" s="119">
        <v>1</v>
      </c>
      <c r="AA1327" s="368">
        <v>0</v>
      </c>
      <c r="AB1327" s="535">
        <v>1</v>
      </c>
      <c r="AC1327" s="39" t="s">
        <v>160</v>
      </c>
      <c r="AD1327" s="75" t="s">
        <v>10</v>
      </c>
      <c r="AE1327" s="95">
        <v>0</v>
      </c>
      <c r="AF1327" s="75">
        <v>0</v>
      </c>
      <c r="AG1327" s="75">
        <v>0</v>
      </c>
      <c r="AH1327" s="75">
        <v>0</v>
      </c>
      <c r="AI1327" s="75">
        <v>0</v>
      </c>
      <c r="AJ1327" s="75">
        <v>0</v>
      </c>
      <c r="AK1327" s="75">
        <v>0</v>
      </c>
      <c r="AL1327" s="95">
        <v>1</v>
      </c>
      <c r="AM1327" s="92">
        <v>0</v>
      </c>
      <c r="AN1327" s="79" t="s">
        <v>80</v>
      </c>
      <c r="AO1327" s="75">
        <v>1</v>
      </c>
      <c r="AP1327" s="75" t="s">
        <v>83</v>
      </c>
      <c r="AQ1327" s="122">
        <v>1</v>
      </c>
      <c r="AR1327" s="515" t="s">
        <v>10</v>
      </c>
      <c r="AS1327" s="95">
        <v>0</v>
      </c>
      <c r="AT1327" s="75">
        <v>0</v>
      </c>
      <c r="AU1327" s="75">
        <v>0</v>
      </c>
      <c r="AV1327" s="75">
        <v>0</v>
      </c>
      <c r="AW1327" s="123">
        <v>0</v>
      </c>
      <c r="AX1327" s="516" t="s">
        <v>1372</v>
      </c>
      <c r="AY1327" s="75">
        <v>1</v>
      </c>
      <c r="AZ1327" s="77" t="s">
        <v>131</v>
      </c>
      <c r="BA1327" s="78" t="s">
        <v>131</v>
      </c>
      <c r="BB1327" s="78" t="s">
        <v>131</v>
      </c>
      <c r="BC1327" s="78" t="s">
        <v>131</v>
      </c>
      <c r="BD1327" s="78" t="s">
        <v>131</v>
      </c>
      <c r="BE1327" s="78" t="s">
        <v>131</v>
      </c>
      <c r="BF1327" s="78" t="s">
        <v>131</v>
      </c>
      <c r="BG1327" s="78" t="s">
        <v>132</v>
      </c>
      <c r="BH1327" s="75" t="s">
        <v>5970</v>
      </c>
      <c r="BI1327" s="295" t="s">
        <v>2287</v>
      </c>
      <c r="BJ1327" s="546">
        <v>1</v>
      </c>
      <c r="BK1327" s="294">
        <v>1</v>
      </c>
      <c r="BL1327" s="157">
        <v>1</v>
      </c>
      <c r="BM1327" s="548" t="s">
        <v>1342</v>
      </c>
      <c r="BN1327" s="548" t="s">
        <v>4158</v>
      </c>
      <c r="BO1327" s="157" t="s">
        <v>4277</v>
      </c>
      <c r="BP1327" s="548" t="s">
        <v>2287</v>
      </c>
      <c r="BQ1327" s="157" t="s">
        <v>4272</v>
      </c>
      <c r="BR1327" s="157"/>
    </row>
    <row r="1328" spans="1:70" x14ac:dyDescent="0.25">
      <c r="A1328" s="19" t="s">
        <v>3686</v>
      </c>
      <c r="B1328" s="37" t="s">
        <v>1373</v>
      </c>
      <c r="C1328" s="90">
        <v>44819.777453703704</v>
      </c>
      <c r="D1328" s="114">
        <v>44819.527453703704</v>
      </c>
      <c r="E1328" s="38">
        <v>44819</v>
      </c>
      <c r="F1328" s="91">
        <v>2022</v>
      </c>
      <c r="G1328" s="93">
        <v>9</v>
      </c>
      <c r="H1328" s="37" t="s">
        <v>1374</v>
      </c>
      <c r="I1328" s="37"/>
      <c r="J1328" s="103">
        <v>-91.079959299999999</v>
      </c>
      <c r="K1328" s="40">
        <v>43.7495561</v>
      </c>
      <c r="L1328" s="74"/>
      <c r="M1328" s="272" t="s">
        <v>16</v>
      </c>
      <c r="N1328" s="74">
        <v>0</v>
      </c>
      <c r="O1328" s="94"/>
      <c r="P1328" s="118">
        <v>1</v>
      </c>
      <c r="Q1328" s="510">
        <v>80</v>
      </c>
      <c r="R1328" s="513">
        <v>120</v>
      </c>
      <c r="S1328" s="41"/>
      <c r="T1328" s="40"/>
      <c r="U1328" s="40">
        <v>7.5</v>
      </c>
      <c r="V1328" s="119">
        <v>0</v>
      </c>
      <c r="W1328" s="40"/>
      <c r="X1328" s="119">
        <v>0</v>
      </c>
      <c r="Y1328" s="40"/>
      <c r="Z1328" s="119">
        <v>1</v>
      </c>
      <c r="AA1328" s="368">
        <v>0</v>
      </c>
      <c r="AB1328" s="535">
        <v>0</v>
      </c>
      <c r="AC1328" s="39" t="s">
        <v>16</v>
      </c>
      <c r="AD1328" s="75" t="s">
        <v>16</v>
      </c>
      <c r="AE1328" s="95">
        <v>-1</v>
      </c>
      <c r="AF1328" s="75">
        <v>-1</v>
      </c>
      <c r="AG1328" s="75">
        <v>-1</v>
      </c>
      <c r="AH1328" s="75">
        <v>-1</v>
      </c>
      <c r="AI1328" s="75">
        <v>-1</v>
      </c>
      <c r="AJ1328" s="75">
        <v>-1</v>
      </c>
      <c r="AK1328" s="75">
        <v>-1</v>
      </c>
      <c r="AL1328" s="95">
        <v>-1</v>
      </c>
      <c r="AM1328" s="92">
        <v>1</v>
      </c>
      <c r="AN1328" s="79"/>
      <c r="AO1328" s="75">
        <v>0</v>
      </c>
      <c r="AP1328" s="75"/>
      <c r="AQ1328" s="122">
        <v>0</v>
      </c>
      <c r="AR1328" s="515" t="s">
        <v>16</v>
      </c>
      <c r="AS1328" s="95">
        <v>-1</v>
      </c>
      <c r="AT1328" s="75">
        <v>-1</v>
      </c>
      <c r="AU1328" s="75">
        <v>-1</v>
      </c>
      <c r="AV1328" s="75">
        <v>-1</v>
      </c>
      <c r="AW1328" s="123">
        <v>1</v>
      </c>
      <c r="AX1328" s="516"/>
      <c r="AY1328" s="75">
        <v>0</v>
      </c>
      <c r="AZ1328" s="77" t="s">
        <v>5971</v>
      </c>
      <c r="BA1328" s="78" t="s">
        <v>5971</v>
      </c>
      <c r="BB1328" s="78" t="s">
        <v>5971</v>
      </c>
      <c r="BC1328" s="78" t="s">
        <v>5971</v>
      </c>
      <c r="BD1328" s="78" t="s">
        <v>5971</v>
      </c>
      <c r="BE1328" s="78" t="s">
        <v>5971</v>
      </c>
      <c r="BF1328" s="78" t="s">
        <v>5971</v>
      </c>
      <c r="BG1328" s="78" t="s">
        <v>5971</v>
      </c>
      <c r="BH1328" s="75" t="s">
        <v>5971</v>
      </c>
      <c r="BI1328" s="295" t="s">
        <v>2274</v>
      </c>
      <c r="BJ1328" s="546">
        <v>1</v>
      </c>
      <c r="BK1328" s="294">
        <v>1</v>
      </c>
      <c r="BL1328" s="157">
        <v>1</v>
      </c>
      <c r="BM1328" s="548" t="s">
        <v>1342</v>
      </c>
      <c r="BN1328" s="548" t="s">
        <v>4160</v>
      </c>
      <c r="BO1328" s="157" t="s">
        <v>4335</v>
      </c>
      <c r="BP1328" s="548" t="s">
        <v>2274</v>
      </c>
      <c r="BQ1328" s="157" t="s">
        <v>4236</v>
      </c>
      <c r="BR1328" s="157"/>
    </row>
    <row r="1329" spans="1:70" x14ac:dyDescent="0.25">
      <c r="A1329" s="19" t="s">
        <v>3686</v>
      </c>
      <c r="B1329" s="37" t="s">
        <v>1375</v>
      </c>
      <c r="C1329" s="90">
        <v>44819.769224537034</v>
      </c>
      <c r="D1329" s="114">
        <v>44819.519224537034</v>
      </c>
      <c r="E1329" s="38">
        <v>44819</v>
      </c>
      <c r="F1329" s="91">
        <v>2022</v>
      </c>
      <c r="G1329" s="93">
        <v>9</v>
      </c>
      <c r="H1329" s="37" t="s">
        <v>1374</v>
      </c>
      <c r="I1329" s="37"/>
      <c r="J1329" s="103">
        <v>-91.079938100000007</v>
      </c>
      <c r="K1329" s="40">
        <v>43.749539200000001</v>
      </c>
      <c r="L1329" s="74"/>
      <c r="M1329" s="272" t="s">
        <v>16</v>
      </c>
      <c r="N1329" s="74">
        <v>0</v>
      </c>
      <c r="O1329" s="94"/>
      <c r="P1329" s="118">
        <v>1</v>
      </c>
      <c r="Q1329" s="510">
        <v>40</v>
      </c>
      <c r="R1329" s="513">
        <v>60</v>
      </c>
      <c r="S1329" s="41"/>
      <c r="T1329" s="40"/>
      <c r="U1329" s="40">
        <v>7.5</v>
      </c>
      <c r="V1329" s="119">
        <v>0</v>
      </c>
      <c r="W1329" s="40"/>
      <c r="X1329" s="119">
        <v>0</v>
      </c>
      <c r="Y1329" s="40"/>
      <c r="Z1329" s="119">
        <v>1</v>
      </c>
      <c r="AA1329" s="368">
        <v>0</v>
      </c>
      <c r="AB1329" s="535">
        <v>2</v>
      </c>
      <c r="AC1329" s="39" t="s">
        <v>160</v>
      </c>
      <c r="AD1329" s="75" t="s">
        <v>16</v>
      </c>
      <c r="AE1329" s="95">
        <v>-1</v>
      </c>
      <c r="AF1329" s="75">
        <v>-1</v>
      </c>
      <c r="AG1329" s="75">
        <v>-1</v>
      </c>
      <c r="AH1329" s="75">
        <v>-1</v>
      </c>
      <c r="AI1329" s="75">
        <v>-1</v>
      </c>
      <c r="AJ1329" s="75">
        <v>-1</v>
      </c>
      <c r="AK1329" s="75">
        <v>-1</v>
      </c>
      <c r="AL1329" s="95">
        <v>-1</v>
      </c>
      <c r="AM1329" s="92">
        <v>1</v>
      </c>
      <c r="AN1329" s="79"/>
      <c r="AO1329" s="75">
        <v>0</v>
      </c>
      <c r="AP1329" s="75"/>
      <c r="AQ1329" s="122">
        <v>0</v>
      </c>
      <c r="AR1329" s="515" t="s">
        <v>16</v>
      </c>
      <c r="AS1329" s="95">
        <v>-1</v>
      </c>
      <c r="AT1329" s="75">
        <v>-1</v>
      </c>
      <c r="AU1329" s="75">
        <v>-1</v>
      </c>
      <c r="AV1329" s="75">
        <v>-1</v>
      </c>
      <c r="AW1329" s="123">
        <v>1</v>
      </c>
      <c r="AX1329" s="516"/>
      <c r="AY1329" s="75">
        <v>0</v>
      </c>
      <c r="AZ1329" s="77" t="s">
        <v>5971</v>
      </c>
      <c r="BA1329" s="78" t="s">
        <v>5971</v>
      </c>
      <c r="BB1329" s="78" t="s">
        <v>5971</v>
      </c>
      <c r="BC1329" s="78" t="s">
        <v>5971</v>
      </c>
      <c r="BD1329" s="78" t="s">
        <v>5971</v>
      </c>
      <c r="BE1329" s="78" t="s">
        <v>5971</v>
      </c>
      <c r="BF1329" s="78" t="s">
        <v>5971</v>
      </c>
      <c r="BG1329" s="78" t="s">
        <v>5971</v>
      </c>
      <c r="BH1329" s="75" t="s">
        <v>5971</v>
      </c>
      <c r="BI1329" s="295" t="s">
        <v>16</v>
      </c>
      <c r="BJ1329" s="546">
        <v>1</v>
      </c>
      <c r="BK1329" s="294">
        <v>1</v>
      </c>
      <c r="BL1329" s="157">
        <v>1</v>
      </c>
      <c r="BM1329" s="548" t="s">
        <v>1342</v>
      </c>
      <c r="BN1329" s="548" t="s">
        <v>4160</v>
      </c>
      <c r="BO1329" s="157" t="s">
        <v>4335</v>
      </c>
      <c r="BP1329" s="548" t="s">
        <v>2274</v>
      </c>
      <c r="BQ1329" s="157" t="s">
        <v>4236</v>
      </c>
      <c r="BR1329" s="157"/>
    </row>
    <row r="1330" spans="1:70" x14ac:dyDescent="0.25">
      <c r="A1330" s="19" t="s">
        <v>3686</v>
      </c>
      <c r="B1330" s="37" t="s">
        <v>1376</v>
      </c>
      <c r="C1330" s="90">
        <v>44819.765543981484</v>
      </c>
      <c r="D1330" s="114">
        <v>44819.515543981484</v>
      </c>
      <c r="E1330" s="38">
        <v>44819</v>
      </c>
      <c r="F1330" s="91">
        <v>2022</v>
      </c>
      <c r="G1330" s="93">
        <v>9</v>
      </c>
      <c r="H1330" s="37" t="s">
        <v>1374</v>
      </c>
      <c r="I1330" s="37"/>
      <c r="J1330" s="103">
        <v>-91.079890599999999</v>
      </c>
      <c r="K1330" s="40">
        <v>43.749512000000003</v>
      </c>
      <c r="L1330" s="74"/>
      <c r="M1330" s="272" t="s">
        <v>16</v>
      </c>
      <c r="N1330" s="74">
        <v>0</v>
      </c>
      <c r="O1330" s="94"/>
      <c r="P1330" s="118">
        <v>0</v>
      </c>
      <c r="Q1330" s="510"/>
      <c r="R1330" s="513"/>
      <c r="S1330" s="41"/>
      <c r="T1330" s="40"/>
      <c r="U1330" s="40"/>
      <c r="V1330" s="119">
        <v>0</v>
      </c>
      <c r="W1330" s="40"/>
      <c r="X1330" s="119">
        <v>0</v>
      </c>
      <c r="Y1330" s="40"/>
      <c r="Z1330" s="119">
        <v>0</v>
      </c>
      <c r="AA1330" s="368" t="s">
        <v>16</v>
      </c>
      <c r="AB1330" s="535" t="s">
        <v>16</v>
      </c>
      <c r="AC1330" s="39" t="s">
        <v>160</v>
      </c>
      <c r="AD1330" s="75" t="s">
        <v>16</v>
      </c>
      <c r="AE1330" s="95">
        <v>-1</v>
      </c>
      <c r="AF1330" s="75">
        <v>-1</v>
      </c>
      <c r="AG1330" s="75">
        <v>-1</v>
      </c>
      <c r="AH1330" s="75">
        <v>-1</v>
      </c>
      <c r="AI1330" s="75">
        <v>-1</v>
      </c>
      <c r="AJ1330" s="75">
        <v>-1</v>
      </c>
      <c r="AK1330" s="75">
        <v>-1</v>
      </c>
      <c r="AL1330" s="95">
        <v>-1</v>
      </c>
      <c r="AM1330" s="92">
        <v>1</v>
      </c>
      <c r="AN1330" s="79"/>
      <c r="AO1330" s="75">
        <v>0</v>
      </c>
      <c r="AP1330" s="75"/>
      <c r="AQ1330" s="122">
        <v>0</v>
      </c>
      <c r="AR1330" s="515" t="s">
        <v>16</v>
      </c>
      <c r="AS1330" s="95">
        <v>-1</v>
      </c>
      <c r="AT1330" s="75">
        <v>-1</v>
      </c>
      <c r="AU1330" s="75">
        <v>-1</v>
      </c>
      <c r="AV1330" s="75">
        <v>-1</v>
      </c>
      <c r="AW1330" s="123">
        <v>1</v>
      </c>
      <c r="AX1330" s="516"/>
      <c r="AY1330" s="75">
        <v>0</v>
      </c>
      <c r="AZ1330" s="77" t="s">
        <v>5971</v>
      </c>
      <c r="BA1330" s="78" t="s">
        <v>5971</v>
      </c>
      <c r="BB1330" s="78" t="s">
        <v>5971</v>
      </c>
      <c r="BC1330" s="78" t="s">
        <v>5971</v>
      </c>
      <c r="BD1330" s="78" t="s">
        <v>5971</v>
      </c>
      <c r="BE1330" s="78" t="s">
        <v>5971</v>
      </c>
      <c r="BF1330" s="78" t="s">
        <v>5971</v>
      </c>
      <c r="BG1330" s="78" t="s">
        <v>5971</v>
      </c>
      <c r="BH1330" s="75" t="s">
        <v>5971</v>
      </c>
      <c r="BI1330" s="295" t="s">
        <v>2274</v>
      </c>
      <c r="BJ1330" s="546">
        <v>1</v>
      </c>
      <c r="BK1330" s="294">
        <v>1</v>
      </c>
      <c r="BL1330" s="157">
        <v>1</v>
      </c>
      <c r="BM1330" s="548" t="s">
        <v>1342</v>
      </c>
      <c r="BN1330" s="548" t="s">
        <v>4160</v>
      </c>
      <c r="BO1330" s="157" t="s">
        <v>4335</v>
      </c>
      <c r="BP1330" s="548" t="s">
        <v>2274</v>
      </c>
      <c r="BQ1330" s="157" t="s">
        <v>4236</v>
      </c>
      <c r="BR1330" s="157"/>
    </row>
    <row r="1331" spans="1:70" x14ac:dyDescent="0.25">
      <c r="A1331" s="19" t="s">
        <v>3686</v>
      </c>
      <c r="B1331" s="37" t="s">
        <v>1377</v>
      </c>
      <c r="C1331" s="90">
        <v>44818.975555555553</v>
      </c>
      <c r="D1331" s="114">
        <v>44818.725555555553</v>
      </c>
      <c r="E1331" s="38">
        <v>44818</v>
      </c>
      <c r="F1331" s="91">
        <v>2022</v>
      </c>
      <c r="G1331" s="93">
        <v>9</v>
      </c>
      <c r="H1331" s="37" t="s">
        <v>1378</v>
      </c>
      <c r="I1331" s="37"/>
      <c r="J1331" s="103">
        <v>-91.237932038207163</v>
      </c>
      <c r="K1331" s="40">
        <v>43.358817189303174</v>
      </c>
      <c r="L1331" s="74"/>
      <c r="M1331" s="272" t="s">
        <v>16</v>
      </c>
      <c r="N1331" s="74">
        <v>0</v>
      </c>
      <c r="O1331" s="94"/>
      <c r="P1331" s="118">
        <v>0</v>
      </c>
      <c r="Q1331" s="510"/>
      <c r="R1331" s="513"/>
      <c r="S1331" s="41"/>
      <c r="T1331" s="40"/>
      <c r="U1331" s="40"/>
      <c r="V1331" s="119">
        <v>1</v>
      </c>
      <c r="W1331" s="40">
        <v>100</v>
      </c>
      <c r="X1331" s="119">
        <v>0</v>
      </c>
      <c r="Y1331" s="40"/>
      <c r="Z1331" s="119">
        <v>0</v>
      </c>
      <c r="AA1331" s="368" t="s">
        <v>16</v>
      </c>
      <c r="AB1331" s="535" t="s">
        <v>16</v>
      </c>
      <c r="AC1331" s="39" t="s">
        <v>160</v>
      </c>
      <c r="AD1331" s="75" t="s">
        <v>16</v>
      </c>
      <c r="AE1331" s="95">
        <v>-1</v>
      </c>
      <c r="AF1331" s="75">
        <v>-1</v>
      </c>
      <c r="AG1331" s="75">
        <v>-1</v>
      </c>
      <c r="AH1331" s="75">
        <v>-1</v>
      </c>
      <c r="AI1331" s="75">
        <v>-1</v>
      </c>
      <c r="AJ1331" s="75">
        <v>-1</v>
      </c>
      <c r="AK1331" s="75">
        <v>-1</v>
      </c>
      <c r="AL1331" s="95">
        <v>-1</v>
      </c>
      <c r="AM1331" s="92">
        <v>1</v>
      </c>
      <c r="AN1331" s="79"/>
      <c r="AO1331" s="75">
        <v>0</v>
      </c>
      <c r="AP1331" s="75"/>
      <c r="AQ1331" s="122">
        <v>0</v>
      </c>
      <c r="AR1331" s="515" t="s">
        <v>16</v>
      </c>
      <c r="AS1331" s="95">
        <v>-1</v>
      </c>
      <c r="AT1331" s="75">
        <v>-1</v>
      </c>
      <c r="AU1331" s="75">
        <v>-1</v>
      </c>
      <c r="AV1331" s="75">
        <v>-1</v>
      </c>
      <c r="AW1331" s="123">
        <v>1</v>
      </c>
      <c r="AX1331" s="516" t="s">
        <v>1379</v>
      </c>
      <c r="AY1331" s="75">
        <v>1</v>
      </c>
      <c r="AZ1331" s="77" t="s">
        <v>5971</v>
      </c>
      <c r="BA1331" s="78" t="s">
        <v>5971</v>
      </c>
      <c r="BB1331" s="78" t="s">
        <v>5971</v>
      </c>
      <c r="BC1331" s="78" t="s">
        <v>5971</v>
      </c>
      <c r="BD1331" s="78" t="s">
        <v>5971</v>
      </c>
      <c r="BE1331" s="78" t="s">
        <v>5971</v>
      </c>
      <c r="BF1331" s="78" t="s">
        <v>5971</v>
      </c>
      <c r="BG1331" s="78" t="s">
        <v>5971</v>
      </c>
      <c r="BH1331" s="75" t="s">
        <v>5971</v>
      </c>
      <c r="BI1331" s="295" t="s">
        <v>2244</v>
      </c>
      <c r="BJ1331" s="546">
        <v>1</v>
      </c>
      <c r="BK1331" s="294" t="s">
        <v>16</v>
      </c>
      <c r="BL1331" s="157" t="s">
        <v>16</v>
      </c>
      <c r="BM1331" s="548" t="s">
        <v>1344</v>
      </c>
      <c r="BN1331" s="548" t="s">
        <v>4158</v>
      </c>
      <c r="BO1331" s="157" t="s">
        <v>4668</v>
      </c>
      <c r="BP1331" s="548" t="s">
        <v>4669</v>
      </c>
      <c r="BQ1331" s="157" t="s">
        <v>4336</v>
      </c>
      <c r="BR1331" s="157"/>
    </row>
    <row r="1332" spans="1:70" x14ac:dyDescent="0.25">
      <c r="A1332" s="19" t="s">
        <v>3686</v>
      </c>
      <c r="B1332" s="37" t="s">
        <v>1380</v>
      </c>
      <c r="C1332" s="90">
        <v>44818.967407407406</v>
      </c>
      <c r="D1332" s="114">
        <v>44818.717407407406</v>
      </c>
      <c r="E1332" s="38">
        <v>44818</v>
      </c>
      <c r="F1332" s="91">
        <v>2022</v>
      </c>
      <c r="G1332" s="93">
        <v>9</v>
      </c>
      <c r="H1332" s="37" t="s">
        <v>1378</v>
      </c>
      <c r="I1332" s="37" t="s">
        <v>16</v>
      </c>
      <c r="J1332" s="103">
        <v>-91.237867101969115</v>
      </c>
      <c r="K1332" s="40">
        <v>43.35935409842223</v>
      </c>
      <c r="L1332" s="74"/>
      <c r="M1332" s="272" t="s">
        <v>1381</v>
      </c>
      <c r="N1332" s="74">
        <v>1</v>
      </c>
      <c r="O1332" s="94"/>
      <c r="P1332" s="118">
        <v>1</v>
      </c>
      <c r="Q1332" s="510">
        <v>180</v>
      </c>
      <c r="R1332" s="513">
        <v>180</v>
      </c>
      <c r="S1332" s="41"/>
      <c r="T1332" s="40"/>
      <c r="U1332" s="40">
        <v>9</v>
      </c>
      <c r="V1332" s="119">
        <v>0</v>
      </c>
      <c r="W1332" s="40"/>
      <c r="X1332" s="119">
        <v>0</v>
      </c>
      <c r="Y1332" s="40"/>
      <c r="Z1332" s="119">
        <v>1</v>
      </c>
      <c r="AA1332" s="368">
        <v>0</v>
      </c>
      <c r="AB1332" s="535">
        <v>2</v>
      </c>
      <c r="AC1332" s="39" t="s">
        <v>160</v>
      </c>
      <c r="AD1332" s="75" t="s">
        <v>10</v>
      </c>
      <c r="AE1332" s="95">
        <v>0</v>
      </c>
      <c r="AF1332" s="75">
        <v>0</v>
      </c>
      <c r="AG1332" s="75">
        <v>0</v>
      </c>
      <c r="AH1332" s="75">
        <v>0</v>
      </c>
      <c r="AI1332" s="75">
        <v>0</v>
      </c>
      <c r="AJ1332" s="75">
        <v>0</v>
      </c>
      <c r="AK1332" s="75">
        <v>0</v>
      </c>
      <c r="AL1332" s="95">
        <v>1</v>
      </c>
      <c r="AM1332" s="92">
        <v>0</v>
      </c>
      <c r="AN1332" s="79" t="s">
        <v>80</v>
      </c>
      <c r="AO1332" s="75">
        <v>1</v>
      </c>
      <c r="AP1332" s="75" t="s">
        <v>83</v>
      </c>
      <c r="AQ1332" s="122">
        <v>1</v>
      </c>
      <c r="AR1332" s="515" t="s">
        <v>10</v>
      </c>
      <c r="AS1332" s="95">
        <v>0</v>
      </c>
      <c r="AT1332" s="75">
        <v>0</v>
      </c>
      <c r="AU1332" s="75">
        <v>0</v>
      </c>
      <c r="AV1332" s="75">
        <v>0</v>
      </c>
      <c r="AW1332" s="123">
        <v>0</v>
      </c>
      <c r="AX1332" s="516"/>
      <c r="AY1332" s="75">
        <v>0</v>
      </c>
      <c r="AZ1332" s="77" t="s">
        <v>131</v>
      </c>
      <c r="BA1332" s="78" t="s">
        <v>131</v>
      </c>
      <c r="BB1332" s="78" t="s">
        <v>131</v>
      </c>
      <c r="BC1332" s="78" t="s">
        <v>131</v>
      </c>
      <c r="BD1332" s="78" t="s">
        <v>131</v>
      </c>
      <c r="BE1332" s="78" t="s">
        <v>131</v>
      </c>
      <c r="BF1332" s="78" t="s">
        <v>131</v>
      </c>
      <c r="BG1332" s="78" t="s">
        <v>132</v>
      </c>
      <c r="BH1332" s="75" t="s">
        <v>5970</v>
      </c>
      <c r="BI1332" s="295" t="s">
        <v>2244</v>
      </c>
      <c r="BJ1332" s="546">
        <v>1</v>
      </c>
      <c r="BK1332" s="294" t="s">
        <v>16</v>
      </c>
      <c r="BL1332" s="157" t="s">
        <v>16</v>
      </c>
      <c r="BM1332" s="548" t="s">
        <v>1344</v>
      </c>
      <c r="BN1332" s="548" t="s">
        <v>4158</v>
      </c>
      <c r="BO1332" s="157" t="s">
        <v>4668</v>
      </c>
      <c r="BP1332" s="548" t="s">
        <v>4669</v>
      </c>
      <c r="BQ1332" s="157" t="s">
        <v>4336</v>
      </c>
      <c r="BR1332" s="157"/>
    </row>
    <row r="1333" spans="1:70" x14ac:dyDescent="0.25">
      <c r="A1333" s="19" t="s">
        <v>3686</v>
      </c>
      <c r="B1333" s="37" t="s">
        <v>1382</v>
      </c>
      <c r="C1333" s="90">
        <v>44818.861400462964</v>
      </c>
      <c r="D1333" s="114">
        <v>44818.611400462964</v>
      </c>
      <c r="E1333" s="38">
        <v>44818</v>
      </c>
      <c r="F1333" s="91">
        <v>2022</v>
      </c>
      <c r="G1333" s="93">
        <v>9</v>
      </c>
      <c r="H1333" s="37" t="s">
        <v>1378</v>
      </c>
      <c r="I1333" s="37"/>
      <c r="J1333" s="103">
        <v>-91.623468536518203</v>
      </c>
      <c r="K1333" s="40">
        <v>43.138951200066003</v>
      </c>
      <c r="L1333" s="74"/>
      <c r="M1333" s="272" t="s">
        <v>16</v>
      </c>
      <c r="N1333" s="74">
        <v>0</v>
      </c>
      <c r="O1333" s="94"/>
      <c r="P1333" s="118">
        <v>1</v>
      </c>
      <c r="Q1333" s="510">
        <v>180</v>
      </c>
      <c r="R1333" s="513">
        <v>180</v>
      </c>
      <c r="S1333" s="41"/>
      <c r="T1333" s="40"/>
      <c r="U1333" s="40">
        <v>8</v>
      </c>
      <c r="V1333" s="119">
        <v>0</v>
      </c>
      <c r="W1333" s="40"/>
      <c r="X1333" s="119">
        <v>0</v>
      </c>
      <c r="Y1333" s="40"/>
      <c r="Z1333" s="119">
        <v>1</v>
      </c>
      <c r="AA1333" s="368">
        <v>0</v>
      </c>
      <c r="AB1333" s="535">
        <v>0</v>
      </c>
      <c r="AC1333" s="39"/>
      <c r="AD1333" s="75" t="s">
        <v>16</v>
      </c>
      <c r="AE1333" s="95">
        <v>-1</v>
      </c>
      <c r="AF1333" s="75">
        <v>-1</v>
      </c>
      <c r="AG1333" s="75">
        <v>-1</v>
      </c>
      <c r="AH1333" s="75">
        <v>-1</v>
      </c>
      <c r="AI1333" s="75">
        <v>-1</v>
      </c>
      <c r="AJ1333" s="75">
        <v>-1</v>
      </c>
      <c r="AK1333" s="75">
        <v>-1</v>
      </c>
      <c r="AL1333" s="95">
        <v>-1</v>
      </c>
      <c r="AM1333" s="92">
        <v>1</v>
      </c>
      <c r="AN1333" s="79"/>
      <c r="AO1333" s="75">
        <v>0</v>
      </c>
      <c r="AP1333" s="75"/>
      <c r="AQ1333" s="122">
        <v>0</v>
      </c>
      <c r="AR1333" s="515" t="s">
        <v>16</v>
      </c>
      <c r="AS1333" s="95">
        <v>-1</v>
      </c>
      <c r="AT1333" s="75">
        <v>-1</v>
      </c>
      <c r="AU1333" s="75">
        <v>-1</v>
      </c>
      <c r="AV1333" s="75">
        <v>-1</v>
      </c>
      <c r="AW1333" s="123">
        <v>1</v>
      </c>
      <c r="AX1333" s="516"/>
      <c r="AY1333" s="75">
        <v>0</v>
      </c>
      <c r="AZ1333" s="77" t="s">
        <v>5971</v>
      </c>
      <c r="BA1333" s="78" t="s">
        <v>5971</v>
      </c>
      <c r="BB1333" s="78" t="s">
        <v>5971</v>
      </c>
      <c r="BC1333" s="78" t="s">
        <v>5971</v>
      </c>
      <c r="BD1333" s="78" t="s">
        <v>5971</v>
      </c>
      <c r="BE1333" s="78" t="s">
        <v>5971</v>
      </c>
      <c r="BF1333" s="78" t="s">
        <v>5971</v>
      </c>
      <c r="BG1333" s="78" t="s">
        <v>5971</v>
      </c>
      <c r="BH1333" s="75" t="s">
        <v>5971</v>
      </c>
      <c r="BI1333" s="295" t="s">
        <v>2290</v>
      </c>
      <c r="BJ1333" s="546">
        <v>1</v>
      </c>
      <c r="BK1333" s="294" t="s">
        <v>16</v>
      </c>
      <c r="BL1333" s="157" t="s">
        <v>16</v>
      </c>
      <c r="BM1333" s="548" t="s">
        <v>1344</v>
      </c>
      <c r="BN1333" s="548" t="s">
        <v>4158</v>
      </c>
      <c r="BO1333" s="157" t="s">
        <v>4666</v>
      </c>
      <c r="BP1333" s="548" t="s">
        <v>4667</v>
      </c>
      <c r="BQ1333" s="157" t="s">
        <v>4371</v>
      </c>
      <c r="BR1333" s="157"/>
    </row>
    <row r="1334" spans="1:70" x14ac:dyDescent="0.25">
      <c r="A1334" s="19" t="s">
        <v>3686</v>
      </c>
      <c r="B1334" s="37" t="s">
        <v>1383</v>
      </c>
      <c r="C1334" s="90">
        <v>44818.851875</v>
      </c>
      <c r="D1334" s="114">
        <v>44818.601875</v>
      </c>
      <c r="E1334" s="38">
        <v>44818</v>
      </c>
      <c r="F1334" s="91">
        <v>2022</v>
      </c>
      <c r="G1334" s="93">
        <v>9</v>
      </c>
      <c r="H1334" s="37" t="s">
        <v>1378</v>
      </c>
      <c r="I1334" s="37"/>
      <c r="J1334" s="103">
        <v>-91.624688724571101</v>
      </c>
      <c r="K1334" s="40">
        <v>43.138244648602331</v>
      </c>
      <c r="L1334" s="74"/>
      <c r="M1334" s="272" t="s">
        <v>1384</v>
      </c>
      <c r="N1334" s="74">
        <v>1</v>
      </c>
      <c r="O1334" s="94"/>
      <c r="P1334" s="118">
        <v>1</v>
      </c>
      <c r="Q1334" s="510">
        <v>180</v>
      </c>
      <c r="R1334" s="513">
        <v>180</v>
      </c>
      <c r="S1334" s="41"/>
      <c r="T1334" s="40"/>
      <c r="U1334" s="40">
        <v>9</v>
      </c>
      <c r="V1334" s="119">
        <v>0</v>
      </c>
      <c r="W1334" s="40"/>
      <c r="X1334" s="119">
        <v>0</v>
      </c>
      <c r="Y1334" s="40"/>
      <c r="Z1334" s="119">
        <v>1</v>
      </c>
      <c r="AA1334" s="368">
        <v>0</v>
      </c>
      <c r="AB1334" s="535">
        <v>10</v>
      </c>
      <c r="AC1334" s="39"/>
      <c r="AD1334" s="75" t="s">
        <v>16</v>
      </c>
      <c r="AE1334" s="95">
        <v>-1</v>
      </c>
      <c r="AF1334" s="75">
        <v>-1</v>
      </c>
      <c r="AG1334" s="75">
        <v>-1</v>
      </c>
      <c r="AH1334" s="75">
        <v>-1</v>
      </c>
      <c r="AI1334" s="75">
        <v>-1</v>
      </c>
      <c r="AJ1334" s="75">
        <v>-1</v>
      </c>
      <c r="AK1334" s="75">
        <v>-1</v>
      </c>
      <c r="AL1334" s="95">
        <v>-1</v>
      </c>
      <c r="AM1334" s="92">
        <v>1</v>
      </c>
      <c r="AN1334" s="79"/>
      <c r="AO1334" s="75">
        <v>0</v>
      </c>
      <c r="AP1334" s="75"/>
      <c r="AQ1334" s="122">
        <v>0</v>
      </c>
      <c r="AR1334" s="515" t="s">
        <v>16</v>
      </c>
      <c r="AS1334" s="95">
        <v>-1</v>
      </c>
      <c r="AT1334" s="75">
        <v>-1</v>
      </c>
      <c r="AU1334" s="75">
        <v>-1</v>
      </c>
      <c r="AV1334" s="75">
        <v>-1</v>
      </c>
      <c r="AW1334" s="123">
        <v>1</v>
      </c>
      <c r="AX1334" s="516"/>
      <c r="AY1334" s="75">
        <v>0</v>
      </c>
      <c r="AZ1334" s="77" t="s">
        <v>5971</v>
      </c>
      <c r="BA1334" s="78" t="s">
        <v>5971</v>
      </c>
      <c r="BB1334" s="78" t="s">
        <v>5971</v>
      </c>
      <c r="BC1334" s="78" t="s">
        <v>5971</v>
      </c>
      <c r="BD1334" s="78" t="s">
        <v>5971</v>
      </c>
      <c r="BE1334" s="78" t="s">
        <v>5971</v>
      </c>
      <c r="BF1334" s="78" t="s">
        <v>5971</v>
      </c>
      <c r="BG1334" s="78" t="s">
        <v>5971</v>
      </c>
      <c r="BH1334" s="75" t="s">
        <v>5971</v>
      </c>
      <c r="BI1334" s="295" t="s">
        <v>16</v>
      </c>
      <c r="BJ1334" s="546">
        <v>1</v>
      </c>
      <c r="BK1334" s="294" t="s">
        <v>16</v>
      </c>
      <c r="BL1334" s="157" t="s">
        <v>16</v>
      </c>
      <c r="BM1334" s="548" t="s">
        <v>1344</v>
      </c>
      <c r="BN1334" s="548" t="s">
        <v>4158</v>
      </c>
      <c r="BO1334" s="157" t="s">
        <v>4666</v>
      </c>
      <c r="BP1334" s="548" t="s">
        <v>4667</v>
      </c>
      <c r="BQ1334" s="157" t="s">
        <v>4371</v>
      </c>
      <c r="BR1334" s="157"/>
    </row>
    <row r="1335" spans="1:70" x14ac:dyDescent="0.25">
      <c r="A1335" s="19" t="s">
        <v>3686</v>
      </c>
      <c r="B1335" s="37" t="s">
        <v>1385</v>
      </c>
      <c r="C1335" s="90">
        <v>44818.833483796298</v>
      </c>
      <c r="D1335" s="114">
        <v>44818.583483796298</v>
      </c>
      <c r="E1335" s="38">
        <v>44818</v>
      </c>
      <c r="F1335" s="91">
        <v>2022</v>
      </c>
      <c r="G1335" s="93">
        <v>9</v>
      </c>
      <c r="H1335" s="37" t="s">
        <v>1386</v>
      </c>
      <c r="I1335" s="37"/>
      <c r="J1335" s="103">
        <v>-91.570286699999997</v>
      </c>
      <c r="K1335" s="40">
        <v>43.502555200000003</v>
      </c>
      <c r="L1335" s="74"/>
      <c r="M1335" s="272" t="s">
        <v>1387</v>
      </c>
      <c r="N1335" s="74">
        <v>1</v>
      </c>
      <c r="O1335" s="94"/>
      <c r="P1335" s="118">
        <v>1</v>
      </c>
      <c r="Q1335" s="510">
        <v>80</v>
      </c>
      <c r="R1335" s="513">
        <v>180</v>
      </c>
      <c r="S1335" s="41"/>
      <c r="T1335" s="40"/>
      <c r="U1335" s="40">
        <v>7.5</v>
      </c>
      <c r="V1335" s="119">
        <v>1</v>
      </c>
      <c r="W1335" s="40">
        <v>0</v>
      </c>
      <c r="X1335" s="119">
        <v>1</v>
      </c>
      <c r="Y1335" s="40">
        <v>55</v>
      </c>
      <c r="Z1335" s="119">
        <v>1</v>
      </c>
      <c r="AA1335" s="368">
        <v>0</v>
      </c>
      <c r="AB1335" s="535">
        <v>5</v>
      </c>
      <c r="AC1335" s="39" t="s">
        <v>160</v>
      </c>
      <c r="AD1335" s="75" t="s">
        <v>10</v>
      </c>
      <c r="AE1335" s="95">
        <v>0</v>
      </c>
      <c r="AF1335" s="75">
        <v>0</v>
      </c>
      <c r="AG1335" s="75">
        <v>0</v>
      </c>
      <c r="AH1335" s="75">
        <v>0</v>
      </c>
      <c r="AI1335" s="75">
        <v>0</v>
      </c>
      <c r="AJ1335" s="75">
        <v>0</v>
      </c>
      <c r="AK1335" s="75">
        <v>0</v>
      </c>
      <c r="AL1335" s="95">
        <v>1</v>
      </c>
      <c r="AM1335" s="92">
        <v>0</v>
      </c>
      <c r="AN1335" s="79" t="s">
        <v>80</v>
      </c>
      <c r="AO1335" s="75">
        <v>1</v>
      </c>
      <c r="AP1335" s="75" t="s">
        <v>83</v>
      </c>
      <c r="AQ1335" s="122">
        <v>1</v>
      </c>
      <c r="AR1335" s="515" t="s">
        <v>10</v>
      </c>
      <c r="AS1335" s="95">
        <v>0</v>
      </c>
      <c r="AT1335" s="75">
        <v>0</v>
      </c>
      <c r="AU1335" s="75">
        <v>0</v>
      </c>
      <c r="AV1335" s="75">
        <v>0</v>
      </c>
      <c r="AW1335" s="123">
        <v>0</v>
      </c>
      <c r="AX1335" s="516"/>
      <c r="AY1335" s="75">
        <v>0</v>
      </c>
      <c r="AZ1335" s="77" t="s">
        <v>131</v>
      </c>
      <c r="BA1335" s="78" t="s">
        <v>131</v>
      </c>
      <c r="BB1335" s="78" t="s">
        <v>131</v>
      </c>
      <c r="BC1335" s="78" t="s">
        <v>131</v>
      </c>
      <c r="BD1335" s="78" t="s">
        <v>131</v>
      </c>
      <c r="BE1335" s="78" t="s">
        <v>131</v>
      </c>
      <c r="BF1335" s="78" t="s">
        <v>131</v>
      </c>
      <c r="BG1335" s="78" t="s">
        <v>132</v>
      </c>
      <c r="BH1335" s="75" t="s">
        <v>5970</v>
      </c>
      <c r="BI1335" s="295" t="s">
        <v>2265</v>
      </c>
      <c r="BJ1335" s="546">
        <v>1</v>
      </c>
      <c r="BK1335" s="294">
        <v>1</v>
      </c>
      <c r="BL1335" s="157">
        <v>1</v>
      </c>
      <c r="BM1335" s="548" t="s">
        <v>1341</v>
      </c>
      <c r="BN1335" s="548" t="s">
        <v>1339</v>
      </c>
      <c r="BO1335" s="157" t="s">
        <v>4242</v>
      </c>
      <c r="BP1335" s="548" t="s">
        <v>4041</v>
      </c>
      <c r="BQ1335" s="157" t="s">
        <v>4241</v>
      </c>
      <c r="BR1335" s="157"/>
    </row>
    <row r="1336" spans="1:70" x14ac:dyDescent="0.25">
      <c r="A1336" s="19" t="s">
        <v>3686</v>
      </c>
      <c r="B1336" s="37" t="s">
        <v>1388</v>
      </c>
      <c r="C1336" s="90">
        <v>44818.773900462962</v>
      </c>
      <c r="D1336" s="114">
        <v>44818.523900462962</v>
      </c>
      <c r="E1336" s="38">
        <v>44818</v>
      </c>
      <c r="F1336" s="91">
        <v>2022</v>
      </c>
      <c r="G1336" s="93">
        <v>9</v>
      </c>
      <c r="H1336" s="37" t="s">
        <v>1378</v>
      </c>
      <c r="I1336" s="37"/>
      <c r="J1336" s="103">
        <v>-91.779764384971756</v>
      </c>
      <c r="K1336" s="40">
        <v>43.273184254023377</v>
      </c>
      <c r="L1336" s="74"/>
      <c r="M1336" s="272" t="s">
        <v>1389</v>
      </c>
      <c r="N1336" s="74">
        <v>1</v>
      </c>
      <c r="O1336" s="94"/>
      <c r="P1336" s="118">
        <v>1</v>
      </c>
      <c r="Q1336" s="510">
        <v>180</v>
      </c>
      <c r="R1336" s="513">
        <v>180</v>
      </c>
      <c r="S1336" s="41"/>
      <c r="T1336" s="40"/>
      <c r="U1336" s="40">
        <v>7</v>
      </c>
      <c r="V1336" s="119">
        <v>0</v>
      </c>
      <c r="W1336" s="40"/>
      <c r="X1336" s="119">
        <v>0</v>
      </c>
      <c r="Y1336" s="40"/>
      <c r="Z1336" s="119">
        <v>0</v>
      </c>
      <c r="AA1336" s="368" t="s">
        <v>16</v>
      </c>
      <c r="AB1336" s="535" t="s">
        <v>16</v>
      </c>
      <c r="AC1336" s="39"/>
      <c r="AD1336" s="75" t="s">
        <v>16</v>
      </c>
      <c r="AE1336" s="95">
        <v>-1</v>
      </c>
      <c r="AF1336" s="75">
        <v>-1</v>
      </c>
      <c r="AG1336" s="75">
        <v>-1</v>
      </c>
      <c r="AH1336" s="75">
        <v>-1</v>
      </c>
      <c r="AI1336" s="75">
        <v>-1</v>
      </c>
      <c r="AJ1336" s="75">
        <v>-1</v>
      </c>
      <c r="AK1336" s="75">
        <v>-1</v>
      </c>
      <c r="AL1336" s="95">
        <v>-1</v>
      </c>
      <c r="AM1336" s="92">
        <v>1</v>
      </c>
      <c r="AN1336" s="79"/>
      <c r="AO1336" s="75">
        <v>0</v>
      </c>
      <c r="AP1336" s="75"/>
      <c r="AQ1336" s="122">
        <v>0</v>
      </c>
      <c r="AR1336" s="515" t="s">
        <v>16</v>
      </c>
      <c r="AS1336" s="95">
        <v>-1</v>
      </c>
      <c r="AT1336" s="75">
        <v>-1</v>
      </c>
      <c r="AU1336" s="75">
        <v>-1</v>
      </c>
      <c r="AV1336" s="75">
        <v>-1</v>
      </c>
      <c r="AW1336" s="123">
        <v>1</v>
      </c>
      <c r="AX1336" s="516"/>
      <c r="AY1336" s="75">
        <v>0</v>
      </c>
      <c r="AZ1336" s="77" t="s">
        <v>5971</v>
      </c>
      <c r="BA1336" s="78" t="s">
        <v>5971</v>
      </c>
      <c r="BB1336" s="78" t="s">
        <v>5971</v>
      </c>
      <c r="BC1336" s="78" t="s">
        <v>5971</v>
      </c>
      <c r="BD1336" s="78" t="s">
        <v>5971</v>
      </c>
      <c r="BE1336" s="78" t="s">
        <v>5971</v>
      </c>
      <c r="BF1336" s="78" t="s">
        <v>5971</v>
      </c>
      <c r="BG1336" s="78" t="s">
        <v>5971</v>
      </c>
      <c r="BH1336" s="75" t="s">
        <v>5971</v>
      </c>
      <c r="BI1336" s="295" t="s">
        <v>2254</v>
      </c>
      <c r="BJ1336" s="546">
        <v>1</v>
      </c>
      <c r="BK1336" s="294" t="s">
        <v>16</v>
      </c>
      <c r="BL1336" s="157" t="s">
        <v>16</v>
      </c>
      <c r="BM1336" s="548" t="s">
        <v>1344</v>
      </c>
      <c r="BN1336" s="548" t="s">
        <v>4158</v>
      </c>
      <c r="BO1336" s="157" t="s">
        <v>4491</v>
      </c>
      <c r="BP1336" s="548" t="s">
        <v>2254</v>
      </c>
      <c r="BQ1336" s="157" t="s">
        <v>4377</v>
      </c>
      <c r="BR1336" s="157"/>
    </row>
    <row r="1337" spans="1:70" x14ac:dyDescent="0.25">
      <c r="A1337" s="19" t="s">
        <v>3686</v>
      </c>
      <c r="B1337" s="37" t="s">
        <v>1390</v>
      </c>
      <c r="C1337" s="90">
        <v>44813.748784722222</v>
      </c>
      <c r="D1337" s="114">
        <v>44813.498784722222</v>
      </c>
      <c r="E1337" s="38">
        <v>44813</v>
      </c>
      <c r="F1337" s="91">
        <v>2022</v>
      </c>
      <c r="G1337" s="93">
        <v>9</v>
      </c>
      <c r="H1337" s="37" t="s">
        <v>1391</v>
      </c>
      <c r="I1337" s="37" t="s">
        <v>960</v>
      </c>
      <c r="J1337" s="103">
        <v>-93.008981114340017</v>
      </c>
      <c r="K1337" s="40">
        <v>44.657249311026803</v>
      </c>
      <c r="L1337" s="74"/>
      <c r="M1337" s="272" t="s">
        <v>16</v>
      </c>
      <c r="N1337" s="74">
        <v>0</v>
      </c>
      <c r="O1337" s="94"/>
      <c r="P1337" s="118">
        <v>1</v>
      </c>
      <c r="Q1337" s="510">
        <v>40</v>
      </c>
      <c r="R1337" s="513">
        <v>0</v>
      </c>
      <c r="S1337" s="41"/>
      <c r="T1337" s="40"/>
      <c r="U1337" s="40">
        <v>7</v>
      </c>
      <c r="V1337" s="119">
        <v>1</v>
      </c>
      <c r="W1337" s="40">
        <v>100</v>
      </c>
      <c r="X1337" s="119">
        <v>1</v>
      </c>
      <c r="Y1337" s="40">
        <v>64</v>
      </c>
      <c r="Z1337" s="119">
        <v>1</v>
      </c>
      <c r="AA1337" s="368">
        <v>0</v>
      </c>
      <c r="AB1337" s="535">
        <v>5</v>
      </c>
      <c r="AC1337" s="39" t="s">
        <v>160</v>
      </c>
      <c r="AD1337" s="75" t="s">
        <v>10</v>
      </c>
      <c r="AE1337" s="95">
        <v>0</v>
      </c>
      <c r="AF1337" s="75">
        <v>0</v>
      </c>
      <c r="AG1337" s="75">
        <v>0</v>
      </c>
      <c r="AH1337" s="75">
        <v>0</v>
      </c>
      <c r="AI1337" s="75">
        <v>0</v>
      </c>
      <c r="AJ1337" s="75">
        <v>0</v>
      </c>
      <c r="AK1337" s="75">
        <v>0</v>
      </c>
      <c r="AL1337" s="95">
        <v>1</v>
      </c>
      <c r="AM1337" s="92">
        <v>0</v>
      </c>
      <c r="AN1337" s="79" t="s">
        <v>80</v>
      </c>
      <c r="AO1337" s="75">
        <v>1</v>
      </c>
      <c r="AP1337" s="75" t="s">
        <v>83</v>
      </c>
      <c r="AQ1337" s="122">
        <v>1</v>
      </c>
      <c r="AR1337" s="515" t="s">
        <v>13</v>
      </c>
      <c r="AS1337" s="95">
        <v>1</v>
      </c>
      <c r="AT1337" s="75">
        <v>0</v>
      </c>
      <c r="AU1337" s="75">
        <v>0</v>
      </c>
      <c r="AV1337" s="75">
        <v>0</v>
      </c>
      <c r="AW1337" s="123">
        <v>0</v>
      </c>
      <c r="AX1337" s="516"/>
      <c r="AY1337" s="75">
        <v>0</v>
      </c>
      <c r="AZ1337" s="77" t="s">
        <v>131</v>
      </c>
      <c r="BA1337" s="78" t="s">
        <v>131</v>
      </c>
      <c r="BB1337" s="78" t="s">
        <v>131</v>
      </c>
      <c r="BC1337" s="78" t="s">
        <v>131</v>
      </c>
      <c r="BD1337" s="78" t="s">
        <v>131</v>
      </c>
      <c r="BE1337" s="78" t="s">
        <v>131</v>
      </c>
      <c r="BF1337" s="78" t="s">
        <v>131</v>
      </c>
      <c r="BG1337" s="78" t="s">
        <v>132</v>
      </c>
      <c r="BH1337" s="75" t="s">
        <v>5970</v>
      </c>
      <c r="BI1337" s="295" t="s">
        <v>2225</v>
      </c>
      <c r="BJ1337" s="546">
        <v>1</v>
      </c>
      <c r="BK1337" s="294" t="s">
        <v>16</v>
      </c>
      <c r="BL1337" s="157" t="s">
        <v>16</v>
      </c>
      <c r="BM1337" s="548" t="s">
        <v>2343</v>
      </c>
      <c r="BN1337" s="548" t="s">
        <v>4161</v>
      </c>
      <c r="BO1337" s="157" t="s">
        <v>4293</v>
      </c>
      <c r="BP1337" s="548" t="s">
        <v>2225</v>
      </c>
      <c r="BQ1337" s="157" t="s">
        <v>4292</v>
      </c>
      <c r="BR1337" s="157"/>
    </row>
    <row r="1338" spans="1:70" x14ac:dyDescent="0.25">
      <c r="A1338" s="19" t="s">
        <v>3686</v>
      </c>
      <c r="B1338" s="37" t="s">
        <v>1392</v>
      </c>
      <c r="C1338" s="90">
        <v>44813.707245370373</v>
      </c>
      <c r="D1338" s="114">
        <v>44813.457245370373</v>
      </c>
      <c r="E1338" s="38">
        <v>44813</v>
      </c>
      <c r="F1338" s="91">
        <v>2022</v>
      </c>
      <c r="G1338" s="93">
        <v>9</v>
      </c>
      <c r="H1338" s="37" t="s">
        <v>260</v>
      </c>
      <c r="I1338" s="37" t="s">
        <v>337</v>
      </c>
      <c r="J1338" s="103">
        <v>-92.645049856183647</v>
      </c>
      <c r="K1338" s="40">
        <v>44.843561543946109</v>
      </c>
      <c r="L1338" s="74"/>
      <c r="M1338" s="272" t="s">
        <v>1393</v>
      </c>
      <c r="N1338" s="74">
        <v>1</v>
      </c>
      <c r="O1338" s="94"/>
      <c r="P1338" s="118">
        <v>1</v>
      </c>
      <c r="Q1338" s="510">
        <v>0</v>
      </c>
      <c r="R1338" s="513">
        <v>30</v>
      </c>
      <c r="S1338" s="41"/>
      <c r="T1338" s="40"/>
      <c r="U1338" s="40">
        <v>7</v>
      </c>
      <c r="V1338" s="119">
        <v>1</v>
      </c>
      <c r="W1338" s="40">
        <v>100</v>
      </c>
      <c r="X1338" s="119">
        <v>1</v>
      </c>
      <c r="Y1338" s="40">
        <v>59</v>
      </c>
      <c r="Z1338" s="119">
        <v>1</v>
      </c>
      <c r="AA1338" s="368">
        <v>0</v>
      </c>
      <c r="AB1338" s="535">
        <v>5</v>
      </c>
      <c r="AC1338" s="39" t="s">
        <v>160</v>
      </c>
      <c r="AD1338" s="75" t="s">
        <v>10</v>
      </c>
      <c r="AE1338" s="95">
        <v>0</v>
      </c>
      <c r="AF1338" s="75">
        <v>0</v>
      </c>
      <c r="AG1338" s="75">
        <v>0</v>
      </c>
      <c r="AH1338" s="75">
        <v>0</v>
      </c>
      <c r="AI1338" s="75">
        <v>0</v>
      </c>
      <c r="AJ1338" s="75">
        <v>0</v>
      </c>
      <c r="AK1338" s="75">
        <v>0</v>
      </c>
      <c r="AL1338" s="95">
        <v>1</v>
      </c>
      <c r="AM1338" s="92">
        <v>0</v>
      </c>
      <c r="AN1338" s="79" t="s">
        <v>80</v>
      </c>
      <c r="AO1338" s="75">
        <v>1</v>
      </c>
      <c r="AP1338" s="75" t="s">
        <v>83</v>
      </c>
      <c r="AQ1338" s="122">
        <v>1</v>
      </c>
      <c r="AR1338" s="515" t="s">
        <v>10</v>
      </c>
      <c r="AS1338" s="95">
        <v>0</v>
      </c>
      <c r="AT1338" s="75">
        <v>0</v>
      </c>
      <c r="AU1338" s="75">
        <v>0</v>
      </c>
      <c r="AV1338" s="75">
        <v>0</v>
      </c>
      <c r="AW1338" s="123">
        <v>0</v>
      </c>
      <c r="AX1338" s="516" t="s">
        <v>1394</v>
      </c>
      <c r="AY1338" s="75">
        <v>1</v>
      </c>
      <c r="AZ1338" s="77" t="s">
        <v>131</v>
      </c>
      <c r="BA1338" s="78" t="s">
        <v>131</v>
      </c>
      <c r="BB1338" s="78" t="s">
        <v>131</v>
      </c>
      <c r="BC1338" s="78" t="s">
        <v>131</v>
      </c>
      <c r="BD1338" s="78" t="s">
        <v>131</v>
      </c>
      <c r="BE1338" s="78" t="s">
        <v>131</v>
      </c>
      <c r="BF1338" s="78" t="s">
        <v>131</v>
      </c>
      <c r="BG1338" s="78" t="s">
        <v>132</v>
      </c>
      <c r="BH1338" s="75" t="s">
        <v>5970</v>
      </c>
      <c r="BI1338" s="295" t="s">
        <v>2227</v>
      </c>
      <c r="BJ1338" s="546">
        <v>1</v>
      </c>
      <c r="BK1338" s="294" t="s">
        <v>16</v>
      </c>
      <c r="BL1338" s="157" t="s">
        <v>16</v>
      </c>
      <c r="BM1338" s="548" t="s">
        <v>578</v>
      </c>
      <c r="BN1338" s="548" t="s">
        <v>578</v>
      </c>
      <c r="BO1338" s="157" t="s">
        <v>4341</v>
      </c>
      <c r="BP1338" s="548" t="s">
        <v>4343</v>
      </c>
      <c r="BQ1338" s="157" t="s">
        <v>4309</v>
      </c>
      <c r="BR1338" s="157"/>
    </row>
    <row r="1339" spans="1:70" x14ac:dyDescent="0.25">
      <c r="A1339" s="19" t="s">
        <v>3686</v>
      </c>
      <c r="B1339" s="37" t="s">
        <v>1395</v>
      </c>
      <c r="C1339" s="90">
        <v>44813.699444444443</v>
      </c>
      <c r="D1339" s="114">
        <v>44813.449444444443</v>
      </c>
      <c r="E1339" s="38">
        <v>44813</v>
      </c>
      <c r="F1339" s="91">
        <v>2022</v>
      </c>
      <c r="G1339" s="93">
        <v>9</v>
      </c>
      <c r="H1339" s="37" t="s">
        <v>624</v>
      </c>
      <c r="I1339" s="37" t="s">
        <v>16</v>
      </c>
      <c r="J1339" s="103">
        <v>-92.111310251498878</v>
      </c>
      <c r="K1339" s="40">
        <v>45.18460801310691</v>
      </c>
      <c r="L1339" s="74"/>
      <c r="M1339" s="272" t="s">
        <v>16</v>
      </c>
      <c r="N1339" s="74">
        <v>0</v>
      </c>
      <c r="O1339" s="94"/>
      <c r="P1339" s="118">
        <v>1</v>
      </c>
      <c r="Q1339" s="510">
        <v>180</v>
      </c>
      <c r="R1339" s="513">
        <v>120</v>
      </c>
      <c r="S1339" s="41"/>
      <c r="T1339" s="40"/>
      <c r="U1339" s="40">
        <v>8</v>
      </c>
      <c r="V1339" s="119">
        <v>1</v>
      </c>
      <c r="W1339" s="40">
        <v>0</v>
      </c>
      <c r="X1339" s="119">
        <v>1</v>
      </c>
      <c r="Y1339" s="40">
        <v>57</v>
      </c>
      <c r="Z1339" s="119">
        <v>1</v>
      </c>
      <c r="AA1339" s="368">
        <v>0</v>
      </c>
      <c r="AB1339" s="535">
        <v>2</v>
      </c>
      <c r="AC1339" s="39" t="s">
        <v>160</v>
      </c>
      <c r="AD1339" s="75" t="s">
        <v>10</v>
      </c>
      <c r="AE1339" s="95">
        <v>0</v>
      </c>
      <c r="AF1339" s="75">
        <v>0</v>
      </c>
      <c r="AG1339" s="75">
        <v>0</v>
      </c>
      <c r="AH1339" s="75">
        <v>0</v>
      </c>
      <c r="AI1339" s="75">
        <v>0</v>
      </c>
      <c r="AJ1339" s="75">
        <v>0</v>
      </c>
      <c r="AK1339" s="75">
        <v>0</v>
      </c>
      <c r="AL1339" s="95">
        <v>1</v>
      </c>
      <c r="AM1339" s="92">
        <v>0</v>
      </c>
      <c r="AN1339" s="79" t="s">
        <v>81</v>
      </c>
      <c r="AO1339" s="75">
        <v>1</v>
      </c>
      <c r="AP1339" s="75" t="s">
        <v>83</v>
      </c>
      <c r="AQ1339" s="122">
        <v>1</v>
      </c>
      <c r="AR1339" s="515" t="s">
        <v>10</v>
      </c>
      <c r="AS1339" s="95">
        <v>0</v>
      </c>
      <c r="AT1339" s="75">
        <v>0</v>
      </c>
      <c r="AU1339" s="75">
        <v>0</v>
      </c>
      <c r="AV1339" s="75">
        <v>0</v>
      </c>
      <c r="AW1339" s="123">
        <v>0</v>
      </c>
      <c r="AX1339" s="516"/>
      <c r="AY1339" s="75">
        <v>0</v>
      </c>
      <c r="AZ1339" s="77" t="s">
        <v>131</v>
      </c>
      <c r="BA1339" s="78" t="s">
        <v>131</v>
      </c>
      <c r="BB1339" s="78" t="s">
        <v>131</v>
      </c>
      <c r="BC1339" s="78" t="s">
        <v>131</v>
      </c>
      <c r="BD1339" s="78" t="s">
        <v>131</v>
      </c>
      <c r="BE1339" s="78" t="s">
        <v>131</v>
      </c>
      <c r="BF1339" s="78" t="s">
        <v>131</v>
      </c>
      <c r="BG1339" s="78" t="s">
        <v>132</v>
      </c>
      <c r="BH1339" s="75" t="s">
        <v>5970</v>
      </c>
      <c r="BI1339" s="295" t="s">
        <v>2296</v>
      </c>
      <c r="BJ1339" s="546">
        <v>1</v>
      </c>
      <c r="BK1339" s="294" t="s">
        <v>16</v>
      </c>
      <c r="BL1339" s="157" t="s">
        <v>16</v>
      </c>
      <c r="BM1339" s="548" t="s">
        <v>1340</v>
      </c>
      <c r="BN1339" s="548" t="s">
        <v>4161</v>
      </c>
      <c r="BO1339" s="157" t="s">
        <v>4671</v>
      </c>
      <c r="BP1339" s="548" t="s">
        <v>4672</v>
      </c>
      <c r="BQ1339" s="157" t="s">
        <v>4670</v>
      </c>
      <c r="BR1339" s="157"/>
    </row>
    <row r="1340" spans="1:70" x14ac:dyDescent="0.25">
      <c r="A1340" s="19" t="s">
        <v>3686</v>
      </c>
      <c r="B1340" s="37" t="s">
        <v>1396</v>
      </c>
      <c r="C1340" s="90">
        <v>44813.667361111111</v>
      </c>
      <c r="D1340" s="114">
        <v>44813.417361111111</v>
      </c>
      <c r="E1340" s="38">
        <v>44813</v>
      </c>
      <c r="F1340" s="91">
        <v>2022</v>
      </c>
      <c r="G1340" s="93">
        <v>9</v>
      </c>
      <c r="H1340" s="37" t="s">
        <v>1386</v>
      </c>
      <c r="I1340" s="37"/>
      <c r="J1340" s="103">
        <v>-92.2942453</v>
      </c>
      <c r="K1340" s="40">
        <v>43.728029800000002</v>
      </c>
      <c r="L1340" s="74"/>
      <c r="M1340" s="272" t="s">
        <v>1397</v>
      </c>
      <c r="N1340" s="74">
        <v>1</v>
      </c>
      <c r="O1340" s="94"/>
      <c r="P1340" s="118">
        <v>1</v>
      </c>
      <c r="Q1340" s="510">
        <v>40</v>
      </c>
      <c r="R1340" s="513">
        <v>120</v>
      </c>
      <c r="S1340" s="41"/>
      <c r="T1340" s="40"/>
      <c r="U1340" s="40">
        <v>7</v>
      </c>
      <c r="V1340" s="119">
        <v>1</v>
      </c>
      <c r="W1340" s="40">
        <v>0</v>
      </c>
      <c r="X1340" s="119">
        <v>1</v>
      </c>
      <c r="Y1340" s="40">
        <v>60</v>
      </c>
      <c r="Z1340" s="119">
        <v>1</v>
      </c>
      <c r="AA1340" s="368">
        <v>0</v>
      </c>
      <c r="AB1340" s="535">
        <v>5</v>
      </c>
      <c r="AC1340" s="39" t="s">
        <v>160</v>
      </c>
      <c r="AD1340" s="75" t="s">
        <v>10</v>
      </c>
      <c r="AE1340" s="95">
        <v>0</v>
      </c>
      <c r="AF1340" s="75">
        <v>0</v>
      </c>
      <c r="AG1340" s="75">
        <v>0</v>
      </c>
      <c r="AH1340" s="75">
        <v>0</v>
      </c>
      <c r="AI1340" s="75">
        <v>0</v>
      </c>
      <c r="AJ1340" s="75">
        <v>0</v>
      </c>
      <c r="AK1340" s="75">
        <v>0</v>
      </c>
      <c r="AL1340" s="95">
        <v>1</v>
      </c>
      <c r="AM1340" s="92">
        <v>0</v>
      </c>
      <c r="AN1340" s="79" t="s">
        <v>80</v>
      </c>
      <c r="AO1340" s="75">
        <v>1</v>
      </c>
      <c r="AP1340" s="75" t="s">
        <v>83</v>
      </c>
      <c r="AQ1340" s="122">
        <v>1</v>
      </c>
      <c r="AR1340" s="515" t="s">
        <v>10</v>
      </c>
      <c r="AS1340" s="95">
        <v>0</v>
      </c>
      <c r="AT1340" s="75">
        <v>0</v>
      </c>
      <c r="AU1340" s="75">
        <v>0</v>
      </c>
      <c r="AV1340" s="75">
        <v>0</v>
      </c>
      <c r="AW1340" s="123">
        <v>0</v>
      </c>
      <c r="AX1340" s="516"/>
      <c r="AY1340" s="75">
        <v>0</v>
      </c>
      <c r="AZ1340" s="77" t="s">
        <v>131</v>
      </c>
      <c r="BA1340" s="78" t="s">
        <v>131</v>
      </c>
      <c r="BB1340" s="78" t="s">
        <v>131</v>
      </c>
      <c r="BC1340" s="78" t="s">
        <v>131</v>
      </c>
      <c r="BD1340" s="78" t="s">
        <v>131</v>
      </c>
      <c r="BE1340" s="78" t="s">
        <v>131</v>
      </c>
      <c r="BF1340" s="78" t="s">
        <v>131</v>
      </c>
      <c r="BG1340" s="78" t="s">
        <v>132</v>
      </c>
      <c r="BH1340" s="75" t="s">
        <v>5970</v>
      </c>
      <c r="BI1340" s="295" t="s">
        <v>2230</v>
      </c>
      <c r="BJ1340" s="546">
        <v>1</v>
      </c>
      <c r="BK1340" s="294" t="s">
        <v>16</v>
      </c>
      <c r="BL1340" s="157" t="s">
        <v>16</v>
      </c>
      <c r="BM1340" s="548" t="s">
        <v>1339</v>
      </c>
      <c r="BN1340" s="548" t="s">
        <v>1339</v>
      </c>
      <c r="BO1340" s="157" t="s">
        <v>4227</v>
      </c>
      <c r="BP1340" s="548" t="s">
        <v>2230</v>
      </c>
      <c r="BQ1340" s="157" t="s">
        <v>4226</v>
      </c>
      <c r="BR1340" s="157"/>
    </row>
    <row r="1341" spans="1:70" x14ac:dyDescent="0.25">
      <c r="A1341" s="19" t="s">
        <v>3686</v>
      </c>
      <c r="B1341" s="37" t="s">
        <v>1398</v>
      </c>
      <c r="C1341" s="90">
        <v>44813.604560185187</v>
      </c>
      <c r="D1341" s="114">
        <v>44813.354560185187</v>
      </c>
      <c r="E1341" s="38">
        <v>44813</v>
      </c>
      <c r="F1341" s="91">
        <v>2022</v>
      </c>
      <c r="G1341" s="93">
        <v>9</v>
      </c>
      <c r="H1341" s="37" t="s">
        <v>1386</v>
      </c>
      <c r="I1341" s="37" t="s">
        <v>16</v>
      </c>
      <c r="J1341" s="103">
        <v>-92.342205199999995</v>
      </c>
      <c r="K1341" s="40">
        <v>43.603124600000001</v>
      </c>
      <c r="L1341" s="74"/>
      <c r="M1341" s="272" t="s">
        <v>1399</v>
      </c>
      <c r="N1341" s="74">
        <v>1</v>
      </c>
      <c r="O1341" s="94"/>
      <c r="P1341" s="118">
        <v>1</v>
      </c>
      <c r="Q1341" s="510">
        <v>40</v>
      </c>
      <c r="R1341" s="513">
        <v>120</v>
      </c>
      <c r="S1341" s="41"/>
      <c r="T1341" s="40"/>
      <c r="U1341" s="40">
        <v>7.5</v>
      </c>
      <c r="V1341" s="119">
        <v>1</v>
      </c>
      <c r="W1341" s="40">
        <v>100</v>
      </c>
      <c r="X1341" s="119">
        <v>1</v>
      </c>
      <c r="Y1341" s="40">
        <v>55</v>
      </c>
      <c r="Z1341" s="119">
        <v>1</v>
      </c>
      <c r="AA1341" s="368">
        <v>0</v>
      </c>
      <c r="AB1341" s="535">
        <v>5</v>
      </c>
      <c r="AC1341" s="39" t="s">
        <v>160</v>
      </c>
      <c r="AD1341" s="75" t="s">
        <v>10</v>
      </c>
      <c r="AE1341" s="95">
        <v>0</v>
      </c>
      <c r="AF1341" s="75">
        <v>0</v>
      </c>
      <c r="AG1341" s="75">
        <v>0</v>
      </c>
      <c r="AH1341" s="75">
        <v>0</v>
      </c>
      <c r="AI1341" s="75">
        <v>0</v>
      </c>
      <c r="AJ1341" s="75">
        <v>0</v>
      </c>
      <c r="AK1341" s="75">
        <v>0</v>
      </c>
      <c r="AL1341" s="95">
        <v>1</v>
      </c>
      <c r="AM1341" s="92">
        <v>0</v>
      </c>
      <c r="AN1341" s="79" t="s">
        <v>80</v>
      </c>
      <c r="AO1341" s="75">
        <v>1</v>
      </c>
      <c r="AP1341" s="75" t="s">
        <v>83</v>
      </c>
      <c r="AQ1341" s="122">
        <v>1</v>
      </c>
      <c r="AR1341" s="515" t="s">
        <v>10</v>
      </c>
      <c r="AS1341" s="95">
        <v>0</v>
      </c>
      <c r="AT1341" s="75">
        <v>0</v>
      </c>
      <c r="AU1341" s="75">
        <v>0</v>
      </c>
      <c r="AV1341" s="75">
        <v>0</v>
      </c>
      <c r="AW1341" s="123">
        <v>0</v>
      </c>
      <c r="AX1341" s="516"/>
      <c r="AY1341" s="75">
        <v>0</v>
      </c>
      <c r="AZ1341" s="77" t="s">
        <v>131</v>
      </c>
      <c r="BA1341" s="78" t="s">
        <v>131</v>
      </c>
      <c r="BB1341" s="78" t="s">
        <v>131</v>
      </c>
      <c r="BC1341" s="78" t="s">
        <v>131</v>
      </c>
      <c r="BD1341" s="78" t="s">
        <v>131</v>
      </c>
      <c r="BE1341" s="78" t="s">
        <v>131</v>
      </c>
      <c r="BF1341" s="78" t="s">
        <v>131</v>
      </c>
      <c r="BG1341" s="78" t="s">
        <v>132</v>
      </c>
      <c r="BH1341" s="75" t="s">
        <v>5970</v>
      </c>
      <c r="BI1341" s="295" t="s">
        <v>2294</v>
      </c>
      <c r="BJ1341" s="546">
        <v>1</v>
      </c>
      <c r="BK1341" s="294" t="s">
        <v>16</v>
      </c>
      <c r="BL1341" s="157" t="s">
        <v>16</v>
      </c>
      <c r="BM1341" s="548" t="s">
        <v>1339</v>
      </c>
      <c r="BN1341" s="548" t="s">
        <v>1339</v>
      </c>
      <c r="BO1341" s="157" t="s">
        <v>4230</v>
      </c>
      <c r="BP1341" s="548" t="s">
        <v>4231</v>
      </c>
      <c r="BQ1341" s="157" t="s">
        <v>4229</v>
      </c>
      <c r="BR1341" s="157"/>
    </row>
    <row r="1342" spans="1:70" x14ac:dyDescent="0.25">
      <c r="A1342" s="19" t="s">
        <v>3686</v>
      </c>
      <c r="B1342" s="37" t="s">
        <v>1400</v>
      </c>
      <c r="C1342" s="90">
        <v>44812.813275462962</v>
      </c>
      <c r="D1342" s="114">
        <v>44812.563275462962</v>
      </c>
      <c r="E1342" s="38">
        <v>44812</v>
      </c>
      <c r="F1342" s="91">
        <v>2022</v>
      </c>
      <c r="G1342" s="93">
        <v>9</v>
      </c>
      <c r="H1342" s="37" t="s">
        <v>1401</v>
      </c>
      <c r="I1342" s="37" t="s">
        <v>1402</v>
      </c>
      <c r="J1342" s="103">
        <v>-92.725448</v>
      </c>
      <c r="K1342" s="40">
        <v>44.547115400000003</v>
      </c>
      <c r="L1342" s="74"/>
      <c r="M1342" s="272" t="s">
        <v>16</v>
      </c>
      <c r="N1342" s="74">
        <v>0</v>
      </c>
      <c r="O1342" s="94"/>
      <c r="P1342" s="118">
        <v>1</v>
      </c>
      <c r="Q1342" s="510">
        <v>0</v>
      </c>
      <c r="R1342" s="513">
        <v>60</v>
      </c>
      <c r="S1342" s="41"/>
      <c r="T1342" s="40"/>
      <c r="U1342" s="40">
        <v>7.5</v>
      </c>
      <c r="V1342" s="119">
        <v>1</v>
      </c>
      <c r="W1342" s="40">
        <v>100</v>
      </c>
      <c r="X1342" s="119">
        <v>1</v>
      </c>
      <c r="Y1342" s="40">
        <v>66</v>
      </c>
      <c r="Z1342" s="119">
        <v>0</v>
      </c>
      <c r="AA1342" s="368" t="s">
        <v>16</v>
      </c>
      <c r="AB1342" s="535" t="s">
        <v>16</v>
      </c>
      <c r="AC1342" s="39" t="s">
        <v>160</v>
      </c>
      <c r="AD1342" s="75" t="s">
        <v>10</v>
      </c>
      <c r="AE1342" s="95">
        <v>0</v>
      </c>
      <c r="AF1342" s="75">
        <v>0</v>
      </c>
      <c r="AG1342" s="75">
        <v>0</v>
      </c>
      <c r="AH1342" s="75">
        <v>0</v>
      </c>
      <c r="AI1342" s="75">
        <v>0</v>
      </c>
      <c r="AJ1342" s="75">
        <v>0</v>
      </c>
      <c r="AK1342" s="75">
        <v>0</v>
      </c>
      <c r="AL1342" s="95">
        <v>1</v>
      </c>
      <c r="AM1342" s="92">
        <v>0</v>
      </c>
      <c r="AN1342" s="79" t="s">
        <v>80</v>
      </c>
      <c r="AO1342" s="75">
        <v>1</v>
      </c>
      <c r="AP1342" s="75" t="s">
        <v>83</v>
      </c>
      <c r="AQ1342" s="122">
        <v>1</v>
      </c>
      <c r="AR1342" s="515" t="s">
        <v>10</v>
      </c>
      <c r="AS1342" s="95">
        <v>0</v>
      </c>
      <c r="AT1342" s="75">
        <v>0</v>
      </c>
      <c r="AU1342" s="75">
        <v>0</v>
      </c>
      <c r="AV1342" s="75">
        <v>0</v>
      </c>
      <c r="AW1342" s="123">
        <v>0</v>
      </c>
      <c r="AX1342" s="516"/>
      <c r="AY1342" s="75">
        <v>0</v>
      </c>
      <c r="AZ1342" s="77" t="s">
        <v>131</v>
      </c>
      <c r="BA1342" s="78" t="s">
        <v>131</v>
      </c>
      <c r="BB1342" s="78" t="s">
        <v>131</v>
      </c>
      <c r="BC1342" s="78" t="s">
        <v>131</v>
      </c>
      <c r="BD1342" s="78" t="s">
        <v>131</v>
      </c>
      <c r="BE1342" s="78" t="s">
        <v>131</v>
      </c>
      <c r="BF1342" s="78" t="s">
        <v>131</v>
      </c>
      <c r="BG1342" s="78" t="s">
        <v>132</v>
      </c>
      <c r="BH1342" s="75" t="s">
        <v>5970</v>
      </c>
      <c r="BI1342" s="295" t="s">
        <v>1402</v>
      </c>
      <c r="BJ1342" s="546" t="s">
        <v>16</v>
      </c>
      <c r="BK1342" s="294" t="s">
        <v>16</v>
      </c>
      <c r="BL1342" s="157" t="s">
        <v>16</v>
      </c>
      <c r="BM1342" s="548" t="s">
        <v>2343</v>
      </c>
      <c r="BN1342" s="548" t="s">
        <v>4161</v>
      </c>
      <c r="BO1342" s="157" t="s">
        <v>4290</v>
      </c>
      <c r="BP1342" s="548" t="s">
        <v>4291</v>
      </c>
      <c r="BQ1342" s="157" t="s">
        <v>4289</v>
      </c>
      <c r="BR1342" s="157"/>
    </row>
    <row r="1343" spans="1:70" x14ac:dyDescent="0.25">
      <c r="A1343" s="19" t="s">
        <v>3686</v>
      </c>
      <c r="B1343" s="37" t="s">
        <v>1403</v>
      </c>
      <c r="C1343" s="90">
        <v>44811.790543981479</v>
      </c>
      <c r="D1343" s="114">
        <v>44811.540543981479</v>
      </c>
      <c r="E1343" s="38">
        <v>44811</v>
      </c>
      <c r="F1343" s="91">
        <v>2022</v>
      </c>
      <c r="G1343" s="93">
        <v>9</v>
      </c>
      <c r="H1343" s="37" t="s">
        <v>1361</v>
      </c>
      <c r="I1343" s="37" t="s">
        <v>16</v>
      </c>
      <c r="J1343" s="103">
        <v>-91.763053787957659</v>
      </c>
      <c r="K1343" s="40">
        <v>42.861704626160545</v>
      </c>
      <c r="L1343" s="74"/>
      <c r="M1343" s="272" t="s">
        <v>1404</v>
      </c>
      <c r="N1343" s="74">
        <v>1</v>
      </c>
      <c r="O1343" s="94"/>
      <c r="P1343" s="118">
        <v>1</v>
      </c>
      <c r="Q1343" s="510">
        <v>120</v>
      </c>
      <c r="R1343" s="513">
        <v>180</v>
      </c>
      <c r="S1343" s="41"/>
      <c r="T1343" s="40"/>
      <c r="U1343" s="40">
        <v>8</v>
      </c>
      <c r="V1343" s="119">
        <v>1</v>
      </c>
      <c r="W1343" s="40">
        <v>100</v>
      </c>
      <c r="X1343" s="119">
        <v>1</v>
      </c>
      <c r="Y1343" s="40">
        <v>74</v>
      </c>
      <c r="Z1343" s="119">
        <v>1</v>
      </c>
      <c r="AA1343" s="368">
        <v>0</v>
      </c>
      <c r="AB1343" s="535">
        <v>2</v>
      </c>
      <c r="AC1343" s="39" t="s">
        <v>160</v>
      </c>
      <c r="AD1343" s="75" t="s">
        <v>9</v>
      </c>
      <c r="AE1343" s="95">
        <v>0</v>
      </c>
      <c r="AF1343" s="75">
        <v>0</v>
      </c>
      <c r="AG1343" s="75">
        <v>1</v>
      </c>
      <c r="AH1343" s="75">
        <v>0</v>
      </c>
      <c r="AI1343" s="75">
        <v>0</v>
      </c>
      <c r="AJ1343" s="75">
        <v>0</v>
      </c>
      <c r="AK1343" s="75">
        <v>0</v>
      </c>
      <c r="AL1343" s="95">
        <v>0</v>
      </c>
      <c r="AM1343" s="92">
        <v>0</v>
      </c>
      <c r="AN1343" s="79" t="s">
        <v>80</v>
      </c>
      <c r="AO1343" s="75">
        <v>1</v>
      </c>
      <c r="AP1343" s="75" t="s">
        <v>83</v>
      </c>
      <c r="AQ1343" s="122">
        <v>1</v>
      </c>
      <c r="AR1343" s="515" t="s">
        <v>10</v>
      </c>
      <c r="AS1343" s="95">
        <v>0</v>
      </c>
      <c r="AT1343" s="75">
        <v>0</v>
      </c>
      <c r="AU1343" s="75">
        <v>0</v>
      </c>
      <c r="AV1343" s="75">
        <v>0</v>
      </c>
      <c r="AW1343" s="123">
        <v>0</v>
      </c>
      <c r="AX1343" s="516"/>
      <c r="AY1343" s="75">
        <v>0</v>
      </c>
      <c r="AZ1343" s="77" t="s">
        <v>131</v>
      </c>
      <c r="BA1343" s="78" t="s">
        <v>131</v>
      </c>
      <c r="BB1343" s="78" t="s">
        <v>132</v>
      </c>
      <c r="BC1343" s="78" t="s">
        <v>131</v>
      </c>
      <c r="BD1343" s="78" t="s">
        <v>131</v>
      </c>
      <c r="BE1343" s="78" t="s">
        <v>131</v>
      </c>
      <c r="BF1343" s="78" t="s">
        <v>131</v>
      </c>
      <c r="BG1343" s="78" t="s">
        <v>131</v>
      </c>
      <c r="BH1343" s="75" t="s">
        <v>5970</v>
      </c>
      <c r="BI1343" s="295" t="s">
        <v>2284</v>
      </c>
      <c r="BJ1343" s="546">
        <v>1</v>
      </c>
      <c r="BK1343" s="294" t="s">
        <v>16</v>
      </c>
      <c r="BL1343" s="157" t="s">
        <v>16</v>
      </c>
      <c r="BM1343" s="548" t="s">
        <v>1344</v>
      </c>
      <c r="BN1343" s="548" t="s">
        <v>4160</v>
      </c>
      <c r="BO1343" s="157" t="s">
        <v>4572</v>
      </c>
      <c r="BP1343" s="548" t="s">
        <v>4574</v>
      </c>
      <c r="BQ1343" s="157" t="s">
        <v>4571</v>
      </c>
      <c r="BR1343" s="157"/>
    </row>
    <row r="1344" spans="1:70" x14ac:dyDescent="0.25">
      <c r="A1344" s="19" t="s">
        <v>3686</v>
      </c>
      <c r="B1344" s="37" t="s">
        <v>2207</v>
      </c>
      <c r="C1344" s="90">
        <v>44811.730543981481</v>
      </c>
      <c r="D1344" s="114">
        <v>44811.480543981481</v>
      </c>
      <c r="E1344" s="38">
        <v>44811</v>
      </c>
      <c r="F1344" s="91">
        <v>2022</v>
      </c>
      <c r="G1344" s="93">
        <v>9</v>
      </c>
      <c r="H1344" s="37" t="s">
        <v>475</v>
      </c>
      <c r="I1344" s="37"/>
      <c r="J1344" s="103">
        <v>-92.224485604178355</v>
      </c>
      <c r="K1344" s="40">
        <v>43.622283549088628</v>
      </c>
      <c r="L1344" s="74"/>
      <c r="M1344" s="272" t="s">
        <v>16</v>
      </c>
      <c r="N1344" s="74">
        <v>0</v>
      </c>
      <c r="O1344" s="94"/>
      <c r="P1344" s="118">
        <v>1</v>
      </c>
      <c r="Q1344" s="510">
        <v>180</v>
      </c>
      <c r="R1344" s="513">
        <v>180</v>
      </c>
      <c r="S1344" s="41"/>
      <c r="T1344" s="40"/>
      <c r="U1344" s="40">
        <v>7</v>
      </c>
      <c r="V1344" s="119">
        <v>1</v>
      </c>
      <c r="W1344" s="40">
        <v>0</v>
      </c>
      <c r="X1344" s="119">
        <v>1</v>
      </c>
      <c r="Y1344" s="40">
        <v>0</v>
      </c>
      <c r="Z1344" s="119">
        <v>1</v>
      </c>
      <c r="AA1344" s="368">
        <v>0</v>
      </c>
      <c r="AB1344" s="535">
        <v>10</v>
      </c>
      <c r="AC1344" s="39" t="s">
        <v>160</v>
      </c>
      <c r="AD1344" s="75" t="s">
        <v>10</v>
      </c>
      <c r="AE1344" s="95">
        <v>0</v>
      </c>
      <c r="AF1344" s="75">
        <v>0</v>
      </c>
      <c r="AG1344" s="75">
        <v>0</v>
      </c>
      <c r="AH1344" s="75">
        <v>0</v>
      </c>
      <c r="AI1344" s="75">
        <v>0</v>
      </c>
      <c r="AJ1344" s="75">
        <v>0</v>
      </c>
      <c r="AK1344" s="75">
        <v>0</v>
      </c>
      <c r="AL1344" s="95">
        <v>1</v>
      </c>
      <c r="AM1344" s="92">
        <v>0</v>
      </c>
      <c r="AN1344" s="79" t="s">
        <v>80</v>
      </c>
      <c r="AO1344" s="75">
        <v>1</v>
      </c>
      <c r="AP1344" s="75" t="s">
        <v>83</v>
      </c>
      <c r="AQ1344" s="122">
        <v>1</v>
      </c>
      <c r="AR1344" s="515" t="s">
        <v>10</v>
      </c>
      <c r="AS1344" s="95">
        <v>0</v>
      </c>
      <c r="AT1344" s="75">
        <v>0</v>
      </c>
      <c r="AU1344" s="75">
        <v>0</v>
      </c>
      <c r="AV1344" s="75">
        <v>0</v>
      </c>
      <c r="AW1344" s="123">
        <v>0</v>
      </c>
      <c r="AX1344" s="516" t="s">
        <v>2208</v>
      </c>
      <c r="AY1344" s="75">
        <v>1</v>
      </c>
      <c r="AZ1344" s="77" t="s">
        <v>131</v>
      </c>
      <c r="BA1344" s="78" t="s">
        <v>131</v>
      </c>
      <c r="BB1344" s="78" t="s">
        <v>131</v>
      </c>
      <c r="BC1344" s="78" t="s">
        <v>131</v>
      </c>
      <c r="BD1344" s="78" t="s">
        <v>131</v>
      </c>
      <c r="BE1344" s="78" t="s">
        <v>131</v>
      </c>
      <c r="BF1344" s="78" t="s">
        <v>131</v>
      </c>
      <c r="BG1344" s="78" t="s">
        <v>132</v>
      </c>
      <c r="BH1344" s="75" t="s">
        <v>5970</v>
      </c>
      <c r="BI1344" s="295" t="s">
        <v>16</v>
      </c>
      <c r="BJ1344" s="546">
        <v>1</v>
      </c>
      <c r="BK1344" s="294" t="s">
        <v>16</v>
      </c>
      <c r="BL1344" s="157" t="s">
        <v>16</v>
      </c>
      <c r="BM1344" s="548" t="s">
        <v>1339</v>
      </c>
      <c r="BN1344" s="548" t="s">
        <v>1339</v>
      </c>
      <c r="BO1344" s="157" t="s">
        <v>4332</v>
      </c>
      <c r="BP1344" s="548" t="s">
        <v>4333</v>
      </c>
      <c r="BQ1344" s="157" t="s">
        <v>4229</v>
      </c>
      <c r="BR1344" s="157"/>
    </row>
    <row r="1345" spans="1:70" x14ac:dyDescent="0.25">
      <c r="A1345" s="19" t="s">
        <v>3686</v>
      </c>
      <c r="B1345" s="37" t="s">
        <v>1405</v>
      </c>
      <c r="C1345" s="90">
        <v>44811.709340277775</v>
      </c>
      <c r="D1345" s="114">
        <v>44811.459340277775</v>
      </c>
      <c r="E1345" s="38">
        <v>44811</v>
      </c>
      <c r="F1345" s="91">
        <v>2022</v>
      </c>
      <c r="G1345" s="93">
        <v>9</v>
      </c>
      <c r="H1345" s="37" t="s">
        <v>599</v>
      </c>
      <c r="I1345" s="37"/>
      <c r="J1345" s="103">
        <v>-92.442895821219338</v>
      </c>
      <c r="K1345" s="40">
        <v>44.621416357156853</v>
      </c>
      <c r="L1345" s="74"/>
      <c r="M1345" s="272" t="s">
        <v>16</v>
      </c>
      <c r="N1345" s="74">
        <v>0</v>
      </c>
      <c r="O1345" s="94"/>
      <c r="P1345" s="118">
        <v>1</v>
      </c>
      <c r="Q1345" s="510">
        <v>40</v>
      </c>
      <c r="R1345" s="513">
        <v>60</v>
      </c>
      <c r="S1345" s="41"/>
      <c r="T1345" s="40"/>
      <c r="U1345" s="40">
        <v>7.5</v>
      </c>
      <c r="V1345" s="119">
        <v>1</v>
      </c>
      <c r="W1345" s="40">
        <v>100</v>
      </c>
      <c r="X1345" s="119">
        <v>1</v>
      </c>
      <c r="Y1345" s="40">
        <v>57</v>
      </c>
      <c r="Z1345" s="119">
        <v>1</v>
      </c>
      <c r="AA1345" s="368">
        <v>0</v>
      </c>
      <c r="AB1345" s="535">
        <v>5</v>
      </c>
      <c r="AC1345" s="39" t="s">
        <v>160</v>
      </c>
      <c r="AD1345" s="75" t="s">
        <v>10</v>
      </c>
      <c r="AE1345" s="95">
        <v>0</v>
      </c>
      <c r="AF1345" s="75">
        <v>0</v>
      </c>
      <c r="AG1345" s="75">
        <v>0</v>
      </c>
      <c r="AH1345" s="75">
        <v>0</v>
      </c>
      <c r="AI1345" s="75">
        <v>0</v>
      </c>
      <c r="AJ1345" s="75">
        <v>0</v>
      </c>
      <c r="AK1345" s="75">
        <v>0</v>
      </c>
      <c r="AL1345" s="95">
        <v>1</v>
      </c>
      <c r="AM1345" s="92">
        <v>0</v>
      </c>
      <c r="AN1345" s="79" t="s">
        <v>80</v>
      </c>
      <c r="AO1345" s="75">
        <v>1</v>
      </c>
      <c r="AP1345" s="75" t="s">
        <v>83</v>
      </c>
      <c r="AQ1345" s="122">
        <v>1</v>
      </c>
      <c r="AR1345" s="515" t="s">
        <v>10</v>
      </c>
      <c r="AS1345" s="95">
        <v>0</v>
      </c>
      <c r="AT1345" s="75">
        <v>0</v>
      </c>
      <c r="AU1345" s="75">
        <v>0</v>
      </c>
      <c r="AV1345" s="75">
        <v>0</v>
      </c>
      <c r="AW1345" s="123">
        <v>0</v>
      </c>
      <c r="AX1345" s="516"/>
      <c r="AY1345" s="75">
        <v>0</v>
      </c>
      <c r="AZ1345" s="77" t="s">
        <v>131</v>
      </c>
      <c r="BA1345" s="78" t="s">
        <v>131</v>
      </c>
      <c r="BB1345" s="78" t="s">
        <v>131</v>
      </c>
      <c r="BC1345" s="78" t="s">
        <v>131</v>
      </c>
      <c r="BD1345" s="78" t="s">
        <v>131</v>
      </c>
      <c r="BE1345" s="78" t="s">
        <v>131</v>
      </c>
      <c r="BF1345" s="78" t="s">
        <v>131</v>
      </c>
      <c r="BG1345" s="78" t="s">
        <v>132</v>
      </c>
      <c r="BH1345" s="75" t="s">
        <v>5970</v>
      </c>
      <c r="BI1345" s="295" t="s">
        <v>2289</v>
      </c>
      <c r="BJ1345" s="546">
        <v>1</v>
      </c>
      <c r="BK1345" s="294" t="s">
        <v>16</v>
      </c>
      <c r="BL1345" s="157" t="s">
        <v>16</v>
      </c>
      <c r="BM1345" s="548" t="s">
        <v>578</v>
      </c>
      <c r="BN1345" s="548" t="s">
        <v>544</v>
      </c>
      <c r="BO1345" s="157" t="s">
        <v>4283</v>
      </c>
      <c r="BP1345" s="548" t="s">
        <v>2289</v>
      </c>
      <c r="BQ1345" s="157" t="s">
        <v>4214</v>
      </c>
      <c r="BR1345" s="157"/>
    </row>
    <row r="1346" spans="1:70" x14ac:dyDescent="0.25">
      <c r="A1346" s="19" t="s">
        <v>3686</v>
      </c>
      <c r="B1346" s="37" t="s">
        <v>2209</v>
      </c>
      <c r="C1346" s="90">
        <v>44811.671990740739</v>
      </c>
      <c r="D1346" s="114">
        <v>44811.421990740739</v>
      </c>
      <c r="E1346" s="38">
        <v>44811</v>
      </c>
      <c r="F1346" s="91">
        <v>2022</v>
      </c>
      <c r="G1346" s="93">
        <v>9</v>
      </c>
      <c r="H1346" s="37" t="s">
        <v>475</v>
      </c>
      <c r="I1346" s="37"/>
      <c r="J1346" s="103">
        <v>-92.278082259085281</v>
      </c>
      <c r="K1346" s="40">
        <v>43.793090516742126</v>
      </c>
      <c r="L1346" s="74"/>
      <c r="M1346" s="272" t="s">
        <v>16</v>
      </c>
      <c r="N1346" s="74">
        <v>0</v>
      </c>
      <c r="O1346" s="94"/>
      <c r="P1346" s="118">
        <v>1</v>
      </c>
      <c r="Q1346" s="510">
        <v>180</v>
      </c>
      <c r="R1346" s="513">
        <v>180</v>
      </c>
      <c r="S1346" s="41"/>
      <c r="T1346" s="40"/>
      <c r="U1346" s="40">
        <v>7.5</v>
      </c>
      <c r="V1346" s="119">
        <v>1</v>
      </c>
      <c r="W1346" s="40">
        <v>0</v>
      </c>
      <c r="X1346" s="119">
        <v>1</v>
      </c>
      <c r="Y1346" s="40">
        <v>0</v>
      </c>
      <c r="Z1346" s="119">
        <v>1</v>
      </c>
      <c r="AA1346" s="368">
        <v>0</v>
      </c>
      <c r="AB1346" s="535">
        <v>2</v>
      </c>
      <c r="AC1346" s="39" t="s">
        <v>160</v>
      </c>
      <c r="AD1346" s="75" t="s">
        <v>10</v>
      </c>
      <c r="AE1346" s="95">
        <v>0</v>
      </c>
      <c r="AF1346" s="75">
        <v>0</v>
      </c>
      <c r="AG1346" s="75">
        <v>0</v>
      </c>
      <c r="AH1346" s="75">
        <v>0</v>
      </c>
      <c r="AI1346" s="75">
        <v>0</v>
      </c>
      <c r="AJ1346" s="75">
        <v>0</v>
      </c>
      <c r="AK1346" s="75">
        <v>0</v>
      </c>
      <c r="AL1346" s="95">
        <v>1</v>
      </c>
      <c r="AM1346" s="92">
        <v>0</v>
      </c>
      <c r="AN1346" s="79" t="s">
        <v>80</v>
      </c>
      <c r="AO1346" s="75">
        <v>1</v>
      </c>
      <c r="AP1346" s="75" t="s">
        <v>83</v>
      </c>
      <c r="AQ1346" s="122">
        <v>1</v>
      </c>
      <c r="AR1346" s="515" t="s">
        <v>10</v>
      </c>
      <c r="AS1346" s="95">
        <v>0</v>
      </c>
      <c r="AT1346" s="75">
        <v>0</v>
      </c>
      <c r="AU1346" s="75">
        <v>0</v>
      </c>
      <c r="AV1346" s="75">
        <v>0</v>
      </c>
      <c r="AW1346" s="123">
        <v>0</v>
      </c>
      <c r="AX1346" s="516" t="s">
        <v>2210</v>
      </c>
      <c r="AY1346" s="75">
        <v>1</v>
      </c>
      <c r="AZ1346" s="77" t="s">
        <v>131</v>
      </c>
      <c r="BA1346" s="78" t="s">
        <v>131</v>
      </c>
      <c r="BB1346" s="78" t="s">
        <v>131</v>
      </c>
      <c r="BC1346" s="78" t="s">
        <v>131</v>
      </c>
      <c r="BD1346" s="78" t="s">
        <v>131</v>
      </c>
      <c r="BE1346" s="78" t="s">
        <v>131</v>
      </c>
      <c r="BF1346" s="78" t="s">
        <v>131</v>
      </c>
      <c r="BG1346" s="78" t="s">
        <v>132</v>
      </c>
      <c r="BH1346" s="75" t="s">
        <v>5970</v>
      </c>
      <c r="BI1346" s="295" t="s">
        <v>2251</v>
      </c>
      <c r="BJ1346" s="546">
        <v>1</v>
      </c>
      <c r="BK1346" s="294">
        <v>1</v>
      </c>
      <c r="BL1346" s="157">
        <v>1</v>
      </c>
      <c r="BM1346" s="548" t="s">
        <v>1339</v>
      </c>
      <c r="BN1346" s="548" t="s">
        <v>1339</v>
      </c>
      <c r="BO1346" s="157" t="s">
        <v>4329</v>
      </c>
      <c r="BP1346" s="548" t="s">
        <v>4228</v>
      </c>
      <c r="BQ1346" s="157" t="s">
        <v>4226</v>
      </c>
      <c r="BR1346" s="157"/>
    </row>
    <row r="1347" spans="1:70" x14ac:dyDescent="0.25">
      <c r="A1347" s="19" t="s">
        <v>3686</v>
      </c>
      <c r="B1347" s="37" t="s">
        <v>2211</v>
      </c>
      <c r="C1347" s="90">
        <v>44811.650335648148</v>
      </c>
      <c r="D1347" s="114">
        <v>44811.400335648148</v>
      </c>
      <c r="E1347" s="38">
        <v>44811</v>
      </c>
      <c r="F1347" s="91">
        <v>2022</v>
      </c>
      <c r="G1347" s="93">
        <v>9</v>
      </c>
      <c r="H1347" s="37" t="s">
        <v>475</v>
      </c>
      <c r="I1347" s="37"/>
      <c r="J1347" s="103">
        <v>-92.3425706104304</v>
      </c>
      <c r="K1347" s="40">
        <v>43.773809080052906</v>
      </c>
      <c r="L1347" s="74"/>
      <c r="M1347" s="272" t="s">
        <v>16</v>
      </c>
      <c r="N1347" s="74">
        <v>0</v>
      </c>
      <c r="O1347" s="94"/>
      <c r="P1347" s="118">
        <v>1</v>
      </c>
      <c r="Q1347" s="510">
        <v>180</v>
      </c>
      <c r="R1347" s="513">
        <v>180</v>
      </c>
      <c r="S1347" s="41"/>
      <c r="T1347" s="40"/>
      <c r="U1347" s="40">
        <v>7</v>
      </c>
      <c r="V1347" s="119">
        <v>0</v>
      </c>
      <c r="W1347" s="40"/>
      <c r="X1347" s="119">
        <v>1</v>
      </c>
      <c r="Y1347" s="40">
        <v>0</v>
      </c>
      <c r="Z1347" s="119">
        <v>1</v>
      </c>
      <c r="AA1347" s="368">
        <v>0</v>
      </c>
      <c r="AB1347" s="535">
        <v>10</v>
      </c>
      <c r="AC1347" s="39" t="s">
        <v>160</v>
      </c>
      <c r="AD1347" s="75" t="s">
        <v>10</v>
      </c>
      <c r="AE1347" s="95">
        <v>0</v>
      </c>
      <c r="AF1347" s="75">
        <v>0</v>
      </c>
      <c r="AG1347" s="75">
        <v>0</v>
      </c>
      <c r="AH1347" s="75">
        <v>0</v>
      </c>
      <c r="AI1347" s="75">
        <v>0</v>
      </c>
      <c r="AJ1347" s="75">
        <v>0</v>
      </c>
      <c r="AK1347" s="75">
        <v>0</v>
      </c>
      <c r="AL1347" s="95">
        <v>1</v>
      </c>
      <c r="AM1347" s="92">
        <v>0</v>
      </c>
      <c r="AN1347" s="79" t="s">
        <v>80</v>
      </c>
      <c r="AO1347" s="75">
        <v>1</v>
      </c>
      <c r="AP1347" s="75" t="s">
        <v>83</v>
      </c>
      <c r="AQ1347" s="122">
        <v>1</v>
      </c>
      <c r="AR1347" s="515" t="s">
        <v>10</v>
      </c>
      <c r="AS1347" s="95">
        <v>0</v>
      </c>
      <c r="AT1347" s="75">
        <v>0</v>
      </c>
      <c r="AU1347" s="75">
        <v>0</v>
      </c>
      <c r="AV1347" s="75">
        <v>0</v>
      </c>
      <c r="AW1347" s="123">
        <v>0</v>
      </c>
      <c r="AX1347" s="516" t="s">
        <v>2212</v>
      </c>
      <c r="AY1347" s="75">
        <v>1</v>
      </c>
      <c r="AZ1347" s="77" t="s">
        <v>131</v>
      </c>
      <c r="BA1347" s="78" t="s">
        <v>131</v>
      </c>
      <c r="BB1347" s="78" t="s">
        <v>131</v>
      </c>
      <c r="BC1347" s="78" t="s">
        <v>131</v>
      </c>
      <c r="BD1347" s="78" t="s">
        <v>131</v>
      </c>
      <c r="BE1347" s="78" t="s">
        <v>131</v>
      </c>
      <c r="BF1347" s="78" t="s">
        <v>131</v>
      </c>
      <c r="BG1347" s="78" t="s">
        <v>132</v>
      </c>
      <c r="BH1347" s="75" t="s">
        <v>5970</v>
      </c>
      <c r="BI1347" s="295" t="s">
        <v>2260</v>
      </c>
      <c r="BJ1347" s="546">
        <v>1</v>
      </c>
      <c r="BK1347" s="294" t="s">
        <v>16</v>
      </c>
      <c r="BL1347" s="157" t="s">
        <v>16</v>
      </c>
      <c r="BM1347" s="548" t="s">
        <v>1339</v>
      </c>
      <c r="BN1347" s="548" t="s">
        <v>1339</v>
      </c>
      <c r="BO1347" s="157" t="s">
        <v>4328</v>
      </c>
      <c r="BP1347" s="548" t="s">
        <v>2222</v>
      </c>
      <c r="BQ1347" s="157" t="s">
        <v>4226</v>
      </c>
      <c r="BR1347" s="157"/>
    </row>
    <row r="1348" spans="1:70" x14ac:dyDescent="0.25">
      <c r="A1348" s="19" t="s">
        <v>3686</v>
      </c>
      <c r="B1348" s="37" t="s">
        <v>2213</v>
      </c>
      <c r="C1348" s="90">
        <v>44811.607488425929</v>
      </c>
      <c r="D1348" s="114">
        <v>44811.357488425929</v>
      </c>
      <c r="E1348" s="38">
        <v>44811</v>
      </c>
      <c r="F1348" s="91">
        <v>2022</v>
      </c>
      <c r="G1348" s="93">
        <v>9</v>
      </c>
      <c r="H1348" s="37" t="s">
        <v>475</v>
      </c>
      <c r="I1348" s="37" t="s">
        <v>16</v>
      </c>
      <c r="J1348" s="103">
        <v>-92.269179755907757</v>
      </c>
      <c r="K1348" s="40">
        <v>43.889293558936458</v>
      </c>
      <c r="L1348" s="74"/>
      <c r="M1348" s="272" t="s">
        <v>16</v>
      </c>
      <c r="N1348" s="74">
        <v>0</v>
      </c>
      <c r="O1348" s="94"/>
      <c r="P1348" s="118">
        <v>1</v>
      </c>
      <c r="Q1348" s="510">
        <v>180</v>
      </c>
      <c r="R1348" s="513">
        <v>180</v>
      </c>
      <c r="S1348" s="41"/>
      <c r="T1348" s="40"/>
      <c r="U1348" s="40">
        <v>8</v>
      </c>
      <c r="V1348" s="119">
        <v>1</v>
      </c>
      <c r="W1348" s="40">
        <v>0</v>
      </c>
      <c r="X1348" s="119">
        <v>1</v>
      </c>
      <c r="Y1348" s="40">
        <v>0</v>
      </c>
      <c r="Z1348" s="119">
        <v>1</v>
      </c>
      <c r="AA1348" s="368">
        <v>0</v>
      </c>
      <c r="AB1348" s="535">
        <v>10</v>
      </c>
      <c r="AC1348" s="39" t="s">
        <v>162</v>
      </c>
      <c r="AD1348" s="75" t="s">
        <v>10</v>
      </c>
      <c r="AE1348" s="95">
        <v>0</v>
      </c>
      <c r="AF1348" s="75">
        <v>0</v>
      </c>
      <c r="AG1348" s="75">
        <v>0</v>
      </c>
      <c r="AH1348" s="75">
        <v>0</v>
      </c>
      <c r="AI1348" s="75">
        <v>0</v>
      </c>
      <c r="AJ1348" s="75">
        <v>0</v>
      </c>
      <c r="AK1348" s="75">
        <v>0</v>
      </c>
      <c r="AL1348" s="95">
        <v>1</v>
      </c>
      <c r="AM1348" s="92">
        <v>0</v>
      </c>
      <c r="AN1348" s="79" t="s">
        <v>80</v>
      </c>
      <c r="AO1348" s="75">
        <v>1</v>
      </c>
      <c r="AP1348" s="75" t="s">
        <v>83</v>
      </c>
      <c r="AQ1348" s="122">
        <v>1</v>
      </c>
      <c r="AR1348" s="515" t="s">
        <v>10</v>
      </c>
      <c r="AS1348" s="95">
        <v>0</v>
      </c>
      <c r="AT1348" s="75">
        <v>0</v>
      </c>
      <c r="AU1348" s="75">
        <v>0</v>
      </c>
      <c r="AV1348" s="75">
        <v>0</v>
      </c>
      <c r="AW1348" s="123">
        <v>0</v>
      </c>
      <c r="AX1348" s="516"/>
      <c r="AY1348" s="75">
        <v>0</v>
      </c>
      <c r="AZ1348" s="77" t="s">
        <v>131</v>
      </c>
      <c r="BA1348" s="78" t="s">
        <v>131</v>
      </c>
      <c r="BB1348" s="78" t="s">
        <v>131</v>
      </c>
      <c r="BC1348" s="78" t="s">
        <v>131</v>
      </c>
      <c r="BD1348" s="78" t="s">
        <v>131</v>
      </c>
      <c r="BE1348" s="78" t="s">
        <v>131</v>
      </c>
      <c r="BF1348" s="78" t="s">
        <v>131</v>
      </c>
      <c r="BG1348" s="78" t="s">
        <v>132</v>
      </c>
      <c r="BH1348" s="75" t="s">
        <v>5970</v>
      </c>
      <c r="BI1348" s="295" t="s">
        <v>16</v>
      </c>
      <c r="BJ1348" s="546" t="s">
        <v>16</v>
      </c>
      <c r="BK1348" s="294" t="s">
        <v>16</v>
      </c>
      <c r="BL1348" s="157" t="s">
        <v>16</v>
      </c>
      <c r="BM1348" s="548" t="s">
        <v>1339</v>
      </c>
      <c r="BN1348" s="548" t="s">
        <v>1339</v>
      </c>
      <c r="BO1348" s="157" t="s">
        <v>4674</v>
      </c>
      <c r="BP1348" s="548" t="s">
        <v>4675</v>
      </c>
      <c r="BQ1348" s="157" t="s">
        <v>4673</v>
      </c>
      <c r="BR1348" s="157"/>
    </row>
    <row r="1349" spans="1:70" x14ac:dyDescent="0.25">
      <c r="A1349" s="19" t="s">
        <v>3686</v>
      </c>
      <c r="B1349" s="37" t="s">
        <v>1406</v>
      </c>
      <c r="C1349" s="90">
        <v>44809.913993055554</v>
      </c>
      <c r="D1349" s="114">
        <v>44809.663993055554</v>
      </c>
      <c r="E1349" s="38">
        <v>44809</v>
      </c>
      <c r="F1349" s="91">
        <v>2022</v>
      </c>
      <c r="G1349" s="93">
        <v>9</v>
      </c>
      <c r="H1349" s="37" t="s">
        <v>606</v>
      </c>
      <c r="I1349" s="37"/>
      <c r="J1349" s="103">
        <v>-92.145857750011118</v>
      </c>
      <c r="K1349" s="40">
        <v>44.238971629943791</v>
      </c>
      <c r="L1349" s="74"/>
      <c r="M1349" s="272" t="s">
        <v>1407</v>
      </c>
      <c r="N1349" s="74">
        <v>1</v>
      </c>
      <c r="O1349" s="94"/>
      <c r="P1349" s="118">
        <v>1</v>
      </c>
      <c r="Q1349" s="510">
        <v>180</v>
      </c>
      <c r="R1349" s="513">
        <v>120</v>
      </c>
      <c r="S1349" s="41"/>
      <c r="T1349" s="40"/>
      <c r="U1349" s="40">
        <v>8</v>
      </c>
      <c r="V1349" s="119">
        <v>1</v>
      </c>
      <c r="W1349" s="40">
        <v>100</v>
      </c>
      <c r="X1349" s="119">
        <v>1</v>
      </c>
      <c r="Y1349" s="40">
        <v>62</v>
      </c>
      <c r="Z1349" s="119">
        <v>1</v>
      </c>
      <c r="AA1349" s="368">
        <v>0</v>
      </c>
      <c r="AB1349" s="535">
        <v>5</v>
      </c>
      <c r="AC1349" s="39" t="s">
        <v>160</v>
      </c>
      <c r="AD1349" s="75" t="s">
        <v>10</v>
      </c>
      <c r="AE1349" s="95">
        <v>0</v>
      </c>
      <c r="AF1349" s="75">
        <v>0</v>
      </c>
      <c r="AG1349" s="75">
        <v>0</v>
      </c>
      <c r="AH1349" s="75">
        <v>0</v>
      </c>
      <c r="AI1349" s="75">
        <v>0</v>
      </c>
      <c r="AJ1349" s="75">
        <v>0</v>
      </c>
      <c r="AK1349" s="75">
        <v>0</v>
      </c>
      <c r="AL1349" s="95">
        <v>1</v>
      </c>
      <c r="AM1349" s="92">
        <v>0</v>
      </c>
      <c r="AN1349" s="79" t="s">
        <v>80</v>
      </c>
      <c r="AO1349" s="75">
        <v>1</v>
      </c>
      <c r="AP1349" s="75" t="s">
        <v>83</v>
      </c>
      <c r="AQ1349" s="122">
        <v>1</v>
      </c>
      <c r="AR1349" s="515" t="s">
        <v>10</v>
      </c>
      <c r="AS1349" s="95">
        <v>0</v>
      </c>
      <c r="AT1349" s="75">
        <v>0</v>
      </c>
      <c r="AU1349" s="75">
        <v>0</v>
      </c>
      <c r="AV1349" s="75">
        <v>0</v>
      </c>
      <c r="AW1349" s="123">
        <v>0</v>
      </c>
      <c r="AX1349" s="516" t="s">
        <v>1408</v>
      </c>
      <c r="AY1349" s="75">
        <v>1</v>
      </c>
      <c r="AZ1349" s="77" t="s">
        <v>131</v>
      </c>
      <c r="BA1349" s="78" t="s">
        <v>131</v>
      </c>
      <c r="BB1349" s="78" t="s">
        <v>131</v>
      </c>
      <c r="BC1349" s="78" t="s">
        <v>131</v>
      </c>
      <c r="BD1349" s="78" t="s">
        <v>131</v>
      </c>
      <c r="BE1349" s="78" t="s">
        <v>131</v>
      </c>
      <c r="BF1349" s="78" t="s">
        <v>131</v>
      </c>
      <c r="BG1349" s="78" t="s">
        <v>132</v>
      </c>
      <c r="BH1349" s="75" t="s">
        <v>5970</v>
      </c>
      <c r="BI1349" s="295" t="s">
        <v>317</v>
      </c>
      <c r="BJ1349" s="546">
        <v>1</v>
      </c>
      <c r="BK1349" s="294">
        <v>1</v>
      </c>
      <c r="BL1349" s="157">
        <v>1</v>
      </c>
      <c r="BM1349" s="548" t="s">
        <v>1339</v>
      </c>
      <c r="BN1349" s="548" t="s">
        <v>1339</v>
      </c>
      <c r="BO1349" s="157" t="s">
        <v>4358</v>
      </c>
      <c r="BP1349" s="548" t="s">
        <v>317</v>
      </c>
      <c r="BQ1349" s="157" t="s">
        <v>4330</v>
      </c>
      <c r="BR1349" s="157"/>
    </row>
    <row r="1350" spans="1:70" x14ac:dyDescent="0.25">
      <c r="A1350" s="19" t="s">
        <v>3686</v>
      </c>
      <c r="B1350" s="37" t="s">
        <v>1409</v>
      </c>
      <c r="C1350" s="90">
        <v>44809.788877314815</v>
      </c>
      <c r="D1350" s="114">
        <v>44809.538877314815</v>
      </c>
      <c r="E1350" s="38">
        <v>44809</v>
      </c>
      <c r="F1350" s="91">
        <v>2022</v>
      </c>
      <c r="G1350" s="93">
        <v>9</v>
      </c>
      <c r="H1350" s="37" t="s">
        <v>1410</v>
      </c>
      <c r="I1350" s="37" t="s">
        <v>1411</v>
      </c>
      <c r="J1350" s="103">
        <v>-93.231427817116398</v>
      </c>
      <c r="K1350" s="40">
        <v>44.846763256838308</v>
      </c>
      <c r="L1350" s="74"/>
      <c r="M1350" s="272" t="s">
        <v>16</v>
      </c>
      <c r="N1350" s="74">
        <v>0</v>
      </c>
      <c r="O1350" s="94"/>
      <c r="P1350" s="118">
        <v>1</v>
      </c>
      <c r="Q1350" s="510">
        <v>180</v>
      </c>
      <c r="R1350" s="513">
        <v>180</v>
      </c>
      <c r="S1350" s="41"/>
      <c r="T1350" s="40"/>
      <c r="U1350" s="40">
        <v>8</v>
      </c>
      <c r="V1350" s="119">
        <v>1</v>
      </c>
      <c r="W1350" s="40">
        <v>0</v>
      </c>
      <c r="X1350" s="119">
        <v>1</v>
      </c>
      <c r="Y1350" s="40">
        <v>59</v>
      </c>
      <c r="Z1350" s="119">
        <v>1</v>
      </c>
      <c r="AA1350" s="368">
        <v>0</v>
      </c>
      <c r="AB1350" s="535">
        <v>0</v>
      </c>
      <c r="AC1350" s="39" t="s">
        <v>160</v>
      </c>
      <c r="AD1350" s="75" t="s">
        <v>10</v>
      </c>
      <c r="AE1350" s="95">
        <v>0</v>
      </c>
      <c r="AF1350" s="75">
        <v>0</v>
      </c>
      <c r="AG1350" s="75">
        <v>0</v>
      </c>
      <c r="AH1350" s="75">
        <v>0</v>
      </c>
      <c r="AI1350" s="75">
        <v>0</v>
      </c>
      <c r="AJ1350" s="75">
        <v>0</v>
      </c>
      <c r="AK1350" s="75">
        <v>0</v>
      </c>
      <c r="AL1350" s="95">
        <v>1</v>
      </c>
      <c r="AM1350" s="92">
        <v>0</v>
      </c>
      <c r="AN1350" s="79" t="s">
        <v>195</v>
      </c>
      <c r="AO1350" s="75">
        <v>1</v>
      </c>
      <c r="AP1350" s="75" t="s">
        <v>83</v>
      </c>
      <c r="AQ1350" s="122">
        <v>1</v>
      </c>
      <c r="AR1350" s="515" t="s">
        <v>10</v>
      </c>
      <c r="AS1350" s="95">
        <v>0</v>
      </c>
      <c r="AT1350" s="75">
        <v>0</v>
      </c>
      <c r="AU1350" s="75">
        <v>0</v>
      </c>
      <c r="AV1350" s="75">
        <v>0</v>
      </c>
      <c r="AW1350" s="123">
        <v>0</v>
      </c>
      <c r="AX1350" s="516" t="s">
        <v>1412</v>
      </c>
      <c r="AY1350" s="75">
        <v>1</v>
      </c>
      <c r="AZ1350" s="77" t="s">
        <v>131</v>
      </c>
      <c r="BA1350" s="78" t="s">
        <v>131</v>
      </c>
      <c r="BB1350" s="78" t="s">
        <v>131</v>
      </c>
      <c r="BC1350" s="78" t="s">
        <v>131</v>
      </c>
      <c r="BD1350" s="78" t="s">
        <v>131</v>
      </c>
      <c r="BE1350" s="78" t="s">
        <v>131</v>
      </c>
      <c r="BF1350" s="78" t="s">
        <v>131</v>
      </c>
      <c r="BG1350" s="78" t="s">
        <v>132</v>
      </c>
      <c r="BH1350" s="75" t="s">
        <v>5970</v>
      </c>
      <c r="BI1350" s="295" t="s">
        <v>16</v>
      </c>
      <c r="BJ1350" s="546" t="s">
        <v>16</v>
      </c>
      <c r="BK1350" s="294" t="s">
        <v>16</v>
      </c>
      <c r="BL1350" s="157" t="s">
        <v>16</v>
      </c>
      <c r="BM1350" s="548" t="s">
        <v>2343</v>
      </c>
      <c r="BN1350" s="548" t="s">
        <v>4161</v>
      </c>
      <c r="BO1350" s="157" t="s">
        <v>4327</v>
      </c>
      <c r="BP1350" s="548" t="s">
        <v>4314</v>
      </c>
      <c r="BQ1350" s="157" t="s">
        <v>4312</v>
      </c>
      <c r="BR1350" s="157"/>
    </row>
    <row r="1351" spans="1:70" x14ac:dyDescent="0.25">
      <c r="A1351" s="19" t="s">
        <v>3686</v>
      </c>
      <c r="B1351" s="37" t="s">
        <v>1413</v>
      </c>
      <c r="C1351" s="90">
        <v>44806.708634259259</v>
      </c>
      <c r="D1351" s="114">
        <v>44806.458634259259</v>
      </c>
      <c r="E1351" s="38">
        <v>44806</v>
      </c>
      <c r="F1351" s="91">
        <v>2022</v>
      </c>
      <c r="G1351" s="93">
        <v>9</v>
      </c>
      <c r="H1351" s="37" t="s">
        <v>612</v>
      </c>
      <c r="I1351" s="37" t="s">
        <v>16</v>
      </c>
      <c r="J1351" s="103">
        <v>-93.217308994735646</v>
      </c>
      <c r="K1351" s="40">
        <v>44.639541960681683</v>
      </c>
      <c r="L1351" s="74"/>
      <c r="M1351" s="272" t="s">
        <v>1414</v>
      </c>
      <c r="N1351" s="74">
        <v>1</v>
      </c>
      <c r="O1351" s="94"/>
      <c r="P1351" s="118">
        <v>1</v>
      </c>
      <c r="Q1351" s="510">
        <v>180</v>
      </c>
      <c r="R1351" s="513">
        <v>120</v>
      </c>
      <c r="S1351" s="41"/>
      <c r="T1351" s="40"/>
      <c r="U1351" s="40">
        <v>7.5</v>
      </c>
      <c r="V1351" s="119">
        <v>1</v>
      </c>
      <c r="W1351" s="40">
        <v>100</v>
      </c>
      <c r="X1351" s="119">
        <v>1</v>
      </c>
      <c r="Y1351" s="40">
        <v>62</v>
      </c>
      <c r="Z1351" s="119">
        <v>1</v>
      </c>
      <c r="AA1351" s="368">
        <v>0</v>
      </c>
      <c r="AB1351" s="535">
        <v>0</v>
      </c>
      <c r="AC1351" s="39" t="s">
        <v>160</v>
      </c>
      <c r="AD1351" s="75" t="s">
        <v>16</v>
      </c>
      <c r="AE1351" s="95">
        <v>-1</v>
      </c>
      <c r="AF1351" s="75">
        <v>-1</v>
      </c>
      <c r="AG1351" s="75">
        <v>-1</v>
      </c>
      <c r="AH1351" s="75">
        <v>-1</v>
      </c>
      <c r="AI1351" s="75">
        <v>-1</v>
      </c>
      <c r="AJ1351" s="75">
        <v>-1</v>
      </c>
      <c r="AK1351" s="75">
        <v>-1</v>
      </c>
      <c r="AL1351" s="95">
        <v>-1</v>
      </c>
      <c r="AM1351" s="92">
        <v>1</v>
      </c>
      <c r="AN1351" s="79"/>
      <c r="AO1351" s="75">
        <v>0</v>
      </c>
      <c r="AP1351" s="75"/>
      <c r="AQ1351" s="122">
        <v>0</v>
      </c>
      <c r="AR1351" s="515" t="s">
        <v>16</v>
      </c>
      <c r="AS1351" s="95">
        <v>-1</v>
      </c>
      <c r="AT1351" s="75">
        <v>-1</v>
      </c>
      <c r="AU1351" s="75">
        <v>-1</v>
      </c>
      <c r="AV1351" s="75">
        <v>-1</v>
      </c>
      <c r="AW1351" s="123">
        <v>1</v>
      </c>
      <c r="AX1351" s="516"/>
      <c r="AY1351" s="75">
        <v>0</v>
      </c>
      <c r="AZ1351" s="77" t="s">
        <v>5971</v>
      </c>
      <c r="BA1351" s="78" t="s">
        <v>5971</v>
      </c>
      <c r="BB1351" s="78" t="s">
        <v>5971</v>
      </c>
      <c r="BC1351" s="78" t="s">
        <v>5971</v>
      </c>
      <c r="BD1351" s="78" t="s">
        <v>5971</v>
      </c>
      <c r="BE1351" s="78" t="s">
        <v>5971</v>
      </c>
      <c r="BF1351" s="78" t="s">
        <v>5971</v>
      </c>
      <c r="BG1351" s="78" t="s">
        <v>5971</v>
      </c>
      <c r="BH1351" s="75" t="s">
        <v>5971</v>
      </c>
      <c r="BI1351" s="295">
        <v>0</v>
      </c>
      <c r="BJ1351" s="546">
        <v>1</v>
      </c>
      <c r="BK1351" s="294" t="s">
        <v>16</v>
      </c>
      <c r="BL1351" s="157" t="s">
        <v>16</v>
      </c>
      <c r="BM1351" s="548" t="s">
        <v>2343</v>
      </c>
      <c r="BN1351" s="548" t="s">
        <v>4161</v>
      </c>
      <c r="BO1351" s="157" t="s">
        <v>4676</v>
      </c>
      <c r="BP1351" s="548" t="s">
        <v>4677</v>
      </c>
      <c r="BQ1351" s="157" t="s">
        <v>4292</v>
      </c>
      <c r="BR1351" s="157"/>
    </row>
    <row r="1352" spans="1:70" x14ac:dyDescent="0.25">
      <c r="A1352" s="19" t="s">
        <v>3686</v>
      </c>
      <c r="B1352" s="37" t="s">
        <v>1415</v>
      </c>
      <c r="C1352" s="90">
        <v>44806.681851851848</v>
      </c>
      <c r="D1352" s="114">
        <v>44806.431851851848</v>
      </c>
      <c r="E1352" s="38">
        <v>44806</v>
      </c>
      <c r="F1352" s="91">
        <v>2022</v>
      </c>
      <c r="G1352" s="93">
        <v>9</v>
      </c>
      <c r="H1352" s="37" t="s">
        <v>1416</v>
      </c>
      <c r="I1352" s="37" t="s">
        <v>16</v>
      </c>
      <c r="J1352" s="103">
        <v>-93.009014444699716</v>
      </c>
      <c r="K1352" s="40">
        <v>44.657239935653259</v>
      </c>
      <c r="L1352" s="74"/>
      <c r="M1352" s="272" t="s">
        <v>16</v>
      </c>
      <c r="N1352" s="74">
        <v>0</v>
      </c>
      <c r="O1352" s="94"/>
      <c r="P1352" s="118">
        <v>1</v>
      </c>
      <c r="Q1352" s="510">
        <v>80</v>
      </c>
      <c r="R1352" s="513">
        <v>120</v>
      </c>
      <c r="S1352" s="41"/>
      <c r="T1352" s="40"/>
      <c r="U1352" s="40">
        <v>7</v>
      </c>
      <c r="V1352" s="119">
        <v>1</v>
      </c>
      <c r="W1352" s="40">
        <v>200</v>
      </c>
      <c r="X1352" s="119">
        <v>1</v>
      </c>
      <c r="Y1352" s="40">
        <v>65</v>
      </c>
      <c r="Z1352" s="119">
        <v>1</v>
      </c>
      <c r="AA1352" s="368">
        <v>0</v>
      </c>
      <c r="AB1352" s="535">
        <v>5</v>
      </c>
      <c r="AC1352" s="39" t="s">
        <v>160</v>
      </c>
      <c r="AD1352" s="75" t="s">
        <v>10</v>
      </c>
      <c r="AE1352" s="95">
        <v>0</v>
      </c>
      <c r="AF1352" s="75">
        <v>0</v>
      </c>
      <c r="AG1352" s="75">
        <v>0</v>
      </c>
      <c r="AH1352" s="75">
        <v>0</v>
      </c>
      <c r="AI1352" s="75">
        <v>0</v>
      </c>
      <c r="AJ1352" s="75">
        <v>0</v>
      </c>
      <c r="AK1352" s="75">
        <v>0</v>
      </c>
      <c r="AL1352" s="95">
        <v>1</v>
      </c>
      <c r="AM1352" s="92">
        <v>0</v>
      </c>
      <c r="AN1352" s="79" t="s">
        <v>80</v>
      </c>
      <c r="AO1352" s="75">
        <v>1</v>
      </c>
      <c r="AP1352" s="75" t="s">
        <v>83</v>
      </c>
      <c r="AQ1352" s="122">
        <v>1</v>
      </c>
      <c r="AR1352" s="515" t="s">
        <v>10</v>
      </c>
      <c r="AS1352" s="95">
        <v>0</v>
      </c>
      <c r="AT1352" s="75">
        <v>0</v>
      </c>
      <c r="AU1352" s="75">
        <v>0</v>
      </c>
      <c r="AV1352" s="75">
        <v>0</v>
      </c>
      <c r="AW1352" s="123">
        <v>0</v>
      </c>
      <c r="AX1352" s="516" t="s">
        <v>1417</v>
      </c>
      <c r="AY1352" s="75">
        <v>1</v>
      </c>
      <c r="AZ1352" s="77" t="s">
        <v>131</v>
      </c>
      <c r="BA1352" s="78" t="s">
        <v>131</v>
      </c>
      <c r="BB1352" s="78" t="s">
        <v>131</v>
      </c>
      <c r="BC1352" s="78" t="s">
        <v>131</v>
      </c>
      <c r="BD1352" s="78" t="s">
        <v>131</v>
      </c>
      <c r="BE1352" s="78" t="s">
        <v>131</v>
      </c>
      <c r="BF1352" s="78" t="s">
        <v>131</v>
      </c>
      <c r="BG1352" s="78" t="s">
        <v>132</v>
      </c>
      <c r="BH1352" s="75" t="s">
        <v>5970</v>
      </c>
      <c r="BI1352" s="295" t="s">
        <v>16</v>
      </c>
      <c r="BJ1352" s="546">
        <v>1</v>
      </c>
      <c r="BK1352" s="294" t="s">
        <v>16</v>
      </c>
      <c r="BL1352" s="157" t="s">
        <v>16</v>
      </c>
      <c r="BM1352" s="548" t="s">
        <v>2343</v>
      </c>
      <c r="BN1352" s="548" t="s">
        <v>4161</v>
      </c>
      <c r="BO1352" s="157" t="s">
        <v>4293</v>
      </c>
      <c r="BP1352" s="548" t="s">
        <v>2225</v>
      </c>
      <c r="BQ1352" s="157" t="s">
        <v>4292</v>
      </c>
      <c r="BR1352" s="157"/>
    </row>
    <row r="1353" spans="1:70" x14ac:dyDescent="0.25">
      <c r="A1353" s="19" t="s">
        <v>3686</v>
      </c>
      <c r="B1353" s="37" t="s">
        <v>1418</v>
      </c>
      <c r="C1353" s="90">
        <v>44806.61005787037</v>
      </c>
      <c r="D1353" s="114">
        <v>44806.36005787037</v>
      </c>
      <c r="E1353" s="38">
        <v>44806</v>
      </c>
      <c r="F1353" s="91">
        <v>2022</v>
      </c>
      <c r="G1353" s="93">
        <v>9</v>
      </c>
      <c r="H1353" s="37" t="s">
        <v>617</v>
      </c>
      <c r="I1353" s="37" t="s">
        <v>2362</v>
      </c>
      <c r="J1353" s="103">
        <v>-92.733008393010635</v>
      </c>
      <c r="K1353" s="40">
        <v>45.059591647138078</v>
      </c>
      <c r="L1353" s="74"/>
      <c r="M1353" s="272" t="s">
        <v>16</v>
      </c>
      <c r="N1353" s="74">
        <v>0</v>
      </c>
      <c r="O1353" s="94"/>
      <c r="P1353" s="118">
        <v>0</v>
      </c>
      <c r="Q1353" s="510"/>
      <c r="R1353" s="513"/>
      <c r="S1353" s="41"/>
      <c r="T1353" s="40"/>
      <c r="U1353" s="40"/>
      <c r="V1353" s="119">
        <v>0</v>
      </c>
      <c r="W1353" s="40"/>
      <c r="X1353" s="119">
        <v>0</v>
      </c>
      <c r="Y1353" s="40"/>
      <c r="Z1353" s="119">
        <v>0</v>
      </c>
      <c r="AA1353" s="368" t="s">
        <v>16</v>
      </c>
      <c r="AB1353" s="535" t="s">
        <v>16</v>
      </c>
      <c r="AC1353" s="39"/>
      <c r="AD1353" s="75" t="s">
        <v>16</v>
      </c>
      <c r="AE1353" s="95">
        <v>-1</v>
      </c>
      <c r="AF1353" s="75">
        <v>-1</v>
      </c>
      <c r="AG1353" s="75">
        <v>-1</v>
      </c>
      <c r="AH1353" s="75">
        <v>-1</v>
      </c>
      <c r="AI1353" s="75">
        <v>-1</v>
      </c>
      <c r="AJ1353" s="75">
        <v>-1</v>
      </c>
      <c r="AK1353" s="75">
        <v>-1</v>
      </c>
      <c r="AL1353" s="95">
        <v>-1</v>
      </c>
      <c r="AM1353" s="92">
        <v>1</v>
      </c>
      <c r="AN1353" s="79" t="s">
        <v>80</v>
      </c>
      <c r="AO1353" s="75">
        <v>1</v>
      </c>
      <c r="AP1353" s="75"/>
      <c r="AQ1353" s="122">
        <v>0</v>
      </c>
      <c r="AR1353" s="515" t="s">
        <v>16</v>
      </c>
      <c r="AS1353" s="95">
        <v>-1</v>
      </c>
      <c r="AT1353" s="75">
        <v>-1</v>
      </c>
      <c r="AU1353" s="75">
        <v>-1</v>
      </c>
      <c r="AV1353" s="75">
        <v>-1</v>
      </c>
      <c r="AW1353" s="123">
        <v>1</v>
      </c>
      <c r="AX1353" s="516"/>
      <c r="AY1353" s="75">
        <v>0</v>
      </c>
      <c r="AZ1353" s="77" t="s">
        <v>5971</v>
      </c>
      <c r="BA1353" s="78" t="s">
        <v>5971</v>
      </c>
      <c r="BB1353" s="78" t="s">
        <v>5971</v>
      </c>
      <c r="BC1353" s="78" t="s">
        <v>5971</v>
      </c>
      <c r="BD1353" s="78" t="s">
        <v>5971</v>
      </c>
      <c r="BE1353" s="78" t="s">
        <v>5971</v>
      </c>
      <c r="BF1353" s="78" t="s">
        <v>5971</v>
      </c>
      <c r="BG1353" s="78" t="s">
        <v>5971</v>
      </c>
      <c r="BH1353" s="75" t="s">
        <v>5971</v>
      </c>
      <c r="BI1353" s="295" t="s">
        <v>16</v>
      </c>
      <c r="BJ1353" s="546" t="s">
        <v>16</v>
      </c>
      <c r="BK1353" s="294" t="s">
        <v>16</v>
      </c>
      <c r="BL1353" s="157" t="s">
        <v>16</v>
      </c>
      <c r="BM1353" s="548" t="s">
        <v>578</v>
      </c>
      <c r="BN1353" s="548" t="s">
        <v>578</v>
      </c>
      <c r="BO1353" s="157" t="s">
        <v>4420</v>
      </c>
      <c r="BP1353" s="548" t="s">
        <v>4678</v>
      </c>
      <c r="BQ1353" s="157" t="s">
        <v>4287</v>
      </c>
      <c r="BR1353" s="157"/>
    </row>
    <row r="1354" spans="1:70" x14ac:dyDescent="0.25">
      <c r="A1354" s="19" t="s">
        <v>3686</v>
      </c>
      <c r="B1354" s="37" t="s">
        <v>1419</v>
      </c>
      <c r="C1354" s="90">
        <v>44805.777037037034</v>
      </c>
      <c r="D1354" s="114">
        <v>44805.527037037034</v>
      </c>
      <c r="E1354" s="38">
        <v>44805</v>
      </c>
      <c r="F1354" s="91">
        <v>2022</v>
      </c>
      <c r="G1354" s="93">
        <v>9</v>
      </c>
      <c r="H1354" s="37" t="s">
        <v>617</v>
      </c>
      <c r="I1354" s="37" t="s">
        <v>2362</v>
      </c>
      <c r="J1354" s="103">
        <v>-92.283508063765794</v>
      </c>
      <c r="K1354" s="40">
        <v>44.543871301568828</v>
      </c>
      <c r="L1354" s="74"/>
      <c r="M1354" s="272" t="s">
        <v>16</v>
      </c>
      <c r="N1354" s="74">
        <v>0</v>
      </c>
      <c r="O1354" s="94"/>
      <c r="P1354" s="118">
        <v>1</v>
      </c>
      <c r="Q1354" s="510">
        <v>180</v>
      </c>
      <c r="R1354" s="513">
        <v>60</v>
      </c>
      <c r="S1354" s="41"/>
      <c r="T1354" s="40"/>
      <c r="U1354" s="40">
        <v>7</v>
      </c>
      <c r="V1354" s="119">
        <v>0</v>
      </c>
      <c r="W1354" s="40"/>
      <c r="X1354" s="119">
        <v>0</v>
      </c>
      <c r="Y1354" s="40"/>
      <c r="Z1354" s="119">
        <v>1</v>
      </c>
      <c r="AA1354" s="368">
        <v>0</v>
      </c>
      <c r="AB1354" s="535">
        <v>2</v>
      </c>
      <c r="AC1354" s="39" t="s">
        <v>160</v>
      </c>
      <c r="AD1354" s="75" t="s">
        <v>16</v>
      </c>
      <c r="AE1354" s="95">
        <v>-1</v>
      </c>
      <c r="AF1354" s="75">
        <v>-1</v>
      </c>
      <c r="AG1354" s="75">
        <v>-1</v>
      </c>
      <c r="AH1354" s="75">
        <v>-1</v>
      </c>
      <c r="AI1354" s="75">
        <v>-1</v>
      </c>
      <c r="AJ1354" s="75">
        <v>-1</v>
      </c>
      <c r="AK1354" s="75">
        <v>-1</v>
      </c>
      <c r="AL1354" s="95">
        <v>-1</v>
      </c>
      <c r="AM1354" s="92">
        <v>1</v>
      </c>
      <c r="AN1354" s="79"/>
      <c r="AO1354" s="75">
        <v>0</v>
      </c>
      <c r="AP1354" s="75"/>
      <c r="AQ1354" s="122">
        <v>0</v>
      </c>
      <c r="AR1354" s="515" t="s">
        <v>16</v>
      </c>
      <c r="AS1354" s="95">
        <v>-1</v>
      </c>
      <c r="AT1354" s="75">
        <v>-1</v>
      </c>
      <c r="AU1354" s="75">
        <v>-1</v>
      </c>
      <c r="AV1354" s="75">
        <v>-1</v>
      </c>
      <c r="AW1354" s="123">
        <v>1</v>
      </c>
      <c r="AX1354" s="516"/>
      <c r="AY1354" s="75">
        <v>0</v>
      </c>
      <c r="AZ1354" s="77" t="s">
        <v>5971</v>
      </c>
      <c r="BA1354" s="78" t="s">
        <v>5971</v>
      </c>
      <c r="BB1354" s="78" t="s">
        <v>5971</v>
      </c>
      <c r="BC1354" s="78" t="s">
        <v>5971</v>
      </c>
      <c r="BD1354" s="78" t="s">
        <v>5971</v>
      </c>
      <c r="BE1354" s="78" t="s">
        <v>5971</v>
      </c>
      <c r="BF1354" s="78" t="s">
        <v>5971</v>
      </c>
      <c r="BG1354" s="78" t="s">
        <v>5971</v>
      </c>
      <c r="BH1354" s="75" t="s">
        <v>5971</v>
      </c>
      <c r="BI1354" s="295" t="s">
        <v>5931</v>
      </c>
      <c r="BJ1354" s="546">
        <v>1</v>
      </c>
      <c r="BK1354" s="294">
        <v>1</v>
      </c>
      <c r="BL1354" s="157">
        <v>1</v>
      </c>
      <c r="BM1354" s="548" t="s">
        <v>1340</v>
      </c>
      <c r="BN1354" s="548" t="s">
        <v>578</v>
      </c>
      <c r="BO1354" s="157" t="s">
        <v>4268</v>
      </c>
      <c r="BP1354" s="548" t="s">
        <v>2261</v>
      </c>
      <c r="BQ1354" s="157" t="s">
        <v>4214</v>
      </c>
      <c r="BR1354" s="157"/>
    </row>
    <row r="1355" spans="1:70" x14ac:dyDescent="0.25">
      <c r="A1355" s="19" t="s">
        <v>3686</v>
      </c>
      <c r="B1355" s="37" t="s">
        <v>1420</v>
      </c>
      <c r="C1355" s="90">
        <v>44805.6562962963</v>
      </c>
      <c r="D1355" s="114">
        <v>44805.4062962963</v>
      </c>
      <c r="E1355" s="38">
        <v>44805</v>
      </c>
      <c r="F1355" s="91">
        <v>2022</v>
      </c>
      <c r="G1355" s="93">
        <v>9</v>
      </c>
      <c r="H1355" s="37" t="s">
        <v>617</v>
      </c>
      <c r="I1355" s="37"/>
      <c r="J1355" s="103">
        <v>-92.284224264745006</v>
      </c>
      <c r="K1355" s="40">
        <v>44.542276320219031</v>
      </c>
      <c r="L1355" s="74"/>
      <c r="M1355" s="272" t="s">
        <v>16</v>
      </c>
      <c r="N1355" s="74">
        <v>0</v>
      </c>
      <c r="O1355" s="94"/>
      <c r="P1355" s="118">
        <v>0</v>
      </c>
      <c r="Q1355" s="510"/>
      <c r="R1355" s="513"/>
      <c r="S1355" s="41"/>
      <c r="T1355" s="40"/>
      <c r="U1355" s="40"/>
      <c r="V1355" s="119">
        <v>1</v>
      </c>
      <c r="W1355" s="40">
        <v>0</v>
      </c>
      <c r="X1355" s="119">
        <v>1</v>
      </c>
      <c r="Y1355" s="40">
        <v>54</v>
      </c>
      <c r="Z1355" s="119">
        <v>0</v>
      </c>
      <c r="AA1355" s="368" t="s">
        <v>16</v>
      </c>
      <c r="AB1355" s="535" t="s">
        <v>16</v>
      </c>
      <c r="AC1355" s="39" t="s">
        <v>160</v>
      </c>
      <c r="AD1355" s="75" t="s">
        <v>16</v>
      </c>
      <c r="AE1355" s="95">
        <v>-1</v>
      </c>
      <c r="AF1355" s="75">
        <v>-1</v>
      </c>
      <c r="AG1355" s="75">
        <v>-1</v>
      </c>
      <c r="AH1355" s="75">
        <v>-1</v>
      </c>
      <c r="AI1355" s="75">
        <v>-1</v>
      </c>
      <c r="AJ1355" s="75">
        <v>-1</v>
      </c>
      <c r="AK1355" s="75">
        <v>-1</v>
      </c>
      <c r="AL1355" s="95">
        <v>-1</v>
      </c>
      <c r="AM1355" s="92">
        <v>1</v>
      </c>
      <c r="AN1355" s="79" t="s">
        <v>80</v>
      </c>
      <c r="AO1355" s="75">
        <v>1</v>
      </c>
      <c r="AP1355" s="75" t="s">
        <v>83</v>
      </c>
      <c r="AQ1355" s="122">
        <v>1</v>
      </c>
      <c r="AR1355" s="515" t="s">
        <v>10</v>
      </c>
      <c r="AS1355" s="95">
        <v>0</v>
      </c>
      <c r="AT1355" s="75">
        <v>0</v>
      </c>
      <c r="AU1355" s="75">
        <v>0</v>
      </c>
      <c r="AV1355" s="75">
        <v>0</v>
      </c>
      <c r="AW1355" s="123">
        <v>0</v>
      </c>
      <c r="AX1355" s="516"/>
      <c r="AY1355" s="75">
        <v>0</v>
      </c>
      <c r="AZ1355" s="77" t="s">
        <v>5971</v>
      </c>
      <c r="BA1355" s="78" t="s">
        <v>5971</v>
      </c>
      <c r="BB1355" s="78" t="s">
        <v>5971</v>
      </c>
      <c r="BC1355" s="78" t="s">
        <v>5971</v>
      </c>
      <c r="BD1355" s="78" t="s">
        <v>5971</v>
      </c>
      <c r="BE1355" s="78" t="s">
        <v>5971</v>
      </c>
      <c r="BF1355" s="78" t="s">
        <v>5971</v>
      </c>
      <c r="BG1355" s="78" t="s">
        <v>5971</v>
      </c>
      <c r="BH1355" s="75" t="s">
        <v>5971</v>
      </c>
      <c r="BI1355" s="295" t="s">
        <v>2261</v>
      </c>
      <c r="BJ1355" s="546">
        <v>1</v>
      </c>
      <c r="BK1355" s="294">
        <v>1</v>
      </c>
      <c r="BL1355" s="157">
        <v>1</v>
      </c>
      <c r="BM1355" s="548" t="s">
        <v>1340</v>
      </c>
      <c r="BN1355" s="548" t="s">
        <v>578</v>
      </c>
      <c r="BO1355" s="157" t="s">
        <v>4268</v>
      </c>
      <c r="BP1355" s="548" t="s">
        <v>2261</v>
      </c>
      <c r="BQ1355" s="157" t="s">
        <v>4214</v>
      </c>
      <c r="BR1355" s="157"/>
    </row>
    <row r="1356" spans="1:70" x14ac:dyDescent="0.25">
      <c r="A1356" s="19" t="s">
        <v>3686</v>
      </c>
      <c r="B1356" s="37" t="s">
        <v>1421</v>
      </c>
      <c r="C1356" s="90">
        <v>44804.831122685187</v>
      </c>
      <c r="D1356" s="114">
        <v>44804.581122685187</v>
      </c>
      <c r="E1356" s="38">
        <v>44804</v>
      </c>
      <c r="F1356" s="91">
        <v>2022</v>
      </c>
      <c r="G1356" s="93">
        <v>8</v>
      </c>
      <c r="H1356" s="37" t="s">
        <v>1422</v>
      </c>
      <c r="I1356" s="37"/>
      <c r="J1356" s="103">
        <v>-92.637528140653842</v>
      </c>
      <c r="K1356" s="40">
        <v>44.854265972266802</v>
      </c>
      <c r="L1356" s="74"/>
      <c r="M1356" s="272" t="s">
        <v>16</v>
      </c>
      <c r="N1356" s="74">
        <v>0</v>
      </c>
      <c r="O1356" s="94"/>
      <c r="P1356" s="118">
        <v>1</v>
      </c>
      <c r="Q1356" s="510">
        <v>180</v>
      </c>
      <c r="R1356" s="513">
        <v>180</v>
      </c>
      <c r="S1356" s="41"/>
      <c r="T1356" s="40"/>
      <c r="U1356" s="40">
        <v>7</v>
      </c>
      <c r="V1356" s="119">
        <v>0</v>
      </c>
      <c r="W1356" s="40"/>
      <c r="X1356" s="119">
        <v>0</v>
      </c>
      <c r="Y1356" s="40"/>
      <c r="Z1356" s="119">
        <v>1</v>
      </c>
      <c r="AA1356" s="368">
        <v>0</v>
      </c>
      <c r="AB1356" s="535">
        <v>5</v>
      </c>
      <c r="AC1356" s="39" t="s">
        <v>160</v>
      </c>
      <c r="AD1356" s="75" t="s">
        <v>10</v>
      </c>
      <c r="AE1356" s="95">
        <v>0</v>
      </c>
      <c r="AF1356" s="75">
        <v>0</v>
      </c>
      <c r="AG1356" s="75">
        <v>0</v>
      </c>
      <c r="AH1356" s="75">
        <v>0</v>
      </c>
      <c r="AI1356" s="75">
        <v>0</v>
      </c>
      <c r="AJ1356" s="75">
        <v>0</v>
      </c>
      <c r="AK1356" s="75">
        <v>0</v>
      </c>
      <c r="AL1356" s="95">
        <v>1</v>
      </c>
      <c r="AM1356" s="92">
        <v>0</v>
      </c>
      <c r="AN1356" s="79" t="s">
        <v>80</v>
      </c>
      <c r="AO1356" s="75">
        <v>1</v>
      </c>
      <c r="AP1356" s="75" t="s">
        <v>83</v>
      </c>
      <c r="AQ1356" s="122">
        <v>1</v>
      </c>
      <c r="AR1356" s="515" t="s">
        <v>10</v>
      </c>
      <c r="AS1356" s="95">
        <v>0</v>
      </c>
      <c r="AT1356" s="75">
        <v>0</v>
      </c>
      <c r="AU1356" s="75">
        <v>0</v>
      </c>
      <c r="AV1356" s="75">
        <v>0</v>
      </c>
      <c r="AW1356" s="123">
        <v>0</v>
      </c>
      <c r="AX1356" s="516"/>
      <c r="AY1356" s="75">
        <v>0</v>
      </c>
      <c r="AZ1356" s="77" t="s">
        <v>131</v>
      </c>
      <c r="BA1356" s="78" t="s">
        <v>131</v>
      </c>
      <c r="BB1356" s="78" t="s">
        <v>131</v>
      </c>
      <c r="BC1356" s="78" t="s">
        <v>131</v>
      </c>
      <c r="BD1356" s="78" t="s">
        <v>131</v>
      </c>
      <c r="BE1356" s="78" t="s">
        <v>131</v>
      </c>
      <c r="BF1356" s="78" t="s">
        <v>131</v>
      </c>
      <c r="BG1356" s="78" t="s">
        <v>132</v>
      </c>
      <c r="BH1356" s="75" t="s">
        <v>5970</v>
      </c>
      <c r="BI1356" s="295" t="s">
        <v>2227</v>
      </c>
      <c r="BJ1356" s="546">
        <v>1</v>
      </c>
      <c r="BK1356" s="294">
        <v>1</v>
      </c>
      <c r="BL1356" s="157">
        <v>1</v>
      </c>
      <c r="BM1356" s="548" t="s">
        <v>578</v>
      </c>
      <c r="BN1356" s="548" t="s">
        <v>544</v>
      </c>
      <c r="BO1356" s="157" t="s">
        <v>4341</v>
      </c>
      <c r="BP1356" s="548" t="s">
        <v>4343</v>
      </c>
      <c r="BQ1356" s="157" t="s">
        <v>4309</v>
      </c>
      <c r="BR1356" s="157"/>
    </row>
    <row r="1357" spans="1:70" x14ac:dyDescent="0.25">
      <c r="A1357" s="19" t="s">
        <v>3686</v>
      </c>
      <c r="B1357" s="37" t="s">
        <v>1423</v>
      </c>
      <c r="C1357" s="90">
        <v>44804.824988425928</v>
      </c>
      <c r="D1357" s="114">
        <v>44804.574988425928</v>
      </c>
      <c r="E1357" s="38">
        <v>44804</v>
      </c>
      <c r="F1357" s="91">
        <v>2022</v>
      </c>
      <c r="G1357" s="93">
        <v>8</v>
      </c>
      <c r="H1357" s="37" t="s">
        <v>1422</v>
      </c>
      <c r="I1357" s="37"/>
      <c r="J1357" s="103">
        <v>-92.637521423944861</v>
      </c>
      <c r="K1357" s="40">
        <v>44.854444302645987</v>
      </c>
      <c r="L1357" s="74"/>
      <c r="M1357" s="272" t="s">
        <v>16</v>
      </c>
      <c r="N1357" s="74">
        <v>0</v>
      </c>
      <c r="O1357" s="94"/>
      <c r="P1357" s="118">
        <v>1</v>
      </c>
      <c r="Q1357" s="510">
        <v>180</v>
      </c>
      <c r="R1357" s="513">
        <v>120</v>
      </c>
      <c r="S1357" s="41"/>
      <c r="T1357" s="40"/>
      <c r="U1357" s="40">
        <v>7.5</v>
      </c>
      <c r="V1357" s="119">
        <v>0</v>
      </c>
      <c r="W1357" s="40"/>
      <c r="X1357" s="119">
        <v>0</v>
      </c>
      <c r="Y1357" s="40"/>
      <c r="Z1357" s="119">
        <v>1</v>
      </c>
      <c r="AA1357" s="368">
        <v>0</v>
      </c>
      <c r="AB1357" s="535">
        <v>5</v>
      </c>
      <c r="AC1357" s="39" t="s">
        <v>160</v>
      </c>
      <c r="AD1357" s="75" t="s">
        <v>8</v>
      </c>
      <c r="AE1357" s="95">
        <v>0</v>
      </c>
      <c r="AF1357" s="75">
        <v>1</v>
      </c>
      <c r="AG1357" s="75">
        <v>0</v>
      </c>
      <c r="AH1357" s="75">
        <v>0</v>
      </c>
      <c r="AI1357" s="75">
        <v>0</v>
      </c>
      <c r="AJ1357" s="75">
        <v>0</v>
      </c>
      <c r="AK1357" s="75">
        <v>0</v>
      </c>
      <c r="AL1357" s="95">
        <v>0</v>
      </c>
      <c r="AM1357" s="92">
        <v>0</v>
      </c>
      <c r="AN1357" s="79" t="s">
        <v>80</v>
      </c>
      <c r="AO1357" s="75">
        <v>1</v>
      </c>
      <c r="AP1357" s="75" t="s">
        <v>83</v>
      </c>
      <c r="AQ1357" s="122">
        <v>1</v>
      </c>
      <c r="AR1357" s="515" t="s">
        <v>10</v>
      </c>
      <c r="AS1357" s="95">
        <v>0</v>
      </c>
      <c r="AT1357" s="75">
        <v>0</v>
      </c>
      <c r="AU1357" s="75">
        <v>0</v>
      </c>
      <c r="AV1357" s="75">
        <v>0</v>
      </c>
      <c r="AW1357" s="123">
        <v>0</v>
      </c>
      <c r="AX1357" s="516"/>
      <c r="AY1357" s="75">
        <v>0</v>
      </c>
      <c r="AZ1357" s="77" t="s">
        <v>131</v>
      </c>
      <c r="BA1357" s="78" t="s">
        <v>132</v>
      </c>
      <c r="BB1357" s="78" t="s">
        <v>131</v>
      </c>
      <c r="BC1357" s="78" t="s">
        <v>131</v>
      </c>
      <c r="BD1357" s="78" t="s">
        <v>131</v>
      </c>
      <c r="BE1357" s="78" t="s">
        <v>131</v>
      </c>
      <c r="BF1357" s="78" t="s">
        <v>131</v>
      </c>
      <c r="BG1357" s="78" t="s">
        <v>131</v>
      </c>
      <c r="BH1357" s="75" t="s">
        <v>5970</v>
      </c>
      <c r="BI1357" s="295" t="s">
        <v>2227</v>
      </c>
      <c r="BJ1357" s="546">
        <v>1</v>
      </c>
      <c r="BK1357" s="294">
        <v>1</v>
      </c>
      <c r="BL1357" s="157">
        <v>1</v>
      </c>
      <c r="BM1357" s="548" t="s">
        <v>578</v>
      </c>
      <c r="BN1357" s="548" t="s">
        <v>544</v>
      </c>
      <c r="BO1357" s="157" t="s">
        <v>4341</v>
      </c>
      <c r="BP1357" s="548" t="s">
        <v>4343</v>
      </c>
      <c r="BQ1357" s="157" t="s">
        <v>4309</v>
      </c>
      <c r="BR1357" s="157"/>
    </row>
    <row r="1358" spans="1:70" x14ac:dyDescent="0.25">
      <c r="A1358" s="19" t="s">
        <v>3686</v>
      </c>
      <c r="B1358" s="37" t="s">
        <v>1424</v>
      </c>
      <c r="C1358" s="90">
        <v>44804.823796296296</v>
      </c>
      <c r="D1358" s="114">
        <v>44804.573796296296</v>
      </c>
      <c r="E1358" s="38">
        <v>44804</v>
      </c>
      <c r="F1358" s="91">
        <v>2022</v>
      </c>
      <c r="G1358" s="93">
        <v>8</v>
      </c>
      <c r="H1358" s="37" t="s">
        <v>1425</v>
      </c>
      <c r="I1358" s="37"/>
      <c r="J1358" s="103">
        <v>-92.640026923481116</v>
      </c>
      <c r="K1358" s="40">
        <v>44.850201280967056</v>
      </c>
      <c r="L1358" s="74"/>
      <c r="M1358" s="272" t="s">
        <v>1426</v>
      </c>
      <c r="N1358" s="74">
        <v>1</v>
      </c>
      <c r="O1358" s="94"/>
      <c r="P1358" s="118">
        <v>1</v>
      </c>
      <c r="Q1358" s="510">
        <v>180</v>
      </c>
      <c r="R1358" s="513">
        <v>180</v>
      </c>
      <c r="S1358" s="41"/>
      <c r="T1358" s="40"/>
      <c r="U1358" s="40">
        <v>8</v>
      </c>
      <c r="V1358" s="119">
        <v>1</v>
      </c>
      <c r="W1358" s="40">
        <v>0</v>
      </c>
      <c r="X1358" s="119">
        <v>1</v>
      </c>
      <c r="Y1358" s="40">
        <v>65</v>
      </c>
      <c r="Z1358" s="119">
        <v>1</v>
      </c>
      <c r="AA1358" s="368">
        <v>0</v>
      </c>
      <c r="AB1358" s="535">
        <v>10</v>
      </c>
      <c r="AC1358" s="39" t="s">
        <v>160</v>
      </c>
      <c r="AD1358" s="75" t="s">
        <v>9</v>
      </c>
      <c r="AE1358" s="95">
        <v>0</v>
      </c>
      <c r="AF1358" s="75">
        <v>0</v>
      </c>
      <c r="AG1358" s="75">
        <v>1</v>
      </c>
      <c r="AH1358" s="75">
        <v>0</v>
      </c>
      <c r="AI1358" s="75">
        <v>0</v>
      </c>
      <c r="AJ1358" s="75">
        <v>0</v>
      </c>
      <c r="AK1358" s="75">
        <v>0</v>
      </c>
      <c r="AL1358" s="95">
        <v>0</v>
      </c>
      <c r="AM1358" s="92">
        <v>0</v>
      </c>
      <c r="AN1358" s="79" t="s">
        <v>80</v>
      </c>
      <c r="AO1358" s="75">
        <v>1</v>
      </c>
      <c r="AP1358" s="75" t="s">
        <v>83</v>
      </c>
      <c r="AQ1358" s="122">
        <v>1</v>
      </c>
      <c r="AR1358" s="515" t="s">
        <v>10</v>
      </c>
      <c r="AS1358" s="95">
        <v>0</v>
      </c>
      <c r="AT1358" s="75">
        <v>0</v>
      </c>
      <c r="AU1358" s="75">
        <v>0</v>
      </c>
      <c r="AV1358" s="75">
        <v>0</v>
      </c>
      <c r="AW1358" s="123">
        <v>0</v>
      </c>
      <c r="AX1358" s="516"/>
      <c r="AY1358" s="75">
        <v>0</v>
      </c>
      <c r="AZ1358" s="77" t="s">
        <v>131</v>
      </c>
      <c r="BA1358" s="78" t="s">
        <v>131</v>
      </c>
      <c r="BB1358" s="78" t="s">
        <v>132</v>
      </c>
      <c r="BC1358" s="78" t="s">
        <v>131</v>
      </c>
      <c r="BD1358" s="78" t="s">
        <v>131</v>
      </c>
      <c r="BE1358" s="78" t="s">
        <v>131</v>
      </c>
      <c r="BF1358" s="78" t="s">
        <v>131</v>
      </c>
      <c r="BG1358" s="78" t="s">
        <v>131</v>
      </c>
      <c r="BH1358" s="75" t="s">
        <v>5970</v>
      </c>
      <c r="BI1358" s="295" t="s">
        <v>2227</v>
      </c>
      <c r="BJ1358" s="546">
        <v>1</v>
      </c>
      <c r="BK1358" s="294">
        <v>1</v>
      </c>
      <c r="BL1358" s="157">
        <v>1</v>
      </c>
      <c r="BM1358" s="548" t="s">
        <v>578</v>
      </c>
      <c r="BN1358" s="548" t="s">
        <v>4159</v>
      </c>
      <c r="BO1358" s="157" t="s">
        <v>4341</v>
      </c>
      <c r="BP1358" s="548" t="s">
        <v>4343</v>
      </c>
      <c r="BQ1358" s="157" t="s">
        <v>4309</v>
      </c>
      <c r="BR1358" s="157"/>
    </row>
    <row r="1359" spans="1:70" x14ac:dyDescent="0.25">
      <c r="A1359" s="19" t="s">
        <v>3686</v>
      </c>
      <c r="B1359" s="37" t="s">
        <v>1427</v>
      </c>
      <c r="C1359" s="90">
        <v>44804.803819444445</v>
      </c>
      <c r="D1359" s="114">
        <v>44804.553819444445</v>
      </c>
      <c r="E1359" s="38">
        <v>44804</v>
      </c>
      <c r="F1359" s="91">
        <v>2022</v>
      </c>
      <c r="G1359" s="93">
        <v>8</v>
      </c>
      <c r="H1359" s="37" t="s">
        <v>622</v>
      </c>
      <c r="I1359" s="37"/>
      <c r="J1359" s="103">
        <v>-92.276453571480019</v>
      </c>
      <c r="K1359" s="40">
        <v>44.431270184036741</v>
      </c>
      <c r="L1359" s="74"/>
      <c r="M1359" s="272" t="s">
        <v>16</v>
      </c>
      <c r="N1359" s="74">
        <v>0</v>
      </c>
      <c r="O1359" s="94"/>
      <c r="P1359" s="118">
        <v>1</v>
      </c>
      <c r="Q1359" s="510">
        <v>0</v>
      </c>
      <c r="R1359" s="513">
        <v>30</v>
      </c>
      <c r="S1359" s="41"/>
      <c r="T1359" s="40"/>
      <c r="U1359" s="40">
        <v>7</v>
      </c>
      <c r="V1359" s="119">
        <v>1</v>
      </c>
      <c r="W1359" s="40">
        <v>0</v>
      </c>
      <c r="X1359" s="119">
        <v>1</v>
      </c>
      <c r="Y1359" s="40">
        <v>63</v>
      </c>
      <c r="Z1359" s="119">
        <v>0</v>
      </c>
      <c r="AA1359" s="368" t="s">
        <v>16</v>
      </c>
      <c r="AB1359" s="535" t="s">
        <v>16</v>
      </c>
      <c r="AC1359" s="39" t="s">
        <v>160</v>
      </c>
      <c r="AD1359" s="75" t="s">
        <v>16</v>
      </c>
      <c r="AE1359" s="95">
        <v>-1</v>
      </c>
      <c r="AF1359" s="75">
        <v>-1</v>
      </c>
      <c r="AG1359" s="75">
        <v>-1</v>
      </c>
      <c r="AH1359" s="75">
        <v>-1</v>
      </c>
      <c r="AI1359" s="75">
        <v>-1</v>
      </c>
      <c r="AJ1359" s="75">
        <v>-1</v>
      </c>
      <c r="AK1359" s="75">
        <v>-1</v>
      </c>
      <c r="AL1359" s="95">
        <v>-1</v>
      </c>
      <c r="AM1359" s="92">
        <v>1</v>
      </c>
      <c r="AN1359" s="79"/>
      <c r="AO1359" s="75">
        <v>0</v>
      </c>
      <c r="AP1359" s="75"/>
      <c r="AQ1359" s="122">
        <v>0</v>
      </c>
      <c r="AR1359" s="515" t="s">
        <v>16</v>
      </c>
      <c r="AS1359" s="95">
        <v>-1</v>
      </c>
      <c r="AT1359" s="75">
        <v>-1</v>
      </c>
      <c r="AU1359" s="75">
        <v>-1</v>
      </c>
      <c r="AV1359" s="75">
        <v>-1</v>
      </c>
      <c r="AW1359" s="123">
        <v>1</v>
      </c>
      <c r="AX1359" s="516"/>
      <c r="AY1359" s="75">
        <v>0</v>
      </c>
      <c r="AZ1359" s="77" t="s">
        <v>5971</v>
      </c>
      <c r="BA1359" s="78" t="s">
        <v>5971</v>
      </c>
      <c r="BB1359" s="78" t="s">
        <v>5971</v>
      </c>
      <c r="BC1359" s="78" t="s">
        <v>5971</v>
      </c>
      <c r="BD1359" s="78" t="s">
        <v>5971</v>
      </c>
      <c r="BE1359" s="78" t="s">
        <v>5971</v>
      </c>
      <c r="BF1359" s="78" t="s">
        <v>5971</v>
      </c>
      <c r="BG1359" s="78" t="s">
        <v>5971</v>
      </c>
      <c r="BH1359" s="75" t="s">
        <v>5971</v>
      </c>
      <c r="BI1359" s="295" t="s">
        <v>16</v>
      </c>
      <c r="BJ1359" s="546">
        <v>1</v>
      </c>
      <c r="BK1359" s="294" t="s">
        <v>16</v>
      </c>
      <c r="BL1359" s="157" t="s">
        <v>16</v>
      </c>
      <c r="BM1359" s="548" t="s">
        <v>1339</v>
      </c>
      <c r="BN1359" s="548" t="s">
        <v>1339</v>
      </c>
      <c r="BO1359" s="157" t="s">
        <v>4614</v>
      </c>
      <c r="BP1359" s="548" t="s">
        <v>2228</v>
      </c>
      <c r="BQ1359" s="157" t="s">
        <v>4214</v>
      </c>
      <c r="BR1359" s="157"/>
    </row>
    <row r="1360" spans="1:70" x14ac:dyDescent="0.25">
      <c r="A1360" s="19" t="s">
        <v>3686</v>
      </c>
      <c r="B1360" s="37" t="s">
        <v>1428</v>
      </c>
      <c r="C1360" s="90">
        <v>44804.771099537036</v>
      </c>
      <c r="D1360" s="114">
        <v>44804.521099537036</v>
      </c>
      <c r="E1360" s="38">
        <v>44804</v>
      </c>
      <c r="F1360" s="91">
        <v>2022</v>
      </c>
      <c r="G1360" s="93">
        <v>8</v>
      </c>
      <c r="H1360" s="37" t="s">
        <v>1429</v>
      </c>
      <c r="I1360" s="37" t="s">
        <v>16</v>
      </c>
      <c r="J1360" s="103">
        <v>-91.785213079587635</v>
      </c>
      <c r="K1360" s="40">
        <v>42.879280275379948</v>
      </c>
      <c r="L1360" s="74"/>
      <c r="M1360" s="272" t="s">
        <v>1430</v>
      </c>
      <c r="N1360" s="74">
        <v>1</v>
      </c>
      <c r="O1360" s="94"/>
      <c r="P1360" s="118">
        <v>1</v>
      </c>
      <c r="Q1360" s="510">
        <v>180</v>
      </c>
      <c r="R1360" s="513">
        <v>120</v>
      </c>
      <c r="S1360" s="41"/>
      <c r="T1360" s="40"/>
      <c r="U1360" s="40">
        <v>7</v>
      </c>
      <c r="V1360" s="119">
        <v>1</v>
      </c>
      <c r="W1360" s="40">
        <v>200</v>
      </c>
      <c r="X1360" s="119">
        <v>1</v>
      </c>
      <c r="Y1360" s="40">
        <v>8</v>
      </c>
      <c r="Z1360" s="119">
        <v>1</v>
      </c>
      <c r="AA1360" s="368">
        <v>0</v>
      </c>
      <c r="AB1360" s="535">
        <v>5</v>
      </c>
      <c r="AC1360" s="39" t="s">
        <v>160</v>
      </c>
      <c r="AD1360" s="75" t="s">
        <v>10</v>
      </c>
      <c r="AE1360" s="95">
        <v>0</v>
      </c>
      <c r="AF1360" s="75">
        <v>0</v>
      </c>
      <c r="AG1360" s="75">
        <v>0</v>
      </c>
      <c r="AH1360" s="75">
        <v>0</v>
      </c>
      <c r="AI1360" s="75">
        <v>0</v>
      </c>
      <c r="AJ1360" s="75">
        <v>0</v>
      </c>
      <c r="AK1360" s="75">
        <v>0</v>
      </c>
      <c r="AL1360" s="95">
        <v>1</v>
      </c>
      <c r="AM1360" s="92">
        <v>0</v>
      </c>
      <c r="AN1360" s="79" t="s">
        <v>80</v>
      </c>
      <c r="AO1360" s="75">
        <v>1</v>
      </c>
      <c r="AP1360" s="75" t="s">
        <v>83</v>
      </c>
      <c r="AQ1360" s="122">
        <v>1</v>
      </c>
      <c r="AR1360" s="515" t="s">
        <v>10</v>
      </c>
      <c r="AS1360" s="95">
        <v>0</v>
      </c>
      <c r="AT1360" s="75">
        <v>0</v>
      </c>
      <c r="AU1360" s="75">
        <v>0</v>
      </c>
      <c r="AV1360" s="75">
        <v>0</v>
      </c>
      <c r="AW1360" s="123">
        <v>0</v>
      </c>
      <c r="AX1360" s="516"/>
      <c r="AY1360" s="75">
        <v>0</v>
      </c>
      <c r="AZ1360" s="77" t="s">
        <v>131</v>
      </c>
      <c r="BA1360" s="78" t="s">
        <v>131</v>
      </c>
      <c r="BB1360" s="78" t="s">
        <v>131</v>
      </c>
      <c r="BC1360" s="78" t="s">
        <v>131</v>
      </c>
      <c r="BD1360" s="78" t="s">
        <v>131</v>
      </c>
      <c r="BE1360" s="78" t="s">
        <v>131</v>
      </c>
      <c r="BF1360" s="78" t="s">
        <v>131</v>
      </c>
      <c r="BG1360" s="78" t="s">
        <v>132</v>
      </c>
      <c r="BH1360" s="75" t="s">
        <v>5970</v>
      </c>
      <c r="BI1360" s="295">
        <v>0</v>
      </c>
      <c r="BJ1360" s="546" t="s">
        <v>16</v>
      </c>
      <c r="BK1360" s="294" t="s">
        <v>16</v>
      </c>
      <c r="BL1360" s="157" t="s">
        <v>16</v>
      </c>
      <c r="BM1360" s="548" t="s">
        <v>1344</v>
      </c>
      <c r="BN1360" s="548" t="s">
        <v>544</v>
      </c>
      <c r="BO1360" s="157" t="s">
        <v>4679</v>
      </c>
      <c r="BP1360" s="548" t="s">
        <v>4680</v>
      </c>
      <c r="BQ1360" s="157" t="s">
        <v>4571</v>
      </c>
      <c r="BR1360" s="157"/>
    </row>
    <row r="1361" spans="1:70" x14ac:dyDescent="0.25">
      <c r="A1361" s="19" t="s">
        <v>3686</v>
      </c>
      <c r="B1361" s="37" t="s">
        <v>1431</v>
      </c>
      <c r="C1361" s="90">
        <v>44801.99894675926</v>
      </c>
      <c r="D1361" s="114">
        <v>44801.74894675926</v>
      </c>
      <c r="E1361" s="38">
        <v>44801</v>
      </c>
      <c r="F1361" s="91">
        <v>2022</v>
      </c>
      <c r="G1361" s="93">
        <v>8</v>
      </c>
      <c r="H1361" s="37" t="s">
        <v>379</v>
      </c>
      <c r="I1361" s="37" t="s">
        <v>642</v>
      </c>
      <c r="J1361" s="103">
        <v>-92.583502717402354</v>
      </c>
      <c r="K1361" s="40">
        <v>44.848872609478278</v>
      </c>
      <c r="L1361" s="74"/>
      <c r="M1361" s="272" t="s">
        <v>16</v>
      </c>
      <c r="N1361" s="74">
        <v>0</v>
      </c>
      <c r="O1361" s="94"/>
      <c r="P1361" s="118">
        <v>1</v>
      </c>
      <c r="Q1361" s="510">
        <v>120</v>
      </c>
      <c r="R1361" s="513">
        <v>120</v>
      </c>
      <c r="S1361" s="41"/>
      <c r="T1361" s="40"/>
      <c r="U1361" s="40">
        <v>7.5</v>
      </c>
      <c r="V1361" s="119">
        <v>1</v>
      </c>
      <c r="W1361" s="40">
        <v>0</v>
      </c>
      <c r="X1361" s="119">
        <v>1</v>
      </c>
      <c r="Y1361" s="40">
        <v>58</v>
      </c>
      <c r="Z1361" s="119">
        <v>1</v>
      </c>
      <c r="AA1361" s="368">
        <v>0</v>
      </c>
      <c r="AB1361" s="535">
        <v>2</v>
      </c>
      <c r="AC1361" s="39" t="s">
        <v>160</v>
      </c>
      <c r="AD1361" s="75" t="s">
        <v>16</v>
      </c>
      <c r="AE1361" s="95">
        <v>-1</v>
      </c>
      <c r="AF1361" s="75">
        <v>-1</v>
      </c>
      <c r="AG1361" s="75">
        <v>-1</v>
      </c>
      <c r="AH1361" s="75">
        <v>-1</v>
      </c>
      <c r="AI1361" s="75">
        <v>-1</v>
      </c>
      <c r="AJ1361" s="75">
        <v>-1</v>
      </c>
      <c r="AK1361" s="75">
        <v>-1</v>
      </c>
      <c r="AL1361" s="95">
        <v>-1</v>
      </c>
      <c r="AM1361" s="92">
        <v>1</v>
      </c>
      <c r="AN1361" s="79" t="s">
        <v>195</v>
      </c>
      <c r="AO1361" s="75">
        <v>1</v>
      </c>
      <c r="AP1361" s="75" t="s">
        <v>85</v>
      </c>
      <c r="AQ1361" s="122">
        <v>1</v>
      </c>
      <c r="AR1361" s="515" t="s">
        <v>13</v>
      </c>
      <c r="AS1361" s="95">
        <v>1</v>
      </c>
      <c r="AT1361" s="75">
        <v>0</v>
      </c>
      <c r="AU1361" s="75">
        <v>0</v>
      </c>
      <c r="AV1361" s="75">
        <v>0</v>
      </c>
      <c r="AW1361" s="123">
        <v>0</v>
      </c>
      <c r="AX1361" s="516"/>
      <c r="AY1361" s="75">
        <v>0</v>
      </c>
      <c r="AZ1361" s="77" t="s">
        <v>5971</v>
      </c>
      <c r="BA1361" s="78" t="s">
        <v>5971</v>
      </c>
      <c r="BB1361" s="78" t="s">
        <v>5971</v>
      </c>
      <c r="BC1361" s="78" t="s">
        <v>5971</v>
      </c>
      <c r="BD1361" s="78" t="s">
        <v>5971</v>
      </c>
      <c r="BE1361" s="78" t="s">
        <v>5971</v>
      </c>
      <c r="BF1361" s="78" t="s">
        <v>5971</v>
      </c>
      <c r="BG1361" s="78" t="s">
        <v>5971</v>
      </c>
      <c r="BH1361" s="75" t="s">
        <v>5971</v>
      </c>
      <c r="BI1361" s="295" t="s">
        <v>2226</v>
      </c>
      <c r="BJ1361" s="546">
        <v>1</v>
      </c>
      <c r="BK1361" s="294">
        <v>1</v>
      </c>
      <c r="BL1361" s="157">
        <v>1</v>
      </c>
      <c r="BM1361" s="548" t="s">
        <v>578</v>
      </c>
      <c r="BN1361" s="548" t="s">
        <v>578</v>
      </c>
      <c r="BO1361" s="157" t="s">
        <v>4310</v>
      </c>
      <c r="BP1361" s="548" t="s">
        <v>2226</v>
      </c>
      <c r="BQ1361" s="157" t="s">
        <v>4309</v>
      </c>
      <c r="BR1361" s="157"/>
    </row>
    <row r="1362" spans="1:70" x14ac:dyDescent="0.25">
      <c r="A1362" s="19" t="s">
        <v>3686</v>
      </c>
      <c r="B1362" s="37" t="s">
        <v>1432</v>
      </c>
      <c r="C1362" s="90">
        <v>44801.888969907406</v>
      </c>
      <c r="D1362" s="114">
        <v>44801.638969907406</v>
      </c>
      <c r="E1362" s="38">
        <v>44801</v>
      </c>
      <c r="F1362" s="91">
        <v>2022</v>
      </c>
      <c r="G1362" s="93">
        <v>8</v>
      </c>
      <c r="H1362" s="37" t="s">
        <v>1433</v>
      </c>
      <c r="I1362" s="37" t="s">
        <v>146</v>
      </c>
      <c r="J1362" s="103">
        <v>-92.621358074334097</v>
      </c>
      <c r="K1362" s="40">
        <v>44.87509870440222</v>
      </c>
      <c r="L1362" s="74"/>
      <c r="M1362" s="272" t="s">
        <v>1434</v>
      </c>
      <c r="N1362" s="74">
        <v>1</v>
      </c>
      <c r="O1362" s="94"/>
      <c r="P1362" s="118">
        <v>1</v>
      </c>
      <c r="Q1362" s="510">
        <v>80</v>
      </c>
      <c r="R1362" s="513">
        <v>120</v>
      </c>
      <c r="S1362" s="41"/>
      <c r="T1362" s="40"/>
      <c r="U1362" s="40">
        <v>7</v>
      </c>
      <c r="V1362" s="119">
        <v>1</v>
      </c>
      <c r="W1362" s="40">
        <v>200</v>
      </c>
      <c r="X1362" s="119">
        <v>1</v>
      </c>
      <c r="Y1362" s="40">
        <v>60</v>
      </c>
      <c r="Z1362" s="119">
        <v>1</v>
      </c>
      <c r="AA1362" s="368">
        <v>0</v>
      </c>
      <c r="AB1362" s="535">
        <v>5</v>
      </c>
      <c r="AC1362" s="39" t="s">
        <v>160</v>
      </c>
      <c r="AD1362" s="75" t="s">
        <v>10</v>
      </c>
      <c r="AE1362" s="95">
        <v>0</v>
      </c>
      <c r="AF1362" s="75">
        <v>0</v>
      </c>
      <c r="AG1362" s="75">
        <v>0</v>
      </c>
      <c r="AH1362" s="75">
        <v>0</v>
      </c>
      <c r="AI1362" s="75">
        <v>0</v>
      </c>
      <c r="AJ1362" s="75">
        <v>0</v>
      </c>
      <c r="AK1362" s="75">
        <v>0</v>
      </c>
      <c r="AL1362" s="95">
        <v>1</v>
      </c>
      <c r="AM1362" s="92">
        <v>0</v>
      </c>
      <c r="AN1362" s="79" t="s">
        <v>81</v>
      </c>
      <c r="AO1362" s="75">
        <v>1</v>
      </c>
      <c r="AP1362" s="75" t="s">
        <v>85</v>
      </c>
      <c r="AQ1362" s="122">
        <v>1</v>
      </c>
      <c r="AR1362" s="515" t="s">
        <v>10</v>
      </c>
      <c r="AS1362" s="95">
        <v>0</v>
      </c>
      <c r="AT1362" s="75">
        <v>0</v>
      </c>
      <c r="AU1362" s="75">
        <v>0</v>
      </c>
      <c r="AV1362" s="75">
        <v>0</v>
      </c>
      <c r="AW1362" s="123">
        <v>0</v>
      </c>
      <c r="AX1362" s="516"/>
      <c r="AY1362" s="75">
        <v>0</v>
      </c>
      <c r="AZ1362" s="77" t="s">
        <v>131</v>
      </c>
      <c r="BA1362" s="78" t="s">
        <v>131</v>
      </c>
      <c r="BB1362" s="78" t="s">
        <v>131</v>
      </c>
      <c r="BC1362" s="78" t="s">
        <v>131</v>
      </c>
      <c r="BD1362" s="78" t="s">
        <v>131</v>
      </c>
      <c r="BE1362" s="78" t="s">
        <v>131</v>
      </c>
      <c r="BF1362" s="78" t="s">
        <v>131</v>
      </c>
      <c r="BG1362" s="78" t="s">
        <v>132</v>
      </c>
      <c r="BH1362" s="75" t="s">
        <v>5970</v>
      </c>
      <c r="BI1362" s="295" t="s">
        <v>2227</v>
      </c>
      <c r="BJ1362" s="546">
        <v>1</v>
      </c>
      <c r="BK1362" s="294" t="s">
        <v>16</v>
      </c>
      <c r="BL1362" s="157" t="s">
        <v>16</v>
      </c>
      <c r="BM1362" s="548" t="s">
        <v>578</v>
      </c>
      <c r="BN1362" s="548" t="s">
        <v>4159</v>
      </c>
      <c r="BO1362" s="157" t="s">
        <v>4311</v>
      </c>
      <c r="BP1362" s="548" t="s">
        <v>4395</v>
      </c>
      <c r="BQ1362" s="157" t="s">
        <v>4309</v>
      </c>
      <c r="BR1362" s="157"/>
    </row>
    <row r="1363" spans="1:70" x14ac:dyDescent="0.25">
      <c r="A1363" s="19" t="s">
        <v>3686</v>
      </c>
      <c r="B1363" s="37" t="s">
        <v>1435</v>
      </c>
      <c r="C1363" s="90">
        <v>44801.848483796297</v>
      </c>
      <c r="D1363" s="114">
        <v>44801.598483796297</v>
      </c>
      <c r="E1363" s="38">
        <v>44801</v>
      </c>
      <c r="F1363" s="91">
        <v>2022</v>
      </c>
      <c r="G1363" s="93">
        <v>8</v>
      </c>
      <c r="H1363" s="37" t="s">
        <v>201</v>
      </c>
      <c r="I1363" s="37" t="s">
        <v>360</v>
      </c>
      <c r="J1363" s="103">
        <v>-92.643879217422239</v>
      </c>
      <c r="K1363" s="40">
        <v>44.843066808737227</v>
      </c>
      <c r="L1363" s="74"/>
      <c r="M1363" s="272" t="s">
        <v>16</v>
      </c>
      <c r="N1363" s="74">
        <v>0</v>
      </c>
      <c r="O1363" s="94"/>
      <c r="P1363" s="118">
        <v>1</v>
      </c>
      <c r="Q1363" s="510">
        <v>180</v>
      </c>
      <c r="R1363" s="513">
        <v>180</v>
      </c>
      <c r="S1363" s="41"/>
      <c r="T1363" s="40"/>
      <c r="U1363" s="40">
        <v>7</v>
      </c>
      <c r="V1363" s="119">
        <v>1</v>
      </c>
      <c r="W1363" s="40">
        <v>0</v>
      </c>
      <c r="X1363" s="119">
        <v>1</v>
      </c>
      <c r="Y1363" s="40">
        <v>57</v>
      </c>
      <c r="Z1363" s="119">
        <v>1</v>
      </c>
      <c r="AA1363" s="368">
        <v>0</v>
      </c>
      <c r="AB1363" s="535">
        <v>2</v>
      </c>
      <c r="AC1363" s="39" t="s">
        <v>160</v>
      </c>
      <c r="AD1363" s="75" t="s">
        <v>8</v>
      </c>
      <c r="AE1363" s="95">
        <v>0</v>
      </c>
      <c r="AF1363" s="75">
        <v>1</v>
      </c>
      <c r="AG1363" s="75">
        <v>0</v>
      </c>
      <c r="AH1363" s="75">
        <v>0</v>
      </c>
      <c r="AI1363" s="75">
        <v>0</v>
      </c>
      <c r="AJ1363" s="75">
        <v>0</v>
      </c>
      <c r="AK1363" s="75">
        <v>0</v>
      </c>
      <c r="AL1363" s="95">
        <v>0</v>
      </c>
      <c r="AM1363" s="92">
        <v>0</v>
      </c>
      <c r="AN1363" s="79" t="s">
        <v>80</v>
      </c>
      <c r="AO1363" s="75">
        <v>1</v>
      </c>
      <c r="AP1363" s="75" t="s">
        <v>83</v>
      </c>
      <c r="AQ1363" s="122">
        <v>1</v>
      </c>
      <c r="AR1363" s="515" t="s">
        <v>13</v>
      </c>
      <c r="AS1363" s="95">
        <v>1</v>
      </c>
      <c r="AT1363" s="75">
        <v>0</v>
      </c>
      <c r="AU1363" s="75">
        <v>0</v>
      </c>
      <c r="AV1363" s="75">
        <v>0</v>
      </c>
      <c r="AW1363" s="123">
        <v>0</v>
      </c>
      <c r="AX1363" s="516" t="s">
        <v>1356</v>
      </c>
      <c r="AY1363" s="75">
        <v>1</v>
      </c>
      <c r="AZ1363" s="77" t="s">
        <v>131</v>
      </c>
      <c r="BA1363" s="78" t="s">
        <v>132</v>
      </c>
      <c r="BB1363" s="78" t="s">
        <v>131</v>
      </c>
      <c r="BC1363" s="78" t="s">
        <v>131</v>
      </c>
      <c r="BD1363" s="78" t="s">
        <v>131</v>
      </c>
      <c r="BE1363" s="78" t="s">
        <v>131</v>
      </c>
      <c r="BF1363" s="78" t="s">
        <v>131</v>
      </c>
      <c r="BG1363" s="78" t="s">
        <v>131</v>
      </c>
      <c r="BH1363" s="75" t="s">
        <v>5970</v>
      </c>
      <c r="BI1363" s="295" t="s">
        <v>2227</v>
      </c>
      <c r="BJ1363" s="546">
        <v>1</v>
      </c>
      <c r="BK1363" s="294" t="s">
        <v>16</v>
      </c>
      <c r="BL1363" s="157" t="s">
        <v>16</v>
      </c>
      <c r="BM1363" s="548" t="s">
        <v>578</v>
      </c>
      <c r="BN1363" s="548" t="s">
        <v>578</v>
      </c>
      <c r="BO1363" s="157" t="s">
        <v>4341</v>
      </c>
      <c r="BP1363" s="548" t="s">
        <v>4343</v>
      </c>
      <c r="BQ1363" s="157" t="s">
        <v>4309</v>
      </c>
      <c r="BR1363" s="157"/>
    </row>
    <row r="1364" spans="1:70" x14ac:dyDescent="0.25">
      <c r="A1364" s="19" t="s">
        <v>3686</v>
      </c>
      <c r="B1364" s="37" t="s">
        <v>1436</v>
      </c>
      <c r="C1364" s="90">
        <v>44801.835509259261</v>
      </c>
      <c r="D1364" s="114">
        <v>44801.585509259261</v>
      </c>
      <c r="E1364" s="38">
        <v>44801</v>
      </c>
      <c r="F1364" s="91">
        <v>2022</v>
      </c>
      <c r="G1364" s="93">
        <v>8</v>
      </c>
      <c r="H1364" s="37" t="s">
        <v>201</v>
      </c>
      <c r="I1364" s="37" t="s">
        <v>337</v>
      </c>
      <c r="J1364" s="103">
        <v>-92.643962501359397</v>
      </c>
      <c r="K1364" s="40">
        <v>44.844413325591908</v>
      </c>
      <c r="L1364" s="74"/>
      <c r="M1364" s="272" t="s">
        <v>1437</v>
      </c>
      <c r="N1364" s="74">
        <v>1</v>
      </c>
      <c r="O1364" s="94"/>
      <c r="P1364" s="118">
        <v>1</v>
      </c>
      <c r="Q1364" s="510">
        <v>180</v>
      </c>
      <c r="R1364" s="513">
        <v>120</v>
      </c>
      <c r="S1364" s="41"/>
      <c r="T1364" s="40"/>
      <c r="U1364" s="40">
        <v>7</v>
      </c>
      <c r="V1364" s="119">
        <v>1</v>
      </c>
      <c r="W1364" s="40">
        <v>100</v>
      </c>
      <c r="X1364" s="119">
        <v>1</v>
      </c>
      <c r="Y1364" s="40">
        <v>63</v>
      </c>
      <c r="Z1364" s="119">
        <v>1</v>
      </c>
      <c r="AA1364" s="368">
        <v>0</v>
      </c>
      <c r="AB1364" s="535">
        <v>2</v>
      </c>
      <c r="AC1364" s="39" t="s">
        <v>160</v>
      </c>
      <c r="AD1364" s="75" t="s">
        <v>1438</v>
      </c>
      <c r="AE1364" s="95">
        <v>0</v>
      </c>
      <c r="AF1364" s="75">
        <v>1</v>
      </c>
      <c r="AG1364" s="75">
        <v>0</v>
      </c>
      <c r="AH1364" s="75">
        <v>0</v>
      </c>
      <c r="AI1364" s="75">
        <v>0</v>
      </c>
      <c r="AJ1364" s="75">
        <v>0</v>
      </c>
      <c r="AK1364" s="75">
        <v>1</v>
      </c>
      <c r="AL1364" s="95">
        <v>0</v>
      </c>
      <c r="AM1364" s="92">
        <v>0</v>
      </c>
      <c r="AN1364" s="79" t="s">
        <v>81</v>
      </c>
      <c r="AO1364" s="75">
        <v>1</v>
      </c>
      <c r="AP1364" s="75" t="s">
        <v>84</v>
      </c>
      <c r="AQ1364" s="122">
        <v>1</v>
      </c>
      <c r="AR1364" s="515" t="s">
        <v>13</v>
      </c>
      <c r="AS1364" s="95">
        <v>1</v>
      </c>
      <c r="AT1364" s="75">
        <v>0</v>
      </c>
      <c r="AU1364" s="75">
        <v>0</v>
      </c>
      <c r="AV1364" s="75">
        <v>0</v>
      </c>
      <c r="AW1364" s="123">
        <v>0</v>
      </c>
      <c r="AX1364" s="516" t="s">
        <v>1439</v>
      </c>
      <c r="AY1364" s="75">
        <v>1</v>
      </c>
      <c r="AZ1364" s="77" t="s">
        <v>131</v>
      </c>
      <c r="BA1364" s="78" t="s">
        <v>132</v>
      </c>
      <c r="BB1364" s="78" t="s">
        <v>131</v>
      </c>
      <c r="BC1364" s="78" t="s">
        <v>131</v>
      </c>
      <c r="BD1364" s="78" t="s">
        <v>131</v>
      </c>
      <c r="BE1364" s="78" t="s">
        <v>131</v>
      </c>
      <c r="BF1364" s="78" t="s">
        <v>132</v>
      </c>
      <c r="BG1364" s="78" t="s">
        <v>131</v>
      </c>
      <c r="BH1364" s="75" t="s">
        <v>5970</v>
      </c>
      <c r="BI1364" s="295" t="s">
        <v>2227</v>
      </c>
      <c r="BJ1364" s="546">
        <v>1</v>
      </c>
      <c r="BK1364" s="294">
        <v>1</v>
      </c>
      <c r="BL1364" s="157">
        <v>1</v>
      </c>
      <c r="BM1364" s="548" t="s">
        <v>578</v>
      </c>
      <c r="BN1364" s="548" t="s">
        <v>578</v>
      </c>
      <c r="BO1364" s="157" t="s">
        <v>4341</v>
      </c>
      <c r="BP1364" s="548" t="s">
        <v>4343</v>
      </c>
      <c r="BQ1364" s="157" t="s">
        <v>4309</v>
      </c>
      <c r="BR1364" s="157"/>
    </row>
    <row r="1365" spans="1:70" x14ac:dyDescent="0.25">
      <c r="A1365" s="19" t="s">
        <v>3686</v>
      </c>
      <c r="B1365" s="37" t="s">
        <v>1440</v>
      </c>
      <c r="C1365" s="90">
        <v>44801.826481481483</v>
      </c>
      <c r="D1365" s="114">
        <v>44801.576481481483</v>
      </c>
      <c r="E1365" s="38">
        <v>44801</v>
      </c>
      <c r="F1365" s="91">
        <v>2022</v>
      </c>
      <c r="G1365" s="93">
        <v>8</v>
      </c>
      <c r="H1365" s="37" t="s">
        <v>1433</v>
      </c>
      <c r="I1365" s="37"/>
      <c r="J1365" s="103">
        <v>-92.636544322681274</v>
      </c>
      <c r="K1365" s="40">
        <v>44.854519581463983</v>
      </c>
      <c r="L1365" s="74"/>
      <c r="M1365" s="272" t="s">
        <v>16</v>
      </c>
      <c r="N1365" s="74">
        <v>0</v>
      </c>
      <c r="O1365" s="94"/>
      <c r="P1365" s="118">
        <v>1</v>
      </c>
      <c r="Q1365" s="510">
        <v>120</v>
      </c>
      <c r="R1365" s="513">
        <v>120</v>
      </c>
      <c r="S1365" s="41"/>
      <c r="T1365" s="40"/>
      <c r="U1365" s="40">
        <v>7.5</v>
      </c>
      <c r="V1365" s="119">
        <v>1</v>
      </c>
      <c r="W1365" s="40">
        <v>200</v>
      </c>
      <c r="X1365" s="119">
        <v>1</v>
      </c>
      <c r="Y1365" s="40">
        <v>62</v>
      </c>
      <c r="Z1365" s="119">
        <v>1</v>
      </c>
      <c r="AA1365" s="368">
        <v>0</v>
      </c>
      <c r="AB1365" s="535">
        <v>5</v>
      </c>
      <c r="AC1365" s="39" t="s">
        <v>160</v>
      </c>
      <c r="AD1365" s="75" t="s">
        <v>9</v>
      </c>
      <c r="AE1365" s="95">
        <v>0</v>
      </c>
      <c r="AF1365" s="75">
        <v>0</v>
      </c>
      <c r="AG1365" s="75">
        <v>1</v>
      </c>
      <c r="AH1365" s="75">
        <v>0</v>
      </c>
      <c r="AI1365" s="75">
        <v>0</v>
      </c>
      <c r="AJ1365" s="75">
        <v>0</v>
      </c>
      <c r="AK1365" s="75">
        <v>0</v>
      </c>
      <c r="AL1365" s="95">
        <v>0</v>
      </c>
      <c r="AM1365" s="92">
        <v>0</v>
      </c>
      <c r="AN1365" s="79" t="s">
        <v>80</v>
      </c>
      <c r="AO1365" s="75">
        <v>1</v>
      </c>
      <c r="AP1365" s="75" t="s">
        <v>84</v>
      </c>
      <c r="AQ1365" s="122">
        <v>1</v>
      </c>
      <c r="AR1365" s="515" t="s">
        <v>10</v>
      </c>
      <c r="AS1365" s="95">
        <v>0</v>
      </c>
      <c r="AT1365" s="75">
        <v>0</v>
      </c>
      <c r="AU1365" s="75">
        <v>0</v>
      </c>
      <c r="AV1365" s="75">
        <v>0</v>
      </c>
      <c r="AW1365" s="123">
        <v>0</v>
      </c>
      <c r="AX1365" s="516" t="s">
        <v>1441</v>
      </c>
      <c r="AY1365" s="75">
        <v>1</v>
      </c>
      <c r="AZ1365" s="77" t="s">
        <v>131</v>
      </c>
      <c r="BA1365" s="78" t="s">
        <v>131</v>
      </c>
      <c r="BB1365" s="78" t="s">
        <v>132</v>
      </c>
      <c r="BC1365" s="78" t="s">
        <v>131</v>
      </c>
      <c r="BD1365" s="78" t="s">
        <v>131</v>
      </c>
      <c r="BE1365" s="78" t="s">
        <v>131</v>
      </c>
      <c r="BF1365" s="78" t="s">
        <v>131</v>
      </c>
      <c r="BG1365" s="78" t="s">
        <v>131</v>
      </c>
      <c r="BH1365" s="75" t="s">
        <v>5970</v>
      </c>
      <c r="BI1365" s="295" t="s">
        <v>2227</v>
      </c>
      <c r="BJ1365" s="546">
        <v>1</v>
      </c>
      <c r="BK1365" s="294">
        <v>1</v>
      </c>
      <c r="BL1365" s="157">
        <v>1</v>
      </c>
      <c r="BM1365" s="548" t="s">
        <v>578</v>
      </c>
      <c r="BN1365" s="548" t="s">
        <v>4159</v>
      </c>
      <c r="BO1365" s="157" t="s">
        <v>4341</v>
      </c>
      <c r="BP1365" s="548" t="s">
        <v>4343</v>
      </c>
      <c r="BQ1365" s="157" t="s">
        <v>4309</v>
      </c>
      <c r="BR1365" s="157"/>
    </row>
    <row r="1366" spans="1:70" x14ac:dyDescent="0.25">
      <c r="A1366" s="19" t="s">
        <v>3686</v>
      </c>
      <c r="B1366" s="37" t="s">
        <v>2214</v>
      </c>
      <c r="C1366" s="90">
        <v>44801.819780092592</v>
      </c>
      <c r="D1366" s="114">
        <v>44801.569780092592</v>
      </c>
      <c r="E1366" s="38">
        <v>44801</v>
      </c>
      <c r="F1366" s="91">
        <v>2022</v>
      </c>
      <c r="G1366" s="93">
        <v>8</v>
      </c>
      <c r="H1366" s="37" t="s">
        <v>596</v>
      </c>
      <c r="I1366" s="37" t="s">
        <v>360</v>
      </c>
      <c r="J1366" s="103">
        <v>-92.643599199999997</v>
      </c>
      <c r="K1366" s="40">
        <v>44.842699400000001</v>
      </c>
      <c r="L1366" s="74"/>
      <c r="M1366" s="272" t="s">
        <v>16</v>
      </c>
      <c r="N1366" s="74">
        <v>0</v>
      </c>
      <c r="O1366" s="94"/>
      <c r="P1366" s="118">
        <v>1</v>
      </c>
      <c r="Q1366" s="510">
        <v>80</v>
      </c>
      <c r="R1366" s="513">
        <v>120</v>
      </c>
      <c r="S1366" s="41"/>
      <c r="T1366" s="40"/>
      <c r="U1366" s="40">
        <v>7.5</v>
      </c>
      <c r="V1366" s="119">
        <v>1</v>
      </c>
      <c r="W1366" s="40">
        <v>100</v>
      </c>
      <c r="X1366" s="119">
        <v>1</v>
      </c>
      <c r="Y1366" s="40">
        <v>57</v>
      </c>
      <c r="Z1366" s="119">
        <v>0</v>
      </c>
      <c r="AA1366" s="368" t="s">
        <v>16</v>
      </c>
      <c r="AB1366" s="535" t="s">
        <v>16</v>
      </c>
      <c r="AC1366" s="39" t="s">
        <v>160</v>
      </c>
      <c r="AD1366" s="75" t="s">
        <v>10</v>
      </c>
      <c r="AE1366" s="95">
        <v>0</v>
      </c>
      <c r="AF1366" s="75">
        <v>0</v>
      </c>
      <c r="AG1366" s="75">
        <v>0</v>
      </c>
      <c r="AH1366" s="75">
        <v>0</v>
      </c>
      <c r="AI1366" s="75">
        <v>0</v>
      </c>
      <c r="AJ1366" s="75">
        <v>0</v>
      </c>
      <c r="AK1366" s="75">
        <v>0</v>
      </c>
      <c r="AL1366" s="95">
        <v>1</v>
      </c>
      <c r="AM1366" s="92">
        <v>0</v>
      </c>
      <c r="AN1366" s="79" t="s">
        <v>81</v>
      </c>
      <c r="AO1366" s="75">
        <v>1</v>
      </c>
      <c r="AP1366" s="75" t="s">
        <v>83</v>
      </c>
      <c r="AQ1366" s="122">
        <v>1</v>
      </c>
      <c r="AR1366" s="515" t="s">
        <v>13</v>
      </c>
      <c r="AS1366" s="95">
        <v>1</v>
      </c>
      <c r="AT1366" s="75">
        <v>0</v>
      </c>
      <c r="AU1366" s="75">
        <v>0</v>
      </c>
      <c r="AV1366" s="75">
        <v>0</v>
      </c>
      <c r="AW1366" s="123">
        <v>0</v>
      </c>
      <c r="AX1366" s="516"/>
      <c r="AY1366" s="75">
        <v>0</v>
      </c>
      <c r="AZ1366" s="77" t="s">
        <v>131</v>
      </c>
      <c r="BA1366" s="78" t="s">
        <v>131</v>
      </c>
      <c r="BB1366" s="78" t="s">
        <v>131</v>
      </c>
      <c r="BC1366" s="78" t="s">
        <v>131</v>
      </c>
      <c r="BD1366" s="78" t="s">
        <v>131</v>
      </c>
      <c r="BE1366" s="78" t="s">
        <v>131</v>
      </c>
      <c r="BF1366" s="78" t="s">
        <v>131</v>
      </c>
      <c r="BG1366" s="78" t="s">
        <v>132</v>
      </c>
      <c r="BH1366" s="75" t="s">
        <v>5970</v>
      </c>
      <c r="BI1366" s="295" t="s">
        <v>2227</v>
      </c>
      <c r="BJ1366" s="546">
        <v>1</v>
      </c>
      <c r="BK1366" s="294" t="s">
        <v>16</v>
      </c>
      <c r="BL1366" s="157" t="s">
        <v>16</v>
      </c>
      <c r="BM1366" s="548" t="s">
        <v>578</v>
      </c>
      <c r="BN1366" s="548" t="s">
        <v>578</v>
      </c>
      <c r="BO1366" s="157" t="s">
        <v>4341</v>
      </c>
      <c r="BP1366" s="548" t="s">
        <v>4343</v>
      </c>
      <c r="BQ1366" s="157" t="s">
        <v>4309</v>
      </c>
      <c r="BR1366" s="157"/>
    </row>
    <row r="1367" spans="1:70" x14ac:dyDescent="0.25">
      <c r="A1367" s="19" t="s">
        <v>3686</v>
      </c>
      <c r="B1367" s="37" t="s">
        <v>1442</v>
      </c>
      <c r="C1367" s="90">
        <v>44801.801157407404</v>
      </c>
      <c r="D1367" s="114">
        <v>44801.551157407404</v>
      </c>
      <c r="E1367" s="38">
        <v>44801</v>
      </c>
      <c r="F1367" s="91">
        <v>2022</v>
      </c>
      <c r="G1367" s="93">
        <v>8</v>
      </c>
      <c r="H1367" s="37" t="s">
        <v>1433</v>
      </c>
      <c r="I1367" s="37" t="s">
        <v>146</v>
      </c>
      <c r="J1367" s="103">
        <v>-92.631907956760955</v>
      </c>
      <c r="K1367" s="40">
        <v>44.855548711535384</v>
      </c>
      <c r="L1367" s="74"/>
      <c r="M1367" s="272" t="s">
        <v>16</v>
      </c>
      <c r="N1367" s="74">
        <v>0</v>
      </c>
      <c r="O1367" s="94"/>
      <c r="P1367" s="118">
        <v>0</v>
      </c>
      <c r="Q1367" s="510"/>
      <c r="R1367" s="513"/>
      <c r="S1367" s="41"/>
      <c r="T1367" s="40"/>
      <c r="U1367" s="40"/>
      <c r="V1367" s="119">
        <v>1</v>
      </c>
      <c r="W1367" s="40">
        <v>100</v>
      </c>
      <c r="X1367" s="119">
        <v>1</v>
      </c>
      <c r="Y1367" s="40">
        <v>62</v>
      </c>
      <c r="Z1367" s="119">
        <v>0</v>
      </c>
      <c r="AA1367" s="368" t="s">
        <v>16</v>
      </c>
      <c r="AB1367" s="535" t="s">
        <v>16</v>
      </c>
      <c r="AC1367" s="39" t="s">
        <v>160</v>
      </c>
      <c r="AD1367" s="75" t="s">
        <v>427</v>
      </c>
      <c r="AE1367" s="95">
        <v>0</v>
      </c>
      <c r="AF1367" s="75">
        <v>0</v>
      </c>
      <c r="AG1367" s="75">
        <v>0</v>
      </c>
      <c r="AH1367" s="75">
        <v>0</v>
      </c>
      <c r="AI1367" s="75">
        <v>0</v>
      </c>
      <c r="AJ1367" s="75">
        <v>1</v>
      </c>
      <c r="AK1367" s="75">
        <v>0</v>
      </c>
      <c r="AL1367" s="95">
        <v>0</v>
      </c>
      <c r="AM1367" s="92">
        <v>0</v>
      </c>
      <c r="AN1367" s="79" t="s">
        <v>80</v>
      </c>
      <c r="AO1367" s="75">
        <v>1</v>
      </c>
      <c r="AP1367" s="75" t="s">
        <v>84</v>
      </c>
      <c r="AQ1367" s="122">
        <v>1</v>
      </c>
      <c r="AR1367" s="515" t="s">
        <v>10</v>
      </c>
      <c r="AS1367" s="95">
        <v>0</v>
      </c>
      <c r="AT1367" s="75">
        <v>0</v>
      </c>
      <c r="AU1367" s="75">
        <v>0</v>
      </c>
      <c r="AV1367" s="75">
        <v>0</v>
      </c>
      <c r="AW1367" s="123">
        <v>0</v>
      </c>
      <c r="AX1367" s="516" t="s">
        <v>1443</v>
      </c>
      <c r="AY1367" s="75">
        <v>1</v>
      </c>
      <c r="AZ1367" s="77" t="s">
        <v>131</v>
      </c>
      <c r="BA1367" s="78" t="s">
        <v>131</v>
      </c>
      <c r="BB1367" s="78" t="s">
        <v>131</v>
      </c>
      <c r="BC1367" s="78" t="s">
        <v>131</v>
      </c>
      <c r="BD1367" s="78" t="s">
        <v>131</v>
      </c>
      <c r="BE1367" s="78" t="s">
        <v>132</v>
      </c>
      <c r="BF1367" s="78" t="s">
        <v>131</v>
      </c>
      <c r="BG1367" s="78" t="s">
        <v>131</v>
      </c>
      <c r="BH1367" s="75" t="s">
        <v>5970</v>
      </c>
      <c r="BI1367" s="295" t="s">
        <v>2227</v>
      </c>
      <c r="BJ1367" s="546">
        <v>1</v>
      </c>
      <c r="BK1367" s="294">
        <v>1</v>
      </c>
      <c r="BL1367" s="157">
        <v>1</v>
      </c>
      <c r="BM1367" s="548" t="s">
        <v>578</v>
      </c>
      <c r="BN1367" s="548" t="s">
        <v>4159</v>
      </c>
      <c r="BO1367" s="157" t="s">
        <v>4311</v>
      </c>
      <c r="BP1367" s="548" t="s">
        <v>4395</v>
      </c>
      <c r="BQ1367" s="157" t="s">
        <v>4309</v>
      </c>
      <c r="BR1367" s="157"/>
    </row>
    <row r="1368" spans="1:70" x14ac:dyDescent="0.25">
      <c r="A1368" s="19" t="s">
        <v>3686</v>
      </c>
      <c r="B1368" s="37" t="s">
        <v>1444</v>
      </c>
      <c r="C1368" s="90">
        <v>44801.792581018519</v>
      </c>
      <c r="D1368" s="114">
        <v>44801.542581018519</v>
      </c>
      <c r="E1368" s="38">
        <v>44801</v>
      </c>
      <c r="F1368" s="91">
        <v>2022</v>
      </c>
      <c r="G1368" s="93">
        <v>8</v>
      </c>
      <c r="H1368" s="37" t="s">
        <v>201</v>
      </c>
      <c r="I1368" s="37"/>
      <c r="J1368" s="103">
        <v>-92.732164455093525</v>
      </c>
      <c r="K1368" s="40">
        <v>44.831122643998675</v>
      </c>
      <c r="L1368" s="74"/>
      <c r="M1368" s="272" t="s">
        <v>16</v>
      </c>
      <c r="N1368" s="74">
        <v>0</v>
      </c>
      <c r="O1368" s="94"/>
      <c r="P1368" s="118">
        <v>1</v>
      </c>
      <c r="Q1368" s="510">
        <v>180</v>
      </c>
      <c r="R1368" s="513">
        <v>120</v>
      </c>
      <c r="S1368" s="41"/>
      <c r="T1368" s="40"/>
      <c r="U1368" s="40">
        <v>7</v>
      </c>
      <c r="V1368" s="119">
        <v>1</v>
      </c>
      <c r="W1368" s="40">
        <v>100</v>
      </c>
      <c r="X1368" s="119">
        <v>1</v>
      </c>
      <c r="Y1368" s="40">
        <v>64</v>
      </c>
      <c r="Z1368" s="119">
        <v>1</v>
      </c>
      <c r="AA1368" s="368">
        <v>0</v>
      </c>
      <c r="AB1368" s="535">
        <v>2</v>
      </c>
      <c r="AC1368" s="39" t="s">
        <v>160</v>
      </c>
      <c r="AD1368" s="75" t="s">
        <v>8</v>
      </c>
      <c r="AE1368" s="95">
        <v>0</v>
      </c>
      <c r="AF1368" s="75">
        <v>1</v>
      </c>
      <c r="AG1368" s="75">
        <v>0</v>
      </c>
      <c r="AH1368" s="75">
        <v>0</v>
      </c>
      <c r="AI1368" s="75">
        <v>0</v>
      </c>
      <c r="AJ1368" s="75">
        <v>0</v>
      </c>
      <c r="AK1368" s="75">
        <v>0</v>
      </c>
      <c r="AL1368" s="95">
        <v>0</v>
      </c>
      <c r="AM1368" s="92">
        <v>0</v>
      </c>
      <c r="AN1368" s="79" t="s">
        <v>81</v>
      </c>
      <c r="AO1368" s="75">
        <v>1</v>
      </c>
      <c r="AP1368" s="75" t="s">
        <v>84</v>
      </c>
      <c r="AQ1368" s="122">
        <v>1</v>
      </c>
      <c r="AR1368" s="515" t="s">
        <v>13</v>
      </c>
      <c r="AS1368" s="95">
        <v>1</v>
      </c>
      <c r="AT1368" s="75">
        <v>0</v>
      </c>
      <c r="AU1368" s="75">
        <v>0</v>
      </c>
      <c r="AV1368" s="75">
        <v>0</v>
      </c>
      <c r="AW1368" s="123">
        <v>0</v>
      </c>
      <c r="AX1368" s="516" t="s">
        <v>1445</v>
      </c>
      <c r="AY1368" s="75">
        <v>1</v>
      </c>
      <c r="AZ1368" s="77" t="s">
        <v>131</v>
      </c>
      <c r="BA1368" s="78" t="s">
        <v>132</v>
      </c>
      <c r="BB1368" s="78" t="s">
        <v>131</v>
      </c>
      <c r="BC1368" s="78" t="s">
        <v>131</v>
      </c>
      <c r="BD1368" s="78" t="s">
        <v>131</v>
      </c>
      <c r="BE1368" s="78" t="s">
        <v>131</v>
      </c>
      <c r="BF1368" s="78" t="s">
        <v>131</v>
      </c>
      <c r="BG1368" s="78" t="s">
        <v>131</v>
      </c>
      <c r="BH1368" s="75" t="s">
        <v>5970</v>
      </c>
      <c r="BI1368" s="295" t="s">
        <v>2227</v>
      </c>
      <c r="BJ1368" s="546">
        <v>1</v>
      </c>
      <c r="BK1368" s="294" t="s">
        <v>16</v>
      </c>
      <c r="BL1368" s="157" t="s">
        <v>16</v>
      </c>
      <c r="BM1368" s="548" t="s">
        <v>578</v>
      </c>
      <c r="BN1368" s="548" t="s">
        <v>578</v>
      </c>
      <c r="BO1368" s="157" t="s">
        <v>4341</v>
      </c>
      <c r="BP1368" s="548" t="s">
        <v>4343</v>
      </c>
      <c r="BQ1368" s="157" t="s">
        <v>4309</v>
      </c>
      <c r="BR1368" s="157"/>
    </row>
    <row r="1369" spans="1:70" x14ac:dyDescent="0.25">
      <c r="A1369" s="19" t="s">
        <v>3686</v>
      </c>
      <c r="B1369" s="37" t="s">
        <v>1446</v>
      </c>
      <c r="C1369" s="90">
        <v>44798.804039351853</v>
      </c>
      <c r="D1369" s="114">
        <v>44798.554039351853</v>
      </c>
      <c r="E1369" s="38">
        <v>44798</v>
      </c>
      <c r="F1369" s="91">
        <v>2022</v>
      </c>
      <c r="G1369" s="93">
        <v>8</v>
      </c>
      <c r="H1369" s="37" t="s">
        <v>1447</v>
      </c>
      <c r="I1369" s="37"/>
      <c r="J1369" s="103">
        <v>-92.823164966043834</v>
      </c>
      <c r="K1369" s="40">
        <v>44.543308611069378</v>
      </c>
      <c r="L1369" s="74"/>
      <c r="M1369" s="272" t="s">
        <v>16</v>
      </c>
      <c r="N1369" s="74">
        <v>0</v>
      </c>
      <c r="O1369" s="94"/>
      <c r="P1369" s="118">
        <v>1</v>
      </c>
      <c r="Q1369" s="510">
        <v>180</v>
      </c>
      <c r="R1369" s="513">
        <v>180</v>
      </c>
      <c r="S1369" s="41"/>
      <c r="T1369" s="40"/>
      <c r="U1369" s="40">
        <v>8</v>
      </c>
      <c r="V1369" s="119">
        <v>1</v>
      </c>
      <c r="W1369" s="40">
        <v>0</v>
      </c>
      <c r="X1369" s="119">
        <v>1</v>
      </c>
      <c r="Y1369" s="40">
        <v>60</v>
      </c>
      <c r="Z1369" s="119">
        <v>1</v>
      </c>
      <c r="AA1369" s="368">
        <v>0</v>
      </c>
      <c r="AB1369" s="535">
        <v>10</v>
      </c>
      <c r="AC1369" s="39" t="s">
        <v>160</v>
      </c>
      <c r="AD1369" s="75" t="s">
        <v>16</v>
      </c>
      <c r="AE1369" s="95">
        <v>-1</v>
      </c>
      <c r="AF1369" s="75">
        <v>-1</v>
      </c>
      <c r="AG1369" s="75">
        <v>-1</v>
      </c>
      <c r="AH1369" s="75">
        <v>-1</v>
      </c>
      <c r="AI1369" s="75">
        <v>-1</v>
      </c>
      <c r="AJ1369" s="75">
        <v>-1</v>
      </c>
      <c r="AK1369" s="75">
        <v>-1</v>
      </c>
      <c r="AL1369" s="95">
        <v>-1</v>
      </c>
      <c r="AM1369" s="92">
        <v>1</v>
      </c>
      <c r="AN1369" s="79"/>
      <c r="AO1369" s="75">
        <v>0</v>
      </c>
      <c r="AP1369" s="75"/>
      <c r="AQ1369" s="122">
        <v>0</v>
      </c>
      <c r="AR1369" s="515" t="s">
        <v>16</v>
      </c>
      <c r="AS1369" s="95">
        <v>-1</v>
      </c>
      <c r="AT1369" s="75">
        <v>-1</v>
      </c>
      <c r="AU1369" s="75">
        <v>-1</v>
      </c>
      <c r="AV1369" s="75">
        <v>-1</v>
      </c>
      <c r="AW1369" s="123">
        <v>1</v>
      </c>
      <c r="AX1369" s="516"/>
      <c r="AY1369" s="75">
        <v>0</v>
      </c>
      <c r="AZ1369" s="77" t="s">
        <v>5971</v>
      </c>
      <c r="BA1369" s="78" t="s">
        <v>5971</v>
      </c>
      <c r="BB1369" s="78" t="s">
        <v>5971</v>
      </c>
      <c r="BC1369" s="78" t="s">
        <v>5971</v>
      </c>
      <c r="BD1369" s="78" t="s">
        <v>5971</v>
      </c>
      <c r="BE1369" s="78" t="s">
        <v>5971</v>
      </c>
      <c r="BF1369" s="78" t="s">
        <v>5971</v>
      </c>
      <c r="BG1369" s="78" t="s">
        <v>5971</v>
      </c>
      <c r="BH1369" s="75" t="s">
        <v>5971</v>
      </c>
      <c r="BI1369" s="295" t="s">
        <v>16</v>
      </c>
      <c r="BJ1369" s="546" t="s">
        <v>16</v>
      </c>
      <c r="BK1369" s="294" t="s">
        <v>16</v>
      </c>
      <c r="BL1369" s="157" t="s">
        <v>16</v>
      </c>
      <c r="BM1369" s="548" t="s">
        <v>2343</v>
      </c>
      <c r="BN1369" s="548" t="s">
        <v>4161</v>
      </c>
      <c r="BO1369" s="157" t="s">
        <v>4390</v>
      </c>
      <c r="BP1369" s="548" t="s">
        <v>4391</v>
      </c>
      <c r="BQ1369" s="157" t="s">
        <v>4389</v>
      </c>
      <c r="BR1369" s="157"/>
    </row>
    <row r="1370" spans="1:70" x14ac:dyDescent="0.25">
      <c r="A1370" s="19" t="s">
        <v>3686</v>
      </c>
      <c r="B1370" s="37" t="s">
        <v>1448</v>
      </c>
      <c r="C1370" s="90">
        <v>44798.536307870374</v>
      </c>
      <c r="D1370" s="114">
        <v>44798.286307870374</v>
      </c>
      <c r="E1370" s="38">
        <v>44798</v>
      </c>
      <c r="F1370" s="91">
        <v>2022</v>
      </c>
      <c r="G1370" s="93">
        <v>8</v>
      </c>
      <c r="H1370" s="37" t="s">
        <v>606</v>
      </c>
      <c r="I1370" s="37" t="s">
        <v>16</v>
      </c>
      <c r="J1370" s="103">
        <v>-92.14585421827968</v>
      </c>
      <c r="K1370" s="40">
        <v>44.238971440573266</v>
      </c>
      <c r="L1370" s="74"/>
      <c r="M1370" s="272" t="s">
        <v>1449</v>
      </c>
      <c r="N1370" s="74">
        <v>1</v>
      </c>
      <c r="O1370" s="94"/>
      <c r="P1370" s="118">
        <v>1</v>
      </c>
      <c r="Q1370" s="510">
        <v>180</v>
      </c>
      <c r="R1370" s="513">
        <v>180</v>
      </c>
      <c r="S1370" s="41"/>
      <c r="T1370" s="40"/>
      <c r="U1370" s="40">
        <v>7</v>
      </c>
      <c r="V1370" s="119">
        <v>1</v>
      </c>
      <c r="W1370" s="40">
        <v>100</v>
      </c>
      <c r="X1370" s="119">
        <v>1</v>
      </c>
      <c r="Y1370" s="40">
        <v>56</v>
      </c>
      <c r="Z1370" s="119">
        <v>1</v>
      </c>
      <c r="AA1370" s="368">
        <v>0</v>
      </c>
      <c r="AB1370" s="535">
        <v>5</v>
      </c>
      <c r="AC1370" s="39" t="s">
        <v>160</v>
      </c>
      <c r="AD1370" s="75" t="s">
        <v>10</v>
      </c>
      <c r="AE1370" s="95">
        <v>0</v>
      </c>
      <c r="AF1370" s="75">
        <v>0</v>
      </c>
      <c r="AG1370" s="75">
        <v>0</v>
      </c>
      <c r="AH1370" s="75">
        <v>0</v>
      </c>
      <c r="AI1370" s="75">
        <v>0</v>
      </c>
      <c r="AJ1370" s="75">
        <v>0</v>
      </c>
      <c r="AK1370" s="75">
        <v>0</v>
      </c>
      <c r="AL1370" s="95">
        <v>1</v>
      </c>
      <c r="AM1370" s="92">
        <v>0</v>
      </c>
      <c r="AN1370" s="79" t="s">
        <v>80</v>
      </c>
      <c r="AO1370" s="75">
        <v>1</v>
      </c>
      <c r="AP1370" s="75" t="s">
        <v>83</v>
      </c>
      <c r="AQ1370" s="122">
        <v>1</v>
      </c>
      <c r="AR1370" s="515" t="s">
        <v>13</v>
      </c>
      <c r="AS1370" s="95">
        <v>1</v>
      </c>
      <c r="AT1370" s="75">
        <v>0</v>
      </c>
      <c r="AU1370" s="75">
        <v>0</v>
      </c>
      <c r="AV1370" s="75">
        <v>0</v>
      </c>
      <c r="AW1370" s="123">
        <v>0</v>
      </c>
      <c r="AX1370" s="516" t="s">
        <v>1450</v>
      </c>
      <c r="AY1370" s="75">
        <v>1</v>
      </c>
      <c r="AZ1370" s="77" t="s">
        <v>131</v>
      </c>
      <c r="BA1370" s="78" t="s">
        <v>131</v>
      </c>
      <c r="BB1370" s="78" t="s">
        <v>131</v>
      </c>
      <c r="BC1370" s="78" t="s">
        <v>131</v>
      </c>
      <c r="BD1370" s="78" t="s">
        <v>131</v>
      </c>
      <c r="BE1370" s="78" t="s">
        <v>131</v>
      </c>
      <c r="BF1370" s="78" t="s">
        <v>131</v>
      </c>
      <c r="BG1370" s="78" t="s">
        <v>132</v>
      </c>
      <c r="BH1370" s="75" t="s">
        <v>5970</v>
      </c>
      <c r="BI1370" s="295" t="s">
        <v>317</v>
      </c>
      <c r="BJ1370" s="546">
        <v>1</v>
      </c>
      <c r="BK1370" s="294">
        <v>1</v>
      </c>
      <c r="BL1370" s="157">
        <v>1</v>
      </c>
      <c r="BM1370" s="548" t="s">
        <v>1339</v>
      </c>
      <c r="BN1370" s="548" t="s">
        <v>1339</v>
      </c>
      <c r="BO1370" s="157" t="s">
        <v>4358</v>
      </c>
      <c r="BP1370" s="548" t="s">
        <v>317</v>
      </c>
      <c r="BQ1370" s="157" t="s">
        <v>4330</v>
      </c>
      <c r="BR1370" s="157"/>
    </row>
    <row r="1371" spans="1:70" x14ac:dyDescent="0.25">
      <c r="A1371" s="19" t="s">
        <v>3686</v>
      </c>
      <c r="B1371" s="37" t="s">
        <v>1451</v>
      </c>
      <c r="C1371" s="90">
        <v>44795.84337962963</v>
      </c>
      <c r="D1371" s="114">
        <v>44795.59337962963</v>
      </c>
      <c r="E1371" s="38">
        <v>44795</v>
      </c>
      <c r="F1371" s="91">
        <v>2022</v>
      </c>
      <c r="G1371" s="93">
        <v>8</v>
      </c>
      <c r="H1371" s="37" t="s">
        <v>624</v>
      </c>
      <c r="I1371" s="37" t="s">
        <v>1452</v>
      </c>
      <c r="J1371" s="103">
        <v>-92.929857232388514</v>
      </c>
      <c r="K1371" s="40">
        <v>44.370050513748602</v>
      </c>
      <c r="L1371" s="74"/>
      <c r="M1371" s="272" t="s">
        <v>16</v>
      </c>
      <c r="N1371" s="74">
        <v>0</v>
      </c>
      <c r="O1371" s="94"/>
      <c r="P1371" s="118">
        <v>1</v>
      </c>
      <c r="Q1371" s="510">
        <v>180</v>
      </c>
      <c r="R1371" s="513">
        <v>180</v>
      </c>
      <c r="S1371" s="41"/>
      <c r="T1371" s="40"/>
      <c r="U1371" s="40">
        <v>8</v>
      </c>
      <c r="V1371" s="119">
        <v>1</v>
      </c>
      <c r="W1371" s="40">
        <v>100</v>
      </c>
      <c r="X1371" s="119">
        <v>1</v>
      </c>
      <c r="Y1371" s="40">
        <v>76</v>
      </c>
      <c r="Z1371" s="119">
        <v>0</v>
      </c>
      <c r="AA1371" s="368" t="s">
        <v>16</v>
      </c>
      <c r="AB1371" s="535" t="s">
        <v>16</v>
      </c>
      <c r="AC1371" s="39" t="s">
        <v>160</v>
      </c>
      <c r="AD1371" s="75" t="s">
        <v>10</v>
      </c>
      <c r="AE1371" s="95">
        <v>0</v>
      </c>
      <c r="AF1371" s="75">
        <v>0</v>
      </c>
      <c r="AG1371" s="75">
        <v>0</v>
      </c>
      <c r="AH1371" s="75">
        <v>0</v>
      </c>
      <c r="AI1371" s="75">
        <v>0</v>
      </c>
      <c r="AJ1371" s="75">
        <v>0</v>
      </c>
      <c r="AK1371" s="75">
        <v>0</v>
      </c>
      <c r="AL1371" s="95">
        <v>1</v>
      </c>
      <c r="AM1371" s="92">
        <v>0</v>
      </c>
      <c r="AN1371" s="79" t="s">
        <v>80</v>
      </c>
      <c r="AO1371" s="75">
        <v>1</v>
      </c>
      <c r="AP1371" s="75" t="s">
        <v>84</v>
      </c>
      <c r="AQ1371" s="122">
        <v>1</v>
      </c>
      <c r="AR1371" s="515" t="s">
        <v>10</v>
      </c>
      <c r="AS1371" s="95">
        <v>0</v>
      </c>
      <c r="AT1371" s="75">
        <v>0</v>
      </c>
      <c r="AU1371" s="75">
        <v>0</v>
      </c>
      <c r="AV1371" s="75">
        <v>0</v>
      </c>
      <c r="AW1371" s="123">
        <v>0</v>
      </c>
      <c r="AX1371" s="516"/>
      <c r="AY1371" s="75">
        <v>0</v>
      </c>
      <c r="AZ1371" s="77" t="s">
        <v>131</v>
      </c>
      <c r="BA1371" s="78" t="s">
        <v>131</v>
      </c>
      <c r="BB1371" s="78" t="s">
        <v>131</v>
      </c>
      <c r="BC1371" s="78" t="s">
        <v>131</v>
      </c>
      <c r="BD1371" s="78" t="s">
        <v>131</v>
      </c>
      <c r="BE1371" s="78" t="s">
        <v>131</v>
      </c>
      <c r="BF1371" s="78" t="s">
        <v>131</v>
      </c>
      <c r="BG1371" s="78" t="s">
        <v>132</v>
      </c>
      <c r="BH1371" s="75" t="s">
        <v>5970</v>
      </c>
      <c r="BI1371" s="295" t="s">
        <v>2253</v>
      </c>
      <c r="BJ1371" s="546">
        <v>1</v>
      </c>
      <c r="BK1371" s="294" t="s">
        <v>16</v>
      </c>
      <c r="BL1371" s="157" t="s">
        <v>16</v>
      </c>
      <c r="BM1371" s="548" t="s">
        <v>1339</v>
      </c>
      <c r="BN1371" s="548" t="s">
        <v>4161</v>
      </c>
      <c r="BO1371" s="157" t="s">
        <v>4295</v>
      </c>
      <c r="BP1371" s="548" t="s">
        <v>4296</v>
      </c>
      <c r="BQ1371" s="157" t="s">
        <v>4294</v>
      </c>
      <c r="BR1371" s="157"/>
    </row>
    <row r="1372" spans="1:70" x14ac:dyDescent="0.25">
      <c r="A1372" s="19" t="s">
        <v>3686</v>
      </c>
      <c r="B1372" s="37" t="s">
        <v>1453</v>
      </c>
      <c r="C1372" s="90">
        <v>44794.869513888887</v>
      </c>
      <c r="D1372" s="114">
        <v>44794.619513888887</v>
      </c>
      <c r="E1372" s="38">
        <v>44794</v>
      </c>
      <c r="F1372" s="91">
        <v>2022</v>
      </c>
      <c r="G1372" s="93">
        <v>8</v>
      </c>
      <c r="H1372" s="37" t="s">
        <v>1364</v>
      </c>
      <c r="I1372" s="37" t="s">
        <v>959</v>
      </c>
      <c r="J1372" s="103">
        <v>-92.597481700000003</v>
      </c>
      <c r="K1372" s="40">
        <v>44.472241699999998</v>
      </c>
      <c r="L1372" s="74"/>
      <c r="M1372" s="272" t="s">
        <v>1454</v>
      </c>
      <c r="N1372" s="74">
        <v>1</v>
      </c>
      <c r="O1372" s="94"/>
      <c r="P1372" s="118">
        <v>1</v>
      </c>
      <c r="Q1372" s="510">
        <v>40</v>
      </c>
      <c r="R1372" s="513">
        <v>0</v>
      </c>
      <c r="S1372" s="41"/>
      <c r="T1372" s="40"/>
      <c r="U1372" s="40">
        <v>7.5</v>
      </c>
      <c r="V1372" s="119">
        <v>1</v>
      </c>
      <c r="W1372" s="40">
        <v>0</v>
      </c>
      <c r="X1372" s="119">
        <v>1</v>
      </c>
      <c r="Y1372" s="40">
        <v>61</v>
      </c>
      <c r="Z1372" s="119">
        <v>1</v>
      </c>
      <c r="AA1372" s="368">
        <v>0</v>
      </c>
      <c r="AB1372" s="535">
        <v>5</v>
      </c>
      <c r="AC1372" s="39" t="s">
        <v>160</v>
      </c>
      <c r="AD1372" s="75" t="s">
        <v>16</v>
      </c>
      <c r="AE1372" s="95">
        <v>-1</v>
      </c>
      <c r="AF1372" s="75">
        <v>-1</v>
      </c>
      <c r="AG1372" s="75">
        <v>-1</v>
      </c>
      <c r="AH1372" s="75">
        <v>-1</v>
      </c>
      <c r="AI1372" s="75">
        <v>-1</v>
      </c>
      <c r="AJ1372" s="75">
        <v>-1</v>
      </c>
      <c r="AK1372" s="75">
        <v>-1</v>
      </c>
      <c r="AL1372" s="95">
        <v>-1</v>
      </c>
      <c r="AM1372" s="92">
        <v>1</v>
      </c>
      <c r="AN1372" s="79" t="s">
        <v>81</v>
      </c>
      <c r="AO1372" s="75">
        <v>1</v>
      </c>
      <c r="AP1372" s="75" t="s">
        <v>83</v>
      </c>
      <c r="AQ1372" s="122">
        <v>1</v>
      </c>
      <c r="AR1372" s="515" t="s">
        <v>10</v>
      </c>
      <c r="AS1372" s="95">
        <v>0</v>
      </c>
      <c r="AT1372" s="75">
        <v>0</v>
      </c>
      <c r="AU1372" s="75">
        <v>0</v>
      </c>
      <c r="AV1372" s="75">
        <v>0</v>
      </c>
      <c r="AW1372" s="123">
        <v>0</v>
      </c>
      <c r="AX1372" s="516"/>
      <c r="AY1372" s="75">
        <v>0</v>
      </c>
      <c r="AZ1372" s="77" t="s">
        <v>5971</v>
      </c>
      <c r="BA1372" s="78" t="s">
        <v>5971</v>
      </c>
      <c r="BB1372" s="78" t="s">
        <v>5971</v>
      </c>
      <c r="BC1372" s="78" t="s">
        <v>5971</v>
      </c>
      <c r="BD1372" s="78" t="s">
        <v>5971</v>
      </c>
      <c r="BE1372" s="78" t="s">
        <v>5971</v>
      </c>
      <c r="BF1372" s="78" t="s">
        <v>5971</v>
      </c>
      <c r="BG1372" s="78" t="s">
        <v>5971</v>
      </c>
      <c r="BH1372" s="75" t="s">
        <v>5971</v>
      </c>
      <c r="BI1372" s="295" t="s">
        <v>16</v>
      </c>
      <c r="BJ1372" s="546">
        <v>1</v>
      </c>
      <c r="BK1372" s="294" t="s">
        <v>16</v>
      </c>
      <c r="BL1372" s="157" t="s">
        <v>16</v>
      </c>
      <c r="BM1372" s="548" t="s">
        <v>2343</v>
      </c>
      <c r="BN1372" s="548" t="s">
        <v>4161</v>
      </c>
      <c r="BO1372" s="157" t="s">
        <v>4308</v>
      </c>
      <c r="BP1372" s="548" t="s">
        <v>2238</v>
      </c>
      <c r="BQ1372" s="157" t="s">
        <v>4307</v>
      </c>
      <c r="BR1372" s="157"/>
    </row>
    <row r="1373" spans="1:70" x14ac:dyDescent="0.25">
      <c r="A1373" s="19" t="s">
        <v>3686</v>
      </c>
      <c r="B1373" s="37" t="s">
        <v>1455</v>
      </c>
      <c r="C1373" s="90">
        <v>44794.853067129632</v>
      </c>
      <c r="D1373" s="114">
        <v>44794.603067129632</v>
      </c>
      <c r="E1373" s="38">
        <v>44794</v>
      </c>
      <c r="F1373" s="91">
        <v>2022</v>
      </c>
      <c r="G1373" s="93">
        <v>8</v>
      </c>
      <c r="H1373" s="37" t="s">
        <v>1364</v>
      </c>
      <c r="I1373" s="37" t="s">
        <v>958</v>
      </c>
      <c r="J1373" s="103">
        <v>-92.575631700000002</v>
      </c>
      <c r="K1373" s="40">
        <v>44.488381699999998</v>
      </c>
      <c r="L1373" s="74"/>
      <c r="M1373" s="272" t="s">
        <v>1456</v>
      </c>
      <c r="N1373" s="74">
        <v>1</v>
      </c>
      <c r="O1373" s="94"/>
      <c r="P1373" s="118">
        <v>1</v>
      </c>
      <c r="Q1373" s="510">
        <v>80</v>
      </c>
      <c r="R1373" s="513">
        <v>120</v>
      </c>
      <c r="S1373" s="41"/>
      <c r="T1373" s="40"/>
      <c r="U1373" s="40">
        <v>8</v>
      </c>
      <c r="V1373" s="119">
        <v>1</v>
      </c>
      <c r="W1373" s="40">
        <v>100</v>
      </c>
      <c r="X1373" s="119">
        <v>1</v>
      </c>
      <c r="Y1373" s="40">
        <v>62</v>
      </c>
      <c r="Z1373" s="119">
        <v>1</v>
      </c>
      <c r="AA1373" s="368">
        <v>0</v>
      </c>
      <c r="AB1373" s="535">
        <v>2</v>
      </c>
      <c r="AC1373" s="39" t="s">
        <v>160</v>
      </c>
      <c r="AD1373" s="75" t="s">
        <v>10</v>
      </c>
      <c r="AE1373" s="95">
        <v>0</v>
      </c>
      <c r="AF1373" s="75">
        <v>0</v>
      </c>
      <c r="AG1373" s="75">
        <v>0</v>
      </c>
      <c r="AH1373" s="75">
        <v>0</v>
      </c>
      <c r="AI1373" s="75">
        <v>0</v>
      </c>
      <c r="AJ1373" s="75">
        <v>0</v>
      </c>
      <c r="AK1373" s="75">
        <v>0</v>
      </c>
      <c r="AL1373" s="95">
        <v>1</v>
      </c>
      <c r="AM1373" s="92">
        <v>0</v>
      </c>
      <c r="AN1373" s="79" t="s">
        <v>81</v>
      </c>
      <c r="AO1373" s="75">
        <v>1</v>
      </c>
      <c r="AP1373" s="75" t="s">
        <v>83</v>
      </c>
      <c r="AQ1373" s="122">
        <v>1</v>
      </c>
      <c r="AR1373" s="515" t="s">
        <v>10</v>
      </c>
      <c r="AS1373" s="95">
        <v>0</v>
      </c>
      <c r="AT1373" s="75">
        <v>0</v>
      </c>
      <c r="AU1373" s="75">
        <v>0</v>
      </c>
      <c r="AV1373" s="75">
        <v>0</v>
      </c>
      <c r="AW1373" s="123">
        <v>0</v>
      </c>
      <c r="AX1373" s="516"/>
      <c r="AY1373" s="75">
        <v>0</v>
      </c>
      <c r="AZ1373" s="77" t="s">
        <v>131</v>
      </c>
      <c r="BA1373" s="78" t="s">
        <v>131</v>
      </c>
      <c r="BB1373" s="78" t="s">
        <v>131</v>
      </c>
      <c r="BC1373" s="78" t="s">
        <v>131</v>
      </c>
      <c r="BD1373" s="78" t="s">
        <v>131</v>
      </c>
      <c r="BE1373" s="78" t="s">
        <v>131</v>
      </c>
      <c r="BF1373" s="78" t="s">
        <v>131</v>
      </c>
      <c r="BG1373" s="78" t="s">
        <v>132</v>
      </c>
      <c r="BH1373" s="75" t="s">
        <v>5970</v>
      </c>
      <c r="BI1373" s="295" t="s">
        <v>2238</v>
      </c>
      <c r="BJ1373" s="546">
        <v>1</v>
      </c>
      <c r="BK1373" s="294" t="s">
        <v>16</v>
      </c>
      <c r="BL1373" s="157" t="s">
        <v>16</v>
      </c>
      <c r="BM1373" s="548" t="s">
        <v>2343</v>
      </c>
      <c r="BN1373" s="548" t="s">
        <v>4161</v>
      </c>
      <c r="BO1373" s="157" t="s">
        <v>4308</v>
      </c>
      <c r="BP1373" s="548" t="s">
        <v>2238</v>
      </c>
      <c r="BQ1373" s="157" t="s">
        <v>4307</v>
      </c>
      <c r="BR1373" s="157"/>
    </row>
    <row r="1374" spans="1:70" x14ac:dyDescent="0.25">
      <c r="A1374" s="19" t="s">
        <v>3686</v>
      </c>
      <c r="B1374" s="37" t="s">
        <v>1457</v>
      </c>
      <c r="C1374" s="90">
        <v>44794.608171296299</v>
      </c>
      <c r="D1374" s="114">
        <v>44794.358171296299</v>
      </c>
      <c r="E1374" s="38">
        <v>44794</v>
      </c>
      <c r="F1374" s="91">
        <v>2022</v>
      </c>
      <c r="G1374" s="93">
        <v>8</v>
      </c>
      <c r="H1374" s="37" t="s">
        <v>1433</v>
      </c>
      <c r="I1374" s="37"/>
      <c r="J1374" s="103">
        <v>-92.621317589741778</v>
      </c>
      <c r="K1374" s="40">
        <v>44.875123850111734</v>
      </c>
      <c r="L1374" s="74"/>
      <c r="M1374" s="272" t="s">
        <v>16</v>
      </c>
      <c r="N1374" s="74">
        <v>0</v>
      </c>
      <c r="O1374" s="94"/>
      <c r="P1374" s="118">
        <v>1</v>
      </c>
      <c r="Q1374" s="510">
        <v>180</v>
      </c>
      <c r="R1374" s="513">
        <v>120</v>
      </c>
      <c r="S1374" s="41"/>
      <c r="T1374" s="40"/>
      <c r="U1374" s="40">
        <v>7.5</v>
      </c>
      <c r="V1374" s="119">
        <v>1</v>
      </c>
      <c r="W1374" s="40">
        <v>0</v>
      </c>
      <c r="X1374" s="119">
        <v>1</v>
      </c>
      <c r="Y1374" s="40">
        <v>58</v>
      </c>
      <c r="Z1374" s="119">
        <v>1</v>
      </c>
      <c r="AA1374" s="368">
        <v>0</v>
      </c>
      <c r="AB1374" s="535">
        <v>10</v>
      </c>
      <c r="AC1374" s="39" t="s">
        <v>160</v>
      </c>
      <c r="AD1374" s="75" t="s">
        <v>10</v>
      </c>
      <c r="AE1374" s="95">
        <v>0</v>
      </c>
      <c r="AF1374" s="75">
        <v>0</v>
      </c>
      <c r="AG1374" s="75">
        <v>0</v>
      </c>
      <c r="AH1374" s="75">
        <v>0</v>
      </c>
      <c r="AI1374" s="75">
        <v>0</v>
      </c>
      <c r="AJ1374" s="75">
        <v>0</v>
      </c>
      <c r="AK1374" s="75">
        <v>0</v>
      </c>
      <c r="AL1374" s="95">
        <v>1</v>
      </c>
      <c r="AM1374" s="92">
        <v>0</v>
      </c>
      <c r="AN1374" s="79" t="s">
        <v>80</v>
      </c>
      <c r="AO1374" s="75">
        <v>1</v>
      </c>
      <c r="AP1374" s="75" t="s">
        <v>83</v>
      </c>
      <c r="AQ1374" s="122">
        <v>1</v>
      </c>
      <c r="AR1374" s="515" t="s">
        <v>10</v>
      </c>
      <c r="AS1374" s="95">
        <v>0</v>
      </c>
      <c r="AT1374" s="75">
        <v>0</v>
      </c>
      <c r="AU1374" s="75">
        <v>0</v>
      </c>
      <c r="AV1374" s="75">
        <v>0</v>
      </c>
      <c r="AW1374" s="123">
        <v>0</v>
      </c>
      <c r="AX1374" s="516"/>
      <c r="AY1374" s="75">
        <v>0</v>
      </c>
      <c r="AZ1374" s="77" t="s">
        <v>131</v>
      </c>
      <c r="BA1374" s="78" t="s">
        <v>131</v>
      </c>
      <c r="BB1374" s="78" t="s">
        <v>131</v>
      </c>
      <c r="BC1374" s="78" t="s">
        <v>131</v>
      </c>
      <c r="BD1374" s="78" t="s">
        <v>131</v>
      </c>
      <c r="BE1374" s="78" t="s">
        <v>131</v>
      </c>
      <c r="BF1374" s="78" t="s">
        <v>131</v>
      </c>
      <c r="BG1374" s="78" t="s">
        <v>132</v>
      </c>
      <c r="BH1374" s="75" t="s">
        <v>5970</v>
      </c>
      <c r="BI1374" s="295" t="s">
        <v>2227</v>
      </c>
      <c r="BJ1374" s="546">
        <v>1</v>
      </c>
      <c r="BK1374" s="294" t="s">
        <v>16</v>
      </c>
      <c r="BL1374" s="157" t="s">
        <v>16</v>
      </c>
      <c r="BM1374" s="548" t="s">
        <v>578</v>
      </c>
      <c r="BN1374" s="548" t="s">
        <v>4159</v>
      </c>
      <c r="BO1374" s="157" t="s">
        <v>4311</v>
      </c>
      <c r="BP1374" s="548" t="s">
        <v>4395</v>
      </c>
      <c r="BQ1374" s="157" t="s">
        <v>4309</v>
      </c>
      <c r="BR1374" s="157"/>
    </row>
    <row r="1375" spans="1:70" x14ac:dyDescent="0.25">
      <c r="A1375" s="19" t="s">
        <v>3686</v>
      </c>
      <c r="B1375" s="37" t="s">
        <v>1458</v>
      </c>
      <c r="C1375" s="90">
        <v>44793.672048611108</v>
      </c>
      <c r="D1375" s="114">
        <v>44793.422048611108</v>
      </c>
      <c r="E1375" s="38">
        <v>44793</v>
      </c>
      <c r="F1375" s="91">
        <v>2022</v>
      </c>
      <c r="G1375" s="93">
        <v>8</v>
      </c>
      <c r="H1375" s="37" t="s">
        <v>1410</v>
      </c>
      <c r="I1375" s="37" t="s">
        <v>1411</v>
      </c>
      <c r="J1375" s="103">
        <v>-93.231415299242684</v>
      </c>
      <c r="K1375" s="40">
        <v>44.846798800773065</v>
      </c>
      <c r="L1375" s="74"/>
      <c r="M1375" s="272" t="s">
        <v>16</v>
      </c>
      <c r="N1375" s="74">
        <v>0</v>
      </c>
      <c r="O1375" s="94"/>
      <c r="P1375" s="118">
        <v>1</v>
      </c>
      <c r="Q1375" s="510">
        <v>120</v>
      </c>
      <c r="R1375" s="513">
        <v>180</v>
      </c>
      <c r="S1375" s="41"/>
      <c r="T1375" s="40"/>
      <c r="U1375" s="40">
        <v>8</v>
      </c>
      <c r="V1375" s="119">
        <v>1</v>
      </c>
      <c r="W1375" s="40">
        <v>0</v>
      </c>
      <c r="X1375" s="119">
        <v>1</v>
      </c>
      <c r="Y1375" s="40">
        <v>58</v>
      </c>
      <c r="Z1375" s="119">
        <v>1</v>
      </c>
      <c r="AA1375" s="368">
        <v>0</v>
      </c>
      <c r="AB1375" s="535">
        <v>0</v>
      </c>
      <c r="AC1375" s="39" t="s">
        <v>160</v>
      </c>
      <c r="AD1375" s="75" t="s">
        <v>10</v>
      </c>
      <c r="AE1375" s="95">
        <v>0</v>
      </c>
      <c r="AF1375" s="75">
        <v>0</v>
      </c>
      <c r="AG1375" s="75">
        <v>0</v>
      </c>
      <c r="AH1375" s="75">
        <v>0</v>
      </c>
      <c r="AI1375" s="75">
        <v>0</v>
      </c>
      <c r="AJ1375" s="75">
        <v>0</v>
      </c>
      <c r="AK1375" s="75">
        <v>0</v>
      </c>
      <c r="AL1375" s="95">
        <v>1</v>
      </c>
      <c r="AM1375" s="92">
        <v>0</v>
      </c>
      <c r="AN1375" s="79" t="s">
        <v>195</v>
      </c>
      <c r="AO1375" s="75">
        <v>1</v>
      </c>
      <c r="AP1375" s="75" t="s">
        <v>83</v>
      </c>
      <c r="AQ1375" s="122">
        <v>1</v>
      </c>
      <c r="AR1375" s="515" t="s">
        <v>10</v>
      </c>
      <c r="AS1375" s="95">
        <v>0</v>
      </c>
      <c r="AT1375" s="75">
        <v>0</v>
      </c>
      <c r="AU1375" s="75">
        <v>0</v>
      </c>
      <c r="AV1375" s="75">
        <v>0</v>
      </c>
      <c r="AW1375" s="123">
        <v>0</v>
      </c>
      <c r="AX1375" s="516" t="s">
        <v>1459</v>
      </c>
      <c r="AY1375" s="75">
        <v>1</v>
      </c>
      <c r="AZ1375" s="77" t="s">
        <v>131</v>
      </c>
      <c r="BA1375" s="78" t="s">
        <v>131</v>
      </c>
      <c r="BB1375" s="78" t="s">
        <v>131</v>
      </c>
      <c r="BC1375" s="78" t="s">
        <v>131</v>
      </c>
      <c r="BD1375" s="78" t="s">
        <v>131</v>
      </c>
      <c r="BE1375" s="78" t="s">
        <v>131</v>
      </c>
      <c r="BF1375" s="78" t="s">
        <v>131</v>
      </c>
      <c r="BG1375" s="78" t="s">
        <v>132</v>
      </c>
      <c r="BH1375" s="75" t="s">
        <v>5970</v>
      </c>
      <c r="BI1375" s="295" t="s">
        <v>16</v>
      </c>
      <c r="BJ1375" s="546" t="s">
        <v>16</v>
      </c>
      <c r="BK1375" s="294" t="s">
        <v>16</v>
      </c>
      <c r="BL1375" s="157" t="s">
        <v>16</v>
      </c>
      <c r="BM1375" s="548" t="s">
        <v>2343</v>
      </c>
      <c r="BN1375" s="548" t="s">
        <v>4161</v>
      </c>
      <c r="BO1375" s="157" t="s">
        <v>4327</v>
      </c>
      <c r="BP1375" s="548" t="s">
        <v>4314</v>
      </c>
      <c r="BQ1375" s="157" t="s">
        <v>4312</v>
      </c>
      <c r="BR1375" s="157"/>
    </row>
    <row r="1376" spans="1:70" x14ac:dyDescent="0.25">
      <c r="A1376" s="19" t="s">
        <v>3686</v>
      </c>
      <c r="B1376" s="37" t="s">
        <v>1460</v>
      </c>
      <c r="C1376" s="90">
        <v>44792.841597222221</v>
      </c>
      <c r="D1376" s="114">
        <v>44792.591597222221</v>
      </c>
      <c r="E1376" s="38">
        <v>44792</v>
      </c>
      <c r="F1376" s="91">
        <v>2022</v>
      </c>
      <c r="G1376" s="93">
        <v>8</v>
      </c>
      <c r="H1376" s="37" t="s">
        <v>614</v>
      </c>
      <c r="I1376" s="37" t="s">
        <v>16</v>
      </c>
      <c r="J1376" s="103">
        <v>-92.829381097803576</v>
      </c>
      <c r="K1376" s="40">
        <v>45.050626969676195</v>
      </c>
      <c r="L1376" s="74"/>
      <c r="M1376" s="272" t="s">
        <v>16</v>
      </c>
      <c r="N1376" s="74">
        <v>0</v>
      </c>
      <c r="O1376" s="94"/>
      <c r="P1376" s="118">
        <v>1</v>
      </c>
      <c r="Q1376" s="510">
        <v>0</v>
      </c>
      <c r="R1376" s="513">
        <v>60</v>
      </c>
      <c r="S1376" s="41"/>
      <c r="T1376" s="40"/>
      <c r="U1376" s="40">
        <v>7</v>
      </c>
      <c r="V1376" s="119">
        <v>0</v>
      </c>
      <c r="W1376" s="40"/>
      <c r="X1376" s="119">
        <v>0</v>
      </c>
      <c r="Y1376" s="40"/>
      <c r="Z1376" s="119">
        <v>0</v>
      </c>
      <c r="AA1376" s="368" t="s">
        <v>16</v>
      </c>
      <c r="AB1376" s="535" t="s">
        <v>16</v>
      </c>
      <c r="AC1376" s="39" t="s">
        <v>160</v>
      </c>
      <c r="AD1376" s="75" t="s">
        <v>16</v>
      </c>
      <c r="AE1376" s="95">
        <v>-1</v>
      </c>
      <c r="AF1376" s="75">
        <v>-1</v>
      </c>
      <c r="AG1376" s="75">
        <v>-1</v>
      </c>
      <c r="AH1376" s="75">
        <v>-1</v>
      </c>
      <c r="AI1376" s="75">
        <v>-1</v>
      </c>
      <c r="AJ1376" s="75">
        <v>-1</v>
      </c>
      <c r="AK1376" s="75">
        <v>-1</v>
      </c>
      <c r="AL1376" s="95">
        <v>-1</v>
      </c>
      <c r="AM1376" s="92">
        <v>1</v>
      </c>
      <c r="AN1376" s="79" t="s">
        <v>80</v>
      </c>
      <c r="AO1376" s="75">
        <v>1</v>
      </c>
      <c r="AP1376" s="75" t="s">
        <v>84</v>
      </c>
      <c r="AQ1376" s="122">
        <v>1</v>
      </c>
      <c r="AR1376" s="515" t="s">
        <v>13</v>
      </c>
      <c r="AS1376" s="95">
        <v>1</v>
      </c>
      <c r="AT1376" s="75">
        <v>0</v>
      </c>
      <c r="AU1376" s="75">
        <v>0</v>
      </c>
      <c r="AV1376" s="75">
        <v>0</v>
      </c>
      <c r="AW1376" s="123">
        <v>0</v>
      </c>
      <c r="AX1376" s="516" t="s">
        <v>1461</v>
      </c>
      <c r="AY1376" s="75">
        <v>1</v>
      </c>
      <c r="AZ1376" s="77" t="s">
        <v>5971</v>
      </c>
      <c r="BA1376" s="78" t="s">
        <v>5971</v>
      </c>
      <c r="BB1376" s="78" t="s">
        <v>5971</v>
      </c>
      <c r="BC1376" s="78" t="s">
        <v>5971</v>
      </c>
      <c r="BD1376" s="78" t="s">
        <v>5971</v>
      </c>
      <c r="BE1376" s="78" t="s">
        <v>5971</v>
      </c>
      <c r="BF1376" s="78" t="s">
        <v>5971</v>
      </c>
      <c r="BG1376" s="78" t="s">
        <v>5971</v>
      </c>
      <c r="BH1376" s="75" t="s">
        <v>5971</v>
      </c>
      <c r="BI1376" s="295" t="s">
        <v>16</v>
      </c>
      <c r="BJ1376" s="546" t="s">
        <v>16</v>
      </c>
      <c r="BK1376" s="294" t="s">
        <v>16</v>
      </c>
      <c r="BL1376" s="157" t="s">
        <v>16</v>
      </c>
      <c r="BM1376" s="548" t="s">
        <v>2343</v>
      </c>
      <c r="BN1376" s="548" t="s">
        <v>578</v>
      </c>
      <c r="BO1376" s="157" t="s">
        <v>4420</v>
      </c>
      <c r="BP1376" s="548" t="s">
        <v>4678</v>
      </c>
      <c r="BQ1376" s="157" t="s">
        <v>4287</v>
      </c>
      <c r="BR1376" s="157"/>
    </row>
    <row r="1377" spans="1:70" x14ac:dyDescent="0.25">
      <c r="A1377" s="19" t="s">
        <v>3686</v>
      </c>
      <c r="B1377" s="37" t="s">
        <v>1462</v>
      </c>
      <c r="C1377" s="90">
        <v>44792.771655092591</v>
      </c>
      <c r="D1377" s="114">
        <v>44792.521655092591</v>
      </c>
      <c r="E1377" s="38">
        <v>44792</v>
      </c>
      <c r="F1377" s="91">
        <v>2022</v>
      </c>
      <c r="G1377" s="93">
        <v>8</v>
      </c>
      <c r="H1377" s="37" t="s">
        <v>1433</v>
      </c>
      <c r="I1377" s="37"/>
      <c r="J1377" s="103">
        <v>-92.621449185621557</v>
      </c>
      <c r="K1377" s="40">
        <v>44.875211650547456</v>
      </c>
      <c r="L1377" s="74"/>
      <c r="M1377" s="272" t="s">
        <v>16</v>
      </c>
      <c r="N1377" s="74">
        <v>0</v>
      </c>
      <c r="O1377" s="94"/>
      <c r="P1377" s="118">
        <v>1</v>
      </c>
      <c r="Q1377" s="510">
        <v>120</v>
      </c>
      <c r="R1377" s="513">
        <v>120</v>
      </c>
      <c r="S1377" s="41"/>
      <c r="T1377" s="40"/>
      <c r="U1377" s="40">
        <v>8</v>
      </c>
      <c r="V1377" s="119">
        <v>1</v>
      </c>
      <c r="W1377" s="40">
        <v>100</v>
      </c>
      <c r="X1377" s="119">
        <v>1</v>
      </c>
      <c r="Y1377" s="40">
        <v>61</v>
      </c>
      <c r="Z1377" s="119">
        <v>1</v>
      </c>
      <c r="AA1377" s="368">
        <v>0</v>
      </c>
      <c r="AB1377" s="535">
        <v>5</v>
      </c>
      <c r="AC1377" s="39" t="s">
        <v>160</v>
      </c>
      <c r="AD1377" s="75" t="s">
        <v>10</v>
      </c>
      <c r="AE1377" s="95">
        <v>0</v>
      </c>
      <c r="AF1377" s="75">
        <v>0</v>
      </c>
      <c r="AG1377" s="75">
        <v>0</v>
      </c>
      <c r="AH1377" s="75">
        <v>0</v>
      </c>
      <c r="AI1377" s="75">
        <v>0</v>
      </c>
      <c r="AJ1377" s="75">
        <v>0</v>
      </c>
      <c r="AK1377" s="75">
        <v>0</v>
      </c>
      <c r="AL1377" s="95">
        <v>1</v>
      </c>
      <c r="AM1377" s="92">
        <v>0</v>
      </c>
      <c r="AN1377" s="79" t="s">
        <v>80</v>
      </c>
      <c r="AO1377" s="75">
        <v>1</v>
      </c>
      <c r="AP1377" s="75" t="s">
        <v>83</v>
      </c>
      <c r="AQ1377" s="122">
        <v>1</v>
      </c>
      <c r="AR1377" s="515" t="s">
        <v>10</v>
      </c>
      <c r="AS1377" s="95">
        <v>0</v>
      </c>
      <c r="AT1377" s="75">
        <v>0</v>
      </c>
      <c r="AU1377" s="75">
        <v>0</v>
      </c>
      <c r="AV1377" s="75">
        <v>0</v>
      </c>
      <c r="AW1377" s="123">
        <v>0</v>
      </c>
      <c r="AX1377" s="516"/>
      <c r="AY1377" s="75">
        <v>0</v>
      </c>
      <c r="AZ1377" s="77" t="s">
        <v>131</v>
      </c>
      <c r="BA1377" s="78" t="s">
        <v>131</v>
      </c>
      <c r="BB1377" s="78" t="s">
        <v>131</v>
      </c>
      <c r="BC1377" s="78" t="s">
        <v>131</v>
      </c>
      <c r="BD1377" s="78" t="s">
        <v>131</v>
      </c>
      <c r="BE1377" s="78" t="s">
        <v>131</v>
      </c>
      <c r="BF1377" s="78" t="s">
        <v>131</v>
      </c>
      <c r="BG1377" s="78" t="s">
        <v>132</v>
      </c>
      <c r="BH1377" s="75" t="s">
        <v>5970</v>
      </c>
      <c r="BI1377" s="295" t="s">
        <v>2227</v>
      </c>
      <c r="BJ1377" s="546">
        <v>1</v>
      </c>
      <c r="BK1377" s="294" t="s">
        <v>16</v>
      </c>
      <c r="BL1377" s="157" t="s">
        <v>16</v>
      </c>
      <c r="BM1377" s="548" t="s">
        <v>578</v>
      </c>
      <c r="BN1377" s="548" t="s">
        <v>4159</v>
      </c>
      <c r="BO1377" s="157" t="s">
        <v>4311</v>
      </c>
      <c r="BP1377" s="548" t="s">
        <v>4395</v>
      </c>
      <c r="BQ1377" s="157" t="s">
        <v>4309</v>
      </c>
      <c r="BR1377" s="157"/>
    </row>
    <row r="1378" spans="1:70" x14ac:dyDescent="0.25">
      <c r="A1378" s="19" t="s">
        <v>3686</v>
      </c>
      <c r="B1378" s="37" t="s">
        <v>1463</v>
      </c>
      <c r="C1378" s="90">
        <v>44792.72760416667</v>
      </c>
      <c r="D1378" s="114">
        <v>44792.47760416667</v>
      </c>
      <c r="E1378" s="38">
        <v>44792</v>
      </c>
      <c r="F1378" s="91">
        <v>2022</v>
      </c>
      <c r="G1378" s="93">
        <v>8</v>
      </c>
      <c r="H1378" s="37" t="s">
        <v>1433</v>
      </c>
      <c r="I1378" s="37"/>
      <c r="J1378" s="103">
        <v>-92.643796177667241</v>
      </c>
      <c r="K1378" s="40">
        <v>44.844337622676832</v>
      </c>
      <c r="L1378" s="74"/>
      <c r="M1378" s="272" t="s">
        <v>16</v>
      </c>
      <c r="N1378" s="74">
        <v>0</v>
      </c>
      <c r="O1378" s="94"/>
      <c r="P1378" s="118">
        <v>1</v>
      </c>
      <c r="Q1378" s="510">
        <v>120</v>
      </c>
      <c r="R1378" s="513">
        <v>180</v>
      </c>
      <c r="S1378" s="41"/>
      <c r="T1378" s="40"/>
      <c r="U1378" s="40">
        <v>8</v>
      </c>
      <c r="V1378" s="119">
        <v>1</v>
      </c>
      <c r="W1378" s="40">
        <v>100</v>
      </c>
      <c r="X1378" s="119">
        <v>1</v>
      </c>
      <c r="Y1378" s="40">
        <v>63</v>
      </c>
      <c r="Z1378" s="119">
        <v>1</v>
      </c>
      <c r="AA1378" s="368">
        <v>0</v>
      </c>
      <c r="AB1378" s="535">
        <v>5</v>
      </c>
      <c r="AC1378" s="39" t="s">
        <v>160</v>
      </c>
      <c r="AD1378" s="75" t="s">
        <v>10</v>
      </c>
      <c r="AE1378" s="95">
        <v>0</v>
      </c>
      <c r="AF1378" s="75">
        <v>0</v>
      </c>
      <c r="AG1378" s="75">
        <v>0</v>
      </c>
      <c r="AH1378" s="75">
        <v>0</v>
      </c>
      <c r="AI1378" s="75">
        <v>0</v>
      </c>
      <c r="AJ1378" s="75">
        <v>0</v>
      </c>
      <c r="AK1378" s="75">
        <v>0</v>
      </c>
      <c r="AL1378" s="95">
        <v>1</v>
      </c>
      <c r="AM1378" s="92">
        <v>0</v>
      </c>
      <c r="AN1378" s="79" t="s">
        <v>80</v>
      </c>
      <c r="AO1378" s="75">
        <v>1</v>
      </c>
      <c r="AP1378" s="75" t="s">
        <v>83</v>
      </c>
      <c r="AQ1378" s="122">
        <v>1</v>
      </c>
      <c r="AR1378" s="515" t="s">
        <v>10</v>
      </c>
      <c r="AS1378" s="95">
        <v>0</v>
      </c>
      <c r="AT1378" s="75">
        <v>0</v>
      </c>
      <c r="AU1378" s="75">
        <v>0</v>
      </c>
      <c r="AV1378" s="75">
        <v>0</v>
      </c>
      <c r="AW1378" s="123">
        <v>0</v>
      </c>
      <c r="AX1378" s="516"/>
      <c r="AY1378" s="75">
        <v>0</v>
      </c>
      <c r="AZ1378" s="77" t="s">
        <v>131</v>
      </c>
      <c r="BA1378" s="78" t="s">
        <v>131</v>
      </c>
      <c r="BB1378" s="78" t="s">
        <v>131</v>
      </c>
      <c r="BC1378" s="78" t="s">
        <v>131</v>
      </c>
      <c r="BD1378" s="78" t="s">
        <v>131</v>
      </c>
      <c r="BE1378" s="78" t="s">
        <v>131</v>
      </c>
      <c r="BF1378" s="78" t="s">
        <v>131</v>
      </c>
      <c r="BG1378" s="78" t="s">
        <v>132</v>
      </c>
      <c r="BH1378" s="75" t="s">
        <v>5970</v>
      </c>
      <c r="BI1378" s="295" t="s">
        <v>2227</v>
      </c>
      <c r="BJ1378" s="546">
        <v>1</v>
      </c>
      <c r="BK1378" s="294">
        <v>1</v>
      </c>
      <c r="BL1378" s="157">
        <v>1</v>
      </c>
      <c r="BM1378" s="548" t="s">
        <v>578</v>
      </c>
      <c r="BN1378" s="548" t="s">
        <v>4159</v>
      </c>
      <c r="BO1378" s="157" t="s">
        <v>4341</v>
      </c>
      <c r="BP1378" s="548" t="s">
        <v>4343</v>
      </c>
      <c r="BQ1378" s="157" t="s">
        <v>4309</v>
      </c>
      <c r="BR1378" s="157"/>
    </row>
    <row r="1379" spans="1:70" x14ac:dyDescent="0.25">
      <c r="A1379" s="19" t="s">
        <v>3686</v>
      </c>
      <c r="B1379" s="37" t="s">
        <v>1464</v>
      </c>
      <c r="C1379" s="90">
        <v>44791.874467592592</v>
      </c>
      <c r="D1379" s="114">
        <v>44791.624467592592</v>
      </c>
      <c r="E1379" s="38">
        <v>44791</v>
      </c>
      <c r="F1379" s="91">
        <v>2022</v>
      </c>
      <c r="G1379" s="93">
        <v>8</v>
      </c>
      <c r="H1379" s="37" t="s">
        <v>1361</v>
      </c>
      <c r="I1379" s="37"/>
      <c r="J1379" s="103">
        <v>-91.688819127242724</v>
      </c>
      <c r="K1379" s="40">
        <v>42.778742769772911</v>
      </c>
      <c r="L1379" s="74"/>
      <c r="M1379" s="272" t="s">
        <v>1465</v>
      </c>
      <c r="N1379" s="74">
        <v>1</v>
      </c>
      <c r="O1379" s="94"/>
      <c r="P1379" s="118">
        <v>1</v>
      </c>
      <c r="Q1379" s="510">
        <v>180</v>
      </c>
      <c r="R1379" s="513">
        <v>120</v>
      </c>
      <c r="S1379" s="41"/>
      <c r="T1379" s="40"/>
      <c r="U1379" s="40">
        <v>7</v>
      </c>
      <c r="V1379" s="119">
        <v>1</v>
      </c>
      <c r="W1379" s="40">
        <v>0</v>
      </c>
      <c r="X1379" s="119">
        <v>0</v>
      </c>
      <c r="Y1379" s="40"/>
      <c r="Z1379" s="119">
        <v>1</v>
      </c>
      <c r="AA1379" s="368">
        <v>0</v>
      </c>
      <c r="AB1379" s="535">
        <v>0</v>
      </c>
      <c r="AC1379" s="39" t="s">
        <v>160</v>
      </c>
      <c r="AD1379" s="75" t="s">
        <v>10</v>
      </c>
      <c r="AE1379" s="95">
        <v>0</v>
      </c>
      <c r="AF1379" s="75">
        <v>0</v>
      </c>
      <c r="AG1379" s="75">
        <v>0</v>
      </c>
      <c r="AH1379" s="75">
        <v>0</v>
      </c>
      <c r="AI1379" s="75">
        <v>0</v>
      </c>
      <c r="AJ1379" s="75">
        <v>0</v>
      </c>
      <c r="AK1379" s="75">
        <v>0</v>
      </c>
      <c r="AL1379" s="95">
        <v>1</v>
      </c>
      <c r="AM1379" s="92">
        <v>0</v>
      </c>
      <c r="AN1379" s="79" t="s">
        <v>80</v>
      </c>
      <c r="AO1379" s="75">
        <v>1</v>
      </c>
      <c r="AP1379" s="75" t="s">
        <v>83</v>
      </c>
      <c r="AQ1379" s="122">
        <v>1</v>
      </c>
      <c r="AR1379" s="515" t="s">
        <v>10</v>
      </c>
      <c r="AS1379" s="95">
        <v>0</v>
      </c>
      <c r="AT1379" s="75">
        <v>0</v>
      </c>
      <c r="AU1379" s="75">
        <v>0</v>
      </c>
      <c r="AV1379" s="75">
        <v>0</v>
      </c>
      <c r="AW1379" s="123">
        <v>0</v>
      </c>
      <c r="AX1379" s="516"/>
      <c r="AY1379" s="75">
        <v>0</v>
      </c>
      <c r="AZ1379" s="77" t="s">
        <v>131</v>
      </c>
      <c r="BA1379" s="78" t="s">
        <v>131</v>
      </c>
      <c r="BB1379" s="78" t="s">
        <v>131</v>
      </c>
      <c r="BC1379" s="78" t="s">
        <v>131</v>
      </c>
      <c r="BD1379" s="78" t="s">
        <v>131</v>
      </c>
      <c r="BE1379" s="78" t="s">
        <v>131</v>
      </c>
      <c r="BF1379" s="78" t="s">
        <v>131</v>
      </c>
      <c r="BG1379" s="78" t="s">
        <v>132</v>
      </c>
      <c r="BH1379" s="75" t="s">
        <v>5970</v>
      </c>
      <c r="BI1379" s="295" t="s">
        <v>2299</v>
      </c>
      <c r="BJ1379" s="546">
        <v>1</v>
      </c>
      <c r="BK1379" s="294" t="s">
        <v>16</v>
      </c>
      <c r="BL1379" s="157" t="s">
        <v>16</v>
      </c>
      <c r="BM1379" s="548" t="s">
        <v>1348</v>
      </c>
      <c r="BN1379" s="548" t="s">
        <v>4160</v>
      </c>
      <c r="BO1379" s="157" t="s">
        <v>4569</v>
      </c>
      <c r="BP1379" s="548" t="s">
        <v>2299</v>
      </c>
      <c r="BQ1379" s="157" t="s">
        <v>4563</v>
      </c>
      <c r="BR1379" s="157"/>
    </row>
    <row r="1380" spans="1:70" x14ac:dyDescent="0.25">
      <c r="A1380" s="19" t="s">
        <v>3686</v>
      </c>
      <c r="B1380" s="37" t="s">
        <v>1466</v>
      </c>
      <c r="C1380" s="90">
        <v>44791.832962962966</v>
      </c>
      <c r="D1380" s="114">
        <v>44791.582962962966</v>
      </c>
      <c r="E1380" s="38">
        <v>44791</v>
      </c>
      <c r="F1380" s="91">
        <v>2022</v>
      </c>
      <c r="G1380" s="93">
        <v>8</v>
      </c>
      <c r="H1380" s="37" t="s">
        <v>1361</v>
      </c>
      <c r="I1380" s="37"/>
      <c r="J1380" s="103">
        <v>-91.690941508944803</v>
      </c>
      <c r="K1380" s="40">
        <v>42.780067906754816</v>
      </c>
      <c r="L1380" s="74"/>
      <c r="M1380" s="272" t="s">
        <v>1467</v>
      </c>
      <c r="N1380" s="74">
        <v>1</v>
      </c>
      <c r="O1380" s="94"/>
      <c r="P1380" s="118">
        <v>1</v>
      </c>
      <c r="Q1380" s="510">
        <v>180</v>
      </c>
      <c r="R1380" s="513">
        <v>120</v>
      </c>
      <c r="S1380" s="41"/>
      <c r="T1380" s="40"/>
      <c r="U1380" s="40">
        <v>8</v>
      </c>
      <c r="V1380" s="119">
        <v>1</v>
      </c>
      <c r="W1380" s="40">
        <v>100</v>
      </c>
      <c r="X1380" s="119">
        <v>0</v>
      </c>
      <c r="Y1380" s="40"/>
      <c r="Z1380" s="119">
        <v>1</v>
      </c>
      <c r="AA1380" s="368">
        <v>0</v>
      </c>
      <c r="AB1380" s="535">
        <v>5</v>
      </c>
      <c r="AC1380" s="39" t="s">
        <v>160</v>
      </c>
      <c r="AD1380" s="75" t="s">
        <v>8</v>
      </c>
      <c r="AE1380" s="95">
        <v>0</v>
      </c>
      <c r="AF1380" s="75">
        <v>1</v>
      </c>
      <c r="AG1380" s="75">
        <v>0</v>
      </c>
      <c r="AH1380" s="75">
        <v>0</v>
      </c>
      <c r="AI1380" s="75">
        <v>0</v>
      </c>
      <c r="AJ1380" s="75">
        <v>0</v>
      </c>
      <c r="AK1380" s="75">
        <v>0</v>
      </c>
      <c r="AL1380" s="95">
        <v>0</v>
      </c>
      <c r="AM1380" s="92">
        <v>0</v>
      </c>
      <c r="AN1380" s="79" t="s">
        <v>80</v>
      </c>
      <c r="AO1380" s="75">
        <v>1</v>
      </c>
      <c r="AP1380" s="75" t="s">
        <v>83</v>
      </c>
      <c r="AQ1380" s="122">
        <v>1</v>
      </c>
      <c r="AR1380" s="515" t="s">
        <v>10</v>
      </c>
      <c r="AS1380" s="95">
        <v>0</v>
      </c>
      <c r="AT1380" s="75">
        <v>0</v>
      </c>
      <c r="AU1380" s="75">
        <v>0</v>
      </c>
      <c r="AV1380" s="75">
        <v>0</v>
      </c>
      <c r="AW1380" s="123">
        <v>0</v>
      </c>
      <c r="AX1380" s="516"/>
      <c r="AY1380" s="75">
        <v>0</v>
      </c>
      <c r="AZ1380" s="77" t="s">
        <v>131</v>
      </c>
      <c r="BA1380" s="78" t="s">
        <v>132</v>
      </c>
      <c r="BB1380" s="78" t="s">
        <v>131</v>
      </c>
      <c r="BC1380" s="78" t="s">
        <v>131</v>
      </c>
      <c r="BD1380" s="78" t="s">
        <v>131</v>
      </c>
      <c r="BE1380" s="78" t="s">
        <v>131</v>
      </c>
      <c r="BF1380" s="78" t="s">
        <v>131</v>
      </c>
      <c r="BG1380" s="78" t="s">
        <v>131</v>
      </c>
      <c r="BH1380" s="75" t="s">
        <v>5970</v>
      </c>
      <c r="BI1380" s="295" t="s">
        <v>2299</v>
      </c>
      <c r="BJ1380" s="546">
        <v>1</v>
      </c>
      <c r="BK1380" s="294" t="s">
        <v>16</v>
      </c>
      <c r="BL1380" s="157" t="s">
        <v>16</v>
      </c>
      <c r="BM1380" s="548" t="s">
        <v>1348</v>
      </c>
      <c r="BN1380" s="548" t="s">
        <v>4160</v>
      </c>
      <c r="BO1380" s="157" t="s">
        <v>4569</v>
      </c>
      <c r="BP1380" s="548" t="s">
        <v>2299</v>
      </c>
      <c r="BQ1380" s="157" t="s">
        <v>4563</v>
      </c>
      <c r="BR1380" s="157"/>
    </row>
    <row r="1381" spans="1:70" x14ac:dyDescent="0.25">
      <c r="A1381" s="19" t="s">
        <v>3686</v>
      </c>
      <c r="B1381" s="37" t="s">
        <v>1468</v>
      </c>
      <c r="C1381" s="90">
        <v>44791.799409722225</v>
      </c>
      <c r="D1381" s="114">
        <v>44791.549409722225</v>
      </c>
      <c r="E1381" s="38">
        <v>44791</v>
      </c>
      <c r="F1381" s="91">
        <v>2022</v>
      </c>
      <c r="G1381" s="93">
        <v>8</v>
      </c>
      <c r="H1381" s="37" t="s">
        <v>1447</v>
      </c>
      <c r="I1381" s="37"/>
      <c r="J1381" s="103">
        <v>-93.193539138970138</v>
      </c>
      <c r="K1381" s="40">
        <v>44.944509076927737</v>
      </c>
      <c r="L1381" s="74"/>
      <c r="M1381" s="272" t="s">
        <v>16</v>
      </c>
      <c r="N1381" s="74">
        <v>0</v>
      </c>
      <c r="O1381" s="94"/>
      <c r="P1381" s="118">
        <v>1</v>
      </c>
      <c r="Q1381" s="510">
        <v>40</v>
      </c>
      <c r="R1381" s="513">
        <v>30</v>
      </c>
      <c r="S1381" s="41"/>
      <c r="T1381" s="40"/>
      <c r="U1381" s="40">
        <v>7</v>
      </c>
      <c r="V1381" s="119">
        <v>1</v>
      </c>
      <c r="W1381" s="40">
        <v>0</v>
      </c>
      <c r="X1381" s="119">
        <v>1</v>
      </c>
      <c r="Y1381" s="40">
        <v>74</v>
      </c>
      <c r="Z1381" s="119">
        <v>1</v>
      </c>
      <c r="AA1381" s="368">
        <v>0</v>
      </c>
      <c r="AB1381" s="535">
        <v>1</v>
      </c>
      <c r="AC1381" s="39" t="s">
        <v>161</v>
      </c>
      <c r="AD1381" s="75" t="s">
        <v>16</v>
      </c>
      <c r="AE1381" s="95">
        <v>-1</v>
      </c>
      <c r="AF1381" s="75">
        <v>-1</v>
      </c>
      <c r="AG1381" s="75">
        <v>-1</v>
      </c>
      <c r="AH1381" s="75">
        <v>-1</v>
      </c>
      <c r="AI1381" s="75">
        <v>-1</v>
      </c>
      <c r="AJ1381" s="75">
        <v>-1</v>
      </c>
      <c r="AK1381" s="75">
        <v>-1</v>
      </c>
      <c r="AL1381" s="95">
        <v>-1</v>
      </c>
      <c r="AM1381" s="92">
        <v>1</v>
      </c>
      <c r="AN1381" s="79"/>
      <c r="AO1381" s="75">
        <v>0</v>
      </c>
      <c r="AP1381" s="75"/>
      <c r="AQ1381" s="122">
        <v>0</v>
      </c>
      <c r="AR1381" s="515" t="s">
        <v>16</v>
      </c>
      <c r="AS1381" s="95">
        <v>-1</v>
      </c>
      <c r="AT1381" s="75">
        <v>-1</v>
      </c>
      <c r="AU1381" s="75">
        <v>-1</v>
      </c>
      <c r="AV1381" s="75">
        <v>-1</v>
      </c>
      <c r="AW1381" s="123">
        <v>1</v>
      </c>
      <c r="AX1381" s="516"/>
      <c r="AY1381" s="75">
        <v>0</v>
      </c>
      <c r="AZ1381" s="77" t="s">
        <v>5971</v>
      </c>
      <c r="BA1381" s="78" t="s">
        <v>5971</v>
      </c>
      <c r="BB1381" s="78" t="s">
        <v>5971</v>
      </c>
      <c r="BC1381" s="78" t="s">
        <v>5971</v>
      </c>
      <c r="BD1381" s="78" t="s">
        <v>5971</v>
      </c>
      <c r="BE1381" s="78" t="s">
        <v>5971</v>
      </c>
      <c r="BF1381" s="78" t="s">
        <v>5971</v>
      </c>
      <c r="BG1381" s="78" t="s">
        <v>5971</v>
      </c>
      <c r="BH1381" s="75" t="s">
        <v>5971</v>
      </c>
      <c r="BI1381" s="295" t="s">
        <v>16</v>
      </c>
      <c r="BJ1381" s="546" t="s">
        <v>16</v>
      </c>
      <c r="BK1381" s="294" t="s">
        <v>16</v>
      </c>
      <c r="BL1381" s="157" t="s">
        <v>16</v>
      </c>
      <c r="BM1381" s="548" t="s">
        <v>2343</v>
      </c>
      <c r="BN1381" s="548" t="s">
        <v>4161</v>
      </c>
      <c r="BO1381" s="157" t="s">
        <v>4467</v>
      </c>
      <c r="BP1381" s="548" t="s">
        <v>4468</v>
      </c>
      <c r="BQ1381" s="157" t="s">
        <v>4466</v>
      </c>
      <c r="BR1381" s="157"/>
    </row>
    <row r="1382" spans="1:70" x14ac:dyDescent="0.25">
      <c r="A1382" s="19" t="s">
        <v>3686</v>
      </c>
      <c r="B1382" s="37" t="s">
        <v>1469</v>
      </c>
      <c r="C1382" s="90">
        <v>44791.744664351849</v>
      </c>
      <c r="D1382" s="114">
        <v>44791.494664351849</v>
      </c>
      <c r="E1382" s="38">
        <v>44791</v>
      </c>
      <c r="F1382" s="91">
        <v>2022</v>
      </c>
      <c r="G1382" s="93">
        <v>8</v>
      </c>
      <c r="H1382" s="37" t="s">
        <v>1361</v>
      </c>
      <c r="I1382" s="37" t="s">
        <v>16</v>
      </c>
      <c r="J1382" s="103">
        <v>-91.683140806939164</v>
      </c>
      <c r="K1382" s="40">
        <v>42.882842109578554</v>
      </c>
      <c r="L1382" s="74"/>
      <c r="M1382" s="272" t="s">
        <v>1470</v>
      </c>
      <c r="N1382" s="74">
        <v>1</v>
      </c>
      <c r="O1382" s="94"/>
      <c r="P1382" s="118">
        <v>1</v>
      </c>
      <c r="Q1382" s="510">
        <v>180</v>
      </c>
      <c r="R1382" s="513">
        <v>180</v>
      </c>
      <c r="S1382" s="41"/>
      <c r="T1382" s="40"/>
      <c r="U1382" s="40">
        <v>8</v>
      </c>
      <c r="V1382" s="119">
        <v>1</v>
      </c>
      <c r="W1382" s="40">
        <v>0</v>
      </c>
      <c r="X1382" s="119">
        <v>1</v>
      </c>
      <c r="Y1382" s="40">
        <v>0</v>
      </c>
      <c r="Z1382" s="119">
        <v>1</v>
      </c>
      <c r="AA1382" s="368">
        <v>0</v>
      </c>
      <c r="AB1382" s="535">
        <v>10</v>
      </c>
      <c r="AC1382" s="39" t="s">
        <v>160</v>
      </c>
      <c r="AD1382" s="75" t="s">
        <v>8</v>
      </c>
      <c r="AE1382" s="95">
        <v>0</v>
      </c>
      <c r="AF1382" s="75">
        <v>1</v>
      </c>
      <c r="AG1382" s="75">
        <v>0</v>
      </c>
      <c r="AH1382" s="75">
        <v>0</v>
      </c>
      <c r="AI1382" s="75">
        <v>0</v>
      </c>
      <c r="AJ1382" s="75">
        <v>0</v>
      </c>
      <c r="AK1382" s="75">
        <v>0</v>
      </c>
      <c r="AL1382" s="95">
        <v>0</v>
      </c>
      <c r="AM1382" s="92">
        <v>0</v>
      </c>
      <c r="AN1382" s="79" t="s">
        <v>81</v>
      </c>
      <c r="AO1382" s="75">
        <v>1</v>
      </c>
      <c r="AP1382" s="75" t="s">
        <v>83</v>
      </c>
      <c r="AQ1382" s="122">
        <v>1</v>
      </c>
      <c r="AR1382" s="515" t="s">
        <v>10</v>
      </c>
      <c r="AS1382" s="95">
        <v>0</v>
      </c>
      <c r="AT1382" s="75">
        <v>0</v>
      </c>
      <c r="AU1382" s="75">
        <v>0</v>
      </c>
      <c r="AV1382" s="75">
        <v>0</v>
      </c>
      <c r="AW1382" s="123">
        <v>0</v>
      </c>
      <c r="AX1382" s="516"/>
      <c r="AY1382" s="75">
        <v>0</v>
      </c>
      <c r="AZ1382" s="77" t="s">
        <v>131</v>
      </c>
      <c r="BA1382" s="78" t="s">
        <v>132</v>
      </c>
      <c r="BB1382" s="78" t="s">
        <v>131</v>
      </c>
      <c r="BC1382" s="78" t="s">
        <v>131</v>
      </c>
      <c r="BD1382" s="78" t="s">
        <v>131</v>
      </c>
      <c r="BE1382" s="78" t="s">
        <v>131</v>
      </c>
      <c r="BF1382" s="78" t="s">
        <v>131</v>
      </c>
      <c r="BG1382" s="78" t="s">
        <v>131</v>
      </c>
      <c r="BH1382" s="75" t="s">
        <v>5970</v>
      </c>
      <c r="BI1382" s="295" t="s">
        <v>2283</v>
      </c>
      <c r="BJ1382" s="546">
        <v>1</v>
      </c>
      <c r="BK1382" s="294" t="s">
        <v>16</v>
      </c>
      <c r="BL1382" s="157" t="s">
        <v>16</v>
      </c>
      <c r="BM1382" s="548" t="s">
        <v>1347</v>
      </c>
      <c r="BN1382" s="548" t="s">
        <v>4160</v>
      </c>
      <c r="BO1382" s="157" t="s">
        <v>4564</v>
      </c>
      <c r="BP1382" s="548" t="s">
        <v>2283</v>
      </c>
      <c r="BQ1382" s="157" t="s">
        <v>4563</v>
      </c>
      <c r="BR1382" s="157"/>
    </row>
    <row r="1383" spans="1:70" x14ac:dyDescent="0.25">
      <c r="A1383" s="19" t="s">
        <v>3686</v>
      </c>
      <c r="B1383" s="37" t="s">
        <v>1471</v>
      </c>
      <c r="C1383" s="90">
        <v>44790.84101851852</v>
      </c>
      <c r="D1383" s="114">
        <v>44790.59101851852</v>
      </c>
      <c r="E1383" s="38">
        <v>44790</v>
      </c>
      <c r="F1383" s="91">
        <v>2022</v>
      </c>
      <c r="G1383" s="93">
        <v>8</v>
      </c>
      <c r="H1383" s="37" t="s">
        <v>1425</v>
      </c>
      <c r="I1383" s="37"/>
      <c r="J1383" s="103">
        <v>-92.559817475011116</v>
      </c>
      <c r="K1383" s="40">
        <v>44.849467465085034</v>
      </c>
      <c r="L1383" s="74"/>
      <c r="M1383" s="272" t="s">
        <v>1472</v>
      </c>
      <c r="N1383" s="74">
        <v>1</v>
      </c>
      <c r="O1383" s="94"/>
      <c r="P1383" s="118">
        <v>1</v>
      </c>
      <c r="Q1383" s="510">
        <v>180</v>
      </c>
      <c r="R1383" s="513">
        <v>180</v>
      </c>
      <c r="S1383" s="41"/>
      <c r="T1383" s="40"/>
      <c r="U1383" s="40">
        <v>8</v>
      </c>
      <c r="V1383" s="119">
        <v>1</v>
      </c>
      <c r="W1383" s="40">
        <v>0</v>
      </c>
      <c r="X1383" s="119">
        <v>1</v>
      </c>
      <c r="Y1383" s="40">
        <v>62</v>
      </c>
      <c r="Z1383" s="119">
        <v>1</v>
      </c>
      <c r="AA1383" s="368">
        <v>0</v>
      </c>
      <c r="AB1383" s="535">
        <v>2</v>
      </c>
      <c r="AC1383" s="39" t="s">
        <v>160</v>
      </c>
      <c r="AD1383" s="75" t="s">
        <v>8</v>
      </c>
      <c r="AE1383" s="95">
        <v>0</v>
      </c>
      <c r="AF1383" s="75">
        <v>1</v>
      </c>
      <c r="AG1383" s="75">
        <v>0</v>
      </c>
      <c r="AH1383" s="75">
        <v>0</v>
      </c>
      <c r="AI1383" s="75">
        <v>0</v>
      </c>
      <c r="AJ1383" s="75">
        <v>0</v>
      </c>
      <c r="AK1383" s="75">
        <v>0</v>
      </c>
      <c r="AL1383" s="95">
        <v>0</v>
      </c>
      <c r="AM1383" s="92">
        <v>0</v>
      </c>
      <c r="AN1383" s="79" t="s">
        <v>80</v>
      </c>
      <c r="AO1383" s="75">
        <v>1</v>
      </c>
      <c r="AP1383" s="75" t="s">
        <v>83</v>
      </c>
      <c r="AQ1383" s="122">
        <v>1</v>
      </c>
      <c r="AR1383" s="515" t="s">
        <v>10</v>
      </c>
      <c r="AS1383" s="95">
        <v>0</v>
      </c>
      <c r="AT1383" s="75">
        <v>0</v>
      </c>
      <c r="AU1383" s="75">
        <v>0</v>
      </c>
      <c r="AV1383" s="75">
        <v>0</v>
      </c>
      <c r="AW1383" s="123">
        <v>0</v>
      </c>
      <c r="AX1383" s="516" t="s">
        <v>1473</v>
      </c>
      <c r="AY1383" s="75">
        <v>1</v>
      </c>
      <c r="AZ1383" s="77" t="s">
        <v>131</v>
      </c>
      <c r="BA1383" s="78" t="s">
        <v>132</v>
      </c>
      <c r="BB1383" s="78" t="s">
        <v>131</v>
      </c>
      <c r="BC1383" s="78" t="s">
        <v>131</v>
      </c>
      <c r="BD1383" s="78" t="s">
        <v>131</v>
      </c>
      <c r="BE1383" s="78" t="s">
        <v>131</v>
      </c>
      <c r="BF1383" s="78" t="s">
        <v>131</v>
      </c>
      <c r="BG1383" s="78" t="s">
        <v>131</v>
      </c>
      <c r="BH1383" s="75" t="s">
        <v>5970</v>
      </c>
      <c r="BI1383" s="295" t="s">
        <v>2226</v>
      </c>
      <c r="BJ1383" s="546">
        <v>1</v>
      </c>
      <c r="BK1383" s="294">
        <v>1</v>
      </c>
      <c r="BL1383" s="157">
        <v>1</v>
      </c>
      <c r="BM1383" s="548" t="s">
        <v>578</v>
      </c>
      <c r="BN1383" s="548" t="s">
        <v>4159</v>
      </c>
      <c r="BO1383" s="157" t="s">
        <v>4310</v>
      </c>
      <c r="BP1383" s="548" t="s">
        <v>2226</v>
      </c>
      <c r="BQ1383" s="157" t="s">
        <v>4309</v>
      </c>
      <c r="BR1383" s="157"/>
    </row>
    <row r="1384" spans="1:70" x14ac:dyDescent="0.25">
      <c r="A1384" s="19" t="s">
        <v>3686</v>
      </c>
      <c r="B1384" s="37" t="s">
        <v>1474</v>
      </c>
      <c r="C1384" s="90">
        <v>44790.824594907404</v>
      </c>
      <c r="D1384" s="114">
        <v>44790.574594907404</v>
      </c>
      <c r="E1384" s="38">
        <v>44790</v>
      </c>
      <c r="F1384" s="91">
        <v>2022</v>
      </c>
      <c r="G1384" s="93">
        <v>8</v>
      </c>
      <c r="H1384" s="37" t="s">
        <v>1425</v>
      </c>
      <c r="I1384" s="37"/>
      <c r="J1384" s="103">
        <v>-92.583421411686913</v>
      </c>
      <c r="K1384" s="40">
        <v>44.848785971130383</v>
      </c>
      <c r="L1384" s="74"/>
      <c r="M1384" s="272" t="s">
        <v>1475</v>
      </c>
      <c r="N1384" s="74">
        <v>1</v>
      </c>
      <c r="O1384" s="94"/>
      <c r="P1384" s="118">
        <v>1</v>
      </c>
      <c r="Q1384" s="510">
        <v>180</v>
      </c>
      <c r="R1384" s="513">
        <v>180</v>
      </c>
      <c r="S1384" s="41"/>
      <c r="T1384" s="40"/>
      <c r="U1384" s="40">
        <v>7.5</v>
      </c>
      <c r="V1384" s="119">
        <v>1</v>
      </c>
      <c r="W1384" s="40">
        <v>0</v>
      </c>
      <c r="X1384" s="119">
        <v>1</v>
      </c>
      <c r="Y1384" s="40">
        <v>57</v>
      </c>
      <c r="Z1384" s="119">
        <v>1</v>
      </c>
      <c r="AA1384" s="368">
        <v>0</v>
      </c>
      <c r="AB1384" s="535">
        <v>5</v>
      </c>
      <c r="AC1384" s="39" t="s">
        <v>160</v>
      </c>
      <c r="AD1384" s="75" t="s">
        <v>8</v>
      </c>
      <c r="AE1384" s="95">
        <v>0</v>
      </c>
      <c r="AF1384" s="75">
        <v>1</v>
      </c>
      <c r="AG1384" s="75">
        <v>0</v>
      </c>
      <c r="AH1384" s="75">
        <v>0</v>
      </c>
      <c r="AI1384" s="75">
        <v>0</v>
      </c>
      <c r="AJ1384" s="75">
        <v>0</v>
      </c>
      <c r="AK1384" s="75">
        <v>0</v>
      </c>
      <c r="AL1384" s="95">
        <v>0</v>
      </c>
      <c r="AM1384" s="92">
        <v>0</v>
      </c>
      <c r="AN1384" s="79" t="s">
        <v>80</v>
      </c>
      <c r="AO1384" s="75">
        <v>1</v>
      </c>
      <c r="AP1384" s="75" t="s">
        <v>83</v>
      </c>
      <c r="AQ1384" s="122">
        <v>1</v>
      </c>
      <c r="AR1384" s="515" t="s">
        <v>10</v>
      </c>
      <c r="AS1384" s="95">
        <v>0</v>
      </c>
      <c r="AT1384" s="75">
        <v>0</v>
      </c>
      <c r="AU1384" s="75">
        <v>0</v>
      </c>
      <c r="AV1384" s="75">
        <v>0</v>
      </c>
      <c r="AW1384" s="123">
        <v>0</v>
      </c>
      <c r="AX1384" s="516" t="s">
        <v>1476</v>
      </c>
      <c r="AY1384" s="75">
        <v>1</v>
      </c>
      <c r="AZ1384" s="77" t="s">
        <v>131</v>
      </c>
      <c r="BA1384" s="78" t="s">
        <v>132</v>
      </c>
      <c r="BB1384" s="78" t="s">
        <v>131</v>
      </c>
      <c r="BC1384" s="78" t="s">
        <v>131</v>
      </c>
      <c r="BD1384" s="78" t="s">
        <v>131</v>
      </c>
      <c r="BE1384" s="78" t="s">
        <v>131</v>
      </c>
      <c r="BF1384" s="78" t="s">
        <v>131</v>
      </c>
      <c r="BG1384" s="78" t="s">
        <v>131</v>
      </c>
      <c r="BH1384" s="75" t="s">
        <v>5970</v>
      </c>
      <c r="BI1384" s="295" t="s">
        <v>2226</v>
      </c>
      <c r="BJ1384" s="546">
        <v>1</v>
      </c>
      <c r="BK1384" s="294">
        <v>1</v>
      </c>
      <c r="BL1384" s="157">
        <v>1</v>
      </c>
      <c r="BM1384" s="548" t="s">
        <v>578</v>
      </c>
      <c r="BN1384" s="548" t="s">
        <v>4159</v>
      </c>
      <c r="BO1384" s="157" t="s">
        <v>4310</v>
      </c>
      <c r="BP1384" s="548" t="s">
        <v>2226</v>
      </c>
      <c r="BQ1384" s="157" t="s">
        <v>4309</v>
      </c>
      <c r="BR1384" s="157"/>
    </row>
    <row r="1385" spans="1:70" x14ac:dyDescent="0.25">
      <c r="A1385" s="19" t="s">
        <v>3686</v>
      </c>
      <c r="B1385" s="37" t="s">
        <v>1477</v>
      </c>
      <c r="C1385" s="90">
        <v>44790.80672453704</v>
      </c>
      <c r="D1385" s="114">
        <v>44790.55672453704</v>
      </c>
      <c r="E1385" s="38">
        <v>44790</v>
      </c>
      <c r="F1385" s="91">
        <v>2022</v>
      </c>
      <c r="G1385" s="93">
        <v>8</v>
      </c>
      <c r="H1385" s="37" t="s">
        <v>1425</v>
      </c>
      <c r="I1385" s="37"/>
      <c r="J1385" s="103">
        <v>-92.604499210704915</v>
      </c>
      <c r="K1385" s="40">
        <v>44.848262559509557</v>
      </c>
      <c r="L1385" s="74"/>
      <c r="M1385" s="272" t="s">
        <v>1478</v>
      </c>
      <c r="N1385" s="74">
        <v>1</v>
      </c>
      <c r="O1385" s="94"/>
      <c r="P1385" s="118">
        <v>1</v>
      </c>
      <c r="Q1385" s="510">
        <v>180</v>
      </c>
      <c r="R1385" s="513">
        <v>120</v>
      </c>
      <c r="S1385" s="41"/>
      <c r="T1385" s="40"/>
      <c r="U1385" s="40">
        <v>8</v>
      </c>
      <c r="V1385" s="119">
        <v>1</v>
      </c>
      <c r="W1385" s="40">
        <v>0</v>
      </c>
      <c r="X1385" s="119">
        <v>1</v>
      </c>
      <c r="Y1385" s="40">
        <v>61</v>
      </c>
      <c r="Z1385" s="119">
        <v>1</v>
      </c>
      <c r="AA1385" s="368">
        <v>0</v>
      </c>
      <c r="AB1385" s="535">
        <v>2</v>
      </c>
      <c r="AC1385" s="39" t="s">
        <v>160</v>
      </c>
      <c r="AD1385" s="75" t="s">
        <v>8</v>
      </c>
      <c r="AE1385" s="95">
        <v>0</v>
      </c>
      <c r="AF1385" s="75">
        <v>1</v>
      </c>
      <c r="AG1385" s="75">
        <v>0</v>
      </c>
      <c r="AH1385" s="75">
        <v>0</v>
      </c>
      <c r="AI1385" s="75">
        <v>0</v>
      </c>
      <c r="AJ1385" s="75">
        <v>0</v>
      </c>
      <c r="AK1385" s="75">
        <v>0</v>
      </c>
      <c r="AL1385" s="95">
        <v>0</v>
      </c>
      <c r="AM1385" s="92">
        <v>0</v>
      </c>
      <c r="AN1385" s="79" t="s">
        <v>80</v>
      </c>
      <c r="AO1385" s="75">
        <v>1</v>
      </c>
      <c r="AP1385" s="75" t="s">
        <v>83</v>
      </c>
      <c r="AQ1385" s="122">
        <v>1</v>
      </c>
      <c r="AR1385" s="515" t="s">
        <v>10</v>
      </c>
      <c r="AS1385" s="95">
        <v>0</v>
      </c>
      <c r="AT1385" s="75">
        <v>0</v>
      </c>
      <c r="AU1385" s="75">
        <v>0</v>
      </c>
      <c r="AV1385" s="75">
        <v>0</v>
      </c>
      <c r="AW1385" s="123">
        <v>0</v>
      </c>
      <c r="AX1385" s="516" t="s">
        <v>1479</v>
      </c>
      <c r="AY1385" s="75">
        <v>1</v>
      </c>
      <c r="AZ1385" s="77" t="s">
        <v>131</v>
      </c>
      <c r="BA1385" s="78" t="s">
        <v>132</v>
      </c>
      <c r="BB1385" s="78" t="s">
        <v>131</v>
      </c>
      <c r="BC1385" s="78" t="s">
        <v>131</v>
      </c>
      <c r="BD1385" s="78" t="s">
        <v>131</v>
      </c>
      <c r="BE1385" s="78" t="s">
        <v>131</v>
      </c>
      <c r="BF1385" s="78" t="s">
        <v>131</v>
      </c>
      <c r="BG1385" s="78" t="s">
        <v>131</v>
      </c>
      <c r="BH1385" s="75" t="s">
        <v>5970</v>
      </c>
      <c r="BI1385" s="295" t="s">
        <v>2226</v>
      </c>
      <c r="BJ1385" s="546">
        <v>1</v>
      </c>
      <c r="BK1385" s="294">
        <v>1</v>
      </c>
      <c r="BL1385" s="157">
        <v>1</v>
      </c>
      <c r="BM1385" s="548" t="s">
        <v>578</v>
      </c>
      <c r="BN1385" s="548" t="s">
        <v>4159</v>
      </c>
      <c r="BO1385" s="157" t="s">
        <v>4310</v>
      </c>
      <c r="BP1385" s="548" t="s">
        <v>2226</v>
      </c>
      <c r="BQ1385" s="157" t="s">
        <v>4309</v>
      </c>
      <c r="BR1385" s="157"/>
    </row>
    <row r="1386" spans="1:70" x14ac:dyDescent="0.25">
      <c r="A1386" s="19" t="s">
        <v>3686</v>
      </c>
      <c r="B1386" s="37" t="s">
        <v>1480</v>
      </c>
      <c r="C1386" s="90">
        <v>44790.783472222225</v>
      </c>
      <c r="D1386" s="114">
        <v>44790.533472222225</v>
      </c>
      <c r="E1386" s="38">
        <v>44790</v>
      </c>
      <c r="F1386" s="91">
        <v>2022</v>
      </c>
      <c r="G1386" s="93">
        <v>8</v>
      </c>
      <c r="H1386" s="37" t="s">
        <v>1425</v>
      </c>
      <c r="I1386" s="37"/>
      <c r="J1386" s="103">
        <v>-92.622468428708999</v>
      </c>
      <c r="K1386" s="40">
        <v>44.850359291946567</v>
      </c>
      <c r="L1386" s="74"/>
      <c r="M1386" s="272" t="s">
        <v>1481</v>
      </c>
      <c r="N1386" s="74">
        <v>1</v>
      </c>
      <c r="O1386" s="94"/>
      <c r="P1386" s="118">
        <v>1</v>
      </c>
      <c r="Q1386" s="510">
        <v>180</v>
      </c>
      <c r="R1386" s="513">
        <v>180</v>
      </c>
      <c r="S1386" s="41"/>
      <c r="T1386" s="40"/>
      <c r="U1386" s="40">
        <v>8</v>
      </c>
      <c r="V1386" s="119">
        <v>1</v>
      </c>
      <c r="W1386" s="40">
        <v>0</v>
      </c>
      <c r="X1386" s="119">
        <v>1</v>
      </c>
      <c r="Y1386" s="40">
        <v>60</v>
      </c>
      <c r="Z1386" s="119">
        <v>1</v>
      </c>
      <c r="AA1386" s="368">
        <v>0</v>
      </c>
      <c r="AB1386" s="535">
        <v>2</v>
      </c>
      <c r="AC1386" s="39"/>
      <c r="AD1386" s="75" t="s">
        <v>8</v>
      </c>
      <c r="AE1386" s="95">
        <v>0</v>
      </c>
      <c r="AF1386" s="75">
        <v>1</v>
      </c>
      <c r="AG1386" s="75">
        <v>0</v>
      </c>
      <c r="AH1386" s="75">
        <v>0</v>
      </c>
      <c r="AI1386" s="75">
        <v>0</v>
      </c>
      <c r="AJ1386" s="75">
        <v>0</v>
      </c>
      <c r="AK1386" s="75">
        <v>0</v>
      </c>
      <c r="AL1386" s="95">
        <v>0</v>
      </c>
      <c r="AM1386" s="92">
        <v>0</v>
      </c>
      <c r="AN1386" s="79" t="s">
        <v>80</v>
      </c>
      <c r="AO1386" s="75">
        <v>1</v>
      </c>
      <c r="AP1386" s="75" t="s">
        <v>83</v>
      </c>
      <c r="AQ1386" s="122">
        <v>1</v>
      </c>
      <c r="AR1386" s="515" t="s">
        <v>10</v>
      </c>
      <c r="AS1386" s="95">
        <v>0</v>
      </c>
      <c r="AT1386" s="75">
        <v>0</v>
      </c>
      <c r="AU1386" s="75">
        <v>0</v>
      </c>
      <c r="AV1386" s="75">
        <v>0</v>
      </c>
      <c r="AW1386" s="123">
        <v>0</v>
      </c>
      <c r="AX1386" s="516" t="s">
        <v>1482</v>
      </c>
      <c r="AY1386" s="75">
        <v>1</v>
      </c>
      <c r="AZ1386" s="77" t="s">
        <v>131</v>
      </c>
      <c r="BA1386" s="78" t="s">
        <v>132</v>
      </c>
      <c r="BB1386" s="78" t="s">
        <v>131</v>
      </c>
      <c r="BC1386" s="78" t="s">
        <v>131</v>
      </c>
      <c r="BD1386" s="78" t="s">
        <v>131</v>
      </c>
      <c r="BE1386" s="78" t="s">
        <v>131</v>
      </c>
      <c r="BF1386" s="78" t="s">
        <v>131</v>
      </c>
      <c r="BG1386" s="78" t="s">
        <v>131</v>
      </c>
      <c r="BH1386" s="75" t="s">
        <v>5970</v>
      </c>
      <c r="BI1386" s="295" t="s">
        <v>2226</v>
      </c>
      <c r="BJ1386" s="546">
        <v>1</v>
      </c>
      <c r="BK1386" s="294">
        <v>1</v>
      </c>
      <c r="BL1386" s="157">
        <v>1</v>
      </c>
      <c r="BM1386" s="548" t="s">
        <v>578</v>
      </c>
      <c r="BN1386" s="548" t="s">
        <v>4159</v>
      </c>
      <c r="BO1386" s="157" t="s">
        <v>4310</v>
      </c>
      <c r="BP1386" s="548" t="s">
        <v>2226</v>
      </c>
      <c r="BQ1386" s="157" t="s">
        <v>4309</v>
      </c>
      <c r="BR1386" s="157"/>
    </row>
    <row r="1387" spans="1:70" x14ac:dyDescent="0.25">
      <c r="A1387" s="19" t="s">
        <v>3686</v>
      </c>
      <c r="B1387" s="37" t="s">
        <v>1483</v>
      </c>
      <c r="C1387" s="90">
        <v>44790.763680555552</v>
      </c>
      <c r="D1387" s="114">
        <v>44790.513680555552</v>
      </c>
      <c r="E1387" s="38">
        <v>44790</v>
      </c>
      <c r="F1387" s="91">
        <v>2022</v>
      </c>
      <c r="G1387" s="93">
        <v>8</v>
      </c>
      <c r="H1387" s="37" t="s">
        <v>1425</v>
      </c>
      <c r="I1387" s="37"/>
      <c r="J1387" s="103">
        <v>-92.624724570321433</v>
      </c>
      <c r="K1387" s="40">
        <v>44.850559267332379</v>
      </c>
      <c r="L1387" s="74"/>
      <c r="M1387" s="272" t="s">
        <v>1484</v>
      </c>
      <c r="N1387" s="74">
        <v>1</v>
      </c>
      <c r="O1387" s="94"/>
      <c r="P1387" s="118">
        <v>1</v>
      </c>
      <c r="Q1387" s="510">
        <v>180</v>
      </c>
      <c r="R1387" s="513">
        <v>180</v>
      </c>
      <c r="S1387" s="41"/>
      <c r="T1387" s="40"/>
      <c r="U1387" s="40">
        <v>8</v>
      </c>
      <c r="V1387" s="119">
        <v>1</v>
      </c>
      <c r="W1387" s="40">
        <v>0</v>
      </c>
      <c r="X1387" s="119">
        <v>1</v>
      </c>
      <c r="Y1387" s="40">
        <v>60</v>
      </c>
      <c r="Z1387" s="119">
        <v>1</v>
      </c>
      <c r="AA1387" s="368">
        <v>0</v>
      </c>
      <c r="AB1387" s="535">
        <v>2</v>
      </c>
      <c r="AC1387" s="39" t="s">
        <v>160</v>
      </c>
      <c r="AD1387" s="75" t="s">
        <v>8</v>
      </c>
      <c r="AE1387" s="95">
        <v>0</v>
      </c>
      <c r="AF1387" s="75">
        <v>1</v>
      </c>
      <c r="AG1387" s="75">
        <v>0</v>
      </c>
      <c r="AH1387" s="75">
        <v>0</v>
      </c>
      <c r="AI1387" s="75">
        <v>0</v>
      </c>
      <c r="AJ1387" s="75">
        <v>0</v>
      </c>
      <c r="AK1387" s="75">
        <v>0</v>
      </c>
      <c r="AL1387" s="95">
        <v>0</v>
      </c>
      <c r="AM1387" s="92">
        <v>0</v>
      </c>
      <c r="AN1387" s="79" t="s">
        <v>80</v>
      </c>
      <c r="AO1387" s="75">
        <v>1</v>
      </c>
      <c r="AP1387" s="75" t="s">
        <v>83</v>
      </c>
      <c r="AQ1387" s="122">
        <v>1</v>
      </c>
      <c r="AR1387" s="515" t="s">
        <v>10</v>
      </c>
      <c r="AS1387" s="95">
        <v>0</v>
      </c>
      <c r="AT1387" s="75">
        <v>0</v>
      </c>
      <c r="AU1387" s="75">
        <v>0</v>
      </c>
      <c r="AV1387" s="75">
        <v>0</v>
      </c>
      <c r="AW1387" s="123">
        <v>0</v>
      </c>
      <c r="AX1387" s="516" t="s">
        <v>1485</v>
      </c>
      <c r="AY1387" s="75">
        <v>1</v>
      </c>
      <c r="AZ1387" s="77" t="s">
        <v>131</v>
      </c>
      <c r="BA1387" s="78" t="s">
        <v>132</v>
      </c>
      <c r="BB1387" s="78" t="s">
        <v>131</v>
      </c>
      <c r="BC1387" s="78" t="s">
        <v>131</v>
      </c>
      <c r="BD1387" s="78" t="s">
        <v>131</v>
      </c>
      <c r="BE1387" s="78" t="s">
        <v>131</v>
      </c>
      <c r="BF1387" s="78" t="s">
        <v>131</v>
      </c>
      <c r="BG1387" s="78" t="s">
        <v>131</v>
      </c>
      <c r="BH1387" s="75" t="s">
        <v>5970</v>
      </c>
      <c r="BI1387" s="295" t="s">
        <v>2226</v>
      </c>
      <c r="BJ1387" s="546">
        <v>1</v>
      </c>
      <c r="BK1387" s="294">
        <v>1</v>
      </c>
      <c r="BL1387" s="157">
        <v>1</v>
      </c>
      <c r="BM1387" s="548" t="s">
        <v>578</v>
      </c>
      <c r="BN1387" s="548" t="s">
        <v>4159</v>
      </c>
      <c r="BO1387" s="157" t="s">
        <v>4310</v>
      </c>
      <c r="BP1387" s="548" t="s">
        <v>2226</v>
      </c>
      <c r="BQ1387" s="157" t="s">
        <v>4309</v>
      </c>
      <c r="BR1387" s="157"/>
    </row>
    <row r="1388" spans="1:70" x14ac:dyDescent="0.25">
      <c r="A1388" s="19" t="s">
        <v>3686</v>
      </c>
      <c r="B1388" s="37" t="s">
        <v>1486</v>
      </c>
      <c r="C1388" s="90">
        <v>44790.739849537036</v>
      </c>
      <c r="D1388" s="114">
        <v>44790.489849537036</v>
      </c>
      <c r="E1388" s="38">
        <v>44790</v>
      </c>
      <c r="F1388" s="91">
        <v>2022</v>
      </c>
      <c r="G1388" s="93">
        <v>8</v>
      </c>
      <c r="H1388" s="37" t="s">
        <v>1425</v>
      </c>
      <c r="I1388" s="37"/>
      <c r="J1388" s="103">
        <v>-92.634078253341244</v>
      </c>
      <c r="K1388" s="40">
        <v>44.854650755085693</v>
      </c>
      <c r="L1388" s="74"/>
      <c r="M1388" s="272" t="s">
        <v>1487</v>
      </c>
      <c r="N1388" s="74">
        <v>1</v>
      </c>
      <c r="O1388" s="94"/>
      <c r="P1388" s="118">
        <v>1</v>
      </c>
      <c r="Q1388" s="510">
        <v>180</v>
      </c>
      <c r="R1388" s="513">
        <v>180</v>
      </c>
      <c r="S1388" s="41"/>
      <c r="T1388" s="40"/>
      <c r="U1388" s="40">
        <v>8</v>
      </c>
      <c r="V1388" s="119">
        <v>1</v>
      </c>
      <c r="W1388" s="40">
        <v>0</v>
      </c>
      <c r="X1388" s="119">
        <v>1</v>
      </c>
      <c r="Y1388" s="40">
        <v>60</v>
      </c>
      <c r="Z1388" s="119">
        <v>1</v>
      </c>
      <c r="AA1388" s="368">
        <v>0</v>
      </c>
      <c r="AB1388" s="535">
        <v>2</v>
      </c>
      <c r="AC1388" s="39" t="s">
        <v>160</v>
      </c>
      <c r="AD1388" s="75" t="s">
        <v>10</v>
      </c>
      <c r="AE1388" s="95">
        <v>0</v>
      </c>
      <c r="AF1388" s="75">
        <v>0</v>
      </c>
      <c r="AG1388" s="75">
        <v>0</v>
      </c>
      <c r="AH1388" s="75">
        <v>0</v>
      </c>
      <c r="AI1388" s="75">
        <v>0</v>
      </c>
      <c r="AJ1388" s="75">
        <v>0</v>
      </c>
      <c r="AK1388" s="75">
        <v>0</v>
      </c>
      <c r="AL1388" s="95">
        <v>1</v>
      </c>
      <c r="AM1388" s="92">
        <v>0</v>
      </c>
      <c r="AN1388" s="79" t="s">
        <v>80</v>
      </c>
      <c r="AO1388" s="75">
        <v>1</v>
      </c>
      <c r="AP1388" s="75" t="s">
        <v>83</v>
      </c>
      <c r="AQ1388" s="122">
        <v>1</v>
      </c>
      <c r="AR1388" s="515" t="s">
        <v>10</v>
      </c>
      <c r="AS1388" s="95">
        <v>0</v>
      </c>
      <c r="AT1388" s="75">
        <v>0</v>
      </c>
      <c r="AU1388" s="75">
        <v>0</v>
      </c>
      <c r="AV1388" s="75">
        <v>0</v>
      </c>
      <c r="AW1388" s="123">
        <v>0</v>
      </c>
      <c r="AX1388" s="516" t="s">
        <v>1488</v>
      </c>
      <c r="AY1388" s="75">
        <v>1</v>
      </c>
      <c r="AZ1388" s="77" t="s">
        <v>131</v>
      </c>
      <c r="BA1388" s="78" t="s">
        <v>131</v>
      </c>
      <c r="BB1388" s="78" t="s">
        <v>131</v>
      </c>
      <c r="BC1388" s="78" t="s">
        <v>131</v>
      </c>
      <c r="BD1388" s="78" t="s">
        <v>131</v>
      </c>
      <c r="BE1388" s="78" t="s">
        <v>131</v>
      </c>
      <c r="BF1388" s="78" t="s">
        <v>131</v>
      </c>
      <c r="BG1388" s="78" t="s">
        <v>132</v>
      </c>
      <c r="BH1388" s="75" t="s">
        <v>5970</v>
      </c>
      <c r="BI1388" s="295" t="s">
        <v>2227</v>
      </c>
      <c r="BJ1388" s="546">
        <v>1</v>
      </c>
      <c r="BK1388" s="294">
        <v>1</v>
      </c>
      <c r="BL1388" s="157">
        <v>1</v>
      </c>
      <c r="BM1388" s="548" t="s">
        <v>578</v>
      </c>
      <c r="BN1388" s="548" t="s">
        <v>4159</v>
      </c>
      <c r="BO1388" s="157" t="s">
        <v>4310</v>
      </c>
      <c r="BP1388" s="548" t="s">
        <v>2226</v>
      </c>
      <c r="BQ1388" s="157" t="s">
        <v>4309</v>
      </c>
      <c r="BR1388" s="157"/>
    </row>
    <row r="1389" spans="1:70" x14ac:dyDescent="0.25">
      <c r="A1389" s="19" t="s">
        <v>3686</v>
      </c>
      <c r="B1389" s="37" t="s">
        <v>1489</v>
      </c>
      <c r="C1389" s="90">
        <v>44790.60359953704</v>
      </c>
      <c r="D1389" s="114">
        <v>44790.35359953704</v>
      </c>
      <c r="E1389" s="38">
        <v>44790</v>
      </c>
      <c r="F1389" s="91">
        <v>2022</v>
      </c>
      <c r="G1389" s="93">
        <v>8</v>
      </c>
      <c r="H1389" s="37" t="s">
        <v>622</v>
      </c>
      <c r="I1389" s="37"/>
      <c r="J1389" s="103">
        <v>-92.276453403841955</v>
      </c>
      <c r="K1389" s="40">
        <v>44.430818944279501</v>
      </c>
      <c r="L1389" s="74"/>
      <c r="M1389" s="272" t="s">
        <v>16</v>
      </c>
      <c r="N1389" s="74">
        <v>0</v>
      </c>
      <c r="O1389" s="94"/>
      <c r="P1389" s="118">
        <v>1</v>
      </c>
      <c r="Q1389" s="510">
        <v>0</v>
      </c>
      <c r="R1389" s="513">
        <v>30</v>
      </c>
      <c r="S1389" s="41"/>
      <c r="T1389" s="40"/>
      <c r="U1389" s="40">
        <v>7</v>
      </c>
      <c r="V1389" s="119">
        <v>1</v>
      </c>
      <c r="W1389" s="40">
        <v>0</v>
      </c>
      <c r="X1389" s="119">
        <v>0</v>
      </c>
      <c r="Y1389" s="40"/>
      <c r="Z1389" s="119">
        <v>0</v>
      </c>
      <c r="AA1389" s="368" t="s">
        <v>16</v>
      </c>
      <c r="AB1389" s="535" t="s">
        <v>16</v>
      </c>
      <c r="AC1389" s="39" t="s">
        <v>160</v>
      </c>
      <c r="AD1389" s="75" t="s">
        <v>16</v>
      </c>
      <c r="AE1389" s="95">
        <v>-1</v>
      </c>
      <c r="AF1389" s="75">
        <v>-1</v>
      </c>
      <c r="AG1389" s="75">
        <v>-1</v>
      </c>
      <c r="AH1389" s="75">
        <v>-1</v>
      </c>
      <c r="AI1389" s="75">
        <v>-1</v>
      </c>
      <c r="AJ1389" s="75">
        <v>-1</v>
      </c>
      <c r="AK1389" s="75">
        <v>-1</v>
      </c>
      <c r="AL1389" s="95">
        <v>-1</v>
      </c>
      <c r="AM1389" s="92">
        <v>1</v>
      </c>
      <c r="AN1389" s="79"/>
      <c r="AO1389" s="75">
        <v>0</v>
      </c>
      <c r="AP1389" s="75"/>
      <c r="AQ1389" s="122">
        <v>0</v>
      </c>
      <c r="AR1389" s="515" t="s">
        <v>16</v>
      </c>
      <c r="AS1389" s="95">
        <v>-1</v>
      </c>
      <c r="AT1389" s="75">
        <v>-1</v>
      </c>
      <c r="AU1389" s="75">
        <v>-1</v>
      </c>
      <c r="AV1389" s="75">
        <v>-1</v>
      </c>
      <c r="AW1389" s="123">
        <v>1</v>
      </c>
      <c r="AX1389" s="516"/>
      <c r="AY1389" s="75">
        <v>0</v>
      </c>
      <c r="AZ1389" s="77" t="s">
        <v>5971</v>
      </c>
      <c r="BA1389" s="78" t="s">
        <v>5971</v>
      </c>
      <c r="BB1389" s="78" t="s">
        <v>5971</v>
      </c>
      <c r="BC1389" s="78" t="s">
        <v>5971</v>
      </c>
      <c r="BD1389" s="78" t="s">
        <v>5971</v>
      </c>
      <c r="BE1389" s="78" t="s">
        <v>5971</v>
      </c>
      <c r="BF1389" s="78" t="s">
        <v>5971</v>
      </c>
      <c r="BG1389" s="78" t="s">
        <v>5971</v>
      </c>
      <c r="BH1389" s="75" t="s">
        <v>5971</v>
      </c>
      <c r="BI1389" s="295" t="s">
        <v>2228</v>
      </c>
      <c r="BJ1389" s="546">
        <v>1</v>
      </c>
      <c r="BK1389" s="294" t="s">
        <v>16</v>
      </c>
      <c r="BL1389" s="157" t="s">
        <v>16</v>
      </c>
      <c r="BM1389" s="548" t="s">
        <v>1339</v>
      </c>
      <c r="BN1389" s="548" t="s">
        <v>1339</v>
      </c>
      <c r="BO1389" s="157" t="s">
        <v>4614</v>
      </c>
      <c r="BP1389" s="548" t="s">
        <v>2228</v>
      </c>
      <c r="BQ1389" s="157" t="s">
        <v>4214</v>
      </c>
      <c r="BR1389" s="157"/>
    </row>
    <row r="1390" spans="1:70" x14ac:dyDescent="0.25">
      <c r="A1390" s="19" t="s">
        <v>3686</v>
      </c>
      <c r="B1390" s="37" t="s">
        <v>1490</v>
      </c>
      <c r="C1390" s="90">
        <v>44788.776909722219</v>
      </c>
      <c r="D1390" s="114">
        <v>44788.526909722219</v>
      </c>
      <c r="E1390" s="38">
        <v>44788</v>
      </c>
      <c r="F1390" s="91">
        <v>2022</v>
      </c>
      <c r="G1390" s="93">
        <v>8</v>
      </c>
      <c r="H1390" s="37" t="s">
        <v>1491</v>
      </c>
      <c r="I1390" s="37"/>
      <c r="J1390" s="103">
        <v>-92.636456800000005</v>
      </c>
      <c r="K1390" s="40">
        <v>44.854596700000002</v>
      </c>
      <c r="L1390" s="74"/>
      <c r="M1390" s="272" t="s">
        <v>16</v>
      </c>
      <c r="N1390" s="74">
        <v>0</v>
      </c>
      <c r="O1390" s="94"/>
      <c r="P1390" s="118">
        <v>1</v>
      </c>
      <c r="Q1390" s="510">
        <v>80</v>
      </c>
      <c r="R1390" s="513">
        <v>180</v>
      </c>
      <c r="S1390" s="41"/>
      <c r="T1390" s="40"/>
      <c r="U1390" s="40">
        <v>7.5</v>
      </c>
      <c r="V1390" s="119">
        <v>1</v>
      </c>
      <c r="W1390" s="40">
        <v>0</v>
      </c>
      <c r="X1390" s="119">
        <v>1</v>
      </c>
      <c r="Y1390" s="40">
        <v>59</v>
      </c>
      <c r="Z1390" s="119">
        <v>1</v>
      </c>
      <c r="AA1390" s="368">
        <v>0</v>
      </c>
      <c r="AB1390" s="535">
        <v>5</v>
      </c>
      <c r="AC1390" s="39" t="s">
        <v>160</v>
      </c>
      <c r="AD1390" s="75" t="s">
        <v>803</v>
      </c>
      <c r="AE1390" s="95">
        <v>0</v>
      </c>
      <c r="AF1390" s="75">
        <v>1</v>
      </c>
      <c r="AG1390" s="75">
        <v>1</v>
      </c>
      <c r="AH1390" s="75">
        <v>1</v>
      </c>
      <c r="AI1390" s="75">
        <v>0</v>
      </c>
      <c r="AJ1390" s="75">
        <v>0</v>
      </c>
      <c r="AK1390" s="75">
        <v>0</v>
      </c>
      <c r="AL1390" s="95">
        <v>0</v>
      </c>
      <c r="AM1390" s="92">
        <v>0</v>
      </c>
      <c r="AN1390" s="79" t="s">
        <v>80</v>
      </c>
      <c r="AO1390" s="75">
        <v>1</v>
      </c>
      <c r="AP1390" s="75" t="s">
        <v>83</v>
      </c>
      <c r="AQ1390" s="122">
        <v>1</v>
      </c>
      <c r="AR1390" s="515" t="s">
        <v>10</v>
      </c>
      <c r="AS1390" s="95">
        <v>0</v>
      </c>
      <c r="AT1390" s="75">
        <v>0</v>
      </c>
      <c r="AU1390" s="75">
        <v>0</v>
      </c>
      <c r="AV1390" s="75">
        <v>0</v>
      </c>
      <c r="AW1390" s="123">
        <v>0</v>
      </c>
      <c r="AX1390" s="516" t="s">
        <v>1492</v>
      </c>
      <c r="AY1390" s="75">
        <v>1</v>
      </c>
      <c r="AZ1390" s="77" t="s">
        <v>131</v>
      </c>
      <c r="BA1390" s="78" t="s">
        <v>132</v>
      </c>
      <c r="BB1390" s="78" t="s">
        <v>132</v>
      </c>
      <c r="BC1390" s="78" t="s">
        <v>132</v>
      </c>
      <c r="BD1390" s="78" t="s">
        <v>131</v>
      </c>
      <c r="BE1390" s="78" t="s">
        <v>131</v>
      </c>
      <c r="BF1390" s="78" t="s">
        <v>131</v>
      </c>
      <c r="BG1390" s="78" t="s">
        <v>131</v>
      </c>
      <c r="BH1390" s="75" t="s">
        <v>5970</v>
      </c>
      <c r="BI1390" s="295" t="s">
        <v>2227</v>
      </c>
      <c r="BJ1390" s="546">
        <v>1</v>
      </c>
      <c r="BK1390" s="294">
        <v>1</v>
      </c>
      <c r="BL1390" s="157">
        <v>1</v>
      </c>
      <c r="BM1390" s="548" t="s">
        <v>578</v>
      </c>
      <c r="BN1390" s="548" t="s">
        <v>4159</v>
      </c>
      <c r="BO1390" s="157" t="s">
        <v>4341</v>
      </c>
      <c r="BP1390" s="548" t="s">
        <v>4343</v>
      </c>
      <c r="BQ1390" s="157" t="s">
        <v>4309</v>
      </c>
      <c r="BR1390" s="157"/>
    </row>
    <row r="1391" spans="1:70" x14ac:dyDescent="0.25">
      <c r="A1391" s="19" t="s">
        <v>3686</v>
      </c>
      <c r="B1391" s="37" t="s">
        <v>1493</v>
      </c>
      <c r="C1391" s="90">
        <v>44788.760972222219</v>
      </c>
      <c r="D1391" s="114">
        <v>44788.510972222219</v>
      </c>
      <c r="E1391" s="38">
        <v>44788</v>
      </c>
      <c r="F1391" s="91">
        <v>2022</v>
      </c>
      <c r="G1391" s="93">
        <v>8</v>
      </c>
      <c r="H1391" s="37" t="s">
        <v>1491</v>
      </c>
      <c r="I1391" s="37"/>
      <c r="J1391" s="103">
        <v>-92.638147799999999</v>
      </c>
      <c r="K1391" s="40">
        <v>44.851706800000002</v>
      </c>
      <c r="L1391" s="74"/>
      <c r="M1391" s="272" t="s">
        <v>16</v>
      </c>
      <c r="N1391" s="74">
        <v>0</v>
      </c>
      <c r="O1391" s="94"/>
      <c r="P1391" s="118">
        <v>1</v>
      </c>
      <c r="Q1391" s="510">
        <v>80</v>
      </c>
      <c r="R1391" s="513">
        <v>180</v>
      </c>
      <c r="S1391" s="41"/>
      <c r="T1391" s="40"/>
      <c r="U1391" s="40">
        <v>7.5</v>
      </c>
      <c r="V1391" s="119">
        <v>1</v>
      </c>
      <c r="W1391" s="40">
        <v>100</v>
      </c>
      <c r="X1391" s="119">
        <v>1</v>
      </c>
      <c r="Y1391" s="40">
        <v>59</v>
      </c>
      <c r="Z1391" s="119">
        <v>1</v>
      </c>
      <c r="AA1391" s="368">
        <v>0</v>
      </c>
      <c r="AB1391" s="535">
        <v>5</v>
      </c>
      <c r="AC1391" s="39" t="s">
        <v>160</v>
      </c>
      <c r="AD1391" s="75" t="s">
        <v>365</v>
      </c>
      <c r="AE1391" s="95">
        <v>0</v>
      </c>
      <c r="AF1391" s="75">
        <v>1</v>
      </c>
      <c r="AG1391" s="75">
        <v>1</v>
      </c>
      <c r="AH1391" s="75">
        <v>0</v>
      </c>
      <c r="AI1391" s="75">
        <v>0</v>
      </c>
      <c r="AJ1391" s="75">
        <v>0</v>
      </c>
      <c r="AK1391" s="75">
        <v>0</v>
      </c>
      <c r="AL1391" s="95">
        <v>0</v>
      </c>
      <c r="AM1391" s="92">
        <v>0</v>
      </c>
      <c r="AN1391" s="79" t="s">
        <v>80</v>
      </c>
      <c r="AO1391" s="75">
        <v>1</v>
      </c>
      <c r="AP1391" s="75" t="s">
        <v>83</v>
      </c>
      <c r="AQ1391" s="122">
        <v>1</v>
      </c>
      <c r="AR1391" s="515" t="s">
        <v>10</v>
      </c>
      <c r="AS1391" s="95">
        <v>0</v>
      </c>
      <c r="AT1391" s="75">
        <v>0</v>
      </c>
      <c r="AU1391" s="75">
        <v>0</v>
      </c>
      <c r="AV1391" s="75">
        <v>0</v>
      </c>
      <c r="AW1391" s="123">
        <v>0</v>
      </c>
      <c r="AX1391" s="516" t="s">
        <v>1494</v>
      </c>
      <c r="AY1391" s="75">
        <v>1</v>
      </c>
      <c r="AZ1391" s="77" t="s">
        <v>131</v>
      </c>
      <c r="BA1391" s="78" t="s">
        <v>132</v>
      </c>
      <c r="BB1391" s="78" t="s">
        <v>132</v>
      </c>
      <c r="BC1391" s="78" t="s">
        <v>131</v>
      </c>
      <c r="BD1391" s="78" t="s">
        <v>131</v>
      </c>
      <c r="BE1391" s="78" t="s">
        <v>131</v>
      </c>
      <c r="BF1391" s="78" t="s">
        <v>131</v>
      </c>
      <c r="BG1391" s="78" t="s">
        <v>131</v>
      </c>
      <c r="BH1391" s="75" t="s">
        <v>5970</v>
      </c>
      <c r="BI1391" s="295" t="s">
        <v>2227</v>
      </c>
      <c r="BJ1391" s="546">
        <v>1</v>
      </c>
      <c r="BK1391" s="294">
        <v>1</v>
      </c>
      <c r="BL1391" s="157">
        <v>1</v>
      </c>
      <c r="BM1391" s="548" t="s">
        <v>578</v>
      </c>
      <c r="BN1391" s="548" t="s">
        <v>4159</v>
      </c>
      <c r="BO1391" s="157" t="s">
        <v>4341</v>
      </c>
      <c r="BP1391" s="548" t="s">
        <v>4343</v>
      </c>
      <c r="BQ1391" s="157" t="s">
        <v>4309</v>
      </c>
      <c r="BR1391" s="157"/>
    </row>
    <row r="1392" spans="1:70" x14ac:dyDescent="0.25">
      <c r="A1392" s="19" t="s">
        <v>3686</v>
      </c>
      <c r="B1392" s="37" t="s">
        <v>1495</v>
      </c>
      <c r="C1392" s="90">
        <v>44788.726724537039</v>
      </c>
      <c r="D1392" s="114">
        <v>44788.476724537039</v>
      </c>
      <c r="E1392" s="38">
        <v>44788</v>
      </c>
      <c r="F1392" s="91">
        <v>2022</v>
      </c>
      <c r="G1392" s="93">
        <v>8</v>
      </c>
      <c r="H1392" s="37" t="s">
        <v>1433</v>
      </c>
      <c r="I1392" s="37" t="s">
        <v>16</v>
      </c>
      <c r="J1392" s="103">
        <v>-92.631909381684494</v>
      </c>
      <c r="K1392" s="40">
        <v>44.855621256907334</v>
      </c>
      <c r="L1392" s="74"/>
      <c r="M1392" s="272" t="s">
        <v>16</v>
      </c>
      <c r="N1392" s="74">
        <v>0</v>
      </c>
      <c r="O1392" s="94"/>
      <c r="P1392" s="118">
        <v>1</v>
      </c>
      <c r="Q1392" s="510">
        <v>180</v>
      </c>
      <c r="R1392" s="513">
        <v>180</v>
      </c>
      <c r="S1392" s="41"/>
      <c r="T1392" s="40"/>
      <c r="U1392" s="40">
        <v>8</v>
      </c>
      <c r="V1392" s="119">
        <v>1</v>
      </c>
      <c r="W1392" s="40">
        <v>0</v>
      </c>
      <c r="X1392" s="119">
        <v>1</v>
      </c>
      <c r="Y1392" s="40">
        <v>59</v>
      </c>
      <c r="Z1392" s="119">
        <v>1</v>
      </c>
      <c r="AA1392" s="368">
        <v>0</v>
      </c>
      <c r="AB1392" s="535">
        <v>5</v>
      </c>
      <c r="AC1392" s="39" t="s">
        <v>160</v>
      </c>
      <c r="AD1392" s="75" t="s">
        <v>427</v>
      </c>
      <c r="AE1392" s="95">
        <v>0</v>
      </c>
      <c r="AF1392" s="75">
        <v>0</v>
      </c>
      <c r="AG1392" s="75">
        <v>0</v>
      </c>
      <c r="AH1392" s="75">
        <v>0</v>
      </c>
      <c r="AI1392" s="75">
        <v>0</v>
      </c>
      <c r="AJ1392" s="75">
        <v>1</v>
      </c>
      <c r="AK1392" s="75">
        <v>0</v>
      </c>
      <c r="AL1392" s="95">
        <v>0</v>
      </c>
      <c r="AM1392" s="92">
        <v>0</v>
      </c>
      <c r="AN1392" s="79" t="s">
        <v>80</v>
      </c>
      <c r="AO1392" s="75">
        <v>1</v>
      </c>
      <c r="AP1392" s="75" t="s">
        <v>83</v>
      </c>
      <c r="AQ1392" s="122">
        <v>1</v>
      </c>
      <c r="AR1392" s="515" t="s">
        <v>10</v>
      </c>
      <c r="AS1392" s="95">
        <v>0</v>
      </c>
      <c r="AT1392" s="75">
        <v>0</v>
      </c>
      <c r="AU1392" s="75">
        <v>0</v>
      </c>
      <c r="AV1392" s="75">
        <v>0</v>
      </c>
      <c r="AW1392" s="123">
        <v>0</v>
      </c>
      <c r="AX1392" s="516" t="s">
        <v>1496</v>
      </c>
      <c r="AY1392" s="75">
        <v>1</v>
      </c>
      <c r="AZ1392" s="77" t="s">
        <v>131</v>
      </c>
      <c r="BA1392" s="78" t="s">
        <v>131</v>
      </c>
      <c r="BB1392" s="78" t="s">
        <v>131</v>
      </c>
      <c r="BC1392" s="78" t="s">
        <v>131</v>
      </c>
      <c r="BD1392" s="78" t="s">
        <v>131</v>
      </c>
      <c r="BE1392" s="78" t="s">
        <v>132</v>
      </c>
      <c r="BF1392" s="78" t="s">
        <v>131</v>
      </c>
      <c r="BG1392" s="78" t="s">
        <v>131</v>
      </c>
      <c r="BH1392" s="75" t="s">
        <v>5970</v>
      </c>
      <c r="BI1392" s="295" t="s">
        <v>2227</v>
      </c>
      <c r="BJ1392" s="546">
        <v>1</v>
      </c>
      <c r="BK1392" s="294">
        <v>1</v>
      </c>
      <c r="BL1392" s="157">
        <v>1</v>
      </c>
      <c r="BM1392" s="548" t="s">
        <v>578</v>
      </c>
      <c r="BN1392" s="548" t="s">
        <v>4159</v>
      </c>
      <c r="BO1392" s="157" t="s">
        <v>4311</v>
      </c>
      <c r="BP1392" s="548" t="s">
        <v>4395</v>
      </c>
      <c r="BQ1392" s="157" t="s">
        <v>4309</v>
      </c>
      <c r="BR1392" s="157"/>
    </row>
    <row r="1393" spans="1:70" x14ac:dyDescent="0.25">
      <c r="A1393" s="19" t="s">
        <v>3686</v>
      </c>
      <c r="B1393" s="37" t="s">
        <v>1497</v>
      </c>
      <c r="C1393" s="90">
        <v>44788.674421296295</v>
      </c>
      <c r="D1393" s="114">
        <v>44788.424421296295</v>
      </c>
      <c r="E1393" s="38">
        <v>44788</v>
      </c>
      <c r="F1393" s="91">
        <v>2022</v>
      </c>
      <c r="G1393" s="93">
        <v>8</v>
      </c>
      <c r="H1393" s="37" t="s">
        <v>1433</v>
      </c>
      <c r="I1393" s="37"/>
      <c r="J1393" s="103">
        <v>-92.641670443203878</v>
      </c>
      <c r="K1393" s="40">
        <v>44.849838665728313</v>
      </c>
      <c r="L1393" s="74"/>
      <c r="M1393" s="272" t="s">
        <v>16</v>
      </c>
      <c r="N1393" s="74">
        <v>0</v>
      </c>
      <c r="O1393" s="94"/>
      <c r="P1393" s="118">
        <v>1</v>
      </c>
      <c r="Q1393" s="510">
        <v>180</v>
      </c>
      <c r="R1393" s="513">
        <v>180</v>
      </c>
      <c r="S1393" s="41"/>
      <c r="T1393" s="40"/>
      <c r="U1393" s="40">
        <v>8</v>
      </c>
      <c r="V1393" s="119">
        <v>1</v>
      </c>
      <c r="W1393" s="40">
        <v>0</v>
      </c>
      <c r="X1393" s="119">
        <v>1</v>
      </c>
      <c r="Y1393" s="40">
        <v>57</v>
      </c>
      <c r="Z1393" s="119">
        <v>1</v>
      </c>
      <c r="AA1393" s="368">
        <v>0</v>
      </c>
      <c r="AB1393" s="535">
        <v>5</v>
      </c>
      <c r="AC1393" s="39" t="s">
        <v>160</v>
      </c>
      <c r="AD1393" s="75" t="s">
        <v>10</v>
      </c>
      <c r="AE1393" s="95">
        <v>0</v>
      </c>
      <c r="AF1393" s="75">
        <v>0</v>
      </c>
      <c r="AG1393" s="75">
        <v>0</v>
      </c>
      <c r="AH1393" s="75">
        <v>0</v>
      </c>
      <c r="AI1393" s="75">
        <v>0</v>
      </c>
      <c r="AJ1393" s="75">
        <v>0</v>
      </c>
      <c r="AK1393" s="75">
        <v>0</v>
      </c>
      <c r="AL1393" s="95">
        <v>1</v>
      </c>
      <c r="AM1393" s="92">
        <v>0</v>
      </c>
      <c r="AN1393" s="79" t="s">
        <v>80</v>
      </c>
      <c r="AO1393" s="75">
        <v>1</v>
      </c>
      <c r="AP1393" s="75" t="s">
        <v>83</v>
      </c>
      <c r="AQ1393" s="122">
        <v>1</v>
      </c>
      <c r="AR1393" s="515" t="s">
        <v>10</v>
      </c>
      <c r="AS1393" s="95">
        <v>0</v>
      </c>
      <c r="AT1393" s="75">
        <v>0</v>
      </c>
      <c r="AU1393" s="75">
        <v>0</v>
      </c>
      <c r="AV1393" s="75">
        <v>0</v>
      </c>
      <c r="AW1393" s="123">
        <v>0</v>
      </c>
      <c r="AX1393" s="516" t="s">
        <v>1498</v>
      </c>
      <c r="AY1393" s="75">
        <v>1</v>
      </c>
      <c r="AZ1393" s="77" t="s">
        <v>131</v>
      </c>
      <c r="BA1393" s="78" t="s">
        <v>131</v>
      </c>
      <c r="BB1393" s="78" t="s">
        <v>131</v>
      </c>
      <c r="BC1393" s="78" t="s">
        <v>131</v>
      </c>
      <c r="BD1393" s="78" t="s">
        <v>131</v>
      </c>
      <c r="BE1393" s="78" t="s">
        <v>131</v>
      </c>
      <c r="BF1393" s="78" t="s">
        <v>131</v>
      </c>
      <c r="BG1393" s="78" t="s">
        <v>132</v>
      </c>
      <c r="BH1393" s="75" t="s">
        <v>5970</v>
      </c>
      <c r="BI1393" s="295" t="s">
        <v>2227</v>
      </c>
      <c r="BJ1393" s="546">
        <v>1</v>
      </c>
      <c r="BK1393" s="294">
        <v>1</v>
      </c>
      <c r="BL1393" s="157">
        <v>1</v>
      </c>
      <c r="BM1393" s="548" t="s">
        <v>578</v>
      </c>
      <c r="BN1393" s="548" t="s">
        <v>4159</v>
      </c>
      <c r="BO1393" s="157" t="s">
        <v>4341</v>
      </c>
      <c r="BP1393" s="548" t="s">
        <v>4343</v>
      </c>
      <c r="BQ1393" s="157" t="s">
        <v>4309</v>
      </c>
      <c r="BR1393" s="157"/>
    </row>
    <row r="1394" spans="1:70" x14ac:dyDescent="0.25">
      <c r="A1394" s="19" t="s">
        <v>3686</v>
      </c>
      <c r="B1394" s="37" t="s">
        <v>1499</v>
      </c>
      <c r="C1394" s="90">
        <v>44788.658402777779</v>
      </c>
      <c r="D1394" s="114">
        <v>44788.408402777779</v>
      </c>
      <c r="E1394" s="38">
        <v>44788</v>
      </c>
      <c r="F1394" s="91">
        <v>2022</v>
      </c>
      <c r="G1394" s="93">
        <v>8</v>
      </c>
      <c r="H1394" s="37" t="s">
        <v>1386</v>
      </c>
      <c r="I1394" s="37"/>
      <c r="J1394" s="103">
        <v>-92.354986600000004</v>
      </c>
      <c r="K1394" s="40">
        <v>43.707139699999999</v>
      </c>
      <c r="L1394" s="74"/>
      <c r="M1394" s="272" t="s">
        <v>1500</v>
      </c>
      <c r="N1394" s="74">
        <v>1</v>
      </c>
      <c r="O1394" s="94"/>
      <c r="P1394" s="118">
        <v>1</v>
      </c>
      <c r="Q1394" s="510">
        <v>80</v>
      </c>
      <c r="R1394" s="513">
        <v>120</v>
      </c>
      <c r="S1394" s="41"/>
      <c r="T1394" s="40"/>
      <c r="U1394" s="40">
        <v>7.5</v>
      </c>
      <c r="V1394" s="119">
        <v>1</v>
      </c>
      <c r="W1394" s="40">
        <v>100</v>
      </c>
      <c r="X1394" s="119">
        <v>1</v>
      </c>
      <c r="Y1394" s="40">
        <v>58</v>
      </c>
      <c r="Z1394" s="119">
        <v>1</v>
      </c>
      <c r="AA1394" s="368">
        <v>0</v>
      </c>
      <c r="AB1394" s="535">
        <v>5</v>
      </c>
      <c r="AC1394" s="39" t="s">
        <v>160</v>
      </c>
      <c r="AD1394" s="75" t="s">
        <v>10</v>
      </c>
      <c r="AE1394" s="95">
        <v>0</v>
      </c>
      <c r="AF1394" s="75">
        <v>0</v>
      </c>
      <c r="AG1394" s="75">
        <v>0</v>
      </c>
      <c r="AH1394" s="75">
        <v>0</v>
      </c>
      <c r="AI1394" s="75">
        <v>0</v>
      </c>
      <c r="AJ1394" s="75">
        <v>0</v>
      </c>
      <c r="AK1394" s="75">
        <v>0</v>
      </c>
      <c r="AL1394" s="95">
        <v>1</v>
      </c>
      <c r="AM1394" s="92">
        <v>0</v>
      </c>
      <c r="AN1394" s="79" t="s">
        <v>80</v>
      </c>
      <c r="AO1394" s="75">
        <v>1</v>
      </c>
      <c r="AP1394" s="75" t="s">
        <v>83</v>
      </c>
      <c r="AQ1394" s="122">
        <v>1</v>
      </c>
      <c r="AR1394" s="515" t="s">
        <v>10</v>
      </c>
      <c r="AS1394" s="95">
        <v>0</v>
      </c>
      <c r="AT1394" s="75">
        <v>0</v>
      </c>
      <c r="AU1394" s="75">
        <v>0</v>
      </c>
      <c r="AV1394" s="75">
        <v>0</v>
      </c>
      <c r="AW1394" s="123">
        <v>0</v>
      </c>
      <c r="AX1394" s="516"/>
      <c r="AY1394" s="75">
        <v>0</v>
      </c>
      <c r="AZ1394" s="77" t="s">
        <v>131</v>
      </c>
      <c r="BA1394" s="78" t="s">
        <v>131</v>
      </c>
      <c r="BB1394" s="78" t="s">
        <v>131</v>
      </c>
      <c r="BC1394" s="78" t="s">
        <v>131</v>
      </c>
      <c r="BD1394" s="78" t="s">
        <v>131</v>
      </c>
      <c r="BE1394" s="78" t="s">
        <v>131</v>
      </c>
      <c r="BF1394" s="78" t="s">
        <v>131</v>
      </c>
      <c r="BG1394" s="78" t="s">
        <v>132</v>
      </c>
      <c r="BH1394" s="75" t="s">
        <v>5970</v>
      </c>
      <c r="BI1394" s="295" t="s">
        <v>2230</v>
      </c>
      <c r="BJ1394" s="546">
        <v>1</v>
      </c>
      <c r="BK1394" s="294" t="s">
        <v>16</v>
      </c>
      <c r="BL1394" s="157" t="s">
        <v>16</v>
      </c>
      <c r="BM1394" s="548" t="s">
        <v>1339</v>
      </c>
      <c r="BN1394" s="548" t="s">
        <v>1339</v>
      </c>
      <c r="BO1394" s="157" t="s">
        <v>4227</v>
      </c>
      <c r="BP1394" s="548" t="s">
        <v>2230</v>
      </c>
      <c r="BQ1394" s="157" t="s">
        <v>4226</v>
      </c>
      <c r="BR1394" s="157"/>
    </row>
    <row r="1395" spans="1:70" x14ac:dyDescent="0.25">
      <c r="A1395" s="19" t="s">
        <v>3686</v>
      </c>
      <c r="B1395" s="37" t="s">
        <v>1501</v>
      </c>
      <c r="C1395" s="90">
        <v>44788.655277777776</v>
      </c>
      <c r="D1395" s="114">
        <v>44788.405277777776</v>
      </c>
      <c r="E1395" s="38">
        <v>44788</v>
      </c>
      <c r="F1395" s="91">
        <v>2022</v>
      </c>
      <c r="G1395" s="93">
        <v>8</v>
      </c>
      <c r="H1395" s="37" t="s">
        <v>1491</v>
      </c>
      <c r="I1395" s="37"/>
      <c r="J1395" s="103">
        <v>-92.644113599999997</v>
      </c>
      <c r="K1395" s="40">
        <v>44.844366800000003</v>
      </c>
      <c r="L1395" s="74"/>
      <c r="M1395" s="272" t="s">
        <v>16</v>
      </c>
      <c r="N1395" s="74">
        <v>0</v>
      </c>
      <c r="O1395" s="94"/>
      <c r="P1395" s="118">
        <v>1</v>
      </c>
      <c r="Q1395" s="510">
        <v>80</v>
      </c>
      <c r="R1395" s="513">
        <v>180</v>
      </c>
      <c r="S1395" s="41"/>
      <c r="T1395" s="40"/>
      <c r="U1395" s="40">
        <v>7.5</v>
      </c>
      <c r="V1395" s="119">
        <v>1</v>
      </c>
      <c r="W1395" s="40">
        <v>0</v>
      </c>
      <c r="X1395" s="119">
        <v>1</v>
      </c>
      <c r="Y1395" s="40">
        <v>58</v>
      </c>
      <c r="Z1395" s="119">
        <v>1</v>
      </c>
      <c r="AA1395" s="368">
        <v>0</v>
      </c>
      <c r="AB1395" s="535">
        <v>2</v>
      </c>
      <c r="AC1395" s="39" t="s">
        <v>160</v>
      </c>
      <c r="AD1395" s="75" t="s">
        <v>9</v>
      </c>
      <c r="AE1395" s="95">
        <v>0</v>
      </c>
      <c r="AF1395" s="75">
        <v>0</v>
      </c>
      <c r="AG1395" s="75">
        <v>1</v>
      </c>
      <c r="AH1395" s="75">
        <v>0</v>
      </c>
      <c r="AI1395" s="75">
        <v>0</v>
      </c>
      <c r="AJ1395" s="75">
        <v>0</v>
      </c>
      <c r="AK1395" s="75">
        <v>0</v>
      </c>
      <c r="AL1395" s="95">
        <v>0</v>
      </c>
      <c r="AM1395" s="92">
        <v>0</v>
      </c>
      <c r="AN1395" s="79" t="s">
        <v>80</v>
      </c>
      <c r="AO1395" s="75">
        <v>1</v>
      </c>
      <c r="AP1395" s="75" t="s">
        <v>83</v>
      </c>
      <c r="AQ1395" s="122">
        <v>1</v>
      </c>
      <c r="AR1395" s="515" t="s">
        <v>10</v>
      </c>
      <c r="AS1395" s="95">
        <v>0</v>
      </c>
      <c r="AT1395" s="75">
        <v>0</v>
      </c>
      <c r="AU1395" s="75">
        <v>0</v>
      </c>
      <c r="AV1395" s="75">
        <v>0</v>
      </c>
      <c r="AW1395" s="123">
        <v>0</v>
      </c>
      <c r="AX1395" s="516" t="s">
        <v>1502</v>
      </c>
      <c r="AY1395" s="75">
        <v>1</v>
      </c>
      <c r="AZ1395" s="77" t="s">
        <v>131</v>
      </c>
      <c r="BA1395" s="78" t="s">
        <v>131</v>
      </c>
      <c r="BB1395" s="78" t="s">
        <v>132</v>
      </c>
      <c r="BC1395" s="78" t="s">
        <v>131</v>
      </c>
      <c r="BD1395" s="78" t="s">
        <v>131</v>
      </c>
      <c r="BE1395" s="78" t="s">
        <v>131</v>
      </c>
      <c r="BF1395" s="78" t="s">
        <v>131</v>
      </c>
      <c r="BG1395" s="78" t="s">
        <v>131</v>
      </c>
      <c r="BH1395" s="75" t="s">
        <v>5970</v>
      </c>
      <c r="BI1395" s="295" t="s">
        <v>2227</v>
      </c>
      <c r="BJ1395" s="546">
        <v>1</v>
      </c>
      <c r="BK1395" s="294">
        <v>1</v>
      </c>
      <c r="BL1395" s="157">
        <v>1</v>
      </c>
      <c r="BM1395" s="548" t="s">
        <v>578</v>
      </c>
      <c r="BN1395" s="548" t="s">
        <v>4159</v>
      </c>
      <c r="BO1395" s="157" t="s">
        <v>4341</v>
      </c>
      <c r="BP1395" s="548" t="s">
        <v>4343</v>
      </c>
      <c r="BQ1395" s="157" t="s">
        <v>4309</v>
      </c>
      <c r="BR1395" s="157"/>
    </row>
    <row r="1396" spans="1:70" x14ac:dyDescent="0.25">
      <c r="A1396" s="19" t="s">
        <v>3686</v>
      </c>
      <c r="B1396" s="37" t="s">
        <v>1503</v>
      </c>
      <c r="C1396" s="90">
        <v>44788.626469907409</v>
      </c>
      <c r="D1396" s="114">
        <v>44788.376469907409</v>
      </c>
      <c r="E1396" s="38">
        <v>44788</v>
      </c>
      <c r="F1396" s="91">
        <v>2022</v>
      </c>
      <c r="G1396" s="93">
        <v>8</v>
      </c>
      <c r="H1396" s="37" t="s">
        <v>1491</v>
      </c>
      <c r="I1396" s="37" t="s">
        <v>16</v>
      </c>
      <c r="J1396" s="103">
        <v>-92.732112200000003</v>
      </c>
      <c r="K1396" s="40">
        <v>44.831164000000001</v>
      </c>
      <c r="L1396" s="74"/>
      <c r="M1396" s="272" t="s">
        <v>16</v>
      </c>
      <c r="N1396" s="74">
        <v>0</v>
      </c>
      <c r="O1396" s="94"/>
      <c r="P1396" s="118">
        <v>1</v>
      </c>
      <c r="Q1396" s="510">
        <v>80</v>
      </c>
      <c r="R1396" s="513">
        <v>180</v>
      </c>
      <c r="S1396" s="41"/>
      <c r="T1396" s="40"/>
      <c r="U1396" s="40">
        <v>7.5</v>
      </c>
      <c r="V1396" s="119">
        <v>0</v>
      </c>
      <c r="W1396" s="40"/>
      <c r="X1396" s="119">
        <v>1</v>
      </c>
      <c r="Y1396" s="40">
        <v>59</v>
      </c>
      <c r="Z1396" s="119">
        <v>1</v>
      </c>
      <c r="AA1396" s="368">
        <v>0</v>
      </c>
      <c r="AB1396" s="535">
        <v>5</v>
      </c>
      <c r="AC1396" s="39" t="s">
        <v>160</v>
      </c>
      <c r="AD1396" s="75" t="s">
        <v>365</v>
      </c>
      <c r="AE1396" s="95">
        <v>0</v>
      </c>
      <c r="AF1396" s="75">
        <v>1</v>
      </c>
      <c r="AG1396" s="75">
        <v>1</v>
      </c>
      <c r="AH1396" s="75">
        <v>0</v>
      </c>
      <c r="AI1396" s="75">
        <v>0</v>
      </c>
      <c r="AJ1396" s="75">
        <v>0</v>
      </c>
      <c r="AK1396" s="75">
        <v>0</v>
      </c>
      <c r="AL1396" s="95">
        <v>0</v>
      </c>
      <c r="AM1396" s="92">
        <v>0</v>
      </c>
      <c r="AN1396" s="79" t="s">
        <v>80</v>
      </c>
      <c r="AO1396" s="75">
        <v>1</v>
      </c>
      <c r="AP1396" s="75" t="s">
        <v>83</v>
      </c>
      <c r="AQ1396" s="122">
        <v>1</v>
      </c>
      <c r="AR1396" s="515" t="s">
        <v>10</v>
      </c>
      <c r="AS1396" s="95">
        <v>0</v>
      </c>
      <c r="AT1396" s="75">
        <v>0</v>
      </c>
      <c r="AU1396" s="75">
        <v>0</v>
      </c>
      <c r="AV1396" s="75">
        <v>0</v>
      </c>
      <c r="AW1396" s="123">
        <v>0</v>
      </c>
      <c r="AX1396" s="516" t="s">
        <v>1504</v>
      </c>
      <c r="AY1396" s="75">
        <v>1</v>
      </c>
      <c r="AZ1396" s="77" t="s">
        <v>131</v>
      </c>
      <c r="BA1396" s="78" t="s">
        <v>132</v>
      </c>
      <c r="BB1396" s="78" t="s">
        <v>132</v>
      </c>
      <c r="BC1396" s="78" t="s">
        <v>131</v>
      </c>
      <c r="BD1396" s="78" t="s">
        <v>131</v>
      </c>
      <c r="BE1396" s="78" t="s">
        <v>131</v>
      </c>
      <c r="BF1396" s="78" t="s">
        <v>131</v>
      </c>
      <c r="BG1396" s="78" t="s">
        <v>131</v>
      </c>
      <c r="BH1396" s="75" t="s">
        <v>5970</v>
      </c>
      <c r="BI1396" s="295" t="s">
        <v>2227</v>
      </c>
      <c r="BJ1396" s="546">
        <v>1</v>
      </c>
      <c r="BK1396" s="294" t="s">
        <v>16</v>
      </c>
      <c r="BL1396" s="157" t="s">
        <v>16</v>
      </c>
      <c r="BM1396" s="548" t="s">
        <v>578</v>
      </c>
      <c r="BN1396" s="548" t="s">
        <v>4159</v>
      </c>
      <c r="BO1396" s="157" t="s">
        <v>4341</v>
      </c>
      <c r="BP1396" s="548" t="s">
        <v>4343</v>
      </c>
      <c r="BQ1396" s="157" t="s">
        <v>4309</v>
      </c>
      <c r="BR1396" s="157"/>
    </row>
    <row r="1397" spans="1:70" x14ac:dyDescent="0.25">
      <c r="A1397" s="19" t="s">
        <v>3686</v>
      </c>
      <c r="B1397" s="37" t="s">
        <v>1505</v>
      </c>
      <c r="C1397" s="90">
        <v>44788.598553240743</v>
      </c>
      <c r="D1397" s="114">
        <v>44788.348553240743</v>
      </c>
      <c r="E1397" s="38">
        <v>44788</v>
      </c>
      <c r="F1397" s="91">
        <v>2022</v>
      </c>
      <c r="G1397" s="93">
        <v>8</v>
      </c>
      <c r="H1397" s="37" t="s">
        <v>1491</v>
      </c>
      <c r="I1397" s="37"/>
      <c r="J1397" s="103">
        <v>-92.624040199999996</v>
      </c>
      <c r="K1397" s="40">
        <v>44.864024399999998</v>
      </c>
      <c r="L1397" s="74"/>
      <c r="M1397" s="272" t="s">
        <v>16</v>
      </c>
      <c r="N1397" s="74">
        <v>0</v>
      </c>
      <c r="O1397" s="94"/>
      <c r="P1397" s="118">
        <v>1</v>
      </c>
      <c r="Q1397" s="510">
        <v>80</v>
      </c>
      <c r="R1397" s="513">
        <v>180</v>
      </c>
      <c r="S1397" s="41"/>
      <c r="T1397" s="40"/>
      <c r="U1397" s="40">
        <v>7.5</v>
      </c>
      <c r="V1397" s="119">
        <v>1</v>
      </c>
      <c r="W1397" s="40">
        <v>100</v>
      </c>
      <c r="X1397" s="119">
        <v>1</v>
      </c>
      <c r="Y1397" s="40">
        <v>54</v>
      </c>
      <c r="Z1397" s="119">
        <v>1</v>
      </c>
      <c r="AA1397" s="368">
        <v>0</v>
      </c>
      <c r="AB1397" s="535">
        <v>5</v>
      </c>
      <c r="AC1397" s="39" t="s">
        <v>160</v>
      </c>
      <c r="AD1397" s="75" t="s">
        <v>181</v>
      </c>
      <c r="AE1397" s="95">
        <v>0</v>
      </c>
      <c r="AF1397" s="75">
        <v>0</v>
      </c>
      <c r="AG1397" s="75">
        <v>1</v>
      </c>
      <c r="AH1397" s="75">
        <v>1</v>
      </c>
      <c r="AI1397" s="75">
        <v>0</v>
      </c>
      <c r="AJ1397" s="75">
        <v>0</v>
      </c>
      <c r="AK1397" s="75">
        <v>0</v>
      </c>
      <c r="AL1397" s="95">
        <v>0</v>
      </c>
      <c r="AM1397" s="92">
        <v>0</v>
      </c>
      <c r="AN1397" s="79" t="s">
        <v>80</v>
      </c>
      <c r="AO1397" s="75">
        <v>1</v>
      </c>
      <c r="AP1397" s="75" t="s">
        <v>83</v>
      </c>
      <c r="AQ1397" s="122">
        <v>1</v>
      </c>
      <c r="AR1397" s="515" t="s">
        <v>10</v>
      </c>
      <c r="AS1397" s="95">
        <v>0</v>
      </c>
      <c r="AT1397" s="75">
        <v>0</v>
      </c>
      <c r="AU1397" s="75">
        <v>0</v>
      </c>
      <c r="AV1397" s="75">
        <v>0</v>
      </c>
      <c r="AW1397" s="123">
        <v>0</v>
      </c>
      <c r="AX1397" s="516" t="s">
        <v>1506</v>
      </c>
      <c r="AY1397" s="75">
        <v>1</v>
      </c>
      <c r="AZ1397" s="77" t="s">
        <v>131</v>
      </c>
      <c r="BA1397" s="78" t="s">
        <v>131</v>
      </c>
      <c r="BB1397" s="78" t="s">
        <v>132</v>
      </c>
      <c r="BC1397" s="78" t="s">
        <v>132</v>
      </c>
      <c r="BD1397" s="78" t="s">
        <v>131</v>
      </c>
      <c r="BE1397" s="78" t="s">
        <v>131</v>
      </c>
      <c r="BF1397" s="78" t="s">
        <v>131</v>
      </c>
      <c r="BG1397" s="78" t="s">
        <v>131</v>
      </c>
      <c r="BH1397" s="75" t="s">
        <v>5970</v>
      </c>
      <c r="BI1397" s="295" t="s">
        <v>2227</v>
      </c>
      <c r="BJ1397" s="546">
        <v>1</v>
      </c>
      <c r="BK1397" s="294" t="s">
        <v>16</v>
      </c>
      <c r="BL1397" s="157" t="s">
        <v>16</v>
      </c>
      <c r="BM1397" s="548" t="s">
        <v>578</v>
      </c>
      <c r="BN1397" s="548" t="s">
        <v>4159</v>
      </c>
      <c r="BO1397" s="157" t="s">
        <v>4311</v>
      </c>
      <c r="BP1397" s="548" t="s">
        <v>4395</v>
      </c>
      <c r="BQ1397" s="157" t="s">
        <v>4309</v>
      </c>
      <c r="BR1397" s="157"/>
    </row>
    <row r="1398" spans="1:70" x14ac:dyDescent="0.25">
      <c r="A1398" s="19" t="s">
        <v>3686</v>
      </c>
      <c r="B1398" s="37" t="s">
        <v>1507</v>
      </c>
      <c r="C1398" s="90">
        <v>44788.578275462962</v>
      </c>
      <c r="D1398" s="114">
        <v>44788.328275462962</v>
      </c>
      <c r="E1398" s="38">
        <v>44788</v>
      </c>
      <c r="F1398" s="91">
        <v>2022</v>
      </c>
      <c r="G1398" s="93">
        <v>8</v>
      </c>
      <c r="H1398" s="37" t="s">
        <v>1433</v>
      </c>
      <c r="I1398" s="37"/>
      <c r="J1398" s="103">
        <v>-92.621322618883681</v>
      </c>
      <c r="K1398" s="40">
        <v>44.875098872040283</v>
      </c>
      <c r="L1398" s="74"/>
      <c r="M1398" s="272" t="s">
        <v>16</v>
      </c>
      <c r="N1398" s="74">
        <v>0</v>
      </c>
      <c r="O1398" s="94"/>
      <c r="P1398" s="118">
        <v>1</v>
      </c>
      <c r="Q1398" s="510">
        <v>80</v>
      </c>
      <c r="R1398" s="513">
        <v>180</v>
      </c>
      <c r="S1398" s="41"/>
      <c r="T1398" s="40"/>
      <c r="U1398" s="40">
        <v>7.5</v>
      </c>
      <c r="V1398" s="119">
        <v>1</v>
      </c>
      <c r="W1398" s="40">
        <v>0</v>
      </c>
      <c r="X1398" s="119">
        <v>1</v>
      </c>
      <c r="Y1398" s="40">
        <v>54</v>
      </c>
      <c r="Z1398" s="119">
        <v>1</v>
      </c>
      <c r="AA1398" s="368">
        <v>0</v>
      </c>
      <c r="AB1398" s="535">
        <v>10</v>
      </c>
      <c r="AC1398" s="39" t="s">
        <v>160</v>
      </c>
      <c r="AD1398" s="75" t="s">
        <v>9</v>
      </c>
      <c r="AE1398" s="95">
        <v>0</v>
      </c>
      <c r="AF1398" s="75">
        <v>0</v>
      </c>
      <c r="AG1398" s="75">
        <v>1</v>
      </c>
      <c r="AH1398" s="75">
        <v>0</v>
      </c>
      <c r="AI1398" s="75">
        <v>0</v>
      </c>
      <c r="AJ1398" s="75">
        <v>0</v>
      </c>
      <c r="AK1398" s="75">
        <v>0</v>
      </c>
      <c r="AL1398" s="95">
        <v>0</v>
      </c>
      <c r="AM1398" s="92">
        <v>0</v>
      </c>
      <c r="AN1398" s="79" t="s">
        <v>80</v>
      </c>
      <c r="AO1398" s="75">
        <v>1</v>
      </c>
      <c r="AP1398" s="75" t="s">
        <v>83</v>
      </c>
      <c r="AQ1398" s="122">
        <v>1</v>
      </c>
      <c r="AR1398" s="515" t="s">
        <v>10</v>
      </c>
      <c r="AS1398" s="95">
        <v>0</v>
      </c>
      <c r="AT1398" s="75">
        <v>0</v>
      </c>
      <c r="AU1398" s="75">
        <v>0</v>
      </c>
      <c r="AV1398" s="75">
        <v>0</v>
      </c>
      <c r="AW1398" s="123">
        <v>0</v>
      </c>
      <c r="AX1398" s="516" t="s">
        <v>1508</v>
      </c>
      <c r="AY1398" s="75">
        <v>1</v>
      </c>
      <c r="AZ1398" s="77" t="s">
        <v>131</v>
      </c>
      <c r="BA1398" s="78" t="s">
        <v>131</v>
      </c>
      <c r="BB1398" s="78" t="s">
        <v>132</v>
      </c>
      <c r="BC1398" s="78" t="s">
        <v>131</v>
      </c>
      <c r="BD1398" s="78" t="s">
        <v>131</v>
      </c>
      <c r="BE1398" s="78" t="s">
        <v>131</v>
      </c>
      <c r="BF1398" s="78" t="s">
        <v>131</v>
      </c>
      <c r="BG1398" s="78" t="s">
        <v>131</v>
      </c>
      <c r="BH1398" s="75" t="s">
        <v>5970</v>
      </c>
      <c r="BI1398" s="295" t="s">
        <v>16</v>
      </c>
      <c r="BJ1398" s="546">
        <v>1</v>
      </c>
      <c r="BK1398" s="294" t="s">
        <v>16</v>
      </c>
      <c r="BL1398" s="157" t="s">
        <v>16</v>
      </c>
      <c r="BM1398" s="548" t="s">
        <v>578</v>
      </c>
      <c r="BN1398" s="548" t="s">
        <v>4159</v>
      </c>
      <c r="BO1398" s="157" t="s">
        <v>4311</v>
      </c>
      <c r="BP1398" s="548" t="s">
        <v>4395</v>
      </c>
      <c r="BQ1398" s="157" t="s">
        <v>4309</v>
      </c>
      <c r="BR1398" s="157"/>
    </row>
    <row r="1399" spans="1:70" x14ac:dyDescent="0.25">
      <c r="A1399" s="19" t="s">
        <v>3686</v>
      </c>
      <c r="B1399" s="37" t="s">
        <v>1509</v>
      </c>
      <c r="C1399" s="90">
        <v>44783.856805555559</v>
      </c>
      <c r="D1399" s="114">
        <v>44783.606805555559</v>
      </c>
      <c r="E1399" s="38">
        <v>44783</v>
      </c>
      <c r="F1399" s="91">
        <v>2022</v>
      </c>
      <c r="G1399" s="93">
        <v>8</v>
      </c>
      <c r="H1399" s="37" t="s">
        <v>599</v>
      </c>
      <c r="I1399" s="37"/>
      <c r="J1399" s="103">
        <v>-92.442846687324874</v>
      </c>
      <c r="K1399" s="40">
        <v>44.621448410414999</v>
      </c>
      <c r="L1399" s="74"/>
      <c r="M1399" s="272" t="s">
        <v>16</v>
      </c>
      <c r="N1399" s="74">
        <v>0</v>
      </c>
      <c r="O1399" s="94"/>
      <c r="P1399" s="118">
        <v>1</v>
      </c>
      <c r="Q1399" s="510">
        <v>0</v>
      </c>
      <c r="R1399" s="513">
        <v>30</v>
      </c>
      <c r="S1399" s="41"/>
      <c r="T1399" s="40"/>
      <c r="U1399" s="40">
        <v>8</v>
      </c>
      <c r="V1399" s="119">
        <v>1</v>
      </c>
      <c r="W1399" s="40">
        <v>100</v>
      </c>
      <c r="X1399" s="119">
        <v>1</v>
      </c>
      <c r="Y1399" s="40">
        <v>61</v>
      </c>
      <c r="Z1399" s="119">
        <v>1</v>
      </c>
      <c r="AA1399" s="368">
        <v>0</v>
      </c>
      <c r="AB1399" s="535">
        <v>5</v>
      </c>
      <c r="AC1399" s="39" t="s">
        <v>160</v>
      </c>
      <c r="AD1399" s="75" t="s">
        <v>10</v>
      </c>
      <c r="AE1399" s="95">
        <v>0</v>
      </c>
      <c r="AF1399" s="75">
        <v>0</v>
      </c>
      <c r="AG1399" s="75">
        <v>0</v>
      </c>
      <c r="AH1399" s="75">
        <v>0</v>
      </c>
      <c r="AI1399" s="75">
        <v>0</v>
      </c>
      <c r="AJ1399" s="75">
        <v>0</v>
      </c>
      <c r="AK1399" s="75">
        <v>0</v>
      </c>
      <c r="AL1399" s="95">
        <v>1</v>
      </c>
      <c r="AM1399" s="92">
        <v>0</v>
      </c>
      <c r="AN1399" s="79" t="s">
        <v>80</v>
      </c>
      <c r="AO1399" s="75">
        <v>1</v>
      </c>
      <c r="AP1399" s="75" t="s">
        <v>83</v>
      </c>
      <c r="AQ1399" s="122">
        <v>1</v>
      </c>
      <c r="AR1399" s="515" t="s">
        <v>16</v>
      </c>
      <c r="AS1399" s="95">
        <v>-1</v>
      </c>
      <c r="AT1399" s="75">
        <v>-1</v>
      </c>
      <c r="AU1399" s="75">
        <v>-1</v>
      </c>
      <c r="AV1399" s="75">
        <v>-1</v>
      </c>
      <c r="AW1399" s="123">
        <v>1</v>
      </c>
      <c r="AX1399" s="516"/>
      <c r="AY1399" s="75">
        <v>0</v>
      </c>
      <c r="AZ1399" s="77" t="s">
        <v>131</v>
      </c>
      <c r="BA1399" s="78" t="s">
        <v>131</v>
      </c>
      <c r="BB1399" s="78" t="s">
        <v>131</v>
      </c>
      <c r="BC1399" s="78" t="s">
        <v>131</v>
      </c>
      <c r="BD1399" s="78" t="s">
        <v>131</v>
      </c>
      <c r="BE1399" s="78" t="s">
        <v>131</v>
      </c>
      <c r="BF1399" s="78" t="s">
        <v>131</v>
      </c>
      <c r="BG1399" s="78" t="s">
        <v>132</v>
      </c>
      <c r="BH1399" s="75" t="s">
        <v>5970</v>
      </c>
      <c r="BI1399" s="295" t="s">
        <v>2289</v>
      </c>
      <c r="BJ1399" s="546">
        <v>1</v>
      </c>
      <c r="BK1399" s="294" t="s">
        <v>16</v>
      </c>
      <c r="BL1399" s="157" t="s">
        <v>16</v>
      </c>
      <c r="BM1399" s="548" t="s">
        <v>578</v>
      </c>
      <c r="BN1399" s="548" t="s">
        <v>544</v>
      </c>
      <c r="BO1399" s="157" t="s">
        <v>4283</v>
      </c>
      <c r="BP1399" s="548" t="s">
        <v>2289</v>
      </c>
      <c r="BQ1399" s="157" t="s">
        <v>4214</v>
      </c>
      <c r="BR1399" s="157"/>
    </row>
    <row r="1400" spans="1:70" x14ac:dyDescent="0.25">
      <c r="A1400" s="19" t="s">
        <v>3686</v>
      </c>
      <c r="B1400" s="37" t="s">
        <v>1510</v>
      </c>
      <c r="C1400" s="90">
        <v>44783.668090277781</v>
      </c>
      <c r="D1400" s="114">
        <v>44783.418090277781</v>
      </c>
      <c r="E1400" s="38">
        <v>44783</v>
      </c>
      <c r="F1400" s="91">
        <v>2022</v>
      </c>
      <c r="G1400" s="93">
        <v>8</v>
      </c>
      <c r="H1400" s="37" t="s">
        <v>1391</v>
      </c>
      <c r="I1400" s="37" t="s">
        <v>960</v>
      </c>
      <c r="J1400" s="103">
        <v>-93.009026628074238</v>
      </c>
      <c r="K1400" s="40">
        <v>44.65727324136035</v>
      </c>
      <c r="L1400" s="74"/>
      <c r="M1400" s="272" t="s">
        <v>16</v>
      </c>
      <c r="N1400" s="74">
        <v>0</v>
      </c>
      <c r="O1400" s="94"/>
      <c r="P1400" s="118">
        <v>1</v>
      </c>
      <c r="Q1400" s="510">
        <v>180</v>
      </c>
      <c r="R1400" s="513">
        <v>180</v>
      </c>
      <c r="S1400" s="41"/>
      <c r="T1400" s="40"/>
      <c r="U1400" s="40">
        <v>8</v>
      </c>
      <c r="V1400" s="119">
        <v>1</v>
      </c>
      <c r="W1400" s="40">
        <v>200</v>
      </c>
      <c r="X1400" s="119">
        <v>1</v>
      </c>
      <c r="Y1400" s="40">
        <v>66</v>
      </c>
      <c r="Z1400" s="119">
        <v>1</v>
      </c>
      <c r="AA1400" s="368">
        <v>0</v>
      </c>
      <c r="AB1400" s="535">
        <v>5</v>
      </c>
      <c r="AC1400" s="39" t="s">
        <v>160</v>
      </c>
      <c r="AD1400" s="75" t="s">
        <v>10</v>
      </c>
      <c r="AE1400" s="95">
        <v>0</v>
      </c>
      <c r="AF1400" s="75">
        <v>0</v>
      </c>
      <c r="AG1400" s="75">
        <v>0</v>
      </c>
      <c r="AH1400" s="75">
        <v>0</v>
      </c>
      <c r="AI1400" s="75">
        <v>0</v>
      </c>
      <c r="AJ1400" s="75">
        <v>0</v>
      </c>
      <c r="AK1400" s="75">
        <v>0</v>
      </c>
      <c r="AL1400" s="95">
        <v>1</v>
      </c>
      <c r="AM1400" s="92">
        <v>0</v>
      </c>
      <c r="AN1400" s="79" t="s">
        <v>80</v>
      </c>
      <c r="AO1400" s="75">
        <v>1</v>
      </c>
      <c r="AP1400" s="75" t="s">
        <v>83</v>
      </c>
      <c r="AQ1400" s="122">
        <v>1</v>
      </c>
      <c r="AR1400" s="515" t="s">
        <v>10</v>
      </c>
      <c r="AS1400" s="95">
        <v>0</v>
      </c>
      <c r="AT1400" s="75">
        <v>0</v>
      </c>
      <c r="AU1400" s="75">
        <v>0</v>
      </c>
      <c r="AV1400" s="75">
        <v>0</v>
      </c>
      <c r="AW1400" s="123">
        <v>0</v>
      </c>
      <c r="AX1400" s="516"/>
      <c r="AY1400" s="75">
        <v>0</v>
      </c>
      <c r="AZ1400" s="77" t="s">
        <v>131</v>
      </c>
      <c r="BA1400" s="78" t="s">
        <v>131</v>
      </c>
      <c r="BB1400" s="78" t="s">
        <v>131</v>
      </c>
      <c r="BC1400" s="78" t="s">
        <v>131</v>
      </c>
      <c r="BD1400" s="78" t="s">
        <v>131</v>
      </c>
      <c r="BE1400" s="78" t="s">
        <v>131</v>
      </c>
      <c r="BF1400" s="78" t="s">
        <v>131</v>
      </c>
      <c r="BG1400" s="78" t="s">
        <v>132</v>
      </c>
      <c r="BH1400" s="75" t="s">
        <v>5970</v>
      </c>
      <c r="BI1400" s="295" t="s">
        <v>2225</v>
      </c>
      <c r="BJ1400" s="546">
        <v>1</v>
      </c>
      <c r="BK1400" s="294" t="s">
        <v>16</v>
      </c>
      <c r="BL1400" s="157" t="s">
        <v>16</v>
      </c>
      <c r="BM1400" s="548" t="s">
        <v>2343</v>
      </c>
      <c r="BN1400" s="548" t="s">
        <v>4161</v>
      </c>
      <c r="BO1400" s="157" t="s">
        <v>4293</v>
      </c>
      <c r="BP1400" s="548" t="s">
        <v>2225</v>
      </c>
      <c r="BQ1400" s="157" t="s">
        <v>4292</v>
      </c>
      <c r="BR1400" s="157"/>
    </row>
    <row r="1401" spans="1:70" x14ac:dyDescent="0.25">
      <c r="A1401" s="19" t="s">
        <v>3686</v>
      </c>
      <c r="B1401" s="37" t="s">
        <v>1511</v>
      </c>
      <c r="C1401" s="90">
        <v>44783.639664351853</v>
      </c>
      <c r="D1401" s="114">
        <v>44783.389664351853</v>
      </c>
      <c r="E1401" s="38">
        <v>44783</v>
      </c>
      <c r="F1401" s="91">
        <v>2022</v>
      </c>
      <c r="G1401" s="93">
        <v>8</v>
      </c>
      <c r="H1401" s="37" t="s">
        <v>618</v>
      </c>
      <c r="I1401" s="37" t="s">
        <v>753</v>
      </c>
      <c r="J1401" s="103">
        <v>-92.802082368648485</v>
      </c>
      <c r="K1401" s="40">
        <v>44.54305439717772</v>
      </c>
      <c r="L1401" s="74"/>
      <c r="M1401" s="272" t="s">
        <v>1512</v>
      </c>
      <c r="N1401" s="74">
        <v>1</v>
      </c>
      <c r="O1401" s="94"/>
      <c r="P1401" s="118">
        <v>1</v>
      </c>
      <c r="Q1401" s="510">
        <v>180</v>
      </c>
      <c r="R1401" s="513">
        <v>0</v>
      </c>
      <c r="S1401" s="41"/>
      <c r="T1401" s="40"/>
      <c r="U1401" s="40">
        <v>7.5</v>
      </c>
      <c r="V1401" s="119">
        <v>1</v>
      </c>
      <c r="W1401" s="40">
        <v>100</v>
      </c>
      <c r="X1401" s="119">
        <v>1</v>
      </c>
      <c r="Y1401" s="40">
        <v>55</v>
      </c>
      <c r="Z1401" s="119">
        <v>1</v>
      </c>
      <c r="AA1401" s="368">
        <v>0</v>
      </c>
      <c r="AB1401" s="535">
        <v>10</v>
      </c>
      <c r="AC1401" s="39" t="s">
        <v>160</v>
      </c>
      <c r="AD1401" s="75" t="s">
        <v>10</v>
      </c>
      <c r="AE1401" s="95">
        <v>0</v>
      </c>
      <c r="AF1401" s="75">
        <v>0</v>
      </c>
      <c r="AG1401" s="75">
        <v>0</v>
      </c>
      <c r="AH1401" s="75">
        <v>0</v>
      </c>
      <c r="AI1401" s="75">
        <v>0</v>
      </c>
      <c r="AJ1401" s="75">
        <v>0</v>
      </c>
      <c r="AK1401" s="75">
        <v>0</v>
      </c>
      <c r="AL1401" s="95">
        <v>1</v>
      </c>
      <c r="AM1401" s="92">
        <v>0</v>
      </c>
      <c r="AN1401" s="79" t="s">
        <v>80</v>
      </c>
      <c r="AO1401" s="75">
        <v>1</v>
      </c>
      <c r="AP1401" s="75" t="s">
        <v>83</v>
      </c>
      <c r="AQ1401" s="122">
        <v>1</v>
      </c>
      <c r="AR1401" s="515" t="s">
        <v>10</v>
      </c>
      <c r="AS1401" s="95">
        <v>0</v>
      </c>
      <c r="AT1401" s="75">
        <v>0</v>
      </c>
      <c r="AU1401" s="75">
        <v>0</v>
      </c>
      <c r="AV1401" s="75">
        <v>0</v>
      </c>
      <c r="AW1401" s="123">
        <v>0</v>
      </c>
      <c r="AX1401" s="516"/>
      <c r="AY1401" s="75">
        <v>0</v>
      </c>
      <c r="AZ1401" s="77" t="s">
        <v>131</v>
      </c>
      <c r="BA1401" s="78" t="s">
        <v>131</v>
      </c>
      <c r="BB1401" s="78" t="s">
        <v>131</v>
      </c>
      <c r="BC1401" s="78" t="s">
        <v>131</v>
      </c>
      <c r="BD1401" s="78" t="s">
        <v>131</v>
      </c>
      <c r="BE1401" s="78" t="s">
        <v>131</v>
      </c>
      <c r="BF1401" s="78" t="s">
        <v>131</v>
      </c>
      <c r="BG1401" s="78" t="s">
        <v>132</v>
      </c>
      <c r="BH1401" s="75" t="s">
        <v>5970</v>
      </c>
      <c r="BI1401" s="295" t="s">
        <v>2224</v>
      </c>
      <c r="BJ1401" s="546">
        <v>1</v>
      </c>
      <c r="BK1401" s="294">
        <v>1</v>
      </c>
      <c r="BL1401" s="157">
        <v>1</v>
      </c>
      <c r="BM1401" s="548" t="s">
        <v>2343</v>
      </c>
      <c r="BN1401" s="548" t="s">
        <v>4161</v>
      </c>
      <c r="BO1401" s="157" t="s">
        <v>4510</v>
      </c>
      <c r="BP1401" s="548" t="s">
        <v>753</v>
      </c>
      <c r="BQ1401" s="157" t="s">
        <v>4389</v>
      </c>
      <c r="BR1401" s="157"/>
    </row>
    <row r="1402" spans="1:70" x14ac:dyDescent="0.25">
      <c r="A1402" s="19" t="s">
        <v>3686</v>
      </c>
      <c r="B1402" s="37" t="s">
        <v>1513</v>
      </c>
      <c r="C1402" s="90">
        <v>44782.701157407406</v>
      </c>
      <c r="D1402" s="114">
        <v>44782.451157407406</v>
      </c>
      <c r="E1402" s="38">
        <v>44782</v>
      </c>
      <c r="F1402" s="91">
        <v>2022</v>
      </c>
      <c r="G1402" s="93">
        <v>8</v>
      </c>
      <c r="H1402" s="37" t="s">
        <v>1514</v>
      </c>
      <c r="I1402" s="37"/>
      <c r="J1402" s="103">
        <v>-92.189590386491247</v>
      </c>
      <c r="K1402" s="40">
        <v>44.632770618560428</v>
      </c>
      <c r="L1402" s="74"/>
      <c r="M1402" s="272" t="s">
        <v>16</v>
      </c>
      <c r="N1402" s="74">
        <v>0</v>
      </c>
      <c r="O1402" s="94"/>
      <c r="P1402" s="118">
        <v>1</v>
      </c>
      <c r="Q1402" s="510">
        <v>180</v>
      </c>
      <c r="R1402" s="513">
        <v>120</v>
      </c>
      <c r="S1402" s="41"/>
      <c r="T1402" s="40"/>
      <c r="U1402" s="40">
        <v>7.5</v>
      </c>
      <c r="V1402" s="119">
        <v>1</v>
      </c>
      <c r="W1402" s="40">
        <v>0</v>
      </c>
      <c r="X1402" s="119">
        <v>1</v>
      </c>
      <c r="Y1402" s="40">
        <v>57</v>
      </c>
      <c r="Z1402" s="119">
        <v>1</v>
      </c>
      <c r="AA1402" s="368">
        <v>0</v>
      </c>
      <c r="AB1402" s="535">
        <v>2</v>
      </c>
      <c r="AC1402" s="39" t="s">
        <v>160</v>
      </c>
      <c r="AD1402" s="75" t="s">
        <v>16</v>
      </c>
      <c r="AE1402" s="95">
        <v>-1</v>
      </c>
      <c r="AF1402" s="75">
        <v>-1</v>
      </c>
      <c r="AG1402" s="75">
        <v>-1</v>
      </c>
      <c r="AH1402" s="75">
        <v>-1</v>
      </c>
      <c r="AI1402" s="75">
        <v>-1</v>
      </c>
      <c r="AJ1402" s="75">
        <v>-1</v>
      </c>
      <c r="AK1402" s="75">
        <v>-1</v>
      </c>
      <c r="AL1402" s="95">
        <v>-1</v>
      </c>
      <c r="AM1402" s="92">
        <v>1</v>
      </c>
      <c r="AN1402" s="79" t="s">
        <v>81</v>
      </c>
      <c r="AO1402" s="75">
        <v>1</v>
      </c>
      <c r="AP1402" s="75" t="s">
        <v>83</v>
      </c>
      <c r="AQ1402" s="122">
        <v>1</v>
      </c>
      <c r="AR1402" s="515" t="s">
        <v>10</v>
      </c>
      <c r="AS1402" s="95">
        <v>0</v>
      </c>
      <c r="AT1402" s="75">
        <v>0</v>
      </c>
      <c r="AU1402" s="75">
        <v>0</v>
      </c>
      <c r="AV1402" s="75">
        <v>0</v>
      </c>
      <c r="AW1402" s="123">
        <v>0</v>
      </c>
      <c r="AX1402" s="516"/>
      <c r="AY1402" s="75">
        <v>0</v>
      </c>
      <c r="AZ1402" s="77" t="s">
        <v>5971</v>
      </c>
      <c r="BA1402" s="78" t="s">
        <v>5971</v>
      </c>
      <c r="BB1402" s="78" t="s">
        <v>5971</v>
      </c>
      <c r="BC1402" s="78" t="s">
        <v>5971</v>
      </c>
      <c r="BD1402" s="78" t="s">
        <v>5971</v>
      </c>
      <c r="BE1402" s="78" t="s">
        <v>5971</v>
      </c>
      <c r="BF1402" s="78" t="s">
        <v>5971</v>
      </c>
      <c r="BG1402" s="78" t="s">
        <v>5971</v>
      </c>
      <c r="BH1402" s="75" t="s">
        <v>5971</v>
      </c>
      <c r="BI1402" s="295" t="s">
        <v>2248</v>
      </c>
      <c r="BJ1402" s="546">
        <v>1</v>
      </c>
      <c r="BK1402" s="294">
        <v>1</v>
      </c>
      <c r="BL1402" s="157">
        <v>1</v>
      </c>
      <c r="BM1402" s="548" t="s">
        <v>578</v>
      </c>
      <c r="BN1402" s="548" t="s">
        <v>578</v>
      </c>
      <c r="BO1402" s="157" t="s">
        <v>4218</v>
      </c>
      <c r="BP1402" s="548" t="s">
        <v>4221</v>
      </c>
      <c r="BQ1402" s="157" t="s">
        <v>4217</v>
      </c>
      <c r="BR1402" s="157"/>
    </row>
    <row r="1403" spans="1:70" x14ac:dyDescent="0.25">
      <c r="A1403" s="19" t="s">
        <v>3686</v>
      </c>
      <c r="B1403" s="37" t="s">
        <v>1515</v>
      </c>
      <c r="C1403" s="90">
        <v>44782.678194444445</v>
      </c>
      <c r="D1403" s="114">
        <v>44782.428194444445</v>
      </c>
      <c r="E1403" s="38">
        <v>44782</v>
      </c>
      <c r="F1403" s="91">
        <v>2022</v>
      </c>
      <c r="G1403" s="93">
        <v>8</v>
      </c>
      <c r="H1403" s="37" t="s">
        <v>1514</v>
      </c>
      <c r="I1403" s="37" t="s">
        <v>368</v>
      </c>
      <c r="J1403" s="103">
        <v>-92.33148442096396</v>
      </c>
      <c r="K1403" s="40">
        <v>44.746187953092942</v>
      </c>
      <c r="L1403" s="74"/>
      <c r="M1403" s="272" t="s">
        <v>16</v>
      </c>
      <c r="N1403" s="74">
        <v>0</v>
      </c>
      <c r="O1403" s="94"/>
      <c r="P1403" s="118">
        <v>1</v>
      </c>
      <c r="Q1403" s="510">
        <v>80</v>
      </c>
      <c r="R1403" s="513">
        <v>120</v>
      </c>
      <c r="S1403" s="41"/>
      <c r="T1403" s="40"/>
      <c r="U1403" s="40">
        <v>7.5</v>
      </c>
      <c r="V1403" s="119">
        <v>1</v>
      </c>
      <c r="W1403" s="40">
        <v>0</v>
      </c>
      <c r="X1403" s="119">
        <v>1</v>
      </c>
      <c r="Y1403" s="40">
        <v>61</v>
      </c>
      <c r="Z1403" s="119">
        <v>1</v>
      </c>
      <c r="AA1403" s="368">
        <v>0</v>
      </c>
      <c r="AB1403" s="535">
        <v>5</v>
      </c>
      <c r="AC1403" s="39" t="s">
        <v>160</v>
      </c>
      <c r="AD1403" s="75" t="s">
        <v>16</v>
      </c>
      <c r="AE1403" s="95">
        <v>-1</v>
      </c>
      <c r="AF1403" s="75">
        <v>-1</v>
      </c>
      <c r="AG1403" s="75">
        <v>-1</v>
      </c>
      <c r="AH1403" s="75">
        <v>-1</v>
      </c>
      <c r="AI1403" s="75">
        <v>-1</v>
      </c>
      <c r="AJ1403" s="75">
        <v>-1</v>
      </c>
      <c r="AK1403" s="75">
        <v>-1</v>
      </c>
      <c r="AL1403" s="95">
        <v>-1</v>
      </c>
      <c r="AM1403" s="92">
        <v>1</v>
      </c>
      <c r="AN1403" s="79" t="s">
        <v>81</v>
      </c>
      <c r="AO1403" s="75">
        <v>1</v>
      </c>
      <c r="AP1403" s="75" t="s">
        <v>83</v>
      </c>
      <c r="AQ1403" s="122">
        <v>1</v>
      </c>
      <c r="AR1403" s="515" t="s">
        <v>10</v>
      </c>
      <c r="AS1403" s="95">
        <v>0</v>
      </c>
      <c r="AT1403" s="75">
        <v>0</v>
      </c>
      <c r="AU1403" s="75">
        <v>0</v>
      </c>
      <c r="AV1403" s="75">
        <v>0</v>
      </c>
      <c r="AW1403" s="123">
        <v>0</v>
      </c>
      <c r="AX1403" s="516"/>
      <c r="AY1403" s="75">
        <v>0</v>
      </c>
      <c r="AZ1403" s="77" t="s">
        <v>5971</v>
      </c>
      <c r="BA1403" s="78" t="s">
        <v>5971</v>
      </c>
      <c r="BB1403" s="78" t="s">
        <v>5971</v>
      </c>
      <c r="BC1403" s="78" t="s">
        <v>5971</v>
      </c>
      <c r="BD1403" s="78" t="s">
        <v>5971</v>
      </c>
      <c r="BE1403" s="78" t="s">
        <v>5971</v>
      </c>
      <c r="BF1403" s="78" t="s">
        <v>5971</v>
      </c>
      <c r="BG1403" s="78" t="s">
        <v>5971</v>
      </c>
      <c r="BH1403" s="75" t="s">
        <v>5971</v>
      </c>
      <c r="BI1403" s="295" t="s">
        <v>2231</v>
      </c>
      <c r="BJ1403" s="546">
        <v>1</v>
      </c>
      <c r="BK1403" s="294">
        <v>1</v>
      </c>
      <c r="BL1403" s="157">
        <v>1</v>
      </c>
      <c r="BM1403" s="548" t="s">
        <v>578</v>
      </c>
      <c r="BN1403" s="548" t="s">
        <v>578</v>
      </c>
      <c r="BO1403" s="157" t="s">
        <v>4213</v>
      </c>
      <c r="BP1403" s="548" t="s">
        <v>4216</v>
      </c>
      <c r="BQ1403" s="157" t="s">
        <v>4212</v>
      </c>
      <c r="BR1403" s="157"/>
    </row>
    <row r="1404" spans="1:70" x14ac:dyDescent="0.25">
      <c r="A1404" s="19" t="s">
        <v>3686</v>
      </c>
      <c r="B1404" s="37" t="s">
        <v>1516</v>
      </c>
      <c r="C1404" s="90">
        <v>44782.672627314816</v>
      </c>
      <c r="D1404" s="114">
        <v>44782.422627314816</v>
      </c>
      <c r="E1404" s="38">
        <v>44782</v>
      </c>
      <c r="F1404" s="91">
        <v>2022</v>
      </c>
      <c r="G1404" s="93">
        <v>8</v>
      </c>
      <c r="H1404" s="37" t="s">
        <v>1517</v>
      </c>
      <c r="I1404" s="37" t="s">
        <v>16</v>
      </c>
      <c r="J1404" s="103">
        <v>-91.516235253834736</v>
      </c>
      <c r="K1404" s="40">
        <v>44.773643848149973</v>
      </c>
      <c r="L1404" s="74"/>
      <c r="M1404" s="272" t="s">
        <v>16</v>
      </c>
      <c r="N1404" s="74">
        <v>0</v>
      </c>
      <c r="O1404" s="94"/>
      <c r="P1404" s="118">
        <v>1</v>
      </c>
      <c r="Q1404" s="510">
        <v>80</v>
      </c>
      <c r="R1404" s="513">
        <v>30</v>
      </c>
      <c r="S1404" s="41"/>
      <c r="T1404" s="40"/>
      <c r="U1404" s="40">
        <v>6</v>
      </c>
      <c r="V1404" s="119">
        <v>0</v>
      </c>
      <c r="W1404" s="40"/>
      <c r="X1404" s="119">
        <v>1</v>
      </c>
      <c r="Y1404" s="40">
        <v>62</v>
      </c>
      <c r="Z1404" s="119">
        <v>0</v>
      </c>
      <c r="AA1404" s="368" t="s">
        <v>16</v>
      </c>
      <c r="AB1404" s="535" t="s">
        <v>16</v>
      </c>
      <c r="AC1404" s="39" t="s">
        <v>160</v>
      </c>
      <c r="AD1404" s="75" t="s">
        <v>10</v>
      </c>
      <c r="AE1404" s="95">
        <v>0</v>
      </c>
      <c r="AF1404" s="75">
        <v>0</v>
      </c>
      <c r="AG1404" s="75">
        <v>0</v>
      </c>
      <c r="AH1404" s="75">
        <v>0</v>
      </c>
      <c r="AI1404" s="75">
        <v>0</v>
      </c>
      <c r="AJ1404" s="75">
        <v>0</v>
      </c>
      <c r="AK1404" s="75">
        <v>0</v>
      </c>
      <c r="AL1404" s="95">
        <v>1</v>
      </c>
      <c r="AM1404" s="92">
        <v>0</v>
      </c>
      <c r="AN1404" s="79" t="s">
        <v>80</v>
      </c>
      <c r="AO1404" s="75">
        <v>1</v>
      </c>
      <c r="AP1404" s="75" t="s">
        <v>84</v>
      </c>
      <c r="AQ1404" s="122">
        <v>1</v>
      </c>
      <c r="AR1404" s="515" t="s">
        <v>16</v>
      </c>
      <c r="AS1404" s="95">
        <v>-1</v>
      </c>
      <c r="AT1404" s="75">
        <v>-1</v>
      </c>
      <c r="AU1404" s="75">
        <v>-1</v>
      </c>
      <c r="AV1404" s="75">
        <v>-1</v>
      </c>
      <c r="AW1404" s="123">
        <v>1</v>
      </c>
      <c r="AX1404" s="516"/>
      <c r="AY1404" s="75">
        <v>0</v>
      </c>
      <c r="AZ1404" s="77" t="s">
        <v>131</v>
      </c>
      <c r="BA1404" s="78" t="s">
        <v>131</v>
      </c>
      <c r="BB1404" s="78" t="s">
        <v>131</v>
      </c>
      <c r="BC1404" s="78" t="s">
        <v>131</v>
      </c>
      <c r="BD1404" s="78" t="s">
        <v>131</v>
      </c>
      <c r="BE1404" s="78" t="s">
        <v>131</v>
      </c>
      <c r="BF1404" s="78" t="s">
        <v>131</v>
      </c>
      <c r="BG1404" s="78" t="s">
        <v>132</v>
      </c>
      <c r="BH1404" s="75" t="s">
        <v>5970</v>
      </c>
      <c r="BI1404" s="295" t="s">
        <v>2257</v>
      </c>
      <c r="BJ1404" s="546">
        <v>1</v>
      </c>
      <c r="BK1404" s="294" t="s">
        <v>16</v>
      </c>
      <c r="BL1404" s="157" t="s">
        <v>16</v>
      </c>
      <c r="BM1404" s="548" t="s">
        <v>1340</v>
      </c>
      <c r="BN1404" s="548" t="s">
        <v>2344</v>
      </c>
      <c r="BO1404" s="157" t="s">
        <v>4628</v>
      </c>
      <c r="BP1404" s="548" t="s">
        <v>4629</v>
      </c>
      <c r="BQ1404" s="157" t="s">
        <v>4627</v>
      </c>
      <c r="BR1404" s="157"/>
    </row>
    <row r="1405" spans="1:70" x14ac:dyDescent="0.25">
      <c r="A1405" s="19" t="s">
        <v>3686</v>
      </c>
      <c r="B1405" s="37" t="s">
        <v>1518</v>
      </c>
      <c r="C1405" s="90">
        <v>44781.680960648147</v>
      </c>
      <c r="D1405" s="114">
        <v>44781.430960648147</v>
      </c>
      <c r="E1405" s="38">
        <v>44781</v>
      </c>
      <c r="F1405" s="91">
        <v>2022</v>
      </c>
      <c r="G1405" s="93">
        <v>8</v>
      </c>
      <c r="H1405" s="37" t="s">
        <v>1491</v>
      </c>
      <c r="I1405" s="37" t="s">
        <v>146</v>
      </c>
      <c r="J1405" s="103">
        <v>-92.624029800000002</v>
      </c>
      <c r="K1405" s="40">
        <v>44.864094999999999</v>
      </c>
      <c r="L1405" s="74"/>
      <c r="M1405" s="272" t="s">
        <v>16</v>
      </c>
      <c r="N1405" s="74">
        <v>0</v>
      </c>
      <c r="O1405" s="94"/>
      <c r="P1405" s="118">
        <v>1</v>
      </c>
      <c r="Q1405" s="510">
        <v>80</v>
      </c>
      <c r="R1405" s="513">
        <v>180</v>
      </c>
      <c r="S1405" s="41"/>
      <c r="T1405" s="40"/>
      <c r="U1405" s="40">
        <v>7.5</v>
      </c>
      <c r="V1405" s="119">
        <v>1</v>
      </c>
      <c r="W1405" s="40">
        <v>0</v>
      </c>
      <c r="X1405" s="119">
        <v>1</v>
      </c>
      <c r="Y1405" s="40">
        <v>59</v>
      </c>
      <c r="Z1405" s="119">
        <v>1</v>
      </c>
      <c r="AA1405" s="368">
        <v>0</v>
      </c>
      <c r="AB1405" s="535">
        <v>2</v>
      </c>
      <c r="AC1405" s="39" t="s">
        <v>160</v>
      </c>
      <c r="AD1405" s="75" t="s">
        <v>181</v>
      </c>
      <c r="AE1405" s="95">
        <v>0</v>
      </c>
      <c r="AF1405" s="75">
        <v>0</v>
      </c>
      <c r="AG1405" s="75">
        <v>1</v>
      </c>
      <c r="AH1405" s="75">
        <v>1</v>
      </c>
      <c r="AI1405" s="75">
        <v>0</v>
      </c>
      <c r="AJ1405" s="75">
        <v>0</v>
      </c>
      <c r="AK1405" s="75">
        <v>0</v>
      </c>
      <c r="AL1405" s="95">
        <v>0</v>
      </c>
      <c r="AM1405" s="92">
        <v>0</v>
      </c>
      <c r="AN1405" s="79" t="s">
        <v>81</v>
      </c>
      <c r="AO1405" s="75">
        <v>1</v>
      </c>
      <c r="AP1405" s="75" t="s">
        <v>83</v>
      </c>
      <c r="AQ1405" s="122">
        <v>1</v>
      </c>
      <c r="AR1405" s="515" t="s">
        <v>10</v>
      </c>
      <c r="AS1405" s="95">
        <v>0</v>
      </c>
      <c r="AT1405" s="75">
        <v>0</v>
      </c>
      <c r="AU1405" s="75">
        <v>0</v>
      </c>
      <c r="AV1405" s="75">
        <v>0</v>
      </c>
      <c r="AW1405" s="123">
        <v>0</v>
      </c>
      <c r="AX1405" s="516" t="s">
        <v>16</v>
      </c>
      <c r="AY1405" s="75">
        <v>0</v>
      </c>
      <c r="AZ1405" s="77" t="s">
        <v>131</v>
      </c>
      <c r="BA1405" s="78" t="s">
        <v>131</v>
      </c>
      <c r="BB1405" s="78" t="s">
        <v>132</v>
      </c>
      <c r="BC1405" s="78" t="s">
        <v>132</v>
      </c>
      <c r="BD1405" s="78" t="s">
        <v>131</v>
      </c>
      <c r="BE1405" s="78" t="s">
        <v>131</v>
      </c>
      <c r="BF1405" s="78" t="s">
        <v>131</v>
      </c>
      <c r="BG1405" s="78" t="s">
        <v>131</v>
      </c>
      <c r="BH1405" s="75" t="s">
        <v>5970</v>
      </c>
      <c r="BI1405" s="295" t="s">
        <v>2227</v>
      </c>
      <c r="BJ1405" s="546">
        <v>1</v>
      </c>
      <c r="BK1405" s="294" t="s">
        <v>16</v>
      </c>
      <c r="BL1405" s="157" t="s">
        <v>16</v>
      </c>
      <c r="BM1405" s="548" t="s">
        <v>578</v>
      </c>
      <c r="BN1405" s="548" t="s">
        <v>4159</v>
      </c>
      <c r="BO1405" s="157" t="s">
        <v>4311</v>
      </c>
      <c r="BP1405" s="548" t="s">
        <v>4395</v>
      </c>
      <c r="BQ1405" s="157" t="s">
        <v>4309</v>
      </c>
      <c r="BR1405" s="157"/>
    </row>
    <row r="1406" spans="1:70" x14ac:dyDescent="0.25">
      <c r="A1406" s="19" t="s">
        <v>3686</v>
      </c>
      <c r="B1406" s="37" t="s">
        <v>1519</v>
      </c>
      <c r="C1406" s="90">
        <v>44781.65966435185</v>
      </c>
      <c r="D1406" s="114">
        <v>44781.40966435185</v>
      </c>
      <c r="E1406" s="38">
        <v>44781</v>
      </c>
      <c r="F1406" s="91">
        <v>2022</v>
      </c>
      <c r="G1406" s="93">
        <v>8</v>
      </c>
      <c r="H1406" s="37" t="s">
        <v>1491</v>
      </c>
      <c r="I1406" s="37"/>
      <c r="J1406" s="103">
        <v>-92.641572100000005</v>
      </c>
      <c r="K1406" s="40">
        <v>44.849925200000001</v>
      </c>
      <c r="L1406" s="74"/>
      <c r="M1406" s="272" t="s">
        <v>16</v>
      </c>
      <c r="N1406" s="74">
        <v>0</v>
      </c>
      <c r="O1406" s="94"/>
      <c r="P1406" s="118">
        <v>1</v>
      </c>
      <c r="Q1406" s="510">
        <v>80</v>
      </c>
      <c r="R1406" s="513">
        <v>120</v>
      </c>
      <c r="S1406" s="41"/>
      <c r="T1406" s="40"/>
      <c r="U1406" s="40">
        <v>7.5</v>
      </c>
      <c r="V1406" s="119">
        <v>1</v>
      </c>
      <c r="W1406" s="40">
        <v>0</v>
      </c>
      <c r="X1406" s="119">
        <v>1</v>
      </c>
      <c r="Y1406" s="40">
        <v>60</v>
      </c>
      <c r="Z1406" s="119">
        <v>1</v>
      </c>
      <c r="AA1406" s="368">
        <v>0</v>
      </c>
      <c r="AB1406" s="535">
        <v>5</v>
      </c>
      <c r="AC1406" s="39" t="s">
        <v>160</v>
      </c>
      <c r="AD1406" s="75" t="s">
        <v>16</v>
      </c>
      <c r="AE1406" s="95">
        <v>-1</v>
      </c>
      <c r="AF1406" s="75">
        <v>-1</v>
      </c>
      <c r="AG1406" s="75">
        <v>-1</v>
      </c>
      <c r="AH1406" s="75">
        <v>-1</v>
      </c>
      <c r="AI1406" s="75">
        <v>-1</v>
      </c>
      <c r="AJ1406" s="75">
        <v>-1</v>
      </c>
      <c r="AK1406" s="75">
        <v>-1</v>
      </c>
      <c r="AL1406" s="95">
        <v>-1</v>
      </c>
      <c r="AM1406" s="92">
        <v>1</v>
      </c>
      <c r="AN1406" s="79"/>
      <c r="AO1406" s="75">
        <v>0</v>
      </c>
      <c r="AP1406" s="75"/>
      <c r="AQ1406" s="122">
        <v>0</v>
      </c>
      <c r="AR1406" s="515" t="s">
        <v>16</v>
      </c>
      <c r="AS1406" s="95">
        <v>-1</v>
      </c>
      <c r="AT1406" s="75">
        <v>-1</v>
      </c>
      <c r="AU1406" s="75">
        <v>-1</v>
      </c>
      <c r="AV1406" s="75">
        <v>-1</v>
      </c>
      <c r="AW1406" s="123">
        <v>1</v>
      </c>
      <c r="AX1406" s="516" t="s">
        <v>1520</v>
      </c>
      <c r="AY1406" s="75">
        <v>1</v>
      </c>
      <c r="AZ1406" s="77" t="s">
        <v>5971</v>
      </c>
      <c r="BA1406" s="78" t="s">
        <v>5971</v>
      </c>
      <c r="BB1406" s="78" t="s">
        <v>5971</v>
      </c>
      <c r="BC1406" s="78" t="s">
        <v>5971</v>
      </c>
      <c r="BD1406" s="78" t="s">
        <v>5971</v>
      </c>
      <c r="BE1406" s="78" t="s">
        <v>5971</v>
      </c>
      <c r="BF1406" s="78" t="s">
        <v>5971</v>
      </c>
      <c r="BG1406" s="78" t="s">
        <v>5971</v>
      </c>
      <c r="BH1406" s="75" t="s">
        <v>5971</v>
      </c>
      <c r="BI1406" s="295" t="s">
        <v>2227</v>
      </c>
      <c r="BJ1406" s="546">
        <v>1</v>
      </c>
      <c r="BK1406" s="294">
        <v>1</v>
      </c>
      <c r="BL1406" s="157">
        <v>1</v>
      </c>
      <c r="BM1406" s="548" t="s">
        <v>578</v>
      </c>
      <c r="BN1406" s="548" t="s">
        <v>4159</v>
      </c>
      <c r="BO1406" s="157" t="s">
        <v>4341</v>
      </c>
      <c r="BP1406" s="548" t="s">
        <v>4343</v>
      </c>
      <c r="BQ1406" s="157" t="s">
        <v>4309</v>
      </c>
      <c r="BR1406" s="157"/>
    </row>
    <row r="1407" spans="1:70" x14ac:dyDescent="0.25">
      <c r="A1407" s="19" t="s">
        <v>3686</v>
      </c>
      <c r="B1407" s="37" t="s">
        <v>1521</v>
      </c>
      <c r="C1407" s="90">
        <v>44781.656087962961</v>
      </c>
      <c r="D1407" s="114">
        <v>44781.406087962961</v>
      </c>
      <c r="E1407" s="38">
        <v>44781</v>
      </c>
      <c r="F1407" s="91">
        <v>2022</v>
      </c>
      <c r="G1407" s="93">
        <v>8</v>
      </c>
      <c r="H1407" s="37" t="s">
        <v>260</v>
      </c>
      <c r="I1407" s="37" t="s">
        <v>337</v>
      </c>
      <c r="J1407" s="103">
        <v>-92.644998786573723</v>
      </c>
      <c r="K1407" s="40">
        <v>44.843618056233254</v>
      </c>
      <c r="L1407" s="74"/>
      <c r="M1407" s="272" t="s">
        <v>1522</v>
      </c>
      <c r="N1407" s="74">
        <v>1</v>
      </c>
      <c r="O1407" s="94"/>
      <c r="P1407" s="118">
        <v>1</v>
      </c>
      <c r="Q1407" s="510">
        <v>0</v>
      </c>
      <c r="R1407" s="513">
        <v>30</v>
      </c>
      <c r="S1407" s="41"/>
      <c r="T1407" s="40"/>
      <c r="U1407" s="40">
        <v>7</v>
      </c>
      <c r="V1407" s="119">
        <v>1</v>
      </c>
      <c r="W1407" s="40">
        <v>200</v>
      </c>
      <c r="X1407" s="119">
        <v>1</v>
      </c>
      <c r="Y1407" s="40">
        <v>58</v>
      </c>
      <c r="Z1407" s="119">
        <v>1</v>
      </c>
      <c r="AA1407" s="368">
        <v>0</v>
      </c>
      <c r="AB1407" s="535">
        <v>5</v>
      </c>
      <c r="AC1407" s="39" t="s">
        <v>160</v>
      </c>
      <c r="AD1407" s="75" t="s">
        <v>10</v>
      </c>
      <c r="AE1407" s="95">
        <v>0</v>
      </c>
      <c r="AF1407" s="75">
        <v>0</v>
      </c>
      <c r="AG1407" s="75">
        <v>0</v>
      </c>
      <c r="AH1407" s="75">
        <v>0</v>
      </c>
      <c r="AI1407" s="75">
        <v>0</v>
      </c>
      <c r="AJ1407" s="75">
        <v>0</v>
      </c>
      <c r="AK1407" s="75">
        <v>0</v>
      </c>
      <c r="AL1407" s="95">
        <v>1</v>
      </c>
      <c r="AM1407" s="92">
        <v>0</v>
      </c>
      <c r="AN1407" s="79" t="s">
        <v>80</v>
      </c>
      <c r="AO1407" s="75">
        <v>1</v>
      </c>
      <c r="AP1407" s="75" t="s">
        <v>83</v>
      </c>
      <c r="AQ1407" s="122">
        <v>1</v>
      </c>
      <c r="AR1407" s="515" t="s">
        <v>35</v>
      </c>
      <c r="AS1407" s="95">
        <v>0</v>
      </c>
      <c r="AT1407" s="75">
        <v>1</v>
      </c>
      <c r="AU1407" s="75">
        <v>0</v>
      </c>
      <c r="AV1407" s="75">
        <v>0</v>
      </c>
      <c r="AW1407" s="123">
        <v>0</v>
      </c>
      <c r="AX1407" s="516" t="s">
        <v>1523</v>
      </c>
      <c r="AY1407" s="75">
        <v>1</v>
      </c>
      <c r="AZ1407" s="77" t="s">
        <v>131</v>
      </c>
      <c r="BA1407" s="78" t="s">
        <v>131</v>
      </c>
      <c r="BB1407" s="78" t="s">
        <v>131</v>
      </c>
      <c r="BC1407" s="78" t="s">
        <v>131</v>
      </c>
      <c r="BD1407" s="78" t="s">
        <v>131</v>
      </c>
      <c r="BE1407" s="78" t="s">
        <v>131</v>
      </c>
      <c r="BF1407" s="78" t="s">
        <v>131</v>
      </c>
      <c r="BG1407" s="78" t="s">
        <v>132</v>
      </c>
      <c r="BH1407" s="75" t="s">
        <v>5970</v>
      </c>
      <c r="BI1407" s="295" t="s">
        <v>2227</v>
      </c>
      <c r="BJ1407" s="546">
        <v>1</v>
      </c>
      <c r="BK1407" s="294" t="s">
        <v>16</v>
      </c>
      <c r="BL1407" s="157" t="s">
        <v>16</v>
      </c>
      <c r="BM1407" s="548" t="s">
        <v>578</v>
      </c>
      <c r="BN1407" s="548" t="s">
        <v>578</v>
      </c>
      <c r="BO1407" s="157" t="s">
        <v>4341</v>
      </c>
      <c r="BP1407" s="548" t="s">
        <v>4343</v>
      </c>
      <c r="BQ1407" s="157" t="s">
        <v>4309</v>
      </c>
      <c r="BR1407" s="157"/>
    </row>
    <row r="1408" spans="1:70" x14ac:dyDescent="0.25">
      <c r="A1408" s="19" t="s">
        <v>3686</v>
      </c>
      <c r="B1408" s="37" t="s">
        <v>1524</v>
      </c>
      <c r="C1408" s="90">
        <v>44781.646168981482</v>
      </c>
      <c r="D1408" s="114">
        <v>44781.396168981482</v>
      </c>
      <c r="E1408" s="38">
        <v>44781</v>
      </c>
      <c r="F1408" s="91">
        <v>2022</v>
      </c>
      <c r="G1408" s="93">
        <v>8</v>
      </c>
      <c r="H1408" s="37" t="s">
        <v>1491</v>
      </c>
      <c r="I1408" s="37" t="s">
        <v>16</v>
      </c>
      <c r="J1408" s="103">
        <v>-92.644071299999993</v>
      </c>
      <c r="K1408" s="40">
        <v>44.844337400000001</v>
      </c>
      <c r="L1408" s="74"/>
      <c r="M1408" s="272" t="s">
        <v>16</v>
      </c>
      <c r="N1408" s="74">
        <v>0</v>
      </c>
      <c r="O1408" s="94"/>
      <c r="P1408" s="118">
        <v>1</v>
      </c>
      <c r="Q1408" s="510">
        <v>80</v>
      </c>
      <c r="R1408" s="513">
        <v>120</v>
      </c>
      <c r="S1408" s="41"/>
      <c r="T1408" s="40"/>
      <c r="U1408" s="40">
        <v>7.5</v>
      </c>
      <c r="V1408" s="119">
        <v>1</v>
      </c>
      <c r="W1408" s="40">
        <v>0</v>
      </c>
      <c r="X1408" s="119">
        <v>1</v>
      </c>
      <c r="Y1408" s="40">
        <v>60</v>
      </c>
      <c r="Z1408" s="119">
        <v>1</v>
      </c>
      <c r="AA1408" s="368">
        <v>0</v>
      </c>
      <c r="AB1408" s="535">
        <v>5</v>
      </c>
      <c r="AC1408" s="39" t="s">
        <v>160</v>
      </c>
      <c r="AD1408" s="75" t="s">
        <v>365</v>
      </c>
      <c r="AE1408" s="95">
        <v>0</v>
      </c>
      <c r="AF1408" s="75">
        <v>1</v>
      </c>
      <c r="AG1408" s="75">
        <v>1</v>
      </c>
      <c r="AH1408" s="75">
        <v>0</v>
      </c>
      <c r="AI1408" s="75">
        <v>0</v>
      </c>
      <c r="AJ1408" s="75">
        <v>0</v>
      </c>
      <c r="AK1408" s="75">
        <v>0</v>
      </c>
      <c r="AL1408" s="95">
        <v>0</v>
      </c>
      <c r="AM1408" s="92">
        <v>0</v>
      </c>
      <c r="AN1408" s="79" t="s">
        <v>81</v>
      </c>
      <c r="AO1408" s="75">
        <v>1</v>
      </c>
      <c r="AP1408" s="75" t="s">
        <v>83</v>
      </c>
      <c r="AQ1408" s="122">
        <v>1</v>
      </c>
      <c r="AR1408" s="515" t="s">
        <v>10</v>
      </c>
      <c r="AS1408" s="95">
        <v>0</v>
      </c>
      <c r="AT1408" s="75">
        <v>0</v>
      </c>
      <c r="AU1408" s="75">
        <v>0</v>
      </c>
      <c r="AV1408" s="75">
        <v>0</v>
      </c>
      <c r="AW1408" s="123">
        <v>0</v>
      </c>
      <c r="AX1408" s="516" t="s">
        <v>1525</v>
      </c>
      <c r="AY1408" s="75">
        <v>1</v>
      </c>
      <c r="AZ1408" s="77" t="s">
        <v>131</v>
      </c>
      <c r="BA1408" s="78" t="s">
        <v>132</v>
      </c>
      <c r="BB1408" s="78" t="s">
        <v>132</v>
      </c>
      <c r="BC1408" s="78" t="s">
        <v>131</v>
      </c>
      <c r="BD1408" s="78" t="s">
        <v>131</v>
      </c>
      <c r="BE1408" s="78" t="s">
        <v>131</v>
      </c>
      <c r="BF1408" s="78" t="s">
        <v>131</v>
      </c>
      <c r="BG1408" s="78" t="s">
        <v>131</v>
      </c>
      <c r="BH1408" s="75" t="s">
        <v>5970</v>
      </c>
      <c r="BI1408" s="295" t="s">
        <v>2227</v>
      </c>
      <c r="BJ1408" s="546">
        <v>1</v>
      </c>
      <c r="BK1408" s="294" t="s">
        <v>16</v>
      </c>
      <c r="BL1408" s="157" t="s">
        <v>16</v>
      </c>
      <c r="BM1408" s="548" t="s">
        <v>578</v>
      </c>
      <c r="BN1408" s="548" t="s">
        <v>4159</v>
      </c>
      <c r="BO1408" s="157" t="s">
        <v>4341</v>
      </c>
      <c r="BP1408" s="548" t="s">
        <v>4343</v>
      </c>
      <c r="BQ1408" s="157" t="s">
        <v>4309</v>
      </c>
      <c r="BR1408" s="157"/>
    </row>
    <row r="1409" spans="1:70" x14ac:dyDescent="0.25">
      <c r="A1409" s="19" t="s">
        <v>3686</v>
      </c>
      <c r="B1409" s="37" t="s">
        <v>1526</v>
      </c>
      <c r="C1409" s="90">
        <v>44781.624189814815</v>
      </c>
      <c r="D1409" s="114">
        <v>44781.374189814815</v>
      </c>
      <c r="E1409" s="38">
        <v>44781</v>
      </c>
      <c r="F1409" s="91">
        <v>2022</v>
      </c>
      <c r="G1409" s="93">
        <v>8</v>
      </c>
      <c r="H1409" s="37" t="s">
        <v>1491</v>
      </c>
      <c r="I1409" s="37" t="s">
        <v>16</v>
      </c>
      <c r="J1409" s="103">
        <v>-92.732112400000005</v>
      </c>
      <c r="K1409" s="40">
        <v>44.831021900000003</v>
      </c>
      <c r="L1409" s="74"/>
      <c r="M1409" s="272" t="s">
        <v>16</v>
      </c>
      <c r="N1409" s="74">
        <v>0</v>
      </c>
      <c r="O1409" s="94"/>
      <c r="P1409" s="118">
        <v>1</v>
      </c>
      <c r="Q1409" s="510">
        <v>80</v>
      </c>
      <c r="R1409" s="513">
        <v>180</v>
      </c>
      <c r="S1409" s="41"/>
      <c r="T1409" s="40"/>
      <c r="U1409" s="40">
        <v>7.5</v>
      </c>
      <c r="V1409" s="119">
        <v>1</v>
      </c>
      <c r="W1409" s="40">
        <v>0</v>
      </c>
      <c r="X1409" s="119">
        <v>1</v>
      </c>
      <c r="Y1409" s="40">
        <v>61</v>
      </c>
      <c r="Z1409" s="119">
        <v>1</v>
      </c>
      <c r="AA1409" s="368">
        <v>0</v>
      </c>
      <c r="AB1409" s="535">
        <v>5</v>
      </c>
      <c r="AC1409" s="39" t="s">
        <v>160</v>
      </c>
      <c r="AD1409" s="75" t="s">
        <v>181</v>
      </c>
      <c r="AE1409" s="95">
        <v>0</v>
      </c>
      <c r="AF1409" s="75">
        <v>0</v>
      </c>
      <c r="AG1409" s="75">
        <v>1</v>
      </c>
      <c r="AH1409" s="75">
        <v>1</v>
      </c>
      <c r="AI1409" s="75">
        <v>0</v>
      </c>
      <c r="AJ1409" s="75">
        <v>0</v>
      </c>
      <c r="AK1409" s="75">
        <v>0</v>
      </c>
      <c r="AL1409" s="95">
        <v>0</v>
      </c>
      <c r="AM1409" s="92">
        <v>0</v>
      </c>
      <c r="AN1409" s="79" t="s">
        <v>81</v>
      </c>
      <c r="AO1409" s="75">
        <v>1</v>
      </c>
      <c r="AP1409" s="75" t="s">
        <v>83</v>
      </c>
      <c r="AQ1409" s="122">
        <v>1</v>
      </c>
      <c r="AR1409" s="515" t="s">
        <v>10</v>
      </c>
      <c r="AS1409" s="95">
        <v>0</v>
      </c>
      <c r="AT1409" s="75">
        <v>0</v>
      </c>
      <c r="AU1409" s="75">
        <v>0</v>
      </c>
      <c r="AV1409" s="75">
        <v>0</v>
      </c>
      <c r="AW1409" s="123">
        <v>0</v>
      </c>
      <c r="AX1409" s="516" t="s">
        <v>1527</v>
      </c>
      <c r="AY1409" s="75">
        <v>1</v>
      </c>
      <c r="AZ1409" s="77" t="s">
        <v>131</v>
      </c>
      <c r="BA1409" s="78" t="s">
        <v>131</v>
      </c>
      <c r="BB1409" s="78" t="s">
        <v>132</v>
      </c>
      <c r="BC1409" s="78" t="s">
        <v>132</v>
      </c>
      <c r="BD1409" s="78" t="s">
        <v>131</v>
      </c>
      <c r="BE1409" s="78" t="s">
        <v>131</v>
      </c>
      <c r="BF1409" s="78" t="s">
        <v>131</v>
      </c>
      <c r="BG1409" s="78" t="s">
        <v>131</v>
      </c>
      <c r="BH1409" s="75" t="s">
        <v>5970</v>
      </c>
      <c r="BI1409" s="295" t="s">
        <v>2227</v>
      </c>
      <c r="BJ1409" s="546">
        <v>1</v>
      </c>
      <c r="BK1409" s="294" t="s">
        <v>16</v>
      </c>
      <c r="BL1409" s="157" t="s">
        <v>16</v>
      </c>
      <c r="BM1409" s="548" t="s">
        <v>578</v>
      </c>
      <c r="BN1409" s="548" t="s">
        <v>4159</v>
      </c>
      <c r="BO1409" s="157" t="s">
        <v>4341</v>
      </c>
      <c r="BP1409" s="548" t="s">
        <v>4343</v>
      </c>
      <c r="BQ1409" s="157" t="s">
        <v>4309</v>
      </c>
      <c r="BR1409" s="157"/>
    </row>
    <row r="1410" spans="1:70" x14ac:dyDescent="0.25">
      <c r="A1410" s="19" t="s">
        <v>3686</v>
      </c>
      <c r="B1410" s="37" t="s">
        <v>1528</v>
      </c>
      <c r="C1410" s="90">
        <v>44781.582256944443</v>
      </c>
      <c r="D1410" s="114">
        <v>44781.332256944443</v>
      </c>
      <c r="E1410" s="38">
        <v>44781</v>
      </c>
      <c r="F1410" s="91">
        <v>2022</v>
      </c>
      <c r="G1410" s="93">
        <v>8</v>
      </c>
      <c r="H1410" s="37" t="s">
        <v>1491</v>
      </c>
      <c r="I1410" s="37" t="s">
        <v>146</v>
      </c>
      <c r="J1410" s="103">
        <v>-92.621403099999995</v>
      </c>
      <c r="K1410" s="40">
        <v>44.875060699999999</v>
      </c>
      <c r="L1410" s="74"/>
      <c r="M1410" s="272" t="s">
        <v>16</v>
      </c>
      <c r="N1410" s="74">
        <v>0</v>
      </c>
      <c r="O1410" s="94"/>
      <c r="P1410" s="118">
        <v>1</v>
      </c>
      <c r="Q1410" s="510">
        <v>80</v>
      </c>
      <c r="R1410" s="513">
        <v>180</v>
      </c>
      <c r="S1410" s="41"/>
      <c r="T1410" s="40"/>
      <c r="U1410" s="40">
        <v>7</v>
      </c>
      <c r="V1410" s="119">
        <v>1</v>
      </c>
      <c r="W1410" s="40">
        <v>100</v>
      </c>
      <c r="X1410" s="119">
        <v>1</v>
      </c>
      <c r="Y1410" s="40">
        <v>59</v>
      </c>
      <c r="Z1410" s="119">
        <v>1</v>
      </c>
      <c r="AA1410" s="368">
        <v>0</v>
      </c>
      <c r="AB1410" s="535">
        <v>5</v>
      </c>
      <c r="AC1410" s="39" t="s">
        <v>160</v>
      </c>
      <c r="AD1410" s="75" t="s">
        <v>365</v>
      </c>
      <c r="AE1410" s="95">
        <v>0</v>
      </c>
      <c r="AF1410" s="75">
        <v>1</v>
      </c>
      <c r="AG1410" s="75">
        <v>1</v>
      </c>
      <c r="AH1410" s="75">
        <v>0</v>
      </c>
      <c r="AI1410" s="75">
        <v>0</v>
      </c>
      <c r="AJ1410" s="75">
        <v>0</v>
      </c>
      <c r="AK1410" s="75">
        <v>0</v>
      </c>
      <c r="AL1410" s="95">
        <v>0</v>
      </c>
      <c r="AM1410" s="92">
        <v>0</v>
      </c>
      <c r="AN1410" s="79" t="s">
        <v>81</v>
      </c>
      <c r="AO1410" s="75">
        <v>1</v>
      </c>
      <c r="AP1410" s="75" t="s">
        <v>83</v>
      </c>
      <c r="AQ1410" s="122">
        <v>1</v>
      </c>
      <c r="AR1410" s="515" t="s">
        <v>35</v>
      </c>
      <c r="AS1410" s="95">
        <v>0</v>
      </c>
      <c r="AT1410" s="75">
        <v>1</v>
      </c>
      <c r="AU1410" s="75">
        <v>0</v>
      </c>
      <c r="AV1410" s="75">
        <v>0</v>
      </c>
      <c r="AW1410" s="123">
        <v>0</v>
      </c>
      <c r="AX1410" s="516" t="s">
        <v>1529</v>
      </c>
      <c r="AY1410" s="75">
        <v>1</v>
      </c>
      <c r="AZ1410" s="77" t="s">
        <v>131</v>
      </c>
      <c r="BA1410" s="78" t="s">
        <v>132</v>
      </c>
      <c r="BB1410" s="78" t="s">
        <v>132</v>
      </c>
      <c r="BC1410" s="78" t="s">
        <v>131</v>
      </c>
      <c r="BD1410" s="78" t="s">
        <v>131</v>
      </c>
      <c r="BE1410" s="78" t="s">
        <v>131</v>
      </c>
      <c r="BF1410" s="78" t="s">
        <v>131</v>
      </c>
      <c r="BG1410" s="78" t="s">
        <v>131</v>
      </c>
      <c r="BH1410" s="75" t="s">
        <v>5970</v>
      </c>
      <c r="BI1410" s="295" t="s">
        <v>2227</v>
      </c>
      <c r="BJ1410" s="546">
        <v>1</v>
      </c>
      <c r="BK1410" s="294" t="s">
        <v>16</v>
      </c>
      <c r="BL1410" s="157" t="s">
        <v>16</v>
      </c>
      <c r="BM1410" s="548" t="s">
        <v>578</v>
      </c>
      <c r="BN1410" s="548" t="s">
        <v>4159</v>
      </c>
      <c r="BO1410" s="157" t="s">
        <v>4311</v>
      </c>
      <c r="BP1410" s="548" t="s">
        <v>4395</v>
      </c>
      <c r="BQ1410" s="157" t="s">
        <v>4309</v>
      </c>
      <c r="BR1410" s="157"/>
    </row>
    <row r="1411" spans="1:70" x14ac:dyDescent="0.25">
      <c r="A1411" s="19" t="s">
        <v>3686</v>
      </c>
      <c r="B1411" s="37" t="s">
        <v>1530</v>
      </c>
      <c r="C1411" s="90">
        <v>44780.728506944448</v>
      </c>
      <c r="D1411" s="114">
        <v>44780.478506944448</v>
      </c>
      <c r="E1411" s="38">
        <v>44780</v>
      </c>
      <c r="F1411" s="91">
        <v>2022</v>
      </c>
      <c r="G1411" s="93">
        <v>8</v>
      </c>
      <c r="H1411" s="37" t="s">
        <v>1410</v>
      </c>
      <c r="I1411" s="37" t="s">
        <v>1411</v>
      </c>
      <c r="J1411" s="103">
        <v>-93.2313600471104</v>
      </c>
      <c r="K1411" s="40">
        <v>44.846904012914372</v>
      </c>
      <c r="L1411" s="74"/>
      <c r="M1411" s="272" t="s">
        <v>16</v>
      </c>
      <c r="N1411" s="74">
        <v>0</v>
      </c>
      <c r="O1411" s="94"/>
      <c r="P1411" s="118">
        <v>1</v>
      </c>
      <c r="Q1411" s="510">
        <v>80</v>
      </c>
      <c r="R1411" s="513">
        <v>180</v>
      </c>
      <c r="S1411" s="41"/>
      <c r="T1411" s="40"/>
      <c r="U1411" s="40">
        <v>7.5</v>
      </c>
      <c r="V1411" s="119">
        <v>1</v>
      </c>
      <c r="W1411" s="40">
        <v>0</v>
      </c>
      <c r="X1411" s="119">
        <v>1</v>
      </c>
      <c r="Y1411" s="40">
        <v>58</v>
      </c>
      <c r="Z1411" s="119">
        <v>1</v>
      </c>
      <c r="AA1411" s="368">
        <v>0</v>
      </c>
      <c r="AB1411" s="535">
        <v>0</v>
      </c>
      <c r="AC1411" s="39" t="s">
        <v>160</v>
      </c>
      <c r="AD1411" s="75" t="s">
        <v>10</v>
      </c>
      <c r="AE1411" s="95">
        <v>0</v>
      </c>
      <c r="AF1411" s="75">
        <v>0</v>
      </c>
      <c r="AG1411" s="75">
        <v>0</v>
      </c>
      <c r="AH1411" s="75">
        <v>0</v>
      </c>
      <c r="AI1411" s="75">
        <v>0</v>
      </c>
      <c r="AJ1411" s="75">
        <v>0</v>
      </c>
      <c r="AK1411" s="75">
        <v>0</v>
      </c>
      <c r="AL1411" s="95">
        <v>1</v>
      </c>
      <c r="AM1411" s="92">
        <v>0</v>
      </c>
      <c r="AN1411" s="79" t="s">
        <v>195</v>
      </c>
      <c r="AO1411" s="75">
        <v>1</v>
      </c>
      <c r="AP1411" s="75" t="s">
        <v>83</v>
      </c>
      <c r="AQ1411" s="122">
        <v>1</v>
      </c>
      <c r="AR1411" s="515" t="s">
        <v>13</v>
      </c>
      <c r="AS1411" s="95">
        <v>1</v>
      </c>
      <c r="AT1411" s="75">
        <v>0</v>
      </c>
      <c r="AU1411" s="75">
        <v>0</v>
      </c>
      <c r="AV1411" s="75">
        <v>0</v>
      </c>
      <c r="AW1411" s="123">
        <v>0</v>
      </c>
      <c r="AX1411" s="516" t="s">
        <v>1531</v>
      </c>
      <c r="AY1411" s="75">
        <v>1</v>
      </c>
      <c r="AZ1411" s="77" t="s">
        <v>131</v>
      </c>
      <c r="BA1411" s="78" t="s">
        <v>131</v>
      </c>
      <c r="BB1411" s="78" t="s">
        <v>131</v>
      </c>
      <c r="BC1411" s="78" t="s">
        <v>131</v>
      </c>
      <c r="BD1411" s="78" t="s">
        <v>131</v>
      </c>
      <c r="BE1411" s="78" t="s">
        <v>131</v>
      </c>
      <c r="BF1411" s="78" t="s">
        <v>131</v>
      </c>
      <c r="BG1411" s="78" t="s">
        <v>132</v>
      </c>
      <c r="BH1411" s="75" t="s">
        <v>5970</v>
      </c>
      <c r="BI1411" s="295" t="s">
        <v>16</v>
      </c>
      <c r="BJ1411" s="546" t="s">
        <v>16</v>
      </c>
      <c r="BK1411" s="294" t="s">
        <v>16</v>
      </c>
      <c r="BL1411" s="157" t="s">
        <v>16</v>
      </c>
      <c r="BM1411" s="548" t="s">
        <v>2343</v>
      </c>
      <c r="BN1411" s="548" t="s">
        <v>4161</v>
      </c>
      <c r="BO1411" s="157" t="s">
        <v>4327</v>
      </c>
      <c r="BP1411" s="548" t="s">
        <v>4314</v>
      </c>
      <c r="BQ1411" s="157" t="s">
        <v>4312</v>
      </c>
      <c r="BR1411" s="157"/>
    </row>
    <row r="1412" spans="1:70" x14ac:dyDescent="0.25">
      <c r="A1412" s="19" t="s">
        <v>3686</v>
      </c>
      <c r="B1412" s="37" t="s">
        <v>1532</v>
      </c>
      <c r="C1412" s="90">
        <v>44779.54755787037</v>
      </c>
      <c r="D1412" s="114">
        <v>44779.29755787037</v>
      </c>
      <c r="E1412" s="38">
        <v>44779</v>
      </c>
      <c r="F1412" s="91">
        <v>2022</v>
      </c>
      <c r="G1412" s="93">
        <v>8</v>
      </c>
      <c r="H1412" s="37" t="s">
        <v>612</v>
      </c>
      <c r="I1412" s="37"/>
      <c r="J1412" s="103">
        <v>-93.217197864824755</v>
      </c>
      <c r="K1412" s="40">
        <v>44.639446589332834</v>
      </c>
      <c r="L1412" s="74"/>
      <c r="M1412" s="272" t="s">
        <v>16</v>
      </c>
      <c r="N1412" s="74">
        <v>0</v>
      </c>
      <c r="O1412" s="94"/>
      <c r="P1412" s="118">
        <v>1</v>
      </c>
      <c r="Q1412" s="510">
        <v>80</v>
      </c>
      <c r="R1412" s="513">
        <v>120</v>
      </c>
      <c r="S1412" s="41"/>
      <c r="T1412" s="40"/>
      <c r="U1412" s="40">
        <v>7.5</v>
      </c>
      <c r="V1412" s="119">
        <v>1</v>
      </c>
      <c r="W1412" s="40">
        <v>100</v>
      </c>
      <c r="X1412" s="119">
        <v>1</v>
      </c>
      <c r="Y1412" s="40">
        <v>61</v>
      </c>
      <c r="Z1412" s="119">
        <v>1</v>
      </c>
      <c r="AA1412" s="368">
        <v>0</v>
      </c>
      <c r="AB1412" s="535">
        <v>0</v>
      </c>
      <c r="AC1412" s="39" t="s">
        <v>160</v>
      </c>
      <c r="AD1412" s="75" t="s">
        <v>10</v>
      </c>
      <c r="AE1412" s="95">
        <v>0</v>
      </c>
      <c r="AF1412" s="75">
        <v>0</v>
      </c>
      <c r="AG1412" s="75">
        <v>0</v>
      </c>
      <c r="AH1412" s="75">
        <v>0</v>
      </c>
      <c r="AI1412" s="75">
        <v>0</v>
      </c>
      <c r="AJ1412" s="75">
        <v>0</v>
      </c>
      <c r="AK1412" s="75">
        <v>0</v>
      </c>
      <c r="AL1412" s="95">
        <v>1</v>
      </c>
      <c r="AM1412" s="92">
        <v>0</v>
      </c>
      <c r="AN1412" s="79" t="s">
        <v>80</v>
      </c>
      <c r="AO1412" s="75">
        <v>1</v>
      </c>
      <c r="AP1412" s="75" t="s">
        <v>83</v>
      </c>
      <c r="AQ1412" s="122">
        <v>1</v>
      </c>
      <c r="AR1412" s="515" t="s">
        <v>10</v>
      </c>
      <c r="AS1412" s="95">
        <v>0</v>
      </c>
      <c r="AT1412" s="75">
        <v>0</v>
      </c>
      <c r="AU1412" s="75">
        <v>0</v>
      </c>
      <c r="AV1412" s="75">
        <v>0</v>
      </c>
      <c r="AW1412" s="123">
        <v>0</v>
      </c>
      <c r="AX1412" s="516"/>
      <c r="AY1412" s="75">
        <v>0</v>
      </c>
      <c r="AZ1412" s="77" t="s">
        <v>131</v>
      </c>
      <c r="BA1412" s="78" t="s">
        <v>131</v>
      </c>
      <c r="BB1412" s="78" t="s">
        <v>131</v>
      </c>
      <c r="BC1412" s="78" t="s">
        <v>131</v>
      </c>
      <c r="BD1412" s="78" t="s">
        <v>131</v>
      </c>
      <c r="BE1412" s="78" t="s">
        <v>131</v>
      </c>
      <c r="BF1412" s="78" t="s">
        <v>131</v>
      </c>
      <c r="BG1412" s="78" t="s">
        <v>132</v>
      </c>
      <c r="BH1412" s="75" t="s">
        <v>5970</v>
      </c>
      <c r="BI1412" s="295">
        <v>0</v>
      </c>
      <c r="BJ1412" s="546">
        <v>1</v>
      </c>
      <c r="BK1412" s="294" t="s">
        <v>16</v>
      </c>
      <c r="BL1412" s="157" t="s">
        <v>16</v>
      </c>
      <c r="BM1412" s="548" t="s">
        <v>2343</v>
      </c>
      <c r="BN1412" s="548" t="s">
        <v>4161</v>
      </c>
      <c r="BO1412" s="157" t="s">
        <v>4676</v>
      </c>
      <c r="BP1412" s="548" t="s">
        <v>4677</v>
      </c>
      <c r="BQ1412" s="157" t="s">
        <v>4292</v>
      </c>
      <c r="BR1412" s="157"/>
    </row>
    <row r="1413" spans="1:70" x14ac:dyDescent="0.25">
      <c r="A1413" s="19" t="s">
        <v>3686</v>
      </c>
      <c r="B1413" s="37" t="s">
        <v>1533</v>
      </c>
      <c r="C1413" s="90">
        <v>44779.523680555554</v>
      </c>
      <c r="D1413" s="114">
        <v>44779.273680555554</v>
      </c>
      <c r="E1413" s="38">
        <v>44779</v>
      </c>
      <c r="F1413" s="91">
        <v>2022</v>
      </c>
      <c r="G1413" s="93">
        <v>8</v>
      </c>
      <c r="H1413" s="37" t="s">
        <v>1416</v>
      </c>
      <c r="I1413" s="37" t="s">
        <v>16</v>
      </c>
      <c r="J1413" s="103">
        <v>-93.009019303504502</v>
      </c>
      <c r="K1413" s="40">
        <v>44.657235643389065</v>
      </c>
      <c r="L1413" s="74"/>
      <c r="M1413" s="272" t="s">
        <v>1534</v>
      </c>
      <c r="N1413" s="74">
        <v>1</v>
      </c>
      <c r="O1413" s="94"/>
      <c r="P1413" s="118">
        <v>1</v>
      </c>
      <c r="Q1413" s="510">
        <v>0</v>
      </c>
      <c r="R1413" s="513">
        <v>30</v>
      </c>
      <c r="S1413" s="41"/>
      <c r="T1413" s="40"/>
      <c r="U1413" s="40">
        <v>7</v>
      </c>
      <c r="V1413" s="119">
        <v>1</v>
      </c>
      <c r="W1413" s="40">
        <v>100</v>
      </c>
      <c r="X1413" s="119">
        <v>1</v>
      </c>
      <c r="Y1413" s="40">
        <v>70</v>
      </c>
      <c r="Z1413" s="119">
        <v>1</v>
      </c>
      <c r="AA1413" s="368">
        <v>0</v>
      </c>
      <c r="AB1413" s="535">
        <v>5</v>
      </c>
      <c r="AC1413" s="39" t="s">
        <v>160</v>
      </c>
      <c r="AD1413" s="75" t="s">
        <v>16</v>
      </c>
      <c r="AE1413" s="95">
        <v>-1</v>
      </c>
      <c r="AF1413" s="75">
        <v>-1</v>
      </c>
      <c r="AG1413" s="75">
        <v>-1</v>
      </c>
      <c r="AH1413" s="75">
        <v>-1</v>
      </c>
      <c r="AI1413" s="75">
        <v>-1</v>
      </c>
      <c r="AJ1413" s="75">
        <v>-1</v>
      </c>
      <c r="AK1413" s="75">
        <v>-1</v>
      </c>
      <c r="AL1413" s="95">
        <v>-1</v>
      </c>
      <c r="AM1413" s="92">
        <v>1</v>
      </c>
      <c r="AN1413" s="79" t="s">
        <v>80</v>
      </c>
      <c r="AO1413" s="75">
        <v>1</v>
      </c>
      <c r="AP1413" s="75" t="s">
        <v>83</v>
      </c>
      <c r="AQ1413" s="122">
        <v>1</v>
      </c>
      <c r="AR1413" s="515" t="s">
        <v>10</v>
      </c>
      <c r="AS1413" s="95">
        <v>0</v>
      </c>
      <c r="AT1413" s="75">
        <v>0</v>
      </c>
      <c r="AU1413" s="75">
        <v>0</v>
      </c>
      <c r="AV1413" s="75">
        <v>0</v>
      </c>
      <c r="AW1413" s="123">
        <v>0</v>
      </c>
      <c r="AX1413" s="516" t="s">
        <v>1535</v>
      </c>
      <c r="AY1413" s="75">
        <v>1</v>
      </c>
      <c r="AZ1413" s="77" t="s">
        <v>5971</v>
      </c>
      <c r="BA1413" s="78" t="s">
        <v>5971</v>
      </c>
      <c r="BB1413" s="78" t="s">
        <v>5971</v>
      </c>
      <c r="BC1413" s="78" t="s">
        <v>5971</v>
      </c>
      <c r="BD1413" s="78" t="s">
        <v>5971</v>
      </c>
      <c r="BE1413" s="78" t="s">
        <v>5971</v>
      </c>
      <c r="BF1413" s="78" t="s">
        <v>5971</v>
      </c>
      <c r="BG1413" s="78" t="s">
        <v>5971</v>
      </c>
      <c r="BH1413" s="75" t="s">
        <v>5971</v>
      </c>
      <c r="BI1413" s="295" t="s">
        <v>2225</v>
      </c>
      <c r="BJ1413" s="546">
        <v>1</v>
      </c>
      <c r="BK1413" s="294" t="s">
        <v>16</v>
      </c>
      <c r="BL1413" s="157" t="s">
        <v>16</v>
      </c>
      <c r="BM1413" s="548" t="s">
        <v>2343</v>
      </c>
      <c r="BN1413" s="548" t="s">
        <v>4161</v>
      </c>
      <c r="BO1413" s="157" t="s">
        <v>4293</v>
      </c>
      <c r="BP1413" s="548" t="s">
        <v>2225</v>
      </c>
      <c r="BQ1413" s="157" t="s">
        <v>4292</v>
      </c>
      <c r="BR1413" s="157"/>
    </row>
    <row r="1414" spans="1:70" x14ac:dyDescent="0.25">
      <c r="A1414" s="19" t="s">
        <v>3686</v>
      </c>
      <c r="B1414" s="37" t="s">
        <v>1536</v>
      </c>
      <c r="C1414" s="90">
        <v>44778.706932870373</v>
      </c>
      <c r="D1414" s="114">
        <v>44778.456932870373</v>
      </c>
      <c r="E1414" s="38">
        <v>44778</v>
      </c>
      <c r="F1414" s="91">
        <v>2022</v>
      </c>
      <c r="G1414" s="93">
        <v>8</v>
      </c>
      <c r="H1414" s="37" t="s">
        <v>201</v>
      </c>
      <c r="I1414" s="37"/>
      <c r="J1414" s="103">
        <v>-92.732106406917381</v>
      </c>
      <c r="K1414" s="40">
        <v>44.83115545736964</v>
      </c>
      <c r="L1414" s="74"/>
      <c r="M1414" s="272" t="s">
        <v>16</v>
      </c>
      <c r="N1414" s="74">
        <v>0</v>
      </c>
      <c r="O1414" s="94"/>
      <c r="P1414" s="118">
        <v>1</v>
      </c>
      <c r="Q1414" s="510">
        <v>180</v>
      </c>
      <c r="R1414" s="513">
        <v>120</v>
      </c>
      <c r="S1414" s="41"/>
      <c r="T1414" s="40"/>
      <c r="U1414" s="40">
        <v>7.5</v>
      </c>
      <c r="V1414" s="119">
        <v>1</v>
      </c>
      <c r="W1414" s="40">
        <v>0</v>
      </c>
      <c r="X1414" s="119">
        <v>1</v>
      </c>
      <c r="Y1414" s="40">
        <v>66</v>
      </c>
      <c r="Z1414" s="119">
        <v>1</v>
      </c>
      <c r="AA1414" s="368">
        <v>0</v>
      </c>
      <c r="AB1414" s="535">
        <v>5</v>
      </c>
      <c r="AC1414" s="39" t="s">
        <v>160</v>
      </c>
      <c r="AD1414" s="75" t="s">
        <v>8</v>
      </c>
      <c r="AE1414" s="95">
        <v>0</v>
      </c>
      <c r="AF1414" s="75">
        <v>1</v>
      </c>
      <c r="AG1414" s="75">
        <v>0</v>
      </c>
      <c r="AH1414" s="75">
        <v>0</v>
      </c>
      <c r="AI1414" s="75">
        <v>0</v>
      </c>
      <c r="AJ1414" s="75">
        <v>0</v>
      </c>
      <c r="AK1414" s="75">
        <v>0</v>
      </c>
      <c r="AL1414" s="95">
        <v>0</v>
      </c>
      <c r="AM1414" s="92">
        <v>0</v>
      </c>
      <c r="AN1414" s="79" t="s">
        <v>80</v>
      </c>
      <c r="AO1414" s="75">
        <v>1</v>
      </c>
      <c r="AP1414" s="75" t="s">
        <v>83</v>
      </c>
      <c r="AQ1414" s="122">
        <v>1</v>
      </c>
      <c r="AR1414" s="515" t="s">
        <v>10</v>
      </c>
      <c r="AS1414" s="95">
        <v>0</v>
      </c>
      <c r="AT1414" s="75">
        <v>0</v>
      </c>
      <c r="AU1414" s="75">
        <v>0</v>
      </c>
      <c r="AV1414" s="75">
        <v>0</v>
      </c>
      <c r="AW1414" s="123">
        <v>0</v>
      </c>
      <c r="AX1414" s="516" t="s">
        <v>1537</v>
      </c>
      <c r="AY1414" s="75">
        <v>1</v>
      </c>
      <c r="AZ1414" s="77" t="s">
        <v>131</v>
      </c>
      <c r="BA1414" s="78" t="s">
        <v>132</v>
      </c>
      <c r="BB1414" s="78" t="s">
        <v>131</v>
      </c>
      <c r="BC1414" s="78" t="s">
        <v>131</v>
      </c>
      <c r="BD1414" s="78" t="s">
        <v>131</v>
      </c>
      <c r="BE1414" s="78" t="s">
        <v>131</v>
      </c>
      <c r="BF1414" s="78" t="s">
        <v>131</v>
      </c>
      <c r="BG1414" s="78" t="s">
        <v>131</v>
      </c>
      <c r="BH1414" s="75" t="s">
        <v>5970</v>
      </c>
      <c r="BI1414" s="295" t="s">
        <v>2227</v>
      </c>
      <c r="BJ1414" s="546">
        <v>1</v>
      </c>
      <c r="BK1414" s="294" t="s">
        <v>16</v>
      </c>
      <c r="BL1414" s="157" t="s">
        <v>16</v>
      </c>
      <c r="BM1414" s="548" t="s">
        <v>578</v>
      </c>
      <c r="BN1414" s="548" t="s">
        <v>578</v>
      </c>
      <c r="BO1414" s="157" t="s">
        <v>4341</v>
      </c>
      <c r="BP1414" s="548" t="s">
        <v>4343</v>
      </c>
      <c r="BQ1414" s="157" t="s">
        <v>4309</v>
      </c>
      <c r="BR1414" s="157"/>
    </row>
    <row r="1415" spans="1:70" x14ac:dyDescent="0.25">
      <c r="A1415" s="19" t="s">
        <v>3686</v>
      </c>
      <c r="B1415" s="37" t="s">
        <v>1538</v>
      </c>
      <c r="C1415" s="90">
        <v>44778.695243055554</v>
      </c>
      <c r="D1415" s="114">
        <v>44778.445243055554</v>
      </c>
      <c r="E1415" s="38">
        <v>44778</v>
      </c>
      <c r="F1415" s="91">
        <v>2022</v>
      </c>
      <c r="G1415" s="93">
        <v>8</v>
      </c>
      <c r="H1415" s="37" t="s">
        <v>966</v>
      </c>
      <c r="I1415" s="37" t="s">
        <v>16</v>
      </c>
      <c r="J1415" s="103">
        <v>-92.575253977946446</v>
      </c>
      <c r="K1415" s="40">
        <v>44.487762096480772</v>
      </c>
      <c r="L1415" s="74"/>
      <c r="M1415" s="272" t="s">
        <v>16</v>
      </c>
      <c r="N1415" s="74">
        <v>0</v>
      </c>
      <c r="O1415" s="94"/>
      <c r="P1415" s="118">
        <v>1</v>
      </c>
      <c r="Q1415" s="510">
        <v>180</v>
      </c>
      <c r="R1415" s="513">
        <v>120</v>
      </c>
      <c r="S1415" s="41"/>
      <c r="T1415" s="40"/>
      <c r="U1415" s="40">
        <v>8</v>
      </c>
      <c r="V1415" s="119">
        <v>1</v>
      </c>
      <c r="W1415" s="40">
        <v>0</v>
      </c>
      <c r="X1415" s="119">
        <v>1</v>
      </c>
      <c r="Y1415" s="40">
        <v>61</v>
      </c>
      <c r="Z1415" s="119">
        <v>1</v>
      </c>
      <c r="AA1415" s="368">
        <v>0</v>
      </c>
      <c r="AB1415" s="535">
        <v>5</v>
      </c>
      <c r="AC1415" s="39" t="s">
        <v>160</v>
      </c>
      <c r="AD1415" s="75" t="s">
        <v>10</v>
      </c>
      <c r="AE1415" s="95">
        <v>0</v>
      </c>
      <c r="AF1415" s="75">
        <v>0</v>
      </c>
      <c r="AG1415" s="75">
        <v>0</v>
      </c>
      <c r="AH1415" s="75">
        <v>0</v>
      </c>
      <c r="AI1415" s="75">
        <v>0</v>
      </c>
      <c r="AJ1415" s="75">
        <v>0</v>
      </c>
      <c r="AK1415" s="75">
        <v>0</v>
      </c>
      <c r="AL1415" s="95">
        <v>1</v>
      </c>
      <c r="AM1415" s="92">
        <v>0</v>
      </c>
      <c r="AN1415" s="79" t="s">
        <v>80</v>
      </c>
      <c r="AO1415" s="75">
        <v>1</v>
      </c>
      <c r="AP1415" s="75" t="s">
        <v>83</v>
      </c>
      <c r="AQ1415" s="122">
        <v>1</v>
      </c>
      <c r="AR1415" s="515" t="s">
        <v>10</v>
      </c>
      <c r="AS1415" s="95">
        <v>0</v>
      </c>
      <c r="AT1415" s="75">
        <v>0</v>
      </c>
      <c r="AU1415" s="75">
        <v>0</v>
      </c>
      <c r="AV1415" s="75">
        <v>0</v>
      </c>
      <c r="AW1415" s="123">
        <v>0</v>
      </c>
      <c r="AX1415" s="516"/>
      <c r="AY1415" s="75">
        <v>0</v>
      </c>
      <c r="AZ1415" s="77" t="s">
        <v>131</v>
      </c>
      <c r="BA1415" s="78" t="s">
        <v>131</v>
      </c>
      <c r="BB1415" s="78" t="s">
        <v>131</v>
      </c>
      <c r="BC1415" s="78" t="s">
        <v>131</v>
      </c>
      <c r="BD1415" s="78" t="s">
        <v>131</v>
      </c>
      <c r="BE1415" s="78" t="s">
        <v>131</v>
      </c>
      <c r="BF1415" s="78" t="s">
        <v>131</v>
      </c>
      <c r="BG1415" s="78" t="s">
        <v>132</v>
      </c>
      <c r="BH1415" s="75" t="s">
        <v>5970</v>
      </c>
      <c r="BI1415" s="295" t="s">
        <v>2238</v>
      </c>
      <c r="BJ1415" s="546">
        <v>1</v>
      </c>
      <c r="BK1415" s="294" t="s">
        <v>16</v>
      </c>
      <c r="BL1415" s="157" t="s">
        <v>16</v>
      </c>
      <c r="BM1415" s="548" t="s">
        <v>2343</v>
      </c>
      <c r="BN1415" s="548" t="s">
        <v>4161</v>
      </c>
      <c r="BO1415" s="157" t="s">
        <v>4308</v>
      </c>
      <c r="BP1415" s="548" t="s">
        <v>2238</v>
      </c>
      <c r="BQ1415" s="157" t="s">
        <v>4307</v>
      </c>
      <c r="BR1415" s="157"/>
    </row>
    <row r="1416" spans="1:70" x14ac:dyDescent="0.25">
      <c r="A1416" s="19" t="s">
        <v>3686</v>
      </c>
      <c r="B1416" s="37" t="s">
        <v>1539</v>
      </c>
      <c r="C1416" s="90">
        <v>44777.691863425927</v>
      </c>
      <c r="D1416" s="114">
        <v>44777.441863425927</v>
      </c>
      <c r="E1416" s="38">
        <v>44777</v>
      </c>
      <c r="F1416" s="91">
        <v>2022</v>
      </c>
      <c r="G1416" s="93">
        <v>8</v>
      </c>
      <c r="H1416" s="37" t="s">
        <v>475</v>
      </c>
      <c r="I1416" s="37"/>
      <c r="J1416" s="103">
        <v>-92.342941593464801</v>
      </c>
      <c r="K1416" s="40">
        <v>43.773985225748056</v>
      </c>
      <c r="L1416" s="74"/>
      <c r="M1416" s="272" t="s">
        <v>1540</v>
      </c>
      <c r="N1416" s="74">
        <v>1</v>
      </c>
      <c r="O1416" s="94"/>
      <c r="P1416" s="118">
        <v>1</v>
      </c>
      <c r="Q1416" s="510">
        <v>180</v>
      </c>
      <c r="R1416" s="513">
        <v>180</v>
      </c>
      <c r="S1416" s="41"/>
      <c r="T1416" s="40"/>
      <c r="U1416" s="40">
        <v>6</v>
      </c>
      <c r="V1416" s="119">
        <v>1</v>
      </c>
      <c r="W1416" s="40">
        <v>0</v>
      </c>
      <c r="X1416" s="119">
        <v>1</v>
      </c>
      <c r="Y1416" s="40">
        <v>0</v>
      </c>
      <c r="Z1416" s="119">
        <v>1</v>
      </c>
      <c r="AA1416" s="368">
        <v>0</v>
      </c>
      <c r="AB1416" s="535">
        <v>5</v>
      </c>
      <c r="AC1416" s="39" t="s">
        <v>160</v>
      </c>
      <c r="AD1416" s="75" t="s">
        <v>10</v>
      </c>
      <c r="AE1416" s="95">
        <v>0</v>
      </c>
      <c r="AF1416" s="75">
        <v>0</v>
      </c>
      <c r="AG1416" s="75">
        <v>0</v>
      </c>
      <c r="AH1416" s="75">
        <v>0</v>
      </c>
      <c r="AI1416" s="75">
        <v>0</v>
      </c>
      <c r="AJ1416" s="75">
        <v>0</v>
      </c>
      <c r="AK1416" s="75">
        <v>0</v>
      </c>
      <c r="AL1416" s="95">
        <v>1</v>
      </c>
      <c r="AM1416" s="92">
        <v>0</v>
      </c>
      <c r="AN1416" s="79" t="s">
        <v>80</v>
      </c>
      <c r="AO1416" s="75">
        <v>1</v>
      </c>
      <c r="AP1416" s="75" t="s">
        <v>83</v>
      </c>
      <c r="AQ1416" s="122">
        <v>1</v>
      </c>
      <c r="AR1416" s="515" t="s">
        <v>10</v>
      </c>
      <c r="AS1416" s="95">
        <v>0</v>
      </c>
      <c r="AT1416" s="75">
        <v>0</v>
      </c>
      <c r="AU1416" s="75">
        <v>0</v>
      </c>
      <c r="AV1416" s="75">
        <v>0</v>
      </c>
      <c r="AW1416" s="123">
        <v>0</v>
      </c>
      <c r="AX1416" s="516" t="s">
        <v>1541</v>
      </c>
      <c r="AY1416" s="75">
        <v>1</v>
      </c>
      <c r="AZ1416" s="77" t="s">
        <v>131</v>
      </c>
      <c r="BA1416" s="78" t="s">
        <v>131</v>
      </c>
      <c r="BB1416" s="78" t="s">
        <v>131</v>
      </c>
      <c r="BC1416" s="78" t="s">
        <v>131</v>
      </c>
      <c r="BD1416" s="78" t="s">
        <v>131</v>
      </c>
      <c r="BE1416" s="78" t="s">
        <v>131</v>
      </c>
      <c r="BF1416" s="78" t="s">
        <v>131</v>
      </c>
      <c r="BG1416" s="78" t="s">
        <v>132</v>
      </c>
      <c r="BH1416" s="75" t="s">
        <v>5970</v>
      </c>
      <c r="BI1416" s="295" t="s">
        <v>2260</v>
      </c>
      <c r="BJ1416" s="546">
        <v>1</v>
      </c>
      <c r="BK1416" s="294" t="s">
        <v>16</v>
      </c>
      <c r="BL1416" s="157" t="s">
        <v>16</v>
      </c>
      <c r="BM1416" s="548" t="s">
        <v>1339</v>
      </c>
      <c r="BN1416" s="548" t="s">
        <v>1339</v>
      </c>
      <c r="BO1416" s="157" t="s">
        <v>4328</v>
      </c>
      <c r="BP1416" s="548" t="s">
        <v>2222</v>
      </c>
      <c r="BQ1416" s="157" t="s">
        <v>4226</v>
      </c>
      <c r="BR1416" s="157"/>
    </row>
    <row r="1417" spans="1:70" x14ac:dyDescent="0.25">
      <c r="A1417" s="19" t="s">
        <v>3686</v>
      </c>
      <c r="B1417" s="37" t="s">
        <v>1542</v>
      </c>
      <c r="C1417" s="90">
        <v>44777.668726851851</v>
      </c>
      <c r="D1417" s="114">
        <v>44777.418726851851</v>
      </c>
      <c r="E1417" s="38">
        <v>44777</v>
      </c>
      <c r="F1417" s="91">
        <v>2022</v>
      </c>
      <c r="G1417" s="93">
        <v>8</v>
      </c>
      <c r="H1417" s="37" t="s">
        <v>475</v>
      </c>
      <c r="I1417" s="37"/>
      <c r="J1417" s="103">
        <v>-92.278186613779766</v>
      </c>
      <c r="K1417" s="40">
        <v>43.793118638027266</v>
      </c>
      <c r="L1417" s="74"/>
      <c r="M1417" s="272" t="s">
        <v>16</v>
      </c>
      <c r="N1417" s="74">
        <v>0</v>
      </c>
      <c r="O1417" s="94"/>
      <c r="P1417" s="118">
        <v>1</v>
      </c>
      <c r="Q1417" s="510">
        <v>180</v>
      </c>
      <c r="R1417" s="513">
        <v>180</v>
      </c>
      <c r="S1417" s="41"/>
      <c r="T1417" s="40"/>
      <c r="U1417" s="40">
        <v>8</v>
      </c>
      <c r="V1417" s="119">
        <v>1</v>
      </c>
      <c r="W1417" s="40">
        <v>0</v>
      </c>
      <c r="X1417" s="119">
        <v>1</v>
      </c>
      <c r="Y1417" s="40">
        <v>0</v>
      </c>
      <c r="Z1417" s="119">
        <v>1</v>
      </c>
      <c r="AA1417" s="368">
        <v>0</v>
      </c>
      <c r="AB1417" s="535">
        <v>2</v>
      </c>
      <c r="AC1417" s="39" t="s">
        <v>160</v>
      </c>
      <c r="AD1417" s="75" t="s">
        <v>10</v>
      </c>
      <c r="AE1417" s="95">
        <v>0</v>
      </c>
      <c r="AF1417" s="75">
        <v>0</v>
      </c>
      <c r="AG1417" s="75">
        <v>0</v>
      </c>
      <c r="AH1417" s="75">
        <v>0</v>
      </c>
      <c r="AI1417" s="75">
        <v>0</v>
      </c>
      <c r="AJ1417" s="75">
        <v>0</v>
      </c>
      <c r="AK1417" s="75">
        <v>0</v>
      </c>
      <c r="AL1417" s="95">
        <v>1</v>
      </c>
      <c r="AM1417" s="92">
        <v>0</v>
      </c>
      <c r="AN1417" s="79" t="s">
        <v>81</v>
      </c>
      <c r="AO1417" s="75">
        <v>1</v>
      </c>
      <c r="AP1417" s="75"/>
      <c r="AQ1417" s="122">
        <v>0</v>
      </c>
      <c r="AR1417" s="515" t="s">
        <v>10</v>
      </c>
      <c r="AS1417" s="95">
        <v>0</v>
      </c>
      <c r="AT1417" s="75">
        <v>0</v>
      </c>
      <c r="AU1417" s="75">
        <v>0</v>
      </c>
      <c r="AV1417" s="75">
        <v>0</v>
      </c>
      <c r="AW1417" s="123">
        <v>0</v>
      </c>
      <c r="AX1417" s="516" t="s">
        <v>1543</v>
      </c>
      <c r="AY1417" s="75">
        <v>1</v>
      </c>
      <c r="AZ1417" s="77" t="s">
        <v>131</v>
      </c>
      <c r="BA1417" s="78" t="s">
        <v>131</v>
      </c>
      <c r="BB1417" s="78" t="s">
        <v>131</v>
      </c>
      <c r="BC1417" s="78" t="s">
        <v>131</v>
      </c>
      <c r="BD1417" s="78" t="s">
        <v>131</v>
      </c>
      <c r="BE1417" s="78" t="s">
        <v>131</v>
      </c>
      <c r="BF1417" s="78" t="s">
        <v>131</v>
      </c>
      <c r="BG1417" s="78" t="s">
        <v>132</v>
      </c>
      <c r="BH1417" s="75" t="s">
        <v>5970</v>
      </c>
      <c r="BI1417" s="295" t="s">
        <v>2251</v>
      </c>
      <c r="BJ1417" s="546">
        <v>1</v>
      </c>
      <c r="BK1417" s="294">
        <v>1</v>
      </c>
      <c r="BL1417" s="157">
        <v>1</v>
      </c>
      <c r="BM1417" s="548" t="s">
        <v>1339</v>
      </c>
      <c r="BN1417" s="548" t="s">
        <v>1339</v>
      </c>
      <c r="BO1417" s="157" t="s">
        <v>4329</v>
      </c>
      <c r="BP1417" s="548" t="s">
        <v>4228</v>
      </c>
      <c r="BQ1417" s="157" t="s">
        <v>4226</v>
      </c>
      <c r="BR1417" s="157"/>
    </row>
    <row r="1418" spans="1:70" x14ac:dyDescent="0.25">
      <c r="A1418" s="19" t="s">
        <v>3686</v>
      </c>
      <c r="B1418" s="37" t="s">
        <v>1544</v>
      </c>
      <c r="C1418" s="90">
        <v>44777.631851851853</v>
      </c>
      <c r="D1418" s="114">
        <v>44777.381851851853</v>
      </c>
      <c r="E1418" s="38">
        <v>44777</v>
      </c>
      <c r="F1418" s="91">
        <v>2022</v>
      </c>
      <c r="G1418" s="93">
        <v>8</v>
      </c>
      <c r="H1418" s="37" t="s">
        <v>475</v>
      </c>
      <c r="I1418" s="37"/>
      <c r="J1418" s="103">
        <v>-92.224502451803744</v>
      </c>
      <c r="K1418" s="40">
        <v>43.622326757799478</v>
      </c>
      <c r="L1418" s="74"/>
      <c r="M1418" s="272" t="s">
        <v>1545</v>
      </c>
      <c r="N1418" s="74">
        <v>1</v>
      </c>
      <c r="O1418" s="94"/>
      <c r="P1418" s="118">
        <v>1</v>
      </c>
      <c r="Q1418" s="510">
        <v>180</v>
      </c>
      <c r="R1418" s="513">
        <v>180</v>
      </c>
      <c r="S1418" s="41"/>
      <c r="T1418" s="40"/>
      <c r="U1418" s="40">
        <v>7</v>
      </c>
      <c r="V1418" s="119">
        <v>1</v>
      </c>
      <c r="W1418" s="40">
        <v>0</v>
      </c>
      <c r="X1418" s="119">
        <v>1</v>
      </c>
      <c r="Y1418" s="40">
        <v>0</v>
      </c>
      <c r="Z1418" s="119">
        <v>1</v>
      </c>
      <c r="AA1418" s="368">
        <v>0</v>
      </c>
      <c r="AB1418" s="535">
        <v>10</v>
      </c>
      <c r="AC1418" s="39" t="s">
        <v>160</v>
      </c>
      <c r="AD1418" s="75" t="s">
        <v>10</v>
      </c>
      <c r="AE1418" s="95">
        <v>0</v>
      </c>
      <c r="AF1418" s="75">
        <v>0</v>
      </c>
      <c r="AG1418" s="75">
        <v>0</v>
      </c>
      <c r="AH1418" s="75">
        <v>0</v>
      </c>
      <c r="AI1418" s="75">
        <v>0</v>
      </c>
      <c r="AJ1418" s="75">
        <v>0</v>
      </c>
      <c r="AK1418" s="75">
        <v>0</v>
      </c>
      <c r="AL1418" s="95">
        <v>1</v>
      </c>
      <c r="AM1418" s="92">
        <v>0</v>
      </c>
      <c r="AN1418" s="79" t="s">
        <v>80</v>
      </c>
      <c r="AO1418" s="75">
        <v>1</v>
      </c>
      <c r="AP1418" s="75" t="s">
        <v>83</v>
      </c>
      <c r="AQ1418" s="122">
        <v>1</v>
      </c>
      <c r="AR1418" s="515" t="s">
        <v>10</v>
      </c>
      <c r="AS1418" s="95">
        <v>0</v>
      </c>
      <c r="AT1418" s="75">
        <v>0</v>
      </c>
      <c r="AU1418" s="75">
        <v>0</v>
      </c>
      <c r="AV1418" s="75">
        <v>0</v>
      </c>
      <c r="AW1418" s="123">
        <v>0</v>
      </c>
      <c r="AX1418" s="516" t="s">
        <v>1546</v>
      </c>
      <c r="AY1418" s="75">
        <v>1</v>
      </c>
      <c r="AZ1418" s="77" t="s">
        <v>131</v>
      </c>
      <c r="BA1418" s="78" t="s">
        <v>131</v>
      </c>
      <c r="BB1418" s="78" t="s">
        <v>131</v>
      </c>
      <c r="BC1418" s="78" t="s">
        <v>131</v>
      </c>
      <c r="BD1418" s="78" t="s">
        <v>131</v>
      </c>
      <c r="BE1418" s="78" t="s">
        <v>131</v>
      </c>
      <c r="BF1418" s="78" t="s">
        <v>131</v>
      </c>
      <c r="BG1418" s="78" t="s">
        <v>132</v>
      </c>
      <c r="BH1418" s="75" t="s">
        <v>5970</v>
      </c>
      <c r="BI1418" s="295" t="s">
        <v>2232</v>
      </c>
      <c r="BJ1418" s="546">
        <v>1</v>
      </c>
      <c r="BK1418" s="294" t="s">
        <v>16</v>
      </c>
      <c r="BL1418" s="157" t="s">
        <v>16</v>
      </c>
      <c r="BM1418" s="548" t="s">
        <v>1339</v>
      </c>
      <c r="BN1418" s="548" t="s">
        <v>1339</v>
      </c>
      <c r="BO1418" s="157" t="s">
        <v>4332</v>
      </c>
      <c r="BP1418" s="548" t="s">
        <v>4333</v>
      </c>
      <c r="BQ1418" s="157" t="s">
        <v>4229</v>
      </c>
      <c r="BR1418" s="157"/>
    </row>
    <row r="1419" spans="1:70" x14ac:dyDescent="0.25">
      <c r="A1419" s="19" t="s">
        <v>3686</v>
      </c>
      <c r="B1419" s="37" t="s">
        <v>1547</v>
      </c>
      <c r="C1419" s="90">
        <v>44777.611145833333</v>
      </c>
      <c r="D1419" s="114">
        <v>44777.361145833333</v>
      </c>
      <c r="E1419" s="38">
        <v>44777</v>
      </c>
      <c r="F1419" s="91">
        <v>2022</v>
      </c>
      <c r="G1419" s="93">
        <v>8</v>
      </c>
      <c r="H1419" s="37" t="s">
        <v>1386</v>
      </c>
      <c r="I1419" s="37"/>
      <c r="J1419" s="103">
        <v>-91.570284799999996</v>
      </c>
      <c r="K1419" s="40">
        <v>43.502535600000002</v>
      </c>
      <c r="L1419" s="74"/>
      <c r="M1419" s="272" t="s">
        <v>1548</v>
      </c>
      <c r="N1419" s="74">
        <v>1</v>
      </c>
      <c r="O1419" s="94"/>
      <c r="P1419" s="118">
        <v>1</v>
      </c>
      <c r="Q1419" s="510">
        <v>80</v>
      </c>
      <c r="R1419" s="513">
        <v>120</v>
      </c>
      <c r="S1419" s="41"/>
      <c r="T1419" s="40"/>
      <c r="U1419" s="40">
        <v>7</v>
      </c>
      <c r="V1419" s="119">
        <v>1</v>
      </c>
      <c r="W1419" s="40">
        <v>0</v>
      </c>
      <c r="X1419" s="119">
        <v>1</v>
      </c>
      <c r="Y1419" s="40">
        <v>53</v>
      </c>
      <c r="Z1419" s="119">
        <v>1</v>
      </c>
      <c r="AA1419" s="368">
        <v>0</v>
      </c>
      <c r="AB1419" s="535">
        <v>2</v>
      </c>
      <c r="AC1419" s="39" t="s">
        <v>160</v>
      </c>
      <c r="AD1419" s="75" t="s">
        <v>10</v>
      </c>
      <c r="AE1419" s="95">
        <v>0</v>
      </c>
      <c r="AF1419" s="75">
        <v>0</v>
      </c>
      <c r="AG1419" s="75">
        <v>0</v>
      </c>
      <c r="AH1419" s="75">
        <v>0</v>
      </c>
      <c r="AI1419" s="75">
        <v>0</v>
      </c>
      <c r="AJ1419" s="75">
        <v>0</v>
      </c>
      <c r="AK1419" s="75">
        <v>0</v>
      </c>
      <c r="AL1419" s="95">
        <v>1</v>
      </c>
      <c r="AM1419" s="92">
        <v>0</v>
      </c>
      <c r="AN1419" s="79" t="s">
        <v>80</v>
      </c>
      <c r="AO1419" s="75">
        <v>1</v>
      </c>
      <c r="AP1419" s="75" t="s">
        <v>83</v>
      </c>
      <c r="AQ1419" s="122">
        <v>1</v>
      </c>
      <c r="AR1419" s="515" t="s">
        <v>10</v>
      </c>
      <c r="AS1419" s="95">
        <v>0</v>
      </c>
      <c r="AT1419" s="75">
        <v>0</v>
      </c>
      <c r="AU1419" s="75">
        <v>0</v>
      </c>
      <c r="AV1419" s="75">
        <v>0</v>
      </c>
      <c r="AW1419" s="123">
        <v>0</v>
      </c>
      <c r="AX1419" s="516"/>
      <c r="AY1419" s="75">
        <v>0</v>
      </c>
      <c r="AZ1419" s="77" t="s">
        <v>131</v>
      </c>
      <c r="BA1419" s="78" t="s">
        <v>131</v>
      </c>
      <c r="BB1419" s="78" t="s">
        <v>131</v>
      </c>
      <c r="BC1419" s="78" t="s">
        <v>131</v>
      </c>
      <c r="BD1419" s="78" t="s">
        <v>131</v>
      </c>
      <c r="BE1419" s="78" t="s">
        <v>131</v>
      </c>
      <c r="BF1419" s="78" t="s">
        <v>131</v>
      </c>
      <c r="BG1419" s="78" t="s">
        <v>132</v>
      </c>
      <c r="BH1419" s="75" t="s">
        <v>5970</v>
      </c>
      <c r="BI1419" s="295" t="s">
        <v>2265</v>
      </c>
      <c r="BJ1419" s="546">
        <v>1</v>
      </c>
      <c r="BK1419" s="294">
        <v>1</v>
      </c>
      <c r="BL1419" s="157">
        <v>1</v>
      </c>
      <c r="BM1419" s="548" t="s">
        <v>1341</v>
      </c>
      <c r="BN1419" s="548" t="s">
        <v>1339</v>
      </c>
      <c r="BO1419" s="157" t="s">
        <v>4242</v>
      </c>
      <c r="BP1419" s="548" t="s">
        <v>4041</v>
      </c>
      <c r="BQ1419" s="157" t="s">
        <v>4241</v>
      </c>
      <c r="BR1419" s="157"/>
    </row>
    <row r="1420" spans="1:70" x14ac:dyDescent="0.25">
      <c r="A1420" s="19" t="s">
        <v>3686</v>
      </c>
      <c r="B1420" s="37" t="s">
        <v>1549</v>
      </c>
      <c r="C1420" s="90">
        <v>44776.808009259257</v>
      </c>
      <c r="D1420" s="114">
        <v>44776.558009259257</v>
      </c>
      <c r="E1420" s="38">
        <v>44776</v>
      </c>
      <c r="F1420" s="91">
        <v>2022</v>
      </c>
      <c r="G1420" s="93">
        <v>8</v>
      </c>
      <c r="H1420" s="37" t="s">
        <v>622</v>
      </c>
      <c r="I1420" s="37"/>
      <c r="J1420" s="103">
        <v>-92.267617033880455</v>
      </c>
      <c r="K1420" s="40">
        <v>44.428620412987122</v>
      </c>
      <c r="L1420" s="74"/>
      <c r="M1420" s="272" t="s">
        <v>16</v>
      </c>
      <c r="N1420" s="74">
        <v>0</v>
      </c>
      <c r="O1420" s="94"/>
      <c r="P1420" s="118">
        <v>1</v>
      </c>
      <c r="Q1420" s="510">
        <v>0</v>
      </c>
      <c r="R1420" s="513">
        <v>30</v>
      </c>
      <c r="S1420" s="41"/>
      <c r="T1420" s="40"/>
      <c r="U1420" s="40">
        <v>7</v>
      </c>
      <c r="V1420" s="119">
        <v>1</v>
      </c>
      <c r="W1420" s="40">
        <v>0</v>
      </c>
      <c r="X1420" s="119">
        <v>1</v>
      </c>
      <c r="Y1420" s="40">
        <v>69</v>
      </c>
      <c r="Z1420" s="119">
        <v>1</v>
      </c>
      <c r="AA1420" s="368">
        <v>0</v>
      </c>
      <c r="AB1420" s="535">
        <v>5</v>
      </c>
      <c r="AC1420" s="39" t="s">
        <v>160</v>
      </c>
      <c r="AD1420" s="75" t="s">
        <v>16</v>
      </c>
      <c r="AE1420" s="95">
        <v>-1</v>
      </c>
      <c r="AF1420" s="75">
        <v>-1</v>
      </c>
      <c r="AG1420" s="75">
        <v>-1</v>
      </c>
      <c r="AH1420" s="75">
        <v>-1</v>
      </c>
      <c r="AI1420" s="75">
        <v>-1</v>
      </c>
      <c r="AJ1420" s="75">
        <v>-1</v>
      </c>
      <c r="AK1420" s="75">
        <v>-1</v>
      </c>
      <c r="AL1420" s="95">
        <v>-1</v>
      </c>
      <c r="AM1420" s="92">
        <v>1</v>
      </c>
      <c r="AN1420" s="79"/>
      <c r="AO1420" s="75">
        <v>0</v>
      </c>
      <c r="AP1420" s="75"/>
      <c r="AQ1420" s="122">
        <v>0</v>
      </c>
      <c r="AR1420" s="515" t="s">
        <v>16</v>
      </c>
      <c r="AS1420" s="95">
        <v>-1</v>
      </c>
      <c r="AT1420" s="75">
        <v>-1</v>
      </c>
      <c r="AU1420" s="75">
        <v>-1</v>
      </c>
      <c r="AV1420" s="75">
        <v>-1</v>
      </c>
      <c r="AW1420" s="123">
        <v>1</v>
      </c>
      <c r="AX1420" s="516"/>
      <c r="AY1420" s="75">
        <v>0</v>
      </c>
      <c r="AZ1420" s="77" t="s">
        <v>5971</v>
      </c>
      <c r="BA1420" s="78" t="s">
        <v>5971</v>
      </c>
      <c r="BB1420" s="78" t="s">
        <v>5971</v>
      </c>
      <c r="BC1420" s="78" t="s">
        <v>5971</v>
      </c>
      <c r="BD1420" s="78" t="s">
        <v>5971</v>
      </c>
      <c r="BE1420" s="78" t="s">
        <v>5971</v>
      </c>
      <c r="BF1420" s="78" t="s">
        <v>5971</v>
      </c>
      <c r="BG1420" s="78" t="s">
        <v>5971</v>
      </c>
      <c r="BH1420" s="75" t="s">
        <v>5971</v>
      </c>
      <c r="BI1420" s="295" t="s">
        <v>2228</v>
      </c>
      <c r="BJ1420" s="546">
        <v>1</v>
      </c>
      <c r="BK1420" s="294" t="s">
        <v>16</v>
      </c>
      <c r="BL1420" s="157" t="s">
        <v>16</v>
      </c>
      <c r="BM1420" s="548" t="s">
        <v>1339</v>
      </c>
      <c r="BN1420" s="548" t="s">
        <v>1339</v>
      </c>
      <c r="BO1420" s="157" t="s">
        <v>4614</v>
      </c>
      <c r="BP1420" s="548" t="s">
        <v>2228</v>
      </c>
      <c r="BQ1420" s="157" t="s">
        <v>4214</v>
      </c>
      <c r="BR1420" s="157"/>
    </row>
    <row r="1421" spans="1:70" x14ac:dyDescent="0.25">
      <c r="A1421" s="19" t="s">
        <v>3686</v>
      </c>
      <c r="B1421" s="37" t="s">
        <v>1550</v>
      </c>
      <c r="C1421" s="90">
        <v>44774.686759259261</v>
      </c>
      <c r="D1421" s="114">
        <v>44774.436759259261</v>
      </c>
      <c r="E1421" s="38">
        <v>44774</v>
      </c>
      <c r="F1421" s="91">
        <v>2022</v>
      </c>
      <c r="G1421" s="93">
        <v>8</v>
      </c>
      <c r="H1421" s="37" t="s">
        <v>1433</v>
      </c>
      <c r="I1421" s="37" t="s">
        <v>16</v>
      </c>
      <c r="J1421" s="103">
        <v>-92.558842990633622</v>
      </c>
      <c r="K1421" s="40">
        <v>44.901178535115811</v>
      </c>
      <c r="L1421" s="74"/>
      <c r="M1421" s="272" t="s">
        <v>1551</v>
      </c>
      <c r="N1421" s="74">
        <v>1</v>
      </c>
      <c r="O1421" s="94"/>
      <c r="P1421" s="118">
        <v>1</v>
      </c>
      <c r="Q1421" s="510">
        <v>120</v>
      </c>
      <c r="R1421" s="513">
        <v>180</v>
      </c>
      <c r="S1421" s="41"/>
      <c r="T1421" s="40"/>
      <c r="U1421" s="40">
        <v>8</v>
      </c>
      <c r="V1421" s="119">
        <v>1</v>
      </c>
      <c r="W1421" s="40">
        <v>100</v>
      </c>
      <c r="X1421" s="119">
        <v>1</v>
      </c>
      <c r="Y1421" s="40">
        <v>59</v>
      </c>
      <c r="Z1421" s="119">
        <v>1</v>
      </c>
      <c r="AA1421" s="368">
        <v>0</v>
      </c>
      <c r="AB1421" s="535">
        <v>5</v>
      </c>
      <c r="AC1421" s="39" t="s">
        <v>160</v>
      </c>
      <c r="AD1421" s="75" t="s">
        <v>10</v>
      </c>
      <c r="AE1421" s="95">
        <v>0</v>
      </c>
      <c r="AF1421" s="75">
        <v>0</v>
      </c>
      <c r="AG1421" s="75">
        <v>0</v>
      </c>
      <c r="AH1421" s="75">
        <v>0</v>
      </c>
      <c r="AI1421" s="75">
        <v>0</v>
      </c>
      <c r="AJ1421" s="75">
        <v>0</v>
      </c>
      <c r="AK1421" s="75">
        <v>0</v>
      </c>
      <c r="AL1421" s="95">
        <v>1</v>
      </c>
      <c r="AM1421" s="92">
        <v>0</v>
      </c>
      <c r="AN1421" s="79" t="s">
        <v>80</v>
      </c>
      <c r="AO1421" s="75">
        <v>1</v>
      </c>
      <c r="AP1421" s="75" t="s">
        <v>83</v>
      </c>
      <c r="AQ1421" s="122">
        <v>1</v>
      </c>
      <c r="AR1421" s="515" t="s">
        <v>10</v>
      </c>
      <c r="AS1421" s="95">
        <v>0</v>
      </c>
      <c r="AT1421" s="75">
        <v>0</v>
      </c>
      <c r="AU1421" s="75">
        <v>0</v>
      </c>
      <c r="AV1421" s="75">
        <v>0</v>
      </c>
      <c r="AW1421" s="123">
        <v>0</v>
      </c>
      <c r="AX1421" s="516" t="s">
        <v>1552</v>
      </c>
      <c r="AY1421" s="75">
        <v>1</v>
      </c>
      <c r="AZ1421" s="77" t="s">
        <v>131</v>
      </c>
      <c r="BA1421" s="78" t="s">
        <v>131</v>
      </c>
      <c r="BB1421" s="78" t="s">
        <v>131</v>
      </c>
      <c r="BC1421" s="78" t="s">
        <v>131</v>
      </c>
      <c r="BD1421" s="78" t="s">
        <v>131</v>
      </c>
      <c r="BE1421" s="78" t="s">
        <v>131</v>
      </c>
      <c r="BF1421" s="78" t="s">
        <v>131</v>
      </c>
      <c r="BG1421" s="78" t="s">
        <v>132</v>
      </c>
      <c r="BH1421" s="75" t="s">
        <v>5970</v>
      </c>
      <c r="BI1421" s="295" t="s">
        <v>16</v>
      </c>
      <c r="BJ1421" s="546">
        <v>1</v>
      </c>
      <c r="BK1421" s="294">
        <v>1</v>
      </c>
      <c r="BL1421" s="157">
        <v>1</v>
      </c>
      <c r="BM1421" s="548" t="s">
        <v>578</v>
      </c>
      <c r="BN1421" s="548" t="s">
        <v>4159</v>
      </c>
      <c r="BO1421" s="157" t="s">
        <v>4311</v>
      </c>
      <c r="BP1421" s="548" t="s">
        <v>4395</v>
      </c>
      <c r="BQ1421" s="157" t="s">
        <v>4309</v>
      </c>
      <c r="BR1421" s="157"/>
    </row>
    <row r="1422" spans="1:70" x14ac:dyDescent="0.25">
      <c r="A1422" s="19" t="s">
        <v>3686</v>
      </c>
      <c r="B1422" s="37" t="s">
        <v>1553</v>
      </c>
      <c r="C1422" s="90">
        <v>44773.912187499998</v>
      </c>
      <c r="D1422" s="114">
        <v>44773.662187499998</v>
      </c>
      <c r="E1422" s="38">
        <v>44773</v>
      </c>
      <c r="F1422" s="91">
        <v>2022</v>
      </c>
      <c r="G1422" s="93">
        <v>7</v>
      </c>
      <c r="H1422" s="37" t="s">
        <v>1433</v>
      </c>
      <c r="I1422" s="37" t="s">
        <v>146</v>
      </c>
      <c r="J1422" s="103">
        <v>-92.568179760214463</v>
      </c>
      <c r="K1422" s="40">
        <v>44.899795940187666</v>
      </c>
      <c r="L1422" s="74"/>
      <c r="M1422" s="272" t="s">
        <v>16</v>
      </c>
      <c r="N1422" s="74">
        <v>0</v>
      </c>
      <c r="O1422" s="94"/>
      <c r="P1422" s="118">
        <v>1</v>
      </c>
      <c r="Q1422" s="510">
        <v>120</v>
      </c>
      <c r="R1422" s="513">
        <v>120</v>
      </c>
      <c r="S1422" s="41"/>
      <c r="T1422" s="40"/>
      <c r="U1422" s="40">
        <v>9</v>
      </c>
      <c r="V1422" s="119">
        <v>1</v>
      </c>
      <c r="W1422" s="40">
        <v>100</v>
      </c>
      <c r="X1422" s="119">
        <v>1</v>
      </c>
      <c r="Y1422" s="40">
        <v>61</v>
      </c>
      <c r="Z1422" s="119">
        <v>1</v>
      </c>
      <c r="AA1422" s="368">
        <v>0</v>
      </c>
      <c r="AB1422" s="535">
        <v>5</v>
      </c>
      <c r="AC1422" s="39" t="s">
        <v>160</v>
      </c>
      <c r="AD1422" s="75" t="s">
        <v>10</v>
      </c>
      <c r="AE1422" s="95">
        <v>0</v>
      </c>
      <c r="AF1422" s="75">
        <v>0</v>
      </c>
      <c r="AG1422" s="75">
        <v>0</v>
      </c>
      <c r="AH1422" s="75">
        <v>0</v>
      </c>
      <c r="AI1422" s="75">
        <v>0</v>
      </c>
      <c r="AJ1422" s="75">
        <v>0</v>
      </c>
      <c r="AK1422" s="75">
        <v>0</v>
      </c>
      <c r="AL1422" s="95">
        <v>1</v>
      </c>
      <c r="AM1422" s="92">
        <v>0</v>
      </c>
      <c r="AN1422" s="79" t="s">
        <v>80</v>
      </c>
      <c r="AO1422" s="75">
        <v>1</v>
      </c>
      <c r="AP1422" s="75" t="s">
        <v>83</v>
      </c>
      <c r="AQ1422" s="122">
        <v>1</v>
      </c>
      <c r="AR1422" s="515" t="s">
        <v>10</v>
      </c>
      <c r="AS1422" s="95">
        <v>0</v>
      </c>
      <c r="AT1422" s="75">
        <v>0</v>
      </c>
      <c r="AU1422" s="75">
        <v>0</v>
      </c>
      <c r="AV1422" s="75">
        <v>0</v>
      </c>
      <c r="AW1422" s="123">
        <v>0</v>
      </c>
      <c r="AX1422" s="516" t="s">
        <v>1554</v>
      </c>
      <c r="AY1422" s="75">
        <v>1</v>
      </c>
      <c r="AZ1422" s="77" t="s">
        <v>131</v>
      </c>
      <c r="BA1422" s="78" t="s">
        <v>131</v>
      </c>
      <c r="BB1422" s="78" t="s">
        <v>131</v>
      </c>
      <c r="BC1422" s="78" t="s">
        <v>131</v>
      </c>
      <c r="BD1422" s="78" t="s">
        <v>131</v>
      </c>
      <c r="BE1422" s="78" t="s">
        <v>131</v>
      </c>
      <c r="BF1422" s="78" t="s">
        <v>131</v>
      </c>
      <c r="BG1422" s="78" t="s">
        <v>132</v>
      </c>
      <c r="BH1422" s="75" t="s">
        <v>5970</v>
      </c>
      <c r="BI1422" s="295" t="s">
        <v>2227</v>
      </c>
      <c r="BJ1422" s="546">
        <v>1</v>
      </c>
      <c r="BK1422" s="294" t="s">
        <v>16</v>
      </c>
      <c r="BL1422" s="157" t="s">
        <v>16</v>
      </c>
      <c r="BM1422" s="548" t="s">
        <v>578</v>
      </c>
      <c r="BN1422" s="548" t="s">
        <v>4159</v>
      </c>
      <c r="BO1422" s="157" t="s">
        <v>4311</v>
      </c>
      <c r="BP1422" s="548" t="s">
        <v>4395</v>
      </c>
      <c r="BQ1422" s="157" t="s">
        <v>4309</v>
      </c>
      <c r="BR1422" s="157"/>
    </row>
    <row r="1423" spans="1:70" x14ac:dyDescent="0.25">
      <c r="A1423" s="19" t="s">
        <v>3686</v>
      </c>
      <c r="B1423" s="37" t="s">
        <v>1555</v>
      </c>
      <c r="C1423" s="90">
        <v>44771.652858796297</v>
      </c>
      <c r="D1423" s="114">
        <v>44771.402858796297</v>
      </c>
      <c r="E1423" s="38">
        <v>44771</v>
      </c>
      <c r="F1423" s="91">
        <v>2022</v>
      </c>
      <c r="G1423" s="93">
        <v>7</v>
      </c>
      <c r="H1423" s="37" t="s">
        <v>1386</v>
      </c>
      <c r="I1423" s="37"/>
      <c r="J1423" s="103">
        <v>-92.3548689</v>
      </c>
      <c r="K1423" s="40">
        <v>43.707147200000001</v>
      </c>
      <c r="L1423" s="74"/>
      <c r="M1423" s="272" t="s">
        <v>1556</v>
      </c>
      <c r="N1423" s="74">
        <v>1</v>
      </c>
      <c r="O1423" s="94"/>
      <c r="P1423" s="118">
        <v>1</v>
      </c>
      <c r="Q1423" s="510">
        <v>80</v>
      </c>
      <c r="R1423" s="513">
        <v>180</v>
      </c>
      <c r="S1423" s="41"/>
      <c r="T1423" s="40"/>
      <c r="U1423" s="40">
        <v>7.5</v>
      </c>
      <c r="V1423" s="119">
        <v>1</v>
      </c>
      <c r="W1423" s="40">
        <v>0</v>
      </c>
      <c r="X1423" s="119">
        <v>1</v>
      </c>
      <c r="Y1423" s="40">
        <v>59</v>
      </c>
      <c r="Z1423" s="119">
        <v>1</v>
      </c>
      <c r="AA1423" s="368">
        <v>0</v>
      </c>
      <c r="AB1423" s="535">
        <v>5</v>
      </c>
      <c r="AC1423" s="39" t="s">
        <v>160</v>
      </c>
      <c r="AD1423" s="75" t="s">
        <v>10</v>
      </c>
      <c r="AE1423" s="95">
        <v>0</v>
      </c>
      <c r="AF1423" s="75">
        <v>0</v>
      </c>
      <c r="AG1423" s="75">
        <v>0</v>
      </c>
      <c r="AH1423" s="75">
        <v>0</v>
      </c>
      <c r="AI1423" s="75">
        <v>0</v>
      </c>
      <c r="AJ1423" s="75">
        <v>0</v>
      </c>
      <c r="AK1423" s="75">
        <v>0</v>
      </c>
      <c r="AL1423" s="95">
        <v>1</v>
      </c>
      <c r="AM1423" s="92">
        <v>0</v>
      </c>
      <c r="AN1423" s="79" t="s">
        <v>80</v>
      </c>
      <c r="AO1423" s="75">
        <v>1</v>
      </c>
      <c r="AP1423" s="75" t="s">
        <v>83</v>
      </c>
      <c r="AQ1423" s="122">
        <v>1</v>
      </c>
      <c r="AR1423" s="515" t="s">
        <v>10</v>
      </c>
      <c r="AS1423" s="95">
        <v>0</v>
      </c>
      <c r="AT1423" s="75">
        <v>0</v>
      </c>
      <c r="AU1423" s="75">
        <v>0</v>
      </c>
      <c r="AV1423" s="75">
        <v>0</v>
      </c>
      <c r="AW1423" s="123">
        <v>0</v>
      </c>
      <c r="AX1423" s="516"/>
      <c r="AY1423" s="75">
        <v>0</v>
      </c>
      <c r="AZ1423" s="77" t="s">
        <v>131</v>
      </c>
      <c r="BA1423" s="78" t="s">
        <v>131</v>
      </c>
      <c r="BB1423" s="78" t="s">
        <v>131</v>
      </c>
      <c r="BC1423" s="78" t="s">
        <v>131</v>
      </c>
      <c r="BD1423" s="78" t="s">
        <v>131</v>
      </c>
      <c r="BE1423" s="78" t="s">
        <v>131</v>
      </c>
      <c r="BF1423" s="78" t="s">
        <v>131</v>
      </c>
      <c r="BG1423" s="78" t="s">
        <v>132</v>
      </c>
      <c r="BH1423" s="75" t="s">
        <v>5970</v>
      </c>
      <c r="BI1423" s="295" t="s">
        <v>2230</v>
      </c>
      <c r="BJ1423" s="546">
        <v>1</v>
      </c>
      <c r="BK1423" s="294" t="s">
        <v>16</v>
      </c>
      <c r="BL1423" s="157" t="s">
        <v>16</v>
      </c>
      <c r="BM1423" s="548" t="s">
        <v>1339</v>
      </c>
      <c r="BN1423" s="548" t="s">
        <v>1339</v>
      </c>
      <c r="BO1423" s="157" t="s">
        <v>4227</v>
      </c>
      <c r="BP1423" s="548" t="s">
        <v>2230</v>
      </c>
      <c r="BQ1423" s="157" t="s">
        <v>4226</v>
      </c>
      <c r="BR1423" s="157"/>
    </row>
    <row r="1424" spans="1:70" x14ac:dyDescent="0.25">
      <c r="A1424" s="19" t="s">
        <v>3686</v>
      </c>
      <c r="B1424" s="37" t="s">
        <v>1557</v>
      </c>
      <c r="C1424" s="90">
        <v>44771.625775462962</v>
      </c>
      <c r="D1424" s="114">
        <v>44771.375775462962</v>
      </c>
      <c r="E1424" s="38">
        <v>44771</v>
      </c>
      <c r="F1424" s="91">
        <v>2022</v>
      </c>
      <c r="G1424" s="93">
        <v>7</v>
      </c>
      <c r="H1424" s="37" t="s">
        <v>1386</v>
      </c>
      <c r="I1424" s="37"/>
      <c r="J1424" s="103">
        <v>-92.342236900000003</v>
      </c>
      <c r="K1424" s="40">
        <v>43.603137799999999</v>
      </c>
      <c r="L1424" s="74"/>
      <c r="M1424" s="272" t="s">
        <v>1558</v>
      </c>
      <c r="N1424" s="74">
        <v>1</v>
      </c>
      <c r="O1424" s="94"/>
      <c r="P1424" s="118">
        <v>1</v>
      </c>
      <c r="Q1424" s="510">
        <v>80</v>
      </c>
      <c r="R1424" s="513">
        <v>120</v>
      </c>
      <c r="S1424" s="41"/>
      <c r="T1424" s="40"/>
      <c r="U1424" s="40">
        <v>7.5</v>
      </c>
      <c r="V1424" s="119">
        <v>1</v>
      </c>
      <c r="W1424" s="40">
        <v>100</v>
      </c>
      <c r="X1424" s="119">
        <v>1</v>
      </c>
      <c r="Y1424" s="40">
        <v>59</v>
      </c>
      <c r="Z1424" s="119">
        <v>1</v>
      </c>
      <c r="AA1424" s="368">
        <v>0</v>
      </c>
      <c r="AB1424" s="535">
        <v>5</v>
      </c>
      <c r="AC1424" s="39" t="s">
        <v>160</v>
      </c>
      <c r="AD1424" s="75" t="s">
        <v>10</v>
      </c>
      <c r="AE1424" s="95">
        <v>0</v>
      </c>
      <c r="AF1424" s="75">
        <v>0</v>
      </c>
      <c r="AG1424" s="75">
        <v>0</v>
      </c>
      <c r="AH1424" s="75">
        <v>0</v>
      </c>
      <c r="AI1424" s="75">
        <v>0</v>
      </c>
      <c r="AJ1424" s="75">
        <v>0</v>
      </c>
      <c r="AK1424" s="75">
        <v>0</v>
      </c>
      <c r="AL1424" s="95">
        <v>1</v>
      </c>
      <c r="AM1424" s="92">
        <v>0</v>
      </c>
      <c r="AN1424" s="79" t="s">
        <v>80</v>
      </c>
      <c r="AO1424" s="75">
        <v>1</v>
      </c>
      <c r="AP1424" s="75" t="s">
        <v>83</v>
      </c>
      <c r="AQ1424" s="122">
        <v>1</v>
      </c>
      <c r="AR1424" s="515" t="s">
        <v>10</v>
      </c>
      <c r="AS1424" s="95">
        <v>0</v>
      </c>
      <c r="AT1424" s="75">
        <v>0</v>
      </c>
      <c r="AU1424" s="75">
        <v>0</v>
      </c>
      <c r="AV1424" s="75">
        <v>0</v>
      </c>
      <c r="AW1424" s="123">
        <v>0</v>
      </c>
      <c r="AX1424" s="516"/>
      <c r="AY1424" s="75">
        <v>0</v>
      </c>
      <c r="AZ1424" s="77" t="s">
        <v>131</v>
      </c>
      <c r="BA1424" s="78" t="s">
        <v>131</v>
      </c>
      <c r="BB1424" s="78" t="s">
        <v>131</v>
      </c>
      <c r="BC1424" s="78" t="s">
        <v>131</v>
      </c>
      <c r="BD1424" s="78" t="s">
        <v>131</v>
      </c>
      <c r="BE1424" s="78" t="s">
        <v>131</v>
      </c>
      <c r="BF1424" s="78" t="s">
        <v>131</v>
      </c>
      <c r="BG1424" s="78" t="s">
        <v>132</v>
      </c>
      <c r="BH1424" s="75" t="s">
        <v>5970</v>
      </c>
      <c r="BI1424" s="295" t="s">
        <v>2294</v>
      </c>
      <c r="BJ1424" s="546">
        <v>1</v>
      </c>
      <c r="BK1424" s="294" t="s">
        <v>16</v>
      </c>
      <c r="BL1424" s="157" t="s">
        <v>16</v>
      </c>
      <c r="BM1424" s="548" t="s">
        <v>1339</v>
      </c>
      <c r="BN1424" s="548" t="s">
        <v>1339</v>
      </c>
      <c r="BO1424" s="157" t="s">
        <v>4230</v>
      </c>
      <c r="BP1424" s="548" t="s">
        <v>4231</v>
      </c>
      <c r="BQ1424" s="157" t="s">
        <v>4229</v>
      </c>
      <c r="BR1424" s="157"/>
    </row>
    <row r="1425" spans="1:70" x14ac:dyDescent="0.25">
      <c r="A1425" s="19" t="s">
        <v>3686</v>
      </c>
      <c r="B1425" s="37" t="s">
        <v>2215</v>
      </c>
      <c r="C1425" s="90">
        <v>44771.615243055552</v>
      </c>
      <c r="D1425" s="114">
        <v>44771.365243055552</v>
      </c>
      <c r="E1425" s="38">
        <v>44771</v>
      </c>
      <c r="F1425" s="91">
        <v>2022</v>
      </c>
      <c r="G1425" s="93">
        <v>7</v>
      </c>
      <c r="H1425" s="37" t="s">
        <v>621</v>
      </c>
      <c r="I1425" s="37" t="s">
        <v>960</v>
      </c>
      <c r="J1425" s="103">
        <v>-93.008999470707963</v>
      </c>
      <c r="K1425" s="40">
        <v>44.657260794234141</v>
      </c>
      <c r="L1425" s="74"/>
      <c r="M1425" s="272" t="s">
        <v>16</v>
      </c>
      <c r="N1425" s="74">
        <v>0</v>
      </c>
      <c r="O1425" s="94"/>
      <c r="P1425" s="118">
        <v>1</v>
      </c>
      <c r="Q1425" s="510">
        <v>180</v>
      </c>
      <c r="R1425" s="513">
        <v>120</v>
      </c>
      <c r="S1425" s="41"/>
      <c r="T1425" s="40"/>
      <c r="U1425" s="40">
        <v>8</v>
      </c>
      <c r="V1425" s="119">
        <v>1</v>
      </c>
      <c r="W1425" s="40">
        <v>100</v>
      </c>
      <c r="X1425" s="119">
        <v>1</v>
      </c>
      <c r="Y1425" s="40">
        <v>61</v>
      </c>
      <c r="Z1425" s="119">
        <v>1</v>
      </c>
      <c r="AA1425" s="368">
        <v>0</v>
      </c>
      <c r="AB1425" s="535">
        <v>5</v>
      </c>
      <c r="AC1425" s="39" t="s">
        <v>160</v>
      </c>
      <c r="AD1425" s="75" t="s">
        <v>16</v>
      </c>
      <c r="AE1425" s="95">
        <v>-1</v>
      </c>
      <c r="AF1425" s="75">
        <v>-1</v>
      </c>
      <c r="AG1425" s="75">
        <v>-1</v>
      </c>
      <c r="AH1425" s="75">
        <v>-1</v>
      </c>
      <c r="AI1425" s="75">
        <v>-1</v>
      </c>
      <c r="AJ1425" s="75">
        <v>-1</v>
      </c>
      <c r="AK1425" s="75">
        <v>-1</v>
      </c>
      <c r="AL1425" s="95">
        <v>-1</v>
      </c>
      <c r="AM1425" s="92">
        <v>1</v>
      </c>
      <c r="AN1425" s="79" t="s">
        <v>80</v>
      </c>
      <c r="AO1425" s="75">
        <v>1</v>
      </c>
      <c r="AP1425" s="75" t="s">
        <v>83</v>
      </c>
      <c r="AQ1425" s="122">
        <v>1</v>
      </c>
      <c r="AR1425" s="515" t="s">
        <v>10</v>
      </c>
      <c r="AS1425" s="95">
        <v>0</v>
      </c>
      <c r="AT1425" s="75">
        <v>0</v>
      </c>
      <c r="AU1425" s="75">
        <v>0</v>
      </c>
      <c r="AV1425" s="75">
        <v>0</v>
      </c>
      <c r="AW1425" s="123">
        <v>0</v>
      </c>
      <c r="AX1425" s="516"/>
      <c r="AY1425" s="75">
        <v>0</v>
      </c>
      <c r="AZ1425" s="77" t="s">
        <v>5971</v>
      </c>
      <c r="BA1425" s="78" t="s">
        <v>5971</v>
      </c>
      <c r="BB1425" s="78" t="s">
        <v>5971</v>
      </c>
      <c r="BC1425" s="78" t="s">
        <v>5971</v>
      </c>
      <c r="BD1425" s="78" t="s">
        <v>5971</v>
      </c>
      <c r="BE1425" s="78" t="s">
        <v>5971</v>
      </c>
      <c r="BF1425" s="78" t="s">
        <v>5971</v>
      </c>
      <c r="BG1425" s="78" t="s">
        <v>5971</v>
      </c>
      <c r="BH1425" s="75" t="s">
        <v>5971</v>
      </c>
      <c r="BI1425" s="295" t="s">
        <v>2225</v>
      </c>
      <c r="BJ1425" s="546">
        <v>1</v>
      </c>
      <c r="BK1425" s="294" t="s">
        <v>16</v>
      </c>
      <c r="BL1425" s="157" t="s">
        <v>16</v>
      </c>
      <c r="BM1425" s="548" t="s">
        <v>2343</v>
      </c>
      <c r="BN1425" s="548" t="s">
        <v>4161</v>
      </c>
      <c r="BO1425" s="157" t="s">
        <v>4293</v>
      </c>
      <c r="BP1425" s="548" t="s">
        <v>2225</v>
      </c>
      <c r="BQ1425" s="157" t="s">
        <v>4292</v>
      </c>
      <c r="BR1425" s="157"/>
    </row>
    <row r="1426" spans="1:70" x14ac:dyDescent="0.25">
      <c r="A1426" s="19" t="s">
        <v>3686</v>
      </c>
      <c r="B1426" s="37" t="s">
        <v>2216</v>
      </c>
      <c r="C1426" s="90">
        <v>44771.549687500003</v>
      </c>
      <c r="D1426" s="114">
        <v>44771.299687500003</v>
      </c>
      <c r="E1426" s="38">
        <v>44771</v>
      </c>
      <c r="F1426" s="91">
        <v>2022</v>
      </c>
      <c r="G1426" s="93">
        <v>7</v>
      </c>
      <c r="H1426" s="37" t="s">
        <v>461</v>
      </c>
      <c r="I1426" s="37" t="s">
        <v>154</v>
      </c>
      <c r="J1426" s="103">
        <v>-92.155737261012874</v>
      </c>
      <c r="K1426" s="40">
        <v>44.798082676188407</v>
      </c>
      <c r="L1426" s="74"/>
      <c r="M1426" s="272" t="s">
        <v>2217</v>
      </c>
      <c r="N1426" s="74">
        <v>1</v>
      </c>
      <c r="O1426" s="94"/>
      <c r="P1426" s="118">
        <v>1</v>
      </c>
      <c r="Q1426" s="510">
        <v>0</v>
      </c>
      <c r="R1426" s="513">
        <v>30</v>
      </c>
      <c r="S1426" s="41"/>
      <c r="T1426" s="40"/>
      <c r="U1426" s="40">
        <v>7</v>
      </c>
      <c r="V1426" s="119">
        <v>1</v>
      </c>
      <c r="W1426" s="40">
        <v>0</v>
      </c>
      <c r="X1426" s="119">
        <v>1</v>
      </c>
      <c r="Y1426" s="40">
        <v>55</v>
      </c>
      <c r="Z1426" s="119">
        <v>1</v>
      </c>
      <c r="AA1426" s="368">
        <v>0</v>
      </c>
      <c r="AB1426" s="535">
        <v>5</v>
      </c>
      <c r="AC1426" s="39" t="s">
        <v>160</v>
      </c>
      <c r="AD1426" s="75" t="s">
        <v>16</v>
      </c>
      <c r="AE1426" s="95">
        <v>-1</v>
      </c>
      <c r="AF1426" s="75">
        <v>-1</v>
      </c>
      <c r="AG1426" s="75">
        <v>-1</v>
      </c>
      <c r="AH1426" s="75">
        <v>-1</v>
      </c>
      <c r="AI1426" s="75">
        <v>-1</v>
      </c>
      <c r="AJ1426" s="75">
        <v>-1</v>
      </c>
      <c r="AK1426" s="75">
        <v>-1</v>
      </c>
      <c r="AL1426" s="95">
        <v>-1</v>
      </c>
      <c r="AM1426" s="92">
        <v>1</v>
      </c>
      <c r="AN1426" s="79" t="s">
        <v>80</v>
      </c>
      <c r="AO1426" s="75">
        <v>1</v>
      </c>
      <c r="AP1426" s="75" t="s">
        <v>83</v>
      </c>
      <c r="AQ1426" s="122">
        <v>1</v>
      </c>
      <c r="AR1426" s="515" t="s">
        <v>10</v>
      </c>
      <c r="AS1426" s="95">
        <v>0</v>
      </c>
      <c r="AT1426" s="75">
        <v>0</v>
      </c>
      <c r="AU1426" s="75">
        <v>0</v>
      </c>
      <c r="AV1426" s="75">
        <v>0</v>
      </c>
      <c r="AW1426" s="123">
        <v>0</v>
      </c>
      <c r="AX1426" s="516" t="s">
        <v>2218</v>
      </c>
      <c r="AY1426" s="75">
        <v>1</v>
      </c>
      <c r="AZ1426" s="77" t="s">
        <v>5971</v>
      </c>
      <c r="BA1426" s="78" t="s">
        <v>5971</v>
      </c>
      <c r="BB1426" s="78" t="s">
        <v>5971</v>
      </c>
      <c r="BC1426" s="78" t="s">
        <v>5971</v>
      </c>
      <c r="BD1426" s="78" t="s">
        <v>5971</v>
      </c>
      <c r="BE1426" s="78" t="s">
        <v>5971</v>
      </c>
      <c r="BF1426" s="78" t="s">
        <v>5971</v>
      </c>
      <c r="BG1426" s="78" t="s">
        <v>5971</v>
      </c>
      <c r="BH1426" s="75" t="s">
        <v>5971</v>
      </c>
      <c r="BI1426" s="295" t="s">
        <v>2270</v>
      </c>
      <c r="BJ1426" s="546">
        <v>1</v>
      </c>
      <c r="BK1426" s="294">
        <v>1</v>
      </c>
      <c r="BL1426" s="157">
        <v>1</v>
      </c>
      <c r="BM1426" s="548" t="s">
        <v>578</v>
      </c>
      <c r="BN1426" s="548" t="s">
        <v>578</v>
      </c>
      <c r="BO1426" s="157" t="s">
        <v>4317</v>
      </c>
      <c r="BP1426" s="548" t="s">
        <v>2270</v>
      </c>
      <c r="BQ1426" s="157" t="s">
        <v>4316</v>
      </c>
      <c r="BR1426" s="157"/>
    </row>
    <row r="1427" spans="1:70" x14ac:dyDescent="0.25">
      <c r="A1427" s="19" t="s">
        <v>3686</v>
      </c>
      <c r="B1427" s="37" t="s">
        <v>1559</v>
      </c>
      <c r="C1427" s="90">
        <v>44770.936192129629</v>
      </c>
      <c r="D1427" s="114">
        <v>44770.686192129629</v>
      </c>
      <c r="E1427" s="38">
        <v>44770</v>
      </c>
      <c r="F1427" s="91">
        <v>2022</v>
      </c>
      <c r="G1427" s="93">
        <v>7</v>
      </c>
      <c r="H1427" s="37" t="s">
        <v>1364</v>
      </c>
      <c r="I1427" s="37" t="s">
        <v>958</v>
      </c>
      <c r="J1427" s="103">
        <v>-92.575557500000002</v>
      </c>
      <c r="K1427" s="40">
        <v>44.488374499999999</v>
      </c>
      <c r="L1427" s="74"/>
      <c r="M1427" s="272" t="s">
        <v>1560</v>
      </c>
      <c r="N1427" s="74">
        <v>1</v>
      </c>
      <c r="O1427" s="94"/>
      <c r="P1427" s="118">
        <v>1</v>
      </c>
      <c r="Q1427" s="510">
        <v>80</v>
      </c>
      <c r="R1427" s="513">
        <v>120</v>
      </c>
      <c r="S1427" s="41"/>
      <c r="T1427" s="40"/>
      <c r="U1427" s="40">
        <v>7.5</v>
      </c>
      <c r="V1427" s="119">
        <v>1</v>
      </c>
      <c r="W1427" s="40">
        <v>100</v>
      </c>
      <c r="X1427" s="119">
        <v>0</v>
      </c>
      <c r="Y1427" s="40"/>
      <c r="Z1427" s="119">
        <v>1</v>
      </c>
      <c r="AA1427" s="368">
        <v>0</v>
      </c>
      <c r="AB1427" s="535">
        <v>2</v>
      </c>
      <c r="AC1427" s="39" t="s">
        <v>160</v>
      </c>
      <c r="AD1427" s="75" t="s">
        <v>10</v>
      </c>
      <c r="AE1427" s="95">
        <v>0</v>
      </c>
      <c r="AF1427" s="75">
        <v>0</v>
      </c>
      <c r="AG1427" s="75">
        <v>0</v>
      </c>
      <c r="AH1427" s="75">
        <v>0</v>
      </c>
      <c r="AI1427" s="75">
        <v>0</v>
      </c>
      <c r="AJ1427" s="75">
        <v>0</v>
      </c>
      <c r="AK1427" s="75">
        <v>0</v>
      </c>
      <c r="AL1427" s="95">
        <v>1</v>
      </c>
      <c r="AM1427" s="92">
        <v>0</v>
      </c>
      <c r="AN1427" s="79" t="s">
        <v>81</v>
      </c>
      <c r="AO1427" s="75">
        <v>1</v>
      </c>
      <c r="AP1427" s="75" t="s">
        <v>83</v>
      </c>
      <c r="AQ1427" s="122">
        <v>1</v>
      </c>
      <c r="AR1427" s="515" t="s">
        <v>10</v>
      </c>
      <c r="AS1427" s="95">
        <v>0</v>
      </c>
      <c r="AT1427" s="75">
        <v>0</v>
      </c>
      <c r="AU1427" s="75">
        <v>0</v>
      </c>
      <c r="AV1427" s="75">
        <v>0</v>
      </c>
      <c r="AW1427" s="123">
        <v>0</v>
      </c>
      <c r="AX1427" s="516"/>
      <c r="AY1427" s="75">
        <v>0</v>
      </c>
      <c r="AZ1427" s="77" t="s">
        <v>131</v>
      </c>
      <c r="BA1427" s="78" t="s">
        <v>131</v>
      </c>
      <c r="BB1427" s="78" t="s">
        <v>131</v>
      </c>
      <c r="BC1427" s="78" t="s">
        <v>131</v>
      </c>
      <c r="BD1427" s="78" t="s">
        <v>131</v>
      </c>
      <c r="BE1427" s="78" t="s">
        <v>131</v>
      </c>
      <c r="BF1427" s="78" t="s">
        <v>131</v>
      </c>
      <c r="BG1427" s="78" t="s">
        <v>132</v>
      </c>
      <c r="BH1427" s="75" t="s">
        <v>5970</v>
      </c>
      <c r="BI1427" s="295" t="s">
        <v>2238</v>
      </c>
      <c r="BJ1427" s="546">
        <v>1</v>
      </c>
      <c r="BK1427" s="294" t="s">
        <v>16</v>
      </c>
      <c r="BL1427" s="157" t="s">
        <v>16</v>
      </c>
      <c r="BM1427" s="548" t="s">
        <v>2343</v>
      </c>
      <c r="BN1427" s="548" t="s">
        <v>4161</v>
      </c>
      <c r="BO1427" s="157" t="s">
        <v>4308</v>
      </c>
      <c r="BP1427" s="548" t="s">
        <v>2238</v>
      </c>
      <c r="BQ1427" s="157" t="s">
        <v>4307</v>
      </c>
      <c r="BR1427" s="157"/>
    </row>
    <row r="1428" spans="1:70" x14ac:dyDescent="0.25">
      <c r="A1428" s="19" t="s">
        <v>3686</v>
      </c>
      <c r="B1428" s="37" t="s">
        <v>1561</v>
      </c>
      <c r="C1428" s="90">
        <v>44770.92119212963</v>
      </c>
      <c r="D1428" s="114">
        <v>44770.67119212963</v>
      </c>
      <c r="E1428" s="38">
        <v>44770</v>
      </c>
      <c r="F1428" s="91">
        <v>2022</v>
      </c>
      <c r="G1428" s="93">
        <v>7</v>
      </c>
      <c r="H1428" s="37" t="s">
        <v>1364</v>
      </c>
      <c r="I1428" s="37" t="s">
        <v>959</v>
      </c>
      <c r="J1428" s="103">
        <v>-92.5974267</v>
      </c>
      <c r="K1428" s="40">
        <v>44.472321700000002</v>
      </c>
      <c r="L1428" s="74"/>
      <c r="M1428" s="272" t="s">
        <v>1562</v>
      </c>
      <c r="N1428" s="74">
        <v>1</v>
      </c>
      <c r="O1428" s="94"/>
      <c r="P1428" s="118">
        <v>1</v>
      </c>
      <c r="Q1428" s="510">
        <v>40</v>
      </c>
      <c r="R1428" s="513">
        <v>120</v>
      </c>
      <c r="S1428" s="41"/>
      <c r="T1428" s="40"/>
      <c r="U1428" s="40">
        <v>7.5</v>
      </c>
      <c r="V1428" s="119">
        <v>1</v>
      </c>
      <c r="W1428" s="40">
        <v>200</v>
      </c>
      <c r="X1428" s="119">
        <v>1</v>
      </c>
      <c r="Y1428" s="40">
        <v>61</v>
      </c>
      <c r="Z1428" s="119">
        <v>1</v>
      </c>
      <c r="AA1428" s="368">
        <v>0</v>
      </c>
      <c r="AB1428" s="535">
        <v>5</v>
      </c>
      <c r="AC1428" s="39" t="s">
        <v>160</v>
      </c>
      <c r="AD1428" s="75" t="s">
        <v>10</v>
      </c>
      <c r="AE1428" s="95">
        <v>0</v>
      </c>
      <c r="AF1428" s="75">
        <v>0</v>
      </c>
      <c r="AG1428" s="75">
        <v>0</v>
      </c>
      <c r="AH1428" s="75">
        <v>0</v>
      </c>
      <c r="AI1428" s="75">
        <v>0</v>
      </c>
      <c r="AJ1428" s="75">
        <v>0</v>
      </c>
      <c r="AK1428" s="75">
        <v>0</v>
      </c>
      <c r="AL1428" s="95">
        <v>1</v>
      </c>
      <c r="AM1428" s="92">
        <v>0</v>
      </c>
      <c r="AN1428" s="79" t="s">
        <v>81</v>
      </c>
      <c r="AO1428" s="75">
        <v>1</v>
      </c>
      <c r="AP1428" s="75" t="s">
        <v>83</v>
      </c>
      <c r="AQ1428" s="122">
        <v>1</v>
      </c>
      <c r="AR1428" s="515" t="s">
        <v>10</v>
      </c>
      <c r="AS1428" s="95">
        <v>0</v>
      </c>
      <c r="AT1428" s="75">
        <v>0</v>
      </c>
      <c r="AU1428" s="75">
        <v>0</v>
      </c>
      <c r="AV1428" s="75">
        <v>0</v>
      </c>
      <c r="AW1428" s="123">
        <v>0</v>
      </c>
      <c r="AX1428" s="516" t="s">
        <v>1563</v>
      </c>
      <c r="AY1428" s="75">
        <v>1</v>
      </c>
      <c r="AZ1428" s="77" t="s">
        <v>131</v>
      </c>
      <c r="BA1428" s="78" t="s">
        <v>131</v>
      </c>
      <c r="BB1428" s="78" t="s">
        <v>131</v>
      </c>
      <c r="BC1428" s="78" t="s">
        <v>131</v>
      </c>
      <c r="BD1428" s="78" t="s">
        <v>131</v>
      </c>
      <c r="BE1428" s="78" t="s">
        <v>131</v>
      </c>
      <c r="BF1428" s="78" t="s">
        <v>131</v>
      </c>
      <c r="BG1428" s="78" t="s">
        <v>132</v>
      </c>
      <c r="BH1428" s="75" t="s">
        <v>5970</v>
      </c>
      <c r="BI1428" s="295" t="s">
        <v>2238</v>
      </c>
      <c r="BJ1428" s="546">
        <v>1</v>
      </c>
      <c r="BK1428" s="294" t="s">
        <v>16</v>
      </c>
      <c r="BL1428" s="157" t="s">
        <v>16</v>
      </c>
      <c r="BM1428" s="548" t="s">
        <v>2343</v>
      </c>
      <c r="BN1428" s="548" t="s">
        <v>4161</v>
      </c>
      <c r="BO1428" s="157" t="s">
        <v>4308</v>
      </c>
      <c r="BP1428" s="548" t="s">
        <v>2238</v>
      </c>
      <c r="BQ1428" s="157" t="s">
        <v>4307</v>
      </c>
      <c r="BR1428" s="157"/>
    </row>
    <row r="1429" spans="1:70" x14ac:dyDescent="0.25">
      <c r="A1429" s="19" t="s">
        <v>3686</v>
      </c>
      <c r="B1429" s="37" t="s">
        <v>1564</v>
      </c>
      <c r="C1429" s="90">
        <v>44770.640821759262</v>
      </c>
      <c r="D1429" s="114">
        <v>44770.390821759262</v>
      </c>
      <c r="E1429" s="38">
        <v>44770</v>
      </c>
      <c r="F1429" s="91">
        <v>2022</v>
      </c>
      <c r="G1429" s="93">
        <v>7</v>
      </c>
      <c r="H1429" s="37" t="s">
        <v>1517</v>
      </c>
      <c r="I1429" s="37"/>
      <c r="J1429" s="103">
        <v>-91.489262504616875</v>
      </c>
      <c r="K1429" s="40">
        <v>44.771667657945613</v>
      </c>
      <c r="L1429" s="74"/>
      <c r="M1429" s="272" t="s">
        <v>16</v>
      </c>
      <c r="N1429" s="74">
        <v>0</v>
      </c>
      <c r="O1429" s="94"/>
      <c r="P1429" s="118">
        <v>1</v>
      </c>
      <c r="Q1429" s="510">
        <v>80</v>
      </c>
      <c r="R1429" s="513">
        <v>120</v>
      </c>
      <c r="S1429" s="41"/>
      <c r="T1429" s="40"/>
      <c r="U1429" s="40">
        <v>6</v>
      </c>
      <c r="V1429" s="119">
        <v>0</v>
      </c>
      <c r="W1429" s="40"/>
      <c r="X1429" s="119">
        <v>1</v>
      </c>
      <c r="Y1429" s="40">
        <v>61</v>
      </c>
      <c r="Z1429" s="119">
        <v>0</v>
      </c>
      <c r="AA1429" s="368" t="s">
        <v>16</v>
      </c>
      <c r="AB1429" s="535" t="s">
        <v>16</v>
      </c>
      <c r="AC1429" s="39" t="s">
        <v>160</v>
      </c>
      <c r="AD1429" s="75" t="s">
        <v>9</v>
      </c>
      <c r="AE1429" s="95">
        <v>0</v>
      </c>
      <c r="AF1429" s="75">
        <v>0</v>
      </c>
      <c r="AG1429" s="75">
        <v>1</v>
      </c>
      <c r="AH1429" s="75">
        <v>0</v>
      </c>
      <c r="AI1429" s="75">
        <v>0</v>
      </c>
      <c r="AJ1429" s="75">
        <v>0</v>
      </c>
      <c r="AK1429" s="75">
        <v>0</v>
      </c>
      <c r="AL1429" s="95">
        <v>0</v>
      </c>
      <c r="AM1429" s="92">
        <v>0</v>
      </c>
      <c r="AN1429" s="79" t="s">
        <v>80</v>
      </c>
      <c r="AO1429" s="75">
        <v>1</v>
      </c>
      <c r="AP1429" s="75" t="s">
        <v>83</v>
      </c>
      <c r="AQ1429" s="122">
        <v>1</v>
      </c>
      <c r="AR1429" s="515" t="s">
        <v>10</v>
      </c>
      <c r="AS1429" s="95">
        <v>0</v>
      </c>
      <c r="AT1429" s="75">
        <v>0</v>
      </c>
      <c r="AU1429" s="75">
        <v>0</v>
      </c>
      <c r="AV1429" s="75">
        <v>0</v>
      </c>
      <c r="AW1429" s="123">
        <v>0</v>
      </c>
      <c r="AX1429" s="516"/>
      <c r="AY1429" s="75">
        <v>0</v>
      </c>
      <c r="AZ1429" s="77" t="s">
        <v>131</v>
      </c>
      <c r="BA1429" s="78" t="s">
        <v>131</v>
      </c>
      <c r="BB1429" s="78" t="s">
        <v>132</v>
      </c>
      <c r="BC1429" s="78" t="s">
        <v>131</v>
      </c>
      <c r="BD1429" s="78" t="s">
        <v>131</v>
      </c>
      <c r="BE1429" s="78" t="s">
        <v>131</v>
      </c>
      <c r="BF1429" s="78" t="s">
        <v>131</v>
      </c>
      <c r="BG1429" s="78" t="s">
        <v>131</v>
      </c>
      <c r="BH1429" s="75" t="s">
        <v>5970</v>
      </c>
      <c r="BI1429" s="295" t="s">
        <v>2257</v>
      </c>
      <c r="BJ1429" s="546">
        <v>1</v>
      </c>
      <c r="BK1429" s="294" t="s">
        <v>16</v>
      </c>
      <c r="BL1429" s="157" t="s">
        <v>16</v>
      </c>
      <c r="BM1429" s="548" t="s">
        <v>1340</v>
      </c>
      <c r="BN1429" s="548" t="s">
        <v>2344</v>
      </c>
      <c r="BO1429" s="157" t="s">
        <v>4628</v>
      </c>
      <c r="BP1429" s="548" t="s">
        <v>4629</v>
      </c>
      <c r="BQ1429" s="157" t="s">
        <v>4627</v>
      </c>
      <c r="BR1429" s="157"/>
    </row>
    <row r="1430" spans="1:70" x14ac:dyDescent="0.25">
      <c r="A1430" s="19" t="s">
        <v>3686</v>
      </c>
      <c r="B1430" s="37" t="s">
        <v>1565</v>
      </c>
      <c r="C1430" s="90">
        <v>44769.017569444448</v>
      </c>
      <c r="D1430" s="114">
        <v>44768.767569444448</v>
      </c>
      <c r="E1430" s="38">
        <v>44768</v>
      </c>
      <c r="F1430" s="91">
        <v>2022</v>
      </c>
      <c r="G1430" s="93">
        <v>7</v>
      </c>
      <c r="H1430" s="37" t="s">
        <v>596</v>
      </c>
      <c r="I1430" s="37" t="s">
        <v>360</v>
      </c>
      <c r="J1430" s="103">
        <v>-92.643469999999994</v>
      </c>
      <c r="K1430" s="40">
        <v>44.842712499999998</v>
      </c>
      <c r="L1430" s="74"/>
      <c r="M1430" s="272" t="s">
        <v>16</v>
      </c>
      <c r="N1430" s="74">
        <v>0</v>
      </c>
      <c r="O1430" s="94"/>
      <c r="P1430" s="118">
        <v>1</v>
      </c>
      <c r="Q1430" s="510">
        <v>80</v>
      </c>
      <c r="R1430" s="513">
        <v>30</v>
      </c>
      <c r="S1430" s="41"/>
      <c r="T1430" s="40"/>
      <c r="U1430" s="40">
        <v>7.5</v>
      </c>
      <c r="V1430" s="119">
        <v>1</v>
      </c>
      <c r="W1430" s="40">
        <v>100</v>
      </c>
      <c r="X1430" s="119">
        <v>1</v>
      </c>
      <c r="Y1430" s="40">
        <v>56</v>
      </c>
      <c r="Z1430" s="119">
        <v>0</v>
      </c>
      <c r="AA1430" s="368" t="s">
        <v>16</v>
      </c>
      <c r="AB1430" s="535" t="s">
        <v>16</v>
      </c>
      <c r="AC1430" s="39" t="s">
        <v>160</v>
      </c>
      <c r="AD1430" s="75" t="s">
        <v>10</v>
      </c>
      <c r="AE1430" s="95">
        <v>0</v>
      </c>
      <c r="AF1430" s="75">
        <v>0</v>
      </c>
      <c r="AG1430" s="75">
        <v>0</v>
      </c>
      <c r="AH1430" s="75">
        <v>0</v>
      </c>
      <c r="AI1430" s="75">
        <v>0</v>
      </c>
      <c r="AJ1430" s="75">
        <v>0</v>
      </c>
      <c r="AK1430" s="75">
        <v>0</v>
      </c>
      <c r="AL1430" s="95">
        <v>1</v>
      </c>
      <c r="AM1430" s="92">
        <v>0</v>
      </c>
      <c r="AN1430" s="79" t="s">
        <v>80</v>
      </c>
      <c r="AO1430" s="75">
        <v>1</v>
      </c>
      <c r="AP1430" s="75" t="s">
        <v>83</v>
      </c>
      <c r="AQ1430" s="122">
        <v>1</v>
      </c>
      <c r="AR1430" s="515" t="s">
        <v>13</v>
      </c>
      <c r="AS1430" s="95">
        <v>1</v>
      </c>
      <c r="AT1430" s="75">
        <v>0</v>
      </c>
      <c r="AU1430" s="75">
        <v>0</v>
      </c>
      <c r="AV1430" s="75">
        <v>0</v>
      </c>
      <c r="AW1430" s="123">
        <v>0</v>
      </c>
      <c r="AX1430" s="516"/>
      <c r="AY1430" s="75">
        <v>0</v>
      </c>
      <c r="AZ1430" s="77" t="s">
        <v>131</v>
      </c>
      <c r="BA1430" s="78" t="s">
        <v>131</v>
      </c>
      <c r="BB1430" s="78" t="s">
        <v>131</v>
      </c>
      <c r="BC1430" s="78" t="s">
        <v>131</v>
      </c>
      <c r="BD1430" s="78" t="s">
        <v>131</v>
      </c>
      <c r="BE1430" s="78" t="s">
        <v>131</v>
      </c>
      <c r="BF1430" s="78" t="s">
        <v>131</v>
      </c>
      <c r="BG1430" s="78" t="s">
        <v>132</v>
      </c>
      <c r="BH1430" s="75" t="s">
        <v>5970</v>
      </c>
      <c r="BI1430" s="295" t="s">
        <v>2227</v>
      </c>
      <c r="BJ1430" s="546">
        <v>1</v>
      </c>
      <c r="BK1430" s="294" t="s">
        <v>16</v>
      </c>
      <c r="BL1430" s="157" t="s">
        <v>16</v>
      </c>
      <c r="BM1430" s="548" t="s">
        <v>578</v>
      </c>
      <c r="BN1430" s="548" t="s">
        <v>578</v>
      </c>
      <c r="BO1430" s="157" t="s">
        <v>4341</v>
      </c>
      <c r="BP1430" s="548" t="s">
        <v>4343</v>
      </c>
      <c r="BQ1430" s="157" t="s">
        <v>4309</v>
      </c>
      <c r="BR1430" s="157"/>
    </row>
    <row r="1431" spans="1:70" x14ac:dyDescent="0.25">
      <c r="A1431" s="19" t="s">
        <v>3686</v>
      </c>
      <c r="B1431" s="37" t="s">
        <v>1566</v>
      </c>
      <c r="C1431" s="90">
        <v>44768.850370370368</v>
      </c>
      <c r="D1431" s="114">
        <v>44768.600370370368</v>
      </c>
      <c r="E1431" s="38">
        <v>44768</v>
      </c>
      <c r="F1431" s="91">
        <v>2022</v>
      </c>
      <c r="G1431" s="93">
        <v>7</v>
      </c>
      <c r="H1431" s="37" t="s">
        <v>1433</v>
      </c>
      <c r="I1431" s="37"/>
      <c r="J1431" s="103">
        <v>-92.568178000014797</v>
      </c>
      <c r="K1431" s="40">
        <v>44.899825067301187</v>
      </c>
      <c r="L1431" s="74"/>
      <c r="M1431" s="272" t="s">
        <v>16</v>
      </c>
      <c r="N1431" s="74">
        <v>0</v>
      </c>
      <c r="O1431" s="94"/>
      <c r="P1431" s="118">
        <v>1</v>
      </c>
      <c r="Q1431" s="510">
        <v>120</v>
      </c>
      <c r="R1431" s="513">
        <v>120</v>
      </c>
      <c r="S1431" s="41"/>
      <c r="T1431" s="40"/>
      <c r="U1431" s="40">
        <v>8</v>
      </c>
      <c r="V1431" s="119">
        <v>1</v>
      </c>
      <c r="W1431" s="40">
        <v>100</v>
      </c>
      <c r="X1431" s="119">
        <v>1</v>
      </c>
      <c r="Y1431" s="40">
        <v>57</v>
      </c>
      <c r="Z1431" s="119">
        <v>1</v>
      </c>
      <c r="AA1431" s="368">
        <v>0</v>
      </c>
      <c r="AB1431" s="535">
        <v>5</v>
      </c>
      <c r="AC1431" s="39" t="s">
        <v>160</v>
      </c>
      <c r="AD1431" s="75" t="s">
        <v>10</v>
      </c>
      <c r="AE1431" s="95">
        <v>0</v>
      </c>
      <c r="AF1431" s="75">
        <v>0</v>
      </c>
      <c r="AG1431" s="75">
        <v>0</v>
      </c>
      <c r="AH1431" s="75">
        <v>0</v>
      </c>
      <c r="AI1431" s="75">
        <v>0</v>
      </c>
      <c r="AJ1431" s="75">
        <v>0</v>
      </c>
      <c r="AK1431" s="75">
        <v>0</v>
      </c>
      <c r="AL1431" s="95">
        <v>1</v>
      </c>
      <c r="AM1431" s="92">
        <v>0</v>
      </c>
      <c r="AN1431" s="79" t="s">
        <v>80</v>
      </c>
      <c r="AO1431" s="75">
        <v>1</v>
      </c>
      <c r="AP1431" s="75" t="s">
        <v>83</v>
      </c>
      <c r="AQ1431" s="122">
        <v>1</v>
      </c>
      <c r="AR1431" s="515" t="s">
        <v>10</v>
      </c>
      <c r="AS1431" s="95">
        <v>0</v>
      </c>
      <c r="AT1431" s="75">
        <v>0</v>
      </c>
      <c r="AU1431" s="75">
        <v>0</v>
      </c>
      <c r="AV1431" s="75">
        <v>0</v>
      </c>
      <c r="AW1431" s="123">
        <v>0</v>
      </c>
      <c r="AX1431" s="516" t="s">
        <v>1567</v>
      </c>
      <c r="AY1431" s="75">
        <v>1</v>
      </c>
      <c r="AZ1431" s="77" t="s">
        <v>131</v>
      </c>
      <c r="BA1431" s="78" t="s">
        <v>131</v>
      </c>
      <c r="BB1431" s="78" t="s">
        <v>131</v>
      </c>
      <c r="BC1431" s="78" t="s">
        <v>131</v>
      </c>
      <c r="BD1431" s="78" t="s">
        <v>131</v>
      </c>
      <c r="BE1431" s="78" t="s">
        <v>131</v>
      </c>
      <c r="BF1431" s="78" t="s">
        <v>131</v>
      </c>
      <c r="BG1431" s="78" t="s">
        <v>132</v>
      </c>
      <c r="BH1431" s="75" t="s">
        <v>5970</v>
      </c>
      <c r="BI1431" s="295" t="s">
        <v>2227</v>
      </c>
      <c r="BJ1431" s="546">
        <v>1</v>
      </c>
      <c r="BK1431" s="294" t="s">
        <v>16</v>
      </c>
      <c r="BL1431" s="157" t="s">
        <v>16</v>
      </c>
      <c r="BM1431" s="548" t="s">
        <v>578</v>
      </c>
      <c r="BN1431" s="548" t="s">
        <v>4159</v>
      </c>
      <c r="BO1431" s="157" t="s">
        <v>4311</v>
      </c>
      <c r="BP1431" s="548" t="s">
        <v>4395</v>
      </c>
      <c r="BQ1431" s="157" t="s">
        <v>4309</v>
      </c>
      <c r="BR1431" s="157"/>
    </row>
    <row r="1432" spans="1:70" x14ac:dyDescent="0.25">
      <c r="A1432" s="19" t="s">
        <v>3686</v>
      </c>
      <c r="B1432" s="37" t="s">
        <v>1568</v>
      </c>
      <c r="C1432" s="90">
        <v>44768.667337962965</v>
      </c>
      <c r="D1432" s="114">
        <v>44768.417337962965</v>
      </c>
      <c r="E1432" s="38">
        <v>44768</v>
      </c>
      <c r="F1432" s="91">
        <v>2022</v>
      </c>
      <c r="G1432" s="93">
        <v>7</v>
      </c>
      <c r="H1432" s="37" t="s">
        <v>1517</v>
      </c>
      <c r="I1432" s="37" t="s">
        <v>16</v>
      </c>
      <c r="J1432" s="103">
        <v>-91.661774566039355</v>
      </c>
      <c r="K1432" s="40">
        <v>44.787322876630483</v>
      </c>
      <c r="L1432" s="74"/>
      <c r="M1432" s="272" t="s">
        <v>16</v>
      </c>
      <c r="N1432" s="74">
        <v>0</v>
      </c>
      <c r="O1432" s="94"/>
      <c r="P1432" s="118">
        <v>1</v>
      </c>
      <c r="Q1432" s="510">
        <v>40</v>
      </c>
      <c r="R1432" s="513">
        <v>30</v>
      </c>
      <c r="S1432" s="41"/>
      <c r="T1432" s="40"/>
      <c r="U1432" s="40">
        <v>6</v>
      </c>
      <c r="V1432" s="119">
        <v>0</v>
      </c>
      <c r="W1432" s="40"/>
      <c r="X1432" s="119">
        <v>1</v>
      </c>
      <c r="Y1432" s="40">
        <v>66</v>
      </c>
      <c r="Z1432" s="119">
        <v>1</v>
      </c>
      <c r="AA1432" s="368">
        <v>0</v>
      </c>
      <c r="AB1432" s="535">
        <v>2</v>
      </c>
      <c r="AC1432" s="39" t="s">
        <v>160</v>
      </c>
      <c r="AD1432" s="75" t="s">
        <v>10</v>
      </c>
      <c r="AE1432" s="95">
        <v>0</v>
      </c>
      <c r="AF1432" s="75">
        <v>0</v>
      </c>
      <c r="AG1432" s="75">
        <v>0</v>
      </c>
      <c r="AH1432" s="75">
        <v>0</v>
      </c>
      <c r="AI1432" s="75">
        <v>0</v>
      </c>
      <c r="AJ1432" s="75">
        <v>0</v>
      </c>
      <c r="AK1432" s="75">
        <v>0</v>
      </c>
      <c r="AL1432" s="95">
        <v>1</v>
      </c>
      <c r="AM1432" s="92">
        <v>0</v>
      </c>
      <c r="AN1432" s="79" t="s">
        <v>80</v>
      </c>
      <c r="AO1432" s="75">
        <v>1</v>
      </c>
      <c r="AP1432" s="75" t="s">
        <v>83</v>
      </c>
      <c r="AQ1432" s="122">
        <v>1</v>
      </c>
      <c r="AR1432" s="515" t="s">
        <v>10</v>
      </c>
      <c r="AS1432" s="95">
        <v>0</v>
      </c>
      <c r="AT1432" s="75">
        <v>0</v>
      </c>
      <c r="AU1432" s="75">
        <v>0</v>
      </c>
      <c r="AV1432" s="75">
        <v>0</v>
      </c>
      <c r="AW1432" s="123">
        <v>0</v>
      </c>
      <c r="AX1432" s="516"/>
      <c r="AY1432" s="75">
        <v>0</v>
      </c>
      <c r="AZ1432" s="77" t="s">
        <v>131</v>
      </c>
      <c r="BA1432" s="78" t="s">
        <v>131</v>
      </c>
      <c r="BB1432" s="78" t="s">
        <v>131</v>
      </c>
      <c r="BC1432" s="78" t="s">
        <v>131</v>
      </c>
      <c r="BD1432" s="78" t="s">
        <v>131</v>
      </c>
      <c r="BE1432" s="78" t="s">
        <v>131</v>
      </c>
      <c r="BF1432" s="78" t="s">
        <v>131</v>
      </c>
      <c r="BG1432" s="78" t="s">
        <v>132</v>
      </c>
      <c r="BH1432" s="75" t="s">
        <v>5970</v>
      </c>
      <c r="BI1432" s="295" t="s">
        <v>2246</v>
      </c>
      <c r="BJ1432" s="546">
        <v>1</v>
      </c>
      <c r="BK1432" s="294" t="s">
        <v>16</v>
      </c>
      <c r="BL1432" s="157" t="s">
        <v>16</v>
      </c>
      <c r="BM1432" s="548" t="s">
        <v>1340</v>
      </c>
      <c r="BN1432" s="548" t="s">
        <v>2344</v>
      </c>
      <c r="BO1432" s="157" t="s">
        <v>4631</v>
      </c>
      <c r="BP1432" s="548" t="s">
        <v>4632</v>
      </c>
      <c r="BQ1432" s="157" t="s">
        <v>4630</v>
      </c>
      <c r="BR1432" s="157"/>
    </row>
    <row r="1433" spans="1:70" x14ac:dyDescent="0.25">
      <c r="A1433" s="19" t="s">
        <v>3686</v>
      </c>
      <c r="B1433" s="37" t="s">
        <v>1569</v>
      </c>
      <c r="C1433" s="90">
        <v>44767.909791666665</v>
      </c>
      <c r="D1433" s="114">
        <v>44767.659791666665</v>
      </c>
      <c r="E1433" s="38">
        <v>44767</v>
      </c>
      <c r="F1433" s="91">
        <v>2022</v>
      </c>
      <c r="G1433" s="93">
        <v>7</v>
      </c>
      <c r="H1433" s="37" t="s">
        <v>1570</v>
      </c>
      <c r="I1433" s="37"/>
      <c r="J1433" s="103">
        <v>-93.256591167387782</v>
      </c>
      <c r="K1433" s="40">
        <v>44.940719157499203</v>
      </c>
      <c r="L1433" s="74"/>
      <c r="M1433" s="272" t="s">
        <v>16</v>
      </c>
      <c r="N1433" s="74">
        <v>0</v>
      </c>
      <c r="O1433" s="94"/>
      <c r="P1433" s="118">
        <v>1</v>
      </c>
      <c r="Q1433" s="510">
        <v>80</v>
      </c>
      <c r="R1433" s="513">
        <v>0</v>
      </c>
      <c r="S1433" s="41"/>
      <c r="T1433" s="40"/>
      <c r="U1433" s="40">
        <v>7</v>
      </c>
      <c r="V1433" s="119">
        <v>0</v>
      </c>
      <c r="W1433" s="40"/>
      <c r="X1433" s="119">
        <v>0</v>
      </c>
      <c r="Y1433" s="40"/>
      <c r="Z1433" s="119">
        <v>1</v>
      </c>
      <c r="AA1433" s="368">
        <v>0</v>
      </c>
      <c r="AB1433" s="535">
        <v>0</v>
      </c>
      <c r="AC1433" s="39" t="s">
        <v>186</v>
      </c>
      <c r="AD1433" s="75" t="s">
        <v>16</v>
      </c>
      <c r="AE1433" s="95">
        <v>-1</v>
      </c>
      <c r="AF1433" s="75">
        <v>-1</v>
      </c>
      <c r="AG1433" s="75">
        <v>-1</v>
      </c>
      <c r="AH1433" s="75">
        <v>-1</v>
      </c>
      <c r="AI1433" s="75">
        <v>-1</v>
      </c>
      <c r="AJ1433" s="75">
        <v>-1</v>
      </c>
      <c r="AK1433" s="75">
        <v>-1</v>
      </c>
      <c r="AL1433" s="95">
        <v>-1</v>
      </c>
      <c r="AM1433" s="92">
        <v>1</v>
      </c>
      <c r="AN1433" s="79"/>
      <c r="AO1433" s="75">
        <v>0</v>
      </c>
      <c r="AP1433" s="75"/>
      <c r="AQ1433" s="122">
        <v>0</v>
      </c>
      <c r="AR1433" s="515" t="s">
        <v>16</v>
      </c>
      <c r="AS1433" s="95">
        <v>-1</v>
      </c>
      <c r="AT1433" s="75">
        <v>-1</v>
      </c>
      <c r="AU1433" s="75">
        <v>-1</v>
      </c>
      <c r="AV1433" s="75">
        <v>-1</v>
      </c>
      <c r="AW1433" s="123">
        <v>1</v>
      </c>
      <c r="AX1433" s="516"/>
      <c r="AY1433" s="75">
        <v>0</v>
      </c>
      <c r="AZ1433" s="77" t="s">
        <v>5971</v>
      </c>
      <c r="BA1433" s="78" t="s">
        <v>5971</v>
      </c>
      <c r="BB1433" s="78" t="s">
        <v>5971</v>
      </c>
      <c r="BC1433" s="78" t="s">
        <v>5971</v>
      </c>
      <c r="BD1433" s="78" t="s">
        <v>5971</v>
      </c>
      <c r="BE1433" s="78" t="s">
        <v>5971</v>
      </c>
      <c r="BF1433" s="78" t="s">
        <v>5971</v>
      </c>
      <c r="BG1433" s="78" t="s">
        <v>5971</v>
      </c>
      <c r="BH1433" s="75" t="s">
        <v>5971</v>
      </c>
      <c r="BI1433" s="295" t="s">
        <v>16</v>
      </c>
      <c r="BJ1433" s="546" t="s">
        <v>16</v>
      </c>
      <c r="BK1433" s="294" t="s">
        <v>16</v>
      </c>
      <c r="BL1433" s="157" t="s">
        <v>16</v>
      </c>
      <c r="BM1433" s="548" t="s">
        <v>2343</v>
      </c>
      <c r="BN1433" s="548" t="s">
        <v>544</v>
      </c>
      <c r="BO1433" s="157" t="s">
        <v>4467</v>
      </c>
      <c r="BP1433" s="548" t="s">
        <v>4468</v>
      </c>
      <c r="BQ1433" s="157" t="s">
        <v>4466</v>
      </c>
      <c r="BR1433" s="157"/>
    </row>
    <row r="1434" spans="1:70" x14ac:dyDescent="0.25">
      <c r="A1434" s="19" t="s">
        <v>3686</v>
      </c>
      <c r="B1434" s="37" t="s">
        <v>1571</v>
      </c>
      <c r="C1434" s="90">
        <v>44766.795983796299</v>
      </c>
      <c r="D1434" s="114">
        <v>44766.545983796299</v>
      </c>
      <c r="E1434" s="38">
        <v>44766</v>
      </c>
      <c r="F1434" s="91">
        <v>2022</v>
      </c>
      <c r="G1434" s="93">
        <v>7</v>
      </c>
      <c r="H1434" s="37" t="s">
        <v>1491</v>
      </c>
      <c r="I1434" s="37"/>
      <c r="J1434" s="103">
        <v>-92.636510900000005</v>
      </c>
      <c r="K1434" s="40">
        <v>44.8545722</v>
      </c>
      <c r="L1434" s="74"/>
      <c r="M1434" s="272" t="s">
        <v>1572</v>
      </c>
      <c r="N1434" s="74">
        <v>1</v>
      </c>
      <c r="O1434" s="94"/>
      <c r="P1434" s="118">
        <v>1</v>
      </c>
      <c r="Q1434" s="510">
        <v>80</v>
      </c>
      <c r="R1434" s="513">
        <v>120</v>
      </c>
      <c r="S1434" s="41"/>
      <c r="T1434" s="40"/>
      <c r="U1434" s="40">
        <v>8</v>
      </c>
      <c r="V1434" s="119">
        <v>0</v>
      </c>
      <c r="W1434" s="40"/>
      <c r="X1434" s="119">
        <v>1</v>
      </c>
      <c r="Y1434" s="40">
        <v>65</v>
      </c>
      <c r="Z1434" s="119">
        <v>0</v>
      </c>
      <c r="AA1434" s="368" t="s">
        <v>16</v>
      </c>
      <c r="AB1434" s="535" t="s">
        <v>16</v>
      </c>
      <c r="AC1434" s="39" t="s">
        <v>160</v>
      </c>
      <c r="AD1434" s="75" t="s">
        <v>803</v>
      </c>
      <c r="AE1434" s="95">
        <v>0</v>
      </c>
      <c r="AF1434" s="75">
        <v>1</v>
      </c>
      <c r="AG1434" s="75">
        <v>1</v>
      </c>
      <c r="AH1434" s="75">
        <v>1</v>
      </c>
      <c r="AI1434" s="75">
        <v>0</v>
      </c>
      <c r="AJ1434" s="75">
        <v>0</v>
      </c>
      <c r="AK1434" s="75">
        <v>0</v>
      </c>
      <c r="AL1434" s="95">
        <v>0</v>
      </c>
      <c r="AM1434" s="92">
        <v>0</v>
      </c>
      <c r="AN1434" s="79" t="s">
        <v>81</v>
      </c>
      <c r="AO1434" s="75">
        <v>1</v>
      </c>
      <c r="AP1434" s="75" t="s">
        <v>83</v>
      </c>
      <c r="AQ1434" s="122">
        <v>1</v>
      </c>
      <c r="AR1434" s="515" t="s">
        <v>10</v>
      </c>
      <c r="AS1434" s="95">
        <v>0</v>
      </c>
      <c r="AT1434" s="75">
        <v>0</v>
      </c>
      <c r="AU1434" s="75">
        <v>0</v>
      </c>
      <c r="AV1434" s="75">
        <v>0</v>
      </c>
      <c r="AW1434" s="123">
        <v>0</v>
      </c>
      <c r="AX1434" s="516" t="s">
        <v>1573</v>
      </c>
      <c r="AY1434" s="75">
        <v>1</v>
      </c>
      <c r="AZ1434" s="77" t="s">
        <v>131</v>
      </c>
      <c r="BA1434" s="78" t="s">
        <v>132</v>
      </c>
      <c r="BB1434" s="78" t="s">
        <v>132</v>
      </c>
      <c r="BC1434" s="78" t="s">
        <v>132</v>
      </c>
      <c r="BD1434" s="78" t="s">
        <v>131</v>
      </c>
      <c r="BE1434" s="78" t="s">
        <v>131</v>
      </c>
      <c r="BF1434" s="78" t="s">
        <v>131</v>
      </c>
      <c r="BG1434" s="78" t="s">
        <v>131</v>
      </c>
      <c r="BH1434" s="75" t="s">
        <v>5970</v>
      </c>
      <c r="BI1434" s="295" t="s">
        <v>16</v>
      </c>
      <c r="BJ1434" s="546">
        <v>1</v>
      </c>
      <c r="BK1434" s="294">
        <v>1</v>
      </c>
      <c r="BL1434" s="157">
        <v>1</v>
      </c>
      <c r="BM1434" s="548" t="s">
        <v>578</v>
      </c>
      <c r="BN1434" s="548" t="s">
        <v>4159</v>
      </c>
      <c r="BO1434" s="157" t="s">
        <v>4341</v>
      </c>
      <c r="BP1434" s="548" t="s">
        <v>4343</v>
      </c>
      <c r="BQ1434" s="157" t="s">
        <v>4309</v>
      </c>
      <c r="BR1434" s="157"/>
    </row>
    <row r="1435" spans="1:70" x14ac:dyDescent="0.25">
      <c r="A1435" s="19" t="s">
        <v>3686</v>
      </c>
      <c r="B1435" s="37" t="s">
        <v>1574</v>
      </c>
      <c r="C1435" s="90">
        <v>44766.693518518521</v>
      </c>
      <c r="D1435" s="114">
        <v>44766.443518518521</v>
      </c>
      <c r="E1435" s="38">
        <v>44766</v>
      </c>
      <c r="F1435" s="91">
        <v>2022</v>
      </c>
      <c r="G1435" s="93">
        <v>7</v>
      </c>
      <c r="H1435" s="37" t="s">
        <v>1425</v>
      </c>
      <c r="I1435" s="37"/>
      <c r="J1435" s="103">
        <v>-92.641709110629762</v>
      </c>
      <c r="K1435" s="40">
        <v>44.849871894889894</v>
      </c>
      <c r="L1435" s="74"/>
      <c r="M1435" s="272" t="s">
        <v>1575</v>
      </c>
      <c r="N1435" s="74">
        <v>1</v>
      </c>
      <c r="O1435" s="94"/>
      <c r="P1435" s="118">
        <v>1</v>
      </c>
      <c r="Q1435" s="510">
        <v>180</v>
      </c>
      <c r="R1435" s="513">
        <v>180</v>
      </c>
      <c r="S1435" s="41"/>
      <c r="T1435" s="40"/>
      <c r="U1435" s="40">
        <v>7.5</v>
      </c>
      <c r="V1435" s="119">
        <v>1</v>
      </c>
      <c r="W1435" s="40">
        <v>0</v>
      </c>
      <c r="X1435" s="119">
        <v>1</v>
      </c>
      <c r="Y1435" s="40">
        <v>63</v>
      </c>
      <c r="Z1435" s="119">
        <v>1</v>
      </c>
      <c r="AA1435" s="368">
        <v>0</v>
      </c>
      <c r="AB1435" s="535">
        <v>5</v>
      </c>
      <c r="AC1435" s="39" t="s">
        <v>160</v>
      </c>
      <c r="AD1435" s="75" t="s">
        <v>10</v>
      </c>
      <c r="AE1435" s="95">
        <v>0</v>
      </c>
      <c r="AF1435" s="75">
        <v>0</v>
      </c>
      <c r="AG1435" s="75">
        <v>0</v>
      </c>
      <c r="AH1435" s="75">
        <v>0</v>
      </c>
      <c r="AI1435" s="75">
        <v>0</v>
      </c>
      <c r="AJ1435" s="75">
        <v>0</v>
      </c>
      <c r="AK1435" s="75">
        <v>0</v>
      </c>
      <c r="AL1435" s="95">
        <v>1</v>
      </c>
      <c r="AM1435" s="92">
        <v>0</v>
      </c>
      <c r="AN1435" s="79" t="s">
        <v>80</v>
      </c>
      <c r="AO1435" s="75">
        <v>1</v>
      </c>
      <c r="AP1435" s="75" t="s">
        <v>83</v>
      </c>
      <c r="AQ1435" s="122">
        <v>1</v>
      </c>
      <c r="AR1435" s="515" t="s">
        <v>13</v>
      </c>
      <c r="AS1435" s="95">
        <v>1</v>
      </c>
      <c r="AT1435" s="75">
        <v>0</v>
      </c>
      <c r="AU1435" s="75">
        <v>0</v>
      </c>
      <c r="AV1435" s="75">
        <v>0</v>
      </c>
      <c r="AW1435" s="123">
        <v>0</v>
      </c>
      <c r="AX1435" s="516" t="s">
        <v>1576</v>
      </c>
      <c r="AY1435" s="75">
        <v>1</v>
      </c>
      <c r="AZ1435" s="77" t="s">
        <v>131</v>
      </c>
      <c r="BA1435" s="78" t="s">
        <v>131</v>
      </c>
      <c r="BB1435" s="78" t="s">
        <v>131</v>
      </c>
      <c r="BC1435" s="78" t="s">
        <v>131</v>
      </c>
      <c r="BD1435" s="78" t="s">
        <v>131</v>
      </c>
      <c r="BE1435" s="78" t="s">
        <v>131</v>
      </c>
      <c r="BF1435" s="78" t="s">
        <v>131</v>
      </c>
      <c r="BG1435" s="78" t="s">
        <v>132</v>
      </c>
      <c r="BH1435" s="75" t="s">
        <v>5970</v>
      </c>
      <c r="BI1435" s="295" t="s">
        <v>2227</v>
      </c>
      <c r="BJ1435" s="546">
        <v>1</v>
      </c>
      <c r="BK1435" s="294">
        <v>1</v>
      </c>
      <c r="BL1435" s="157">
        <v>1</v>
      </c>
      <c r="BM1435" s="548" t="s">
        <v>578</v>
      </c>
      <c r="BN1435" s="548" t="s">
        <v>4159</v>
      </c>
      <c r="BO1435" s="157" t="s">
        <v>4341</v>
      </c>
      <c r="BP1435" s="548" t="s">
        <v>4343</v>
      </c>
      <c r="BQ1435" s="157" t="s">
        <v>4309</v>
      </c>
      <c r="BR1435" s="157"/>
    </row>
    <row r="1436" spans="1:70" x14ac:dyDescent="0.25">
      <c r="A1436" s="19" t="s">
        <v>3686</v>
      </c>
      <c r="B1436" s="37" t="s">
        <v>1577</v>
      </c>
      <c r="C1436" s="90">
        <v>44766.674629629626</v>
      </c>
      <c r="D1436" s="114">
        <v>44766.424629629626</v>
      </c>
      <c r="E1436" s="38">
        <v>44766</v>
      </c>
      <c r="F1436" s="91">
        <v>2022</v>
      </c>
      <c r="G1436" s="93">
        <v>7</v>
      </c>
      <c r="H1436" s="37" t="s">
        <v>1425</v>
      </c>
      <c r="I1436" s="37"/>
      <c r="J1436" s="103">
        <v>-92.644121709518259</v>
      </c>
      <c r="K1436" s="40">
        <v>44.844374212614454</v>
      </c>
      <c r="L1436" s="74"/>
      <c r="M1436" s="272" t="s">
        <v>1578</v>
      </c>
      <c r="N1436" s="74">
        <v>1</v>
      </c>
      <c r="O1436" s="94"/>
      <c r="P1436" s="118">
        <v>1</v>
      </c>
      <c r="Q1436" s="510">
        <v>180</v>
      </c>
      <c r="R1436" s="513">
        <v>120</v>
      </c>
      <c r="S1436" s="41"/>
      <c r="T1436" s="40"/>
      <c r="U1436" s="40">
        <v>7.5</v>
      </c>
      <c r="V1436" s="119">
        <v>1</v>
      </c>
      <c r="W1436" s="40">
        <v>0</v>
      </c>
      <c r="X1436" s="119">
        <v>1</v>
      </c>
      <c r="Y1436" s="40">
        <v>63</v>
      </c>
      <c r="Z1436" s="119">
        <v>1</v>
      </c>
      <c r="AA1436" s="368">
        <v>0</v>
      </c>
      <c r="AB1436" s="535">
        <v>5</v>
      </c>
      <c r="AC1436" s="39" t="s">
        <v>160</v>
      </c>
      <c r="AD1436" s="75" t="s">
        <v>10</v>
      </c>
      <c r="AE1436" s="95">
        <v>0</v>
      </c>
      <c r="AF1436" s="75">
        <v>0</v>
      </c>
      <c r="AG1436" s="75">
        <v>0</v>
      </c>
      <c r="AH1436" s="75">
        <v>0</v>
      </c>
      <c r="AI1436" s="75">
        <v>0</v>
      </c>
      <c r="AJ1436" s="75">
        <v>0</v>
      </c>
      <c r="AK1436" s="75">
        <v>0</v>
      </c>
      <c r="AL1436" s="95">
        <v>1</v>
      </c>
      <c r="AM1436" s="92">
        <v>0</v>
      </c>
      <c r="AN1436" s="79" t="s">
        <v>80</v>
      </c>
      <c r="AO1436" s="75">
        <v>1</v>
      </c>
      <c r="AP1436" s="75" t="s">
        <v>83</v>
      </c>
      <c r="AQ1436" s="122">
        <v>1</v>
      </c>
      <c r="AR1436" s="515" t="s">
        <v>13</v>
      </c>
      <c r="AS1436" s="95">
        <v>1</v>
      </c>
      <c r="AT1436" s="75">
        <v>0</v>
      </c>
      <c r="AU1436" s="75">
        <v>0</v>
      </c>
      <c r="AV1436" s="75">
        <v>0</v>
      </c>
      <c r="AW1436" s="123">
        <v>0</v>
      </c>
      <c r="AX1436" s="516" t="s">
        <v>1579</v>
      </c>
      <c r="AY1436" s="75">
        <v>1</v>
      </c>
      <c r="AZ1436" s="77" t="s">
        <v>131</v>
      </c>
      <c r="BA1436" s="78" t="s">
        <v>131</v>
      </c>
      <c r="BB1436" s="78" t="s">
        <v>131</v>
      </c>
      <c r="BC1436" s="78" t="s">
        <v>131</v>
      </c>
      <c r="BD1436" s="78" t="s">
        <v>131</v>
      </c>
      <c r="BE1436" s="78" t="s">
        <v>131</v>
      </c>
      <c r="BF1436" s="78" t="s">
        <v>131</v>
      </c>
      <c r="BG1436" s="78" t="s">
        <v>132</v>
      </c>
      <c r="BH1436" s="75" t="s">
        <v>5970</v>
      </c>
      <c r="BI1436" s="295" t="s">
        <v>2227</v>
      </c>
      <c r="BJ1436" s="546">
        <v>1</v>
      </c>
      <c r="BK1436" s="294">
        <v>1</v>
      </c>
      <c r="BL1436" s="157">
        <v>1</v>
      </c>
      <c r="BM1436" s="548" t="s">
        <v>578</v>
      </c>
      <c r="BN1436" s="548" t="s">
        <v>4159</v>
      </c>
      <c r="BO1436" s="157" t="s">
        <v>4341</v>
      </c>
      <c r="BP1436" s="548" t="s">
        <v>4343</v>
      </c>
      <c r="BQ1436" s="157" t="s">
        <v>4309</v>
      </c>
      <c r="BR1436" s="157"/>
    </row>
    <row r="1437" spans="1:70" x14ac:dyDescent="0.25">
      <c r="A1437" s="19" t="s">
        <v>3686</v>
      </c>
      <c r="B1437" s="37" t="s">
        <v>1580</v>
      </c>
      <c r="C1437" s="90">
        <v>44766.645312499997</v>
      </c>
      <c r="D1437" s="114">
        <v>44766.395312499997</v>
      </c>
      <c r="E1437" s="38">
        <v>44766</v>
      </c>
      <c r="F1437" s="91">
        <v>2022</v>
      </c>
      <c r="G1437" s="93">
        <v>7</v>
      </c>
      <c r="H1437" s="37" t="s">
        <v>1425</v>
      </c>
      <c r="I1437" s="37"/>
      <c r="J1437" s="103">
        <v>-92.732293746947875</v>
      </c>
      <c r="K1437" s="40">
        <v>44.831061301766795</v>
      </c>
      <c r="L1437" s="74"/>
      <c r="M1437" s="272" t="s">
        <v>1581</v>
      </c>
      <c r="N1437" s="74">
        <v>1</v>
      </c>
      <c r="O1437" s="94"/>
      <c r="P1437" s="118">
        <v>1</v>
      </c>
      <c r="Q1437" s="510">
        <v>180</v>
      </c>
      <c r="R1437" s="513">
        <v>180</v>
      </c>
      <c r="S1437" s="41"/>
      <c r="T1437" s="40"/>
      <c r="U1437" s="40">
        <v>7.5</v>
      </c>
      <c r="V1437" s="119">
        <v>1</v>
      </c>
      <c r="W1437" s="40">
        <v>0</v>
      </c>
      <c r="X1437" s="119">
        <v>1</v>
      </c>
      <c r="Y1437" s="40">
        <v>62</v>
      </c>
      <c r="Z1437" s="119">
        <v>1</v>
      </c>
      <c r="AA1437" s="368">
        <v>0</v>
      </c>
      <c r="AB1437" s="535">
        <v>5</v>
      </c>
      <c r="AC1437" s="39" t="s">
        <v>160</v>
      </c>
      <c r="AD1437" s="75" t="s">
        <v>10</v>
      </c>
      <c r="AE1437" s="95">
        <v>0</v>
      </c>
      <c r="AF1437" s="75">
        <v>0</v>
      </c>
      <c r="AG1437" s="75">
        <v>0</v>
      </c>
      <c r="AH1437" s="75">
        <v>0</v>
      </c>
      <c r="AI1437" s="75">
        <v>0</v>
      </c>
      <c r="AJ1437" s="75">
        <v>0</v>
      </c>
      <c r="AK1437" s="75">
        <v>0</v>
      </c>
      <c r="AL1437" s="95">
        <v>1</v>
      </c>
      <c r="AM1437" s="92">
        <v>0</v>
      </c>
      <c r="AN1437" s="79" t="s">
        <v>80</v>
      </c>
      <c r="AO1437" s="75">
        <v>1</v>
      </c>
      <c r="AP1437" s="75" t="s">
        <v>83</v>
      </c>
      <c r="AQ1437" s="122">
        <v>1</v>
      </c>
      <c r="AR1437" s="515" t="s">
        <v>13</v>
      </c>
      <c r="AS1437" s="95">
        <v>1</v>
      </c>
      <c r="AT1437" s="75">
        <v>0</v>
      </c>
      <c r="AU1437" s="75">
        <v>0</v>
      </c>
      <c r="AV1437" s="75">
        <v>0</v>
      </c>
      <c r="AW1437" s="123">
        <v>0</v>
      </c>
      <c r="AX1437" s="516" t="s">
        <v>1582</v>
      </c>
      <c r="AY1437" s="75">
        <v>1</v>
      </c>
      <c r="AZ1437" s="77" t="s">
        <v>131</v>
      </c>
      <c r="BA1437" s="78" t="s">
        <v>131</v>
      </c>
      <c r="BB1437" s="78" t="s">
        <v>131</v>
      </c>
      <c r="BC1437" s="78" t="s">
        <v>131</v>
      </c>
      <c r="BD1437" s="78" t="s">
        <v>131</v>
      </c>
      <c r="BE1437" s="78" t="s">
        <v>131</v>
      </c>
      <c r="BF1437" s="78" t="s">
        <v>131</v>
      </c>
      <c r="BG1437" s="78" t="s">
        <v>132</v>
      </c>
      <c r="BH1437" s="75" t="s">
        <v>5970</v>
      </c>
      <c r="BI1437" s="295" t="s">
        <v>2227</v>
      </c>
      <c r="BJ1437" s="546">
        <v>1</v>
      </c>
      <c r="BK1437" s="294" t="s">
        <v>16</v>
      </c>
      <c r="BL1437" s="157" t="s">
        <v>16</v>
      </c>
      <c r="BM1437" s="548" t="s">
        <v>578</v>
      </c>
      <c r="BN1437" s="548" t="s">
        <v>4159</v>
      </c>
      <c r="BO1437" s="157" t="s">
        <v>4341</v>
      </c>
      <c r="BP1437" s="548" t="s">
        <v>4343</v>
      </c>
      <c r="BQ1437" s="157" t="s">
        <v>4309</v>
      </c>
      <c r="BR1437" s="157"/>
    </row>
    <row r="1438" spans="1:70" x14ac:dyDescent="0.25">
      <c r="A1438" s="19" t="s">
        <v>3686</v>
      </c>
      <c r="B1438" s="37" t="s">
        <v>1583</v>
      </c>
      <c r="C1438" s="90">
        <v>44766.547905092593</v>
      </c>
      <c r="D1438" s="114">
        <v>44766.297905092593</v>
      </c>
      <c r="E1438" s="38">
        <v>44766</v>
      </c>
      <c r="F1438" s="91">
        <v>2022</v>
      </c>
      <c r="G1438" s="93">
        <v>7</v>
      </c>
      <c r="H1438" s="37" t="s">
        <v>625</v>
      </c>
      <c r="I1438" s="37" t="s">
        <v>753</v>
      </c>
      <c r="J1438" s="103">
        <v>-92.802033800000004</v>
      </c>
      <c r="K1438" s="40">
        <v>44.543028300000003</v>
      </c>
      <c r="L1438" s="74"/>
      <c r="M1438" s="272" t="s">
        <v>16</v>
      </c>
      <c r="N1438" s="74">
        <v>0</v>
      </c>
      <c r="O1438" s="94"/>
      <c r="P1438" s="118">
        <v>1</v>
      </c>
      <c r="Q1438" s="510">
        <v>120</v>
      </c>
      <c r="R1438" s="513">
        <v>120</v>
      </c>
      <c r="S1438" s="41"/>
      <c r="T1438" s="40"/>
      <c r="U1438" s="40">
        <v>7.5</v>
      </c>
      <c r="V1438" s="119">
        <v>1</v>
      </c>
      <c r="W1438" s="40">
        <v>0</v>
      </c>
      <c r="X1438" s="119">
        <v>1</v>
      </c>
      <c r="Y1438" s="40">
        <v>53</v>
      </c>
      <c r="Z1438" s="119">
        <v>1</v>
      </c>
      <c r="AA1438" s="368">
        <v>0</v>
      </c>
      <c r="AB1438" s="535">
        <v>5</v>
      </c>
      <c r="AC1438" s="39" t="s">
        <v>160</v>
      </c>
      <c r="AD1438" s="75" t="s">
        <v>10</v>
      </c>
      <c r="AE1438" s="95">
        <v>0</v>
      </c>
      <c r="AF1438" s="75">
        <v>0</v>
      </c>
      <c r="AG1438" s="75">
        <v>0</v>
      </c>
      <c r="AH1438" s="75">
        <v>0</v>
      </c>
      <c r="AI1438" s="75">
        <v>0</v>
      </c>
      <c r="AJ1438" s="75">
        <v>0</v>
      </c>
      <c r="AK1438" s="75">
        <v>0</v>
      </c>
      <c r="AL1438" s="95">
        <v>1</v>
      </c>
      <c r="AM1438" s="92">
        <v>0</v>
      </c>
      <c r="AN1438" s="79" t="s">
        <v>80</v>
      </c>
      <c r="AO1438" s="75">
        <v>1</v>
      </c>
      <c r="AP1438" s="75" t="s">
        <v>83</v>
      </c>
      <c r="AQ1438" s="122">
        <v>1</v>
      </c>
      <c r="AR1438" s="515" t="s">
        <v>35</v>
      </c>
      <c r="AS1438" s="95">
        <v>0</v>
      </c>
      <c r="AT1438" s="75">
        <v>1</v>
      </c>
      <c r="AU1438" s="75">
        <v>0</v>
      </c>
      <c r="AV1438" s="75">
        <v>0</v>
      </c>
      <c r="AW1438" s="123">
        <v>0</v>
      </c>
      <c r="AX1438" s="516"/>
      <c r="AY1438" s="75">
        <v>0</v>
      </c>
      <c r="AZ1438" s="77" t="s">
        <v>131</v>
      </c>
      <c r="BA1438" s="78" t="s">
        <v>131</v>
      </c>
      <c r="BB1438" s="78" t="s">
        <v>131</v>
      </c>
      <c r="BC1438" s="78" t="s">
        <v>131</v>
      </c>
      <c r="BD1438" s="78" t="s">
        <v>131</v>
      </c>
      <c r="BE1438" s="78" t="s">
        <v>131</v>
      </c>
      <c r="BF1438" s="78" t="s">
        <v>131</v>
      </c>
      <c r="BG1438" s="78" t="s">
        <v>132</v>
      </c>
      <c r="BH1438" s="75" t="s">
        <v>5970</v>
      </c>
      <c r="BI1438" s="295" t="s">
        <v>2224</v>
      </c>
      <c r="BJ1438" s="546">
        <v>1</v>
      </c>
      <c r="BK1438" s="294">
        <v>1</v>
      </c>
      <c r="BL1438" s="157">
        <v>1</v>
      </c>
      <c r="BM1438" s="548" t="s">
        <v>2343</v>
      </c>
      <c r="BN1438" s="548" t="s">
        <v>4161</v>
      </c>
      <c r="BO1438" s="157" t="s">
        <v>4510</v>
      </c>
      <c r="BP1438" s="548" t="s">
        <v>753</v>
      </c>
      <c r="BQ1438" s="157" t="s">
        <v>4389</v>
      </c>
      <c r="BR1438" s="157"/>
    </row>
    <row r="1439" spans="1:70" x14ac:dyDescent="0.25">
      <c r="A1439" s="19" t="s">
        <v>3686</v>
      </c>
      <c r="B1439" s="37" t="s">
        <v>1584</v>
      </c>
      <c r="C1439" s="90">
        <v>44765.65960648148</v>
      </c>
      <c r="D1439" s="114">
        <v>44765.40960648148</v>
      </c>
      <c r="E1439" s="38">
        <v>44765</v>
      </c>
      <c r="F1439" s="91">
        <v>2022</v>
      </c>
      <c r="G1439" s="93">
        <v>7</v>
      </c>
      <c r="H1439" s="37" t="s">
        <v>1517</v>
      </c>
      <c r="I1439" s="37"/>
      <c r="J1439" s="103">
        <v>-91.659843347972881</v>
      </c>
      <c r="K1439" s="40">
        <v>44.834756314031736</v>
      </c>
      <c r="L1439" s="74"/>
      <c r="M1439" s="272" t="s">
        <v>16</v>
      </c>
      <c r="N1439" s="74">
        <v>0</v>
      </c>
      <c r="O1439" s="94"/>
      <c r="P1439" s="118">
        <v>1</v>
      </c>
      <c r="Q1439" s="510">
        <v>40</v>
      </c>
      <c r="R1439" s="513">
        <v>60</v>
      </c>
      <c r="S1439" s="41"/>
      <c r="T1439" s="40"/>
      <c r="U1439" s="40">
        <v>6</v>
      </c>
      <c r="V1439" s="119">
        <v>0</v>
      </c>
      <c r="W1439" s="40"/>
      <c r="X1439" s="119">
        <v>1</v>
      </c>
      <c r="Y1439" s="40">
        <v>66</v>
      </c>
      <c r="Z1439" s="119">
        <v>0</v>
      </c>
      <c r="AA1439" s="368" t="s">
        <v>16</v>
      </c>
      <c r="AB1439" s="535" t="s">
        <v>16</v>
      </c>
      <c r="AC1439" s="39" t="s">
        <v>160</v>
      </c>
      <c r="AD1439" s="75" t="s">
        <v>10</v>
      </c>
      <c r="AE1439" s="95">
        <v>0</v>
      </c>
      <c r="AF1439" s="75">
        <v>0</v>
      </c>
      <c r="AG1439" s="75">
        <v>0</v>
      </c>
      <c r="AH1439" s="75">
        <v>0</v>
      </c>
      <c r="AI1439" s="75">
        <v>0</v>
      </c>
      <c r="AJ1439" s="75">
        <v>0</v>
      </c>
      <c r="AK1439" s="75">
        <v>0</v>
      </c>
      <c r="AL1439" s="95">
        <v>1</v>
      </c>
      <c r="AM1439" s="92">
        <v>0</v>
      </c>
      <c r="AN1439" s="79" t="s">
        <v>80</v>
      </c>
      <c r="AO1439" s="75">
        <v>1</v>
      </c>
      <c r="AP1439" s="75" t="s">
        <v>83</v>
      </c>
      <c r="AQ1439" s="122">
        <v>1</v>
      </c>
      <c r="AR1439" s="515" t="s">
        <v>10</v>
      </c>
      <c r="AS1439" s="95">
        <v>0</v>
      </c>
      <c r="AT1439" s="75">
        <v>0</v>
      </c>
      <c r="AU1439" s="75">
        <v>0</v>
      </c>
      <c r="AV1439" s="75">
        <v>0</v>
      </c>
      <c r="AW1439" s="123">
        <v>0</v>
      </c>
      <c r="AX1439" s="516"/>
      <c r="AY1439" s="75">
        <v>0</v>
      </c>
      <c r="AZ1439" s="77" t="s">
        <v>131</v>
      </c>
      <c r="BA1439" s="78" t="s">
        <v>131</v>
      </c>
      <c r="BB1439" s="78" t="s">
        <v>131</v>
      </c>
      <c r="BC1439" s="78" t="s">
        <v>131</v>
      </c>
      <c r="BD1439" s="78" t="s">
        <v>131</v>
      </c>
      <c r="BE1439" s="78" t="s">
        <v>131</v>
      </c>
      <c r="BF1439" s="78" t="s">
        <v>131</v>
      </c>
      <c r="BG1439" s="78" t="s">
        <v>132</v>
      </c>
      <c r="BH1439" s="75" t="s">
        <v>5970</v>
      </c>
      <c r="BI1439" s="295" t="s">
        <v>2246</v>
      </c>
      <c r="BJ1439" s="546">
        <v>1</v>
      </c>
      <c r="BK1439" s="294">
        <v>1</v>
      </c>
      <c r="BL1439" s="157">
        <v>1</v>
      </c>
      <c r="BM1439" s="548" t="s">
        <v>1340</v>
      </c>
      <c r="BN1439" s="548" t="s">
        <v>2344</v>
      </c>
      <c r="BO1439" s="157" t="s">
        <v>4631</v>
      </c>
      <c r="BP1439" s="548" t="s">
        <v>4632</v>
      </c>
      <c r="BQ1439" s="157" t="s">
        <v>4630</v>
      </c>
      <c r="BR1439" s="157"/>
    </row>
    <row r="1440" spans="1:70" x14ac:dyDescent="0.25">
      <c r="A1440" s="19" t="s">
        <v>3686</v>
      </c>
      <c r="B1440" s="37" t="s">
        <v>1585</v>
      </c>
      <c r="C1440" s="90">
        <v>44763.081979166665</v>
      </c>
      <c r="D1440" s="114">
        <v>44762.831979166665</v>
      </c>
      <c r="E1440" s="38">
        <v>44762</v>
      </c>
      <c r="F1440" s="91">
        <v>2022</v>
      </c>
      <c r="G1440" s="93">
        <v>7</v>
      </c>
      <c r="H1440" s="37" t="s">
        <v>604</v>
      </c>
      <c r="I1440" s="37"/>
      <c r="J1440" s="103">
        <v>-93.383428473112517</v>
      </c>
      <c r="K1440" s="40">
        <v>44.779574470636227</v>
      </c>
      <c r="L1440" s="74"/>
      <c r="M1440" s="272" t="s">
        <v>1586</v>
      </c>
      <c r="N1440" s="74">
        <v>1</v>
      </c>
      <c r="O1440" s="94"/>
      <c r="P1440" s="118">
        <v>1</v>
      </c>
      <c r="Q1440" s="510">
        <v>0</v>
      </c>
      <c r="R1440" s="513">
        <v>30</v>
      </c>
      <c r="S1440" s="41"/>
      <c r="T1440" s="40"/>
      <c r="U1440" s="40">
        <v>7.5</v>
      </c>
      <c r="V1440" s="119">
        <v>1</v>
      </c>
      <c r="W1440" s="40">
        <v>0</v>
      </c>
      <c r="X1440" s="119">
        <v>1</v>
      </c>
      <c r="Y1440" s="40">
        <v>59</v>
      </c>
      <c r="Z1440" s="119">
        <v>1</v>
      </c>
      <c r="AA1440" s="368">
        <v>0</v>
      </c>
      <c r="AB1440" s="535">
        <v>0</v>
      </c>
      <c r="AC1440" s="39" t="s">
        <v>160</v>
      </c>
      <c r="AD1440" s="75" t="s">
        <v>10</v>
      </c>
      <c r="AE1440" s="95">
        <v>0</v>
      </c>
      <c r="AF1440" s="75">
        <v>0</v>
      </c>
      <c r="AG1440" s="75">
        <v>0</v>
      </c>
      <c r="AH1440" s="75">
        <v>0</v>
      </c>
      <c r="AI1440" s="75">
        <v>0</v>
      </c>
      <c r="AJ1440" s="75">
        <v>0</v>
      </c>
      <c r="AK1440" s="75">
        <v>0</v>
      </c>
      <c r="AL1440" s="95">
        <v>1</v>
      </c>
      <c r="AM1440" s="92">
        <v>0</v>
      </c>
      <c r="AN1440" s="79" t="s">
        <v>81</v>
      </c>
      <c r="AO1440" s="75">
        <v>1</v>
      </c>
      <c r="AP1440" s="75" t="s">
        <v>83</v>
      </c>
      <c r="AQ1440" s="122">
        <v>1</v>
      </c>
      <c r="AR1440" s="515" t="s">
        <v>10</v>
      </c>
      <c r="AS1440" s="95">
        <v>0</v>
      </c>
      <c r="AT1440" s="75">
        <v>0</v>
      </c>
      <c r="AU1440" s="75">
        <v>0</v>
      </c>
      <c r="AV1440" s="75">
        <v>0</v>
      </c>
      <c r="AW1440" s="123">
        <v>0</v>
      </c>
      <c r="AX1440" s="516"/>
      <c r="AY1440" s="75">
        <v>0</v>
      </c>
      <c r="AZ1440" s="77" t="s">
        <v>131</v>
      </c>
      <c r="BA1440" s="78" t="s">
        <v>131</v>
      </c>
      <c r="BB1440" s="78" t="s">
        <v>131</v>
      </c>
      <c r="BC1440" s="78" t="s">
        <v>131</v>
      </c>
      <c r="BD1440" s="78" t="s">
        <v>131</v>
      </c>
      <c r="BE1440" s="78" t="s">
        <v>131</v>
      </c>
      <c r="BF1440" s="78" t="s">
        <v>131</v>
      </c>
      <c r="BG1440" s="78" t="s">
        <v>132</v>
      </c>
      <c r="BH1440" s="75" t="s">
        <v>5970</v>
      </c>
      <c r="BI1440" s="295" t="s">
        <v>2277</v>
      </c>
      <c r="BJ1440" s="546">
        <v>1</v>
      </c>
      <c r="BK1440" s="294" t="s">
        <v>16</v>
      </c>
      <c r="BL1440" s="157" t="s">
        <v>16</v>
      </c>
      <c r="BM1440" s="548" t="s">
        <v>2343</v>
      </c>
      <c r="BN1440" s="548" t="s">
        <v>4161</v>
      </c>
      <c r="BO1440" s="157" t="s">
        <v>4313</v>
      </c>
      <c r="BP1440" s="548" t="s">
        <v>4315</v>
      </c>
      <c r="BQ1440" s="157" t="s">
        <v>4312</v>
      </c>
      <c r="BR1440" s="157"/>
    </row>
    <row r="1441" spans="1:70" x14ac:dyDescent="0.25">
      <c r="A1441" s="19" t="s">
        <v>3686</v>
      </c>
      <c r="B1441" s="37" t="s">
        <v>1587</v>
      </c>
      <c r="C1441" s="90">
        <v>44761.935497685183</v>
      </c>
      <c r="D1441" s="114">
        <v>44761.685497685183</v>
      </c>
      <c r="E1441" s="38">
        <v>44761</v>
      </c>
      <c r="F1441" s="91">
        <v>2022</v>
      </c>
      <c r="G1441" s="93">
        <v>7</v>
      </c>
      <c r="H1441" s="37" t="s">
        <v>1570</v>
      </c>
      <c r="I1441" s="37" t="s">
        <v>16</v>
      </c>
      <c r="J1441" s="103">
        <v>-93.256797026929675</v>
      </c>
      <c r="K1441" s="40">
        <v>44.940704195802041</v>
      </c>
      <c r="L1441" s="74"/>
      <c r="M1441" s="272" t="s">
        <v>16</v>
      </c>
      <c r="N1441" s="74">
        <v>0</v>
      </c>
      <c r="O1441" s="94"/>
      <c r="P1441" s="118">
        <v>1</v>
      </c>
      <c r="Q1441" s="510">
        <v>40</v>
      </c>
      <c r="R1441" s="513">
        <v>0</v>
      </c>
      <c r="S1441" s="41"/>
      <c r="T1441" s="40"/>
      <c r="U1441" s="40">
        <v>6.5</v>
      </c>
      <c r="V1441" s="119">
        <v>1</v>
      </c>
      <c r="W1441" s="40">
        <v>0</v>
      </c>
      <c r="X1441" s="119">
        <v>1</v>
      </c>
      <c r="Y1441" s="40">
        <v>84</v>
      </c>
      <c r="Z1441" s="119">
        <v>1</v>
      </c>
      <c r="AA1441" s="368">
        <v>0</v>
      </c>
      <c r="AB1441" s="535">
        <v>0</v>
      </c>
      <c r="AC1441" s="39" t="s">
        <v>186</v>
      </c>
      <c r="AD1441" s="75" t="s">
        <v>16</v>
      </c>
      <c r="AE1441" s="95">
        <v>-1</v>
      </c>
      <c r="AF1441" s="75">
        <v>-1</v>
      </c>
      <c r="AG1441" s="75">
        <v>-1</v>
      </c>
      <c r="AH1441" s="75">
        <v>-1</v>
      </c>
      <c r="AI1441" s="75">
        <v>-1</v>
      </c>
      <c r="AJ1441" s="75">
        <v>-1</v>
      </c>
      <c r="AK1441" s="75">
        <v>-1</v>
      </c>
      <c r="AL1441" s="95">
        <v>-1</v>
      </c>
      <c r="AM1441" s="92">
        <v>1</v>
      </c>
      <c r="AN1441" s="79" t="s">
        <v>80</v>
      </c>
      <c r="AO1441" s="75">
        <v>1</v>
      </c>
      <c r="AP1441" s="75" t="s">
        <v>84</v>
      </c>
      <c r="AQ1441" s="122">
        <v>1</v>
      </c>
      <c r="AR1441" s="515" t="s">
        <v>10</v>
      </c>
      <c r="AS1441" s="95">
        <v>0</v>
      </c>
      <c r="AT1441" s="75">
        <v>0</v>
      </c>
      <c r="AU1441" s="75">
        <v>0</v>
      </c>
      <c r="AV1441" s="75">
        <v>0</v>
      </c>
      <c r="AW1441" s="123">
        <v>0</v>
      </c>
      <c r="AX1441" s="516"/>
      <c r="AY1441" s="75">
        <v>0</v>
      </c>
      <c r="AZ1441" s="77" t="s">
        <v>5971</v>
      </c>
      <c r="BA1441" s="78" t="s">
        <v>5971</v>
      </c>
      <c r="BB1441" s="78" t="s">
        <v>5971</v>
      </c>
      <c r="BC1441" s="78" t="s">
        <v>5971</v>
      </c>
      <c r="BD1441" s="78" t="s">
        <v>5971</v>
      </c>
      <c r="BE1441" s="78" t="s">
        <v>5971</v>
      </c>
      <c r="BF1441" s="78" t="s">
        <v>5971</v>
      </c>
      <c r="BG1441" s="78" t="s">
        <v>5971</v>
      </c>
      <c r="BH1441" s="75" t="s">
        <v>5971</v>
      </c>
      <c r="BI1441" s="295" t="s">
        <v>16</v>
      </c>
      <c r="BJ1441" s="546" t="s">
        <v>16</v>
      </c>
      <c r="BK1441" s="294" t="s">
        <v>16</v>
      </c>
      <c r="BL1441" s="157" t="s">
        <v>16</v>
      </c>
      <c r="BM1441" s="548" t="s">
        <v>2343</v>
      </c>
      <c r="BN1441" s="548" t="s">
        <v>544</v>
      </c>
      <c r="BO1441" s="157" t="s">
        <v>4467</v>
      </c>
      <c r="BP1441" s="548" t="s">
        <v>4468</v>
      </c>
      <c r="BQ1441" s="157" t="s">
        <v>4466</v>
      </c>
      <c r="BR1441" s="157"/>
    </row>
    <row r="1442" spans="1:70" x14ac:dyDescent="0.25">
      <c r="A1442" s="19" t="s">
        <v>3686</v>
      </c>
      <c r="B1442" s="37" t="s">
        <v>1588</v>
      </c>
      <c r="C1442" s="90">
        <v>44761.022141203706</v>
      </c>
      <c r="D1442" s="114">
        <v>44760.772141203706</v>
      </c>
      <c r="E1442" s="38">
        <v>44760</v>
      </c>
      <c r="F1442" s="91">
        <v>2022</v>
      </c>
      <c r="G1442" s="93">
        <v>7</v>
      </c>
      <c r="H1442" s="37" t="s">
        <v>1361</v>
      </c>
      <c r="I1442" s="37" t="s">
        <v>16</v>
      </c>
      <c r="J1442" s="103">
        <v>-92.447140049275419</v>
      </c>
      <c r="K1442" s="40">
        <v>42.540710214565081</v>
      </c>
      <c r="L1442" s="74"/>
      <c r="M1442" s="272" t="s">
        <v>1589</v>
      </c>
      <c r="N1442" s="74">
        <v>1</v>
      </c>
      <c r="O1442" s="94"/>
      <c r="P1442" s="118">
        <v>1</v>
      </c>
      <c r="Q1442" s="510">
        <v>0</v>
      </c>
      <c r="R1442" s="513">
        <v>30</v>
      </c>
      <c r="S1442" s="41"/>
      <c r="T1442" s="40"/>
      <c r="U1442" s="40">
        <v>7</v>
      </c>
      <c r="V1442" s="119">
        <v>1</v>
      </c>
      <c r="W1442" s="40">
        <v>200</v>
      </c>
      <c r="X1442" s="119">
        <v>1</v>
      </c>
      <c r="Y1442" s="40">
        <v>80</v>
      </c>
      <c r="Z1442" s="119">
        <v>1</v>
      </c>
      <c r="AA1442" s="368">
        <v>0</v>
      </c>
      <c r="AB1442" s="535">
        <v>0</v>
      </c>
      <c r="AC1442" s="39" t="s">
        <v>160</v>
      </c>
      <c r="AD1442" s="75" t="s">
        <v>1590</v>
      </c>
      <c r="AE1442" s="95">
        <v>1</v>
      </c>
      <c r="AF1442" s="75">
        <v>0</v>
      </c>
      <c r="AG1442" s="75">
        <v>1</v>
      </c>
      <c r="AH1442" s="75">
        <v>0</v>
      </c>
      <c r="AI1442" s="75">
        <v>0</v>
      </c>
      <c r="AJ1442" s="75">
        <v>0</v>
      </c>
      <c r="AK1442" s="75">
        <v>0</v>
      </c>
      <c r="AL1442" s="95">
        <v>0</v>
      </c>
      <c r="AM1442" s="92">
        <v>0</v>
      </c>
      <c r="AN1442" s="79" t="s">
        <v>81</v>
      </c>
      <c r="AO1442" s="75">
        <v>1</v>
      </c>
      <c r="AP1442" s="75" t="s">
        <v>85</v>
      </c>
      <c r="AQ1442" s="122">
        <v>1</v>
      </c>
      <c r="AR1442" s="515" t="s">
        <v>13</v>
      </c>
      <c r="AS1442" s="95">
        <v>1</v>
      </c>
      <c r="AT1442" s="75">
        <v>0</v>
      </c>
      <c r="AU1442" s="75">
        <v>0</v>
      </c>
      <c r="AV1442" s="75">
        <v>0</v>
      </c>
      <c r="AW1442" s="123">
        <v>0</v>
      </c>
      <c r="AX1442" s="516" t="s">
        <v>1591</v>
      </c>
      <c r="AY1442" s="75">
        <v>1</v>
      </c>
      <c r="AZ1442" s="77" t="s">
        <v>132</v>
      </c>
      <c r="BA1442" s="78" t="s">
        <v>131</v>
      </c>
      <c r="BB1442" s="78" t="s">
        <v>132</v>
      </c>
      <c r="BC1442" s="78" t="s">
        <v>131</v>
      </c>
      <c r="BD1442" s="78" t="s">
        <v>131</v>
      </c>
      <c r="BE1442" s="78" t="s">
        <v>131</v>
      </c>
      <c r="BF1442" s="78" t="s">
        <v>131</v>
      </c>
      <c r="BG1442" s="78" t="s">
        <v>131</v>
      </c>
      <c r="BH1442" s="75" t="s">
        <v>5970</v>
      </c>
      <c r="BI1442" s="295" t="s">
        <v>2229</v>
      </c>
      <c r="BJ1442" s="546">
        <v>1</v>
      </c>
      <c r="BK1442" s="294" t="s">
        <v>16</v>
      </c>
      <c r="BL1442" s="157" t="s">
        <v>16</v>
      </c>
      <c r="BM1442" s="548" t="s">
        <v>1348</v>
      </c>
      <c r="BN1442" s="548" t="s">
        <v>4160</v>
      </c>
      <c r="BO1442" s="157" t="s">
        <v>4601</v>
      </c>
      <c r="BP1442" s="548" t="s">
        <v>4681</v>
      </c>
      <c r="BQ1442" s="157" t="s">
        <v>4600</v>
      </c>
      <c r="BR1442" s="157"/>
    </row>
    <row r="1443" spans="1:70" x14ac:dyDescent="0.25">
      <c r="A1443" s="19" t="s">
        <v>3686</v>
      </c>
      <c r="B1443" s="37" t="s">
        <v>1592</v>
      </c>
      <c r="C1443" s="90">
        <v>44760.9059375</v>
      </c>
      <c r="D1443" s="114">
        <v>44760.6559375</v>
      </c>
      <c r="E1443" s="38">
        <v>44760</v>
      </c>
      <c r="F1443" s="91">
        <v>2022</v>
      </c>
      <c r="G1443" s="93">
        <v>7</v>
      </c>
      <c r="H1443" s="37" t="s">
        <v>615</v>
      </c>
      <c r="I1443" s="37"/>
      <c r="J1443" s="103">
        <v>-92.563639800000004</v>
      </c>
      <c r="K1443" s="40">
        <v>44.502651299999997</v>
      </c>
      <c r="L1443" s="74"/>
      <c r="M1443" s="272" t="s">
        <v>16</v>
      </c>
      <c r="N1443" s="74">
        <v>0</v>
      </c>
      <c r="O1443" s="94"/>
      <c r="P1443" s="118">
        <v>1</v>
      </c>
      <c r="Q1443" s="510">
        <v>120</v>
      </c>
      <c r="R1443" s="513">
        <v>180</v>
      </c>
      <c r="S1443" s="41"/>
      <c r="T1443" s="40"/>
      <c r="U1443" s="40">
        <v>8</v>
      </c>
      <c r="V1443" s="119">
        <v>1</v>
      </c>
      <c r="W1443" s="40">
        <v>100</v>
      </c>
      <c r="X1443" s="119">
        <v>1</v>
      </c>
      <c r="Y1443" s="40">
        <v>69</v>
      </c>
      <c r="Z1443" s="119">
        <v>1</v>
      </c>
      <c r="AA1443" s="368">
        <v>0</v>
      </c>
      <c r="AB1443" s="535">
        <v>5</v>
      </c>
      <c r="AC1443" s="39" t="s">
        <v>160</v>
      </c>
      <c r="AD1443" s="75" t="s">
        <v>10</v>
      </c>
      <c r="AE1443" s="95">
        <v>0</v>
      </c>
      <c r="AF1443" s="75">
        <v>0</v>
      </c>
      <c r="AG1443" s="75">
        <v>0</v>
      </c>
      <c r="AH1443" s="75">
        <v>0</v>
      </c>
      <c r="AI1443" s="75">
        <v>0</v>
      </c>
      <c r="AJ1443" s="75">
        <v>0</v>
      </c>
      <c r="AK1443" s="75">
        <v>0</v>
      </c>
      <c r="AL1443" s="95">
        <v>1</v>
      </c>
      <c r="AM1443" s="92">
        <v>0</v>
      </c>
      <c r="AN1443" s="79" t="s">
        <v>80</v>
      </c>
      <c r="AO1443" s="75">
        <v>1</v>
      </c>
      <c r="AP1443" s="75" t="s">
        <v>83</v>
      </c>
      <c r="AQ1443" s="122">
        <v>1</v>
      </c>
      <c r="AR1443" s="515" t="s">
        <v>10</v>
      </c>
      <c r="AS1443" s="95">
        <v>0</v>
      </c>
      <c r="AT1443" s="75">
        <v>0</v>
      </c>
      <c r="AU1443" s="75">
        <v>0</v>
      </c>
      <c r="AV1443" s="75">
        <v>0</v>
      </c>
      <c r="AW1443" s="123">
        <v>0</v>
      </c>
      <c r="AX1443" s="516"/>
      <c r="AY1443" s="75">
        <v>0</v>
      </c>
      <c r="AZ1443" s="77" t="s">
        <v>131</v>
      </c>
      <c r="BA1443" s="78" t="s">
        <v>131</v>
      </c>
      <c r="BB1443" s="78" t="s">
        <v>131</v>
      </c>
      <c r="BC1443" s="78" t="s">
        <v>131</v>
      </c>
      <c r="BD1443" s="78" t="s">
        <v>131</v>
      </c>
      <c r="BE1443" s="78" t="s">
        <v>131</v>
      </c>
      <c r="BF1443" s="78" t="s">
        <v>131</v>
      </c>
      <c r="BG1443" s="78" t="s">
        <v>132</v>
      </c>
      <c r="BH1443" s="75" t="s">
        <v>5970</v>
      </c>
      <c r="BI1443" s="295" t="s">
        <v>16</v>
      </c>
      <c r="BJ1443" s="546">
        <v>1</v>
      </c>
      <c r="BK1443" s="294" t="s">
        <v>16</v>
      </c>
      <c r="BL1443" s="157" t="s">
        <v>16</v>
      </c>
      <c r="BM1443" s="548" t="s">
        <v>2343</v>
      </c>
      <c r="BN1443" s="548" t="s">
        <v>4161</v>
      </c>
      <c r="BO1443" s="157" t="s">
        <v>4308</v>
      </c>
      <c r="BP1443" s="548" t="s">
        <v>2238</v>
      </c>
      <c r="BQ1443" s="157" t="s">
        <v>4307</v>
      </c>
      <c r="BR1443" s="157"/>
    </row>
    <row r="1444" spans="1:70" x14ac:dyDescent="0.25">
      <c r="A1444" s="19" t="s">
        <v>3686</v>
      </c>
      <c r="B1444" s="37" t="s">
        <v>1593</v>
      </c>
      <c r="C1444" s="90">
        <v>44760.887384259258</v>
      </c>
      <c r="D1444" s="114">
        <v>44760.637384259258</v>
      </c>
      <c r="E1444" s="38">
        <v>44760</v>
      </c>
      <c r="F1444" s="91">
        <v>2022</v>
      </c>
      <c r="G1444" s="93">
        <v>7</v>
      </c>
      <c r="H1444" s="37" t="s">
        <v>615</v>
      </c>
      <c r="I1444" s="37" t="s">
        <v>958</v>
      </c>
      <c r="J1444" s="103">
        <v>-92.575421700000007</v>
      </c>
      <c r="K1444" s="40">
        <v>44.4883521</v>
      </c>
      <c r="L1444" s="74"/>
      <c r="M1444" s="272" t="s">
        <v>16</v>
      </c>
      <c r="N1444" s="74">
        <v>0</v>
      </c>
      <c r="O1444" s="94"/>
      <c r="P1444" s="118">
        <v>1</v>
      </c>
      <c r="Q1444" s="510">
        <v>120</v>
      </c>
      <c r="R1444" s="513">
        <v>120</v>
      </c>
      <c r="S1444" s="41"/>
      <c r="T1444" s="40"/>
      <c r="U1444" s="40">
        <v>8.5</v>
      </c>
      <c r="V1444" s="119">
        <v>1</v>
      </c>
      <c r="W1444" s="40">
        <v>100</v>
      </c>
      <c r="X1444" s="119">
        <v>1</v>
      </c>
      <c r="Y1444" s="40">
        <v>70</v>
      </c>
      <c r="Z1444" s="119">
        <v>1</v>
      </c>
      <c r="AA1444" s="368">
        <v>0</v>
      </c>
      <c r="AB1444" s="535">
        <v>2</v>
      </c>
      <c r="AC1444" s="39" t="s">
        <v>160</v>
      </c>
      <c r="AD1444" s="75" t="s">
        <v>10</v>
      </c>
      <c r="AE1444" s="95">
        <v>0</v>
      </c>
      <c r="AF1444" s="75">
        <v>0</v>
      </c>
      <c r="AG1444" s="75">
        <v>0</v>
      </c>
      <c r="AH1444" s="75">
        <v>0</v>
      </c>
      <c r="AI1444" s="75">
        <v>0</v>
      </c>
      <c r="AJ1444" s="75">
        <v>0</v>
      </c>
      <c r="AK1444" s="75">
        <v>0</v>
      </c>
      <c r="AL1444" s="95">
        <v>1</v>
      </c>
      <c r="AM1444" s="92">
        <v>0</v>
      </c>
      <c r="AN1444" s="79" t="s">
        <v>80</v>
      </c>
      <c r="AO1444" s="75">
        <v>1</v>
      </c>
      <c r="AP1444" s="75" t="s">
        <v>83</v>
      </c>
      <c r="AQ1444" s="122">
        <v>1</v>
      </c>
      <c r="AR1444" s="515" t="s">
        <v>10</v>
      </c>
      <c r="AS1444" s="95">
        <v>0</v>
      </c>
      <c r="AT1444" s="75">
        <v>0</v>
      </c>
      <c r="AU1444" s="75">
        <v>0</v>
      </c>
      <c r="AV1444" s="75">
        <v>0</v>
      </c>
      <c r="AW1444" s="123">
        <v>0</v>
      </c>
      <c r="AX1444" s="516"/>
      <c r="AY1444" s="75">
        <v>0</v>
      </c>
      <c r="AZ1444" s="77" t="s">
        <v>131</v>
      </c>
      <c r="BA1444" s="78" t="s">
        <v>131</v>
      </c>
      <c r="BB1444" s="78" t="s">
        <v>131</v>
      </c>
      <c r="BC1444" s="78" t="s">
        <v>131</v>
      </c>
      <c r="BD1444" s="78" t="s">
        <v>131</v>
      </c>
      <c r="BE1444" s="78" t="s">
        <v>131</v>
      </c>
      <c r="BF1444" s="78" t="s">
        <v>131</v>
      </c>
      <c r="BG1444" s="78" t="s">
        <v>132</v>
      </c>
      <c r="BH1444" s="75" t="s">
        <v>5970</v>
      </c>
      <c r="BI1444" s="295" t="s">
        <v>2238</v>
      </c>
      <c r="BJ1444" s="546">
        <v>1</v>
      </c>
      <c r="BK1444" s="294" t="s">
        <v>16</v>
      </c>
      <c r="BL1444" s="157" t="s">
        <v>16</v>
      </c>
      <c r="BM1444" s="548" t="s">
        <v>2343</v>
      </c>
      <c r="BN1444" s="548" t="s">
        <v>4161</v>
      </c>
      <c r="BO1444" s="157" t="s">
        <v>4308</v>
      </c>
      <c r="BP1444" s="548" t="s">
        <v>2238</v>
      </c>
      <c r="BQ1444" s="157" t="s">
        <v>4307</v>
      </c>
      <c r="BR1444" s="157"/>
    </row>
    <row r="1445" spans="1:70" x14ac:dyDescent="0.25">
      <c r="A1445" s="19" t="s">
        <v>3686</v>
      </c>
      <c r="B1445" s="37" t="s">
        <v>1594</v>
      </c>
      <c r="C1445" s="90">
        <v>44760.868379629632</v>
      </c>
      <c r="D1445" s="114">
        <v>44760.618379629632</v>
      </c>
      <c r="E1445" s="38">
        <v>44760</v>
      </c>
      <c r="F1445" s="91">
        <v>2022</v>
      </c>
      <c r="G1445" s="93">
        <v>7</v>
      </c>
      <c r="H1445" s="37" t="s">
        <v>615</v>
      </c>
      <c r="I1445" s="37" t="s">
        <v>959</v>
      </c>
      <c r="J1445" s="103">
        <v>-92.597279599999993</v>
      </c>
      <c r="K1445" s="40">
        <v>44.472520500000002</v>
      </c>
      <c r="L1445" s="74"/>
      <c r="M1445" s="272" t="s">
        <v>16</v>
      </c>
      <c r="N1445" s="74">
        <v>0</v>
      </c>
      <c r="O1445" s="94"/>
      <c r="P1445" s="118">
        <v>1</v>
      </c>
      <c r="Q1445" s="510">
        <v>120</v>
      </c>
      <c r="R1445" s="513">
        <v>180</v>
      </c>
      <c r="S1445" s="41"/>
      <c r="T1445" s="40"/>
      <c r="U1445" s="40">
        <v>8</v>
      </c>
      <c r="V1445" s="119">
        <v>1</v>
      </c>
      <c r="W1445" s="40">
        <v>0</v>
      </c>
      <c r="X1445" s="119">
        <v>1</v>
      </c>
      <c r="Y1445" s="40">
        <v>64</v>
      </c>
      <c r="Z1445" s="119">
        <v>1</v>
      </c>
      <c r="AA1445" s="368">
        <v>0</v>
      </c>
      <c r="AB1445" s="535">
        <v>5</v>
      </c>
      <c r="AC1445" s="39" t="s">
        <v>160</v>
      </c>
      <c r="AD1445" s="75" t="s">
        <v>10</v>
      </c>
      <c r="AE1445" s="95">
        <v>0</v>
      </c>
      <c r="AF1445" s="75">
        <v>0</v>
      </c>
      <c r="AG1445" s="75">
        <v>0</v>
      </c>
      <c r="AH1445" s="75">
        <v>0</v>
      </c>
      <c r="AI1445" s="75">
        <v>0</v>
      </c>
      <c r="AJ1445" s="75">
        <v>0</v>
      </c>
      <c r="AK1445" s="75">
        <v>0</v>
      </c>
      <c r="AL1445" s="95">
        <v>1</v>
      </c>
      <c r="AM1445" s="92">
        <v>0</v>
      </c>
      <c r="AN1445" s="79" t="s">
        <v>80</v>
      </c>
      <c r="AO1445" s="75">
        <v>1</v>
      </c>
      <c r="AP1445" s="75" t="s">
        <v>83</v>
      </c>
      <c r="AQ1445" s="122">
        <v>1</v>
      </c>
      <c r="AR1445" s="515" t="s">
        <v>10</v>
      </c>
      <c r="AS1445" s="95">
        <v>0</v>
      </c>
      <c r="AT1445" s="75">
        <v>0</v>
      </c>
      <c r="AU1445" s="75">
        <v>0</v>
      </c>
      <c r="AV1445" s="75">
        <v>0</v>
      </c>
      <c r="AW1445" s="123">
        <v>0</v>
      </c>
      <c r="AX1445" s="516"/>
      <c r="AY1445" s="75">
        <v>0</v>
      </c>
      <c r="AZ1445" s="77" t="s">
        <v>131</v>
      </c>
      <c r="BA1445" s="78" t="s">
        <v>131</v>
      </c>
      <c r="BB1445" s="78" t="s">
        <v>131</v>
      </c>
      <c r="BC1445" s="78" t="s">
        <v>131</v>
      </c>
      <c r="BD1445" s="78" t="s">
        <v>131</v>
      </c>
      <c r="BE1445" s="78" t="s">
        <v>131</v>
      </c>
      <c r="BF1445" s="78" t="s">
        <v>131</v>
      </c>
      <c r="BG1445" s="78" t="s">
        <v>132</v>
      </c>
      <c r="BH1445" s="75" t="s">
        <v>5970</v>
      </c>
      <c r="BI1445" s="295" t="s">
        <v>2238</v>
      </c>
      <c r="BJ1445" s="546">
        <v>1</v>
      </c>
      <c r="BK1445" s="294" t="s">
        <v>16</v>
      </c>
      <c r="BL1445" s="157" t="s">
        <v>16</v>
      </c>
      <c r="BM1445" s="548" t="s">
        <v>2343</v>
      </c>
      <c r="BN1445" s="548" t="s">
        <v>4161</v>
      </c>
      <c r="BO1445" s="157" t="s">
        <v>4308</v>
      </c>
      <c r="BP1445" s="548" t="s">
        <v>2238</v>
      </c>
      <c r="BQ1445" s="157" t="s">
        <v>4307</v>
      </c>
      <c r="BR1445" s="157"/>
    </row>
    <row r="1446" spans="1:70" x14ac:dyDescent="0.25">
      <c r="A1446" s="19" t="s">
        <v>3686</v>
      </c>
      <c r="B1446" s="37" t="s">
        <v>1595</v>
      </c>
      <c r="C1446" s="90">
        <v>44760.714618055557</v>
      </c>
      <c r="D1446" s="114">
        <v>44760.464618055557</v>
      </c>
      <c r="E1446" s="38">
        <v>44760</v>
      </c>
      <c r="F1446" s="91">
        <v>2022</v>
      </c>
      <c r="G1446" s="93">
        <v>7</v>
      </c>
      <c r="H1446" s="37" t="s">
        <v>1425</v>
      </c>
      <c r="I1446" s="37"/>
      <c r="J1446" s="103">
        <v>-92.631956013662517</v>
      </c>
      <c r="K1446" s="40">
        <v>44.855608039626155</v>
      </c>
      <c r="L1446" s="74"/>
      <c r="M1446" s="272" t="s">
        <v>1596</v>
      </c>
      <c r="N1446" s="74">
        <v>1</v>
      </c>
      <c r="O1446" s="94"/>
      <c r="P1446" s="118">
        <v>1</v>
      </c>
      <c r="Q1446" s="510">
        <v>180</v>
      </c>
      <c r="R1446" s="513">
        <v>120</v>
      </c>
      <c r="S1446" s="41"/>
      <c r="T1446" s="40"/>
      <c r="U1446" s="40">
        <v>7.5</v>
      </c>
      <c r="V1446" s="119">
        <v>1</v>
      </c>
      <c r="W1446" s="40">
        <v>0</v>
      </c>
      <c r="X1446" s="119">
        <v>1</v>
      </c>
      <c r="Y1446" s="40">
        <v>68</v>
      </c>
      <c r="Z1446" s="119">
        <v>1</v>
      </c>
      <c r="AA1446" s="368">
        <v>0</v>
      </c>
      <c r="AB1446" s="535">
        <v>5</v>
      </c>
      <c r="AC1446" s="39" t="s">
        <v>186</v>
      </c>
      <c r="AD1446" s="75" t="s">
        <v>10</v>
      </c>
      <c r="AE1446" s="95">
        <v>0</v>
      </c>
      <c r="AF1446" s="75">
        <v>0</v>
      </c>
      <c r="AG1446" s="75">
        <v>0</v>
      </c>
      <c r="AH1446" s="75">
        <v>0</v>
      </c>
      <c r="AI1446" s="75">
        <v>0</v>
      </c>
      <c r="AJ1446" s="75">
        <v>0</v>
      </c>
      <c r="AK1446" s="75">
        <v>0</v>
      </c>
      <c r="AL1446" s="95">
        <v>1</v>
      </c>
      <c r="AM1446" s="92">
        <v>0</v>
      </c>
      <c r="AN1446" s="79" t="s">
        <v>80</v>
      </c>
      <c r="AO1446" s="75">
        <v>1</v>
      </c>
      <c r="AP1446" s="75" t="s">
        <v>83</v>
      </c>
      <c r="AQ1446" s="122">
        <v>1</v>
      </c>
      <c r="AR1446" s="515" t="s">
        <v>10</v>
      </c>
      <c r="AS1446" s="95">
        <v>0</v>
      </c>
      <c r="AT1446" s="75">
        <v>0</v>
      </c>
      <c r="AU1446" s="75">
        <v>0</v>
      </c>
      <c r="AV1446" s="75">
        <v>0</v>
      </c>
      <c r="AW1446" s="123">
        <v>0</v>
      </c>
      <c r="AX1446" s="516" t="s">
        <v>1579</v>
      </c>
      <c r="AY1446" s="75">
        <v>1</v>
      </c>
      <c r="AZ1446" s="77" t="s">
        <v>131</v>
      </c>
      <c r="BA1446" s="78" t="s">
        <v>131</v>
      </c>
      <c r="BB1446" s="78" t="s">
        <v>131</v>
      </c>
      <c r="BC1446" s="78" t="s">
        <v>131</v>
      </c>
      <c r="BD1446" s="78" t="s">
        <v>131</v>
      </c>
      <c r="BE1446" s="78" t="s">
        <v>131</v>
      </c>
      <c r="BF1446" s="78" t="s">
        <v>131</v>
      </c>
      <c r="BG1446" s="78" t="s">
        <v>132</v>
      </c>
      <c r="BH1446" s="75" t="s">
        <v>5970</v>
      </c>
      <c r="BI1446" s="295" t="s">
        <v>2227</v>
      </c>
      <c r="BJ1446" s="546">
        <v>1</v>
      </c>
      <c r="BK1446" s="294">
        <v>1</v>
      </c>
      <c r="BL1446" s="157">
        <v>1</v>
      </c>
      <c r="BM1446" s="548" t="s">
        <v>578</v>
      </c>
      <c r="BN1446" s="548" t="s">
        <v>4159</v>
      </c>
      <c r="BO1446" s="157" t="s">
        <v>4311</v>
      </c>
      <c r="BP1446" s="548" t="s">
        <v>4395</v>
      </c>
      <c r="BQ1446" s="157" t="s">
        <v>4309</v>
      </c>
      <c r="BR1446" s="157"/>
    </row>
    <row r="1447" spans="1:70" x14ac:dyDescent="0.25">
      <c r="A1447" s="19" t="s">
        <v>3686</v>
      </c>
      <c r="B1447" s="37" t="s">
        <v>1597</v>
      </c>
      <c r="C1447" s="90">
        <v>44760.679467592592</v>
      </c>
      <c r="D1447" s="114">
        <v>44760.429467592592</v>
      </c>
      <c r="E1447" s="38">
        <v>44760</v>
      </c>
      <c r="F1447" s="91">
        <v>2022</v>
      </c>
      <c r="G1447" s="93">
        <v>7</v>
      </c>
      <c r="H1447" s="37" t="s">
        <v>1491</v>
      </c>
      <c r="I1447" s="37"/>
      <c r="J1447" s="103">
        <v>-92.641711200000003</v>
      </c>
      <c r="K1447" s="40">
        <v>44.849782599999998</v>
      </c>
      <c r="L1447" s="74"/>
      <c r="M1447" s="272" t="s">
        <v>16</v>
      </c>
      <c r="N1447" s="74">
        <v>0</v>
      </c>
      <c r="O1447" s="94"/>
      <c r="P1447" s="118">
        <v>1</v>
      </c>
      <c r="Q1447" s="510">
        <v>80</v>
      </c>
      <c r="R1447" s="513">
        <v>120</v>
      </c>
      <c r="S1447" s="41"/>
      <c r="T1447" s="40"/>
      <c r="U1447" s="40">
        <v>7.5</v>
      </c>
      <c r="V1447" s="119">
        <v>1</v>
      </c>
      <c r="W1447" s="40">
        <v>0</v>
      </c>
      <c r="X1447" s="119">
        <v>1</v>
      </c>
      <c r="Y1447" s="40">
        <v>65</v>
      </c>
      <c r="Z1447" s="119">
        <v>1</v>
      </c>
      <c r="AA1447" s="368">
        <v>0</v>
      </c>
      <c r="AB1447" s="535">
        <v>5</v>
      </c>
      <c r="AC1447" s="39" t="s">
        <v>160</v>
      </c>
      <c r="AD1447" s="75" t="s">
        <v>10</v>
      </c>
      <c r="AE1447" s="95">
        <v>0</v>
      </c>
      <c r="AF1447" s="75">
        <v>0</v>
      </c>
      <c r="AG1447" s="75">
        <v>0</v>
      </c>
      <c r="AH1447" s="75">
        <v>0</v>
      </c>
      <c r="AI1447" s="75">
        <v>0</v>
      </c>
      <c r="AJ1447" s="75">
        <v>0</v>
      </c>
      <c r="AK1447" s="75">
        <v>0</v>
      </c>
      <c r="AL1447" s="95">
        <v>1</v>
      </c>
      <c r="AM1447" s="92">
        <v>0</v>
      </c>
      <c r="AN1447" s="79" t="s">
        <v>80</v>
      </c>
      <c r="AO1447" s="75">
        <v>1</v>
      </c>
      <c r="AP1447" s="75" t="s">
        <v>83</v>
      </c>
      <c r="AQ1447" s="122">
        <v>1</v>
      </c>
      <c r="AR1447" s="515" t="s">
        <v>10</v>
      </c>
      <c r="AS1447" s="95">
        <v>0</v>
      </c>
      <c r="AT1447" s="75">
        <v>0</v>
      </c>
      <c r="AU1447" s="75">
        <v>0</v>
      </c>
      <c r="AV1447" s="75">
        <v>0</v>
      </c>
      <c r="AW1447" s="123">
        <v>0</v>
      </c>
      <c r="AX1447" s="516" t="s">
        <v>1598</v>
      </c>
      <c r="AY1447" s="75">
        <v>1</v>
      </c>
      <c r="AZ1447" s="77" t="s">
        <v>131</v>
      </c>
      <c r="BA1447" s="78" t="s">
        <v>131</v>
      </c>
      <c r="BB1447" s="78" t="s">
        <v>131</v>
      </c>
      <c r="BC1447" s="78" t="s">
        <v>131</v>
      </c>
      <c r="BD1447" s="78" t="s">
        <v>131</v>
      </c>
      <c r="BE1447" s="78" t="s">
        <v>131</v>
      </c>
      <c r="BF1447" s="78" t="s">
        <v>131</v>
      </c>
      <c r="BG1447" s="78" t="s">
        <v>132</v>
      </c>
      <c r="BH1447" s="75" t="s">
        <v>5970</v>
      </c>
      <c r="BI1447" s="295" t="s">
        <v>2227</v>
      </c>
      <c r="BJ1447" s="546">
        <v>1</v>
      </c>
      <c r="BK1447" s="294">
        <v>1</v>
      </c>
      <c r="BL1447" s="157">
        <v>1</v>
      </c>
      <c r="BM1447" s="548" t="s">
        <v>578</v>
      </c>
      <c r="BN1447" s="548" t="s">
        <v>4159</v>
      </c>
      <c r="BO1447" s="157" t="s">
        <v>4341</v>
      </c>
      <c r="BP1447" s="548" t="s">
        <v>4343</v>
      </c>
      <c r="BQ1447" s="157" t="s">
        <v>4309</v>
      </c>
      <c r="BR1447" s="157"/>
    </row>
    <row r="1448" spans="1:70" x14ac:dyDescent="0.25">
      <c r="A1448" s="19" t="s">
        <v>3686</v>
      </c>
      <c r="B1448" s="37" t="s">
        <v>1599</v>
      </c>
      <c r="C1448" s="90">
        <v>44760.665798611109</v>
      </c>
      <c r="D1448" s="114">
        <v>44760.415798611109</v>
      </c>
      <c r="E1448" s="38">
        <v>44760</v>
      </c>
      <c r="F1448" s="91">
        <v>2022</v>
      </c>
      <c r="G1448" s="93">
        <v>7</v>
      </c>
      <c r="H1448" s="37" t="s">
        <v>1491</v>
      </c>
      <c r="I1448" s="37"/>
      <c r="J1448" s="103">
        <v>-92.644000599999998</v>
      </c>
      <c r="K1448" s="40">
        <v>44.844363999999999</v>
      </c>
      <c r="L1448" s="74"/>
      <c r="M1448" s="272" t="s">
        <v>1600</v>
      </c>
      <c r="N1448" s="74">
        <v>1</v>
      </c>
      <c r="O1448" s="94"/>
      <c r="P1448" s="118">
        <v>1</v>
      </c>
      <c r="Q1448" s="510">
        <v>80</v>
      </c>
      <c r="R1448" s="513">
        <v>120</v>
      </c>
      <c r="S1448" s="41"/>
      <c r="T1448" s="40"/>
      <c r="U1448" s="40">
        <v>8</v>
      </c>
      <c r="V1448" s="119">
        <v>1</v>
      </c>
      <c r="W1448" s="40">
        <v>0</v>
      </c>
      <c r="X1448" s="119">
        <v>1</v>
      </c>
      <c r="Y1448" s="40">
        <v>65</v>
      </c>
      <c r="Z1448" s="119">
        <v>1</v>
      </c>
      <c r="AA1448" s="368">
        <v>0</v>
      </c>
      <c r="AB1448" s="535">
        <v>2</v>
      </c>
      <c r="AC1448" s="39" t="s">
        <v>160</v>
      </c>
      <c r="AD1448" s="75" t="s">
        <v>10</v>
      </c>
      <c r="AE1448" s="95">
        <v>0</v>
      </c>
      <c r="AF1448" s="75">
        <v>0</v>
      </c>
      <c r="AG1448" s="75">
        <v>0</v>
      </c>
      <c r="AH1448" s="75">
        <v>0</v>
      </c>
      <c r="AI1448" s="75">
        <v>0</v>
      </c>
      <c r="AJ1448" s="75">
        <v>0</v>
      </c>
      <c r="AK1448" s="75">
        <v>0</v>
      </c>
      <c r="AL1448" s="95">
        <v>1</v>
      </c>
      <c r="AM1448" s="92">
        <v>0</v>
      </c>
      <c r="AN1448" s="79" t="s">
        <v>80</v>
      </c>
      <c r="AO1448" s="75">
        <v>1</v>
      </c>
      <c r="AP1448" s="75" t="s">
        <v>83</v>
      </c>
      <c r="AQ1448" s="122">
        <v>1</v>
      </c>
      <c r="AR1448" s="515" t="s">
        <v>10</v>
      </c>
      <c r="AS1448" s="95">
        <v>0</v>
      </c>
      <c r="AT1448" s="75">
        <v>0</v>
      </c>
      <c r="AU1448" s="75">
        <v>0</v>
      </c>
      <c r="AV1448" s="75">
        <v>0</v>
      </c>
      <c r="AW1448" s="123">
        <v>0</v>
      </c>
      <c r="AX1448" s="516" t="s">
        <v>1601</v>
      </c>
      <c r="AY1448" s="75">
        <v>1</v>
      </c>
      <c r="AZ1448" s="77" t="s">
        <v>131</v>
      </c>
      <c r="BA1448" s="78" t="s">
        <v>131</v>
      </c>
      <c r="BB1448" s="78" t="s">
        <v>131</v>
      </c>
      <c r="BC1448" s="78" t="s">
        <v>131</v>
      </c>
      <c r="BD1448" s="78" t="s">
        <v>131</v>
      </c>
      <c r="BE1448" s="78" t="s">
        <v>131</v>
      </c>
      <c r="BF1448" s="78" t="s">
        <v>131</v>
      </c>
      <c r="BG1448" s="78" t="s">
        <v>132</v>
      </c>
      <c r="BH1448" s="75" t="s">
        <v>5970</v>
      </c>
      <c r="BI1448" s="295" t="s">
        <v>2227</v>
      </c>
      <c r="BJ1448" s="546">
        <v>1</v>
      </c>
      <c r="BK1448" s="294">
        <v>1</v>
      </c>
      <c r="BL1448" s="157">
        <v>1</v>
      </c>
      <c r="BM1448" s="548" t="s">
        <v>578</v>
      </c>
      <c r="BN1448" s="548" t="s">
        <v>4159</v>
      </c>
      <c r="BO1448" s="157" t="s">
        <v>4341</v>
      </c>
      <c r="BP1448" s="548" t="s">
        <v>4343</v>
      </c>
      <c r="BQ1448" s="157" t="s">
        <v>4309</v>
      </c>
      <c r="BR1448" s="157"/>
    </row>
    <row r="1449" spans="1:70" x14ac:dyDescent="0.25">
      <c r="A1449" s="19" t="s">
        <v>3686</v>
      </c>
      <c r="B1449" s="37" t="s">
        <v>1602</v>
      </c>
      <c r="C1449" s="90">
        <v>44760.653726851851</v>
      </c>
      <c r="D1449" s="114">
        <v>44760.403726851851</v>
      </c>
      <c r="E1449" s="38">
        <v>44760</v>
      </c>
      <c r="F1449" s="91">
        <v>2022</v>
      </c>
      <c r="G1449" s="93">
        <v>7</v>
      </c>
      <c r="H1449" s="37" t="s">
        <v>1433</v>
      </c>
      <c r="I1449" s="37" t="s">
        <v>16</v>
      </c>
      <c r="J1449" s="103">
        <v>-92.636516913857903</v>
      </c>
      <c r="K1449" s="40">
        <v>44.854574943934431</v>
      </c>
      <c r="L1449" s="74"/>
      <c r="M1449" s="272" t="s">
        <v>16</v>
      </c>
      <c r="N1449" s="74">
        <v>0</v>
      </c>
      <c r="O1449" s="94"/>
      <c r="P1449" s="118">
        <v>1</v>
      </c>
      <c r="Q1449" s="510">
        <v>120</v>
      </c>
      <c r="R1449" s="513">
        <v>120</v>
      </c>
      <c r="S1449" s="41"/>
      <c r="T1449" s="40"/>
      <c r="U1449" s="40">
        <v>8</v>
      </c>
      <c r="V1449" s="119">
        <v>1</v>
      </c>
      <c r="W1449" s="40">
        <v>100</v>
      </c>
      <c r="X1449" s="119">
        <v>1</v>
      </c>
      <c r="Y1449" s="40">
        <v>64</v>
      </c>
      <c r="Z1449" s="119">
        <v>1</v>
      </c>
      <c r="AA1449" s="368">
        <v>0</v>
      </c>
      <c r="AB1449" s="535">
        <v>5</v>
      </c>
      <c r="AC1449" s="39" t="s">
        <v>160</v>
      </c>
      <c r="AD1449" s="75" t="s">
        <v>9</v>
      </c>
      <c r="AE1449" s="95">
        <v>0</v>
      </c>
      <c r="AF1449" s="75">
        <v>0</v>
      </c>
      <c r="AG1449" s="75">
        <v>1</v>
      </c>
      <c r="AH1449" s="75">
        <v>0</v>
      </c>
      <c r="AI1449" s="75">
        <v>0</v>
      </c>
      <c r="AJ1449" s="75">
        <v>0</v>
      </c>
      <c r="AK1449" s="75">
        <v>0</v>
      </c>
      <c r="AL1449" s="95">
        <v>0</v>
      </c>
      <c r="AM1449" s="92">
        <v>0</v>
      </c>
      <c r="AN1449" s="79" t="s">
        <v>80</v>
      </c>
      <c r="AO1449" s="75">
        <v>1</v>
      </c>
      <c r="AP1449" s="75" t="s">
        <v>83</v>
      </c>
      <c r="AQ1449" s="122">
        <v>1</v>
      </c>
      <c r="AR1449" s="515" t="s">
        <v>10</v>
      </c>
      <c r="AS1449" s="95">
        <v>0</v>
      </c>
      <c r="AT1449" s="75">
        <v>0</v>
      </c>
      <c r="AU1449" s="75">
        <v>0</v>
      </c>
      <c r="AV1449" s="75">
        <v>0</v>
      </c>
      <c r="AW1449" s="123">
        <v>0</v>
      </c>
      <c r="AX1449" s="516"/>
      <c r="AY1449" s="75">
        <v>0</v>
      </c>
      <c r="AZ1449" s="77" t="s">
        <v>131</v>
      </c>
      <c r="BA1449" s="78" t="s">
        <v>131</v>
      </c>
      <c r="BB1449" s="78" t="s">
        <v>132</v>
      </c>
      <c r="BC1449" s="78" t="s">
        <v>131</v>
      </c>
      <c r="BD1449" s="78" t="s">
        <v>131</v>
      </c>
      <c r="BE1449" s="78" t="s">
        <v>131</v>
      </c>
      <c r="BF1449" s="78" t="s">
        <v>131</v>
      </c>
      <c r="BG1449" s="78" t="s">
        <v>131</v>
      </c>
      <c r="BH1449" s="75" t="s">
        <v>5970</v>
      </c>
      <c r="BI1449" s="295" t="s">
        <v>2227</v>
      </c>
      <c r="BJ1449" s="546">
        <v>1</v>
      </c>
      <c r="BK1449" s="294">
        <v>1</v>
      </c>
      <c r="BL1449" s="157">
        <v>1</v>
      </c>
      <c r="BM1449" s="548" t="s">
        <v>578</v>
      </c>
      <c r="BN1449" s="548" t="s">
        <v>4159</v>
      </c>
      <c r="BO1449" s="157" t="s">
        <v>4341</v>
      </c>
      <c r="BP1449" s="548" t="s">
        <v>4343</v>
      </c>
      <c r="BQ1449" s="157" t="s">
        <v>4309</v>
      </c>
      <c r="BR1449" s="157"/>
    </row>
    <row r="1450" spans="1:70" x14ac:dyDescent="0.25">
      <c r="A1450" s="19" t="s">
        <v>3686</v>
      </c>
      <c r="B1450" s="37" t="s">
        <v>1603</v>
      </c>
      <c r="C1450" s="90">
        <v>44760.640648148146</v>
      </c>
      <c r="D1450" s="114">
        <v>44760.390648148146</v>
      </c>
      <c r="E1450" s="38">
        <v>44760</v>
      </c>
      <c r="F1450" s="91">
        <v>2022</v>
      </c>
      <c r="G1450" s="93">
        <v>7</v>
      </c>
      <c r="H1450" s="37" t="s">
        <v>1425</v>
      </c>
      <c r="I1450" s="37"/>
      <c r="J1450" s="103">
        <v>-92.732116981157205</v>
      </c>
      <c r="K1450" s="40">
        <v>44.831035729477563</v>
      </c>
      <c r="L1450" s="74"/>
      <c r="M1450" s="272" t="s">
        <v>1604</v>
      </c>
      <c r="N1450" s="74">
        <v>1</v>
      </c>
      <c r="O1450" s="94"/>
      <c r="P1450" s="118">
        <v>1</v>
      </c>
      <c r="Q1450" s="510">
        <v>180</v>
      </c>
      <c r="R1450" s="513">
        <v>180</v>
      </c>
      <c r="S1450" s="41"/>
      <c r="T1450" s="40"/>
      <c r="U1450" s="40">
        <v>7.5</v>
      </c>
      <c r="V1450" s="119">
        <v>1</v>
      </c>
      <c r="W1450" s="40">
        <v>0</v>
      </c>
      <c r="X1450" s="119">
        <v>1</v>
      </c>
      <c r="Y1450" s="40">
        <v>63</v>
      </c>
      <c r="Z1450" s="119">
        <v>1</v>
      </c>
      <c r="AA1450" s="368">
        <v>0</v>
      </c>
      <c r="AB1450" s="535">
        <v>5</v>
      </c>
      <c r="AC1450" s="39" t="s">
        <v>160</v>
      </c>
      <c r="AD1450" s="75" t="s">
        <v>9</v>
      </c>
      <c r="AE1450" s="95">
        <v>0</v>
      </c>
      <c r="AF1450" s="75">
        <v>0</v>
      </c>
      <c r="AG1450" s="75">
        <v>1</v>
      </c>
      <c r="AH1450" s="75">
        <v>0</v>
      </c>
      <c r="AI1450" s="75">
        <v>0</v>
      </c>
      <c r="AJ1450" s="75">
        <v>0</v>
      </c>
      <c r="AK1450" s="75">
        <v>0</v>
      </c>
      <c r="AL1450" s="95">
        <v>0</v>
      </c>
      <c r="AM1450" s="92">
        <v>0</v>
      </c>
      <c r="AN1450" s="79" t="s">
        <v>80</v>
      </c>
      <c r="AO1450" s="75">
        <v>1</v>
      </c>
      <c r="AP1450" s="75" t="s">
        <v>83</v>
      </c>
      <c r="AQ1450" s="122">
        <v>1</v>
      </c>
      <c r="AR1450" s="515" t="s">
        <v>10</v>
      </c>
      <c r="AS1450" s="95">
        <v>0</v>
      </c>
      <c r="AT1450" s="75">
        <v>0</v>
      </c>
      <c r="AU1450" s="75">
        <v>0</v>
      </c>
      <c r="AV1450" s="75">
        <v>0</v>
      </c>
      <c r="AW1450" s="123">
        <v>0</v>
      </c>
      <c r="AX1450" s="516" t="s">
        <v>1579</v>
      </c>
      <c r="AY1450" s="75">
        <v>1</v>
      </c>
      <c r="AZ1450" s="77" t="s">
        <v>131</v>
      </c>
      <c r="BA1450" s="78" t="s">
        <v>131</v>
      </c>
      <c r="BB1450" s="78" t="s">
        <v>132</v>
      </c>
      <c r="BC1450" s="78" t="s">
        <v>131</v>
      </c>
      <c r="BD1450" s="78" t="s">
        <v>131</v>
      </c>
      <c r="BE1450" s="78" t="s">
        <v>131</v>
      </c>
      <c r="BF1450" s="78" t="s">
        <v>131</v>
      </c>
      <c r="BG1450" s="78" t="s">
        <v>131</v>
      </c>
      <c r="BH1450" s="75" t="s">
        <v>5970</v>
      </c>
      <c r="BI1450" s="295" t="s">
        <v>2227</v>
      </c>
      <c r="BJ1450" s="546">
        <v>1</v>
      </c>
      <c r="BK1450" s="294" t="s">
        <v>16</v>
      </c>
      <c r="BL1450" s="157" t="s">
        <v>16</v>
      </c>
      <c r="BM1450" s="548" t="s">
        <v>578</v>
      </c>
      <c r="BN1450" s="548" t="s">
        <v>4159</v>
      </c>
      <c r="BO1450" s="157" t="s">
        <v>4341</v>
      </c>
      <c r="BP1450" s="548" t="s">
        <v>4343</v>
      </c>
      <c r="BQ1450" s="157" t="s">
        <v>4309</v>
      </c>
      <c r="BR1450" s="157"/>
    </row>
    <row r="1451" spans="1:70" x14ac:dyDescent="0.25">
      <c r="A1451" s="19" t="s">
        <v>3686</v>
      </c>
      <c r="B1451" s="37" t="s">
        <v>1605</v>
      </c>
      <c r="C1451" s="90">
        <v>44760.639236111114</v>
      </c>
      <c r="D1451" s="114">
        <v>44760.389236111114</v>
      </c>
      <c r="E1451" s="38">
        <v>44760</v>
      </c>
      <c r="F1451" s="91">
        <v>2022</v>
      </c>
      <c r="G1451" s="93">
        <v>7</v>
      </c>
      <c r="H1451" s="37" t="s">
        <v>1433</v>
      </c>
      <c r="I1451" s="37" t="s">
        <v>337</v>
      </c>
      <c r="J1451" s="103">
        <v>-92.638044180434804</v>
      </c>
      <c r="K1451" s="40">
        <v>44.851852795150926</v>
      </c>
      <c r="L1451" s="74"/>
      <c r="M1451" s="272" t="s">
        <v>16</v>
      </c>
      <c r="N1451" s="74">
        <v>0</v>
      </c>
      <c r="O1451" s="94"/>
      <c r="P1451" s="118">
        <v>1</v>
      </c>
      <c r="Q1451" s="510">
        <v>120</v>
      </c>
      <c r="R1451" s="513">
        <v>120</v>
      </c>
      <c r="S1451" s="41"/>
      <c r="T1451" s="40"/>
      <c r="U1451" s="40">
        <v>8</v>
      </c>
      <c r="V1451" s="119">
        <v>1</v>
      </c>
      <c r="W1451" s="40">
        <v>0</v>
      </c>
      <c r="X1451" s="119">
        <v>1</v>
      </c>
      <c r="Y1451" s="40">
        <v>63</v>
      </c>
      <c r="Z1451" s="119">
        <v>1</v>
      </c>
      <c r="AA1451" s="368">
        <v>0</v>
      </c>
      <c r="AB1451" s="535">
        <v>5</v>
      </c>
      <c r="AC1451" s="39" t="s">
        <v>160</v>
      </c>
      <c r="AD1451" s="75" t="s">
        <v>365</v>
      </c>
      <c r="AE1451" s="95">
        <v>0</v>
      </c>
      <c r="AF1451" s="75">
        <v>1</v>
      </c>
      <c r="AG1451" s="75">
        <v>1</v>
      </c>
      <c r="AH1451" s="75">
        <v>0</v>
      </c>
      <c r="AI1451" s="75">
        <v>0</v>
      </c>
      <c r="AJ1451" s="75">
        <v>0</v>
      </c>
      <c r="AK1451" s="75">
        <v>0</v>
      </c>
      <c r="AL1451" s="95">
        <v>0</v>
      </c>
      <c r="AM1451" s="92">
        <v>0</v>
      </c>
      <c r="AN1451" s="79" t="s">
        <v>80</v>
      </c>
      <c r="AO1451" s="75">
        <v>1</v>
      </c>
      <c r="AP1451" s="75" t="s">
        <v>83</v>
      </c>
      <c r="AQ1451" s="122">
        <v>1</v>
      </c>
      <c r="AR1451" s="515" t="s">
        <v>10</v>
      </c>
      <c r="AS1451" s="95">
        <v>0</v>
      </c>
      <c r="AT1451" s="75">
        <v>0</v>
      </c>
      <c r="AU1451" s="75">
        <v>0</v>
      </c>
      <c r="AV1451" s="75">
        <v>0</v>
      </c>
      <c r="AW1451" s="123">
        <v>0</v>
      </c>
      <c r="AX1451" s="516" t="s">
        <v>1606</v>
      </c>
      <c r="AY1451" s="75">
        <v>1</v>
      </c>
      <c r="AZ1451" s="77" t="s">
        <v>131</v>
      </c>
      <c r="BA1451" s="78" t="s">
        <v>132</v>
      </c>
      <c r="BB1451" s="78" t="s">
        <v>132</v>
      </c>
      <c r="BC1451" s="78" t="s">
        <v>131</v>
      </c>
      <c r="BD1451" s="78" t="s">
        <v>131</v>
      </c>
      <c r="BE1451" s="78" t="s">
        <v>131</v>
      </c>
      <c r="BF1451" s="78" t="s">
        <v>131</v>
      </c>
      <c r="BG1451" s="78" t="s">
        <v>131</v>
      </c>
      <c r="BH1451" s="75" t="s">
        <v>5970</v>
      </c>
      <c r="BI1451" s="295" t="s">
        <v>2227</v>
      </c>
      <c r="BJ1451" s="546">
        <v>1</v>
      </c>
      <c r="BK1451" s="294">
        <v>1</v>
      </c>
      <c r="BL1451" s="157">
        <v>1</v>
      </c>
      <c r="BM1451" s="548" t="s">
        <v>578</v>
      </c>
      <c r="BN1451" s="548" t="s">
        <v>4159</v>
      </c>
      <c r="BO1451" s="157" t="s">
        <v>4341</v>
      </c>
      <c r="BP1451" s="548" t="s">
        <v>4343</v>
      </c>
      <c r="BQ1451" s="157" t="s">
        <v>4309</v>
      </c>
      <c r="BR1451" s="157"/>
    </row>
    <row r="1452" spans="1:70" x14ac:dyDescent="0.25">
      <c r="A1452" s="19" t="s">
        <v>3686</v>
      </c>
      <c r="B1452" s="37" t="s">
        <v>1607</v>
      </c>
      <c r="C1452" s="90">
        <v>44760.632650462961</v>
      </c>
      <c r="D1452" s="114">
        <v>44760.382650462961</v>
      </c>
      <c r="E1452" s="38">
        <v>44760</v>
      </c>
      <c r="F1452" s="91">
        <v>2022</v>
      </c>
      <c r="G1452" s="93">
        <v>7</v>
      </c>
      <c r="H1452" s="37" t="s">
        <v>1433</v>
      </c>
      <c r="I1452" s="37"/>
      <c r="J1452" s="103">
        <v>-92.638027248990383</v>
      </c>
      <c r="K1452" s="40">
        <v>44.851785237011363</v>
      </c>
      <c r="L1452" s="74"/>
      <c r="M1452" s="272" t="s">
        <v>16</v>
      </c>
      <c r="N1452" s="74">
        <v>0</v>
      </c>
      <c r="O1452" s="94"/>
      <c r="P1452" s="118">
        <v>0</v>
      </c>
      <c r="Q1452" s="510"/>
      <c r="R1452" s="513"/>
      <c r="S1452" s="41"/>
      <c r="T1452" s="40"/>
      <c r="U1452" s="40"/>
      <c r="V1452" s="119">
        <v>0</v>
      </c>
      <c r="W1452" s="40"/>
      <c r="X1452" s="119">
        <v>0</v>
      </c>
      <c r="Y1452" s="40"/>
      <c r="Z1452" s="119">
        <v>0</v>
      </c>
      <c r="AA1452" s="368" t="s">
        <v>16</v>
      </c>
      <c r="AB1452" s="535" t="s">
        <v>16</v>
      </c>
      <c r="AC1452" s="39" t="s">
        <v>160</v>
      </c>
      <c r="AD1452" s="75" t="s">
        <v>16</v>
      </c>
      <c r="AE1452" s="95">
        <v>-1</v>
      </c>
      <c r="AF1452" s="75">
        <v>-1</v>
      </c>
      <c r="AG1452" s="75">
        <v>-1</v>
      </c>
      <c r="AH1452" s="75">
        <v>-1</v>
      </c>
      <c r="AI1452" s="75">
        <v>-1</v>
      </c>
      <c r="AJ1452" s="75">
        <v>-1</v>
      </c>
      <c r="AK1452" s="75">
        <v>-1</v>
      </c>
      <c r="AL1452" s="95">
        <v>-1</v>
      </c>
      <c r="AM1452" s="92">
        <v>1</v>
      </c>
      <c r="AN1452" s="79"/>
      <c r="AO1452" s="75">
        <v>0</v>
      </c>
      <c r="AP1452" s="75"/>
      <c r="AQ1452" s="122">
        <v>0</v>
      </c>
      <c r="AR1452" s="515" t="s">
        <v>16</v>
      </c>
      <c r="AS1452" s="95">
        <v>-1</v>
      </c>
      <c r="AT1452" s="75">
        <v>-1</v>
      </c>
      <c r="AU1452" s="75">
        <v>-1</v>
      </c>
      <c r="AV1452" s="75">
        <v>-1</v>
      </c>
      <c r="AW1452" s="123">
        <v>1</v>
      </c>
      <c r="AX1452" s="516"/>
      <c r="AY1452" s="75">
        <v>0</v>
      </c>
      <c r="AZ1452" s="77" t="s">
        <v>5971</v>
      </c>
      <c r="BA1452" s="78" t="s">
        <v>5971</v>
      </c>
      <c r="BB1452" s="78" t="s">
        <v>5971</v>
      </c>
      <c r="BC1452" s="78" t="s">
        <v>5971</v>
      </c>
      <c r="BD1452" s="78" t="s">
        <v>5971</v>
      </c>
      <c r="BE1452" s="78" t="s">
        <v>5971</v>
      </c>
      <c r="BF1452" s="78" t="s">
        <v>5971</v>
      </c>
      <c r="BG1452" s="78" t="s">
        <v>5971</v>
      </c>
      <c r="BH1452" s="75" t="s">
        <v>5971</v>
      </c>
      <c r="BI1452" s="295" t="s">
        <v>2227</v>
      </c>
      <c r="BJ1452" s="546">
        <v>1</v>
      </c>
      <c r="BK1452" s="294">
        <v>1</v>
      </c>
      <c r="BL1452" s="157">
        <v>1</v>
      </c>
      <c r="BM1452" s="548" t="s">
        <v>578</v>
      </c>
      <c r="BN1452" s="548" t="s">
        <v>4159</v>
      </c>
      <c r="BO1452" s="157" t="s">
        <v>4341</v>
      </c>
      <c r="BP1452" s="548" t="s">
        <v>4343</v>
      </c>
      <c r="BQ1452" s="157" t="s">
        <v>4309</v>
      </c>
      <c r="BR1452" s="157"/>
    </row>
    <row r="1453" spans="1:70" x14ac:dyDescent="0.25">
      <c r="A1453" s="19" t="s">
        <v>3686</v>
      </c>
      <c r="B1453" s="37" t="s">
        <v>1608</v>
      </c>
      <c r="C1453" s="90">
        <v>44760.61445601852</v>
      </c>
      <c r="D1453" s="114">
        <v>44760.36445601852</v>
      </c>
      <c r="E1453" s="38">
        <v>44760</v>
      </c>
      <c r="F1453" s="91">
        <v>2022</v>
      </c>
      <c r="G1453" s="93">
        <v>7</v>
      </c>
      <c r="H1453" s="37" t="s">
        <v>1491</v>
      </c>
      <c r="I1453" s="37" t="s">
        <v>16</v>
      </c>
      <c r="J1453" s="103">
        <v>-92.624245299999998</v>
      </c>
      <c r="K1453" s="40">
        <v>44.864085199999998</v>
      </c>
      <c r="L1453" s="74"/>
      <c r="M1453" s="272" t="s">
        <v>16</v>
      </c>
      <c r="N1453" s="74">
        <v>0</v>
      </c>
      <c r="O1453" s="94"/>
      <c r="P1453" s="118">
        <v>1</v>
      </c>
      <c r="Q1453" s="510">
        <v>80</v>
      </c>
      <c r="R1453" s="513">
        <v>120</v>
      </c>
      <c r="S1453" s="41"/>
      <c r="T1453" s="40"/>
      <c r="U1453" s="40">
        <v>8</v>
      </c>
      <c r="V1453" s="119">
        <v>1</v>
      </c>
      <c r="W1453" s="40">
        <v>0</v>
      </c>
      <c r="X1453" s="119">
        <v>1</v>
      </c>
      <c r="Y1453" s="40">
        <v>60</v>
      </c>
      <c r="Z1453" s="119">
        <v>1</v>
      </c>
      <c r="AA1453" s="368">
        <v>0</v>
      </c>
      <c r="AB1453" s="535">
        <v>5</v>
      </c>
      <c r="AC1453" s="39" t="s">
        <v>160</v>
      </c>
      <c r="AD1453" s="75" t="s">
        <v>355</v>
      </c>
      <c r="AE1453" s="95">
        <v>0</v>
      </c>
      <c r="AF1453" s="75">
        <v>0</v>
      </c>
      <c r="AG1453" s="75">
        <v>0</v>
      </c>
      <c r="AH1453" s="75">
        <v>1</v>
      </c>
      <c r="AI1453" s="75">
        <v>0</v>
      </c>
      <c r="AJ1453" s="75">
        <v>0</v>
      </c>
      <c r="AK1453" s="75">
        <v>0</v>
      </c>
      <c r="AL1453" s="95">
        <v>0</v>
      </c>
      <c r="AM1453" s="92">
        <v>0</v>
      </c>
      <c r="AN1453" s="79" t="s">
        <v>80</v>
      </c>
      <c r="AO1453" s="75">
        <v>1</v>
      </c>
      <c r="AP1453" s="75" t="s">
        <v>83</v>
      </c>
      <c r="AQ1453" s="122">
        <v>1</v>
      </c>
      <c r="AR1453" s="515" t="s">
        <v>10</v>
      </c>
      <c r="AS1453" s="95">
        <v>0</v>
      </c>
      <c r="AT1453" s="75">
        <v>0</v>
      </c>
      <c r="AU1453" s="75">
        <v>0</v>
      </c>
      <c r="AV1453" s="75">
        <v>0</v>
      </c>
      <c r="AW1453" s="123">
        <v>0</v>
      </c>
      <c r="AX1453" s="516" t="s">
        <v>1609</v>
      </c>
      <c r="AY1453" s="75">
        <v>1</v>
      </c>
      <c r="AZ1453" s="77" t="s">
        <v>131</v>
      </c>
      <c r="BA1453" s="78" t="s">
        <v>131</v>
      </c>
      <c r="BB1453" s="78" t="s">
        <v>131</v>
      </c>
      <c r="BC1453" s="78" t="s">
        <v>132</v>
      </c>
      <c r="BD1453" s="78" t="s">
        <v>131</v>
      </c>
      <c r="BE1453" s="78" t="s">
        <v>131</v>
      </c>
      <c r="BF1453" s="78" t="s">
        <v>131</v>
      </c>
      <c r="BG1453" s="78" t="s">
        <v>131</v>
      </c>
      <c r="BH1453" s="75" t="s">
        <v>5970</v>
      </c>
      <c r="BI1453" s="295" t="s">
        <v>2227</v>
      </c>
      <c r="BJ1453" s="546">
        <v>1</v>
      </c>
      <c r="BK1453" s="294" t="s">
        <v>16</v>
      </c>
      <c r="BL1453" s="157" t="s">
        <v>16</v>
      </c>
      <c r="BM1453" s="548" t="s">
        <v>578</v>
      </c>
      <c r="BN1453" s="548" t="s">
        <v>4159</v>
      </c>
      <c r="BO1453" s="157" t="s">
        <v>4311</v>
      </c>
      <c r="BP1453" s="548" t="s">
        <v>4395</v>
      </c>
      <c r="BQ1453" s="157" t="s">
        <v>4309</v>
      </c>
      <c r="BR1453" s="157"/>
    </row>
    <row r="1454" spans="1:70" x14ac:dyDescent="0.25">
      <c r="A1454" s="19" t="s">
        <v>3686</v>
      </c>
      <c r="B1454" s="37" t="s">
        <v>1610</v>
      </c>
      <c r="C1454" s="90">
        <v>44760.596608796295</v>
      </c>
      <c r="D1454" s="114">
        <v>44760.346608796295</v>
      </c>
      <c r="E1454" s="38">
        <v>44760</v>
      </c>
      <c r="F1454" s="91">
        <v>2022</v>
      </c>
      <c r="G1454" s="93">
        <v>7</v>
      </c>
      <c r="H1454" s="37" t="s">
        <v>1433</v>
      </c>
      <c r="I1454" s="37"/>
      <c r="J1454" s="103">
        <v>-92.621332760986519</v>
      </c>
      <c r="K1454" s="40">
        <v>44.875113288913738</v>
      </c>
      <c r="L1454" s="74"/>
      <c r="M1454" s="272" t="s">
        <v>16</v>
      </c>
      <c r="N1454" s="74">
        <v>0</v>
      </c>
      <c r="O1454" s="94"/>
      <c r="P1454" s="118">
        <v>1</v>
      </c>
      <c r="Q1454" s="510">
        <v>80</v>
      </c>
      <c r="R1454" s="513">
        <v>120</v>
      </c>
      <c r="S1454" s="41"/>
      <c r="T1454" s="40"/>
      <c r="U1454" s="40">
        <v>7.5</v>
      </c>
      <c r="V1454" s="119">
        <v>1</v>
      </c>
      <c r="W1454" s="40">
        <v>100</v>
      </c>
      <c r="X1454" s="119">
        <v>1</v>
      </c>
      <c r="Y1454" s="40">
        <v>59</v>
      </c>
      <c r="Z1454" s="119">
        <v>1</v>
      </c>
      <c r="AA1454" s="368">
        <v>0</v>
      </c>
      <c r="AB1454" s="535">
        <v>10</v>
      </c>
      <c r="AC1454" s="39" t="s">
        <v>160</v>
      </c>
      <c r="AD1454" s="75" t="s">
        <v>10</v>
      </c>
      <c r="AE1454" s="95">
        <v>0</v>
      </c>
      <c r="AF1454" s="75">
        <v>0</v>
      </c>
      <c r="AG1454" s="75">
        <v>0</v>
      </c>
      <c r="AH1454" s="75">
        <v>0</v>
      </c>
      <c r="AI1454" s="75">
        <v>0</v>
      </c>
      <c r="AJ1454" s="75">
        <v>0</v>
      </c>
      <c r="AK1454" s="75">
        <v>0</v>
      </c>
      <c r="AL1454" s="95">
        <v>1</v>
      </c>
      <c r="AM1454" s="92">
        <v>0</v>
      </c>
      <c r="AN1454" s="79" t="s">
        <v>80</v>
      </c>
      <c r="AO1454" s="75">
        <v>1</v>
      </c>
      <c r="AP1454" s="75" t="s">
        <v>83</v>
      </c>
      <c r="AQ1454" s="122">
        <v>1</v>
      </c>
      <c r="AR1454" s="515" t="s">
        <v>10</v>
      </c>
      <c r="AS1454" s="95">
        <v>0</v>
      </c>
      <c r="AT1454" s="75">
        <v>0</v>
      </c>
      <c r="AU1454" s="75">
        <v>0</v>
      </c>
      <c r="AV1454" s="75">
        <v>0</v>
      </c>
      <c r="AW1454" s="123">
        <v>0</v>
      </c>
      <c r="AX1454" s="516" t="s">
        <v>1611</v>
      </c>
      <c r="AY1454" s="75">
        <v>1</v>
      </c>
      <c r="AZ1454" s="77" t="s">
        <v>131</v>
      </c>
      <c r="BA1454" s="78" t="s">
        <v>131</v>
      </c>
      <c r="BB1454" s="78" t="s">
        <v>131</v>
      </c>
      <c r="BC1454" s="78" t="s">
        <v>131</v>
      </c>
      <c r="BD1454" s="78" t="s">
        <v>131</v>
      </c>
      <c r="BE1454" s="78" t="s">
        <v>131</v>
      </c>
      <c r="BF1454" s="78" t="s">
        <v>131</v>
      </c>
      <c r="BG1454" s="78" t="s">
        <v>132</v>
      </c>
      <c r="BH1454" s="75" t="s">
        <v>5970</v>
      </c>
      <c r="BI1454" s="295" t="s">
        <v>2227</v>
      </c>
      <c r="BJ1454" s="546">
        <v>1</v>
      </c>
      <c r="BK1454" s="294" t="s">
        <v>16</v>
      </c>
      <c r="BL1454" s="157" t="s">
        <v>16</v>
      </c>
      <c r="BM1454" s="548" t="s">
        <v>578</v>
      </c>
      <c r="BN1454" s="548" t="s">
        <v>4159</v>
      </c>
      <c r="BO1454" s="157" t="s">
        <v>4311</v>
      </c>
      <c r="BP1454" s="548" t="s">
        <v>4395</v>
      </c>
      <c r="BQ1454" s="157" t="s">
        <v>4309</v>
      </c>
      <c r="BR1454" s="157"/>
    </row>
    <row r="1455" spans="1:70" x14ac:dyDescent="0.25">
      <c r="A1455" s="19" t="s">
        <v>3686</v>
      </c>
      <c r="B1455" s="37" t="s">
        <v>1612</v>
      </c>
      <c r="C1455" s="90">
        <v>44759.026944444442</v>
      </c>
      <c r="D1455" s="114">
        <v>44758.776944444442</v>
      </c>
      <c r="E1455" s="38">
        <v>44758</v>
      </c>
      <c r="F1455" s="91">
        <v>2022</v>
      </c>
      <c r="G1455" s="93">
        <v>7</v>
      </c>
      <c r="H1455" s="37" t="s">
        <v>1613</v>
      </c>
      <c r="I1455" s="37" t="s">
        <v>1452</v>
      </c>
      <c r="J1455" s="103">
        <v>-92.929698502367117</v>
      </c>
      <c r="K1455" s="40">
        <v>44.37065754396788</v>
      </c>
      <c r="L1455" s="74"/>
      <c r="M1455" s="272" t="s">
        <v>1614</v>
      </c>
      <c r="N1455" s="74">
        <v>1</v>
      </c>
      <c r="O1455" s="94"/>
      <c r="P1455" s="118">
        <v>1</v>
      </c>
      <c r="Q1455" s="510">
        <v>80</v>
      </c>
      <c r="R1455" s="513">
        <v>180</v>
      </c>
      <c r="S1455" s="41"/>
      <c r="T1455" s="40"/>
      <c r="U1455" s="40">
        <v>8</v>
      </c>
      <c r="V1455" s="119">
        <v>1</v>
      </c>
      <c r="W1455" s="40">
        <v>0</v>
      </c>
      <c r="X1455" s="119">
        <v>1</v>
      </c>
      <c r="Y1455" s="40">
        <v>78</v>
      </c>
      <c r="Z1455" s="119">
        <v>1</v>
      </c>
      <c r="AA1455" s="368">
        <v>0</v>
      </c>
      <c r="AB1455" s="535">
        <v>0</v>
      </c>
      <c r="AC1455" s="39" t="s">
        <v>160</v>
      </c>
      <c r="AD1455" s="75" t="s">
        <v>365</v>
      </c>
      <c r="AE1455" s="95">
        <v>0</v>
      </c>
      <c r="AF1455" s="75">
        <v>1</v>
      </c>
      <c r="AG1455" s="75">
        <v>1</v>
      </c>
      <c r="AH1455" s="75">
        <v>0</v>
      </c>
      <c r="AI1455" s="75">
        <v>0</v>
      </c>
      <c r="AJ1455" s="75">
        <v>0</v>
      </c>
      <c r="AK1455" s="75">
        <v>0</v>
      </c>
      <c r="AL1455" s="95">
        <v>0</v>
      </c>
      <c r="AM1455" s="92">
        <v>0</v>
      </c>
      <c r="AN1455" s="79" t="s">
        <v>80</v>
      </c>
      <c r="AO1455" s="75">
        <v>1</v>
      </c>
      <c r="AP1455" s="75" t="s">
        <v>83</v>
      </c>
      <c r="AQ1455" s="122">
        <v>1</v>
      </c>
      <c r="AR1455" s="515" t="s">
        <v>10</v>
      </c>
      <c r="AS1455" s="95">
        <v>0</v>
      </c>
      <c r="AT1455" s="75">
        <v>0</v>
      </c>
      <c r="AU1455" s="75">
        <v>0</v>
      </c>
      <c r="AV1455" s="75">
        <v>0</v>
      </c>
      <c r="AW1455" s="123">
        <v>0</v>
      </c>
      <c r="AX1455" s="516"/>
      <c r="AY1455" s="75">
        <v>0</v>
      </c>
      <c r="AZ1455" s="77" t="s">
        <v>131</v>
      </c>
      <c r="BA1455" s="78" t="s">
        <v>132</v>
      </c>
      <c r="BB1455" s="78" t="s">
        <v>132</v>
      </c>
      <c r="BC1455" s="78" t="s">
        <v>131</v>
      </c>
      <c r="BD1455" s="78" t="s">
        <v>131</v>
      </c>
      <c r="BE1455" s="78" t="s">
        <v>131</v>
      </c>
      <c r="BF1455" s="78" t="s">
        <v>131</v>
      </c>
      <c r="BG1455" s="78" t="s">
        <v>131</v>
      </c>
      <c r="BH1455" s="75" t="s">
        <v>5970</v>
      </c>
      <c r="BI1455" s="295" t="s">
        <v>2253</v>
      </c>
      <c r="BJ1455" s="546">
        <v>1</v>
      </c>
      <c r="BK1455" s="294" t="s">
        <v>16</v>
      </c>
      <c r="BL1455" s="157" t="s">
        <v>16</v>
      </c>
      <c r="BM1455" s="548" t="s">
        <v>2343</v>
      </c>
      <c r="BN1455" s="548" t="s">
        <v>4161</v>
      </c>
      <c r="BO1455" s="157" t="s">
        <v>4295</v>
      </c>
      <c r="BP1455" s="548" t="s">
        <v>4296</v>
      </c>
      <c r="BQ1455" s="157" t="s">
        <v>4294</v>
      </c>
      <c r="BR1455" s="157"/>
    </row>
    <row r="1456" spans="1:70" x14ac:dyDescent="0.25">
      <c r="A1456" s="19" t="s">
        <v>3686</v>
      </c>
      <c r="B1456" s="37" t="s">
        <v>1615</v>
      </c>
      <c r="C1456" s="90">
        <v>44758.8984375</v>
      </c>
      <c r="D1456" s="114">
        <v>44758.6484375</v>
      </c>
      <c r="E1456" s="38">
        <v>44758</v>
      </c>
      <c r="F1456" s="91">
        <v>2022</v>
      </c>
      <c r="G1456" s="93">
        <v>7</v>
      </c>
      <c r="H1456" s="37" t="s">
        <v>1616</v>
      </c>
      <c r="I1456" s="37" t="s">
        <v>1212</v>
      </c>
      <c r="J1456" s="103">
        <v>-92.236440200000004</v>
      </c>
      <c r="K1456" s="40">
        <v>44.840188599999998</v>
      </c>
      <c r="L1456" s="74"/>
      <c r="M1456" s="272" t="s">
        <v>1617</v>
      </c>
      <c r="N1456" s="74">
        <v>1</v>
      </c>
      <c r="O1456" s="94"/>
      <c r="P1456" s="118">
        <v>1</v>
      </c>
      <c r="Q1456" s="510">
        <v>80</v>
      </c>
      <c r="R1456" s="513">
        <v>120</v>
      </c>
      <c r="S1456" s="41"/>
      <c r="T1456" s="40"/>
      <c r="U1456" s="40">
        <v>7.5</v>
      </c>
      <c r="V1456" s="119">
        <v>0</v>
      </c>
      <c r="W1456" s="40"/>
      <c r="X1456" s="119">
        <v>1</v>
      </c>
      <c r="Y1456" s="40">
        <v>73</v>
      </c>
      <c r="Z1456" s="119">
        <v>1</v>
      </c>
      <c r="AA1456" s="368">
        <v>0</v>
      </c>
      <c r="AB1456" s="535">
        <v>0</v>
      </c>
      <c r="AC1456" s="39" t="s">
        <v>160</v>
      </c>
      <c r="AD1456" s="75" t="s">
        <v>10</v>
      </c>
      <c r="AE1456" s="95">
        <v>0</v>
      </c>
      <c r="AF1456" s="75">
        <v>0</v>
      </c>
      <c r="AG1456" s="75">
        <v>0</v>
      </c>
      <c r="AH1456" s="75">
        <v>0</v>
      </c>
      <c r="AI1456" s="75">
        <v>0</v>
      </c>
      <c r="AJ1456" s="75">
        <v>0</v>
      </c>
      <c r="AK1456" s="75">
        <v>0</v>
      </c>
      <c r="AL1456" s="95">
        <v>1</v>
      </c>
      <c r="AM1456" s="92">
        <v>0</v>
      </c>
      <c r="AN1456" s="79" t="s">
        <v>80</v>
      </c>
      <c r="AO1456" s="75">
        <v>1</v>
      </c>
      <c r="AP1456" s="75" t="s">
        <v>83</v>
      </c>
      <c r="AQ1456" s="122">
        <v>1</v>
      </c>
      <c r="AR1456" s="515" t="s">
        <v>10</v>
      </c>
      <c r="AS1456" s="95">
        <v>0</v>
      </c>
      <c r="AT1456" s="75">
        <v>0</v>
      </c>
      <c r="AU1456" s="75">
        <v>0</v>
      </c>
      <c r="AV1456" s="75">
        <v>0</v>
      </c>
      <c r="AW1456" s="123">
        <v>0</v>
      </c>
      <c r="AX1456" s="516" t="s">
        <v>1618</v>
      </c>
      <c r="AY1456" s="75">
        <v>1</v>
      </c>
      <c r="AZ1456" s="77" t="s">
        <v>131</v>
      </c>
      <c r="BA1456" s="78" t="s">
        <v>131</v>
      </c>
      <c r="BB1456" s="78" t="s">
        <v>131</v>
      </c>
      <c r="BC1456" s="78" t="s">
        <v>131</v>
      </c>
      <c r="BD1456" s="78" t="s">
        <v>131</v>
      </c>
      <c r="BE1456" s="78" t="s">
        <v>131</v>
      </c>
      <c r="BF1456" s="78" t="s">
        <v>131</v>
      </c>
      <c r="BG1456" s="78" t="s">
        <v>132</v>
      </c>
      <c r="BH1456" s="75" t="s">
        <v>5970</v>
      </c>
      <c r="BI1456" s="295" t="s">
        <v>2247</v>
      </c>
      <c r="BJ1456" s="546">
        <v>1</v>
      </c>
      <c r="BK1456" s="294">
        <v>1</v>
      </c>
      <c r="BL1456" s="157">
        <v>1</v>
      </c>
      <c r="BM1456" s="548" t="s">
        <v>578</v>
      </c>
      <c r="BN1456" s="548" t="s">
        <v>578</v>
      </c>
      <c r="BO1456" s="157" t="s">
        <v>4318</v>
      </c>
      <c r="BP1456" s="548" t="s">
        <v>4439</v>
      </c>
      <c r="BQ1456" s="157" t="s">
        <v>4316</v>
      </c>
      <c r="BR1456" s="157"/>
    </row>
    <row r="1457" spans="1:70" x14ac:dyDescent="0.25">
      <c r="A1457" s="19" t="s">
        <v>3686</v>
      </c>
      <c r="B1457" s="37" t="s">
        <v>1619</v>
      </c>
      <c r="C1457" s="90">
        <v>44756.788773148146</v>
      </c>
      <c r="D1457" s="114">
        <v>44756.538773148146</v>
      </c>
      <c r="E1457" s="38">
        <v>44756</v>
      </c>
      <c r="F1457" s="91">
        <v>2022</v>
      </c>
      <c r="G1457" s="93">
        <v>7</v>
      </c>
      <c r="H1457" s="37" t="s">
        <v>624</v>
      </c>
      <c r="I1457" s="37" t="s">
        <v>16</v>
      </c>
      <c r="J1457" s="103">
        <v>-92.340234590057875</v>
      </c>
      <c r="K1457" s="40">
        <v>44.75581178547786</v>
      </c>
      <c r="L1457" s="74"/>
      <c r="M1457" s="272" t="s">
        <v>16</v>
      </c>
      <c r="N1457" s="74">
        <v>0</v>
      </c>
      <c r="O1457" s="94"/>
      <c r="P1457" s="118">
        <v>1</v>
      </c>
      <c r="Q1457" s="510">
        <v>180</v>
      </c>
      <c r="R1457" s="513">
        <v>180</v>
      </c>
      <c r="S1457" s="41"/>
      <c r="T1457" s="40"/>
      <c r="U1457" s="40">
        <v>8</v>
      </c>
      <c r="V1457" s="119">
        <v>0</v>
      </c>
      <c r="W1457" s="40"/>
      <c r="X1457" s="119">
        <v>0</v>
      </c>
      <c r="Y1457" s="40"/>
      <c r="Z1457" s="119">
        <v>1</v>
      </c>
      <c r="AA1457" s="368">
        <v>0</v>
      </c>
      <c r="AB1457" s="535">
        <v>5</v>
      </c>
      <c r="AC1457" s="39" t="s">
        <v>160</v>
      </c>
      <c r="AD1457" s="75" t="s">
        <v>10</v>
      </c>
      <c r="AE1457" s="95">
        <v>0</v>
      </c>
      <c r="AF1457" s="75">
        <v>0</v>
      </c>
      <c r="AG1457" s="75">
        <v>0</v>
      </c>
      <c r="AH1457" s="75">
        <v>0</v>
      </c>
      <c r="AI1457" s="75">
        <v>0</v>
      </c>
      <c r="AJ1457" s="75">
        <v>0</v>
      </c>
      <c r="AK1457" s="75">
        <v>0</v>
      </c>
      <c r="AL1457" s="95">
        <v>1</v>
      </c>
      <c r="AM1457" s="92">
        <v>0</v>
      </c>
      <c r="AN1457" s="79" t="s">
        <v>80</v>
      </c>
      <c r="AO1457" s="75">
        <v>1</v>
      </c>
      <c r="AP1457" s="75" t="s">
        <v>83</v>
      </c>
      <c r="AQ1457" s="122">
        <v>1</v>
      </c>
      <c r="AR1457" s="515" t="s">
        <v>10</v>
      </c>
      <c r="AS1457" s="95">
        <v>0</v>
      </c>
      <c r="AT1457" s="75">
        <v>0</v>
      </c>
      <c r="AU1457" s="75">
        <v>0</v>
      </c>
      <c r="AV1457" s="75">
        <v>0</v>
      </c>
      <c r="AW1457" s="123">
        <v>0</v>
      </c>
      <c r="AX1457" s="516"/>
      <c r="AY1457" s="75">
        <v>0</v>
      </c>
      <c r="AZ1457" s="77" t="s">
        <v>131</v>
      </c>
      <c r="BA1457" s="78" t="s">
        <v>131</v>
      </c>
      <c r="BB1457" s="78" t="s">
        <v>131</v>
      </c>
      <c r="BC1457" s="78" t="s">
        <v>131</v>
      </c>
      <c r="BD1457" s="78" t="s">
        <v>131</v>
      </c>
      <c r="BE1457" s="78" t="s">
        <v>131</v>
      </c>
      <c r="BF1457" s="78" t="s">
        <v>131</v>
      </c>
      <c r="BG1457" s="78" t="s">
        <v>132</v>
      </c>
      <c r="BH1457" s="75" t="s">
        <v>5970</v>
      </c>
      <c r="BI1457" s="295" t="s">
        <v>2231</v>
      </c>
      <c r="BJ1457" s="546">
        <v>1</v>
      </c>
      <c r="BK1457" s="294">
        <v>1</v>
      </c>
      <c r="BL1457" s="157">
        <v>1</v>
      </c>
      <c r="BM1457" s="548" t="s">
        <v>578</v>
      </c>
      <c r="BN1457" s="548" t="s">
        <v>4161</v>
      </c>
      <c r="BO1457" s="157" t="s">
        <v>4213</v>
      </c>
      <c r="BP1457" s="548" t="s">
        <v>4216</v>
      </c>
      <c r="BQ1457" s="157" t="s">
        <v>4212</v>
      </c>
      <c r="BR1457" s="157"/>
    </row>
    <row r="1458" spans="1:70" x14ac:dyDescent="0.25">
      <c r="A1458" s="19" t="s">
        <v>3686</v>
      </c>
      <c r="B1458" s="37" t="s">
        <v>1620</v>
      </c>
      <c r="C1458" s="90">
        <v>44756.787731481483</v>
      </c>
      <c r="D1458" s="114">
        <v>44756.537731481483</v>
      </c>
      <c r="E1458" s="38">
        <v>44756</v>
      </c>
      <c r="F1458" s="91">
        <v>2022</v>
      </c>
      <c r="G1458" s="93">
        <v>7</v>
      </c>
      <c r="H1458" s="37" t="s">
        <v>1425</v>
      </c>
      <c r="I1458" s="37"/>
      <c r="J1458" s="103">
        <v>-92.634012807890699</v>
      </c>
      <c r="K1458" s="40">
        <v>44.854800555068245</v>
      </c>
      <c r="L1458" s="74"/>
      <c r="M1458" s="272" t="s">
        <v>1621</v>
      </c>
      <c r="N1458" s="74">
        <v>1</v>
      </c>
      <c r="O1458" s="94"/>
      <c r="P1458" s="118">
        <v>1</v>
      </c>
      <c r="Q1458" s="510">
        <v>180</v>
      </c>
      <c r="R1458" s="513">
        <v>180</v>
      </c>
      <c r="S1458" s="41"/>
      <c r="T1458" s="40"/>
      <c r="U1458" s="40">
        <v>8</v>
      </c>
      <c r="V1458" s="119">
        <v>1</v>
      </c>
      <c r="W1458" s="40">
        <v>0</v>
      </c>
      <c r="X1458" s="119">
        <v>1</v>
      </c>
      <c r="Y1458" s="40">
        <v>67</v>
      </c>
      <c r="Z1458" s="119">
        <v>1</v>
      </c>
      <c r="AA1458" s="368">
        <v>0</v>
      </c>
      <c r="AB1458" s="535">
        <v>2</v>
      </c>
      <c r="AC1458" s="39" t="s">
        <v>160</v>
      </c>
      <c r="AD1458" s="75" t="s">
        <v>1622</v>
      </c>
      <c r="AE1458" s="95">
        <v>1</v>
      </c>
      <c r="AF1458" s="75">
        <v>1</v>
      </c>
      <c r="AG1458" s="75">
        <v>0</v>
      </c>
      <c r="AH1458" s="75">
        <v>0</v>
      </c>
      <c r="AI1458" s="75">
        <v>0</v>
      </c>
      <c r="AJ1458" s="75">
        <v>0</v>
      </c>
      <c r="AK1458" s="75">
        <v>0</v>
      </c>
      <c r="AL1458" s="95">
        <v>0</v>
      </c>
      <c r="AM1458" s="92">
        <v>0</v>
      </c>
      <c r="AN1458" s="79" t="s">
        <v>80</v>
      </c>
      <c r="AO1458" s="75">
        <v>1</v>
      </c>
      <c r="AP1458" s="75" t="s">
        <v>83</v>
      </c>
      <c r="AQ1458" s="122">
        <v>1</v>
      </c>
      <c r="AR1458" s="515" t="s">
        <v>10</v>
      </c>
      <c r="AS1458" s="95">
        <v>0</v>
      </c>
      <c r="AT1458" s="75">
        <v>0</v>
      </c>
      <c r="AU1458" s="75">
        <v>0</v>
      </c>
      <c r="AV1458" s="75">
        <v>0</v>
      </c>
      <c r="AW1458" s="123">
        <v>0</v>
      </c>
      <c r="AX1458" s="516" t="s">
        <v>1582</v>
      </c>
      <c r="AY1458" s="75">
        <v>1</v>
      </c>
      <c r="AZ1458" s="77" t="s">
        <v>132</v>
      </c>
      <c r="BA1458" s="78" t="s">
        <v>132</v>
      </c>
      <c r="BB1458" s="78" t="s">
        <v>131</v>
      </c>
      <c r="BC1458" s="78" t="s">
        <v>131</v>
      </c>
      <c r="BD1458" s="78" t="s">
        <v>131</v>
      </c>
      <c r="BE1458" s="78" t="s">
        <v>131</v>
      </c>
      <c r="BF1458" s="78" t="s">
        <v>131</v>
      </c>
      <c r="BG1458" s="78" t="s">
        <v>131</v>
      </c>
      <c r="BH1458" s="75" t="s">
        <v>5970</v>
      </c>
      <c r="BI1458" s="295" t="s">
        <v>2227</v>
      </c>
      <c r="BJ1458" s="546">
        <v>1</v>
      </c>
      <c r="BK1458" s="294">
        <v>1</v>
      </c>
      <c r="BL1458" s="157">
        <v>1</v>
      </c>
      <c r="BM1458" s="548" t="s">
        <v>578</v>
      </c>
      <c r="BN1458" s="548" t="s">
        <v>4159</v>
      </c>
      <c r="BO1458" s="157" t="s">
        <v>4310</v>
      </c>
      <c r="BP1458" s="548" t="s">
        <v>2226</v>
      </c>
      <c r="BQ1458" s="157" t="s">
        <v>4309</v>
      </c>
      <c r="BR1458" s="157"/>
    </row>
    <row r="1459" spans="1:70" x14ac:dyDescent="0.25">
      <c r="A1459" s="19" t="s">
        <v>3686</v>
      </c>
      <c r="B1459" s="37" t="s">
        <v>1623</v>
      </c>
      <c r="C1459" s="90">
        <v>44756.758611111109</v>
      </c>
      <c r="D1459" s="114">
        <v>44756.508611111109</v>
      </c>
      <c r="E1459" s="38">
        <v>44756</v>
      </c>
      <c r="F1459" s="91">
        <v>2022</v>
      </c>
      <c r="G1459" s="93">
        <v>7</v>
      </c>
      <c r="H1459" s="37" t="s">
        <v>1425</v>
      </c>
      <c r="I1459" s="37"/>
      <c r="J1459" s="103">
        <v>-92.622461694221727</v>
      </c>
      <c r="K1459" s="40">
        <v>44.850211915932846</v>
      </c>
      <c r="L1459" s="74"/>
      <c r="M1459" s="272" t="s">
        <v>1624</v>
      </c>
      <c r="N1459" s="74">
        <v>1</v>
      </c>
      <c r="O1459" s="94"/>
      <c r="P1459" s="118">
        <v>1</v>
      </c>
      <c r="Q1459" s="510">
        <v>180</v>
      </c>
      <c r="R1459" s="513">
        <v>180</v>
      </c>
      <c r="S1459" s="41"/>
      <c r="T1459" s="40"/>
      <c r="U1459" s="40">
        <v>8</v>
      </c>
      <c r="V1459" s="119">
        <v>1</v>
      </c>
      <c r="W1459" s="40">
        <v>0</v>
      </c>
      <c r="X1459" s="119">
        <v>1</v>
      </c>
      <c r="Y1459" s="40">
        <v>63</v>
      </c>
      <c r="Z1459" s="119">
        <v>1</v>
      </c>
      <c r="AA1459" s="368">
        <v>0</v>
      </c>
      <c r="AB1459" s="535">
        <v>2</v>
      </c>
      <c r="AC1459" s="39" t="s">
        <v>160</v>
      </c>
      <c r="AD1459" s="75" t="s">
        <v>8</v>
      </c>
      <c r="AE1459" s="95">
        <v>0</v>
      </c>
      <c r="AF1459" s="75">
        <v>1</v>
      </c>
      <c r="AG1459" s="75">
        <v>0</v>
      </c>
      <c r="AH1459" s="75">
        <v>0</v>
      </c>
      <c r="AI1459" s="75">
        <v>0</v>
      </c>
      <c r="AJ1459" s="75">
        <v>0</v>
      </c>
      <c r="AK1459" s="75">
        <v>0</v>
      </c>
      <c r="AL1459" s="95">
        <v>0</v>
      </c>
      <c r="AM1459" s="92">
        <v>0</v>
      </c>
      <c r="AN1459" s="79" t="s">
        <v>80</v>
      </c>
      <c r="AO1459" s="75">
        <v>1</v>
      </c>
      <c r="AP1459" s="75" t="s">
        <v>83</v>
      </c>
      <c r="AQ1459" s="122">
        <v>1</v>
      </c>
      <c r="AR1459" s="515" t="s">
        <v>10</v>
      </c>
      <c r="AS1459" s="95">
        <v>0</v>
      </c>
      <c r="AT1459" s="75">
        <v>0</v>
      </c>
      <c r="AU1459" s="75">
        <v>0</v>
      </c>
      <c r="AV1459" s="75">
        <v>0</v>
      </c>
      <c r="AW1459" s="123">
        <v>0</v>
      </c>
      <c r="AX1459" s="516" t="s">
        <v>1582</v>
      </c>
      <c r="AY1459" s="75">
        <v>1</v>
      </c>
      <c r="AZ1459" s="77" t="s">
        <v>131</v>
      </c>
      <c r="BA1459" s="78" t="s">
        <v>132</v>
      </c>
      <c r="BB1459" s="78" t="s">
        <v>131</v>
      </c>
      <c r="BC1459" s="78" t="s">
        <v>131</v>
      </c>
      <c r="BD1459" s="78" t="s">
        <v>131</v>
      </c>
      <c r="BE1459" s="78" t="s">
        <v>131</v>
      </c>
      <c r="BF1459" s="78" t="s">
        <v>131</v>
      </c>
      <c r="BG1459" s="78" t="s">
        <v>131</v>
      </c>
      <c r="BH1459" s="75" t="s">
        <v>5970</v>
      </c>
      <c r="BI1459" s="295" t="s">
        <v>2226</v>
      </c>
      <c r="BJ1459" s="546">
        <v>1</v>
      </c>
      <c r="BK1459" s="294">
        <v>1</v>
      </c>
      <c r="BL1459" s="157">
        <v>1</v>
      </c>
      <c r="BM1459" s="548" t="s">
        <v>578</v>
      </c>
      <c r="BN1459" s="548" t="s">
        <v>4159</v>
      </c>
      <c r="BO1459" s="157" t="s">
        <v>4310</v>
      </c>
      <c r="BP1459" s="548" t="s">
        <v>2226</v>
      </c>
      <c r="BQ1459" s="157" t="s">
        <v>4309</v>
      </c>
      <c r="BR1459" s="157"/>
    </row>
    <row r="1460" spans="1:70" x14ac:dyDescent="0.25">
      <c r="A1460" s="19" t="s">
        <v>3686</v>
      </c>
      <c r="B1460" s="37" t="s">
        <v>1625</v>
      </c>
      <c r="C1460" s="90">
        <v>44756.744803240741</v>
      </c>
      <c r="D1460" s="114">
        <v>44756.494803240741</v>
      </c>
      <c r="E1460" s="38">
        <v>44756</v>
      </c>
      <c r="F1460" s="91">
        <v>2022</v>
      </c>
      <c r="G1460" s="93">
        <v>7</v>
      </c>
      <c r="H1460" s="37" t="s">
        <v>1425</v>
      </c>
      <c r="I1460" s="37"/>
      <c r="J1460" s="103">
        <v>-92.624731112447293</v>
      </c>
      <c r="K1460" s="40">
        <v>44.850606020161202</v>
      </c>
      <c r="L1460" s="74"/>
      <c r="M1460" s="272" t="s">
        <v>1626</v>
      </c>
      <c r="N1460" s="74">
        <v>1</v>
      </c>
      <c r="O1460" s="94"/>
      <c r="P1460" s="118">
        <v>1</v>
      </c>
      <c r="Q1460" s="510">
        <v>180</v>
      </c>
      <c r="R1460" s="513">
        <v>180</v>
      </c>
      <c r="S1460" s="41"/>
      <c r="T1460" s="40"/>
      <c r="U1460" s="40">
        <v>8</v>
      </c>
      <c r="V1460" s="119">
        <v>1</v>
      </c>
      <c r="W1460" s="40">
        <v>0</v>
      </c>
      <c r="X1460" s="119">
        <v>1</v>
      </c>
      <c r="Y1460" s="40">
        <v>63</v>
      </c>
      <c r="Z1460" s="119">
        <v>1</v>
      </c>
      <c r="AA1460" s="368">
        <v>0</v>
      </c>
      <c r="AB1460" s="535">
        <v>2</v>
      </c>
      <c r="AC1460" s="39" t="s">
        <v>160</v>
      </c>
      <c r="AD1460" s="75" t="s">
        <v>8</v>
      </c>
      <c r="AE1460" s="95">
        <v>0</v>
      </c>
      <c r="AF1460" s="75">
        <v>1</v>
      </c>
      <c r="AG1460" s="75">
        <v>0</v>
      </c>
      <c r="AH1460" s="75">
        <v>0</v>
      </c>
      <c r="AI1460" s="75">
        <v>0</v>
      </c>
      <c r="AJ1460" s="75">
        <v>0</v>
      </c>
      <c r="AK1460" s="75">
        <v>0</v>
      </c>
      <c r="AL1460" s="95">
        <v>0</v>
      </c>
      <c r="AM1460" s="92">
        <v>0</v>
      </c>
      <c r="AN1460" s="79" t="s">
        <v>80</v>
      </c>
      <c r="AO1460" s="75">
        <v>1</v>
      </c>
      <c r="AP1460" s="75" t="s">
        <v>83</v>
      </c>
      <c r="AQ1460" s="122">
        <v>1</v>
      </c>
      <c r="AR1460" s="515" t="s">
        <v>10</v>
      </c>
      <c r="AS1460" s="95">
        <v>0</v>
      </c>
      <c r="AT1460" s="75">
        <v>0</v>
      </c>
      <c r="AU1460" s="75">
        <v>0</v>
      </c>
      <c r="AV1460" s="75">
        <v>0</v>
      </c>
      <c r="AW1460" s="123">
        <v>0</v>
      </c>
      <c r="AX1460" s="516" t="s">
        <v>1582</v>
      </c>
      <c r="AY1460" s="75">
        <v>1</v>
      </c>
      <c r="AZ1460" s="77" t="s">
        <v>131</v>
      </c>
      <c r="BA1460" s="78" t="s">
        <v>132</v>
      </c>
      <c r="BB1460" s="78" t="s">
        <v>131</v>
      </c>
      <c r="BC1460" s="78" t="s">
        <v>131</v>
      </c>
      <c r="BD1460" s="78" t="s">
        <v>131</v>
      </c>
      <c r="BE1460" s="78" t="s">
        <v>131</v>
      </c>
      <c r="BF1460" s="78" t="s">
        <v>131</v>
      </c>
      <c r="BG1460" s="78" t="s">
        <v>131</v>
      </c>
      <c r="BH1460" s="75" t="s">
        <v>5970</v>
      </c>
      <c r="BI1460" s="295" t="s">
        <v>16</v>
      </c>
      <c r="BJ1460" s="546">
        <v>1</v>
      </c>
      <c r="BK1460" s="294">
        <v>1</v>
      </c>
      <c r="BL1460" s="157">
        <v>1</v>
      </c>
      <c r="BM1460" s="548" t="s">
        <v>578</v>
      </c>
      <c r="BN1460" s="548" t="s">
        <v>4159</v>
      </c>
      <c r="BO1460" s="157" t="s">
        <v>4310</v>
      </c>
      <c r="BP1460" s="548" t="s">
        <v>2226</v>
      </c>
      <c r="BQ1460" s="157" t="s">
        <v>4309</v>
      </c>
      <c r="BR1460" s="157"/>
    </row>
    <row r="1461" spans="1:70" x14ac:dyDescent="0.25">
      <c r="A1461" s="19" t="s">
        <v>3686</v>
      </c>
      <c r="B1461" s="37" t="s">
        <v>1627</v>
      </c>
      <c r="C1461" s="90">
        <v>44756.725277777776</v>
      </c>
      <c r="D1461" s="114">
        <v>44756.475277777776</v>
      </c>
      <c r="E1461" s="38">
        <v>44756</v>
      </c>
      <c r="F1461" s="91">
        <v>2022</v>
      </c>
      <c r="G1461" s="93">
        <v>7</v>
      </c>
      <c r="H1461" s="37" t="s">
        <v>1425</v>
      </c>
      <c r="I1461" s="37"/>
      <c r="J1461" s="103">
        <v>-92.604511071036924</v>
      </c>
      <c r="K1461" s="40">
        <v>44.848229125516461</v>
      </c>
      <c r="L1461" s="74"/>
      <c r="M1461" s="272" t="s">
        <v>1628</v>
      </c>
      <c r="N1461" s="74">
        <v>1</v>
      </c>
      <c r="O1461" s="94"/>
      <c r="P1461" s="118">
        <v>1</v>
      </c>
      <c r="Q1461" s="510">
        <v>180</v>
      </c>
      <c r="R1461" s="513">
        <v>180</v>
      </c>
      <c r="S1461" s="41"/>
      <c r="T1461" s="40"/>
      <c r="U1461" s="40">
        <v>8</v>
      </c>
      <c r="V1461" s="119">
        <v>1</v>
      </c>
      <c r="W1461" s="40">
        <v>0</v>
      </c>
      <c r="X1461" s="119">
        <v>1</v>
      </c>
      <c r="Y1461" s="40">
        <v>61</v>
      </c>
      <c r="Z1461" s="119">
        <v>1</v>
      </c>
      <c r="AA1461" s="368">
        <v>0</v>
      </c>
      <c r="AB1461" s="535">
        <v>5</v>
      </c>
      <c r="AC1461" s="39" t="s">
        <v>160</v>
      </c>
      <c r="AD1461" s="75" t="s">
        <v>8</v>
      </c>
      <c r="AE1461" s="95">
        <v>0</v>
      </c>
      <c r="AF1461" s="75">
        <v>1</v>
      </c>
      <c r="AG1461" s="75">
        <v>0</v>
      </c>
      <c r="AH1461" s="75">
        <v>0</v>
      </c>
      <c r="AI1461" s="75">
        <v>0</v>
      </c>
      <c r="AJ1461" s="75">
        <v>0</v>
      </c>
      <c r="AK1461" s="75">
        <v>0</v>
      </c>
      <c r="AL1461" s="95">
        <v>0</v>
      </c>
      <c r="AM1461" s="92">
        <v>0</v>
      </c>
      <c r="AN1461" s="79" t="s">
        <v>80</v>
      </c>
      <c r="AO1461" s="75">
        <v>1</v>
      </c>
      <c r="AP1461" s="75" t="s">
        <v>83</v>
      </c>
      <c r="AQ1461" s="122">
        <v>1</v>
      </c>
      <c r="AR1461" s="515" t="s">
        <v>10</v>
      </c>
      <c r="AS1461" s="95">
        <v>0</v>
      </c>
      <c r="AT1461" s="75">
        <v>0</v>
      </c>
      <c r="AU1461" s="75">
        <v>0</v>
      </c>
      <c r="AV1461" s="75">
        <v>0</v>
      </c>
      <c r="AW1461" s="123">
        <v>0</v>
      </c>
      <c r="AX1461" s="516" t="s">
        <v>1582</v>
      </c>
      <c r="AY1461" s="75">
        <v>1</v>
      </c>
      <c r="AZ1461" s="77" t="s">
        <v>131</v>
      </c>
      <c r="BA1461" s="78" t="s">
        <v>132</v>
      </c>
      <c r="BB1461" s="78" t="s">
        <v>131</v>
      </c>
      <c r="BC1461" s="78" t="s">
        <v>131</v>
      </c>
      <c r="BD1461" s="78" t="s">
        <v>131</v>
      </c>
      <c r="BE1461" s="78" t="s">
        <v>131</v>
      </c>
      <c r="BF1461" s="78" t="s">
        <v>131</v>
      </c>
      <c r="BG1461" s="78" t="s">
        <v>131</v>
      </c>
      <c r="BH1461" s="75" t="s">
        <v>5970</v>
      </c>
      <c r="BI1461" s="295" t="s">
        <v>2226</v>
      </c>
      <c r="BJ1461" s="546">
        <v>1</v>
      </c>
      <c r="BK1461" s="294">
        <v>1</v>
      </c>
      <c r="BL1461" s="157">
        <v>1</v>
      </c>
      <c r="BM1461" s="548" t="s">
        <v>578</v>
      </c>
      <c r="BN1461" s="548" t="s">
        <v>4159</v>
      </c>
      <c r="BO1461" s="157" t="s">
        <v>4310</v>
      </c>
      <c r="BP1461" s="548" t="s">
        <v>2226</v>
      </c>
      <c r="BQ1461" s="157" t="s">
        <v>4309</v>
      </c>
      <c r="BR1461" s="157"/>
    </row>
    <row r="1462" spans="1:70" x14ac:dyDescent="0.25">
      <c r="A1462" s="19" t="s">
        <v>3686</v>
      </c>
      <c r="B1462" s="37" t="s">
        <v>1629</v>
      </c>
      <c r="C1462" s="90">
        <v>44756.709444444445</v>
      </c>
      <c r="D1462" s="114">
        <v>44756.459444444445</v>
      </c>
      <c r="E1462" s="38">
        <v>44756</v>
      </c>
      <c r="F1462" s="91">
        <v>2022</v>
      </c>
      <c r="G1462" s="93">
        <v>7</v>
      </c>
      <c r="H1462" s="37" t="s">
        <v>1425</v>
      </c>
      <c r="I1462" s="37" t="s">
        <v>642</v>
      </c>
      <c r="J1462" s="103">
        <v>-92.583522017579796</v>
      </c>
      <c r="K1462" s="40">
        <v>44.848768149436864</v>
      </c>
      <c r="L1462" s="74"/>
      <c r="M1462" s="272" t="s">
        <v>1630</v>
      </c>
      <c r="N1462" s="74">
        <v>1</v>
      </c>
      <c r="O1462" s="94"/>
      <c r="P1462" s="118">
        <v>1</v>
      </c>
      <c r="Q1462" s="510">
        <v>180</v>
      </c>
      <c r="R1462" s="513">
        <v>180</v>
      </c>
      <c r="S1462" s="41"/>
      <c r="T1462" s="40"/>
      <c r="U1462" s="40">
        <v>8</v>
      </c>
      <c r="V1462" s="119">
        <v>1</v>
      </c>
      <c r="W1462" s="40">
        <v>0</v>
      </c>
      <c r="X1462" s="119">
        <v>1</v>
      </c>
      <c r="Y1462" s="40">
        <v>54</v>
      </c>
      <c r="Z1462" s="119">
        <v>1</v>
      </c>
      <c r="AA1462" s="368">
        <v>0</v>
      </c>
      <c r="AB1462" s="535">
        <v>2</v>
      </c>
      <c r="AC1462" s="39" t="s">
        <v>160</v>
      </c>
      <c r="AD1462" s="75" t="s">
        <v>9</v>
      </c>
      <c r="AE1462" s="95">
        <v>0</v>
      </c>
      <c r="AF1462" s="75">
        <v>0</v>
      </c>
      <c r="AG1462" s="75">
        <v>1</v>
      </c>
      <c r="AH1462" s="75">
        <v>0</v>
      </c>
      <c r="AI1462" s="75">
        <v>0</v>
      </c>
      <c r="AJ1462" s="75">
        <v>0</v>
      </c>
      <c r="AK1462" s="75">
        <v>0</v>
      </c>
      <c r="AL1462" s="95">
        <v>0</v>
      </c>
      <c r="AM1462" s="92">
        <v>0</v>
      </c>
      <c r="AN1462" s="79" t="s">
        <v>80</v>
      </c>
      <c r="AO1462" s="75">
        <v>1</v>
      </c>
      <c r="AP1462" s="75" t="s">
        <v>83</v>
      </c>
      <c r="AQ1462" s="122">
        <v>1</v>
      </c>
      <c r="AR1462" s="515" t="s">
        <v>10</v>
      </c>
      <c r="AS1462" s="95">
        <v>0</v>
      </c>
      <c r="AT1462" s="75">
        <v>0</v>
      </c>
      <c r="AU1462" s="75">
        <v>0</v>
      </c>
      <c r="AV1462" s="75">
        <v>0</v>
      </c>
      <c r="AW1462" s="123">
        <v>0</v>
      </c>
      <c r="AX1462" s="516" t="s">
        <v>1631</v>
      </c>
      <c r="AY1462" s="75">
        <v>1</v>
      </c>
      <c r="AZ1462" s="77" t="s">
        <v>131</v>
      </c>
      <c r="BA1462" s="78" t="s">
        <v>131</v>
      </c>
      <c r="BB1462" s="78" t="s">
        <v>132</v>
      </c>
      <c r="BC1462" s="78" t="s">
        <v>131</v>
      </c>
      <c r="BD1462" s="78" t="s">
        <v>131</v>
      </c>
      <c r="BE1462" s="78" t="s">
        <v>131</v>
      </c>
      <c r="BF1462" s="78" t="s">
        <v>131</v>
      </c>
      <c r="BG1462" s="78" t="s">
        <v>131</v>
      </c>
      <c r="BH1462" s="75" t="s">
        <v>5970</v>
      </c>
      <c r="BI1462" s="295" t="s">
        <v>2226</v>
      </c>
      <c r="BJ1462" s="546">
        <v>1</v>
      </c>
      <c r="BK1462" s="294">
        <v>1</v>
      </c>
      <c r="BL1462" s="157">
        <v>1</v>
      </c>
      <c r="BM1462" s="548" t="s">
        <v>578</v>
      </c>
      <c r="BN1462" s="548" t="s">
        <v>4159</v>
      </c>
      <c r="BO1462" s="157" t="s">
        <v>4310</v>
      </c>
      <c r="BP1462" s="548" t="s">
        <v>2226</v>
      </c>
      <c r="BQ1462" s="157" t="s">
        <v>4309</v>
      </c>
      <c r="BR1462" s="157"/>
    </row>
    <row r="1463" spans="1:70" x14ac:dyDescent="0.25">
      <c r="A1463" s="19" t="s">
        <v>3686</v>
      </c>
      <c r="B1463" s="37" t="s">
        <v>1632</v>
      </c>
      <c r="C1463" s="90">
        <v>44756.693553240744</v>
      </c>
      <c r="D1463" s="114">
        <v>44756.443553240744</v>
      </c>
      <c r="E1463" s="38">
        <v>44756</v>
      </c>
      <c r="F1463" s="91">
        <v>2022</v>
      </c>
      <c r="G1463" s="93">
        <v>7</v>
      </c>
      <c r="H1463" s="37" t="s">
        <v>1425</v>
      </c>
      <c r="I1463" s="37"/>
      <c r="J1463" s="103">
        <v>-92.559848747882</v>
      </c>
      <c r="K1463" s="40">
        <v>44.849465801118527</v>
      </c>
      <c r="L1463" s="74"/>
      <c r="M1463" s="272" t="s">
        <v>1633</v>
      </c>
      <c r="N1463" s="74">
        <v>1</v>
      </c>
      <c r="O1463" s="94"/>
      <c r="P1463" s="118">
        <v>1</v>
      </c>
      <c r="Q1463" s="510">
        <v>180</v>
      </c>
      <c r="R1463" s="513">
        <v>180</v>
      </c>
      <c r="S1463" s="41"/>
      <c r="T1463" s="40"/>
      <c r="U1463" s="40">
        <v>7.5</v>
      </c>
      <c r="V1463" s="119">
        <v>1</v>
      </c>
      <c r="W1463" s="40">
        <v>100</v>
      </c>
      <c r="X1463" s="119">
        <v>1</v>
      </c>
      <c r="Y1463" s="40">
        <v>64</v>
      </c>
      <c r="Z1463" s="119">
        <v>1</v>
      </c>
      <c r="AA1463" s="368">
        <v>0</v>
      </c>
      <c r="AB1463" s="535">
        <v>2</v>
      </c>
      <c r="AC1463" s="39" t="s">
        <v>160</v>
      </c>
      <c r="AD1463" s="75" t="s">
        <v>365</v>
      </c>
      <c r="AE1463" s="95">
        <v>0</v>
      </c>
      <c r="AF1463" s="75">
        <v>1</v>
      </c>
      <c r="AG1463" s="75">
        <v>1</v>
      </c>
      <c r="AH1463" s="75">
        <v>0</v>
      </c>
      <c r="AI1463" s="75">
        <v>0</v>
      </c>
      <c r="AJ1463" s="75">
        <v>0</v>
      </c>
      <c r="AK1463" s="75">
        <v>0</v>
      </c>
      <c r="AL1463" s="95">
        <v>0</v>
      </c>
      <c r="AM1463" s="92">
        <v>0</v>
      </c>
      <c r="AN1463" s="79" t="s">
        <v>80</v>
      </c>
      <c r="AO1463" s="75">
        <v>1</v>
      </c>
      <c r="AP1463" s="75" t="s">
        <v>83</v>
      </c>
      <c r="AQ1463" s="122">
        <v>1</v>
      </c>
      <c r="AR1463" s="515" t="s">
        <v>10</v>
      </c>
      <c r="AS1463" s="95">
        <v>0</v>
      </c>
      <c r="AT1463" s="75">
        <v>0</v>
      </c>
      <c r="AU1463" s="75">
        <v>0</v>
      </c>
      <c r="AV1463" s="75">
        <v>0</v>
      </c>
      <c r="AW1463" s="123">
        <v>0</v>
      </c>
      <c r="AX1463" s="516" t="s">
        <v>1631</v>
      </c>
      <c r="AY1463" s="75">
        <v>1</v>
      </c>
      <c r="AZ1463" s="77" t="s">
        <v>131</v>
      </c>
      <c r="BA1463" s="78" t="s">
        <v>132</v>
      </c>
      <c r="BB1463" s="78" t="s">
        <v>132</v>
      </c>
      <c r="BC1463" s="78" t="s">
        <v>131</v>
      </c>
      <c r="BD1463" s="78" t="s">
        <v>131</v>
      </c>
      <c r="BE1463" s="78" t="s">
        <v>131</v>
      </c>
      <c r="BF1463" s="78" t="s">
        <v>131</v>
      </c>
      <c r="BG1463" s="78" t="s">
        <v>131</v>
      </c>
      <c r="BH1463" s="75" t="s">
        <v>5970</v>
      </c>
      <c r="BI1463" s="295" t="s">
        <v>2226</v>
      </c>
      <c r="BJ1463" s="546">
        <v>1</v>
      </c>
      <c r="BK1463" s="294">
        <v>1</v>
      </c>
      <c r="BL1463" s="157">
        <v>1</v>
      </c>
      <c r="BM1463" s="548" t="s">
        <v>578</v>
      </c>
      <c r="BN1463" s="548" t="s">
        <v>4159</v>
      </c>
      <c r="BO1463" s="157" t="s">
        <v>4310</v>
      </c>
      <c r="BP1463" s="548" t="s">
        <v>2226</v>
      </c>
      <c r="BQ1463" s="157" t="s">
        <v>4309</v>
      </c>
      <c r="BR1463" s="157"/>
    </row>
    <row r="1464" spans="1:70" x14ac:dyDescent="0.25">
      <c r="A1464" s="19" t="s">
        <v>3686</v>
      </c>
      <c r="B1464" s="37" t="s">
        <v>1634</v>
      </c>
      <c r="C1464" s="90">
        <v>44756.664710648147</v>
      </c>
      <c r="D1464" s="114">
        <v>44756.414710648147</v>
      </c>
      <c r="E1464" s="38">
        <v>44756</v>
      </c>
      <c r="F1464" s="91">
        <v>2022</v>
      </c>
      <c r="G1464" s="93">
        <v>7</v>
      </c>
      <c r="H1464" s="37" t="s">
        <v>1425</v>
      </c>
      <c r="I1464" s="37"/>
      <c r="J1464" s="103">
        <v>-92.550791176692059</v>
      </c>
      <c r="K1464" s="40">
        <v>44.831126179128411</v>
      </c>
      <c r="L1464" s="74"/>
      <c r="M1464" s="272" t="s">
        <v>1635</v>
      </c>
      <c r="N1464" s="74">
        <v>1</v>
      </c>
      <c r="O1464" s="94"/>
      <c r="P1464" s="118">
        <v>1</v>
      </c>
      <c r="Q1464" s="510">
        <v>180</v>
      </c>
      <c r="R1464" s="513">
        <v>120</v>
      </c>
      <c r="S1464" s="41"/>
      <c r="T1464" s="40"/>
      <c r="U1464" s="40">
        <v>8</v>
      </c>
      <c r="V1464" s="119">
        <v>1</v>
      </c>
      <c r="W1464" s="40">
        <v>0</v>
      </c>
      <c r="X1464" s="119">
        <v>1</v>
      </c>
      <c r="Y1464" s="40">
        <v>73</v>
      </c>
      <c r="Z1464" s="119">
        <v>1</v>
      </c>
      <c r="AA1464" s="368">
        <v>0</v>
      </c>
      <c r="AB1464" s="535">
        <v>0</v>
      </c>
      <c r="AC1464" s="39" t="s">
        <v>186</v>
      </c>
      <c r="AD1464" s="75" t="s">
        <v>10</v>
      </c>
      <c r="AE1464" s="95">
        <v>0</v>
      </c>
      <c r="AF1464" s="75">
        <v>0</v>
      </c>
      <c r="AG1464" s="75">
        <v>0</v>
      </c>
      <c r="AH1464" s="75">
        <v>0</v>
      </c>
      <c r="AI1464" s="75">
        <v>0</v>
      </c>
      <c r="AJ1464" s="75">
        <v>0</v>
      </c>
      <c r="AK1464" s="75">
        <v>0</v>
      </c>
      <c r="AL1464" s="95">
        <v>1</v>
      </c>
      <c r="AM1464" s="92">
        <v>0</v>
      </c>
      <c r="AN1464" s="79" t="s">
        <v>80</v>
      </c>
      <c r="AO1464" s="75">
        <v>1</v>
      </c>
      <c r="AP1464" s="75" t="s">
        <v>83</v>
      </c>
      <c r="AQ1464" s="122">
        <v>1</v>
      </c>
      <c r="AR1464" s="515" t="s">
        <v>10</v>
      </c>
      <c r="AS1464" s="95">
        <v>0</v>
      </c>
      <c r="AT1464" s="75">
        <v>0</v>
      </c>
      <c r="AU1464" s="75">
        <v>0</v>
      </c>
      <c r="AV1464" s="75">
        <v>0</v>
      </c>
      <c r="AW1464" s="123">
        <v>0</v>
      </c>
      <c r="AX1464" s="516" t="s">
        <v>1631</v>
      </c>
      <c r="AY1464" s="75">
        <v>1</v>
      </c>
      <c r="AZ1464" s="77" t="s">
        <v>131</v>
      </c>
      <c r="BA1464" s="78" t="s">
        <v>131</v>
      </c>
      <c r="BB1464" s="78" t="s">
        <v>131</v>
      </c>
      <c r="BC1464" s="78" t="s">
        <v>131</v>
      </c>
      <c r="BD1464" s="78" t="s">
        <v>131</v>
      </c>
      <c r="BE1464" s="78" t="s">
        <v>131</v>
      </c>
      <c r="BF1464" s="78" t="s">
        <v>131</v>
      </c>
      <c r="BG1464" s="78" t="s">
        <v>132</v>
      </c>
      <c r="BH1464" s="75" t="s">
        <v>5970</v>
      </c>
      <c r="BI1464" s="295">
        <v>0</v>
      </c>
      <c r="BJ1464" s="546" t="s">
        <v>16</v>
      </c>
      <c r="BK1464" s="294" t="s">
        <v>16</v>
      </c>
      <c r="BL1464" s="157" t="s">
        <v>16</v>
      </c>
      <c r="BM1464" s="548" t="s">
        <v>578</v>
      </c>
      <c r="BN1464" s="548" t="s">
        <v>4159</v>
      </c>
      <c r="BO1464" s="157" t="s">
        <v>4310</v>
      </c>
      <c r="BP1464" s="548" t="s">
        <v>2226</v>
      </c>
      <c r="BQ1464" s="157" t="s">
        <v>4309</v>
      </c>
      <c r="BR1464" s="157"/>
    </row>
    <row r="1465" spans="1:70" x14ac:dyDescent="0.25">
      <c r="A1465" s="19" t="s">
        <v>3686</v>
      </c>
      <c r="B1465" s="37" t="s">
        <v>1636</v>
      </c>
      <c r="C1465" s="90">
        <v>44755.844664351855</v>
      </c>
      <c r="D1465" s="114">
        <v>44755.594664351855</v>
      </c>
      <c r="E1465" s="38">
        <v>44755</v>
      </c>
      <c r="F1465" s="91">
        <v>2022</v>
      </c>
      <c r="G1465" s="93">
        <v>7</v>
      </c>
      <c r="H1465" s="37" t="s">
        <v>599</v>
      </c>
      <c r="I1465" s="37" t="s">
        <v>2361</v>
      </c>
      <c r="J1465" s="103">
        <v>-92.442757061795007</v>
      </c>
      <c r="K1465" s="40">
        <v>44.621323477954206</v>
      </c>
      <c r="L1465" s="74"/>
      <c r="M1465" s="272" t="s">
        <v>16</v>
      </c>
      <c r="N1465" s="74">
        <v>0</v>
      </c>
      <c r="O1465" s="94"/>
      <c r="P1465" s="118">
        <v>1</v>
      </c>
      <c r="Q1465" s="510">
        <v>180</v>
      </c>
      <c r="R1465" s="513">
        <v>60</v>
      </c>
      <c r="S1465" s="41"/>
      <c r="T1465" s="40"/>
      <c r="U1465" s="40">
        <v>7.5</v>
      </c>
      <c r="V1465" s="119">
        <v>1</v>
      </c>
      <c r="W1465" s="40">
        <v>100</v>
      </c>
      <c r="X1465" s="119">
        <v>1</v>
      </c>
      <c r="Y1465" s="40">
        <v>63</v>
      </c>
      <c r="Z1465" s="119">
        <v>1</v>
      </c>
      <c r="AA1465" s="368">
        <v>0</v>
      </c>
      <c r="AB1465" s="535">
        <v>5</v>
      </c>
      <c r="AC1465" s="39" t="s">
        <v>160</v>
      </c>
      <c r="AD1465" s="75" t="s">
        <v>10</v>
      </c>
      <c r="AE1465" s="95">
        <v>0</v>
      </c>
      <c r="AF1465" s="75">
        <v>0</v>
      </c>
      <c r="AG1465" s="75">
        <v>0</v>
      </c>
      <c r="AH1465" s="75">
        <v>0</v>
      </c>
      <c r="AI1465" s="75">
        <v>0</v>
      </c>
      <c r="AJ1465" s="75">
        <v>0</v>
      </c>
      <c r="AK1465" s="75">
        <v>0</v>
      </c>
      <c r="AL1465" s="95">
        <v>1</v>
      </c>
      <c r="AM1465" s="92">
        <v>0</v>
      </c>
      <c r="AN1465" s="79" t="s">
        <v>80</v>
      </c>
      <c r="AO1465" s="75">
        <v>1</v>
      </c>
      <c r="AP1465" s="75" t="s">
        <v>83</v>
      </c>
      <c r="AQ1465" s="122">
        <v>1</v>
      </c>
      <c r="AR1465" s="515" t="s">
        <v>10</v>
      </c>
      <c r="AS1465" s="95">
        <v>0</v>
      </c>
      <c r="AT1465" s="75">
        <v>0</v>
      </c>
      <c r="AU1465" s="75">
        <v>0</v>
      </c>
      <c r="AV1465" s="75">
        <v>0</v>
      </c>
      <c r="AW1465" s="123">
        <v>0</v>
      </c>
      <c r="AX1465" s="516"/>
      <c r="AY1465" s="75">
        <v>0</v>
      </c>
      <c r="AZ1465" s="77" t="s">
        <v>131</v>
      </c>
      <c r="BA1465" s="78" t="s">
        <v>131</v>
      </c>
      <c r="BB1465" s="78" t="s">
        <v>131</v>
      </c>
      <c r="BC1465" s="78" t="s">
        <v>131</v>
      </c>
      <c r="BD1465" s="78" t="s">
        <v>131</v>
      </c>
      <c r="BE1465" s="78" t="s">
        <v>131</v>
      </c>
      <c r="BF1465" s="78" t="s">
        <v>131</v>
      </c>
      <c r="BG1465" s="78" t="s">
        <v>132</v>
      </c>
      <c r="BH1465" s="75" t="s">
        <v>5970</v>
      </c>
      <c r="BI1465" s="295" t="s">
        <v>16</v>
      </c>
      <c r="BJ1465" s="546">
        <v>1</v>
      </c>
      <c r="BK1465" s="294" t="s">
        <v>16</v>
      </c>
      <c r="BL1465" s="157" t="s">
        <v>16</v>
      </c>
      <c r="BM1465" s="548" t="s">
        <v>578</v>
      </c>
      <c r="BN1465" s="548" t="s">
        <v>544</v>
      </c>
      <c r="BO1465" s="157" t="s">
        <v>4283</v>
      </c>
      <c r="BP1465" s="548" t="s">
        <v>2289</v>
      </c>
      <c r="BQ1465" s="157" t="s">
        <v>4214</v>
      </c>
      <c r="BR1465" s="157"/>
    </row>
    <row r="1466" spans="1:70" x14ac:dyDescent="0.25">
      <c r="A1466" s="19" t="s">
        <v>3686</v>
      </c>
      <c r="B1466" s="37" t="s">
        <v>1637</v>
      </c>
      <c r="C1466" s="90">
        <v>44755.646122685182</v>
      </c>
      <c r="D1466" s="114">
        <v>44755.396122685182</v>
      </c>
      <c r="E1466" s="38">
        <v>44755</v>
      </c>
      <c r="F1466" s="91">
        <v>2022</v>
      </c>
      <c r="G1466" s="93">
        <v>7</v>
      </c>
      <c r="H1466" s="37" t="s">
        <v>606</v>
      </c>
      <c r="I1466" s="37" t="s">
        <v>16</v>
      </c>
      <c r="J1466" s="103">
        <v>-92.145859465641024</v>
      </c>
      <c r="K1466" s="40">
        <v>44.238964058667001</v>
      </c>
      <c r="L1466" s="74"/>
      <c r="M1466" s="272" t="s">
        <v>16</v>
      </c>
      <c r="N1466" s="74">
        <v>0</v>
      </c>
      <c r="O1466" s="94"/>
      <c r="P1466" s="118">
        <v>1</v>
      </c>
      <c r="Q1466" s="510">
        <v>180</v>
      </c>
      <c r="R1466" s="513">
        <v>180</v>
      </c>
      <c r="S1466" s="41"/>
      <c r="T1466" s="40"/>
      <c r="U1466" s="40">
        <v>7.5</v>
      </c>
      <c r="V1466" s="119">
        <v>1</v>
      </c>
      <c r="W1466" s="40">
        <v>100</v>
      </c>
      <c r="X1466" s="119">
        <v>1</v>
      </c>
      <c r="Y1466" s="40">
        <v>58</v>
      </c>
      <c r="Z1466" s="119">
        <v>1</v>
      </c>
      <c r="AA1466" s="368">
        <v>0</v>
      </c>
      <c r="AB1466" s="535">
        <v>5</v>
      </c>
      <c r="AC1466" s="39" t="s">
        <v>160</v>
      </c>
      <c r="AD1466" s="75" t="s">
        <v>10</v>
      </c>
      <c r="AE1466" s="95">
        <v>0</v>
      </c>
      <c r="AF1466" s="75">
        <v>0</v>
      </c>
      <c r="AG1466" s="75">
        <v>0</v>
      </c>
      <c r="AH1466" s="75">
        <v>0</v>
      </c>
      <c r="AI1466" s="75">
        <v>0</v>
      </c>
      <c r="AJ1466" s="75">
        <v>0</v>
      </c>
      <c r="AK1466" s="75">
        <v>0</v>
      </c>
      <c r="AL1466" s="95">
        <v>1</v>
      </c>
      <c r="AM1466" s="92">
        <v>0</v>
      </c>
      <c r="AN1466" s="79" t="s">
        <v>80</v>
      </c>
      <c r="AO1466" s="75">
        <v>1</v>
      </c>
      <c r="AP1466" s="75" t="s">
        <v>83</v>
      </c>
      <c r="AQ1466" s="122">
        <v>1</v>
      </c>
      <c r="AR1466" s="515" t="s">
        <v>10</v>
      </c>
      <c r="AS1466" s="95">
        <v>0</v>
      </c>
      <c r="AT1466" s="75">
        <v>0</v>
      </c>
      <c r="AU1466" s="75">
        <v>0</v>
      </c>
      <c r="AV1466" s="75">
        <v>0</v>
      </c>
      <c r="AW1466" s="123">
        <v>0</v>
      </c>
      <c r="AX1466" s="516" t="s">
        <v>1638</v>
      </c>
      <c r="AY1466" s="75">
        <v>1</v>
      </c>
      <c r="AZ1466" s="77" t="s">
        <v>131</v>
      </c>
      <c r="BA1466" s="78" t="s">
        <v>131</v>
      </c>
      <c r="BB1466" s="78" t="s">
        <v>131</v>
      </c>
      <c r="BC1466" s="78" t="s">
        <v>131</v>
      </c>
      <c r="BD1466" s="78" t="s">
        <v>131</v>
      </c>
      <c r="BE1466" s="78" t="s">
        <v>131</v>
      </c>
      <c r="BF1466" s="78" t="s">
        <v>131</v>
      </c>
      <c r="BG1466" s="78" t="s">
        <v>132</v>
      </c>
      <c r="BH1466" s="75" t="s">
        <v>5970</v>
      </c>
      <c r="BI1466" s="295" t="s">
        <v>317</v>
      </c>
      <c r="BJ1466" s="546">
        <v>1</v>
      </c>
      <c r="BK1466" s="294">
        <v>1</v>
      </c>
      <c r="BL1466" s="157">
        <v>1</v>
      </c>
      <c r="BM1466" s="548" t="s">
        <v>1339</v>
      </c>
      <c r="BN1466" s="548" t="s">
        <v>1339</v>
      </c>
      <c r="BO1466" s="157" t="s">
        <v>4358</v>
      </c>
      <c r="BP1466" s="548" t="s">
        <v>317</v>
      </c>
      <c r="BQ1466" s="157" t="s">
        <v>4330</v>
      </c>
      <c r="BR1466" s="157"/>
    </row>
    <row r="1467" spans="1:70" x14ac:dyDescent="0.25">
      <c r="A1467" s="19" t="s">
        <v>3686</v>
      </c>
      <c r="B1467" s="37" t="s">
        <v>1639</v>
      </c>
      <c r="C1467" s="90">
        <v>44754.712835648148</v>
      </c>
      <c r="D1467" s="114">
        <v>44754.462835648148</v>
      </c>
      <c r="E1467" s="38">
        <v>44754</v>
      </c>
      <c r="F1467" s="91">
        <v>2022</v>
      </c>
      <c r="G1467" s="93">
        <v>7</v>
      </c>
      <c r="H1467" s="37" t="s">
        <v>622</v>
      </c>
      <c r="I1467" s="37"/>
      <c r="J1467" s="103">
        <v>-92.267847452398641</v>
      </c>
      <c r="K1467" s="40">
        <v>44.428750500124345</v>
      </c>
      <c r="L1467" s="74"/>
      <c r="M1467" s="272" t="s">
        <v>16</v>
      </c>
      <c r="N1467" s="74">
        <v>0</v>
      </c>
      <c r="O1467" s="94"/>
      <c r="P1467" s="118">
        <v>1</v>
      </c>
      <c r="Q1467" s="510">
        <v>0</v>
      </c>
      <c r="R1467" s="513">
        <v>60</v>
      </c>
      <c r="S1467" s="41"/>
      <c r="T1467" s="40"/>
      <c r="U1467" s="40">
        <v>7</v>
      </c>
      <c r="V1467" s="119">
        <v>1</v>
      </c>
      <c r="W1467" s="40">
        <v>0</v>
      </c>
      <c r="X1467" s="119">
        <v>0</v>
      </c>
      <c r="Y1467" s="40"/>
      <c r="Z1467" s="119">
        <v>0</v>
      </c>
      <c r="AA1467" s="368" t="s">
        <v>16</v>
      </c>
      <c r="AB1467" s="535" t="s">
        <v>16</v>
      </c>
      <c r="AC1467" s="39" t="s">
        <v>160</v>
      </c>
      <c r="AD1467" s="75" t="s">
        <v>16</v>
      </c>
      <c r="AE1467" s="95">
        <v>-1</v>
      </c>
      <c r="AF1467" s="75">
        <v>-1</v>
      </c>
      <c r="AG1467" s="75">
        <v>-1</v>
      </c>
      <c r="AH1467" s="75">
        <v>-1</v>
      </c>
      <c r="AI1467" s="75">
        <v>-1</v>
      </c>
      <c r="AJ1467" s="75">
        <v>-1</v>
      </c>
      <c r="AK1467" s="75">
        <v>-1</v>
      </c>
      <c r="AL1467" s="95">
        <v>-1</v>
      </c>
      <c r="AM1467" s="92">
        <v>1</v>
      </c>
      <c r="AN1467" s="79"/>
      <c r="AO1467" s="75">
        <v>0</v>
      </c>
      <c r="AP1467" s="75"/>
      <c r="AQ1467" s="122">
        <v>0</v>
      </c>
      <c r="AR1467" s="515" t="s">
        <v>16</v>
      </c>
      <c r="AS1467" s="95">
        <v>-1</v>
      </c>
      <c r="AT1467" s="75">
        <v>-1</v>
      </c>
      <c r="AU1467" s="75">
        <v>-1</v>
      </c>
      <c r="AV1467" s="75">
        <v>-1</v>
      </c>
      <c r="AW1467" s="123">
        <v>1</v>
      </c>
      <c r="AX1467" s="516"/>
      <c r="AY1467" s="75">
        <v>0</v>
      </c>
      <c r="AZ1467" s="77" t="s">
        <v>5971</v>
      </c>
      <c r="BA1467" s="78" t="s">
        <v>5971</v>
      </c>
      <c r="BB1467" s="78" t="s">
        <v>5971</v>
      </c>
      <c r="BC1467" s="78" t="s">
        <v>5971</v>
      </c>
      <c r="BD1467" s="78" t="s">
        <v>5971</v>
      </c>
      <c r="BE1467" s="78" t="s">
        <v>5971</v>
      </c>
      <c r="BF1467" s="78" t="s">
        <v>5971</v>
      </c>
      <c r="BG1467" s="78" t="s">
        <v>5971</v>
      </c>
      <c r="BH1467" s="75" t="s">
        <v>5971</v>
      </c>
      <c r="BI1467" s="295" t="s">
        <v>2228</v>
      </c>
      <c r="BJ1467" s="546">
        <v>1</v>
      </c>
      <c r="BK1467" s="294" t="s">
        <v>16</v>
      </c>
      <c r="BL1467" s="157" t="s">
        <v>16</v>
      </c>
      <c r="BM1467" s="548" t="s">
        <v>1339</v>
      </c>
      <c r="BN1467" s="548" t="s">
        <v>1339</v>
      </c>
      <c r="BO1467" s="157" t="s">
        <v>4614</v>
      </c>
      <c r="BP1467" s="548" t="s">
        <v>2228</v>
      </c>
      <c r="BQ1467" s="157" t="s">
        <v>4214</v>
      </c>
      <c r="BR1467" s="157"/>
    </row>
    <row r="1468" spans="1:70" x14ac:dyDescent="0.25">
      <c r="A1468" s="19" t="s">
        <v>3686</v>
      </c>
      <c r="B1468" s="37" t="s">
        <v>1640</v>
      </c>
      <c r="C1468" s="90">
        <v>44753.698067129626</v>
      </c>
      <c r="D1468" s="114">
        <v>44753.448067129626</v>
      </c>
      <c r="E1468" s="38">
        <v>44753</v>
      </c>
      <c r="F1468" s="91">
        <v>2022</v>
      </c>
      <c r="G1468" s="93">
        <v>7</v>
      </c>
      <c r="H1468" s="37" t="s">
        <v>1425</v>
      </c>
      <c r="I1468" s="37"/>
      <c r="J1468" s="103">
        <v>-92.63191039910312</v>
      </c>
      <c r="K1468" s="40">
        <v>44.855598785051491</v>
      </c>
      <c r="L1468" s="74"/>
      <c r="M1468" s="272" t="s">
        <v>1641</v>
      </c>
      <c r="N1468" s="74">
        <v>1</v>
      </c>
      <c r="O1468" s="94"/>
      <c r="P1468" s="118">
        <v>1</v>
      </c>
      <c r="Q1468" s="510">
        <v>120</v>
      </c>
      <c r="R1468" s="513">
        <v>180</v>
      </c>
      <c r="S1468" s="41"/>
      <c r="T1468" s="40"/>
      <c r="U1468" s="40">
        <v>8</v>
      </c>
      <c r="V1468" s="119">
        <v>1</v>
      </c>
      <c r="W1468" s="40">
        <v>100</v>
      </c>
      <c r="X1468" s="119">
        <v>1</v>
      </c>
      <c r="Y1468" s="40">
        <v>64</v>
      </c>
      <c r="Z1468" s="119">
        <v>1</v>
      </c>
      <c r="AA1468" s="368">
        <v>0</v>
      </c>
      <c r="AB1468" s="535">
        <v>5</v>
      </c>
      <c r="AC1468" s="39" t="s">
        <v>186</v>
      </c>
      <c r="AD1468" s="75" t="s">
        <v>9</v>
      </c>
      <c r="AE1468" s="95">
        <v>0</v>
      </c>
      <c r="AF1468" s="75">
        <v>0</v>
      </c>
      <c r="AG1468" s="75">
        <v>1</v>
      </c>
      <c r="AH1468" s="75">
        <v>0</v>
      </c>
      <c r="AI1468" s="75">
        <v>0</v>
      </c>
      <c r="AJ1468" s="75">
        <v>0</v>
      </c>
      <c r="AK1468" s="75">
        <v>0</v>
      </c>
      <c r="AL1468" s="95">
        <v>0</v>
      </c>
      <c r="AM1468" s="92">
        <v>0</v>
      </c>
      <c r="AN1468" s="79" t="s">
        <v>80</v>
      </c>
      <c r="AO1468" s="75">
        <v>1</v>
      </c>
      <c r="AP1468" s="75" t="s">
        <v>83</v>
      </c>
      <c r="AQ1468" s="122">
        <v>1</v>
      </c>
      <c r="AR1468" s="515" t="s">
        <v>10</v>
      </c>
      <c r="AS1468" s="95">
        <v>0</v>
      </c>
      <c r="AT1468" s="75">
        <v>0</v>
      </c>
      <c r="AU1468" s="75">
        <v>0</v>
      </c>
      <c r="AV1468" s="75">
        <v>0</v>
      </c>
      <c r="AW1468" s="123">
        <v>0</v>
      </c>
      <c r="AX1468" s="516" t="s">
        <v>1576</v>
      </c>
      <c r="AY1468" s="75">
        <v>1</v>
      </c>
      <c r="AZ1468" s="77" t="s">
        <v>131</v>
      </c>
      <c r="BA1468" s="78" t="s">
        <v>131</v>
      </c>
      <c r="BB1468" s="78" t="s">
        <v>132</v>
      </c>
      <c r="BC1468" s="78" t="s">
        <v>131</v>
      </c>
      <c r="BD1468" s="78" t="s">
        <v>131</v>
      </c>
      <c r="BE1468" s="78" t="s">
        <v>131</v>
      </c>
      <c r="BF1468" s="78" t="s">
        <v>131</v>
      </c>
      <c r="BG1468" s="78" t="s">
        <v>131</v>
      </c>
      <c r="BH1468" s="75" t="s">
        <v>5970</v>
      </c>
      <c r="BI1468" s="295" t="s">
        <v>2227</v>
      </c>
      <c r="BJ1468" s="546">
        <v>1</v>
      </c>
      <c r="BK1468" s="294">
        <v>1</v>
      </c>
      <c r="BL1468" s="157">
        <v>1</v>
      </c>
      <c r="BM1468" s="548" t="s">
        <v>578</v>
      </c>
      <c r="BN1468" s="548" t="s">
        <v>4159</v>
      </c>
      <c r="BO1468" s="157" t="s">
        <v>4311</v>
      </c>
      <c r="BP1468" s="548" t="s">
        <v>4395</v>
      </c>
      <c r="BQ1468" s="157" t="s">
        <v>4309</v>
      </c>
      <c r="BR1468" s="157"/>
    </row>
    <row r="1469" spans="1:70" x14ac:dyDescent="0.25">
      <c r="A1469" s="19" t="s">
        <v>3686</v>
      </c>
      <c r="B1469" s="37" t="s">
        <v>1642</v>
      </c>
      <c r="C1469" s="90">
        <v>44753.664872685185</v>
      </c>
      <c r="D1469" s="114">
        <v>44753.414872685185</v>
      </c>
      <c r="E1469" s="38">
        <v>44753</v>
      </c>
      <c r="F1469" s="91">
        <v>2022</v>
      </c>
      <c r="G1469" s="93">
        <v>7</v>
      </c>
      <c r="H1469" s="37" t="s">
        <v>1491</v>
      </c>
      <c r="I1469" s="37"/>
      <c r="J1469" s="103">
        <v>-92.641685600000002</v>
      </c>
      <c r="K1469" s="40">
        <v>44.849878099999998</v>
      </c>
      <c r="L1469" s="74"/>
      <c r="M1469" s="272" t="s">
        <v>16</v>
      </c>
      <c r="N1469" s="74">
        <v>0</v>
      </c>
      <c r="O1469" s="94"/>
      <c r="P1469" s="118">
        <v>1</v>
      </c>
      <c r="Q1469" s="510">
        <v>80</v>
      </c>
      <c r="R1469" s="513">
        <v>180</v>
      </c>
      <c r="S1469" s="41"/>
      <c r="T1469" s="40"/>
      <c r="U1469" s="40">
        <v>8</v>
      </c>
      <c r="V1469" s="119">
        <v>1</v>
      </c>
      <c r="W1469" s="40">
        <v>0</v>
      </c>
      <c r="X1469" s="119">
        <v>1</v>
      </c>
      <c r="Y1469" s="40">
        <v>63</v>
      </c>
      <c r="Z1469" s="119">
        <v>1</v>
      </c>
      <c r="AA1469" s="368">
        <v>0</v>
      </c>
      <c r="AB1469" s="535">
        <v>2</v>
      </c>
      <c r="AC1469" s="39" t="s">
        <v>160</v>
      </c>
      <c r="AD1469" s="75" t="s">
        <v>9</v>
      </c>
      <c r="AE1469" s="95">
        <v>0</v>
      </c>
      <c r="AF1469" s="75">
        <v>0</v>
      </c>
      <c r="AG1469" s="75">
        <v>1</v>
      </c>
      <c r="AH1469" s="75">
        <v>0</v>
      </c>
      <c r="AI1469" s="75">
        <v>0</v>
      </c>
      <c r="AJ1469" s="75">
        <v>0</v>
      </c>
      <c r="AK1469" s="75">
        <v>0</v>
      </c>
      <c r="AL1469" s="95">
        <v>0</v>
      </c>
      <c r="AM1469" s="92">
        <v>0</v>
      </c>
      <c r="AN1469" s="79" t="s">
        <v>80</v>
      </c>
      <c r="AO1469" s="75">
        <v>1</v>
      </c>
      <c r="AP1469" s="75" t="s">
        <v>83</v>
      </c>
      <c r="AQ1469" s="122">
        <v>1</v>
      </c>
      <c r="AR1469" s="515" t="s">
        <v>10</v>
      </c>
      <c r="AS1469" s="95">
        <v>0</v>
      </c>
      <c r="AT1469" s="75">
        <v>0</v>
      </c>
      <c r="AU1469" s="75">
        <v>0</v>
      </c>
      <c r="AV1469" s="75">
        <v>0</v>
      </c>
      <c r="AW1469" s="123">
        <v>0</v>
      </c>
      <c r="AX1469" s="516" t="s">
        <v>1643</v>
      </c>
      <c r="AY1469" s="75">
        <v>1</v>
      </c>
      <c r="AZ1469" s="77" t="s">
        <v>131</v>
      </c>
      <c r="BA1469" s="78" t="s">
        <v>131</v>
      </c>
      <c r="BB1469" s="78" t="s">
        <v>132</v>
      </c>
      <c r="BC1469" s="78" t="s">
        <v>131</v>
      </c>
      <c r="BD1469" s="78" t="s">
        <v>131</v>
      </c>
      <c r="BE1469" s="78" t="s">
        <v>131</v>
      </c>
      <c r="BF1469" s="78" t="s">
        <v>131</v>
      </c>
      <c r="BG1469" s="78" t="s">
        <v>131</v>
      </c>
      <c r="BH1469" s="75" t="s">
        <v>5970</v>
      </c>
      <c r="BI1469" s="295" t="s">
        <v>2227</v>
      </c>
      <c r="BJ1469" s="546">
        <v>1</v>
      </c>
      <c r="BK1469" s="294">
        <v>1</v>
      </c>
      <c r="BL1469" s="157">
        <v>1</v>
      </c>
      <c r="BM1469" s="548" t="s">
        <v>578</v>
      </c>
      <c r="BN1469" s="548" t="s">
        <v>4159</v>
      </c>
      <c r="BO1469" s="157" t="s">
        <v>4341</v>
      </c>
      <c r="BP1469" s="548" t="s">
        <v>4343</v>
      </c>
      <c r="BQ1469" s="157" t="s">
        <v>4309</v>
      </c>
      <c r="BR1469" s="157"/>
    </row>
    <row r="1470" spans="1:70" x14ac:dyDescent="0.25">
      <c r="A1470" s="19" t="s">
        <v>3686</v>
      </c>
      <c r="B1470" s="37" t="s">
        <v>1644</v>
      </c>
      <c r="C1470" s="90">
        <v>44753.662523148145</v>
      </c>
      <c r="D1470" s="114">
        <v>44753.412523148145</v>
      </c>
      <c r="E1470" s="38">
        <v>44753</v>
      </c>
      <c r="F1470" s="91">
        <v>2022</v>
      </c>
      <c r="G1470" s="93">
        <v>7</v>
      </c>
      <c r="H1470" s="37" t="s">
        <v>1433</v>
      </c>
      <c r="I1470" s="37"/>
      <c r="J1470" s="103">
        <v>-92.636053813707676</v>
      </c>
      <c r="K1470" s="40">
        <v>44.854755154852619</v>
      </c>
      <c r="L1470" s="74"/>
      <c r="M1470" s="272" t="s">
        <v>16</v>
      </c>
      <c r="N1470" s="74">
        <v>0</v>
      </c>
      <c r="O1470" s="94"/>
      <c r="P1470" s="118">
        <v>1</v>
      </c>
      <c r="Q1470" s="510">
        <v>120</v>
      </c>
      <c r="R1470" s="513">
        <v>120</v>
      </c>
      <c r="S1470" s="41"/>
      <c r="T1470" s="40"/>
      <c r="U1470" s="40">
        <v>8</v>
      </c>
      <c r="V1470" s="119">
        <v>1</v>
      </c>
      <c r="W1470" s="40">
        <v>100</v>
      </c>
      <c r="X1470" s="119">
        <v>1</v>
      </c>
      <c r="Y1470" s="40">
        <v>62</v>
      </c>
      <c r="Z1470" s="119">
        <v>1</v>
      </c>
      <c r="AA1470" s="368">
        <v>0</v>
      </c>
      <c r="AB1470" s="535">
        <v>5</v>
      </c>
      <c r="AC1470" s="39" t="s">
        <v>160</v>
      </c>
      <c r="AD1470" s="75" t="s">
        <v>10</v>
      </c>
      <c r="AE1470" s="95">
        <v>0</v>
      </c>
      <c r="AF1470" s="75">
        <v>0</v>
      </c>
      <c r="AG1470" s="75">
        <v>0</v>
      </c>
      <c r="AH1470" s="75">
        <v>0</v>
      </c>
      <c r="AI1470" s="75">
        <v>0</v>
      </c>
      <c r="AJ1470" s="75">
        <v>0</v>
      </c>
      <c r="AK1470" s="75">
        <v>0</v>
      </c>
      <c r="AL1470" s="95">
        <v>1</v>
      </c>
      <c r="AM1470" s="92">
        <v>0</v>
      </c>
      <c r="AN1470" s="79" t="s">
        <v>80</v>
      </c>
      <c r="AO1470" s="75">
        <v>1</v>
      </c>
      <c r="AP1470" s="75" t="s">
        <v>83</v>
      </c>
      <c r="AQ1470" s="122">
        <v>1</v>
      </c>
      <c r="AR1470" s="515" t="s">
        <v>10</v>
      </c>
      <c r="AS1470" s="95">
        <v>0</v>
      </c>
      <c r="AT1470" s="75">
        <v>0</v>
      </c>
      <c r="AU1470" s="75">
        <v>0</v>
      </c>
      <c r="AV1470" s="75">
        <v>0</v>
      </c>
      <c r="AW1470" s="123">
        <v>0</v>
      </c>
      <c r="AX1470" s="516" t="s">
        <v>1645</v>
      </c>
      <c r="AY1470" s="75">
        <v>1</v>
      </c>
      <c r="AZ1470" s="77" t="s">
        <v>131</v>
      </c>
      <c r="BA1470" s="78" t="s">
        <v>131</v>
      </c>
      <c r="BB1470" s="78" t="s">
        <v>131</v>
      </c>
      <c r="BC1470" s="78" t="s">
        <v>131</v>
      </c>
      <c r="BD1470" s="78" t="s">
        <v>131</v>
      </c>
      <c r="BE1470" s="78" t="s">
        <v>131</v>
      </c>
      <c r="BF1470" s="78" t="s">
        <v>131</v>
      </c>
      <c r="BG1470" s="78" t="s">
        <v>132</v>
      </c>
      <c r="BH1470" s="75" t="s">
        <v>5970</v>
      </c>
      <c r="BI1470" s="295" t="s">
        <v>2227</v>
      </c>
      <c r="BJ1470" s="546">
        <v>1</v>
      </c>
      <c r="BK1470" s="294">
        <v>1</v>
      </c>
      <c r="BL1470" s="157">
        <v>1</v>
      </c>
      <c r="BM1470" s="548" t="s">
        <v>578</v>
      </c>
      <c r="BN1470" s="548" t="s">
        <v>4159</v>
      </c>
      <c r="BO1470" s="157" t="s">
        <v>4341</v>
      </c>
      <c r="BP1470" s="548" t="s">
        <v>4343</v>
      </c>
      <c r="BQ1470" s="157" t="s">
        <v>4309</v>
      </c>
      <c r="BR1470" s="157"/>
    </row>
    <row r="1471" spans="1:70" x14ac:dyDescent="0.25">
      <c r="A1471" s="19" t="s">
        <v>3686</v>
      </c>
      <c r="B1471" s="37" t="s">
        <v>1646</v>
      </c>
      <c r="C1471" s="90">
        <v>44753.649583333332</v>
      </c>
      <c r="D1471" s="114">
        <v>44753.399583333332</v>
      </c>
      <c r="E1471" s="38">
        <v>44753</v>
      </c>
      <c r="F1471" s="91">
        <v>2022</v>
      </c>
      <c r="G1471" s="93">
        <v>7</v>
      </c>
      <c r="H1471" s="37" t="s">
        <v>1425</v>
      </c>
      <c r="I1471" s="37"/>
      <c r="J1471" s="103">
        <v>-92.64405406148316</v>
      </c>
      <c r="K1471" s="40">
        <v>44.844562314386984</v>
      </c>
      <c r="L1471" s="74"/>
      <c r="M1471" s="272" t="s">
        <v>1647</v>
      </c>
      <c r="N1471" s="74">
        <v>1</v>
      </c>
      <c r="O1471" s="94"/>
      <c r="P1471" s="118">
        <v>1</v>
      </c>
      <c r="Q1471" s="510">
        <v>120</v>
      </c>
      <c r="R1471" s="513">
        <v>180</v>
      </c>
      <c r="S1471" s="41"/>
      <c r="T1471" s="40"/>
      <c r="U1471" s="40">
        <v>8</v>
      </c>
      <c r="V1471" s="119">
        <v>1</v>
      </c>
      <c r="W1471" s="40">
        <v>0</v>
      </c>
      <c r="X1471" s="119">
        <v>1</v>
      </c>
      <c r="Y1471" s="40">
        <v>63</v>
      </c>
      <c r="Z1471" s="119">
        <v>1</v>
      </c>
      <c r="AA1471" s="368">
        <v>0</v>
      </c>
      <c r="AB1471" s="535">
        <v>5</v>
      </c>
      <c r="AC1471" s="39" t="s">
        <v>160</v>
      </c>
      <c r="AD1471" s="75" t="s">
        <v>9</v>
      </c>
      <c r="AE1471" s="95">
        <v>0</v>
      </c>
      <c r="AF1471" s="75">
        <v>0</v>
      </c>
      <c r="AG1471" s="75">
        <v>1</v>
      </c>
      <c r="AH1471" s="75">
        <v>0</v>
      </c>
      <c r="AI1471" s="75">
        <v>0</v>
      </c>
      <c r="AJ1471" s="75">
        <v>0</v>
      </c>
      <c r="AK1471" s="75">
        <v>0</v>
      </c>
      <c r="AL1471" s="95">
        <v>0</v>
      </c>
      <c r="AM1471" s="92">
        <v>0</v>
      </c>
      <c r="AN1471" s="79" t="s">
        <v>80</v>
      </c>
      <c r="AO1471" s="75">
        <v>1</v>
      </c>
      <c r="AP1471" s="75" t="s">
        <v>83</v>
      </c>
      <c r="AQ1471" s="122">
        <v>1</v>
      </c>
      <c r="AR1471" s="515" t="s">
        <v>10</v>
      </c>
      <c r="AS1471" s="95">
        <v>0</v>
      </c>
      <c r="AT1471" s="75">
        <v>0</v>
      </c>
      <c r="AU1471" s="75">
        <v>0</v>
      </c>
      <c r="AV1471" s="75">
        <v>0</v>
      </c>
      <c r="AW1471" s="123">
        <v>0</v>
      </c>
      <c r="AX1471" s="516" t="s">
        <v>1582</v>
      </c>
      <c r="AY1471" s="75">
        <v>1</v>
      </c>
      <c r="AZ1471" s="77" t="s">
        <v>131</v>
      </c>
      <c r="BA1471" s="78" t="s">
        <v>131</v>
      </c>
      <c r="BB1471" s="78" t="s">
        <v>132</v>
      </c>
      <c r="BC1471" s="78" t="s">
        <v>131</v>
      </c>
      <c r="BD1471" s="78" t="s">
        <v>131</v>
      </c>
      <c r="BE1471" s="78" t="s">
        <v>131</v>
      </c>
      <c r="BF1471" s="78" t="s">
        <v>131</v>
      </c>
      <c r="BG1471" s="78" t="s">
        <v>131</v>
      </c>
      <c r="BH1471" s="75" t="s">
        <v>5970</v>
      </c>
      <c r="BI1471" s="295" t="s">
        <v>2227</v>
      </c>
      <c r="BJ1471" s="546">
        <v>1</v>
      </c>
      <c r="BK1471" s="294">
        <v>1</v>
      </c>
      <c r="BL1471" s="157">
        <v>1</v>
      </c>
      <c r="BM1471" s="548" t="s">
        <v>578</v>
      </c>
      <c r="BN1471" s="548" t="s">
        <v>4159</v>
      </c>
      <c r="BO1471" s="157" t="s">
        <v>4341</v>
      </c>
      <c r="BP1471" s="548" t="s">
        <v>4343</v>
      </c>
      <c r="BQ1471" s="157" t="s">
        <v>4309</v>
      </c>
      <c r="BR1471" s="157"/>
    </row>
    <row r="1472" spans="1:70" x14ac:dyDescent="0.25">
      <c r="A1472" s="19" t="s">
        <v>3686</v>
      </c>
      <c r="B1472" s="37" t="s">
        <v>1648</v>
      </c>
      <c r="C1472" s="90">
        <v>44753.626516203702</v>
      </c>
      <c r="D1472" s="114">
        <v>44753.376516203702</v>
      </c>
      <c r="E1472" s="38">
        <v>44753</v>
      </c>
      <c r="F1472" s="91">
        <v>2022</v>
      </c>
      <c r="G1472" s="93">
        <v>7</v>
      </c>
      <c r="H1472" s="37" t="s">
        <v>1433</v>
      </c>
      <c r="I1472" s="37"/>
      <c r="J1472" s="103">
        <v>-92.638110397469845</v>
      </c>
      <c r="K1472" s="40">
        <v>44.851712272544255</v>
      </c>
      <c r="L1472" s="74"/>
      <c r="M1472" s="272" t="s">
        <v>16</v>
      </c>
      <c r="N1472" s="74">
        <v>0</v>
      </c>
      <c r="O1472" s="94"/>
      <c r="P1472" s="118">
        <v>1</v>
      </c>
      <c r="Q1472" s="510">
        <v>120</v>
      </c>
      <c r="R1472" s="513">
        <v>120</v>
      </c>
      <c r="S1472" s="41"/>
      <c r="T1472" s="40"/>
      <c r="U1472" s="40">
        <v>7.5</v>
      </c>
      <c r="V1472" s="119">
        <v>1</v>
      </c>
      <c r="W1472" s="40">
        <v>100</v>
      </c>
      <c r="X1472" s="119">
        <v>1</v>
      </c>
      <c r="Y1472" s="40">
        <v>61</v>
      </c>
      <c r="Z1472" s="119">
        <v>1</v>
      </c>
      <c r="AA1472" s="368">
        <v>0</v>
      </c>
      <c r="AB1472" s="535">
        <v>5</v>
      </c>
      <c r="AC1472" s="39" t="s">
        <v>160</v>
      </c>
      <c r="AD1472" s="75" t="s">
        <v>10</v>
      </c>
      <c r="AE1472" s="95">
        <v>0</v>
      </c>
      <c r="AF1472" s="75">
        <v>0</v>
      </c>
      <c r="AG1472" s="75">
        <v>0</v>
      </c>
      <c r="AH1472" s="75">
        <v>0</v>
      </c>
      <c r="AI1472" s="75">
        <v>0</v>
      </c>
      <c r="AJ1472" s="75">
        <v>0</v>
      </c>
      <c r="AK1472" s="75">
        <v>0</v>
      </c>
      <c r="AL1472" s="95">
        <v>1</v>
      </c>
      <c r="AM1472" s="92">
        <v>0</v>
      </c>
      <c r="AN1472" s="79" t="s">
        <v>80</v>
      </c>
      <c r="AO1472" s="75">
        <v>1</v>
      </c>
      <c r="AP1472" s="75" t="s">
        <v>83</v>
      </c>
      <c r="AQ1472" s="122">
        <v>1</v>
      </c>
      <c r="AR1472" s="515" t="s">
        <v>10</v>
      </c>
      <c r="AS1472" s="95">
        <v>0</v>
      </c>
      <c r="AT1472" s="75">
        <v>0</v>
      </c>
      <c r="AU1472" s="75">
        <v>0</v>
      </c>
      <c r="AV1472" s="75">
        <v>0</v>
      </c>
      <c r="AW1472" s="123">
        <v>0</v>
      </c>
      <c r="AX1472" s="516" t="s">
        <v>1649</v>
      </c>
      <c r="AY1472" s="75">
        <v>1</v>
      </c>
      <c r="AZ1472" s="77" t="s">
        <v>131</v>
      </c>
      <c r="BA1472" s="78" t="s">
        <v>131</v>
      </c>
      <c r="BB1472" s="78" t="s">
        <v>131</v>
      </c>
      <c r="BC1472" s="78" t="s">
        <v>131</v>
      </c>
      <c r="BD1472" s="78" t="s">
        <v>131</v>
      </c>
      <c r="BE1472" s="78" t="s">
        <v>131</v>
      </c>
      <c r="BF1472" s="78" t="s">
        <v>131</v>
      </c>
      <c r="BG1472" s="78" t="s">
        <v>132</v>
      </c>
      <c r="BH1472" s="75" t="s">
        <v>5970</v>
      </c>
      <c r="BI1472" s="295" t="s">
        <v>2227</v>
      </c>
      <c r="BJ1472" s="546">
        <v>1</v>
      </c>
      <c r="BK1472" s="294">
        <v>1</v>
      </c>
      <c r="BL1472" s="157">
        <v>1</v>
      </c>
      <c r="BM1472" s="548" t="s">
        <v>578</v>
      </c>
      <c r="BN1472" s="548" t="s">
        <v>4159</v>
      </c>
      <c r="BO1472" s="157" t="s">
        <v>4341</v>
      </c>
      <c r="BP1472" s="548" t="s">
        <v>4343</v>
      </c>
      <c r="BQ1472" s="157" t="s">
        <v>4309</v>
      </c>
      <c r="BR1472" s="157"/>
    </row>
    <row r="1473" spans="1:70" x14ac:dyDescent="0.25">
      <c r="A1473" s="19" t="s">
        <v>3686</v>
      </c>
      <c r="B1473" s="37" t="s">
        <v>1650</v>
      </c>
      <c r="C1473" s="90">
        <v>44753.617696759262</v>
      </c>
      <c r="D1473" s="114">
        <v>44753.367696759262</v>
      </c>
      <c r="E1473" s="38">
        <v>44753</v>
      </c>
      <c r="F1473" s="91">
        <v>2022</v>
      </c>
      <c r="G1473" s="93">
        <v>7</v>
      </c>
      <c r="H1473" s="37" t="s">
        <v>1491</v>
      </c>
      <c r="I1473" s="37"/>
      <c r="J1473" s="103">
        <v>-92.732055900000006</v>
      </c>
      <c r="K1473" s="40">
        <v>44.8309572</v>
      </c>
      <c r="L1473" s="74"/>
      <c r="M1473" s="272" t="s">
        <v>16</v>
      </c>
      <c r="N1473" s="74">
        <v>0</v>
      </c>
      <c r="O1473" s="94"/>
      <c r="P1473" s="118">
        <v>1</v>
      </c>
      <c r="Q1473" s="510">
        <v>80</v>
      </c>
      <c r="R1473" s="513">
        <v>120</v>
      </c>
      <c r="S1473" s="41"/>
      <c r="T1473" s="40"/>
      <c r="U1473" s="40">
        <v>7.5</v>
      </c>
      <c r="V1473" s="119">
        <v>1</v>
      </c>
      <c r="W1473" s="40">
        <v>0</v>
      </c>
      <c r="X1473" s="119">
        <v>1</v>
      </c>
      <c r="Y1473" s="40">
        <v>62</v>
      </c>
      <c r="Z1473" s="119">
        <v>1</v>
      </c>
      <c r="AA1473" s="368">
        <v>0</v>
      </c>
      <c r="AB1473" s="535">
        <v>5</v>
      </c>
      <c r="AC1473" s="39" t="s">
        <v>160</v>
      </c>
      <c r="AD1473" s="75" t="s">
        <v>355</v>
      </c>
      <c r="AE1473" s="95">
        <v>0</v>
      </c>
      <c r="AF1473" s="75">
        <v>0</v>
      </c>
      <c r="AG1473" s="75">
        <v>0</v>
      </c>
      <c r="AH1473" s="75">
        <v>1</v>
      </c>
      <c r="AI1473" s="75">
        <v>0</v>
      </c>
      <c r="AJ1473" s="75">
        <v>0</v>
      </c>
      <c r="AK1473" s="75">
        <v>0</v>
      </c>
      <c r="AL1473" s="95">
        <v>0</v>
      </c>
      <c r="AM1473" s="92">
        <v>0</v>
      </c>
      <c r="AN1473" s="79" t="s">
        <v>80</v>
      </c>
      <c r="AO1473" s="75">
        <v>1</v>
      </c>
      <c r="AP1473" s="75" t="s">
        <v>83</v>
      </c>
      <c r="AQ1473" s="122">
        <v>1</v>
      </c>
      <c r="AR1473" s="515" t="s">
        <v>10</v>
      </c>
      <c r="AS1473" s="95">
        <v>0</v>
      </c>
      <c r="AT1473" s="75">
        <v>0</v>
      </c>
      <c r="AU1473" s="75">
        <v>0</v>
      </c>
      <c r="AV1473" s="75">
        <v>0</v>
      </c>
      <c r="AW1473" s="123">
        <v>0</v>
      </c>
      <c r="AX1473" s="516" t="s">
        <v>1651</v>
      </c>
      <c r="AY1473" s="75">
        <v>1</v>
      </c>
      <c r="AZ1473" s="77" t="s">
        <v>131</v>
      </c>
      <c r="BA1473" s="78" t="s">
        <v>131</v>
      </c>
      <c r="BB1473" s="78" t="s">
        <v>131</v>
      </c>
      <c r="BC1473" s="78" t="s">
        <v>132</v>
      </c>
      <c r="BD1473" s="78" t="s">
        <v>131</v>
      </c>
      <c r="BE1473" s="78" t="s">
        <v>131</v>
      </c>
      <c r="BF1473" s="78" t="s">
        <v>131</v>
      </c>
      <c r="BG1473" s="78" t="s">
        <v>131</v>
      </c>
      <c r="BH1473" s="75" t="s">
        <v>5970</v>
      </c>
      <c r="BI1473" s="295" t="s">
        <v>2227</v>
      </c>
      <c r="BJ1473" s="546">
        <v>1</v>
      </c>
      <c r="BK1473" s="294" t="s">
        <v>16</v>
      </c>
      <c r="BL1473" s="157" t="s">
        <v>16</v>
      </c>
      <c r="BM1473" s="548" t="s">
        <v>578</v>
      </c>
      <c r="BN1473" s="548" t="s">
        <v>4159</v>
      </c>
      <c r="BO1473" s="157" t="s">
        <v>4341</v>
      </c>
      <c r="BP1473" s="548" t="s">
        <v>4343</v>
      </c>
      <c r="BQ1473" s="157" t="s">
        <v>4309</v>
      </c>
      <c r="BR1473" s="157"/>
    </row>
    <row r="1474" spans="1:70" x14ac:dyDescent="0.25">
      <c r="A1474" s="19" t="s">
        <v>3686</v>
      </c>
      <c r="B1474" s="37" t="s">
        <v>1652</v>
      </c>
      <c r="C1474" s="90">
        <v>44753.598136574074</v>
      </c>
      <c r="D1474" s="114">
        <v>44753.348136574074</v>
      </c>
      <c r="E1474" s="38">
        <v>44753</v>
      </c>
      <c r="F1474" s="91">
        <v>2022</v>
      </c>
      <c r="G1474" s="93">
        <v>7</v>
      </c>
      <c r="H1474" s="37" t="s">
        <v>1491</v>
      </c>
      <c r="I1474" s="37"/>
      <c r="J1474" s="103">
        <v>-92.624010600000005</v>
      </c>
      <c r="K1474" s="40">
        <v>44.8639753</v>
      </c>
      <c r="L1474" s="74"/>
      <c r="M1474" s="272" t="s">
        <v>16</v>
      </c>
      <c r="N1474" s="74">
        <v>0</v>
      </c>
      <c r="O1474" s="94"/>
      <c r="P1474" s="118">
        <v>1</v>
      </c>
      <c r="Q1474" s="510">
        <v>40</v>
      </c>
      <c r="R1474" s="513">
        <v>120</v>
      </c>
      <c r="S1474" s="41"/>
      <c r="T1474" s="40"/>
      <c r="U1474" s="40">
        <v>7.5</v>
      </c>
      <c r="V1474" s="119">
        <v>1</v>
      </c>
      <c r="W1474" s="40">
        <v>100</v>
      </c>
      <c r="X1474" s="119">
        <v>1</v>
      </c>
      <c r="Y1474" s="40">
        <v>59</v>
      </c>
      <c r="Z1474" s="119">
        <v>1</v>
      </c>
      <c r="AA1474" s="368">
        <v>0</v>
      </c>
      <c r="AB1474" s="535">
        <v>5</v>
      </c>
      <c r="AC1474" s="39" t="s">
        <v>160</v>
      </c>
      <c r="AD1474" s="75" t="s">
        <v>9</v>
      </c>
      <c r="AE1474" s="95">
        <v>0</v>
      </c>
      <c r="AF1474" s="75">
        <v>0</v>
      </c>
      <c r="AG1474" s="75">
        <v>1</v>
      </c>
      <c r="AH1474" s="75">
        <v>0</v>
      </c>
      <c r="AI1474" s="75">
        <v>0</v>
      </c>
      <c r="AJ1474" s="75">
        <v>0</v>
      </c>
      <c r="AK1474" s="75">
        <v>0</v>
      </c>
      <c r="AL1474" s="95">
        <v>0</v>
      </c>
      <c r="AM1474" s="92">
        <v>0</v>
      </c>
      <c r="AN1474" s="79" t="s">
        <v>80</v>
      </c>
      <c r="AO1474" s="75">
        <v>1</v>
      </c>
      <c r="AP1474" s="75" t="s">
        <v>83</v>
      </c>
      <c r="AQ1474" s="122">
        <v>1</v>
      </c>
      <c r="AR1474" s="515" t="s">
        <v>10</v>
      </c>
      <c r="AS1474" s="95">
        <v>0</v>
      </c>
      <c r="AT1474" s="75">
        <v>0</v>
      </c>
      <c r="AU1474" s="75">
        <v>0</v>
      </c>
      <c r="AV1474" s="75">
        <v>0</v>
      </c>
      <c r="AW1474" s="123">
        <v>0</v>
      </c>
      <c r="AX1474" s="516" t="s">
        <v>1653</v>
      </c>
      <c r="AY1474" s="75">
        <v>1</v>
      </c>
      <c r="AZ1474" s="77" t="s">
        <v>131</v>
      </c>
      <c r="BA1474" s="78" t="s">
        <v>131</v>
      </c>
      <c r="BB1474" s="78" t="s">
        <v>132</v>
      </c>
      <c r="BC1474" s="78" t="s">
        <v>131</v>
      </c>
      <c r="BD1474" s="78" t="s">
        <v>131</v>
      </c>
      <c r="BE1474" s="78" t="s">
        <v>131</v>
      </c>
      <c r="BF1474" s="78" t="s">
        <v>131</v>
      </c>
      <c r="BG1474" s="78" t="s">
        <v>131</v>
      </c>
      <c r="BH1474" s="75" t="s">
        <v>5970</v>
      </c>
      <c r="BI1474" s="295" t="s">
        <v>2227</v>
      </c>
      <c r="BJ1474" s="546">
        <v>1</v>
      </c>
      <c r="BK1474" s="294" t="s">
        <v>16</v>
      </c>
      <c r="BL1474" s="157" t="s">
        <v>16</v>
      </c>
      <c r="BM1474" s="548" t="s">
        <v>578</v>
      </c>
      <c r="BN1474" s="548" t="s">
        <v>4159</v>
      </c>
      <c r="BO1474" s="157" t="s">
        <v>4311</v>
      </c>
      <c r="BP1474" s="548" t="s">
        <v>4395</v>
      </c>
      <c r="BQ1474" s="157" t="s">
        <v>4309</v>
      </c>
      <c r="BR1474" s="157"/>
    </row>
    <row r="1475" spans="1:70" x14ac:dyDescent="0.25">
      <c r="A1475" s="19" t="s">
        <v>3686</v>
      </c>
      <c r="B1475" s="37" t="s">
        <v>1654</v>
      </c>
      <c r="C1475" s="90">
        <v>44753.567997685182</v>
      </c>
      <c r="D1475" s="114">
        <v>44753.317997685182</v>
      </c>
      <c r="E1475" s="38">
        <v>44753</v>
      </c>
      <c r="F1475" s="91">
        <v>2022</v>
      </c>
      <c r="G1475" s="93">
        <v>7</v>
      </c>
      <c r="H1475" s="37" t="s">
        <v>603</v>
      </c>
      <c r="I1475" s="37" t="s">
        <v>753</v>
      </c>
      <c r="J1475" s="103">
        <v>-92.802108399999995</v>
      </c>
      <c r="K1475" s="40">
        <v>44.542979000000003</v>
      </c>
      <c r="L1475" s="74"/>
      <c r="M1475" s="272" t="s">
        <v>1655</v>
      </c>
      <c r="N1475" s="74">
        <v>1</v>
      </c>
      <c r="O1475" s="94"/>
      <c r="P1475" s="118">
        <v>1</v>
      </c>
      <c r="Q1475" s="510">
        <v>120</v>
      </c>
      <c r="R1475" s="513">
        <v>120</v>
      </c>
      <c r="S1475" s="41"/>
      <c r="T1475" s="40"/>
      <c r="U1475" s="40">
        <v>7.5</v>
      </c>
      <c r="V1475" s="119">
        <v>1</v>
      </c>
      <c r="W1475" s="40">
        <v>0</v>
      </c>
      <c r="X1475" s="119">
        <v>1</v>
      </c>
      <c r="Y1475" s="40">
        <v>55</v>
      </c>
      <c r="Z1475" s="119">
        <v>1</v>
      </c>
      <c r="AA1475" s="368">
        <v>0</v>
      </c>
      <c r="AB1475" s="535">
        <v>10</v>
      </c>
      <c r="AC1475" s="39" t="s">
        <v>160</v>
      </c>
      <c r="AD1475" s="75" t="s">
        <v>16</v>
      </c>
      <c r="AE1475" s="95">
        <v>-1</v>
      </c>
      <c r="AF1475" s="75">
        <v>-1</v>
      </c>
      <c r="AG1475" s="75">
        <v>-1</v>
      </c>
      <c r="AH1475" s="75">
        <v>-1</v>
      </c>
      <c r="AI1475" s="75">
        <v>-1</v>
      </c>
      <c r="AJ1475" s="75">
        <v>-1</v>
      </c>
      <c r="AK1475" s="75">
        <v>-1</v>
      </c>
      <c r="AL1475" s="95">
        <v>-1</v>
      </c>
      <c r="AM1475" s="92">
        <v>1</v>
      </c>
      <c r="AN1475" s="79" t="s">
        <v>80</v>
      </c>
      <c r="AO1475" s="75">
        <v>1</v>
      </c>
      <c r="AP1475" s="75" t="s">
        <v>83</v>
      </c>
      <c r="AQ1475" s="122">
        <v>1</v>
      </c>
      <c r="AR1475" s="515" t="s">
        <v>13</v>
      </c>
      <c r="AS1475" s="95">
        <v>1</v>
      </c>
      <c r="AT1475" s="75">
        <v>0</v>
      </c>
      <c r="AU1475" s="75">
        <v>0</v>
      </c>
      <c r="AV1475" s="75">
        <v>0</v>
      </c>
      <c r="AW1475" s="123">
        <v>0</v>
      </c>
      <c r="AX1475" s="516"/>
      <c r="AY1475" s="75">
        <v>0</v>
      </c>
      <c r="AZ1475" s="77" t="s">
        <v>5971</v>
      </c>
      <c r="BA1475" s="78" t="s">
        <v>5971</v>
      </c>
      <c r="BB1475" s="78" t="s">
        <v>5971</v>
      </c>
      <c r="BC1475" s="78" t="s">
        <v>5971</v>
      </c>
      <c r="BD1475" s="78" t="s">
        <v>5971</v>
      </c>
      <c r="BE1475" s="78" t="s">
        <v>5971</v>
      </c>
      <c r="BF1475" s="78" t="s">
        <v>5971</v>
      </c>
      <c r="BG1475" s="78" t="s">
        <v>5971</v>
      </c>
      <c r="BH1475" s="75" t="s">
        <v>5971</v>
      </c>
      <c r="BI1475" s="295" t="s">
        <v>16</v>
      </c>
      <c r="BJ1475" s="546">
        <v>1</v>
      </c>
      <c r="BK1475" s="294">
        <v>1</v>
      </c>
      <c r="BL1475" s="157">
        <v>1</v>
      </c>
      <c r="BM1475" s="548" t="s">
        <v>2343</v>
      </c>
      <c r="BN1475" s="548" t="s">
        <v>4161</v>
      </c>
      <c r="BO1475" s="157" t="s">
        <v>4510</v>
      </c>
      <c r="BP1475" s="548" t="s">
        <v>753</v>
      </c>
      <c r="BQ1475" s="157" t="s">
        <v>4389</v>
      </c>
      <c r="BR1475" s="157"/>
    </row>
    <row r="1476" spans="1:70" x14ac:dyDescent="0.25">
      <c r="A1476" s="19" t="s">
        <v>3686</v>
      </c>
      <c r="B1476" s="37" t="s">
        <v>1656</v>
      </c>
      <c r="C1476" s="90">
        <v>44752.758587962962</v>
      </c>
      <c r="D1476" s="114">
        <v>44752.508587962962</v>
      </c>
      <c r="E1476" s="38">
        <v>44752</v>
      </c>
      <c r="F1476" s="91">
        <v>2022</v>
      </c>
      <c r="G1476" s="93">
        <v>7</v>
      </c>
      <c r="H1476" s="37" t="s">
        <v>1410</v>
      </c>
      <c r="I1476" s="37" t="s">
        <v>1411</v>
      </c>
      <c r="J1476" s="103">
        <v>-93.231352566528315</v>
      </c>
      <c r="K1476" s="40">
        <v>44.846853383173467</v>
      </c>
      <c r="L1476" s="74"/>
      <c r="M1476" s="272" t="s">
        <v>16</v>
      </c>
      <c r="N1476" s="74">
        <v>0</v>
      </c>
      <c r="O1476" s="94"/>
      <c r="P1476" s="118">
        <v>1</v>
      </c>
      <c r="Q1476" s="510">
        <v>180</v>
      </c>
      <c r="R1476" s="513">
        <v>180</v>
      </c>
      <c r="S1476" s="41"/>
      <c r="T1476" s="40"/>
      <c r="U1476" s="40">
        <v>8</v>
      </c>
      <c r="V1476" s="119">
        <v>1</v>
      </c>
      <c r="W1476" s="40">
        <v>0</v>
      </c>
      <c r="X1476" s="119">
        <v>1</v>
      </c>
      <c r="Y1476" s="40">
        <v>62</v>
      </c>
      <c r="Z1476" s="119">
        <v>1</v>
      </c>
      <c r="AA1476" s="368">
        <v>0</v>
      </c>
      <c r="AB1476" s="535">
        <v>0</v>
      </c>
      <c r="AC1476" s="39" t="s">
        <v>160</v>
      </c>
      <c r="AD1476" s="75" t="s">
        <v>10</v>
      </c>
      <c r="AE1476" s="95">
        <v>0</v>
      </c>
      <c r="AF1476" s="75">
        <v>0</v>
      </c>
      <c r="AG1476" s="75">
        <v>0</v>
      </c>
      <c r="AH1476" s="75">
        <v>0</v>
      </c>
      <c r="AI1476" s="75">
        <v>0</v>
      </c>
      <c r="AJ1476" s="75">
        <v>0</v>
      </c>
      <c r="AK1476" s="75">
        <v>0</v>
      </c>
      <c r="AL1476" s="95">
        <v>1</v>
      </c>
      <c r="AM1476" s="92">
        <v>0</v>
      </c>
      <c r="AN1476" s="79" t="s">
        <v>195</v>
      </c>
      <c r="AO1476" s="75">
        <v>1</v>
      </c>
      <c r="AP1476" s="75" t="s">
        <v>83</v>
      </c>
      <c r="AQ1476" s="122">
        <v>1</v>
      </c>
      <c r="AR1476" s="515" t="s">
        <v>35</v>
      </c>
      <c r="AS1476" s="95">
        <v>0</v>
      </c>
      <c r="AT1476" s="75">
        <v>1</v>
      </c>
      <c r="AU1476" s="75">
        <v>0</v>
      </c>
      <c r="AV1476" s="75">
        <v>0</v>
      </c>
      <c r="AW1476" s="123">
        <v>0</v>
      </c>
      <c r="AX1476" s="516"/>
      <c r="AY1476" s="75">
        <v>0</v>
      </c>
      <c r="AZ1476" s="77" t="s">
        <v>131</v>
      </c>
      <c r="BA1476" s="78" t="s">
        <v>131</v>
      </c>
      <c r="BB1476" s="78" t="s">
        <v>131</v>
      </c>
      <c r="BC1476" s="78" t="s">
        <v>131</v>
      </c>
      <c r="BD1476" s="78" t="s">
        <v>131</v>
      </c>
      <c r="BE1476" s="78" t="s">
        <v>131</v>
      </c>
      <c r="BF1476" s="78" t="s">
        <v>131</v>
      </c>
      <c r="BG1476" s="78" t="s">
        <v>132</v>
      </c>
      <c r="BH1476" s="75" t="s">
        <v>5970</v>
      </c>
      <c r="BI1476" s="295" t="s">
        <v>16</v>
      </c>
      <c r="BJ1476" s="546" t="s">
        <v>16</v>
      </c>
      <c r="BK1476" s="294" t="s">
        <v>16</v>
      </c>
      <c r="BL1476" s="157" t="s">
        <v>16</v>
      </c>
      <c r="BM1476" s="548" t="s">
        <v>2343</v>
      </c>
      <c r="BN1476" s="548" t="s">
        <v>4161</v>
      </c>
      <c r="BO1476" s="157" t="s">
        <v>4327</v>
      </c>
      <c r="BP1476" s="548" t="s">
        <v>4314</v>
      </c>
      <c r="BQ1476" s="157" t="s">
        <v>4312</v>
      </c>
      <c r="BR1476" s="157"/>
    </row>
    <row r="1477" spans="1:70" x14ac:dyDescent="0.25">
      <c r="A1477" s="19" t="s">
        <v>3686</v>
      </c>
      <c r="B1477" s="37" t="s">
        <v>1657</v>
      </c>
      <c r="C1477" s="90">
        <v>44752.528506944444</v>
      </c>
      <c r="D1477" s="114">
        <v>44752.278506944444</v>
      </c>
      <c r="E1477" s="38">
        <v>44752</v>
      </c>
      <c r="F1477" s="91">
        <v>2022</v>
      </c>
      <c r="G1477" s="93">
        <v>7</v>
      </c>
      <c r="H1477" s="37" t="s">
        <v>260</v>
      </c>
      <c r="I1477" s="37" t="s">
        <v>337</v>
      </c>
      <c r="J1477" s="103">
        <v>-92.645034598648621</v>
      </c>
      <c r="K1477" s="40">
        <v>44.843598232720311</v>
      </c>
      <c r="L1477" s="74"/>
      <c r="M1477" s="272" t="s">
        <v>1658</v>
      </c>
      <c r="N1477" s="74">
        <v>1</v>
      </c>
      <c r="O1477" s="94"/>
      <c r="P1477" s="118">
        <v>1</v>
      </c>
      <c r="Q1477" s="510">
        <v>180</v>
      </c>
      <c r="R1477" s="513">
        <v>180</v>
      </c>
      <c r="S1477" s="41"/>
      <c r="T1477" s="40"/>
      <c r="U1477" s="40">
        <v>8</v>
      </c>
      <c r="V1477" s="119">
        <v>1</v>
      </c>
      <c r="W1477" s="40">
        <v>100</v>
      </c>
      <c r="X1477" s="119">
        <v>1</v>
      </c>
      <c r="Y1477" s="40">
        <v>60</v>
      </c>
      <c r="Z1477" s="119">
        <v>1</v>
      </c>
      <c r="AA1477" s="368">
        <v>0</v>
      </c>
      <c r="AB1477" s="535">
        <v>5</v>
      </c>
      <c r="AC1477" s="39" t="s">
        <v>160</v>
      </c>
      <c r="AD1477" s="75" t="s">
        <v>10</v>
      </c>
      <c r="AE1477" s="95">
        <v>0</v>
      </c>
      <c r="AF1477" s="75">
        <v>0</v>
      </c>
      <c r="AG1477" s="75">
        <v>0</v>
      </c>
      <c r="AH1477" s="75">
        <v>0</v>
      </c>
      <c r="AI1477" s="75">
        <v>0</v>
      </c>
      <c r="AJ1477" s="75">
        <v>0</v>
      </c>
      <c r="AK1477" s="75">
        <v>0</v>
      </c>
      <c r="AL1477" s="95">
        <v>1</v>
      </c>
      <c r="AM1477" s="92">
        <v>0</v>
      </c>
      <c r="AN1477" s="79" t="s">
        <v>80</v>
      </c>
      <c r="AO1477" s="75">
        <v>1</v>
      </c>
      <c r="AP1477" s="75" t="s">
        <v>83</v>
      </c>
      <c r="AQ1477" s="122">
        <v>1</v>
      </c>
      <c r="AR1477" s="515" t="s">
        <v>10</v>
      </c>
      <c r="AS1477" s="95">
        <v>0</v>
      </c>
      <c r="AT1477" s="75">
        <v>0</v>
      </c>
      <c r="AU1477" s="75">
        <v>0</v>
      </c>
      <c r="AV1477" s="75">
        <v>0</v>
      </c>
      <c r="AW1477" s="123">
        <v>0</v>
      </c>
      <c r="AX1477" s="516" t="s">
        <v>1659</v>
      </c>
      <c r="AY1477" s="75">
        <v>1</v>
      </c>
      <c r="AZ1477" s="77" t="s">
        <v>131</v>
      </c>
      <c r="BA1477" s="78" t="s">
        <v>131</v>
      </c>
      <c r="BB1477" s="78" t="s">
        <v>131</v>
      </c>
      <c r="BC1477" s="78" t="s">
        <v>131</v>
      </c>
      <c r="BD1477" s="78" t="s">
        <v>131</v>
      </c>
      <c r="BE1477" s="78" t="s">
        <v>131</v>
      </c>
      <c r="BF1477" s="78" t="s">
        <v>131</v>
      </c>
      <c r="BG1477" s="78" t="s">
        <v>132</v>
      </c>
      <c r="BH1477" s="75" t="s">
        <v>5970</v>
      </c>
      <c r="BI1477" s="295" t="s">
        <v>2227</v>
      </c>
      <c r="BJ1477" s="546">
        <v>1</v>
      </c>
      <c r="BK1477" s="294" t="s">
        <v>16</v>
      </c>
      <c r="BL1477" s="157" t="s">
        <v>16</v>
      </c>
      <c r="BM1477" s="548" t="s">
        <v>578</v>
      </c>
      <c r="BN1477" s="548" t="s">
        <v>578</v>
      </c>
      <c r="BO1477" s="157" t="s">
        <v>4341</v>
      </c>
      <c r="BP1477" s="548" t="s">
        <v>4343</v>
      </c>
      <c r="BQ1477" s="157" t="s">
        <v>4309</v>
      </c>
      <c r="BR1477" s="157"/>
    </row>
    <row r="1478" spans="1:70" x14ac:dyDescent="0.25">
      <c r="A1478" s="19" t="s">
        <v>3686</v>
      </c>
      <c r="B1478" s="37" t="s">
        <v>1660</v>
      </c>
      <c r="C1478" s="90">
        <v>44751.667812500003</v>
      </c>
      <c r="D1478" s="114">
        <v>44751.417812500003</v>
      </c>
      <c r="E1478" s="38">
        <v>44751</v>
      </c>
      <c r="F1478" s="91">
        <v>2022</v>
      </c>
      <c r="G1478" s="93">
        <v>7</v>
      </c>
      <c r="H1478" s="37" t="s">
        <v>1391</v>
      </c>
      <c r="I1478" s="37" t="s">
        <v>960</v>
      </c>
      <c r="J1478" s="103">
        <v>-93.009293088776062</v>
      </c>
      <c r="K1478" s="40">
        <v>44.657494020689889</v>
      </c>
      <c r="L1478" s="74"/>
      <c r="M1478" s="272" t="s">
        <v>1661</v>
      </c>
      <c r="N1478" s="74">
        <v>1</v>
      </c>
      <c r="O1478" s="94"/>
      <c r="P1478" s="118">
        <v>1</v>
      </c>
      <c r="Q1478" s="510">
        <v>0</v>
      </c>
      <c r="R1478" s="513">
        <v>60</v>
      </c>
      <c r="S1478" s="41"/>
      <c r="T1478" s="40"/>
      <c r="U1478" s="40">
        <v>8</v>
      </c>
      <c r="V1478" s="119">
        <v>1</v>
      </c>
      <c r="W1478" s="40">
        <v>200</v>
      </c>
      <c r="X1478" s="119">
        <v>1</v>
      </c>
      <c r="Y1478" s="40">
        <v>65</v>
      </c>
      <c r="Z1478" s="119">
        <v>1</v>
      </c>
      <c r="AA1478" s="368">
        <v>0</v>
      </c>
      <c r="AB1478" s="535">
        <v>10</v>
      </c>
      <c r="AC1478" s="39"/>
      <c r="AD1478" s="75" t="s">
        <v>10</v>
      </c>
      <c r="AE1478" s="95">
        <v>0</v>
      </c>
      <c r="AF1478" s="75">
        <v>0</v>
      </c>
      <c r="AG1478" s="75">
        <v>0</v>
      </c>
      <c r="AH1478" s="75">
        <v>0</v>
      </c>
      <c r="AI1478" s="75">
        <v>0</v>
      </c>
      <c r="AJ1478" s="75">
        <v>0</v>
      </c>
      <c r="AK1478" s="75">
        <v>0</v>
      </c>
      <c r="AL1478" s="95">
        <v>1</v>
      </c>
      <c r="AM1478" s="92">
        <v>0</v>
      </c>
      <c r="AN1478" s="79" t="s">
        <v>80</v>
      </c>
      <c r="AO1478" s="75">
        <v>1</v>
      </c>
      <c r="AP1478" s="75" t="s">
        <v>83</v>
      </c>
      <c r="AQ1478" s="122">
        <v>1</v>
      </c>
      <c r="AR1478" s="515" t="s">
        <v>10</v>
      </c>
      <c r="AS1478" s="95">
        <v>0</v>
      </c>
      <c r="AT1478" s="75">
        <v>0</v>
      </c>
      <c r="AU1478" s="75">
        <v>0</v>
      </c>
      <c r="AV1478" s="75">
        <v>0</v>
      </c>
      <c r="AW1478" s="123">
        <v>0</v>
      </c>
      <c r="AX1478" s="516"/>
      <c r="AY1478" s="75">
        <v>0</v>
      </c>
      <c r="AZ1478" s="77" t="s">
        <v>131</v>
      </c>
      <c r="BA1478" s="78" t="s">
        <v>131</v>
      </c>
      <c r="BB1478" s="78" t="s">
        <v>131</v>
      </c>
      <c r="BC1478" s="78" t="s">
        <v>131</v>
      </c>
      <c r="BD1478" s="78" t="s">
        <v>131</v>
      </c>
      <c r="BE1478" s="78" t="s">
        <v>131</v>
      </c>
      <c r="BF1478" s="78" t="s">
        <v>131</v>
      </c>
      <c r="BG1478" s="78" t="s">
        <v>132</v>
      </c>
      <c r="BH1478" s="75" t="s">
        <v>5970</v>
      </c>
      <c r="BI1478" s="295" t="s">
        <v>2225</v>
      </c>
      <c r="BJ1478" s="546">
        <v>1</v>
      </c>
      <c r="BK1478" s="294" t="s">
        <v>16</v>
      </c>
      <c r="BL1478" s="157" t="s">
        <v>16</v>
      </c>
      <c r="BM1478" s="548" t="s">
        <v>2343</v>
      </c>
      <c r="BN1478" s="548" t="s">
        <v>4161</v>
      </c>
      <c r="BO1478" s="157" t="s">
        <v>4293</v>
      </c>
      <c r="BP1478" s="548" t="s">
        <v>2225</v>
      </c>
      <c r="BQ1478" s="157" t="s">
        <v>4292</v>
      </c>
      <c r="BR1478" s="157"/>
    </row>
    <row r="1479" spans="1:70" x14ac:dyDescent="0.25">
      <c r="A1479" s="19" t="s">
        <v>3686</v>
      </c>
      <c r="B1479" s="37" t="s">
        <v>1662</v>
      </c>
      <c r="C1479" s="90">
        <v>44749.691874999997</v>
      </c>
      <c r="D1479" s="114">
        <v>44749.441874999997</v>
      </c>
      <c r="E1479" s="38">
        <v>44749</v>
      </c>
      <c r="F1479" s="91">
        <v>2022</v>
      </c>
      <c r="G1479" s="93">
        <v>7</v>
      </c>
      <c r="H1479" s="37" t="s">
        <v>1401</v>
      </c>
      <c r="I1479" s="37" t="s">
        <v>1402</v>
      </c>
      <c r="J1479" s="103">
        <v>-92.7255325</v>
      </c>
      <c r="K1479" s="40">
        <v>44.547135699999998</v>
      </c>
      <c r="L1479" s="74"/>
      <c r="M1479" s="272" t="s">
        <v>16</v>
      </c>
      <c r="N1479" s="74">
        <v>0</v>
      </c>
      <c r="O1479" s="94"/>
      <c r="P1479" s="118">
        <v>1</v>
      </c>
      <c r="Q1479" s="510">
        <v>0</v>
      </c>
      <c r="R1479" s="513">
        <v>60</v>
      </c>
      <c r="S1479" s="41"/>
      <c r="T1479" s="40"/>
      <c r="U1479" s="40">
        <v>7</v>
      </c>
      <c r="V1479" s="119">
        <v>1</v>
      </c>
      <c r="W1479" s="40">
        <v>100</v>
      </c>
      <c r="X1479" s="119">
        <v>1</v>
      </c>
      <c r="Y1479" s="40">
        <v>65</v>
      </c>
      <c r="Z1479" s="119">
        <v>1</v>
      </c>
      <c r="AA1479" s="368">
        <v>0</v>
      </c>
      <c r="AB1479" s="535">
        <v>2</v>
      </c>
      <c r="AC1479" s="39" t="s">
        <v>160</v>
      </c>
      <c r="AD1479" s="75" t="s">
        <v>1663</v>
      </c>
      <c r="AE1479" s="95">
        <v>0</v>
      </c>
      <c r="AF1479" s="75">
        <v>1</v>
      </c>
      <c r="AG1479" s="75">
        <v>0</v>
      </c>
      <c r="AH1479" s="75">
        <v>0</v>
      </c>
      <c r="AI1479" s="75">
        <v>0</v>
      </c>
      <c r="AJ1479" s="75">
        <v>0</v>
      </c>
      <c r="AK1479" s="75">
        <v>0</v>
      </c>
      <c r="AL1479" s="95">
        <v>1</v>
      </c>
      <c r="AM1479" s="92">
        <v>0</v>
      </c>
      <c r="AN1479" s="79" t="s">
        <v>80</v>
      </c>
      <c r="AO1479" s="75">
        <v>1</v>
      </c>
      <c r="AP1479" s="75" t="s">
        <v>83</v>
      </c>
      <c r="AQ1479" s="122">
        <v>1</v>
      </c>
      <c r="AR1479" s="515" t="s">
        <v>10</v>
      </c>
      <c r="AS1479" s="95">
        <v>0</v>
      </c>
      <c r="AT1479" s="75">
        <v>0</v>
      </c>
      <c r="AU1479" s="75">
        <v>0</v>
      </c>
      <c r="AV1479" s="75">
        <v>0</v>
      </c>
      <c r="AW1479" s="123">
        <v>0</v>
      </c>
      <c r="AX1479" s="516"/>
      <c r="AY1479" s="75">
        <v>0</v>
      </c>
      <c r="AZ1479" s="77" t="s">
        <v>131</v>
      </c>
      <c r="BA1479" s="78" t="s">
        <v>132</v>
      </c>
      <c r="BB1479" s="78" t="s">
        <v>131</v>
      </c>
      <c r="BC1479" s="78" t="s">
        <v>131</v>
      </c>
      <c r="BD1479" s="78" t="s">
        <v>131</v>
      </c>
      <c r="BE1479" s="78" t="s">
        <v>131</v>
      </c>
      <c r="BF1479" s="78" t="s">
        <v>131</v>
      </c>
      <c r="BG1479" s="78" t="s">
        <v>132</v>
      </c>
      <c r="BH1479" s="75" t="s">
        <v>5970</v>
      </c>
      <c r="BI1479" s="295" t="s">
        <v>1402</v>
      </c>
      <c r="BJ1479" s="546" t="s">
        <v>16</v>
      </c>
      <c r="BK1479" s="294" t="s">
        <v>16</v>
      </c>
      <c r="BL1479" s="157" t="s">
        <v>16</v>
      </c>
      <c r="BM1479" s="548" t="s">
        <v>2343</v>
      </c>
      <c r="BN1479" s="548" t="s">
        <v>4161</v>
      </c>
      <c r="BO1479" s="157" t="s">
        <v>4290</v>
      </c>
      <c r="BP1479" s="548" t="s">
        <v>4291</v>
      </c>
      <c r="BQ1479" s="157" t="s">
        <v>4289</v>
      </c>
      <c r="BR1479" s="157"/>
    </row>
    <row r="1480" spans="1:70" x14ac:dyDescent="0.25">
      <c r="A1480" s="19" t="s">
        <v>3686</v>
      </c>
      <c r="B1480" s="37" t="s">
        <v>1664</v>
      </c>
      <c r="C1480" s="90">
        <v>44747.957858796297</v>
      </c>
      <c r="D1480" s="114">
        <v>44747.707858796297</v>
      </c>
      <c r="E1480" s="38">
        <v>44747</v>
      </c>
      <c r="F1480" s="91">
        <v>2022</v>
      </c>
      <c r="G1480" s="93">
        <v>7</v>
      </c>
      <c r="H1480" s="37" t="s">
        <v>379</v>
      </c>
      <c r="I1480" s="37" t="s">
        <v>642</v>
      </c>
      <c r="J1480" s="103">
        <v>-92.583454521459117</v>
      </c>
      <c r="K1480" s="40">
        <v>44.848862383556408</v>
      </c>
      <c r="L1480" s="74"/>
      <c r="M1480" s="272" t="s">
        <v>16</v>
      </c>
      <c r="N1480" s="74">
        <v>0</v>
      </c>
      <c r="O1480" s="94"/>
      <c r="P1480" s="118">
        <v>1</v>
      </c>
      <c r="Q1480" s="510">
        <v>180</v>
      </c>
      <c r="R1480" s="513">
        <v>30</v>
      </c>
      <c r="S1480" s="41"/>
      <c r="T1480" s="40"/>
      <c r="U1480" s="40">
        <v>8</v>
      </c>
      <c r="V1480" s="119">
        <v>1</v>
      </c>
      <c r="W1480" s="40">
        <v>0</v>
      </c>
      <c r="X1480" s="119">
        <v>1</v>
      </c>
      <c r="Y1480" s="40">
        <v>60</v>
      </c>
      <c r="Z1480" s="119">
        <v>1</v>
      </c>
      <c r="AA1480" s="368">
        <v>0</v>
      </c>
      <c r="AB1480" s="535">
        <v>5</v>
      </c>
      <c r="AC1480" s="39" t="s">
        <v>160</v>
      </c>
      <c r="AD1480" s="75" t="s">
        <v>16</v>
      </c>
      <c r="AE1480" s="95">
        <v>-1</v>
      </c>
      <c r="AF1480" s="75">
        <v>-1</v>
      </c>
      <c r="AG1480" s="75">
        <v>-1</v>
      </c>
      <c r="AH1480" s="75">
        <v>-1</v>
      </c>
      <c r="AI1480" s="75">
        <v>-1</v>
      </c>
      <c r="AJ1480" s="75">
        <v>-1</v>
      </c>
      <c r="AK1480" s="75">
        <v>-1</v>
      </c>
      <c r="AL1480" s="95">
        <v>-1</v>
      </c>
      <c r="AM1480" s="92">
        <v>1</v>
      </c>
      <c r="AN1480" s="79" t="s">
        <v>80</v>
      </c>
      <c r="AO1480" s="75">
        <v>1</v>
      </c>
      <c r="AP1480" s="75" t="s">
        <v>84</v>
      </c>
      <c r="AQ1480" s="122">
        <v>1</v>
      </c>
      <c r="AR1480" s="515" t="s">
        <v>10</v>
      </c>
      <c r="AS1480" s="95">
        <v>0</v>
      </c>
      <c r="AT1480" s="75">
        <v>0</v>
      </c>
      <c r="AU1480" s="75">
        <v>0</v>
      </c>
      <c r="AV1480" s="75">
        <v>0</v>
      </c>
      <c r="AW1480" s="123">
        <v>0</v>
      </c>
      <c r="AX1480" s="516"/>
      <c r="AY1480" s="75">
        <v>0</v>
      </c>
      <c r="AZ1480" s="77" t="s">
        <v>5971</v>
      </c>
      <c r="BA1480" s="78" t="s">
        <v>5971</v>
      </c>
      <c r="BB1480" s="78" t="s">
        <v>5971</v>
      </c>
      <c r="BC1480" s="78" t="s">
        <v>5971</v>
      </c>
      <c r="BD1480" s="78" t="s">
        <v>5971</v>
      </c>
      <c r="BE1480" s="78" t="s">
        <v>5971</v>
      </c>
      <c r="BF1480" s="78" t="s">
        <v>5971</v>
      </c>
      <c r="BG1480" s="78" t="s">
        <v>5971</v>
      </c>
      <c r="BH1480" s="75" t="s">
        <v>5971</v>
      </c>
      <c r="BI1480" s="295" t="s">
        <v>2226</v>
      </c>
      <c r="BJ1480" s="546">
        <v>1</v>
      </c>
      <c r="BK1480" s="294">
        <v>1</v>
      </c>
      <c r="BL1480" s="157">
        <v>1</v>
      </c>
      <c r="BM1480" s="548" t="s">
        <v>578</v>
      </c>
      <c r="BN1480" s="548" t="s">
        <v>578</v>
      </c>
      <c r="BO1480" s="157" t="s">
        <v>4310</v>
      </c>
      <c r="BP1480" s="548" t="s">
        <v>2226</v>
      </c>
      <c r="BQ1480" s="157" t="s">
        <v>4309</v>
      </c>
      <c r="BR1480" s="157"/>
    </row>
    <row r="1481" spans="1:70" x14ac:dyDescent="0.25">
      <c r="A1481" s="19" t="s">
        <v>3686</v>
      </c>
      <c r="B1481" s="37" t="s">
        <v>1665</v>
      </c>
      <c r="C1481" s="90">
        <v>44747.841689814813</v>
      </c>
      <c r="D1481" s="114">
        <v>44747.591689814813</v>
      </c>
      <c r="E1481" s="38">
        <v>44747</v>
      </c>
      <c r="F1481" s="91">
        <v>2022</v>
      </c>
      <c r="G1481" s="93">
        <v>7</v>
      </c>
      <c r="H1481" s="37" t="s">
        <v>475</v>
      </c>
      <c r="I1481" s="37" t="s">
        <v>16</v>
      </c>
      <c r="J1481" s="103">
        <v>-92.342499699529583</v>
      </c>
      <c r="K1481" s="40">
        <v>43.773684273514682</v>
      </c>
      <c r="L1481" s="74"/>
      <c r="M1481" s="272" t="s">
        <v>16</v>
      </c>
      <c r="N1481" s="74">
        <v>0</v>
      </c>
      <c r="O1481" s="94"/>
      <c r="P1481" s="118">
        <v>1</v>
      </c>
      <c r="Q1481" s="510">
        <v>180</v>
      </c>
      <c r="R1481" s="513">
        <v>180</v>
      </c>
      <c r="S1481" s="41"/>
      <c r="T1481" s="40"/>
      <c r="U1481" s="40">
        <v>7.5</v>
      </c>
      <c r="V1481" s="119">
        <v>1</v>
      </c>
      <c r="W1481" s="40">
        <v>0</v>
      </c>
      <c r="X1481" s="119">
        <v>0</v>
      </c>
      <c r="Y1481" s="40"/>
      <c r="Z1481" s="119">
        <v>1</v>
      </c>
      <c r="AA1481" s="368">
        <v>0</v>
      </c>
      <c r="AB1481" s="535">
        <v>5</v>
      </c>
      <c r="AC1481" s="39" t="s">
        <v>160</v>
      </c>
      <c r="AD1481" s="75" t="s">
        <v>16</v>
      </c>
      <c r="AE1481" s="95">
        <v>-1</v>
      </c>
      <c r="AF1481" s="75">
        <v>-1</v>
      </c>
      <c r="AG1481" s="75">
        <v>-1</v>
      </c>
      <c r="AH1481" s="75">
        <v>-1</v>
      </c>
      <c r="AI1481" s="75">
        <v>-1</v>
      </c>
      <c r="AJ1481" s="75">
        <v>-1</v>
      </c>
      <c r="AK1481" s="75">
        <v>-1</v>
      </c>
      <c r="AL1481" s="95">
        <v>-1</v>
      </c>
      <c r="AM1481" s="92">
        <v>1</v>
      </c>
      <c r="AN1481" s="79" t="s">
        <v>80</v>
      </c>
      <c r="AO1481" s="75">
        <v>1</v>
      </c>
      <c r="AP1481" s="75" t="s">
        <v>83</v>
      </c>
      <c r="AQ1481" s="122">
        <v>1</v>
      </c>
      <c r="AR1481" s="515" t="s">
        <v>10</v>
      </c>
      <c r="AS1481" s="95">
        <v>0</v>
      </c>
      <c r="AT1481" s="75">
        <v>0</v>
      </c>
      <c r="AU1481" s="75">
        <v>0</v>
      </c>
      <c r="AV1481" s="75">
        <v>0</v>
      </c>
      <c r="AW1481" s="123">
        <v>0</v>
      </c>
      <c r="AX1481" s="516" t="s">
        <v>1666</v>
      </c>
      <c r="AY1481" s="75">
        <v>1</v>
      </c>
      <c r="AZ1481" s="77" t="s">
        <v>5971</v>
      </c>
      <c r="BA1481" s="78" t="s">
        <v>5971</v>
      </c>
      <c r="BB1481" s="78" t="s">
        <v>5971</v>
      </c>
      <c r="BC1481" s="78" t="s">
        <v>5971</v>
      </c>
      <c r="BD1481" s="78" t="s">
        <v>5971</v>
      </c>
      <c r="BE1481" s="78" t="s">
        <v>5971</v>
      </c>
      <c r="BF1481" s="78" t="s">
        <v>5971</v>
      </c>
      <c r="BG1481" s="78" t="s">
        <v>5971</v>
      </c>
      <c r="BH1481" s="75" t="s">
        <v>5971</v>
      </c>
      <c r="BI1481" s="295" t="s">
        <v>2260</v>
      </c>
      <c r="BJ1481" s="546">
        <v>1</v>
      </c>
      <c r="BK1481" s="294" t="s">
        <v>16</v>
      </c>
      <c r="BL1481" s="157" t="s">
        <v>16</v>
      </c>
      <c r="BM1481" s="548" t="s">
        <v>1339</v>
      </c>
      <c r="BN1481" s="548" t="s">
        <v>1339</v>
      </c>
      <c r="BO1481" s="157" t="s">
        <v>4328</v>
      </c>
      <c r="BP1481" s="548" t="s">
        <v>2222</v>
      </c>
      <c r="BQ1481" s="157" t="s">
        <v>4226</v>
      </c>
      <c r="BR1481" s="157"/>
    </row>
    <row r="1482" spans="1:70" x14ac:dyDescent="0.25">
      <c r="A1482" s="19" t="s">
        <v>3686</v>
      </c>
      <c r="B1482" s="37" t="s">
        <v>1667</v>
      </c>
      <c r="C1482" s="90">
        <v>44747.816979166666</v>
      </c>
      <c r="D1482" s="114">
        <v>44747.566979166666</v>
      </c>
      <c r="E1482" s="38">
        <v>44747</v>
      </c>
      <c r="F1482" s="91">
        <v>2022</v>
      </c>
      <c r="G1482" s="93">
        <v>7</v>
      </c>
      <c r="H1482" s="37" t="s">
        <v>475</v>
      </c>
      <c r="I1482" s="37"/>
      <c r="J1482" s="103">
        <v>-92.278070021506636</v>
      </c>
      <c r="K1482" s="40">
        <v>43.793148938607231</v>
      </c>
      <c r="L1482" s="74"/>
      <c r="M1482" s="272" t="s">
        <v>16</v>
      </c>
      <c r="N1482" s="74">
        <v>0</v>
      </c>
      <c r="O1482" s="94"/>
      <c r="P1482" s="118">
        <v>1</v>
      </c>
      <c r="Q1482" s="510">
        <v>0</v>
      </c>
      <c r="R1482" s="513">
        <v>60</v>
      </c>
      <c r="S1482" s="41"/>
      <c r="T1482" s="40"/>
      <c r="U1482" s="40">
        <v>7</v>
      </c>
      <c r="V1482" s="119">
        <v>1</v>
      </c>
      <c r="W1482" s="40">
        <v>0</v>
      </c>
      <c r="X1482" s="119">
        <v>0</v>
      </c>
      <c r="Y1482" s="40"/>
      <c r="Z1482" s="119">
        <v>1</v>
      </c>
      <c r="AA1482" s="368">
        <v>0</v>
      </c>
      <c r="AB1482" s="535">
        <v>5</v>
      </c>
      <c r="AC1482" s="39" t="s">
        <v>160</v>
      </c>
      <c r="AD1482" s="75" t="s">
        <v>10</v>
      </c>
      <c r="AE1482" s="95">
        <v>0</v>
      </c>
      <c r="AF1482" s="75">
        <v>0</v>
      </c>
      <c r="AG1482" s="75">
        <v>0</v>
      </c>
      <c r="AH1482" s="75">
        <v>0</v>
      </c>
      <c r="AI1482" s="75">
        <v>0</v>
      </c>
      <c r="AJ1482" s="75">
        <v>0</v>
      </c>
      <c r="AK1482" s="75">
        <v>0</v>
      </c>
      <c r="AL1482" s="95">
        <v>1</v>
      </c>
      <c r="AM1482" s="92">
        <v>0</v>
      </c>
      <c r="AN1482" s="79" t="s">
        <v>81</v>
      </c>
      <c r="AO1482" s="75">
        <v>1</v>
      </c>
      <c r="AP1482" s="75" t="s">
        <v>83</v>
      </c>
      <c r="AQ1482" s="122">
        <v>1</v>
      </c>
      <c r="AR1482" s="515" t="s">
        <v>10</v>
      </c>
      <c r="AS1482" s="95">
        <v>0</v>
      </c>
      <c r="AT1482" s="75">
        <v>0</v>
      </c>
      <c r="AU1482" s="75">
        <v>0</v>
      </c>
      <c r="AV1482" s="75">
        <v>0</v>
      </c>
      <c r="AW1482" s="123">
        <v>0</v>
      </c>
      <c r="AX1482" s="516" t="s">
        <v>1668</v>
      </c>
      <c r="AY1482" s="75">
        <v>1</v>
      </c>
      <c r="AZ1482" s="77" t="s">
        <v>131</v>
      </c>
      <c r="BA1482" s="78" t="s">
        <v>131</v>
      </c>
      <c r="BB1482" s="78" t="s">
        <v>131</v>
      </c>
      <c r="BC1482" s="78" t="s">
        <v>131</v>
      </c>
      <c r="BD1482" s="78" t="s">
        <v>131</v>
      </c>
      <c r="BE1482" s="78" t="s">
        <v>131</v>
      </c>
      <c r="BF1482" s="78" t="s">
        <v>131</v>
      </c>
      <c r="BG1482" s="78" t="s">
        <v>132</v>
      </c>
      <c r="BH1482" s="75" t="s">
        <v>5970</v>
      </c>
      <c r="BI1482" s="295" t="s">
        <v>2251</v>
      </c>
      <c r="BJ1482" s="546">
        <v>1</v>
      </c>
      <c r="BK1482" s="294">
        <v>1</v>
      </c>
      <c r="BL1482" s="157">
        <v>1</v>
      </c>
      <c r="BM1482" s="548" t="s">
        <v>1339</v>
      </c>
      <c r="BN1482" s="548" t="s">
        <v>1339</v>
      </c>
      <c r="BO1482" s="157" t="s">
        <v>4329</v>
      </c>
      <c r="BP1482" s="548" t="s">
        <v>4228</v>
      </c>
      <c r="BQ1482" s="157" t="s">
        <v>4226</v>
      </c>
      <c r="BR1482" s="157"/>
    </row>
    <row r="1483" spans="1:70" x14ac:dyDescent="0.25">
      <c r="A1483" s="19" t="s">
        <v>3686</v>
      </c>
      <c r="B1483" s="37" t="s">
        <v>1669</v>
      </c>
      <c r="C1483" s="90">
        <v>44747.673263888886</v>
      </c>
      <c r="D1483" s="114">
        <v>44747.423263888886</v>
      </c>
      <c r="E1483" s="38">
        <v>44747</v>
      </c>
      <c r="F1483" s="91">
        <v>2022</v>
      </c>
      <c r="G1483" s="93">
        <v>7</v>
      </c>
      <c r="H1483" s="37" t="s">
        <v>1433</v>
      </c>
      <c r="I1483" s="37"/>
      <c r="J1483" s="103">
        <v>-92.638226570647802</v>
      </c>
      <c r="K1483" s="40">
        <v>44.851970309433391</v>
      </c>
      <c r="L1483" s="74"/>
      <c r="M1483" s="272" t="s">
        <v>16</v>
      </c>
      <c r="N1483" s="74">
        <v>0</v>
      </c>
      <c r="O1483" s="94"/>
      <c r="P1483" s="118">
        <v>1</v>
      </c>
      <c r="Q1483" s="510">
        <v>120</v>
      </c>
      <c r="R1483" s="513">
        <v>120</v>
      </c>
      <c r="S1483" s="41"/>
      <c r="T1483" s="40"/>
      <c r="U1483" s="40">
        <v>7.5</v>
      </c>
      <c r="V1483" s="119">
        <v>1</v>
      </c>
      <c r="W1483" s="40">
        <v>0</v>
      </c>
      <c r="X1483" s="119">
        <v>1</v>
      </c>
      <c r="Y1483" s="40">
        <v>61</v>
      </c>
      <c r="Z1483" s="119">
        <v>1</v>
      </c>
      <c r="AA1483" s="368">
        <v>0</v>
      </c>
      <c r="AB1483" s="535">
        <v>5</v>
      </c>
      <c r="AC1483" s="39" t="s">
        <v>160</v>
      </c>
      <c r="AD1483" s="75" t="s">
        <v>10</v>
      </c>
      <c r="AE1483" s="95">
        <v>0</v>
      </c>
      <c r="AF1483" s="75">
        <v>0</v>
      </c>
      <c r="AG1483" s="75">
        <v>0</v>
      </c>
      <c r="AH1483" s="75">
        <v>0</v>
      </c>
      <c r="AI1483" s="75">
        <v>0</v>
      </c>
      <c r="AJ1483" s="75">
        <v>0</v>
      </c>
      <c r="AK1483" s="75">
        <v>0</v>
      </c>
      <c r="AL1483" s="95">
        <v>1</v>
      </c>
      <c r="AM1483" s="92">
        <v>0</v>
      </c>
      <c r="AN1483" s="79" t="s">
        <v>80</v>
      </c>
      <c r="AO1483" s="75">
        <v>1</v>
      </c>
      <c r="AP1483" s="75" t="s">
        <v>83</v>
      </c>
      <c r="AQ1483" s="122">
        <v>1</v>
      </c>
      <c r="AR1483" s="515" t="s">
        <v>13</v>
      </c>
      <c r="AS1483" s="95">
        <v>1</v>
      </c>
      <c r="AT1483" s="75">
        <v>0</v>
      </c>
      <c r="AU1483" s="75">
        <v>0</v>
      </c>
      <c r="AV1483" s="75">
        <v>0</v>
      </c>
      <c r="AW1483" s="123">
        <v>0</v>
      </c>
      <c r="AX1483" s="516" t="s">
        <v>1670</v>
      </c>
      <c r="AY1483" s="75">
        <v>1</v>
      </c>
      <c r="AZ1483" s="77" t="s">
        <v>131</v>
      </c>
      <c r="BA1483" s="78" t="s">
        <v>131</v>
      </c>
      <c r="BB1483" s="78" t="s">
        <v>131</v>
      </c>
      <c r="BC1483" s="78" t="s">
        <v>131</v>
      </c>
      <c r="BD1483" s="78" t="s">
        <v>131</v>
      </c>
      <c r="BE1483" s="78" t="s">
        <v>131</v>
      </c>
      <c r="BF1483" s="78" t="s">
        <v>131</v>
      </c>
      <c r="BG1483" s="78" t="s">
        <v>132</v>
      </c>
      <c r="BH1483" s="75" t="s">
        <v>5970</v>
      </c>
      <c r="BI1483" s="295" t="s">
        <v>2227</v>
      </c>
      <c r="BJ1483" s="546">
        <v>1</v>
      </c>
      <c r="BK1483" s="294">
        <v>1</v>
      </c>
      <c r="BL1483" s="157">
        <v>1</v>
      </c>
      <c r="BM1483" s="548" t="s">
        <v>578</v>
      </c>
      <c r="BN1483" s="548" t="s">
        <v>4159</v>
      </c>
      <c r="BO1483" s="157" t="s">
        <v>4341</v>
      </c>
      <c r="BP1483" s="548" t="s">
        <v>4343</v>
      </c>
      <c r="BQ1483" s="157" t="s">
        <v>4309</v>
      </c>
      <c r="BR1483" s="157"/>
    </row>
    <row r="1484" spans="1:70" x14ac:dyDescent="0.25">
      <c r="A1484" s="19" t="s">
        <v>3686</v>
      </c>
      <c r="B1484" s="37" t="s">
        <v>1671</v>
      </c>
      <c r="C1484" s="90">
        <v>44747.651053240741</v>
      </c>
      <c r="D1484" s="114">
        <v>44747.401053240741</v>
      </c>
      <c r="E1484" s="38">
        <v>44747</v>
      </c>
      <c r="F1484" s="91">
        <v>2022</v>
      </c>
      <c r="G1484" s="93">
        <v>7</v>
      </c>
      <c r="H1484" s="37" t="s">
        <v>1433</v>
      </c>
      <c r="I1484" s="37"/>
      <c r="J1484" s="103">
        <v>-92.636785134759407</v>
      </c>
      <c r="K1484" s="40">
        <v>44.854520042468657</v>
      </c>
      <c r="L1484" s="74"/>
      <c r="M1484" s="272" t="s">
        <v>16</v>
      </c>
      <c r="N1484" s="74">
        <v>0</v>
      </c>
      <c r="O1484" s="94"/>
      <c r="P1484" s="118">
        <v>1</v>
      </c>
      <c r="Q1484" s="510">
        <v>180</v>
      </c>
      <c r="R1484" s="513">
        <v>180</v>
      </c>
      <c r="S1484" s="41"/>
      <c r="T1484" s="40"/>
      <c r="U1484" s="40">
        <v>8</v>
      </c>
      <c r="V1484" s="119">
        <v>1</v>
      </c>
      <c r="W1484" s="40">
        <v>100</v>
      </c>
      <c r="X1484" s="119">
        <v>1</v>
      </c>
      <c r="Y1484" s="40">
        <v>59</v>
      </c>
      <c r="Z1484" s="119">
        <v>1</v>
      </c>
      <c r="AA1484" s="368">
        <v>0</v>
      </c>
      <c r="AB1484" s="535">
        <v>5</v>
      </c>
      <c r="AC1484" s="39" t="s">
        <v>160</v>
      </c>
      <c r="AD1484" s="75" t="s">
        <v>10</v>
      </c>
      <c r="AE1484" s="95">
        <v>0</v>
      </c>
      <c r="AF1484" s="75">
        <v>0</v>
      </c>
      <c r="AG1484" s="75">
        <v>0</v>
      </c>
      <c r="AH1484" s="75">
        <v>0</v>
      </c>
      <c r="AI1484" s="75">
        <v>0</v>
      </c>
      <c r="AJ1484" s="75">
        <v>0</v>
      </c>
      <c r="AK1484" s="75">
        <v>0</v>
      </c>
      <c r="AL1484" s="95">
        <v>1</v>
      </c>
      <c r="AM1484" s="92">
        <v>0</v>
      </c>
      <c r="AN1484" s="79" t="s">
        <v>80</v>
      </c>
      <c r="AO1484" s="75">
        <v>1</v>
      </c>
      <c r="AP1484" s="75" t="s">
        <v>83</v>
      </c>
      <c r="AQ1484" s="122">
        <v>1</v>
      </c>
      <c r="AR1484" s="515" t="s">
        <v>13</v>
      </c>
      <c r="AS1484" s="95">
        <v>1</v>
      </c>
      <c r="AT1484" s="75">
        <v>0</v>
      </c>
      <c r="AU1484" s="75">
        <v>0</v>
      </c>
      <c r="AV1484" s="75">
        <v>0</v>
      </c>
      <c r="AW1484" s="123">
        <v>0</v>
      </c>
      <c r="AX1484" s="516" t="s">
        <v>1672</v>
      </c>
      <c r="AY1484" s="75">
        <v>1</v>
      </c>
      <c r="AZ1484" s="77" t="s">
        <v>131</v>
      </c>
      <c r="BA1484" s="78" t="s">
        <v>131</v>
      </c>
      <c r="BB1484" s="78" t="s">
        <v>131</v>
      </c>
      <c r="BC1484" s="78" t="s">
        <v>131</v>
      </c>
      <c r="BD1484" s="78" t="s">
        <v>131</v>
      </c>
      <c r="BE1484" s="78" t="s">
        <v>131</v>
      </c>
      <c r="BF1484" s="78" t="s">
        <v>131</v>
      </c>
      <c r="BG1484" s="78" t="s">
        <v>132</v>
      </c>
      <c r="BH1484" s="75" t="s">
        <v>5970</v>
      </c>
      <c r="BI1484" s="295" t="s">
        <v>2227</v>
      </c>
      <c r="BJ1484" s="546">
        <v>1</v>
      </c>
      <c r="BK1484" s="294">
        <v>1</v>
      </c>
      <c r="BL1484" s="157">
        <v>1</v>
      </c>
      <c r="BM1484" s="548" t="s">
        <v>578</v>
      </c>
      <c r="BN1484" s="548" t="s">
        <v>4159</v>
      </c>
      <c r="BO1484" s="157" t="s">
        <v>4341</v>
      </c>
      <c r="BP1484" s="548" t="s">
        <v>4343</v>
      </c>
      <c r="BQ1484" s="157" t="s">
        <v>4309</v>
      </c>
      <c r="BR1484" s="157"/>
    </row>
    <row r="1485" spans="1:70" x14ac:dyDescent="0.25">
      <c r="A1485" s="19" t="s">
        <v>3686</v>
      </c>
      <c r="B1485" s="37" t="s">
        <v>1673</v>
      </c>
      <c r="C1485" s="90">
        <v>44747.648645833331</v>
      </c>
      <c r="D1485" s="114">
        <v>44747.398645833331</v>
      </c>
      <c r="E1485" s="38">
        <v>44747</v>
      </c>
      <c r="F1485" s="91">
        <v>2022</v>
      </c>
      <c r="G1485" s="93">
        <v>7</v>
      </c>
      <c r="H1485" s="37" t="s">
        <v>475</v>
      </c>
      <c r="I1485" s="37"/>
      <c r="J1485" s="103">
        <v>-92.224481497045815</v>
      </c>
      <c r="K1485" s="40">
        <v>43.622277011204154</v>
      </c>
      <c r="L1485" s="74"/>
      <c r="M1485" s="272" t="s">
        <v>1674</v>
      </c>
      <c r="N1485" s="74">
        <v>1</v>
      </c>
      <c r="O1485" s="94"/>
      <c r="P1485" s="118">
        <v>1</v>
      </c>
      <c r="Q1485" s="510">
        <v>180</v>
      </c>
      <c r="R1485" s="513">
        <v>180</v>
      </c>
      <c r="S1485" s="41"/>
      <c r="T1485" s="40"/>
      <c r="U1485" s="40">
        <v>7.5</v>
      </c>
      <c r="V1485" s="119">
        <v>1</v>
      </c>
      <c r="W1485" s="40">
        <v>0</v>
      </c>
      <c r="X1485" s="119">
        <v>1</v>
      </c>
      <c r="Y1485" s="40">
        <v>0</v>
      </c>
      <c r="Z1485" s="119">
        <v>1</v>
      </c>
      <c r="AA1485" s="368">
        <v>0</v>
      </c>
      <c r="AB1485" s="535">
        <v>5</v>
      </c>
      <c r="AC1485" s="39" t="s">
        <v>160</v>
      </c>
      <c r="AD1485" s="75" t="s">
        <v>10</v>
      </c>
      <c r="AE1485" s="95">
        <v>0</v>
      </c>
      <c r="AF1485" s="75">
        <v>0</v>
      </c>
      <c r="AG1485" s="75">
        <v>0</v>
      </c>
      <c r="AH1485" s="75">
        <v>0</v>
      </c>
      <c r="AI1485" s="75">
        <v>0</v>
      </c>
      <c r="AJ1485" s="75">
        <v>0</v>
      </c>
      <c r="AK1485" s="75">
        <v>0</v>
      </c>
      <c r="AL1485" s="95">
        <v>1</v>
      </c>
      <c r="AM1485" s="92">
        <v>0</v>
      </c>
      <c r="AN1485" s="79" t="s">
        <v>80</v>
      </c>
      <c r="AO1485" s="75">
        <v>1</v>
      </c>
      <c r="AP1485" s="75" t="s">
        <v>83</v>
      </c>
      <c r="AQ1485" s="122">
        <v>1</v>
      </c>
      <c r="AR1485" s="515" t="s">
        <v>10</v>
      </c>
      <c r="AS1485" s="95">
        <v>0</v>
      </c>
      <c r="AT1485" s="75">
        <v>0</v>
      </c>
      <c r="AU1485" s="75">
        <v>0</v>
      </c>
      <c r="AV1485" s="75">
        <v>0</v>
      </c>
      <c r="AW1485" s="123">
        <v>0</v>
      </c>
      <c r="AX1485" s="516" t="s">
        <v>1675</v>
      </c>
      <c r="AY1485" s="75">
        <v>1</v>
      </c>
      <c r="AZ1485" s="77" t="s">
        <v>131</v>
      </c>
      <c r="BA1485" s="78" t="s">
        <v>131</v>
      </c>
      <c r="BB1485" s="78" t="s">
        <v>131</v>
      </c>
      <c r="BC1485" s="78" t="s">
        <v>131</v>
      </c>
      <c r="BD1485" s="78" t="s">
        <v>131</v>
      </c>
      <c r="BE1485" s="78" t="s">
        <v>131</v>
      </c>
      <c r="BF1485" s="78" t="s">
        <v>131</v>
      </c>
      <c r="BG1485" s="78" t="s">
        <v>132</v>
      </c>
      <c r="BH1485" s="75" t="s">
        <v>5970</v>
      </c>
      <c r="BI1485" s="295" t="s">
        <v>2232</v>
      </c>
      <c r="BJ1485" s="546">
        <v>1</v>
      </c>
      <c r="BK1485" s="294" t="s">
        <v>16</v>
      </c>
      <c r="BL1485" s="157" t="s">
        <v>16</v>
      </c>
      <c r="BM1485" s="548" t="s">
        <v>1339</v>
      </c>
      <c r="BN1485" s="548" t="s">
        <v>1339</v>
      </c>
      <c r="BO1485" s="157" t="s">
        <v>4332</v>
      </c>
      <c r="BP1485" s="548" t="s">
        <v>4333</v>
      </c>
      <c r="BQ1485" s="157" t="s">
        <v>4229</v>
      </c>
      <c r="BR1485" s="157"/>
    </row>
    <row r="1486" spans="1:70" x14ac:dyDescent="0.25">
      <c r="A1486" s="19" t="s">
        <v>3686</v>
      </c>
      <c r="B1486" s="37" t="s">
        <v>1676</v>
      </c>
      <c r="C1486" s="90">
        <v>44747.635821759257</v>
      </c>
      <c r="D1486" s="114">
        <v>44747.385821759257</v>
      </c>
      <c r="E1486" s="38">
        <v>44747</v>
      </c>
      <c r="F1486" s="91">
        <v>2022</v>
      </c>
      <c r="G1486" s="93">
        <v>7</v>
      </c>
      <c r="H1486" s="37" t="s">
        <v>1416</v>
      </c>
      <c r="I1486" s="37" t="s">
        <v>16</v>
      </c>
      <c r="J1486" s="103">
        <v>-93.217179461705001</v>
      </c>
      <c r="K1486" s="40">
        <v>44.639391270225168</v>
      </c>
      <c r="L1486" s="74"/>
      <c r="M1486" s="272" t="s">
        <v>1677</v>
      </c>
      <c r="N1486" s="74">
        <v>1</v>
      </c>
      <c r="O1486" s="94"/>
      <c r="P1486" s="118">
        <v>1</v>
      </c>
      <c r="Q1486" s="510">
        <v>180</v>
      </c>
      <c r="R1486" s="513">
        <v>120</v>
      </c>
      <c r="S1486" s="41"/>
      <c r="T1486" s="40"/>
      <c r="U1486" s="40">
        <v>7</v>
      </c>
      <c r="V1486" s="119">
        <v>1</v>
      </c>
      <c r="W1486" s="40">
        <v>100</v>
      </c>
      <c r="X1486" s="119">
        <v>1</v>
      </c>
      <c r="Y1486" s="40">
        <v>57</v>
      </c>
      <c r="Z1486" s="119">
        <v>1</v>
      </c>
      <c r="AA1486" s="368">
        <v>0</v>
      </c>
      <c r="AB1486" s="535">
        <v>0</v>
      </c>
      <c r="AC1486" s="39" t="s">
        <v>160</v>
      </c>
      <c r="AD1486" s="75" t="s">
        <v>10</v>
      </c>
      <c r="AE1486" s="95">
        <v>0</v>
      </c>
      <c r="AF1486" s="75">
        <v>0</v>
      </c>
      <c r="AG1486" s="75">
        <v>0</v>
      </c>
      <c r="AH1486" s="75">
        <v>0</v>
      </c>
      <c r="AI1486" s="75">
        <v>0</v>
      </c>
      <c r="AJ1486" s="75">
        <v>0</v>
      </c>
      <c r="AK1486" s="75">
        <v>0</v>
      </c>
      <c r="AL1486" s="95">
        <v>1</v>
      </c>
      <c r="AM1486" s="92">
        <v>0</v>
      </c>
      <c r="AN1486" s="79" t="s">
        <v>80</v>
      </c>
      <c r="AO1486" s="75">
        <v>1</v>
      </c>
      <c r="AP1486" s="75" t="s">
        <v>83</v>
      </c>
      <c r="AQ1486" s="122">
        <v>1</v>
      </c>
      <c r="AR1486" s="515" t="s">
        <v>10</v>
      </c>
      <c r="AS1486" s="95">
        <v>0</v>
      </c>
      <c r="AT1486" s="75">
        <v>0</v>
      </c>
      <c r="AU1486" s="75">
        <v>0</v>
      </c>
      <c r="AV1486" s="75">
        <v>0</v>
      </c>
      <c r="AW1486" s="123">
        <v>0</v>
      </c>
      <c r="AX1486" s="516" t="s">
        <v>16</v>
      </c>
      <c r="AY1486" s="75">
        <v>0</v>
      </c>
      <c r="AZ1486" s="77" t="s">
        <v>131</v>
      </c>
      <c r="BA1486" s="78" t="s">
        <v>131</v>
      </c>
      <c r="BB1486" s="78" t="s">
        <v>131</v>
      </c>
      <c r="BC1486" s="78" t="s">
        <v>131</v>
      </c>
      <c r="BD1486" s="78" t="s">
        <v>131</v>
      </c>
      <c r="BE1486" s="78" t="s">
        <v>131</v>
      </c>
      <c r="BF1486" s="78" t="s">
        <v>131</v>
      </c>
      <c r="BG1486" s="78" t="s">
        <v>132</v>
      </c>
      <c r="BH1486" s="75" t="s">
        <v>5970</v>
      </c>
      <c r="BI1486" s="295">
        <v>0</v>
      </c>
      <c r="BJ1486" s="546">
        <v>1</v>
      </c>
      <c r="BK1486" s="294" t="s">
        <v>16</v>
      </c>
      <c r="BL1486" s="157" t="s">
        <v>16</v>
      </c>
      <c r="BM1486" s="548" t="s">
        <v>2343</v>
      </c>
      <c r="BN1486" s="548" t="s">
        <v>4161</v>
      </c>
      <c r="BO1486" s="157" t="s">
        <v>4676</v>
      </c>
      <c r="BP1486" s="548" t="s">
        <v>4677</v>
      </c>
      <c r="BQ1486" s="157" t="s">
        <v>4292</v>
      </c>
      <c r="BR1486" s="157"/>
    </row>
    <row r="1487" spans="1:70" x14ac:dyDescent="0.25">
      <c r="A1487" s="19" t="s">
        <v>3686</v>
      </c>
      <c r="B1487" s="37" t="s">
        <v>1678</v>
      </c>
      <c r="C1487" s="90">
        <v>44747.619849537034</v>
      </c>
      <c r="D1487" s="114">
        <v>44747.369849537034</v>
      </c>
      <c r="E1487" s="38">
        <v>44747</v>
      </c>
      <c r="F1487" s="91">
        <v>2022</v>
      </c>
      <c r="G1487" s="93">
        <v>7</v>
      </c>
      <c r="H1487" s="37" t="s">
        <v>1433</v>
      </c>
      <c r="I1487" s="37"/>
      <c r="J1487" s="103">
        <v>-92.623826214371363</v>
      </c>
      <c r="K1487" s="40">
        <v>44.863959125677482</v>
      </c>
      <c r="L1487" s="74"/>
      <c r="M1487" s="272" t="s">
        <v>16</v>
      </c>
      <c r="N1487" s="74">
        <v>0</v>
      </c>
      <c r="O1487" s="94"/>
      <c r="P1487" s="118">
        <v>1</v>
      </c>
      <c r="Q1487" s="510">
        <v>120</v>
      </c>
      <c r="R1487" s="513">
        <v>180</v>
      </c>
      <c r="S1487" s="41"/>
      <c r="T1487" s="40"/>
      <c r="U1487" s="40">
        <v>7.5</v>
      </c>
      <c r="V1487" s="119">
        <v>1</v>
      </c>
      <c r="W1487" s="40">
        <v>0</v>
      </c>
      <c r="X1487" s="119">
        <v>1</v>
      </c>
      <c r="Y1487" s="40">
        <v>57</v>
      </c>
      <c r="Z1487" s="119">
        <v>1</v>
      </c>
      <c r="AA1487" s="368">
        <v>0</v>
      </c>
      <c r="AB1487" s="535">
        <v>5</v>
      </c>
      <c r="AC1487" s="39" t="s">
        <v>160</v>
      </c>
      <c r="AD1487" s="75" t="s">
        <v>10</v>
      </c>
      <c r="AE1487" s="95">
        <v>0</v>
      </c>
      <c r="AF1487" s="75">
        <v>0</v>
      </c>
      <c r="AG1487" s="75">
        <v>0</v>
      </c>
      <c r="AH1487" s="75">
        <v>0</v>
      </c>
      <c r="AI1487" s="75">
        <v>0</v>
      </c>
      <c r="AJ1487" s="75">
        <v>0</v>
      </c>
      <c r="AK1487" s="75">
        <v>0</v>
      </c>
      <c r="AL1487" s="95">
        <v>1</v>
      </c>
      <c r="AM1487" s="92">
        <v>0</v>
      </c>
      <c r="AN1487" s="79" t="s">
        <v>80</v>
      </c>
      <c r="AO1487" s="75">
        <v>1</v>
      </c>
      <c r="AP1487" s="75" t="s">
        <v>83</v>
      </c>
      <c r="AQ1487" s="122">
        <v>1</v>
      </c>
      <c r="AR1487" s="515" t="s">
        <v>13</v>
      </c>
      <c r="AS1487" s="95">
        <v>1</v>
      </c>
      <c r="AT1487" s="75">
        <v>0</v>
      </c>
      <c r="AU1487" s="75">
        <v>0</v>
      </c>
      <c r="AV1487" s="75">
        <v>0</v>
      </c>
      <c r="AW1487" s="123">
        <v>0</v>
      </c>
      <c r="AX1487" s="516" t="s">
        <v>1679</v>
      </c>
      <c r="AY1487" s="75">
        <v>1</v>
      </c>
      <c r="AZ1487" s="77" t="s">
        <v>131</v>
      </c>
      <c r="BA1487" s="78" t="s">
        <v>131</v>
      </c>
      <c r="BB1487" s="78" t="s">
        <v>131</v>
      </c>
      <c r="BC1487" s="78" t="s">
        <v>131</v>
      </c>
      <c r="BD1487" s="78" t="s">
        <v>131</v>
      </c>
      <c r="BE1487" s="78" t="s">
        <v>131</v>
      </c>
      <c r="BF1487" s="78" t="s">
        <v>131</v>
      </c>
      <c r="BG1487" s="78" t="s">
        <v>132</v>
      </c>
      <c r="BH1487" s="75" t="s">
        <v>5970</v>
      </c>
      <c r="BI1487" s="295" t="s">
        <v>16</v>
      </c>
      <c r="BJ1487" s="546">
        <v>1</v>
      </c>
      <c r="BK1487" s="294" t="s">
        <v>16</v>
      </c>
      <c r="BL1487" s="157" t="s">
        <v>16</v>
      </c>
      <c r="BM1487" s="548" t="s">
        <v>578</v>
      </c>
      <c r="BN1487" s="548" t="s">
        <v>4159</v>
      </c>
      <c r="BO1487" s="157" t="s">
        <v>4311</v>
      </c>
      <c r="BP1487" s="548" t="s">
        <v>4395</v>
      </c>
      <c r="BQ1487" s="157" t="s">
        <v>4309</v>
      </c>
      <c r="BR1487" s="157"/>
    </row>
    <row r="1488" spans="1:70" x14ac:dyDescent="0.25">
      <c r="A1488" s="19" t="s">
        <v>3686</v>
      </c>
      <c r="B1488" s="37" t="s">
        <v>1680</v>
      </c>
      <c r="C1488" s="90">
        <v>44747.176423611112</v>
      </c>
      <c r="D1488" s="114">
        <v>44746.926423611112</v>
      </c>
      <c r="E1488" s="38">
        <v>44746</v>
      </c>
      <c r="F1488" s="91">
        <v>2022</v>
      </c>
      <c r="G1488" s="93">
        <v>7</v>
      </c>
      <c r="H1488" s="37" t="s">
        <v>1491</v>
      </c>
      <c r="I1488" s="37" t="s">
        <v>16</v>
      </c>
      <c r="J1488" s="103">
        <v>-88.268294999999995</v>
      </c>
      <c r="K1488" s="40">
        <v>43.839886399999997</v>
      </c>
      <c r="L1488" s="74"/>
      <c r="M1488" s="272" t="s">
        <v>16</v>
      </c>
      <c r="N1488" s="74">
        <v>0</v>
      </c>
      <c r="O1488" s="94"/>
      <c r="P1488" s="118">
        <v>1</v>
      </c>
      <c r="Q1488" s="510">
        <v>240</v>
      </c>
      <c r="R1488" s="513">
        <v>60</v>
      </c>
      <c r="S1488" s="41"/>
      <c r="T1488" s="40"/>
      <c r="U1488" s="40">
        <v>8</v>
      </c>
      <c r="V1488" s="119">
        <v>1</v>
      </c>
      <c r="W1488" s="40">
        <v>0</v>
      </c>
      <c r="X1488" s="119">
        <v>1</v>
      </c>
      <c r="Y1488" s="40">
        <v>74</v>
      </c>
      <c r="Z1488" s="119">
        <v>1</v>
      </c>
      <c r="AA1488" s="368">
        <v>0</v>
      </c>
      <c r="AB1488" s="535">
        <v>0</v>
      </c>
      <c r="AC1488" s="39" t="s">
        <v>161</v>
      </c>
      <c r="AD1488" s="75" t="s">
        <v>1681</v>
      </c>
      <c r="AE1488" s="95">
        <v>0</v>
      </c>
      <c r="AF1488" s="75">
        <v>1</v>
      </c>
      <c r="AG1488" s="75">
        <v>1</v>
      </c>
      <c r="AH1488" s="75">
        <v>0</v>
      </c>
      <c r="AI1488" s="75">
        <v>1</v>
      </c>
      <c r="AJ1488" s="75">
        <v>0</v>
      </c>
      <c r="AK1488" s="75">
        <v>0</v>
      </c>
      <c r="AL1488" s="95">
        <v>0</v>
      </c>
      <c r="AM1488" s="92">
        <v>0</v>
      </c>
      <c r="AN1488" s="79" t="s">
        <v>80</v>
      </c>
      <c r="AO1488" s="75">
        <v>1</v>
      </c>
      <c r="AP1488" s="75" t="s">
        <v>83</v>
      </c>
      <c r="AQ1488" s="122">
        <v>1</v>
      </c>
      <c r="AR1488" s="515" t="s">
        <v>35</v>
      </c>
      <c r="AS1488" s="95">
        <v>0</v>
      </c>
      <c r="AT1488" s="75">
        <v>1</v>
      </c>
      <c r="AU1488" s="75">
        <v>0</v>
      </c>
      <c r="AV1488" s="75">
        <v>0</v>
      </c>
      <c r="AW1488" s="123">
        <v>0</v>
      </c>
      <c r="AX1488" s="516" t="s">
        <v>1682</v>
      </c>
      <c r="AY1488" s="75">
        <v>1</v>
      </c>
      <c r="AZ1488" s="77" t="s">
        <v>131</v>
      </c>
      <c r="BA1488" s="78" t="s">
        <v>132</v>
      </c>
      <c r="BB1488" s="78" t="s">
        <v>132</v>
      </c>
      <c r="BC1488" s="78" t="s">
        <v>131</v>
      </c>
      <c r="BD1488" s="78" t="s">
        <v>132</v>
      </c>
      <c r="BE1488" s="78" t="s">
        <v>131</v>
      </c>
      <c r="BF1488" s="78" t="s">
        <v>131</v>
      </c>
      <c r="BG1488" s="78" t="s">
        <v>131</v>
      </c>
      <c r="BH1488" s="75" t="s">
        <v>5970</v>
      </c>
      <c r="BI1488" s="295" t="s">
        <v>16</v>
      </c>
      <c r="BJ1488" s="546" t="s">
        <v>16</v>
      </c>
      <c r="BK1488" s="294" t="s">
        <v>16</v>
      </c>
      <c r="BL1488" s="157" t="s">
        <v>16</v>
      </c>
      <c r="BM1488" s="548">
        <v>0</v>
      </c>
      <c r="BN1488" s="548" t="s">
        <v>4159</v>
      </c>
      <c r="BO1488" s="157" t="s">
        <v>4683</v>
      </c>
      <c r="BP1488" s="548" t="s">
        <v>4684</v>
      </c>
      <c r="BQ1488" s="157" t="s">
        <v>4682</v>
      </c>
      <c r="BR1488" s="157"/>
    </row>
    <row r="1489" spans="1:70" x14ac:dyDescent="0.25">
      <c r="A1489" s="19" t="s">
        <v>3686</v>
      </c>
      <c r="B1489" s="37" t="s">
        <v>1683</v>
      </c>
      <c r="C1489" s="90">
        <v>44747.164895833332</v>
      </c>
      <c r="D1489" s="114">
        <v>44746.914895833332</v>
      </c>
      <c r="E1489" s="38">
        <v>44746</v>
      </c>
      <c r="F1489" s="91">
        <v>2022</v>
      </c>
      <c r="G1489" s="93">
        <v>7</v>
      </c>
      <c r="H1489" s="37" t="s">
        <v>1491</v>
      </c>
      <c r="I1489" s="37"/>
      <c r="J1489" s="103">
        <v>-88.268315599999994</v>
      </c>
      <c r="K1489" s="40">
        <v>43.839902299999999</v>
      </c>
      <c r="L1489" s="74"/>
      <c r="M1489" s="272" t="s">
        <v>16</v>
      </c>
      <c r="N1489" s="74">
        <v>0</v>
      </c>
      <c r="O1489" s="94"/>
      <c r="P1489" s="118">
        <v>1</v>
      </c>
      <c r="Q1489" s="510">
        <v>180</v>
      </c>
      <c r="R1489" s="513">
        <v>60</v>
      </c>
      <c r="S1489" s="41"/>
      <c r="T1489" s="40"/>
      <c r="U1489" s="40">
        <v>8</v>
      </c>
      <c r="V1489" s="119">
        <v>1</v>
      </c>
      <c r="W1489" s="40">
        <v>100</v>
      </c>
      <c r="X1489" s="119">
        <v>1</v>
      </c>
      <c r="Y1489" s="40">
        <v>74</v>
      </c>
      <c r="Z1489" s="119">
        <v>1</v>
      </c>
      <c r="AA1489" s="368">
        <v>0</v>
      </c>
      <c r="AB1489" s="535">
        <v>0</v>
      </c>
      <c r="AC1489" s="39" t="s">
        <v>161</v>
      </c>
      <c r="AD1489" s="75" t="s">
        <v>1681</v>
      </c>
      <c r="AE1489" s="95">
        <v>0</v>
      </c>
      <c r="AF1489" s="75">
        <v>1</v>
      </c>
      <c r="AG1489" s="75">
        <v>1</v>
      </c>
      <c r="AH1489" s="75">
        <v>0</v>
      </c>
      <c r="AI1489" s="75">
        <v>1</v>
      </c>
      <c r="AJ1489" s="75">
        <v>0</v>
      </c>
      <c r="AK1489" s="75">
        <v>0</v>
      </c>
      <c r="AL1489" s="95">
        <v>0</v>
      </c>
      <c r="AM1489" s="92">
        <v>0</v>
      </c>
      <c r="AN1489" s="79" t="s">
        <v>80</v>
      </c>
      <c r="AO1489" s="75">
        <v>1</v>
      </c>
      <c r="AP1489" s="75" t="s">
        <v>83</v>
      </c>
      <c r="AQ1489" s="122">
        <v>1</v>
      </c>
      <c r="AR1489" s="515" t="s">
        <v>35</v>
      </c>
      <c r="AS1489" s="95">
        <v>0</v>
      </c>
      <c r="AT1489" s="75">
        <v>1</v>
      </c>
      <c r="AU1489" s="75">
        <v>0</v>
      </c>
      <c r="AV1489" s="75">
        <v>0</v>
      </c>
      <c r="AW1489" s="123">
        <v>0</v>
      </c>
      <c r="AX1489" s="516" t="s">
        <v>1684</v>
      </c>
      <c r="AY1489" s="75">
        <v>1</v>
      </c>
      <c r="AZ1489" s="77" t="s">
        <v>131</v>
      </c>
      <c r="BA1489" s="78" t="s">
        <v>132</v>
      </c>
      <c r="BB1489" s="78" t="s">
        <v>132</v>
      </c>
      <c r="BC1489" s="78" t="s">
        <v>131</v>
      </c>
      <c r="BD1489" s="78" t="s">
        <v>132</v>
      </c>
      <c r="BE1489" s="78" t="s">
        <v>131</v>
      </c>
      <c r="BF1489" s="78" t="s">
        <v>131</v>
      </c>
      <c r="BG1489" s="78" t="s">
        <v>131</v>
      </c>
      <c r="BH1489" s="75" t="s">
        <v>5970</v>
      </c>
      <c r="BI1489" s="295" t="s">
        <v>16</v>
      </c>
      <c r="BJ1489" s="546" t="s">
        <v>16</v>
      </c>
      <c r="BK1489" s="294" t="s">
        <v>16</v>
      </c>
      <c r="BL1489" s="157" t="s">
        <v>16</v>
      </c>
      <c r="BM1489" s="548">
        <v>0</v>
      </c>
      <c r="BN1489" s="548" t="s">
        <v>4159</v>
      </c>
      <c r="BO1489" s="157" t="s">
        <v>4683</v>
      </c>
      <c r="BP1489" s="548" t="s">
        <v>4684</v>
      </c>
      <c r="BQ1489" s="157" t="s">
        <v>4682</v>
      </c>
      <c r="BR1489" s="157"/>
    </row>
    <row r="1490" spans="1:70" x14ac:dyDescent="0.25">
      <c r="A1490" s="19" t="s">
        <v>3686</v>
      </c>
      <c r="B1490" s="37" t="s">
        <v>1685</v>
      </c>
      <c r="C1490" s="90">
        <v>44745.879583333335</v>
      </c>
      <c r="D1490" s="114">
        <v>44745.629583333335</v>
      </c>
      <c r="E1490" s="38">
        <v>44745</v>
      </c>
      <c r="F1490" s="91">
        <v>2022</v>
      </c>
      <c r="G1490" s="93">
        <v>7</v>
      </c>
      <c r="H1490" s="37" t="s">
        <v>461</v>
      </c>
      <c r="I1490" s="37" t="s">
        <v>154</v>
      </c>
      <c r="J1490" s="103">
        <v>-92.155754189301916</v>
      </c>
      <c r="K1490" s="40">
        <v>44.798095725056584</v>
      </c>
      <c r="L1490" s="74"/>
      <c r="M1490" s="272" t="s">
        <v>16</v>
      </c>
      <c r="N1490" s="74">
        <v>0</v>
      </c>
      <c r="O1490" s="94"/>
      <c r="P1490" s="118">
        <v>1</v>
      </c>
      <c r="Q1490" s="510">
        <v>0</v>
      </c>
      <c r="R1490" s="513">
        <v>30</v>
      </c>
      <c r="S1490" s="41"/>
      <c r="T1490" s="40"/>
      <c r="U1490" s="40">
        <v>7.5</v>
      </c>
      <c r="V1490" s="119">
        <v>1</v>
      </c>
      <c r="W1490" s="40">
        <v>0</v>
      </c>
      <c r="X1490" s="119">
        <v>1</v>
      </c>
      <c r="Y1490" s="40">
        <v>60</v>
      </c>
      <c r="Z1490" s="119">
        <v>1</v>
      </c>
      <c r="AA1490" s="368">
        <v>0</v>
      </c>
      <c r="AB1490" s="535">
        <v>2</v>
      </c>
      <c r="AC1490" s="39" t="s">
        <v>160</v>
      </c>
      <c r="AD1490" s="75" t="s">
        <v>10</v>
      </c>
      <c r="AE1490" s="95">
        <v>0</v>
      </c>
      <c r="AF1490" s="75">
        <v>0</v>
      </c>
      <c r="AG1490" s="75">
        <v>0</v>
      </c>
      <c r="AH1490" s="75">
        <v>0</v>
      </c>
      <c r="AI1490" s="75">
        <v>0</v>
      </c>
      <c r="AJ1490" s="75">
        <v>0</v>
      </c>
      <c r="AK1490" s="75">
        <v>0</v>
      </c>
      <c r="AL1490" s="95">
        <v>1</v>
      </c>
      <c r="AM1490" s="92">
        <v>0</v>
      </c>
      <c r="AN1490" s="79"/>
      <c r="AO1490" s="75">
        <v>0</v>
      </c>
      <c r="AP1490" s="75"/>
      <c r="AQ1490" s="122">
        <v>0</v>
      </c>
      <c r="AR1490" s="515" t="s">
        <v>16</v>
      </c>
      <c r="AS1490" s="95">
        <v>-1</v>
      </c>
      <c r="AT1490" s="75">
        <v>-1</v>
      </c>
      <c r="AU1490" s="75">
        <v>-1</v>
      </c>
      <c r="AV1490" s="75">
        <v>-1</v>
      </c>
      <c r="AW1490" s="123">
        <v>1</v>
      </c>
      <c r="AX1490" s="516"/>
      <c r="AY1490" s="75">
        <v>0</v>
      </c>
      <c r="AZ1490" s="77" t="s">
        <v>131</v>
      </c>
      <c r="BA1490" s="78" t="s">
        <v>131</v>
      </c>
      <c r="BB1490" s="78" t="s">
        <v>131</v>
      </c>
      <c r="BC1490" s="78" t="s">
        <v>131</v>
      </c>
      <c r="BD1490" s="78" t="s">
        <v>131</v>
      </c>
      <c r="BE1490" s="78" t="s">
        <v>131</v>
      </c>
      <c r="BF1490" s="78" t="s">
        <v>131</v>
      </c>
      <c r="BG1490" s="78" t="s">
        <v>132</v>
      </c>
      <c r="BH1490" s="75" t="s">
        <v>5970</v>
      </c>
      <c r="BI1490" s="295" t="s">
        <v>16</v>
      </c>
      <c r="BJ1490" s="546">
        <v>1</v>
      </c>
      <c r="BK1490" s="294">
        <v>1</v>
      </c>
      <c r="BL1490" s="157">
        <v>1</v>
      </c>
      <c r="BM1490" s="548" t="s">
        <v>578</v>
      </c>
      <c r="BN1490" s="548" t="s">
        <v>578</v>
      </c>
      <c r="BO1490" s="157" t="s">
        <v>4317</v>
      </c>
      <c r="BP1490" s="548" t="s">
        <v>2270</v>
      </c>
      <c r="BQ1490" s="157" t="s">
        <v>4316</v>
      </c>
      <c r="BR1490" s="157"/>
    </row>
    <row r="1491" spans="1:70" x14ac:dyDescent="0.25">
      <c r="A1491" s="19" t="s">
        <v>3686</v>
      </c>
      <c r="B1491" s="37" t="s">
        <v>1686</v>
      </c>
      <c r="C1491" s="90">
        <v>44744.653715277775</v>
      </c>
      <c r="D1491" s="114">
        <v>44744.403715277775</v>
      </c>
      <c r="E1491" s="38">
        <v>44744</v>
      </c>
      <c r="F1491" s="91">
        <v>2022</v>
      </c>
      <c r="G1491" s="93">
        <v>7</v>
      </c>
      <c r="H1491" s="37" t="s">
        <v>1517</v>
      </c>
      <c r="I1491" s="37"/>
      <c r="J1491" s="103">
        <v>-91.360996046900894</v>
      </c>
      <c r="K1491" s="40">
        <v>44.724733482709006</v>
      </c>
      <c r="L1491" s="74"/>
      <c r="M1491" s="272" t="s">
        <v>1687</v>
      </c>
      <c r="N1491" s="74">
        <v>1</v>
      </c>
      <c r="O1491" s="94"/>
      <c r="P1491" s="118">
        <v>1</v>
      </c>
      <c r="Q1491" s="510">
        <v>40</v>
      </c>
      <c r="R1491" s="513">
        <v>60</v>
      </c>
      <c r="S1491" s="41"/>
      <c r="T1491" s="40"/>
      <c r="U1491" s="40">
        <v>6.5</v>
      </c>
      <c r="V1491" s="119">
        <v>0</v>
      </c>
      <c r="W1491" s="40"/>
      <c r="X1491" s="119">
        <v>1</v>
      </c>
      <c r="Y1491" s="40">
        <v>63</v>
      </c>
      <c r="Z1491" s="119">
        <v>0</v>
      </c>
      <c r="AA1491" s="368" t="s">
        <v>16</v>
      </c>
      <c r="AB1491" s="535" t="s">
        <v>16</v>
      </c>
      <c r="AC1491" s="39" t="s">
        <v>160</v>
      </c>
      <c r="AD1491" s="75" t="s">
        <v>8</v>
      </c>
      <c r="AE1491" s="95">
        <v>0</v>
      </c>
      <c r="AF1491" s="75">
        <v>1</v>
      </c>
      <c r="AG1491" s="75">
        <v>0</v>
      </c>
      <c r="AH1491" s="75">
        <v>0</v>
      </c>
      <c r="AI1491" s="75">
        <v>0</v>
      </c>
      <c r="AJ1491" s="75">
        <v>0</v>
      </c>
      <c r="AK1491" s="75">
        <v>0</v>
      </c>
      <c r="AL1491" s="95">
        <v>0</v>
      </c>
      <c r="AM1491" s="92">
        <v>0</v>
      </c>
      <c r="AN1491" s="79" t="s">
        <v>80</v>
      </c>
      <c r="AO1491" s="75">
        <v>1</v>
      </c>
      <c r="AP1491" s="75" t="s">
        <v>83</v>
      </c>
      <c r="AQ1491" s="122">
        <v>1</v>
      </c>
      <c r="AR1491" s="515" t="s">
        <v>10</v>
      </c>
      <c r="AS1491" s="95">
        <v>0</v>
      </c>
      <c r="AT1491" s="75">
        <v>0</v>
      </c>
      <c r="AU1491" s="75">
        <v>0</v>
      </c>
      <c r="AV1491" s="75">
        <v>0</v>
      </c>
      <c r="AW1491" s="123">
        <v>0</v>
      </c>
      <c r="AX1491" s="516" t="s">
        <v>1688</v>
      </c>
      <c r="AY1491" s="75">
        <v>1</v>
      </c>
      <c r="AZ1491" s="77" t="s">
        <v>131</v>
      </c>
      <c r="BA1491" s="78" t="s">
        <v>132</v>
      </c>
      <c r="BB1491" s="78" t="s">
        <v>131</v>
      </c>
      <c r="BC1491" s="78" t="s">
        <v>131</v>
      </c>
      <c r="BD1491" s="78" t="s">
        <v>131</v>
      </c>
      <c r="BE1491" s="78" t="s">
        <v>131</v>
      </c>
      <c r="BF1491" s="78" t="s">
        <v>131</v>
      </c>
      <c r="BG1491" s="78" t="s">
        <v>131</v>
      </c>
      <c r="BH1491" s="75" t="s">
        <v>5970</v>
      </c>
      <c r="BI1491" s="295" t="s">
        <v>2264</v>
      </c>
      <c r="BJ1491" s="546">
        <v>1</v>
      </c>
      <c r="BK1491" s="294" t="s">
        <v>16</v>
      </c>
      <c r="BL1491" s="157" t="s">
        <v>16</v>
      </c>
      <c r="BM1491" s="548" t="s">
        <v>1340</v>
      </c>
      <c r="BN1491" s="548" t="s">
        <v>2344</v>
      </c>
      <c r="BO1491" s="157" t="s">
        <v>4634</v>
      </c>
      <c r="BP1491" s="548" t="s">
        <v>2264</v>
      </c>
      <c r="BQ1491" s="157" t="s">
        <v>4633</v>
      </c>
      <c r="BR1491" s="157"/>
    </row>
    <row r="1492" spans="1:70" x14ac:dyDescent="0.25">
      <c r="A1492" s="19" t="s">
        <v>3686</v>
      </c>
      <c r="B1492" s="37" t="s">
        <v>1689</v>
      </c>
      <c r="C1492" s="90">
        <v>44744.57508101852</v>
      </c>
      <c r="D1492" s="114">
        <v>44744.32508101852</v>
      </c>
      <c r="E1492" s="38">
        <v>44744</v>
      </c>
      <c r="F1492" s="91">
        <v>2022</v>
      </c>
      <c r="G1492" s="93">
        <v>7</v>
      </c>
      <c r="H1492" s="37" t="s">
        <v>1517</v>
      </c>
      <c r="I1492" s="37"/>
      <c r="J1492" s="103">
        <v>-91.405012168490501</v>
      </c>
      <c r="K1492" s="40">
        <v>44.757408063512848</v>
      </c>
      <c r="L1492" s="74"/>
      <c r="M1492" s="272" t="s">
        <v>16</v>
      </c>
      <c r="N1492" s="74">
        <v>0</v>
      </c>
      <c r="O1492" s="94"/>
      <c r="P1492" s="118">
        <v>0</v>
      </c>
      <c r="Q1492" s="510"/>
      <c r="R1492" s="513"/>
      <c r="S1492" s="41"/>
      <c r="T1492" s="40"/>
      <c r="U1492" s="40"/>
      <c r="V1492" s="119">
        <v>0</v>
      </c>
      <c r="W1492" s="40"/>
      <c r="X1492" s="119">
        <v>1</v>
      </c>
      <c r="Y1492" s="40">
        <v>59</v>
      </c>
      <c r="Z1492" s="119">
        <v>0</v>
      </c>
      <c r="AA1492" s="368" t="s">
        <v>16</v>
      </c>
      <c r="AB1492" s="535" t="s">
        <v>16</v>
      </c>
      <c r="AC1492" s="39" t="s">
        <v>160</v>
      </c>
      <c r="AD1492" s="75" t="s">
        <v>16</v>
      </c>
      <c r="AE1492" s="95">
        <v>-1</v>
      </c>
      <c r="AF1492" s="75">
        <v>-1</v>
      </c>
      <c r="AG1492" s="75">
        <v>-1</v>
      </c>
      <c r="AH1492" s="75">
        <v>-1</v>
      </c>
      <c r="AI1492" s="75">
        <v>-1</v>
      </c>
      <c r="AJ1492" s="75">
        <v>-1</v>
      </c>
      <c r="AK1492" s="75">
        <v>-1</v>
      </c>
      <c r="AL1492" s="95">
        <v>-1</v>
      </c>
      <c r="AM1492" s="92">
        <v>1</v>
      </c>
      <c r="AN1492" s="79"/>
      <c r="AO1492" s="75">
        <v>0</v>
      </c>
      <c r="AP1492" s="75"/>
      <c r="AQ1492" s="122">
        <v>0</v>
      </c>
      <c r="AR1492" s="515" t="s">
        <v>16</v>
      </c>
      <c r="AS1492" s="95">
        <v>-1</v>
      </c>
      <c r="AT1492" s="75">
        <v>-1</v>
      </c>
      <c r="AU1492" s="75">
        <v>-1</v>
      </c>
      <c r="AV1492" s="75">
        <v>-1</v>
      </c>
      <c r="AW1492" s="123">
        <v>1</v>
      </c>
      <c r="AX1492" s="516"/>
      <c r="AY1492" s="75">
        <v>0</v>
      </c>
      <c r="AZ1492" s="77" t="s">
        <v>5971</v>
      </c>
      <c r="BA1492" s="78" t="s">
        <v>5971</v>
      </c>
      <c r="BB1492" s="78" t="s">
        <v>5971</v>
      </c>
      <c r="BC1492" s="78" t="s">
        <v>5971</v>
      </c>
      <c r="BD1492" s="78" t="s">
        <v>5971</v>
      </c>
      <c r="BE1492" s="78" t="s">
        <v>5971</v>
      </c>
      <c r="BF1492" s="78" t="s">
        <v>5971</v>
      </c>
      <c r="BG1492" s="78" t="s">
        <v>5971</v>
      </c>
      <c r="BH1492" s="75" t="s">
        <v>5971</v>
      </c>
      <c r="BI1492" s="295" t="s">
        <v>16</v>
      </c>
      <c r="BJ1492" s="546">
        <v>1</v>
      </c>
      <c r="BK1492" s="294" t="s">
        <v>16</v>
      </c>
      <c r="BL1492" s="157" t="s">
        <v>16</v>
      </c>
      <c r="BM1492" s="548" t="s">
        <v>1340</v>
      </c>
      <c r="BN1492" s="548" t="s">
        <v>2344</v>
      </c>
      <c r="BO1492" s="157" t="s">
        <v>4634</v>
      </c>
      <c r="BP1492" s="548" t="s">
        <v>2264</v>
      </c>
      <c r="BQ1492" s="157" t="s">
        <v>4633</v>
      </c>
      <c r="BR1492" s="157"/>
    </row>
    <row r="1493" spans="1:70" x14ac:dyDescent="0.25">
      <c r="A1493" s="19" t="s">
        <v>3686</v>
      </c>
      <c r="B1493" s="37" t="s">
        <v>1690</v>
      </c>
      <c r="C1493" s="90">
        <v>44744.574259259258</v>
      </c>
      <c r="D1493" s="114">
        <v>44744.324259259258</v>
      </c>
      <c r="E1493" s="38">
        <v>44744</v>
      </c>
      <c r="F1493" s="91">
        <v>2022</v>
      </c>
      <c r="G1493" s="93">
        <v>7</v>
      </c>
      <c r="H1493" s="37" t="s">
        <v>1517</v>
      </c>
      <c r="I1493" s="37"/>
      <c r="J1493" s="103">
        <v>-91.40501334541554</v>
      </c>
      <c r="K1493" s="40">
        <v>44.75738846509693</v>
      </c>
      <c r="L1493" s="74"/>
      <c r="M1493" s="272" t="s">
        <v>16</v>
      </c>
      <c r="N1493" s="74">
        <v>0</v>
      </c>
      <c r="O1493" s="94"/>
      <c r="P1493" s="118">
        <v>1</v>
      </c>
      <c r="Q1493" s="510">
        <v>40</v>
      </c>
      <c r="R1493" s="513">
        <v>120</v>
      </c>
      <c r="S1493" s="41"/>
      <c r="T1493" s="40"/>
      <c r="U1493" s="40">
        <v>7</v>
      </c>
      <c r="V1493" s="119">
        <v>0</v>
      </c>
      <c r="W1493" s="40"/>
      <c r="X1493" s="119">
        <v>0</v>
      </c>
      <c r="Y1493" s="40"/>
      <c r="Z1493" s="119">
        <v>0</v>
      </c>
      <c r="AA1493" s="368" t="s">
        <v>16</v>
      </c>
      <c r="AB1493" s="535" t="s">
        <v>16</v>
      </c>
      <c r="AC1493" s="39" t="s">
        <v>160</v>
      </c>
      <c r="AD1493" s="75" t="s">
        <v>8</v>
      </c>
      <c r="AE1493" s="95">
        <v>0</v>
      </c>
      <c r="AF1493" s="75">
        <v>1</v>
      </c>
      <c r="AG1493" s="75">
        <v>0</v>
      </c>
      <c r="AH1493" s="75">
        <v>0</v>
      </c>
      <c r="AI1493" s="75">
        <v>0</v>
      </c>
      <c r="AJ1493" s="75">
        <v>0</v>
      </c>
      <c r="AK1493" s="75">
        <v>0</v>
      </c>
      <c r="AL1493" s="95">
        <v>0</v>
      </c>
      <c r="AM1493" s="92">
        <v>0</v>
      </c>
      <c r="AN1493" s="79" t="s">
        <v>80</v>
      </c>
      <c r="AO1493" s="75">
        <v>1</v>
      </c>
      <c r="AP1493" s="75" t="s">
        <v>83</v>
      </c>
      <c r="AQ1493" s="122">
        <v>1</v>
      </c>
      <c r="AR1493" s="515" t="s">
        <v>10</v>
      </c>
      <c r="AS1493" s="95">
        <v>0</v>
      </c>
      <c r="AT1493" s="75">
        <v>0</v>
      </c>
      <c r="AU1493" s="75">
        <v>0</v>
      </c>
      <c r="AV1493" s="75">
        <v>0</v>
      </c>
      <c r="AW1493" s="123">
        <v>0</v>
      </c>
      <c r="AX1493" s="516"/>
      <c r="AY1493" s="75">
        <v>0</v>
      </c>
      <c r="AZ1493" s="77" t="s">
        <v>131</v>
      </c>
      <c r="BA1493" s="78" t="s">
        <v>132</v>
      </c>
      <c r="BB1493" s="78" t="s">
        <v>131</v>
      </c>
      <c r="BC1493" s="78" t="s">
        <v>131</v>
      </c>
      <c r="BD1493" s="78" t="s">
        <v>131</v>
      </c>
      <c r="BE1493" s="78" t="s">
        <v>131</v>
      </c>
      <c r="BF1493" s="78" t="s">
        <v>131</v>
      </c>
      <c r="BG1493" s="78" t="s">
        <v>131</v>
      </c>
      <c r="BH1493" s="75" t="s">
        <v>5970</v>
      </c>
      <c r="BI1493" s="295" t="s">
        <v>2264</v>
      </c>
      <c r="BJ1493" s="546">
        <v>1</v>
      </c>
      <c r="BK1493" s="294" t="s">
        <v>16</v>
      </c>
      <c r="BL1493" s="157" t="s">
        <v>16</v>
      </c>
      <c r="BM1493" s="548" t="s">
        <v>1340</v>
      </c>
      <c r="BN1493" s="548" t="s">
        <v>2344</v>
      </c>
      <c r="BO1493" s="157" t="s">
        <v>4634</v>
      </c>
      <c r="BP1493" s="548" t="s">
        <v>2264</v>
      </c>
      <c r="BQ1493" s="157" t="s">
        <v>4633</v>
      </c>
      <c r="BR1493" s="157"/>
    </row>
    <row r="1494" spans="1:70" x14ac:dyDescent="0.25">
      <c r="A1494" s="19" t="s">
        <v>3686</v>
      </c>
      <c r="B1494" s="37" t="s">
        <v>1691</v>
      </c>
      <c r="C1494" s="90">
        <v>44743.791435185187</v>
      </c>
      <c r="D1494" s="114">
        <v>44743.541435185187</v>
      </c>
      <c r="E1494" s="38">
        <v>44743</v>
      </c>
      <c r="F1494" s="91">
        <v>2022</v>
      </c>
      <c r="G1494" s="93">
        <v>7</v>
      </c>
      <c r="H1494" s="37" t="s">
        <v>1386</v>
      </c>
      <c r="I1494" s="37"/>
      <c r="J1494" s="103">
        <v>-91.572876300000004</v>
      </c>
      <c r="K1494" s="40">
        <v>43.503598500000003</v>
      </c>
      <c r="L1494" s="74"/>
      <c r="M1494" s="272" t="s">
        <v>1692</v>
      </c>
      <c r="N1494" s="74">
        <v>1</v>
      </c>
      <c r="O1494" s="94"/>
      <c r="P1494" s="118">
        <v>1</v>
      </c>
      <c r="Q1494" s="510">
        <v>0</v>
      </c>
      <c r="R1494" s="513">
        <v>60</v>
      </c>
      <c r="S1494" s="41"/>
      <c r="T1494" s="40"/>
      <c r="U1494" s="40">
        <v>7.5</v>
      </c>
      <c r="V1494" s="119">
        <v>1</v>
      </c>
      <c r="W1494" s="40">
        <v>100</v>
      </c>
      <c r="X1494" s="119">
        <v>1</v>
      </c>
      <c r="Y1494" s="40">
        <v>56</v>
      </c>
      <c r="Z1494" s="119">
        <v>1</v>
      </c>
      <c r="AA1494" s="368">
        <v>0</v>
      </c>
      <c r="AB1494" s="535">
        <v>5</v>
      </c>
      <c r="AC1494" s="39" t="s">
        <v>160</v>
      </c>
      <c r="AD1494" s="75" t="s">
        <v>10</v>
      </c>
      <c r="AE1494" s="95">
        <v>0</v>
      </c>
      <c r="AF1494" s="75">
        <v>0</v>
      </c>
      <c r="AG1494" s="75">
        <v>0</v>
      </c>
      <c r="AH1494" s="75">
        <v>0</v>
      </c>
      <c r="AI1494" s="75">
        <v>0</v>
      </c>
      <c r="AJ1494" s="75">
        <v>0</v>
      </c>
      <c r="AK1494" s="75">
        <v>0</v>
      </c>
      <c r="AL1494" s="95">
        <v>1</v>
      </c>
      <c r="AM1494" s="92">
        <v>0</v>
      </c>
      <c r="AN1494" s="79" t="s">
        <v>80</v>
      </c>
      <c r="AO1494" s="75">
        <v>1</v>
      </c>
      <c r="AP1494" s="75" t="s">
        <v>83</v>
      </c>
      <c r="AQ1494" s="122">
        <v>1</v>
      </c>
      <c r="AR1494" s="515" t="s">
        <v>10</v>
      </c>
      <c r="AS1494" s="95">
        <v>0</v>
      </c>
      <c r="AT1494" s="75">
        <v>0</v>
      </c>
      <c r="AU1494" s="75">
        <v>0</v>
      </c>
      <c r="AV1494" s="75">
        <v>0</v>
      </c>
      <c r="AW1494" s="123">
        <v>0</v>
      </c>
      <c r="AX1494" s="516"/>
      <c r="AY1494" s="75">
        <v>0</v>
      </c>
      <c r="AZ1494" s="77" t="s">
        <v>131</v>
      </c>
      <c r="BA1494" s="78" t="s">
        <v>131</v>
      </c>
      <c r="BB1494" s="78" t="s">
        <v>131</v>
      </c>
      <c r="BC1494" s="78" t="s">
        <v>131</v>
      </c>
      <c r="BD1494" s="78" t="s">
        <v>131</v>
      </c>
      <c r="BE1494" s="78" t="s">
        <v>131</v>
      </c>
      <c r="BF1494" s="78" t="s">
        <v>131</v>
      </c>
      <c r="BG1494" s="78" t="s">
        <v>132</v>
      </c>
      <c r="BH1494" s="75" t="s">
        <v>5970</v>
      </c>
      <c r="BI1494" s="295" t="s">
        <v>2265</v>
      </c>
      <c r="BJ1494" s="546">
        <v>1</v>
      </c>
      <c r="BK1494" s="294">
        <v>1</v>
      </c>
      <c r="BL1494" s="157">
        <v>1</v>
      </c>
      <c r="BM1494" s="548" t="s">
        <v>1341</v>
      </c>
      <c r="BN1494" s="548" t="s">
        <v>1339</v>
      </c>
      <c r="BO1494" s="157" t="s">
        <v>4242</v>
      </c>
      <c r="BP1494" s="548" t="s">
        <v>4041</v>
      </c>
      <c r="BQ1494" s="157" t="s">
        <v>4241</v>
      </c>
      <c r="BR1494" s="157"/>
    </row>
    <row r="1495" spans="1:70" x14ac:dyDescent="0.25">
      <c r="A1495" s="19" t="s">
        <v>3686</v>
      </c>
      <c r="B1495" s="37" t="s">
        <v>1693</v>
      </c>
      <c r="C1495" s="90">
        <v>44743.606793981482</v>
      </c>
      <c r="D1495" s="114">
        <v>44743.356793981482</v>
      </c>
      <c r="E1495" s="38">
        <v>44743</v>
      </c>
      <c r="F1495" s="91">
        <v>2022</v>
      </c>
      <c r="G1495" s="93">
        <v>7</v>
      </c>
      <c r="H1495" s="37" t="s">
        <v>1694</v>
      </c>
      <c r="I1495" s="37"/>
      <c r="J1495" s="103">
        <v>-93.023463599999999</v>
      </c>
      <c r="K1495" s="40">
        <v>44.660371900000001</v>
      </c>
      <c r="L1495" s="74"/>
      <c r="M1495" s="272" t="s">
        <v>16</v>
      </c>
      <c r="N1495" s="74">
        <v>0</v>
      </c>
      <c r="O1495" s="94"/>
      <c r="P1495" s="118">
        <v>1</v>
      </c>
      <c r="Q1495" s="510">
        <v>40</v>
      </c>
      <c r="R1495" s="513">
        <v>120</v>
      </c>
      <c r="S1495" s="41"/>
      <c r="T1495" s="40"/>
      <c r="U1495" s="40">
        <v>7.5</v>
      </c>
      <c r="V1495" s="119">
        <v>0</v>
      </c>
      <c r="W1495" s="40"/>
      <c r="X1495" s="119">
        <v>1</v>
      </c>
      <c r="Y1495" s="40">
        <v>66</v>
      </c>
      <c r="Z1495" s="119">
        <v>1</v>
      </c>
      <c r="AA1495" s="368">
        <v>0</v>
      </c>
      <c r="AB1495" s="535">
        <v>2</v>
      </c>
      <c r="AC1495" s="39" t="s">
        <v>160</v>
      </c>
      <c r="AD1495" s="75" t="s">
        <v>10</v>
      </c>
      <c r="AE1495" s="95">
        <v>0</v>
      </c>
      <c r="AF1495" s="75">
        <v>0</v>
      </c>
      <c r="AG1495" s="75">
        <v>0</v>
      </c>
      <c r="AH1495" s="75">
        <v>0</v>
      </c>
      <c r="AI1495" s="75">
        <v>0</v>
      </c>
      <c r="AJ1495" s="75">
        <v>0</v>
      </c>
      <c r="AK1495" s="75">
        <v>0</v>
      </c>
      <c r="AL1495" s="95">
        <v>1</v>
      </c>
      <c r="AM1495" s="92">
        <v>0</v>
      </c>
      <c r="AN1495" s="79" t="s">
        <v>80</v>
      </c>
      <c r="AO1495" s="75">
        <v>1</v>
      </c>
      <c r="AP1495" s="75" t="s">
        <v>83</v>
      </c>
      <c r="AQ1495" s="122">
        <v>1</v>
      </c>
      <c r="AR1495" s="515" t="s">
        <v>10</v>
      </c>
      <c r="AS1495" s="95">
        <v>0</v>
      </c>
      <c r="AT1495" s="75">
        <v>0</v>
      </c>
      <c r="AU1495" s="75">
        <v>0</v>
      </c>
      <c r="AV1495" s="75">
        <v>0</v>
      </c>
      <c r="AW1495" s="123">
        <v>0</v>
      </c>
      <c r="AX1495" s="516"/>
      <c r="AY1495" s="75">
        <v>0</v>
      </c>
      <c r="AZ1495" s="77" t="s">
        <v>131</v>
      </c>
      <c r="BA1495" s="78" t="s">
        <v>131</v>
      </c>
      <c r="BB1495" s="78" t="s">
        <v>131</v>
      </c>
      <c r="BC1495" s="78" t="s">
        <v>131</v>
      </c>
      <c r="BD1495" s="78" t="s">
        <v>131</v>
      </c>
      <c r="BE1495" s="78" t="s">
        <v>131</v>
      </c>
      <c r="BF1495" s="78" t="s">
        <v>131</v>
      </c>
      <c r="BG1495" s="78" t="s">
        <v>132</v>
      </c>
      <c r="BH1495" s="75" t="s">
        <v>5970</v>
      </c>
      <c r="BI1495" s="295" t="s">
        <v>2233</v>
      </c>
      <c r="BJ1495" s="546">
        <v>1</v>
      </c>
      <c r="BK1495" s="294" t="s">
        <v>16</v>
      </c>
      <c r="BL1495" s="157" t="s">
        <v>16</v>
      </c>
      <c r="BM1495" s="548" t="s">
        <v>2343</v>
      </c>
      <c r="BN1495" s="548" t="s">
        <v>4161</v>
      </c>
      <c r="BO1495" s="157" t="s">
        <v>4685</v>
      </c>
      <c r="BP1495" s="548" t="s">
        <v>4686</v>
      </c>
      <c r="BQ1495" s="157" t="s">
        <v>4292</v>
      </c>
      <c r="BR1495" s="157"/>
    </row>
    <row r="1496" spans="1:70" x14ac:dyDescent="0.25">
      <c r="A1496" s="19" t="s">
        <v>3686</v>
      </c>
      <c r="B1496" s="37" t="s">
        <v>1695</v>
      </c>
      <c r="C1496" s="90">
        <v>44743.565289351849</v>
      </c>
      <c r="D1496" s="114">
        <v>44743.315289351849</v>
      </c>
      <c r="E1496" s="38">
        <v>44743</v>
      </c>
      <c r="F1496" s="91">
        <v>2022</v>
      </c>
      <c r="G1496" s="93">
        <v>7</v>
      </c>
      <c r="H1496" s="37" t="s">
        <v>1694</v>
      </c>
      <c r="I1496" s="37"/>
      <c r="J1496" s="103">
        <v>-93.007794799999999</v>
      </c>
      <c r="K1496" s="40">
        <v>44.658691300000001</v>
      </c>
      <c r="L1496" s="74"/>
      <c r="M1496" s="272" t="s">
        <v>16</v>
      </c>
      <c r="N1496" s="74">
        <v>0</v>
      </c>
      <c r="O1496" s="94"/>
      <c r="P1496" s="118">
        <v>0</v>
      </c>
      <c r="Q1496" s="510"/>
      <c r="R1496" s="513"/>
      <c r="S1496" s="41"/>
      <c r="T1496" s="40"/>
      <c r="U1496" s="40"/>
      <c r="V1496" s="119">
        <v>0</v>
      </c>
      <c r="W1496" s="40"/>
      <c r="X1496" s="119">
        <v>1</v>
      </c>
      <c r="Y1496" s="40">
        <v>63</v>
      </c>
      <c r="Z1496" s="119">
        <v>0</v>
      </c>
      <c r="AA1496" s="368" t="s">
        <v>16</v>
      </c>
      <c r="AB1496" s="535" t="s">
        <v>16</v>
      </c>
      <c r="AC1496" s="39"/>
      <c r="AD1496" s="75" t="s">
        <v>16</v>
      </c>
      <c r="AE1496" s="95">
        <v>-1</v>
      </c>
      <c r="AF1496" s="75">
        <v>-1</v>
      </c>
      <c r="AG1496" s="75">
        <v>-1</v>
      </c>
      <c r="AH1496" s="75">
        <v>-1</v>
      </c>
      <c r="AI1496" s="75">
        <v>-1</v>
      </c>
      <c r="AJ1496" s="75">
        <v>-1</v>
      </c>
      <c r="AK1496" s="75">
        <v>-1</v>
      </c>
      <c r="AL1496" s="95">
        <v>-1</v>
      </c>
      <c r="AM1496" s="92">
        <v>1</v>
      </c>
      <c r="AN1496" s="79"/>
      <c r="AO1496" s="75">
        <v>0</v>
      </c>
      <c r="AP1496" s="75"/>
      <c r="AQ1496" s="122">
        <v>0</v>
      </c>
      <c r="AR1496" s="515" t="s">
        <v>16</v>
      </c>
      <c r="AS1496" s="95">
        <v>-1</v>
      </c>
      <c r="AT1496" s="75">
        <v>-1</v>
      </c>
      <c r="AU1496" s="75">
        <v>-1</v>
      </c>
      <c r="AV1496" s="75">
        <v>-1</v>
      </c>
      <c r="AW1496" s="123">
        <v>1</v>
      </c>
      <c r="AX1496" s="516"/>
      <c r="AY1496" s="75">
        <v>0</v>
      </c>
      <c r="AZ1496" s="77" t="s">
        <v>5971</v>
      </c>
      <c r="BA1496" s="78" t="s">
        <v>5971</v>
      </c>
      <c r="BB1496" s="78" t="s">
        <v>5971</v>
      </c>
      <c r="BC1496" s="78" t="s">
        <v>5971</v>
      </c>
      <c r="BD1496" s="78" t="s">
        <v>5971</v>
      </c>
      <c r="BE1496" s="78" t="s">
        <v>5971</v>
      </c>
      <c r="BF1496" s="78" t="s">
        <v>5971</v>
      </c>
      <c r="BG1496" s="78" t="s">
        <v>5971</v>
      </c>
      <c r="BH1496" s="75" t="s">
        <v>5971</v>
      </c>
      <c r="BI1496" s="295" t="s">
        <v>2225</v>
      </c>
      <c r="BJ1496" s="546">
        <v>1</v>
      </c>
      <c r="BK1496" s="294" t="s">
        <v>16</v>
      </c>
      <c r="BL1496" s="157" t="s">
        <v>16</v>
      </c>
      <c r="BM1496" s="548" t="s">
        <v>2343</v>
      </c>
      <c r="BN1496" s="548" t="s">
        <v>4161</v>
      </c>
      <c r="BO1496" s="157" t="s">
        <v>4293</v>
      </c>
      <c r="BP1496" s="548" t="s">
        <v>2225</v>
      </c>
      <c r="BQ1496" s="157" t="s">
        <v>4292</v>
      </c>
      <c r="BR1496" s="157"/>
    </row>
    <row r="1497" spans="1:70" x14ac:dyDescent="0.25">
      <c r="A1497" s="19" t="s">
        <v>3686</v>
      </c>
      <c r="B1497" s="37" t="s">
        <v>1696</v>
      </c>
      <c r="C1497" s="90">
        <v>44743.563715277778</v>
      </c>
      <c r="D1497" s="114">
        <v>44743.313715277778</v>
      </c>
      <c r="E1497" s="38">
        <v>44743</v>
      </c>
      <c r="F1497" s="91">
        <v>2022</v>
      </c>
      <c r="G1497" s="93">
        <v>7</v>
      </c>
      <c r="H1497" s="37" t="s">
        <v>1694</v>
      </c>
      <c r="I1497" s="37"/>
      <c r="J1497" s="103">
        <v>-93.007818799999995</v>
      </c>
      <c r="K1497" s="40">
        <v>44.658691699999999</v>
      </c>
      <c r="L1497" s="74"/>
      <c r="M1497" s="272" t="s">
        <v>16</v>
      </c>
      <c r="N1497" s="74">
        <v>0</v>
      </c>
      <c r="O1497" s="94"/>
      <c r="P1497" s="118">
        <v>1</v>
      </c>
      <c r="Q1497" s="510">
        <v>80</v>
      </c>
      <c r="R1497" s="513">
        <v>120</v>
      </c>
      <c r="S1497" s="41"/>
      <c r="T1497" s="40"/>
      <c r="U1497" s="40">
        <v>7</v>
      </c>
      <c r="V1497" s="119">
        <v>0</v>
      </c>
      <c r="W1497" s="40"/>
      <c r="X1497" s="119">
        <v>0</v>
      </c>
      <c r="Y1497" s="40"/>
      <c r="Z1497" s="119">
        <v>1</v>
      </c>
      <c r="AA1497" s="368">
        <v>0</v>
      </c>
      <c r="AB1497" s="535">
        <v>5</v>
      </c>
      <c r="AC1497" s="39" t="s">
        <v>160</v>
      </c>
      <c r="AD1497" s="75" t="s">
        <v>10</v>
      </c>
      <c r="AE1497" s="95">
        <v>0</v>
      </c>
      <c r="AF1497" s="75">
        <v>0</v>
      </c>
      <c r="AG1497" s="75">
        <v>0</v>
      </c>
      <c r="AH1497" s="75">
        <v>0</v>
      </c>
      <c r="AI1497" s="75">
        <v>0</v>
      </c>
      <c r="AJ1497" s="75">
        <v>0</v>
      </c>
      <c r="AK1497" s="75">
        <v>0</v>
      </c>
      <c r="AL1497" s="95">
        <v>1</v>
      </c>
      <c r="AM1497" s="92">
        <v>0</v>
      </c>
      <c r="AN1497" s="79" t="s">
        <v>80</v>
      </c>
      <c r="AO1497" s="75">
        <v>1</v>
      </c>
      <c r="AP1497" s="75" t="s">
        <v>84</v>
      </c>
      <c r="AQ1497" s="122">
        <v>1</v>
      </c>
      <c r="AR1497" s="515" t="s">
        <v>13</v>
      </c>
      <c r="AS1497" s="95">
        <v>1</v>
      </c>
      <c r="AT1497" s="75">
        <v>0</v>
      </c>
      <c r="AU1497" s="75">
        <v>0</v>
      </c>
      <c r="AV1497" s="75">
        <v>0</v>
      </c>
      <c r="AW1497" s="123">
        <v>0</v>
      </c>
      <c r="AX1497" s="516"/>
      <c r="AY1497" s="75">
        <v>0</v>
      </c>
      <c r="AZ1497" s="77" t="s">
        <v>131</v>
      </c>
      <c r="BA1497" s="78" t="s">
        <v>131</v>
      </c>
      <c r="BB1497" s="78" t="s">
        <v>131</v>
      </c>
      <c r="BC1497" s="78" t="s">
        <v>131</v>
      </c>
      <c r="BD1497" s="78" t="s">
        <v>131</v>
      </c>
      <c r="BE1497" s="78" t="s">
        <v>131</v>
      </c>
      <c r="BF1497" s="78" t="s">
        <v>131</v>
      </c>
      <c r="BG1497" s="78" t="s">
        <v>132</v>
      </c>
      <c r="BH1497" s="75" t="s">
        <v>5970</v>
      </c>
      <c r="BI1497" s="295" t="s">
        <v>2225</v>
      </c>
      <c r="BJ1497" s="546">
        <v>1</v>
      </c>
      <c r="BK1497" s="294" t="s">
        <v>16</v>
      </c>
      <c r="BL1497" s="157" t="s">
        <v>16</v>
      </c>
      <c r="BM1497" s="548" t="s">
        <v>2343</v>
      </c>
      <c r="BN1497" s="548" t="s">
        <v>4161</v>
      </c>
      <c r="BO1497" s="157" t="s">
        <v>4293</v>
      </c>
      <c r="BP1497" s="548" t="s">
        <v>2225</v>
      </c>
      <c r="BQ1497" s="157" t="s">
        <v>4292</v>
      </c>
      <c r="BR1497" s="157"/>
    </row>
    <row r="1498" spans="1:70" x14ac:dyDescent="0.25">
      <c r="A1498" s="19" t="s">
        <v>3686</v>
      </c>
      <c r="B1498" s="37" t="s">
        <v>1697</v>
      </c>
      <c r="C1498" s="90">
        <v>44742.831655092596</v>
      </c>
      <c r="D1498" s="114">
        <v>44742.581655092596</v>
      </c>
      <c r="E1498" s="38">
        <v>44742</v>
      </c>
      <c r="F1498" s="91">
        <v>2022</v>
      </c>
      <c r="G1498" s="93">
        <v>6</v>
      </c>
      <c r="H1498" s="37" t="s">
        <v>1425</v>
      </c>
      <c r="I1498" s="37"/>
      <c r="J1498" s="103">
        <v>-92.634030186386283</v>
      </c>
      <c r="K1498" s="40">
        <v>44.854826946717615</v>
      </c>
      <c r="L1498" s="74"/>
      <c r="M1498" s="272" t="s">
        <v>1698</v>
      </c>
      <c r="N1498" s="74">
        <v>1</v>
      </c>
      <c r="O1498" s="94"/>
      <c r="P1498" s="118">
        <v>1</v>
      </c>
      <c r="Q1498" s="510">
        <v>180</v>
      </c>
      <c r="R1498" s="513">
        <v>180</v>
      </c>
      <c r="S1498" s="41"/>
      <c r="T1498" s="40"/>
      <c r="U1498" s="40">
        <v>8</v>
      </c>
      <c r="V1498" s="119">
        <v>1</v>
      </c>
      <c r="W1498" s="40">
        <v>0</v>
      </c>
      <c r="X1498" s="119">
        <v>1</v>
      </c>
      <c r="Y1498" s="40">
        <v>67</v>
      </c>
      <c r="Z1498" s="119">
        <v>1</v>
      </c>
      <c r="AA1498" s="368">
        <v>0</v>
      </c>
      <c r="AB1498" s="535">
        <v>2</v>
      </c>
      <c r="AC1498" s="39" t="s">
        <v>160</v>
      </c>
      <c r="AD1498" s="75" t="s">
        <v>7</v>
      </c>
      <c r="AE1498" s="95">
        <v>1</v>
      </c>
      <c r="AF1498" s="75">
        <v>0</v>
      </c>
      <c r="AG1498" s="75">
        <v>0</v>
      </c>
      <c r="AH1498" s="75">
        <v>0</v>
      </c>
      <c r="AI1498" s="75">
        <v>0</v>
      </c>
      <c r="AJ1498" s="75">
        <v>0</v>
      </c>
      <c r="AK1498" s="75">
        <v>0</v>
      </c>
      <c r="AL1498" s="95">
        <v>0</v>
      </c>
      <c r="AM1498" s="92">
        <v>0</v>
      </c>
      <c r="AN1498" s="79" t="s">
        <v>80</v>
      </c>
      <c r="AO1498" s="75">
        <v>1</v>
      </c>
      <c r="AP1498" s="75" t="s">
        <v>83</v>
      </c>
      <c r="AQ1498" s="122">
        <v>1</v>
      </c>
      <c r="AR1498" s="515" t="s">
        <v>10</v>
      </c>
      <c r="AS1498" s="95">
        <v>0</v>
      </c>
      <c r="AT1498" s="75">
        <v>0</v>
      </c>
      <c r="AU1498" s="75">
        <v>0</v>
      </c>
      <c r="AV1498" s="75">
        <v>0</v>
      </c>
      <c r="AW1498" s="123">
        <v>0</v>
      </c>
      <c r="AX1498" s="516" t="s">
        <v>1699</v>
      </c>
      <c r="AY1498" s="75">
        <v>1</v>
      </c>
      <c r="AZ1498" s="77" t="s">
        <v>132</v>
      </c>
      <c r="BA1498" s="78" t="s">
        <v>131</v>
      </c>
      <c r="BB1498" s="78" t="s">
        <v>131</v>
      </c>
      <c r="BC1498" s="78" t="s">
        <v>131</v>
      </c>
      <c r="BD1498" s="78" t="s">
        <v>131</v>
      </c>
      <c r="BE1498" s="78" t="s">
        <v>131</v>
      </c>
      <c r="BF1498" s="78" t="s">
        <v>131</v>
      </c>
      <c r="BG1498" s="78" t="s">
        <v>131</v>
      </c>
      <c r="BH1498" s="75" t="s">
        <v>5970</v>
      </c>
      <c r="BI1498" s="295" t="s">
        <v>2227</v>
      </c>
      <c r="BJ1498" s="546">
        <v>1</v>
      </c>
      <c r="BK1498" s="294">
        <v>1</v>
      </c>
      <c r="BL1498" s="157">
        <v>1</v>
      </c>
      <c r="BM1498" s="548" t="s">
        <v>578</v>
      </c>
      <c r="BN1498" s="548" t="s">
        <v>4159</v>
      </c>
      <c r="BO1498" s="157" t="s">
        <v>4310</v>
      </c>
      <c r="BP1498" s="548" t="s">
        <v>2226</v>
      </c>
      <c r="BQ1498" s="157" t="s">
        <v>4309</v>
      </c>
      <c r="BR1498" s="157"/>
    </row>
    <row r="1499" spans="1:70" x14ac:dyDescent="0.25">
      <c r="A1499" s="19" t="s">
        <v>3686</v>
      </c>
      <c r="B1499" s="37" t="s">
        <v>1700</v>
      </c>
      <c r="C1499" s="90">
        <v>44742.808136574073</v>
      </c>
      <c r="D1499" s="114">
        <v>44742.558136574073</v>
      </c>
      <c r="E1499" s="38">
        <v>44742</v>
      </c>
      <c r="F1499" s="91">
        <v>2022</v>
      </c>
      <c r="G1499" s="93">
        <v>6</v>
      </c>
      <c r="H1499" s="37" t="s">
        <v>1425</v>
      </c>
      <c r="I1499" s="37"/>
      <c r="J1499" s="103">
        <v>-92.624472354140366</v>
      </c>
      <c r="K1499" s="40">
        <v>44.850449319210483</v>
      </c>
      <c r="L1499" s="74"/>
      <c r="M1499" s="272" t="s">
        <v>1701</v>
      </c>
      <c r="N1499" s="74">
        <v>1</v>
      </c>
      <c r="O1499" s="94"/>
      <c r="P1499" s="118">
        <v>1</v>
      </c>
      <c r="Q1499" s="510">
        <v>180</v>
      </c>
      <c r="R1499" s="513">
        <v>180</v>
      </c>
      <c r="S1499" s="41"/>
      <c r="T1499" s="40"/>
      <c r="U1499" s="40">
        <v>8</v>
      </c>
      <c r="V1499" s="119">
        <v>1</v>
      </c>
      <c r="W1499" s="40">
        <v>0</v>
      </c>
      <c r="X1499" s="119">
        <v>1</v>
      </c>
      <c r="Y1499" s="40">
        <v>66</v>
      </c>
      <c r="Z1499" s="119">
        <v>1</v>
      </c>
      <c r="AA1499" s="368">
        <v>0</v>
      </c>
      <c r="AB1499" s="535">
        <v>2</v>
      </c>
      <c r="AC1499" s="39" t="s">
        <v>160</v>
      </c>
      <c r="AD1499" s="75" t="s">
        <v>8</v>
      </c>
      <c r="AE1499" s="95">
        <v>0</v>
      </c>
      <c r="AF1499" s="75">
        <v>1</v>
      </c>
      <c r="AG1499" s="75">
        <v>0</v>
      </c>
      <c r="AH1499" s="75">
        <v>0</v>
      </c>
      <c r="AI1499" s="75">
        <v>0</v>
      </c>
      <c r="AJ1499" s="75">
        <v>0</v>
      </c>
      <c r="AK1499" s="75">
        <v>0</v>
      </c>
      <c r="AL1499" s="95">
        <v>0</v>
      </c>
      <c r="AM1499" s="92">
        <v>0</v>
      </c>
      <c r="AN1499" s="79" t="s">
        <v>80</v>
      </c>
      <c r="AO1499" s="75">
        <v>1</v>
      </c>
      <c r="AP1499" s="75" t="s">
        <v>83</v>
      </c>
      <c r="AQ1499" s="122">
        <v>1</v>
      </c>
      <c r="AR1499" s="515" t="s">
        <v>10</v>
      </c>
      <c r="AS1499" s="95">
        <v>0</v>
      </c>
      <c r="AT1499" s="75">
        <v>0</v>
      </c>
      <c r="AU1499" s="75">
        <v>0</v>
      </c>
      <c r="AV1499" s="75">
        <v>0</v>
      </c>
      <c r="AW1499" s="123">
        <v>0</v>
      </c>
      <c r="AX1499" s="516" t="s">
        <v>1702</v>
      </c>
      <c r="AY1499" s="75">
        <v>1</v>
      </c>
      <c r="AZ1499" s="77" t="s">
        <v>131</v>
      </c>
      <c r="BA1499" s="78" t="s">
        <v>132</v>
      </c>
      <c r="BB1499" s="78" t="s">
        <v>131</v>
      </c>
      <c r="BC1499" s="78" t="s">
        <v>131</v>
      </c>
      <c r="BD1499" s="78" t="s">
        <v>131</v>
      </c>
      <c r="BE1499" s="78" t="s">
        <v>131</v>
      </c>
      <c r="BF1499" s="78" t="s">
        <v>131</v>
      </c>
      <c r="BG1499" s="78" t="s">
        <v>131</v>
      </c>
      <c r="BH1499" s="75" t="s">
        <v>5970</v>
      </c>
      <c r="BI1499" s="295" t="s">
        <v>2226</v>
      </c>
      <c r="BJ1499" s="546">
        <v>1</v>
      </c>
      <c r="BK1499" s="294">
        <v>1</v>
      </c>
      <c r="BL1499" s="157">
        <v>1</v>
      </c>
      <c r="BM1499" s="548" t="s">
        <v>578</v>
      </c>
      <c r="BN1499" s="548" t="s">
        <v>4159</v>
      </c>
      <c r="BO1499" s="157" t="s">
        <v>4310</v>
      </c>
      <c r="BP1499" s="548" t="s">
        <v>2226</v>
      </c>
      <c r="BQ1499" s="157" t="s">
        <v>4309</v>
      </c>
      <c r="BR1499" s="157"/>
    </row>
    <row r="1500" spans="1:70" x14ac:dyDescent="0.25">
      <c r="A1500" s="19" t="s">
        <v>3686</v>
      </c>
      <c r="B1500" s="37" t="s">
        <v>1703</v>
      </c>
      <c r="C1500" s="90">
        <v>44742.791435185187</v>
      </c>
      <c r="D1500" s="114">
        <v>44742.541435185187</v>
      </c>
      <c r="E1500" s="38">
        <v>44742</v>
      </c>
      <c r="F1500" s="91">
        <v>2022</v>
      </c>
      <c r="G1500" s="93">
        <v>6</v>
      </c>
      <c r="H1500" s="37" t="s">
        <v>1425</v>
      </c>
      <c r="I1500" s="37"/>
      <c r="J1500" s="103">
        <v>-92.62242398457596</v>
      </c>
      <c r="K1500" s="40">
        <v>44.850213077581856</v>
      </c>
      <c r="L1500" s="74"/>
      <c r="M1500" s="272" t="s">
        <v>1704</v>
      </c>
      <c r="N1500" s="74">
        <v>1</v>
      </c>
      <c r="O1500" s="94"/>
      <c r="P1500" s="118">
        <v>1</v>
      </c>
      <c r="Q1500" s="510">
        <v>180</v>
      </c>
      <c r="R1500" s="513">
        <v>180</v>
      </c>
      <c r="S1500" s="41"/>
      <c r="T1500" s="40"/>
      <c r="U1500" s="40">
        <v>8</v>
      </c>
      <c r="V1500" s="119">
        <v>1</v>
      </c>
      <c r="W1500" s="40">
        <v>0</v>
      </c>
      <c r="X1500" s="119">
        <v>1</v>
      </c>
      <c r="Y1500" s="40">
        <v>65</v>
      </c>
      <c r="Z1500" s="119">
        <v>1</v>
      </c>
      <c r="AA1500" s="368">
        <v>0</v>
      </c>
      <c r="AB1500" s="535">
        <v>2</v>
      </c>
      <c r="AC1500" s="39" t="s">
        <v>160</v>
      </c>
      <c r="AD1500" s="75" t="s">
        <v>365</v>
      </c>
      <c r="AE1500" s="95">
        <v>0</v>
      </c>
      <c r="AF1500" s="75">
        <v>1</v>
      </c>
      <c r="AG1500" s="75">
        <v>1</v>
      </c>
      <c r="AH1500" s="75">
        <v>0</v>
      </c>
      <c r="AI1500" s="75">
        <v>0</v>
      </c>
      <c r="AJ1500" s="75">
        <v>0</v>
      </c>
      <c r="AK1500" s="75">
        <v>0</v>
      </c>
      <c r="AL1500" s="95">
        <v>0</v>
      </c>
      <c r="AM1500" s="92">
        <v>0</v>
      </c>
      <c r="AN1500" s="79" t="s">
        <v>80</v>
      </c>
      <c r="AO1500" s="75">
        <v>1</v>
      </c>
      <c r="AP1500" s="75" t="s">
        <v>83</v>
      </c>
      <c r="AQ1500" s="122">
        <v>1</v>
      </c>
      <c r="AR1500" s="515" t="s">
        <v>10</v>
      </c>
      <c r="AS1500" s="95">
        <v>0</v>
      </c>
      <c r="AT1500" s="75">
        <v>0</v>
      </c>
      <c r="AU1500" s="75">
        <v>0</v>
      </c>
      <c r="AV1500" s="75">
        <v>0</v>
      </c>
      <c r="AW1500" s="123">
        <v>0</v>
      </c>
      <c r="AX1500" s="516" t="s">
        <v>1699</v>
      </c>
      <c r="AY1500" s="75">
        <v>1</v>
      </c>
      <c r="AZ1500" s="77" t="s">
        <v>131</v>
      </c>
      <c r="BA1500" s="78" t="s">
        <v>132</v>
      </c>
      <c r="BB1500" s="78" t="s">
        <v>132</v>
      </c>
      <c r="BC1500" s="78" t="s">
        <v>131</v>
      </c>
      <c r="BD1500" s="78" t="s">
        <v>131</v>
      </c>
      <c r="BE1500" s="78" t="s">
        <v>131</v>
      </c>
      <c r="BF1500" s="78" t="s">
        <v>131</v>
      </c>
      <c r="BG1500" s="78" t="s">
        <v>131</v>
      </c>
      <c r="BH1500" s="75" t="s">
        <v>5970</v>
      </c>
      <c r="BI1500" s="295" t="s">
        <v>2226</v>
      </c>
      <c r="BJ1500" s="546">
        <v>1</v>
      </c>
      <c r="BK1500" s="294">
        <v>1</v>
      </c>
      <c r="BL1500" s="157">
        <v>1</v>
      </c>
      <c r="BM1500" s="548" t="s">
        <v>578</v>
      </c>
      <c r="BN1500" s="548" t="s">
        <v>4159</v>
      </c>
      <c r="BO1500" s="157" t="s">
        <v>4310</v>
      </c>
      <c r="BP1500" s="548" t="s">
        <v>2226</v>
      </c>
      <c r="BQ1500" s="157" t="s">
        <v>4309</v>
      </c>
      <c r="BR1500" s="157"/>
    </row>
    <row r="1501" spans="1:70" x14ac:dyDescent="0.25">
      <c r="A1501" s="19" t="s">
        <v>3686</v>
      </c>
      <c r="B1501" s="37" t="s">
        <v>1705</v>
      </c>
      <c r="C1501" s="90">
        <v>44742.765069444446</v>
      </c>
      <c r="D1501" s="114">
        <v>44742.515069444446</v>
      </c>
      <c r="E1501" s="38">
        <v>44742</v>
      </c>
      <c r="F1501" s="91">
        <v>2022</v>
      </c>
      <c r="G1501" s="93">
        <v>6</v>
      </c>
      <c r="H1501" s="37" t="s">
        <v>1425</v>
      </c>
      <c r="I1501" s="37"/>
      <c r="J1501" s="103">
        <v>-92.604489663701486</v>
      </c>
      <c r="K1501" s="40">
        <v>44.848292344679727</v>
      </c>
      <c r="L1501" s="74"/>
      <c r="M1501" s="272" t="s">
        <v>1706</v>
      </c>
      <c r="N1501" s="74">
        <v>1</v>
      </c>
      <c r="O1501" s="94"/>
      <c r="P1501" s="118">
        <v>1</v>
      </c>
      <c r="Q1501" s="510">
        <v>180</v>
      </c>
      <c r="R1501" s="513">
        <v>180</v>
      </c>
      <c r="S1501" s="41"/>
      <c r="T1501" s="40"/>
      <c r="U1501" s="40">
        <v>7.5</v>
      </c>
      <c r="V1501" s="119">
        <v>1</v>
      </c>
      <c r="W1501" s="40">
        <v>0</v>
      </c>
      <c r="X1501" s="119">
        <v>1</v>
      </c>
      <c r="Y1501" s="40">
        <v>62</v>
      </c>
      <c r="Z1501" s="119">
        <v>1</v>
      </c>
      <c r="AA1501" s="368">
        <v>0</v>
      </c>
      <c r="AB1501" s="535">
        <v>2</v>
      </c>
      <c r="AC1501" s="39" t="s">
        <v>160</v>
      </c>
      <c r="AD1501" s="75" t="s">
        <v>9</v>
      </c>
      <c r="AE1501" s="95">
        <v>0</v>
      </c>
      <c r="AF1501" s="75">
        <v>0</v>
      </c>
      <c r="AG1501" s="75">
        <v>1</v>
      </c>
      <c r="AH1501" s="75">
        <v>0</v>
      </c>
      <c r="AI1501" s="75">
        <v>0</v>
      </c>
      <c r="AJ1501" s="75">
        <v>0</v>
      </c>
      <c r="AK1501" s="75">
        <v>0</v>
      </c>
      <c r="AL1501" s="95">
        <v>0</v>
      </c>
      <c r="AM1501" s="92">
        <v>0</v>
      </c>
      <c r="AN1501" s="79" t="s">
        <v>80</v>
      </c>
      <c r="AO1501" s="75">
        <v>1</v>
      </c>
      <c r="AP1501" s="75" t="s">
        <v>83</v>
      </c>
      <c r="AQ1501" s="122">
        <v>1</v>
      </c>
      <c r="AR1501" s="515" t="s">
        <v>10</v>
      </c>
      <c r="AS1501" s="95">
        <v>0</v>
      </c>
      <c r="AT1501" s="75">
        <v>0</v>
      </c>
      <c r="AU1501" s="75">
        <v>0</v>
      </c>
      <c r="AV1501" s="75">
        <v>0</v>
      </c>
      <c r="AW1501" s="123">
        <v>0</v>
      </c>
      <c r="AX1501" s="516" t="s">
        <v>1707</v>
      </c>
      <c r="AY1501" s="75">
        <v>1</v>
      </c>
      <c r="AZ1501" s="77" t="s">
        <v>131</v>
      </c>
      <c r="BA1501" s="78" t="s">
        <v>131</v>
      </c>
      <c r="BB1501" s="78" t="s">
        <v>132</v>
      </c>
      <c r="BC1501" s="78" t="s">
        <v>131</v>
      </c>
      <c r="BD1501" s="78" t="s">
        <v>131</v>
      </c>
      <c r="BE1501" s="78" t="s">
        <v>131</v>
      </c>
      <c r="BF1501" s="78" t="s">
        <v>131</v>
      </c>
      <c r="BG1501" s="78" t="s">
        <v>131</v>
      </c>
      <c r="BH1501" s="75" t="s">
        <v>5970</v>
      </c>
      <c r="BI1501" s="295" t="s">
        <v>2226</v>
      </c>
      <c r="BJ1501" s="546">
        <v>1</v>
      </c>
      <c r="BK1501" s="294">
        <v>1</v>
      </c>
      <c r="BL1501" s="157">
        <v>1</v>
      </c>
      <c r="BM1501" s="548" t="s">
        <v>578</v>
      </c>
      <c r="BN1501" s="548" t="s">
        <v>4159</v>
      </c>
      <c r="BO1501" s="157" t="s">
        <v>4310</v>
      </c>
      <c r="BP1501" s="548" t="s">
        <v>2226</v>
      </c>
      <c r="BQ1501" s="157" t="s">
        <v>4309</v>
      </c>
      <c r="BR1501" s="157"/>
    </row>
    <row r="1502" spans="1:70" x14ac:dyDescent="0.25">
      <c r="A1502" s="19" t="s">
        <v>3686</v>
      </c>
      <c r="B1502" s="37" t="s">
        <v>1708</v>
      </c>
      <c r="C1502" s="90">
        <v>44742.742754629631</v>
      </c>
      <c r="D1502" s="114">
        <v>44742.492754629631</v>
      </c>
      <c r="E1502" s="38">
        <v>44742</v>
      </c>
      <c r="F1502" s="91">
        <v>2022</v>
      </c>
      <c r="G1502" s="93">
        <v>6</v>
      </c>
      <c r="H1502" s="37" t="s">
        <v>1425</v>
      </c>
      <c r="I1502" s="37"/>
      <c r="J1502" s="103">
        <v>-92.583404960863163</v>
      </c>
      <c r="K1502" s="40">
        <v>44.848803400005792</v>
      </c>
      <c r="L1502" s="74"/>
      <c r="M1502" s="272" t="s">
        <v>1709</v>
      </c>
      <c r="N1502" s="74">
        <v>1</v>
      </c>
      <c r="O1502" s="94"/>
      <c r="P1502" s="118">
        <v>1</v>
      </c>
      <c r="Q1502" s="510">
        <v>180</v>
      </c>
      <c r="R1502" s="513">
        <v>180</v>
      </c>
      <c r="S1502" s="41"/>
      <c r="T1502" s="40"/>
      <c r="U1502" s="40">
        <v>8</v>
      </c>
      <c r="V1502" s="119">
        <v>1</v>
      </c>
      <c r="W1502" s="40">
        <v>0</v>
      </c>
      <c r="X1502" s="119">
        <v>1</v>
      </c>
      <c r="Y1502" s="40">
        <v>57</v>
      </c>
      <c r="Z1502" s="119">
        <v>1</v>
      </c>
      <c r="AA1502" s="368">
        <v>0</v>
      </c>
      <c r="AB1502" s="535">
        <v>2</v>
      </c>
      <c r="AC1502" s="39" t="s">
        <v>160</v>
      </c>
      <c r="AD1502" s="75" t="s">
        <v>9</v>
      </c>
      <c r="AE1502" s="95">
        <v>0</v>
      </c>
      <c r="AF1502" s="75">
        <v>0</v>
      </c>
      <c r="AG1502" s="75">
        <v>1</v>
      </c>
      <c r="AH1502" s="75">
        <v>0</v>
      </c>
      <c r="AI1502" s="75">
        <v>0</v>
      </c>
      <c r="AJ1502" s="75">
        <v>0</v>
      </c>
      <c r="AK1502" s="75">
        <v>0</v>
      </c>
      <c r="AL1502" s="95">
        <v>0</v>
      </c>
      <c r="AM1502" s="92">
        <v>0</v>
      </c>
      <c r="AN1502" s="79" t="s">
        <v>80</v>
      </c>
      <c r="AO1502" s="75">
        <v>1</v>
      </c>
      <c r="AP1502" s="75" t="s">
        <v>83</v>
      </c>
      <c r="AQ1502" s="122">
        <v>1</v>
      </c>
      <c r="AR1502" s="515" t="s">
        <v>10</v>
      </c>
      <c r="AS1502" s="95">
        <v>0</v>
      </c>
      <c r="AT1502" s="75">
        <v>0</v>
      </c>
      <c r="AU1502" s="75">
        <v>0</v>
      </c>
      <c r="AV1502" s="75">
        <v>0</v>
      </c>
      <c r="AW1502" s="123">
        <v>0</v>
      </c>
      <c r="AX1502" s="516" t="s">
        <v>1710</v>
      </c>
      <c r="AY1502" s="75">
        <v>1</v>
      </c>
      <c r="AZ1502" s="77" t="s">
        <v>131</v>
      </c>
      <c r="BA1502" s="78" t="s">
        <v>131</v>
      </c>
      <c r="BB1502" s="78" t="s">
        <v>132</v>
      </c>
      <c r="BC1502" s="78" t="s">
        <v>131</v>
      </c>
      <c r="BD1502" s="78" t="s">
        <v>131</v>
      </c>
      <c r="BE1502" s="78" t="s">
        <v>131</v>
      </c>
      <c r="BF1502" s="78" t="s">
        <v>131</v>
      </c>
      <c r="BG1502" s="78" t="s">
        <v>131</v>
      </c>
      <c r="BH1502" s="75" t="s">
        <v>5970</v>
      </c>
      <c r="BI1502" s="295" t="s">
        <v>2226</v>
      </c>
      <c r="BJ1502" s="546">
        <v>1</v>
      </c>
      <c r="BK1502" s="294">
        <v>1</v>
      </c>
      <c r="BL1502" s="157">
        <v>1</v>
      </c>
      <c r="BM1502" s="548" t="s">
        <v>578</v>
      </c>
      <c r="BN1502" s="548" t="s">
        <v>4159</v>
      </c>
      <c r="BO1502" s="157" t="s">
        <v>4310</v>
      </c>
      <c r="BP1502" s="548" t="s">
        <v>2226</v>
      </c>
      <c r="BQ1502" s="157" t="s">
        <v>4309</v>
      </c>
      <c r="BR1502" s="157"/>
    </row>
    <row r="1503" spans="1:70" x14ac:dyDescent="0.25">
      <c r="A1503" s="19" t="s">
        <v>3686</v>
      </c>
      <c r="B1503" s="37" t="s">
        <v>1711</v>
      </c>
      <c r="C1503" s="90">
        <v>44742.72452546296</v>
      </c>
      <c r="D1503" s="114">
        <v>44742.47452546296</v>
      </c>
      <c r="E1503" s="38">
        <v>44742</v>
      </c>
      <c r="F1503" s="91">
        <v>2022</v>
      </c>
      <c r="G1503" s="93">
        <v>6</v>
      </c>
      <c r="H1503" s="37" t="s">
        <v>1425</v>
      </c>
      <c r="I1503" s="37"/>
      <c r="J1503" s="103">
        <v>-92.559806463669005</v>
      </c>
      <c r="K1503" s="40">
        <v>44.849471954536611</v>
      </c>
      <c r="L1503" s="74"/>
      <c r="M1503" s="272" t="s">
        <v>1712</v>
      </c>
      <c r="N1503" s="74">
        <v>1</v>
      </c>
      <c r="O1503" s="94"/>
      <c r="P1503" s="118">
        <v>1</v>
      </c>
      <c r="Q1503" s="510">
        <v>180</v>
      </c>
      <c r="R1503" s="513">
        <v>180</v>
      </c>
      <c r="S1503" s="41"/>
      <c r="T1503" s="40"/>
      <c r="U1503" s="40">
        <v>7.5</v>
      </c>
      <c r="V1503" s="119">
        <v>1</v>
      </c>
      <c r="W1503" s="40">
        <v>0</v>
      </c>
      <c r="X1503" s="119">
        <v>1</v>
      </c>
      <c r="Y1503" s="40">
        <v>64</v>
      </c>
      <c r="Z1503" s="119">
        <v>1</v>
      </c>
      <c r="AA1503" s="368">
        <v>0</v>
      </c>
      <c r="AB1503" s="535">
        <v>2</v>
      </c>
      <c r="AC1503" s="39" t="s">
        <v>160</v>
      </c>
      <c r="AD1503" s="75" t="s">
        <v>8</v>
      </c>
      <c r="AE1503" s="95">
        <v>0</v>
      </c>
      <c r="AF1503" s="75">
        <v>1</v>
      </c>
      <c r="AG1503" s="75">
        <v>0</v>
      </c>
      <c r="AH1503" s="75">
        <v>0</v>
      </c>
      <c r="AI1503" s="75">
        <v>0</v>
      </c>
      <c r="AJ1503" s="75">
        <v>0</v>
      </c>
      <c r="AK1503" s="75">
        <v>0</v>
      </c>
      <c r="AL1503" s="95">
        <v>0</v>
      </c>
      <c r="AM1503" s="92">
        <v>0</v>
      </c>
      <c r="AN1503" s="79" t="s">
        <v>80</v>
      </c>
      <c r="AO1503" s="75">
        <v>1</v>
      </c>
      <c r="AP1503" s="75" t="s">
        <v>83</v>
      </c>
      <c r="AQ1503" s="122">
        <v>1</v>
      </c>
      <c r="AR1503" s="515" t="s">
        <v>10</v>
      </c>
      <c r="AS1503" s="95">
        <v>0</v>
      </c>
      <c r="AT1503" s="75">
        <v>0</v>
      </c>
      <c r="AU1503" s="75">
        <v>0</v>
      </c>
      <c r="AV1503" s="75">
        <v>0</v>
      </c>
      <c r="AW1503" s="123">
        <v>0</v>
      </c>
      <c r="AX1503" s="516" t="s">
        <v>1713</v>
      </c>
      <c r="AY1503" s="75">
        <v>1</v>
      </c>
      <c r="AZ1503" s="77" t="s">
        <v>131</v>
      </c>
      <c r="BA1503" s="78" t="s">
        <v>132</v>
      </c>
      <c r="BB1503" s="78" t="s">
        <v>131</v>
      </c>
      <c r="BC1503" s="78" t="s">
        <v>131</v>
      </c>
      <c r="BD1503" s="78" t="s">
        <v>131</v>
      </c>
      <c r="BE1503" s="78" t="s">
        <v>131</v>
      </c>
      <c r="BF1503" s="78" t="s">
        <v>131</v>
      </c>
      <c r="BG1503" s="78" t="s">
        <v>131</v>
      </c>
      <c r="BH1503" s="75" t="s">
        <v>5970</v>
      </c>
      <c r="BI1503" s="295" t="s">
        <v>2226</v>
      </c>
      <c r="BJ1503" s="546">
        <v>1</v>
      </c>
      <c r="BK1503" s="294">
        <v>1</v>
      </c>
      <c r="BL1503" s="157">
        <v>1</v>
      </c>
      <c r="BM1503" s="548" t="s">
        <v>578</v>
      </c>
      <c r="BN1503" s="548" t="s">
        <v>4159</v>
      </c>
      <c r="BO1503" s="157" t="s">
        <v>4310</v>
      </c>
      <c r="BP1503" s="548" t="s">
        <v>2226</v>
      </c>
      <c r="BQ1503" s="157" t="s">
        <v>4309</v>
      </c>
      <c r="BR1503" s="157"/>
    </row>
    <row r="1504" spans="1:70" x14ac:dyDescent="0.25">
      <c r="A1504" s="19" t="s">
        <v>3686</v>
      </c>
      <c r="B1504" s="37" t="s">
        <v>1714</v>
      </c>
      <c r="C1504" s="90">
        <v>44742.700613425928</v>
      </c>
      <c r="D1504" s="114">
        <v>44742.450613425928</v>
      </c>
      <c r="E1504" s="38">
        <v>44742</v>
      </c>
      <c r="F1504" s="91">
        <v>2022</v>
      </c>
      <c r="G1504" s="93">
        <v>6</v>
      </c>
      <c r="H1504" s="37" t="s">
        <v>1425</v>
      </c>
      <c r="I1504" s="37"/>
      <c r="J1504" s="103">
        <v>-92.550731716689484</v>
      </c>
      <c r="K1504" s="40">
        <v>44.831136385735498</v>
      </c>
      <c r="L1504" s="74"/>
      <c r="M1504" s="272" t="s">
        <v>1715</v>
      </c>
      <c r="N1504" s="74">
        <v>1</v>
      </c>
      <c r="O1504" s="94"/>
      <c r="P1504" s="118">
        <v>1</v>
      </c>
      <c r="Q1504" s="510">
        <v>180</v>
      </c>
      <c r="R1504" s="513">
        <v>120</v>
      </c>
      <c r="S1504" s="41"/>
      <c r="T1504" s="40"/>
      <c r="U1504" s="40">
        <v>7.5</v>
      </c>
      <c r="V1504" s="119">
        <v>1</v>
      </c>
      <c r="W1504" s="40">
        <v>0</v>
      </c>
      <c r="X1504" s="119">
        <v>1</v>
      </c>
      <c r="Y1504" s="40">
        <v>62</v>
      </c>
      <c r="Z1504" s="119">
        <v>1</v>
      </c>
      <c r="AA1504" s="368">
        <v>0</v>
      </c>
      <c r="AB1504" s="535">
        <v>0</v>
      </c>
      <c r="AC1504" s="39" t="s">
        <v>186</v>
      </c>
      <c r="AD1504" s="75" t="s">
        <v>10</v>
      </c>
      <c r="AE1504" s="95">
        <v>0</v>
      </c>
      <c r="AF1504" s="75">
        <v>0</v>
      </c>
      <c r="AG1504" s="75">
        <v>0</v>
      </c>
      <c r="AH1504" s="75">
        <v>0</v>
      </c>
      <c r="AI1504" s="75">
        <v>0</v>
      </c>
      <c r="AJ1504" s="75">
        <v>0</v>
      </c>
      <c r="AK1504" s="75">
        <v>0</v>
      </c>
      <c r="AL1504" s="95">
        <v>1</v>
      </c>
      <c r="AM1504" s="92">
        <v>0</v>
      </c>
      <c r="AN1504" s="79" t="s">
        <v>80</v>
      </c>
      <c r="AO1504" s="75">
        <v>1</v>
      </c>
      <c r="AP1504" s="75" t="s">
        <v>84</v>
      </c>
      <c r="AQ1504" s="122">
        <v>1</v>
      </c>
      <c r="AR1504" s="515" t="s">
        <v>10</v>
      </c>
      <c r="AS1504" s="95">
        <v>0</v>
      </c>
      <c r="AT1504" s="75">
        <v>0</v>
      </c>
      <c r="AU1504" s="75">
        <v>0</v>
      </c>
      <c r="AV1504" s="75">
        <v>0</v>
      </c>
      <c r="AW1504" s="123">
        <v>0</v>
      </c>
      <c r="AX1504" s="516" t="s">
        <v>1716</v>
      </c>
      <c r="AY1504" s="75">
        <v>1</v>
      </c>
      <c r="AZ1504" s="77" t="s">
        <v>131</v>
      </c>
      <c r="BA1504" s="78" t="s">
        <v>131</v>
      </c>
      <c r="BB1504" s="78" t="s">
        <v>131</v>
      </c>
      <c r="BC1504" s="78" t="s">
        <v>131</v>
      </c>
      <c r="BD1504" s="78" t="s">
        <v>131</v>
      </c>
      <c r="BE1504" s="78" t="s">
        <v>131</v>
      </c>
      <c r="BF1504" s="78" t="s">
        <v>131</v>
      </c>
      <c r="BG1504" s="78" t="s">
        <v>132</v>
      </c>
      <c r="BH1504" s="75" t="s">
        <v>5970</v>
      </c>
      <c r="BI1504" s="295">
        <v>0</v>
      </c>
      <c r="BJ1504" s="546" t="s">
        <v>16</v>
      </c>
      <c r="BK1504" s="294" t="s">
        <v>16</v>
      </c>
      <c r="BL1504" s="157" t="s">
        <v>16</v>
      </c>
      <c r="BM1504" s="548" t="s">
        <v>578</v>
      </c>
      <c r="BN1504" s="548" t="s">
        <v>4159</v>
      </c>
      <c r="BO1504" s="157" t="s">
        <v>4310</v>
      </c>
      <c r="BP1504" s="548" t="s">
        <v>2226</v>
      </c>
      <c r="BQ1504" s="157" t="s">
        <v>4309</v>
      </c>
      <c r="BR1504" s="157"/>
    </row>
    <row r="1505" spans="1:70" x14ac:dyDescent="0.25">
      <c r="A1505" s="19" t="s">
        <v>3686</v>
      </c>
      <c r="B1505" s="37" t="s">
        <v>1717</v>
      </c>
      <c r="C1505" s="90">
        <v>44741.925798611112</v>
      </c>
      <c r="D1505" s="114">
        <v>44741.675798611112</v>
      </c>
      <c r="E1505" s="38">
        <v>44741</v>
      </c>
      <c r="F1505" s="91">
        <v>2022</v>
      </c>
      <c r="G1505" s="93">
        <v>6</v>
      </c>
      <c r="H1505" s="37" t="s">
        <v>624</v>
      </c>
      <c r="I1505" s="37" t="s">
        <v>16</v>
      </c>
      <c r="J1505" s="103">
        <v>-89.59069193713151</v>
      </c>
      <c r="K1505" s="40">
        <v>43.895454903407099</v>
      </c>
      <c r="L1505" s="74"/>
      <c r="M1505" s="272" t="s">
        <v>16</v>
      </c>
      <c r="N1505" s="74">
        <v>0</v>
      </c>
      <c r="O1505" s="94"/>
      <c r="P1505" s="118">
        <v>0</v>
      </c>
      <c r="Q1505" s="510"/>
      <c r="R1505" s="513"/>
      <c r="S1505" s="41"/>
      <c r="T1505" s="40"/>
      <c r="U1505" s="40"/>
      <c r="V1505" s="119">
        <v>0</v>
      </c>
      <c r="W1505" s="40"/>
      <c r="X1505" s="119">
        <v>1</v>
      </c>
      <c r="Y1505" s="40">
        <v>62</v>
      </c>
      <c r="Z1505" s="119">
        <v>0</v>
      </c>
      <c r="AA1505" s="368" t="s">
        <v>16</v>
      </c>
      <c r="AB1505" s="535" t="s">
        <v>16</v>
      </c>
      <c r="AC1505" s="39" t="s">
        <v>160</v>
      </c>
      <c r="AD1505" s="75" t="s">
        <v>10</v>
      </c>
      <c r="AE1505" s="95">
        <v>0</v>
      </c>
      <c r="AF1505" s="75">
        <v>0</v>
      </c>
      <c r="AG1505" s="75">
        <v>0</v>
      </c>
      <c r="AH1505" s="75">
        <v>0</v>
      </c>
      <c r="AI1505" s="75">
        <v>0</v>
      </c>
      <c r="AJ1505" s="75">
        <v>0</v>
      </c>
      <c r="AK1505" s="75">
        <v>0</v>
      </c>
      <c r="AL1505" s="95">
        <v>1</v>
      </c>
      <c r="AM1505" s="92">
        <v>0</v>
      </c>
      <c r="AN1505" s="79" t="s">
        <v>81</v>
      </c>
      <c r="AO1505" s="75">
        <v>1</v>
      </c>
      <c r="AP1505" s="75" t="s">
        <v>83</v>
      </c>
      <c r="AQ1505" s="122">
        <v>1</v>
      </c>
      <c r="AR1505" s="515" t="s">
        <v>10</v>
      </c>
      <c r="AS1505" s="95">
        <v>0</v>
      </c>
      <c r="AT1505" s="75">
        <v>0</v>
      </c>
      <c r="AU1505" s="75">
        <v>0</v>
      </c>
      <c r="AV1505" s="75">
        <v>0</v>
      </c>
      <c r="AW1505" s="123">
        <v>0</v>
      </c>
      <c r="AX1505" s="516"/>
      <c r="AY1505" s="75">
        <v>0</v>
      </c>
      <c r="AZ1505" s="77" t="s">
        <v>131</v>
      </c>
      <c r="BA1505" s="78" t="s">
        <v>131</v>
      </c>
      <c r="BB1505" s="78" t="s">
        <v>131</v>
      </c>
      <c r="BC1505" s="78" t="s">
        <v>131</v>
      </c>
      <c r="BD1505" s="78" t="s">
        <v>131</v>
      </c>
      <c r="BE1505" s="78" t="s">
        <v>131</v>
      </c>
      <c r="BF1505" s="78" t="s">
        <v>131</v>
      </c>
      <c r="BG1505" s="78" t="s">
        <v>132</v>
      </c>
      <c r="BH1505" s="75" t="s">
        <v>5970</v>
      </c>
      <c r="BI1505" s="295" t="s">
        <v>16</v>
      </c>
      <c r="BJ1505" s="546">
        <v>1</v>
      </c>
      <c r="BK1505" s="294" t="s">
        <v>16</v>
      </c>
      <c r="BL1505" s="157" t="s">
        <v>16</v>
      </c>
      <c r="BM1505" s="548">
        <v>0</v>
      </c>
      <c r="BN1505" s="548" t="s">
        <v>4161</v>
      </c>
      <c r="BO1505" s="157" t="s">
        <v>4688</v>
      </c>
      <c r="BP1505" s="548" t="s">
        <v>4689</v>
      </c>
      <c r="BQ1505" s="157" t="s">
        <v>4687</v>
      </c>
      <c r="BR1505" s="157"/>
    </row>
    <row r="1506" spans="1:70" x14ac:dyDescent="0.25">
      <c r="A1506" s="19" t="s">
        <v>3686</v>
      </c>
      <c r="B1506" s="37" t="s">
        <v>1718</v>
      </c>
      <c r="C1506" s="90">
        <v>44741.867719907408</v>
      </c>
      <c r="D1506" s="114">
        <v>44741.617719907408</v>
      </c>
      <c r="E1506" s="38">
        <v>44741</v>
      </c>
      <c r="F1506" s="91">
        <v>2022</v>
      </c>
      <c r="G1506" s="93">
        <v>6</v>
      </c>
      <c r="H1506" s="37" t="s">
        <v>302</v>
      </c>
      <c r="I1506" s="37"/>
      <c r="J1506" s="103">
        <v>-91.835046246973207</v>
      </c>
      <c r="K1506" s="40">
        <v>43.899595845876085</v>
      </c>
      <c r="L1506" s="74"/>
      <c r="M1506" s="272" t="s">
        <v>1719</v>
      </c>
      <c r="N1506" s="74">
        <v>1</v>
      </c>
      <c r="O1506" s="94"/>
      <c r="P1506" s="118">
        <v>1</v>
      </c>
      <c r="Q1506" s="510">
        <v>180</v>
      </c>
      <c r="R1506" s="513">
        <v>180</v>
      </c>
      <c r="S1506" s="41"/>
      <c r="T1506" s="40"/>
      <c r="U1506" s="40">
        <v>7</v>
      </c>
      <c r="V1506" s="119">
        <v>1</v>
      </c>
      <c r="W1506" s="40">
        <v>100</v>
      </c>
      <c r="X1506" s="119">
        <v>0</v>
      </c>
      <c r="Y1506" s="40"/>
      <c r="Z1506" s="119">
        <v>1</v>
      </c>
      <c r="AA1506" s="368">
        <v>0</v>
      </c>
      <c r="AB1506" s="535">
        <v>5</v>
      </c>
      <c r="AC1506" s="39" t="s">
        <v>160</v>
      </c>
      <c r="AD1506" s="75" t="s">
        <v>8</v>
      </c>
      <c r="AE1506" s="95">
        <v>0</v>
      </c>
      <c r="AF1506" s="75">
        <v>1</v>
      </c>
      <c r="AG1506" s="75">
        <v>0</v>
      </c>
      <c r="AH1506" s="75">
        <v>0</v>
      </c>
      <c r="AI1506" s="75">
        <v>0</v>
      </c>
      <c r="AJ1506" s="75">
        <v>0</v>
      </c>
      <c r="AK1506" s="75">
        <v>0</v>
      </c>
      <c r="AL1506" s="95">
        <v>0</v>
      </c>
      <c r="AM1506" s="92">
        <v>0</v>
      </c>
      <c r="AN1506" s="79" t="s">
        <v>80</v>
      </c>
      <c r="AO1506" s="75">
        <v>1</v>
      </c>
      <c r="AP1506" s="75" t="s">
        <v>83</v>
      </c>
      <c r="AQ1506" s="122">
        <v>1</v>
      </c>
      <c r="AR1506" s="515" t="s">
        <v>10</v>
      </c>
      <c r="AS1506" s="95">
        <v>0</v>
      </c>
      <c r="AT1506" s="75">
        <v>0</v>
      </c>
      <c r="AU1506" s="75">
        <v>0</v>
      </c>
      <c r="AV1506" s="75">
        <v>0</v>
      </c>
      <c r="AW1506" s="123">
        <v>0</v>
      </c>
      <c r="AX1506" s="516" t="s">
        <v>1720</v>
      </c>
      <c r="AY1506" s="75">
        <v>1</v>
      </c>
      <c r="AZ1506" s="77" t="s">
        <v>131</v>
      </c>
      <c r="BA1506" s="78" t="s">
        <v>132</v>
      </c>
      <c r="BB1506" s="78" t="s">
        <v>131</v>
      </c>
      <c r="BC1506" s="78" t="s">
        <v>131</v>
      </c>
      <c r="BD1506" s="78" t="s">
        <v>131</v>
      </c>
      <c r="BE1506" s="78" t="s">
        <v>131</v>
      </c>
      <c r="BF1506" s="78" t="s">
        <v>131</v>
      </c>
      <c r="BG1506" s="78" t="s">
        <v>131</v>
      </c>
      <c r="BH1506" s="75" t="s">
        <v>5970</v>
      </c>
      <c r="BI1506" s="295" t="s">
        <v>16</v>
      </c>
      <c r="BJ1506" s="546">
        <v>1</v>
      </c>
      <c r="BK1506" s="294">
        <v>1</v>
      </c>
      <c r="BL1506" s="157">
        <v>1</v>
      </c>
      <c r="BM1506" s="548" t="s">
        <v>1341</v>
      </c>
      <c r="BN1506" s="548" t="s">
        <v>4160</v>
      </c>
      <c r="BO1506" s="157" t="s">
        <v>4636</v>
      </c>
      <c r="BP1506" s="548" t="s">
        <v>4637</v>
      </c>
      <c r="BQ1506" s="157" t="s">
        <v>4635</v>
      </c>
      <c r="BR1506" s="157"/>
    </row>
    <row r="1507" spans="1:70" x14ac:dyDescent="0.25">
      <c r="A1507" s="19" t="s">
        <v>3686</v>
      </c>
      <c r="B1507" s="37" t="s">
        <v>1721</v>
      </c>
      <c r="C1507" s="90">
        <v>44741.858182870368</v>
      </c>
      <c r="D1507" s="114">
        <v>44741.608182870368</v>
      </c>
      <c r="E1507" s="38">
        <v>44741</v>
      </c>
      <c r="F1507" s="91">
        <v>2022</v>
      </c>
      <c r="G1507" s="93">
        <v>6</v>
      </c>
      <c r="H1507" s="37" t="s">
        <v>622</v>
      </c>
      <c r="I1507" s="37"/>
      <c r="J1507" s="103">
        <v>-92.267910903405635</v>
      </c>
      <c r="K1507" s="40">
        <v>44.428759217303643</v>
      </c>
      <c r="L1507" s="74"/>
      <c r="M1507" s="272" t="s">
        <v>16</v>
      </c>
      <c r="N1507" s="74">
        <v>0</v>
      </c>
      <c r="O1507" s="94"/>
      <c r="P1507" s="118">
        <v>1</v>
      </c>
      <c r="Q1507" s="510">
        <v>0</v>
      </c>
      <c r="R1507" s="513">
        <v>30</v>
      </c>
      <c r="S1507" s="41"/>
      <c r="T1507" s="40"/>
      <c r="U1507" s="40">
        <v>7</v>
      </c>
      <c r="V1507" s="119">
        <v>1</v>
      </c>
      <c r="W1507" s="40">
        <v>200</v>
      </c>
      <c r="X1507" s="119">
        <v>1</v>
      </c>
      <c r="Y1507" s="40">
        <v>69</v>
      </c>
      <c r="Z1507" s="119">
        <v>0</v>
      </c>
      <c r="AA1507" s="368" t="s">
        <v>16</v>
      </c>
      <c r="AB1507" s="535" t="s">
        <v>16</v>
      </c>
      <c r="AC1507" s="39" t="s">
        <v>160</v>
      </c>
      <c r="AD1507" s="75" t="s">
        <v>16</v>
      </c>
      <c r="AE1507" s="95">
        <v>-1</v>
      </c>
      <c r="AF1507" s="75">
        <v>-1</v>
      </c>
      <c r="AG1507" s="75">
        <v>-1</v>
      </c>
      <c r="AH1507" s="75">
        <v>-1</v>
      </c>
      <c r="AI1507" s="75">
        <v>-1</v>
      </c>
      <c r="AJ1507" s="75">
        <v>-1</v>
      </c>
      <c r="AK1507" s="75">
        <v>-1</v>
      </c>
      <c r="AL1507" s="95">
        <v>-1</v>
      </c>
      <c r="AM1507" s="92">
        <v>1</v>
      </c>
      <c r="AN1507" s="79"/>
      <c r="AO1507" s="75">
        <v>0</v>
      </c>
      <c r="AP1507" s="75"/>
      <c r="AQ1507" s="122">
        <v>0</v>
      </c>
      <c r="AR1507" s="515" t="s">
        <v>16</v>
      </c>
      <c r="AS1507" s="95">
        <v>-1</v>
      </c>
      <c r="AT1507" s="75">
        <v>-1</v>
      </c>
      <c r="AU1507" s="75">
        <v>-1</v>
      </c>
      <c r="AV1507" s="75">
        <v>-1</v>
      </c>
      <c r="AW1507" s="123">
        <v>1</v>
      </c>
      <c r="AX1507" s="516"/>
      <c r="AY1507" s="75">
        <v>0</v>
      </c>
      <c r="AZ1507" s="77" t="s">
        <v>5971</v>
      </c>
      <c r="BA1507" s="78" t="s">
        <v>5971</v>
      </c>
      <c r="BB1507" s="78" t="s">
        <v>5971</v>
      </c>
      <c r="BC1507" s="78" t="s">
        <v>5971</v>
      </c>
      <c r="BD1507" s="78" t="s">
        <v>5971</v>
      </c>
      <c r="BE1507" s="78" t="s">
        <v>5971</v>
      </c>
      <c r="BF1507" s="78" t="s">
        <v>5971</v>
      </c>
      <c r="BG1507" s="78" t="s">
        <v>5971</v>
      </c>
      <c r="BH1507" s="75" t="s">
        <v>5971</v>
      </c>
      <c r="BI1507" s="295" t="s">
        <v>2228</v>
      </c>
      <c r="BJ1507" s="546">
        <v>1</v>
      </c>
      <c r="BK1507" s="294" t="s">
        <v>16</v>
      </c>
      <c r="BL1507" s="157" t="s">
        <v>16</v>
      </c>
      <c r="BM1507" s="548" t="s">
        <v>1339</v>
      </c>
      <c r="BN1507" s="548" t="s">
        <v>1339</v>
      </c>
      <c r="BO1507" s="157" t="s">
        <v>4614</v>
      </c>
      <c r="BP1507" s="548" t="s">
        <v>2228</v>
      </c>
      <c r="BQ1507" s="157" t="s">
        <v>4214</v>
      </c>
      <c r="BR1507" s="157"/>
    </row>
    <row r="1508" spans="1:70" x14ac:dyDescent="0.25">
      <c r="A1508" s="19" t="s">
        <v>3686</v>
      </c>
      <c r="B1508" s="37" t="s">
        <v>1722</v>
      </c>
      <c r="C1508" s="90">
        <v>44741.78765046296</v>
      </c>
      <c r="D1508" s="114">
        <v>44741.53765046296</v>
      </c>
      <c r="E1508" s="38">
        <v>44741</v>
      </c>
      <c r="F1508" s="91">
        <v>2022</v>
      </c>
      <c r="G1508" s="93">
        <v>6</v>
      </c>
      <c r="H1508" s="37" t="s">
        <v>201</v>
      </c>
      <c r="I1508" s="37"/>
      <c r="J1508" s="103">
        <v>-92.732066423747</v>
      </c>
      <c r="K1508" s="40">
        <v>44.831149447635589</v>
      </c>
      <c r="L1508" s="74"/>
      <c r="M1508" s="272" t="s">
        <v>16</v>
      </c>
      <c r="N1508" s="74">
        <v>0</v>
      </c>
      <c r="O1508" s="94"/>
      <c r="P1508" s="118">
        <v>1</v>
      </c>
      <c r="Q1508" s="510">
        <v>180</v>
      </c>
      <c r="R1508" s="513">
        <v>120</v>
      </c>
      <c r="S1508" s="41"/>
      <c r="T1508" s="40"/>
      <c r="U1508" s="40">
        <v>8</v>
      </c>
      <c r="V1508" s="119">
        <v>1</v>
      </c>
      <c r="W1508" s="40">
        <v>0</v>
      </c>
      <c r="X1508" s="119">
        <v>1</v>
      </c>
      <c r="Y1508" s="40">
        <v>67</v>
      </c>
      <c r="Z1508" s="119">
        <v>1</v>
      </c>
      <c r="AA1508" s="368">
        <v>0</v>
      </c>
      <c r="AB1508" s="535">
        <v>5</v>
      </c>
      <c r="AC1508" s="39" t="s">
        <v>160</v>
      </c>
      <c r="AD1508" s="75" t="s">
        <v>8</v>
      </c>
      <c r="AE1508" s="95">
        <v>0</v>
      </c>
      <c r="AF1508" s="75">
        <v>1</v>
      </c>
      <c r="AG1508" s="75">
        <v>0</v>
      </c>
      <c r="AH1508" s="75">
        <v>0</v>
      </c>
      <c r="AI1508" s="75">
        <v>0</v>
      </c>
      <c r="AJ1508" s="75">
        <v>0</v>
      </c>
      <c r="AK1508" s="75">
        <v>0</v>
      </c>
      <c r="AL1508" s="95">
        <v>0</v>
      </c>
      <c r="AM1508" s="92">
        <v>0</v>
      </c>
      <c r="AN1508" s="79" t="s">
        <v>80</v>
      </c>
      <c r="AO1508" s="75">
        <v>1</v>
      </c>
      <c r="AP1508" s="75" t="s">
        <v>83</v>
      </c>
      <c r="AQ1508" s="122">
        <v>1</v>
      </c>
      <c r="AR1508" s="515" t="s">
        <v>10</v>
      </c>
      <c r="AS1508" s="95">
        <v>0</v>
      </c>
      <c r="AT1508" s="75">
        <v>0</v>
      </c>
      <c r="AU1508" s="75">
        <v>0</v>
      </c>
      <c r="AV1508" s="75">
        <v>0</v>
      </c>
      <c r="AW1508" s="123">
        <v>0</v>
      </c>
      <c r="AX1508" s="516" t="s">
        <v>1537</v>
      </c>
      <c r="AY1508" s="75">
        <v>1</v>
      </c>
      <c r="AZ1508" s="77" t="s">
        <v>131</v>
      </c>
      <c r="BA1508" s="78" t="s">
        <v>132</v>
      </c>
      <c r="BB1508" s="78" t="s">
        <v>131</v>
      </c>
      <c r="BC1508" s="78" t="s">
        <v>131</v>
      </c>
      <c r="BD1508" s="78" t="s">
        <v>131</v>
      </c>
      <c r="BE1508" s="78" t="s">
        <v>131</v>
      </c>
      <c r="BF1508" s="78" t="s">
        <v>131</v>
      </c>
      <c r="BG1508" s="78" t="s">
        <v>131</v>
      </c>
      <c r="BH1508" s="75" t="s">
        <v>5970</v>
      </c>
      <c r="BI1508" s="295" t="s">
        <v>2227</v>
      </c>
      <c r="BJ1508" s="546">
        <v>1</v>
      </c>
      <c r="BK1508" s="294" t="s">
        <v>16</v>
      </c>
      <c r="BL1508" s="157" t="s">
        <v>16</v>
      </c>
      <c r="BM1508" s="548" t="s">
        <v>578</v>
      </c>
      <c r="BN1508" s="548" t="s">
        <v>578</v>
      </c>
      <c r="BO1508" s="157" t="s">
        <v>4341</v>
      </c>
      <c r="BP1508" s="548" t="s">
        <v>4343</v>
      </c>
      <c r="BQ1508" s="157" t="s">
        <v>4309</v>
      </c>
      <c r="BR1508" s="157"/>
    </row>
    <row r="1509" spans="1:70" x14ac:dyDescent="0.25">
      <c r="A1509" s="19" t="s">
        <v>3686</v>
      </c>
      <c r="B1509" s="37" t="s">
        <v>1723</v>
      </c>
      <c r="C1509" s="90">
        <v>44741.749282407407</v>
      </c>
      <c r="D1509" s="114">
        <v>44741.499282407407</v>
      </c>
      <c r="E1509" s="38">
        <v>44741</v>
      </c>
      <c r="F1509" s="91">
        <v>2022</v>
      </c>
      <c r="G1509" s="93">
        <v>6</v>
      </c>
      <c r="H1509" s="37" t="s">
        <v>1433</v>
      </c>
      <c r="I1509" s="37"/>
      <c r="J1509" s="103">
        <v>-92.641682345506396</v>
      </c>
      <c r="K1509" s="40">
        <v>44.849844239693923</v>
      </c>
      <c r="L1509" s="74"/>
      <c r="M1509" s="272" t="s">
        <v>16</v>
      </c>
      <c r="N1509" s="74">
        <v>0</v>
      </c>
      <c r="O1509" s="94"/>
      <c r="P1509" s="118">
        <v>1</v>
      </c>
      <c r="Q1509" s="510">
        <v>180</v>
      </c>
      <c r="R1509" s="513">
        <v>120</v>
      </c>
      <c r="S1509" s="41"/>
      <c r="T1509" s="40"/>
      <c r="U1509" s="40">
        <v>7.5</v>
      </c>
      <c r="V1509" s="119">
        <v>1</v>
      </c>
      <c r="W1509" s="40">
        <v>100</v>
      </c>
      <c r="X1509" s="119">
        <v>1</v>
      </c>
      <c r="Y1509" s="40">
        <v>63</v>
      </c>
      <c r="Z1509" s="119">
        <v>1</v>
      </c>
      <c r="AA1509" s="368">
        <v>0</v>
      </c>
      <c r="AB1509" s="535">
        <v>10</v>
      </c>
      <c r="AC1509" s="39" t="s">
        <v>160</v>
      </c>
      <c r="AD1509" s="75" t="s">
        <v>10</v>
      </c>
      <c r="AE1509" s="95">
        <v>0</v>
      </c>
      <c r="AF1509" s="75">
        <v>0</v>
      </c>
      <c r="AG1509" s="75">
        <v>0</v>
      </c>
      <c r="AH1509" s="75">
        <v>0</v>
      </c>
      <c r="AI1509" s="75">
        <v>0</v>
      </c>
      <c r="AJ1509" s="75">
        <v>0</v>
      </c>
      <c r="AK1509" s="75">
        <v>0</v>
      </c>
      <c r="AL1509" s="95">
        <v>1</v>
      </c>
      <c r="AM1509" s="92">
        <v>0</v>
      </c>
      <c r="AN1509" s="79" t="s">
        <v>80</v>
      </c>
      <c r="AO1509" s="75">
        <v>1</v>
      </c>
      <c r="AP1509" s="75" t="s">
        <v>83</v>
      </c>
      <c r="AQ1509" s="122">
        <v>1</v>
      </c>
      <c r="AR1509" s="515" t="s">
        <v>10</v>
      </c>
      <c r="AS1509" s="95">
        <v>0</v>
      </c>
      <c r="AT1509" s="75">
        <v>0</v>
      </c>
      <c r="AU1509" s="75">
        <v>0</v>
      </c>
      <c r="AV1509" s="75">
        <v>0</v>
      </c>
      <c r="AW1509" s="123">
        <v>0</v>
      </c>
      <c r="AX1509" s="516" t="s">
        <v>1724</v>
      </c>
      <c r="AY1509" s="75">
        <v>1</v>
      </c>
      <c r="AZ1509" s="77" t="s">
        <v>131</v>
      </c>
      <c r="BA1509" s="78" t="s">
        <v>131</v>
      </c>
      <c r="BB1509" s="78" t="s">
        <v>131</v>
      </c>
      <c r="BC1509" s="78" t="s">
        <v>131</v>
      </c>
      <c r="BD1509" s="78" t="s">
        <v>131</v>
      </c>
      <c r="BE1509" s="78" t="s">
        <v>131</v>
      </c>
      <c r="BF1509" s="78" t="s">
        <v>131</v>
      </c>
      <c r="BG1509" s="78" t="s">
        <v>132</v>
      </c>
      <c r="BH1509" s="75" t="s">
        <v>5970</v>
      </c>
      <c r="BI1509" s="295" t="s">
        <v>2227</v>
      </c>
      <c r="BJ1509" s="546">
        <v>1</v>
      </c>
      <c r="BK1509" s="294">
        <v>1</v>
      </c>
      <c r="BL1509" s="157">
        <v>1</v>
      </c>
      <c r="BM1509" s="548" t="s">
        <v>578</v>
      </c>
      <c r="BN1509" s="548" t="s">
        <v>4159</v>
      </c>
      <c r="BO1509" s="157" t="s">
        <v>4341</v>
      </c>
      <c r="BP1509" s="548" t="s">
        <v>4343</v>
      </c>
      <c r="BQ1509" s="157" t="s">
        <v>4309</v>
      </c>
      <c r="BR1509" s="157"/>
    </row>
    <row r="1510" spans="1:70" x14ac:dyDescent="0.25">
      <c r="A1510" s="19" t="s">
        <v>3686</v>
      </c>
      <c r="B1510" s="37" t="s">
        <v>1725</v>
      </c>
      <c r="C1510" s="90">
        <v>44741.715104166666</v>
      </c>
      <c r="D1510" s="114">
        <v>44741.465104166666</v>
      </c>
      <c r="E1510" s="38">
        <v>44741</v>
      </c>
      <c r="F1510" s="91">
        <v>2022</v>
      </c>
      <c r="G1510" s="93">
        <v>6</v>
      </c>
      <c r="H1510" s="37" t="s">
        <v>1433</v>
      </c>
      <c r="I1510" s="37"/>
      <c r="J1510" s="103">
        <v>-92.644037492659535</v>
      </c>
      <c r="K1510" s="40">
        <v>44.84444084581439</v>
      </c>
      <c r="L1510" s="74"/>
      <c r="M1510" s="272" t="s">
        <v>1726</v>
      </c>
      <c r="N1510" s="74">
        <v>1</v>
      </c>
      <c r="O1510" s="94"/>
      <c r="P1510" s="118">
        <v>1</v>
      </c>
      <c r="Q1510" s="510">
        <v>120</v>
      </c>
      <c r="R1510" s="513">
        <v>30</v>
      </c>
      <c r="S1510" s="41"/>
      <c r="T1510" s="40"/>
      <c r="U1510" s="40">
        <v>6</v>
      </c>
      <c r="V1510" s="119">
        <v>1</v>
      </c>
      <c r="W1510" s="40">
        <v>100</v>
      </c>
      <c r="X1510" s="119">
        <v>1</v>
      </c>
      <c r="Y1510" s="40">
        <v>63</v>
      </c>
      <c r="Z1510" s="119">
        <v>1</v>
      </c>
      <c r="AA1510" s="368">
        <v>0</v>
      </c>
      <c r="AB1510" s="535">
        <v>5</v>
      </c>
      <c r="AC1510" s="39" t="s">
        <v>160</v>
      </c>
      <c r="AD1510" s="75" t="s">
        <v>10</v>
      </c>
      <c r="AE1510" s="95">
        <v>0</v>
      </c>
      <c r="AF1510" s="75">
        <v>0</v>
      </c>
      <c r="AG1510" s="75">
        <v>0</v>
      </c>
      <c r="AH1510" s="75">
        <v>0</v>
      </c>
      <c r="AI1510" s="75">
        <v>0</v>
      </c>
      <c r="AJ1510" s="75">
        <v>0</v>
      </c>
      <c r="AK1510" s="75">
        <v>0</v>
      </c>
      <c r="AL1510" s="95">
        <v>1</v>
      </c>
      <c r="AM1510" s="92">
        <v>0</v>
      </c>
      <c r="AN1510" s="79" t="s">
        <v>80</v>
      </c>
      <c r="AO1510" s="75">
        <v>1</v>
      </c>
      <c r="AP1510" s="75" t="s">
        <v>83</v>
      </c>
      <c r="AQ1510" s="122">
        <v>1</v>
      </c>
      <c r="AR1510" s="515" t="s">
        <v>10</v>
      </c>
      <c r="AS1510" s="95">
        <v>0</v>
      </c>
      <c r="AT1510" s="75">
        <v>0</v>
      </c>
      <c r="AU1510" s="75">
        <v>0</v>
      </c>
      <c r="AV1510" s="75">
        <v>0</v>
      </c>
      <c r="AW1510" s="123">
        <v>0</v>
      </c>
      <c r="AX1510" s="516" t="s">
        <v>1727</v>
      </c>
      <c r="AY1510" s="75">
        <v>1</v>
      </c>
      <c r="AZ1510" s="77" t="s">
        <v>131</v>
      </c>
      <c r="BA1510" s="78" t="s">
        <v>131</v>
      </c>
      <c r="BB1510" s="78" t="s">
        <v>131</v>
      </c>
      <c r="BC1510" s="78" t="s">
        <v>131</v>
      </c>
      <c r="BD1510" s="78" t="s">
        <v>131</v>
      </c>
      <c r="BE1510" s="78" t="s">
        <v>131</v>
      </c>
      <c r="BF1510" s="78" t="s">
        <v>131</v>
      </c>
      <c r="BG1510" s="78" t="s">
        <v>132</v>
      </c>
      <c r="BH1510" s="75" t="s">
        <v>5970</v>
      </c>
      <c r="BI1510" s="295" t="s">
        <v>16</v>
      </c>
      <c r="BJ1510" s="546">
        <v>1</v>
      </c>
      <c r="BK1510" s="294">
        <v>1</v>
      </c>
      <c r="BL1510" s="157">
        <v>1</v>
      </c>
      <c r="BM1510" s="548" t="s">
        <v>578</v>
      </c>
      <c r="BN1510" s="548" t="s">
        <v>4159</v>
      </c>
      <c r="BO1510" s="157" t="s">
        <v>4341</v>
      </c>
      <c r="BP1510" s="548" t="s">
        <v>4343</v>
      </c>
      <c r="BQ1510" s="157" t="s">
        <v>4309</v>
      </c>
      <c r="BR1510" s="157"/>
    </row>
    <row r="1511" spans="1:70" x14ac:dyDescent="0.25">
      <c r="A1511" s="19" t="s">
        <v>3686</v>
      </c>
      <c r="B1511" s="37" t="s">
        <v>1728</v>
      </c>
      <c r="C1511" s="90">
        <v>44741.678043981483</v>
      </c>
      <c r="D1511" s="114">
        <v>44741.428043981483</v>
      </c>
      <c r="E1511" s="38">
        <v>44741</v>
      </c>
      <c r="F1511" s="91">
        <v>2022</v>
      </c>
      <c r="G1511" s="93">
        <v>6</v>
      </c>
      <c r="H1511" s="37" t="s">
        <v>1433</v>
      </c>
      <c r="I1511" s="37"/>
      <c r="J1511" s="103">
        <v>-92.636498138394799</v>
      </c>
      <c r="K1511" s="40">
        <v>44.854605076876332</v>
      </c>
      <c r="L1511" s="74"/>
      <c r="M1511" s="272" t="s">
        <v>1729</v>
      </c>
      <c r="N1511" s="74">
        <v>1</v>
      </c>
      <c r="O1511" s="94"/>
      <c r="P1511" s="118">
        <v>1</v>
      </c>
      <c r="Q1511" s="510">
        <v>120</v>
      </c>
      <c r="R1511" s="513">
        <v>120</v>
      </c>
      <c r="S1511" s="41"/>
      <c r="T1511" s="40"/>
      <c r="U1511" s="40">
        <v>8</v>
      </c>
      <c r="V1511" s="119">
        <v>1</v>
      </c>
      <c r="W1511" s="40">
        <v>0</v>
      </c>
      <c r="X1511" s="119">
        <v>1</v>
      </c>
      <c r="Y1511" s="40">
        <v>61</v>
      </c>
      <c r="Z1511" s="119">
        <v>1</v>
      </c>
      <c r="AA1511" s="368">
        <v>0</v>
      </c>
      <c r="AB1511" s="535">
        <v>10</v>
      </c>
      <c r="AC1511" s="39" t="s">
        <v>160</v>
      </c>
      <c r="AD1511" s="75" t="s">
        <v>16</v>
      </c>
      <c r="AE1511" s="95">
        <v>-1</v>
      </c>
      <c r="AF1511" s="75">
        <v>-1</v>
      </c>
      <c r="AG1511" s="75">
        <v>-1</v>
      </c>
      <c r="AH1511" s="75">
        <v>-1</v>
      </c>
      <c r="AI1511" s="75">
        <v>-1</v>
      </c>
      <c r="AJ1511" s="75">
        <v>-1</v>
      </c>
      <c r="AK1511" s="75">
        <v>-1</v>
      </c>
      <c r="AL1511" s="95">
        <v>-1</v>
      </c>
      <c r="AM1511" s="92">
        <v>1</v>
      </c>
      <c r="AN1511" s="79"/>
      <c r="AO1511" s="75">
        <v>0</v>
      </c>
      <c r="AP1511" s="75"/>
      <c r="AQ1511" s="122">
        <v>0</v>
      </c>
      <c r="AR1511" s="515" t="s">
        <v>16</v>
      </c>
      <c r="AS1511" s="95">
        <v>-1</v>
      </c>
      <c r="AT1511" s="75">
        <v>-1</v>
      </c>
      <c r="AU1511" s="75">
        <v>-1</v>
      </c>
      <c r="AV1511" s="75">
        <v>-1</v>
      </c>
      <c r="AW1511" s="123">
        <v>1</v>
      </c>
      <c r="AX1511" s="516" t="s">
        <v>1730</v>
      </c>
      <c r="AY1511" s="75">
        <v>1</v>
      </c>
      <c r="AZ1511" s="77" t="s">
        <v>5971</v>
      </c>
      <c r="BA1511" s="78" t="s">
        <v>5971</v>
      </c>
      <c r="BB1511" s="78" t="s">
        <v>5971</v>
      </c>
      <c r="BC1511" s="78" t="s">
        <v>5971</v>
      </c>
      <c r="BD1511" s="78" t="s">
        <v>5971</v>
      </c>
      <c r="BE1511" s="78" t="s">
        <v>5971</v>
      </c>
      <c r="BF1511" s="78" t="s">
        <v>5971</v>
      </c>
      <c r="BG1511" s="78" t="s">
        <v>5971</v>
      </c>
      <c r="BH1511" s="75" t="s">
        <v>5971</v>
      </c>
      <c r="BI1511" s="295" t="s">
        <v>2227</v>
      </c>
      <c r="BJ1511" s="546">
        <v>1</v>
      </c>
      <c r="BK1511" s="294">
        <v>1</v>
      </c>
      <c r="BL1511" s="157">
        <v>1</v>
      </c>
      <c r="BM1511" s="548" t="s">
        <v>578</v>
      </c>
      <c r="BN1511" s="548" t="s">
        <v>4159</v>
      </c>
      <c r="BO1511" s="157" t="s">
        <v>4341</v>
      </c>
      <c r="BP1511" s="548" t="s">
        <v>4343</v>
      </c>
      <c r="BQ1511" s="157" t="s">
        <v>4309</v>
      </c>
      <c r="BR1511" s="157"/>
    </row>
    <row r="1512" spans="1:70" x14ac:dyDescent="0.25">
      <c r="A1512" s="19" t="s">
        <v>3686</v>
      </c>
      <c r="B1512" s="37" t="s">
        <v>1731</v>
      </c>
      <c r="C1512" s="90">
        <v>44741.666250000002</v>
      </c>
      <c r="D1512" s="114">
        <v>44741.416250000002</v>
      </c>
      <c r="E1512" s="38">
        <v>44741</v>
      </c>
      <c r="F1512" s="91">
        <v>2022</v>
      </c>
      <c r="G1512" s="93">
        <v>6</v>
      </c>
      <c r="H1512" s="37" t="s">
        <v>1491</v>
      </c>
      <c r="I1512" s="37"/>
      <c r="J1512" s="103">
        <v>-92.636530199999996</v>
      </c>
      <c r="K1512" s="40">
        <v>44.854621199999997</v>
      </c>
      <c r="L1512" s="74"/>
      <c r="M1512" s="272" t="s">
        <v>16</v>
      </c>
      <c r="N1512" s="74">
        <v>0</v>
      </c>
      <c r="O1512" s="94"/>
      <c r="P1512" s="118">
        <v>1</v>
      </c>
      <c r="Q1512" s="510">
        <v>80</v>
      </c>
      <c r="R1512" s="513">
        <v>120</v>
      </c>
      <c r="S1512" s="41"/>
      <c r="T1512" s="40"/>
      <c r="U1512" s="40">
        <v>7.5</v>
      </c>
      <c r="V1512" s="119">
        <v>1</v>
      </c>
      <c r="W1512" s="40">
        <v>0</v>
      </c>
      <c r="X1512" s="119">
        <v>1</v>
      </c>
      <c r="Y1512" s="40">
        <v>61</v>
      </c>
      <c r="Z1512" s="119">
        <v>1</v>
      </c>
      <c r="AA1512" s="368">
        <v>0</v>
      </c>
      <c r="AB1512" s="535">
        <v>5</v>
      </c>
      <c r="AC1512" s="39"/>
      <c r="AD1512" s="75" t="s">
        <v>181</v>
      </c>
      <c r="AE1512" s="95">
        <v>0</v>
      </c>
      <c r="AF1512" s="75">
        <v>0</v>
      </c>
      <c r="AG1512" s="75">
        <v>1</v>
      </c>
      <c r="AH1512" s="75">
        <v>1</v>
      </c>
      <c r="AI1512" s="75">
        <v>0</v>
      </c>
      <c r="AJ1512" s="75">
        <v>0</v>
      </c>
      <c r="AK1512" s="75">
        <v>0</v>
      </c>
      <c r="AL1512" s="95">
        <v>0</v>
      </c>
      <c r="AM1512" s="92">
        <v>0</v>
      </c>
      <c r="AN1512" s="79" t="s">
        <v>80</v>
      </c>
      <c r="AO1512" s="75">
        <v>1</v>
      </c>
      <c r="AP1512" s="75" t="s">
        <v>83</v>
      </c>
      <c r="AQ1512" s="122">
        <v>1</v>
      </c>
      <c r="AR1512" s="515" t="s">
        <v>10</v>
      </c>
      <c r="AS1512" s="95">
        <v>0</v>
      </c>
      <c r="AT1512" s="75">
        <v>0</v>
      </c>
      <c r="AU1512" s="75">
        <v>0</v>
      </c>
      <c r="AV1512" s="75">
        <v>0</v>
      </c>
      <c r="AW1512" s="123">
        <v>0</v>
      </c>
      <c r="AX1512" s="516" t="s">
        <v>1732</v>
      </c>
      <c r="AY1512" s="75">
        <v>1</v>
      </c>
      <c r="AZ1512" s="77" t="s">
        <v>131</v>
      </c>
      <c r="BA1512" s="78" t="s">
        <v>131</v>
      </c>
      <c r="BB1512" s="78" t="s">
        <v>132</v>
      </c>
      <c r="BC1512" s="78" t="s">
        <v>132</v>
      </c>
      <c r="BD1512" s="78" t="s">
        <v>131</v>
      </c>
      <c r="BE1512" s="78" t="s">
        <v>131</v>
      </c>
      <c r="BF1512" s="78" t="s">
        <v>131</v>
      </c>
      <c r="BG1512" s="78" t="s">
        <v>131</v>
      </c>
      <c r="BH1512" s="75" t="s">
        <v>5970</v>
      </c>
      <c r="BI1512" s="295" t="s">
        <v>2227</v>
      </c>
      <c r="BJ1512" s="546">
        <v>1</v>
      </c>
      <c r="BK1512" s="294">
        <v>1</v>
      </c>
      <c r="BL1512" s="157">
        <v>1</v>
      </c>
      <c r="BM1512" s="548" t="s">
        <v>578</v>
      </c>
      <c r="BN1512" s="548" t="s">
        <v>4159</v>
      </c>
      <c r="BO1512" s="157" t="s">
        <v>4341</v>
      </c>
      <c r="BP1512" s="548" t="s">
        <v>4343</v>
      </c>
      <c r="BQ1512" s="157" t="s">
        <v>4309</v>
      </c>
      <c r="BR1512" s="157"/>
    </row>
    <row r="1513" spans="1:70" x14ac:dyDescent="0.25">
      <c r="A1513" s="19" t="s">
        <v>3686</v>
      </c>
      <c r="B1513" s="37" t="s">
        <v>1733</v>
      </c>
      <c r="C1513" s="90">
        <v>44741.661759259259</v>
      </c>
      <c r="D1513" s="114">
        <v>44741.411759259259</v>
      </c>
      <c r="E1513" s="38">
        <v>44741</v>
      </c>
      <c r="F1513" s="91">
        <v>2022</v>
      </c>
      <c r="G1513" s="93">
        <v>6</v>
      </c>
      <c r="H1513" s="37" t="s">
        <v>1425</v>
      </c>
      <c r="I1513" s="37" t="s">
        <v>146</v>
      </c>
      <c r="J1513" s="103">
        <v>-92.638014013788904</v>
      </c>
      <c r="K1513" s="40">
        <v>44.851768738328609</v>
      </c>
      <c r="L1513" s="74"/>
      <c r="M1513" s="272" t="s">
        <v>1734</v>
      </c>
      <c r="N1513" s="74">
        <v>1</v>
      </c>
      <c r="O1513" s="94"/>
      <c r="P1513" s="118">
        <v>1</v>
      </c>
      <c r="Q1513" s="510">
        <v>180</v>
      </c>
      <c r="R1513" s="513">
        <v>120</v>
      </c>
      <c r="S1513" s="41"/>
      <c r="T1513" s="40"/>
      <c r="U1513" s="40">
        <v>8</v>
      </c>
      <c r="V1513" s="119">
        <v>1</v>
      </c>
      <c r="W1513" s="40">
        <v>0</v>
      </c>
      <c r="X1513" s="119">
        <v>1</v>
      </c>
      <c r="Y1513" s="40">
        <v>61</v>
      </c>
      <c r="Z1513" s="119">
        <v>1</v>
      </c>
      <c r="AA1513" s="368">
        <v>0</v>
      </c>
      <c r="AB1513" s="535">
        <v>5</v>
      </c>
      <c r="AC1513" s="39" t="s">
        <v>160</v>
      </c>
      <c r="AD1513" s="75" t="s">
        <v>8</v>
      </c>
      <c r="AE1513" s="95">
        <v>0</v>
      </c>
      <c r="AF1513" s="75">
        <v>1</v>
      </c>
      <c r="AG1513" s="75">
        <v>0</v>
      </c>
      <c r="AH1513" s="75">
        <v>0</v>
      </c>
      <c r="AI1513" s="75">
        <v>0</v>
      </c>
      <c r="AJ1513" s="75">
        <v>0</v>
      </c>
      <c r="AK1513" s="75">
        <v>0</v>
      </c>
      <c r="AL1513" s="95">
        <v>0</v>
      </c>
      <c r="AM1513" s="92">
        <v>0</v>
      </c>
      <c r="AN1513" s="79" t="s">
        <v>80</v>
      </c>
      <c r="AO1513" s="75">
        <v>1</v>
      </c>
      <c r="AP1513" s="75" t="s">
        <v>83</v>
      </c>
      <c r="AQ1513" s="122">
        <v>1</v>
      </c>
      <c r="AR1513" s="515" t="s">
        <v>10</v>
      </c>
      <c r="AS1513" s="95">
        <v>0</v>
      </c>
      <c r="AT1513" s="75">
        <v>0</v>
      </c>
      <c r="AU1513" s="75">
        <v>0</v>
      </c>
      <c r="AV1513" s="75">
        <v>0</v>
      </c>
      <c r="AW1513" s="123">
        <v>0</v>
      </c>
      <c r="AX1513" s="516"/>
      <c r="AY1513" s="75">
        <v>0</v>
      </c>
      <c r="AZ1513" s="77" t="s">
        <v>131</v>
      </c>
      <c r="BA1513" s="78" t="s">
        <v>132</v>
      </c>
      <c r="BB1513" s="78" t="s">
        <v>131</v>
      </c>
      <c r="BC1513" s="78" t="s">
        <v>131</v>
      </c>
      <c r="BD1513" s="78" t="s">
        <v>131</v>
      </c>
      <c r="BE1513" s="78" t="s">
        <v>131</v>
      </c>
      <c r="BF1513" s="78" t="s">
        <v>131</v>
      </c>
      <c r="BG1513" s="78" t="s">
        <v>131</v>
      </c>
      <c r="BH1513" s="75" t="s">
        <v>5970</v>
      </c>
      <c r="BI1513" s="295" t="s">
        <v>2227</v>
      </c>
      <c r="BJ1513" s="546">
        <v>1</v>
      </c>
      <c r="BK1513" s="294">
        <v>1</v>
      </c>
      <c r="BL1513" s="157">
        <v>1</v>
      </c>
      <c r="BM1513" s="548" t="s">
        <v>578</v>
      </c>
      <c r="BN1513" s="548" t="s">
        <v>4159</v>
      </c>
      <c r="BO1513" s="157" t="s">
        <v>4341</v>
      </c>
      <c r="BP1513" s="548" t="s">
        <v>4343</v>
      </c>
      <c r="BQ1513" s="157" t="s">
        <v>4309</v>
      </c>
      <c r="BR1513" s="157"/>
    </row>
    <row r="1514" spans="1:70" x14ac:dyDescent="0.25">
      <c r="A1514" s="19" t="s">
        <v>3686</v>
      </c>
      <c r="B1514" s="37" t="s">
        <v>1735</v>
      </c>
      <c r="C1514" s="90">
        <v>44741.64912037037</v>
      </c>
      <c r="D1514" s="114">
        <v>44741.39912037037</v>
      </c>
      <c r="E1514" s="38">
        <v>44741</v>
      </c>
      <c r="F1514" s="91">
        <v>2022</v>
      </c>
      <c r="G1514" s="93">
        <v>6</v>
      </c>
      <c r="H1514" s="37" t="s">
        <v>1433</v>
      </c>
      <c r="I1514" s="37" t="s">
        <v>16</v>
      </c>
      <c r="J1514" s="103">
        <v>-92.631887421098185</v>
      </c>
      <c r="K1514" s="40">
        <v>44.855565517251243</v>
      </c>
      <c r="L1514" s="74"/>
      <c r="M1514" s="272" t="s">
        <v>16</v>
      </c>
      <c r="N1514" s="74">
        <v>0</v>
      </c>
      <c r="O1514" s="94"/>
      <c r="P1514" s="118">
        <v>1</v>
      </c>
      <c r="Q1514" s="510">
        <v>180</v>
      </c>
      <c r="R1514" s="513">
        <v>120</v>
      </c>
      <c r="S1514" s="41"/>
      <c r="T1514" s="40"/>
      <c r="U1514" s="40">
        <v>8</v>
      </c>
      <c r="V1514" s="119">
        <v>1</v>
      </c>
      <c r="W1514" s="40">
        <v>100</v>
      </c>
      <c r="X1514" s="119">
        <v>1</v>
      </c>
      <c r="Y1514" s="40">
        <v>63</v>
      </c>
      <c r="Z1514" s="119">
        <v>1</v>
      </c>
      <c r="AA1514" s="368">
        <v>0</v>
      </c>
      <c r="AB1514" s="535">
        <v>5</v>
      </c>
      <c r="AC1514" s="39" t="s">
        <v>160</v>
      </c>
      <c r="AD1514" s="75" t="s">
        <v>10</v>
      </c>
      <c r="AE1514" s="95">
        <v>0</v>
      </c>
      <c r="AF1514" s="75">
        <v>0</v>
      </c>
      <c r="AG1514" s="75">
        <v>0</v>
      </c>
      <c r="AH1514" s="75">
        <v>0</v>
      </c>
      <c r="AI1514" s="75">
        <v>0</v>
      </c>
      <c r="AJ1514" s="75">
        <v>0</v>
      </c>
      <c r="AK1514" s="75">
        <v>0</v>
      </c>
      <c r="AL1514" s="95">
        <v>1</v>
      </c>
      <c r="AM1514" s="92">
        <v>0</v>
      </c>
      <c r="AN1514" s="79" t="s">
        <v>80</v>
      </c>
      <c r="AO1514" s="75">
        <v>1</v>
      </c>
      <c r="AP1514" s="75" t="s">
        <v>84</v>
      </c>
      <c r="AQ1514" s="122">
        <v>1</v>
      </c>
      <c r="AR1514" s="515" t="s">
        <v>10</v>
      </c>
      <c r="AS1514" s="95">
        <v>0</v>
      </c>
      <c r="AT1514" s="75">
        <v>0</v>
      </c>
      <c r="AU1514" s="75">
        <v>0</v>
      </c>
      <c r="AV1514" s="75">
        <v>0</v>
      </c>
      <c r="AW1514" s="123">
        <v>0</v>
      </c>
      <c r="AX1514" s="516" t="s">
        <v>1736</v>
      </c>
      <c r="AY1514" s="75">
        <v>1</v>
      </c>
      <c r="AZ1514" s="77" t="s">
        <v>131</v>
      </c>
      <c r="BA1514" s="78" t="s">
        <v>131</v>
      </c>
      <c r="BB1514" s="78" t="s">
        <v>131</v>
      </c>
      <c r="BC1514" s="78" t="s">
        <v>131</v>
      </c>
      <c r="BD1514" s="78" t="s">
        <v>131</v>
      </c>
      <c r="BE1514" s="78" t="s">
        <v>131</v>
      </c>
      <c r="BF1514" s="78" t="s">
        <v>131</v>
      </c>
      <c r="BG1514" s="78" t="s">
        <v>132</v>
      </c>
      <c r="BH1514" s="75" t="s">
        <v>5970</v>
      </c>
      <c r="BI1514" s="295" t="s">
        <v>2227</v>
      </c>
      <c r="BJ1514" s="546">
        <v>1</v>
      </c>
      <c r="BK1514" s="294">
        <v>1</v>
      </c>
      <c r="BL1514" s="157">
        <v>1</v>
      </c>
      <c r="BM1514" s="548" t="s">
        <v>578</v>
      </c>
      <c r="BN1514" s="548" t="s">
        <v>4159</v>
      </c>
      <c r="BO1514" s="157" t="s">
        <v>4311</v>
      </c>
      <c r="BP1514" s="548" t="s">
        <v>4395</v>
      </c>
      <c r="BQ1514" s="157" t="s">
        <v>4309</v>
      </c>
      <c r="BR1514" s="157"/>
    </row>
    <row r="1515" spans="1:70" x14ac:dyDescent="0.25">
      <c r="A1515" s="19" t="s">
        <v>3686</v>
      </c>
      <c r="B1515" s="37" t="s">
        <v>1737</v>
      </c>
      <c r="C1515" s="90">
        <v>44741.61377314815</v>
      </c>
      <c r="D1515" s="114">
        <v>44741.36377314815</v>
      </c>
      <c r="E1515" s="38">
        <v>44741</v>
      </c>
      <c r="F1515" s="91">
        <v>2022</v>
      </c>
      <c r="G1515" s="93">
        <v>6</v>
      </c>
      <c r="H1515" s="37" t="s">
        <v>1425</v>
      </c>
      <c r="I1515" s="37" t="s">
        <v>16</v>
      </c>
      <c r="J1515" s="103">
        <v>-92.624216014904718</v>
      </c>
      <c r="K1515" s="40">
        <v>44.864069631816086</v>
      </c>
      <c r="L1515" s="74"/>
      <c r="M1515" s="272" t="s">
        <v>1738</v>
      </c>
      <c r="N1515" s="74">
        <v>1</v>
      </c>
      <c r="O1515" s="94"/>
      <c r="P1515" s="118">
        <v>1</v>
      </c>
      <c r="Q1515" s="510">
        <v>120</v>
      </c>
      <c r="R1515" s="513">
        <v>180</v>
      </c>
      <c r="S1515" s="41"/>
      <c r="T1515" s="40"/>
      <c r="U1515" s="40">
        <v>7.5</v>
      </c>
      <c r="V1515" s="119">
        <v>1</v>
      </c>
      <c r="W1515" s="40">
        <v>0</v>
      </c>
      <c r="X1515" s="119">
        <v>1</v>
      </c>
      <c r="Y1515" s="40">
        <v>57</v>
      </c>
      <c r="Z1515" s="119">
        <v>1</v>
      </c>
      <c r="AA1515" s="368">
        <v>0</v>
      </c>
      <c r="AB1515" s="535">
        <v>5</v>
      </c>
      <c r="AC1515" s="39" t="s">
        <v>160</v>
      </c>
      <c r="AD1515" s="75" t="s">
        <v>10</v>
      </c>
      <c r="AE1515" s="95">
        <v>0</v>
      </c>
      <c r="AF1515" s="75">
        <v>0</v>
      </c>
      <c r="AG1515" s="75">
        <v>0</v>
      </c>
      <c r="AH1515" s="75">
        <v>0</v>
      </c>
      <c r="AI1515" s="75">
        <v>0</v>
      </c>
      <c r="AJ1515" s="75">
        <v>0</v>
      </c>
      <c r="AK1515" s="75">
        <v>0</v>
      </c>
      <c r="AL1515" s="95">
        <v>1</v>
      </c>
      <c r="AM1515" s="92">
        <v>0</v>
      </c>
      <c r="AN1515" s="79" t="s">
        <v>80</v>
      </c>
      <c r="AO1515" s="75">
        <v>1</v>
      </c>
      <c r="AP1515" s="75" t="s">
        <v>83</v>
      </c>
      <c r="AQ1515" s="122">
        <v>1</v>
      </c>
      <c r="AR1515" s="515" t="s">
        <v>10</v>
      </c>
      <c r="AS1515" s="95">
        <v>0</v>
      </c>
      <c r="AT1515" s="75">
        <v>0</v>
      </c>
      <c r="AU1515" s="75">
        <v>0</v>
      </c>
      <c r="AV1515" s="75">
        <v>0</v>
      </c>
      <c r="AW1515" s="123">
        <v>0</v>
      </c>
      <c r="AX1515" s="516" t="s">
        <v>1739</v>
      </c>
      <c r="AY1515" s="75">
        <v>1</v>
      </c>
      <c r="AZ1515" s="77" t="s">
        <v>131</v>
      </c>
      <c r="BA1515" s="78" t="s">
        <v>131</v>
      </c>
      <c r="BB1515" s="78" t="s">
        <v>131</v>
      </c>
      <c r="BC1515" s="78" t="s">
        <v>131</v>
      </c>
      <c r="BD1515" s="78" t="s">
        <v>131</v>
      </c>
      <c r="BE1515" s="78" t="s">
        <v>131</v>
      </c>
      <c r="BF1515" s="78" t="s">
        <v>131</v>
      </c>
      <c r="BG1515" s="78" t="s">
        <v>132</v>
      </c>
      <c r="BH1515" s="75" t="s">
        <v>5970</v>
      </c>
      <c r="BI1515" s="295" t="s">
        <v>2227</v>
      </c>
      <c r="BJ1515" s="546">
        <v>1</v>
      </c>
      <c r="BK1515" s="294" t="s">
        <v>16</v>
      </c>
      <c r="BL1515" s="157" t="s">
        <v>16</v>
      </c>
      <c r="BM1515" s="548" t="s">
        <v>578</v>
      </c>
      <c r="BN1515" s="548" t="s">
        <v>4159</v>
      </c>
      <c r="BO1515" s="157" t="s">
        <v>4311</v>
      </c>
      <c r="BP1515" s="548" t="s">
        <v>4395</v>
      </c>
      <c r="BQ1515" s="157" t="s">
        <v>4309</v>
      </c>
      <c r="BR1515" s="157"/>
    </row>
    <row r="1516" spans="1:70" x14ac:dyDescent="0.25">
      <c r="A1516" s="19" t="s">
        <v>3686</v>
      </c>
      <c r="B1516" s="37" t="s">
        <v>1740</v>
      </c>
      <c r="C1516" s="90">
        <v>44741.582349537035</v>
      </c>
      <c r="D1516" s="114">
        <v>44741.332349537035</v>
      </c>
      <c r="E1516" s="38">
        <v>44741</v>
      </c>
      <c r="F1516" s="91">
        <v>2022</v>
      </c>
      <c r="G1516" s="93">
        <v>6</v>
      </c>
      <c r="H1516" s="37" t="s">
        <v>1491</v>
      </c>
      <c r="I1516" s="37" t="s">
        <v>16</v>
      </c>
      <c r="J1516" s="103">
        <v>-92.621337199999999</v>
      </c>
      <c r="K1516" s="40">
        <v>44.875118299999997</v>
      </c>
      <c r="L1516" s="74"/>
      <c r="M1516" s="272" t="s">
        <v>16</v>
      </c>
      <c r="N1516" s="74">
        <v>0</v>
      </c>
      <c r="O1516" s="94"/>
      <c r="P1516" s="118">
        <v>1</v>
      </c>
      <c r="Q1516" s="510">
        <v>80</v>
      </c>
      <c r="R1516" s="513">
        <v>120</v>
      </c>
      <c r="S1516" s="41"/>
      <c r="T1516" s="40"/>
      <c r="U1516" s="40">
        <v>7.5</v>
      </c>
      <c r="V1516" s="119">
        <v>1</v>
      </c>
      <c r="W1516" s="40">
        <v>100</v>
      </c>
      <c r="X1516" s="119">
        <v>1</v>
      </c>
      <c r="Y1516" s="40">
        <v>56</v>
      </c>
      <c r="Z1516" s="119">
        <v>1</v>
      </c>
      <c r="AA1516" s="368">
        <v>0</v>
      </c>
      <c r="AB1516" s="535">
        <v>2</v>
      </c>
      <c r="AC1516" s="39" t="s">
        <v>160</v>
      </c>
      <c r="AD1516" s="75" t="s">
        <v>9</v>
      </c>
      <c r="AE1516" s="95">
        <v>0</v>
      </c>
      <c r="AF1516" s="75">
        <v>0</v>
      </c>
      <c r="AG1516" s="75">
        <v>1</v>
      </c>
      <c r="AH1516" s="75">
        <v>0</v>
      </c>
      <c r="AI1516" s="75">
        <v>0</v>
      </c>
      <c r="AJ1516" s="75">
        <v>0</v>
      </c>
      <c r="AK1516" s="75">
        <v>0</v>
      </c>
      <c r="AL1516" s="95">
        <v>0</v>
      </c>
      <c r="AM1516" s="92">
        <v>0</v>
      </c>
      <c r="AN1516" s="79" t="s">
        <v>80</v>
      </c>
      <c r="AO1516" s="75">
        <v>1</v>
      </c>
      <c r="AP1516" s="75" t="s">
        <v>83</v>
      </c>
      <c r="AQ1516" s="122">
        <v>1</v>
      </c>
      <c r="AR1516" s="515" t="s">
        <v>10</v>
      </c>
      <c r="AS1516" s="95">
        <v>0</v>
      </c>
      <c r="AT1516" s="75">
        <v>0</v>
      </c>
      <c r="AU1516" s="75">
        <v>0</v>
      </c>
      <c r="AV1516" s="75">
        <v>0</v>
      </c>
      <c r="AW1516" s="123">
        <v>0</v>
      </c>
      <c r="AX1516" s="516" t="s">
        <v>1741</v>
      </c>
      <c r="AY1516" s="75">
        <v>1</v>
      </c>
      <c r="AZ1516" s="77" t="s">
        <v>131</v>
      </c>
      <c r="BA1516" s="78" t="s">
        <v>131</v>
      </c>
      <c r="BB1516" s="78" t="s">
        <v>132</v>
      </c>
      <c r="BC1516" s="78" t="s">
        <v>131</v>
      </c>
      <c r="BD1516" s="78" t="s">
        <v>131</v>
      </c>
      <c r="BE1516" s="78" t="s">
        <v>131</v>
      </c>
      <c r="BF1516" s="78" t="s">
        <v>131</v>
      </c>
      <c r="BG1516" s="78" t="s">
        <v>131</v>
      </c>
      <c r="BH1516" s="75" t="s">
        <v>5970</v>
      </c>
      <c r="BI1516" s="295" t="s">
        <v>2227</v>
      </c>
      <c r="BJ1516" s="546">
        <v>1</v>
      </c>
      <c r="BK1516" s="294" t="s">
        <v>16</v>
      </c>
      <c r="BL1516" s="157" t="s">
        <v>16</v>
      </c>
      <c r="BM1516" s="548" t="s">
        <v>578</v>
      </c>
      <c r="BN1516" s="548" t="s">
        <v>4159</v>
      </c>
      <c r="BO1516" s="157" t="s">
        <v>4311</v>
      </c>
      <c r="BP1516" s="548" t="s">
        <v>4395</v>
      </c>
      <c r="BQ1516" s="157" t="s">
        <v>4309</v>
      </c>
      <c r="BR1516" s="157"/>
    </row>
    <row r="1517" spans="1:70" x14ac:dyDescent="0.25">
      <c r="A1517" s="19" t="s">
        <v>3686</v>
      </c>
      <c r="B1517" s="37" t="s">
        <v>1742</v>
      </c>
      <c r="C1517" s="90">
        <v>44741.549409722225</v>
      </c>
      <c r="D1517" s="114">
        <v>44741.299409722225</v>
      </c>
      <c r="E1517" s="38">
        <v>44741</v>
      </c>
      <c r="F1517" s="91">
        <v>2022</v>
      </c>
      <c r="G1517" s="93">
        <v>6</v>
      </c>
      <c r="H1517" s="37" t="s">
        <v>606</v>
      </c>
      <c r="I1517" s="37" t="s">
        <v>16</v>
      </c>
      <c r="J1517" s="103">
        <v>-92.145864876300621</v>
      </c>
      <c r="K1517" s="40">
        <v>44.238955733778717</v>
      </c>
      <c r="L1517" s="74"/>
      <c r="M1517" s="272" t="s">
        <v>1743</v>
      </c>
      <c r="N1517" s="74">
        <v>1</v>
      </c>
      <c r="O1517" s="94"/>
      <c r="P1517" s="118">
        <v>1</v>
      </c>
      <c r="Q1517" s="510">
        <v>40</v>
      </c>
      <c r="R1517" s="513">
        <v>0</v>
      </c>
      <c r="S1517" s="41"/>
      <c r="T1517" s="40"/>
      <c r="U1517" s="40">
        <v>7</v>
      </c>
      <c r="V1517" s="119">
        <v>1</v>
      </c>
      <c r="W1517" s="40">
        <v>200</v>
      </c>
      <c r="X1517" s="119">
        <v>1</v>
      </c>
      <c r="Y1517" s="40">
        <v>56</v>
      </c>
      <c r="Z1517" s="119">
        <v>1</v>
      </c>
      <c r="AA1517" s="368">
        <v>0</v>
      </c>
      <c r="AB1517" s="535">
        <v>2</v>
      </c>
      <c r="AC1517" s="39" t="s">
        <v>160</v>
      </c>
      <c r="AD1517" s="75" t="s">
        <v>10</v>
      </c>
      <c r="AE1517" s="95">
        <v>0</v>
      </c>
      <c r="AF1517" s="75">
        <v>0</v>
      </c>
      <c r="AG1517" s="75">
        <v>0</v>
      </c>
      <c r="AH1517" s="75">
        <v>0</v>
      </c>
      <c r="AI1517" s="75">
        <v>0</v>
      </c>
      <c r="AJ1517" s="75">
        <v>0</v>
      </c>
      <c r="AK1517" s="75">
        <v>0</v>
      </c>
      <c r="AL1517" s="95">
        <v>1</v>
      </c>
      <c r="AM1517" s="92">
        <v>0</v>
      </c>
      <c r="AN1517" s="79"/>
      <c r="AO1517" s="75">
        <v>0</v>
      </c>
      <c r="AP1517" s="75"/>
      <c r="AQ1517" s="122">
        <v>0</v>
      </c>
      <c r="AR1517" s="515" t="s">
        <v>10</v>
      </c>
      <c r="AS1517" s="95">
        <v>0</v>
      </c>
      <c r="AT1517" s="75">
        <v>0</v>
      </c>
      <c r="AU1517" s="75">
        <v>0</v>
      </c>
      <c r="AV1517" s="75">
        <v>0</v>
      </c>
      <c r="AW1517" s="123">
        <v>0</v>
      </c>
      <c r="AX1517" s="516" t="s">
        <v>1744</v>
      </c>
      <c r="AY1517" s="75">
        <v>1</v>
      </c>
      <c r="AZ1517" s="77" t="s">
        <v>131</v>
      </c>
      <c r="BA1517" s="78" t="s">
        <v>131</v>
      </c>
      <c r="BB1517" s="78" t="s">
        <v>131</v>
      </c>
      <c r="BC1517" s="78" t="s">
        <v>131</v>
      </c>
      <c r="BD1517" s="78" t="s">
        <v>131</v>
      </c>
      <c r="BE1517" s="78" t="s">
        <v>131</v>
      </c>
      <c r="BF1517" s="78" t="s">
        <v>131</v>
      </c>
      <c r="BG1517" s="78" t="s">
        <v>132</v>
      </c>
      <c r="BH1517" s="75" t="s">
        <v>5970</v>
      </c>
      <c r="BI1517" s="295" t="s">
        <v>317</v>
      </c>
      <c r="BJ1517" s="546">
        <v>1</v>
      </c>
      <c r="BK1517" s="294">
        <v>1</v>
      </c>
      <c r="BL1517" s="157">
        <v>1</v>
      </c>
      <c r="BM1517" s="548" t="s">
        <v>1339</v>
      </c>
      <c r="BN1517" s="548" t="s">
        <v>1339</v>
      </c>
      <c r="BO1517" s="157" t="s">
        <v>4358</v>
      </c>
      <c r="BP1517" s="548" t="s">
        <v>317</v>
      </c>
      <c r="BQ1517" s="157" t="s">
        <v>4330</v>
      </c>
      <c r="BR1517" s="157"/>
    </row>
    <row r="1518" spans="1:70" x14ac:dyDescent="0.25">
      <c r="A1518" s="19" t="s">
        <v>3686</v>
      </c>
      <c r="B1518" s="37" t="s">
        <v>1745</v>
      </c>
      <c r="C1518" s="90">
        <v>44740.907476851855</v>
      </c>
      <c r="D1518" s="114">
        <v>44740.657476851855</v>
      </c>
      <c r="E1518" s="38">
        <v>44740</v>
      </c>
      <c r="F1518" s="91">
        <v>2022</v>
      </c>
      <c r="G1518" s="93">
        <v>6</v>
      </c>
      <c r="H1518" s="37" t="s">
        <v>201</v>
      </c>
      <c r="I1518" s="37"/>
      <c r="J1518" s="103">
        <v>-92.732921640403561</v>
      </c>
      <c r="K1518" s="40">
        <v>44.98408081589222</v>
      </c>
      <c r="L1518" s="74"/>
      <c r="M1518" s="272" t="s">
        <v>16</v>
      </c>
      <c r="N1518" s="74">
        <v>0</v>
      </c>
      <c r="O1518" s="94"/>
      <c r="P1518" s="118">
        <v>0</v>
      </c>
      <c r="Q1518" s="510"/>
      <c r="R1518" s="513"/>
      <c r="S1518" s="41"/>
      <c r="T1518" s="40"/>
      <c r="U1518" s="40"/>
      <c r="V1518" s="119">
        <v>0</v>
      </c>
      <c r="W1518" s="40"/>
      <c r="X1518" s="119">
        <v>0</v>
      </c>
      <c r="Y1518" s="40"/>
      <c r="Z1518" s="119">
        <v>1</v>
      </c>
      <c r="AA1518" s="368">
        <v>0</v>
      </c>
      <c r="AB1518" s="535">
        <v>0</v>
      </c>
      <c r="AC1518" s="39" t="s">
        <v>161</v>
      </c>
      <c r="AD1518" s="75" t="s">
        <v>16</v>
      </c>
      <c r="AE1518" s="95">
        <v>-1</v>
      </c>
      <c r="AF1518" s="75">
        <v>-1</v>
      </c>
      <c r="AG1518" s="75">
        <v>-1</v>
      </c>
      <c r="AH1518" s="75">
        <v>-1</v>
      </c>
      <c r="AI1518" s="75">
        <v>-1</v>
      </c>
      <c r="AJ1518" s="75">
        <v>-1</v>
      </c>
      <c r="AK1518" s="75">
        <v>-1</v>
      </c>
      <c r="AL1518" s="95">
        <v>-1</v>
      </c>
      <c r="AM1518" s="92">
        <v>1</v>
      </c>
      <c r="AN1518" s="79"/>
      <c r="AO1518" s="75">
        <v>0</v>
      </c>
      <c r="AP1518" s="75"/>
      <c r="AQ1518" s="122">
        <v>0</v>
      </c>
      <c r="AR1518" s="515" t="s">
        <v>16</v>
      </c>
      <c r="AS1518" s="95">
        <v>-1</v>
      </c>
      <c r="AT1518" s="75">
        <v>-1</v>
      </c>
      <c r="AU1518" s="75">
        <v>-1</v>
      </c>
      <c r="AV1518" s="75">
        <v>-1</v>
      </c>
      <c r="AW1518" s="123">
        <v>1</v>
      </c>
      <c r="AX1518" s="516" t="s">
        <v>1746</v>
      </c>
      <c r="AY1518" s="75">
        <v>1</v>
      </c>
      <c r="AZ1518" s="77" t="s">
        <v>5971</v>
      </c>
      <c r="BA1518" s="78" t="s">
        <v>5971</v>
      </c>
      <c r="BB1518" s="78" t="s">
        <v>5971</v>
      </c>
      <c r="BC1518" s="78" t="s">
        <v>5971</v>
      </c>
      <c r="BD1518" s="78" t="s">
        <v>5971</v>
      </c>
      <c r="BE1518" s="78" t="s">
        <v>5971</v>
      </c>
      <c r="BF1518" s="78" t="s">
        <v>5971</v>
      </c>
      <c r="BG1518" s="78" t="s">
        <v>5971</v>
      </c>
      <c r="BH1518" s="75" t="s">
        <v>5971</v>
      </c>
      <c r="BI1518" s="295" t="s">
        <v>16</v>
      </c>
      <c r="BJ1518" s="546" t="s">
        <v>16</v>
      </c>
      <c r="BK1518" s="294" t="s">
        <v>16</v>
      </c>
      <c r="BL1518" s="157" t="s">
        <v>16</v>
      </c>
      <c r="BM1518" s="548" t="s">
        <v>578</v>
      </c>
      <c r="BN1518" s="548" t="s">
        <v>578</v>
      </c>
      <c r="BO1518" s="157" t="s">
        <v>4691</v>
      </c>
      <c r="BP1518" s="548" t="s">
        <v>4692</v>
      </c>
      <c r="BQ1518" s="157" t="s">
        <v>4690</v>
      </c>
      <c r="BR1518" s="157"/>
    </row>
    <row r="1519" spans="1:70" x14ac:dyDescent="0.25">
      <c r="A1519" s="19" t="s">
        <v>3686</v>
      </c>
      <c r="B1519" s="37" t="s">
        <v>1747</v>
      </c>
      <c r="C1519" s="90">
        <v>44740.570983796293</v>
      </c>
      <c r="D1519" s="114">
        <v>44740.320983796293</v>
      </c>
      <c r="E1519" s="38">
        <v>44740</v>
      </c>
      <c r="F1519" s="91">
        <v>2022</v>
      </c>
      <c r="G1519" s="93">
        <v>6</v>
      </c>
      <c r="H1519" s="37" t="s">
        <v>1748</v>
      </c>
      <c r="I1519" s="37" t="s">
        <v>958</v>
      </c>
      <c r="J1519" s="103">
        <v>-92.5753962</v>
      </c>
      <c r="K1519" s="40">
        <v>44.488337600000001</v>
      </c>
      <c r="L1519" s="74"/>
      <c r="M1519" s="272" t="s">
        <v>1749</v>
      </c>
      <c r="N1519" s="74">
        <v>1</v>
      </c>
      <c r="O1519" s="94"/>
      <c r="P1519" s="118">
        <v>1</v>
      </c>
      <c r="Q1519" s="510">
        <v>40</v>
      </c>
      <c r="R1519" s="513">
        <v>0</v>
      </c>
      <c r="S1519" s="41"/>
      <c r="T1519" s="40"/>
      <c r="U1519" s="40">
        <v>7</v>
      </c>
      <c r="V1519" s="119">
        <v>1</v>
      </c>
      <c r="W1519" s="40">
        <v>0</v>
      </c>
      <c r="X1519" s="119">
        <v>1</v>
      </c>
      <c r="Y1519" s="40">
        <v>58</v>
      </c>
      <c r="Z1519" s="119">
        <v>1</v>
      </c>
      <c r="AA1519" s="368">
        <v>0</v>
      </c>
      <c r="AB1519" s="535">
        <v>2</v>
      </c>
      <c r="AC1519" s="39" t="s">
        <v>160</v>
      </c>
      <c r="AD1519" s="75" t="s">
        <v>8</v>
      </c>
      <c r="AE1519" s="95">
        <v>0</v>
      </c>
      <c r="AF1519" s="75">
        <v>1</v>
      </c>
      <c r="AG1519" s="75">
        <v>0</v>
      </c>
      <c r="AH1519" s="75">
        <v>0</v>
      </c>
      <c r="AI1519" s="75">
        <v>0</v>
      </c>
      <c r="AJ1519" s="75">
        <v>0</v>
      </c>
      <c r="AK1519" s="75">
        <v>0</v>
      </c>
      <c r="AL1519" s="95">
        <v>0</v>
      </c>
      <c r="AM1519" s="92">
        <v>0</v>
      </c>
      <c r="AN1519" s="79" t="s">
        <v>80</v>
      </c>
      <c r="AO1519" s="75">
        <v>1</v>
      </c>
      <c r="AP1519" s="75" t="s">
        <v>84</v>
      </c>
      <c r="AQ1519" s="122">
        <v>1</v>
      </c>
      <c r="AR1519" s="515" t="s">
        <v>13</v>
      </c>
      <c r="AS1519" s="95">
        <v>1</v>
      </c>
      <c r="AT1519" s="75">
        <v>0</v>
      </c>
      <c r="AU1519" s="75">
        <v>0</v>
      </c>
      <c r="AV1519" s="75">
        <v>0</v>
      </c>
      <c r="AW1519" s="123">
        <v>0</v>
      </c>
      <c r="AX1519" s="516"/>
      <c r="AY1519" s="75">
        <v>0</v>
      </c>
      <c r="AZ1519" s="77" t="s">
        <v>131</v>
      </c>
      <c r="BA1519" s="78" t="s">
        <v>132</v>
      </c>
      <c r="BB1519" s="78" t="s">
        <v>131</v>
      </c>
      <c r="BC1519" s="78" t="s">
        <v>131</v>
      </c>
      <c r="BD1519" s="78" t="s">
        <v>131</v>
      </c>
      <c r="BE1519" s="78" t="s">
        <v>131</v>
      </c>
      <c r="BF1519" s="78" t="s">
        <v>131</v>
      </c>
      <c r="BG1519" s="78" t="s">
        <v>131</v>
      </c>
      <c r="BH1519" s="75" t="s">
        <v>5970</v>
      </c>
      <c r="BI1519" s="295" t="s">
        <v>2238</v>
      </c>
      <c r="BJ1519" s="546">
        <v>1</v>
      </c>
      <c r="BK1519" s="294" t="s">
        <v>16</v>
      </c>
      <c r="BL1519" s="157" t="s">
        <v>16</v>
      </c>
      <c r="BM1519" s="548" t="s">
        <v>2343</v>
      </c>
      <c r="BN1519" s="548" t="s">
        <v>4161</v>
      </c>
      <c r="BO1519" s="157" t="s">
        <v>4308</v>
      </c>
      <c r="BP1519" s="548" t="s">
        <v>2238</v>
      </c>
      <c r="BQ1519" s="157" t="s">
        <v>4307</v>
      </c>
      <c r="BR1519" s="157"/>
    </row>
    <row r="1520" spans="1:70" x14ac:dyDescent="0.25">
      <c r="A1520" s="19" t="s">
        <v>3686</v>
      </c>
      <c r="B1520" s="37" t="s">
        <v>1750</v>
      </c>
      <c r="C1520" s="90">
        <v>44740.547372685185</v>
      </c>
      <c r="D1520" s="114">
        <v>44740.297372685185</v>
      </c>
      <c r="E1520" s="38">
        <v>44740</v>
      </c>
      <c r="F1520" s="91">
        <v>2022</v>
      </c>
      <c r="G1520" s="93">
        <v>6</v>
      </c>
      <c r="H1520" s="37" t="s">
        <v>475</v>
      </c>
      <c r="I1520" s="37"/>
      <c r="J1520" s="103">
        <v>-91.770159714009395</v>
      </c>
      <c r="K1520" s="40">
        <v>43.650607760104954</v>
      </c>
      <c r="L1520" s="74"/>
      <c r="M1520" s="272" t="s">
        <v>16</v>
      </c>
      <c r="N1520" s="74">
        <v>0</v>
      </c>
      <c r="O1520" s="94"/>
      <c r="P1520" s="118">
        <v>1</v>
      </c>
      <c r="Q1520" s="510">
        <v>180</v>
      </c>
      <c r="R1520" s="513">
        <v>120</v>
      </c>
      <c r="S1520" s="41"/>
      <c r="T1520" s="40"/>
      <c r="U1520" s="40">
        <v>8</v>
      </c>
      <c r="V1520" s="119">
        <v>1</v>
      </c>
      <c r="W1520" s="40">
        <v>0</v>
      </c>
      <c r="X1520" s="119">
        <v>0</v>
      </c>
      <c r="Y1520" s="40"/>
      <c r="Z1520" s="119">
        <v>0</v>
      </c>
      <c r="AA1520" s="368" t="s">
        <v>16</v>
      </c>
      <c r="AB1520" s="535" t="s">
        <v>16</v>
      </c>
      <c r="AC1520" s="39" t="s">
        <v>160</v>
      </c>
      <c r="AD1520" s="75" t="s">
        <v>10</v>
      </c>
      <c r="AE1520" s="95">
        <v>0</v>
      </c>
      <c r="AF1520" s="75">
        <v>0</v>
      </c>
      <c r="AG1520" s="75">
        <v>0</v>
      </c>
      <c r="AH1520" s="75">
        <v>0</v>
      </c>
      <c r="AI1520" s="75">
        <v>0</v>
      </c>
      <c r="AJ1520" s="75">
        <v>0</v>
      </c>
      <c r="AK1520" s="75">
        <v>0</v>
      </c>
      <c r="AL1520" s="95">
        <v>1</v>
      </c>
      <c r="AM1520" s="92">
        <v>0</v>
      </c>
      <c r="AN1520" s="79" t="s">
        <v>80</v>
      </c>
      <c r="AO1520" s="75">
        <v>1</v>
      </c>
      <c r="AP1520" s="75" t="s">
        <v>83</v>
      </c>
      <c r="AQ1520" s="122">
        <v>1</v>
      </c>
      <c r="AR1520" s="515" t="s">
        <v>10</v>
      </c>
      <c r="AS1520" s="95">
        <v>0</v>
      </c>
      <c r="AT1520" s="75">
        <v>0</v>
      </c>
      <c r="AU1520" s="75">
        <v>0</v>
      </c>
      <c r="AV1520" s="75">
        <v>0</v>
      </c>
      <c r="AW1520" s="123">
        <v>0</v>
      </c>
      <c r="AX1520" s="516" t="s">
        <v>1751</v>
      </c>
      <c r="AY1520" s="75">
        <v>1</v>
      </c>
      <c r="AZ1520" s="77" t="s">
        <v>131</v>
      </c>
      <c r="BA1520" s="78" t="s">
        <v>131</v>
      </c>
      <c r="BB1520" s="78" t="s">
        <v>131</v>
      </c>
      <c r="BC1520" s="78" t="s">
        <v>131</v>
      </c>
      <c r="BD1520" s="78" t="s">
        <v>131</v>
      </c>
      <c r="BE1520" s="78" t="s">
        <v>131</v>
      </c>
      <c r="BF1520" s="78" t="s">
        <v>131</v>
      </c>
      <c r="BG1520" s="78" t="s">
        <v>132</v>
      </c>
      <c r="BH1520" s="75" t="s">
        <v>5970</v>
      </c>
      <c r="BI1520" s="295" t="s">
        <v>2249</v>
      </c>
      <c r="BJ1520" s="546">
        <v>1</v>
      </c>
      <c r="BK1520" s="294">
        <v>1</v>
      </c>
      <c r="BL1520" s="157">
        <v>1</v>
      </c>
      <c r="BM1520" s="548" t="s">
        <v>1341</v>
      </c>
      <c r="BN1520" s="548" t="s">
        <v>1339</v>
      </c>
      <c r="BO1520" s="157" t="s">
        <v>4418</v>
      </c>
      <c r="BP1520" s="548" t="s">
        <v>4419</v>
      </c>
      <c r="BQ1520" s="157" t="s">
        <v>4232</v>
      </c>
      <c r="BR1520" s="157"/>
    </row>
    <row r="1521" spans="1:70" x14ac:dyDescent="0.25">
      <c r="A1521" s="19" t="s">
        <v>3686</v>
      </c>
      <c r="B1521" s="37" t="s">
        <v>1752</v>
      </c>
      <c r="C1521" s="90">
        <v>44740.52144675926</v>
      </c>
      <c r="D1521" s="114">
        <v>44740.27144675926</v>
      </c>
      <c r="E1521" s="38">
        <v>44740</v>
      </c>
      <c r="F1521" s="91">
        <v>2022</v>
      </c>
      <c r="G1521" s="93">
        <v>6</v>
      </c>
      <c r="H1521" s="37" t="s">
        <v>1748</v>
      </c>
      <c r="I1521" s="37" t="s">
        <v>958</v>
      </c>
      <c r="J1521" s="103">
        <v>-92.575203599999995</v>
      </c>
      <c r="K1521" s="40">
        <v>44.488515999999997</v>
      </c>
      <c r="L1521" s="74"/>
      <c r="M1521" s="272" t="s">
        <v>1753</v>
      </c>
      <c r="N1521" s="74">
        <v>1</v>
      </c>
      <c r="O1521" s="94"/>
      <c r="P1521" s="118">
        <v>1</v>
      </c>
      <c r="Q1521" s="510">
        <v>40</v>
      </c>
      <c r="R1521" s="513">
        <v>180</v>
      </c>
      <c r="S1521" s="41"/>
      <c r="T1521" s="40"/>
      <c r="U1521" s="40">
        <v>7.5</v>
      </c>
      <c r="V1521" s="119">
        <v>1</v>
      </c>
      <c r="W1521" s="40">
        <v>0</v>
      </c>
      <c r="X1521" s="119">
        <v>1</v>
      </c>
      <c r="Y1521" s="40">
        <v>56</v>
      </c>
      <c r="Z1521" s="119">
        <v>1</v>
      </c>
      <c r="AA1521" s="368">
        <v>0</v>
      </c>
      <c r="AB1521" s="535">
        <v>2</v>
      </c>
      <c r="AC1521" s="39" t="s">
        <v>160</v>
      </c>
      <c r="AD1521" s="75" t="s">
        <v>8</v>
      </c>
      <c r="AE1521" s="95">
        <v>0</v>
      </c>
      <c r="AF1521" s="75">
        <v>1</v>
      </c>
      <c r="AG1521" s="75">
        <v>0</v>
      </c>
      <c r="AH1521" s="75">
        <v>0</v>
      </c>
      <c r="AI1521" s="75">
        <v>0</v>
      </c>
      <c r="AJ1521" s="75">
        <v>0</v>
      </c>
      <c r="AK1521" s="75">
        <v>0</v>
      </c>
      <c r="AL1521" s="95">
        <v>0</v>
      </c>
      <c r="AM1521" s="92">
        <v>0</v>
      </c>
      <c r="AN1521" s="79" t="s">
        <v>80</v>
      </c>
      <c r="AO1521" s="75">
        <v>1</v>
      </c>
      <c r="AP1521" s="75" t="s">
        <v>84</v>
      </c>
      <c r="AQ1521" s="122">
        <v>1</v>
      </c>
      <c r="AR1521" s="515" t="s">
        <v>13</v>
      </c>
      <c r="AS1521" s="95">
        <v>1</v>
      </c>
      <c r="AT1521" s="75">
        <v>0</v>
      </c>
      <c r="AU1521" s="75">
        <v>0</v>
      </c>
      <c r="AV1521" s="75">
        <v>0</v>
      </c>
      <c r="AW1521" s="123">
        <v>0</v>
      </c>
      <c r="AX1521" s="516"/>
      <c r="AY1521" s="75">
        <v>0</v>
      </c>
      <c r="AZ1521" s="77" t="s">
        <v>131</v>
      </c>
      <c r="BA1521" s="78" t="s">
        <v>132</v>
      </c>
      <c r="BB1521" s="78" t="s">
        <v>131</v>
      </c>
      <c r="BC1521" s="78" t="s">
        <v>131</v>
      </c>
      <c r="BD1521" s="78" t="s">
        <v>131</v>
      </c>
      <c r="BE1521" s="78" t="s">
        <v>131</v>
      </c>
      <c r="BF1521" s="78" t="s">
        <v>131</v>
      </c>
      <c r="BG1521" s="78" t="s">
        <v>131</v>
      </c>
      <c r="BH1521" s="75" t="s">
        <v>5970</v>
      </c>
      <c r="BI1521" s="295" t="s">
        <v>2238</v>
      </c>
      <c r="BJ1521" s="546">
        <v>1</v>
      </c>
      <c r="BK1521" s="294" t="s">
        <v>16</v>
      </c>
      <c r="BL1521" s="157" t="s">
        <v>16</v>
      </c>
      <c r="BM1521" s="548" t="s">
        <v>2343</v>
      </c>
      <c r="BN1521" s="548" t="s">
        <v>4161</v>
      </c>
      <c r="BO1521" s="157" t="s">
        <v>4308</v>
      </c>
      <c r="BP1521" s="548" t="s">
        <v>2238</v>
      </c>
      <c r="BQ1521" s="157" t="s">
        <v>4307</v>
      </c>
      <c r="BR1521" s="157"/>
    </row>
    <row r="1522" spans="1:70" x14ac:dyDescent="0.25">
      <c r="A1522" s="19" t="s">
        <v>3686</v>
      </c>
      <c r="B1522" s="37" t="s">
        <v>1754</v>
      </c>
      <c r="C1522" s="90">
        <v>44740.517256944448</v>
      </c>
      <c r="D1522" s="114">
        <v>44740.267256944448</v>
      </c>
      <c r="E1522" s="38">
        <v>44740</v>
      </c>
      <c r="F1522" s="91">
        <v>2022</v>
      </c>
      <c r="G1522" s="93">
        <v>6</v>
      </c>
      <c r="H1522" s="37" t="s">
        <v>1748</v>
      </c>
      <c r="I1522" s="37" t="s">
        <v>958</v>
      </c>
      <c r="J1522" s="103">
        <v>-92.575207500000005</v>
      </c>
      <c r="K1522" s="40">
        <v>44.488508299999999</v>
      </c>
      <c r="L1522" s="74"/>
      <c r="M1522" s="272" t="s">
        <v>1755</v>
      </c>
      <c r="N1522" s="74">
        <v>1</v>
      </c>
      <c r="O1522" s="94"/>
      <c r="P1522" s="118">
        <v>1</v>
      </c>
      <c r="Q1522" s="510">
        <v>40</v>
      </c>
      <c r="R1522" s="513">
        <v>180</v>
      </c>
      <c r="S1522" s="41"/>
      <c r="T1522" s="40"/>
      <c r="U1522" s="40">
        <v>7</v>
      </c>
      <c r="V1522" s="119">
        <v>1</v>
      </c>
      <c r="W1522" s="40">
        <v>0</v>
      </c>
      <c r="X1522" s="119">
        <v>1</v>
      </c>
      <c r="Y1522" s="40">
        <v>51</v>
      </c>
      <c r="Z1522" s="119">
        <v>1</v>
      </c>
      <c r="AA1522" s="368">
        <v>0</v>
      </c>
      <c r="AB1522" s="535">
        <v>5</v>
      </c>
      <c r="AC1522" s="39" t="s">
        <v>160</v>
      </c>
      <c r="AD1522" s="75" t="s">
        <v>10</v>
      </c>
      <c r="AE1522" s="95">
        <v>0</v>
      </c>
      <c r="AF1522" s="75">
        <v>0</v>
      </c>
      <c r="AG1522" s="75">
        <v>0</v>
      </c>
      <c r="AH1522" s="75">
        <v>0</v>
      </c>
      <c r="AI1522" s="75">
        <v>0</v>
      </c>
      <c r="AJ1522" s="75">
        <v>0</v>
      </c>
      <c r="AK1522" s="75">
        <v>0</v>
      </c>
      <c r="AL1522" s="95">
        <v>1</v>
      </c>
      <c r="AM1522" s="92">
        <v>0</v>
      </c>
      <c r="AN1522" s="79" t="s">
        <v>80</v>
      </c>
      <c r="AO1522" s="75">
        <v>1</v>
      </c>
      <c r="AP1522" s="75" t="s">
        <v>84</v>
      </c>
      <c r="AQ1522" s="122">
        <v>1</v>
      </c>
      <c r="AR1522" s="515" t="s">
        <v>13</v>
      </c>
      <c r="AS1522" s="95">
        <v>1</v>
      </c>
      <c r="AT1522" s="75">
        <v>0</v>
      </c>
      <c r="AU1522" s="75">
        <v>0</v>
      </c>
      <c r="AV1522" s="75">
        <v>0</v>
      </c>
      <c r="AW1522" s="123">
        <v>0</v>
      </c>
      <c r="AX1522" s="516"/>
      <c r="AY1522" s="75">
        <v>0</v>
      </c>
      <c r="AZ1522" s="77" t="s">
        <v>131</v>
      </c>
      <c r="BA1522" s="78" t="s">
        <v>131</v>
      </c>
      <c r="BB1522" s="78" t="s">
        <v>131</v>
      </c>
      <c r="BC1522" s="78" t="s">
        <v>131</v>
      </c>
      <c r="BD1522" s="78" t="s">
        <v>131</v>
      </c>
      <c r="BE1522" s="78" t="s">
        <v>131</v>
      </c>
      <c r="BF1522" s="78" t="s">
        <v>131</v>
      </c>
      <c r="BG1522" s="78" t="s">
        <v>132</v>
      </c>
      <c r="BH1522" s="75" t="s">
        <v>5970</v>
      </c>
      <c r="BI1522" s="295" t="s">
        <v>2238</v>
      </c>
      <c r="BJ1522" s="546">
        <v>1</v>
      </c>
      <c r="BK1522" s="294" t="s">
        <v>16</v>
      </c>
      <c r="BL1522" s="157" t="s">
        <v>16</v>
      </c>
      <c r="BM1522" s="548" t="s">
        <v>2343</v>
      </c>
      <c r="BN1522" s="548" t="s">
        <v>4161</v>
      </c>
      <c r="BO1522" s="157" t="s">
        <v>4308</v>
      </c>
      <c r="BP1522" s="548" t="s">
        <v>2238</v>
      </c>
      <c r="BQ1522" s="157" t="s">
        <v>4307</v>
      </c>
      <c r="BR1522" s="157"/>
    </row>
    <row r="1523" spans="1:70" x14ac:dyDescent="0.25">
      <c r="A1523" s="19" t="s">
        <v>3686</v>
      </c>
      <c r="B1523" s="37" t="s">
        <v>1756</v>
      </c>
      <c r="C1523" s="90">
        <v>44740.495312500003</v>
      </c>
      <c r="D1523" s="114">
        <v>44740.245312500003</v>
      </c>
      <c r="E1523" s="38">
        <v>44740</v>
      </c>
      <c r="F1523" s="91">
        <v>2022</v>
      </c>
      <c r="G1523" s="93">
        <v>6</v>
      </c>
      <c r="H1523" s="37" t="s">
        <v>475</v>
      </c>
      <c r="I1523" s="37"/>
      <c r="J1523" s="103">
        <v>-91.61111385570058</v>
      </c>
      <c r="K1523" s="40">
        <v>43.633563579100773</v>
      </c>
      <c r="L1523" s="74"/>
      <c r="M1523" s="272" t="s">
        <v>1757</v>
      </c>
      <c r="N1523" s="74">
        <v>1</v>
      </c>
      <c r="O1523" s="94"/>
      <c r="P1523" s="118">
        <v>1</v>
      </c>
      <c r="Q1523" s="510">
        <v>180</v>
      </c>
      <c r="R1523" s="513">
        <v>120</v>
      </c>
      <c r="S1523" s="41"/>
      <c r="T1523" s="40"/>
      <c r="U1523" s="40">
        <v>7.5</v>
      </c>
      <c r="V1523" s="119">
        <v>1</v>
      </c>
      <c r="W1523" s="40">
        <v>0</v>
      </c>
      <c r="X1523" s="119">
        <v>0</v>
      </c>
      <c r="Y1523" s="40"/>
      <c r="Z1523" s="119">
        <v>1</v>
      </c>
      <c r="AA1523" s="368">
        <v>0</v>
      </c>
      <c r="AB1523" s="535">
        <v>5</v>
      </c>
      <c r="AC1523" s="39" t="s">
        <v>160</v>
      </c>
      <c r="AD1523" s="75" t="s">
        <v>10</v>
      </c>
      <c r="AE1523" s="95">
        <v>0</v>
      </c>
      <c r="AF1523" s="75">
        <v>0</v>
      </c>
      <c r="AG1523" s="75">
        <v>0</v>
      </c>
      <c r="AH1523" s="75">
        <v>0</v>
      </c>
      <c r="AI1523" s="75">
        <v>0</v>
      </c>
      <c r="AJ1523" s="75">
        <v>0</v>
      </c>
      <c r="AK1523" s="75">
        <v>0</v>
      </c>
      <c r="AL1523" s="95">
        <v>1</v>
      </c>
      <c r="AM1523" s="92">
        <v>0</v>
      </c>
      <c r="AN1523" s="79" t="s">
        <v>80</v>
      </c>
      <c r="AO1523" s="75">
        <v>1</v>
      </c>
      <c r="AP1523" s="75" t="s">
        <v>83</v>
      </c>
      <c r="AQ1523" s="122">
        <v>1</v>
      </c>
      <c r="AR1523" s="515" t="s">
        <v>10</v>
      </c>
      <c r="AS1523" s="95">
        <v>0</v>
      </c>
      <c r="AT1523" s="75">
        <v>0</v>
      </c>
      <c r="AU1523" s="75">
        <v>0</v>
      </c>
      <c r="AV1523" s="75">
        <v>0</v>
      </c>
      <c r="AW1523" s="123">
        <v>0</v>
      </c>
      <c r="AX1523" s="516" t="s">
        <v>1758</v>
      </c>
      <c r="AY1523" s="75">
        <v>1</v>
      </c>
      <c r="AZ1523" s="77" t="s">
        <v>131</v>
      </c>
      <c r="BA1523" s="78" t="s">
        <v>131</v>
      </c>
      <c r="BB1523" s="78" t="s">
        <v>131</v>
      </c>
      <c r="BC1523" s="78" t="s">
        <v>131</v>
      </c>
      <c r="BD1523" s="78" t="s">
        <v>131</v>
      </c>
      <c r="BE1523" s="78" t="s">
        <v>131</v>
      </c>
      <c r="BF1523" s="78" t="s">
        <v>131</v>
      </c>
      <c r="BG1523" s="78" t="s">
        <v>132</v>
      </c>
      <c r="BH1523" s="75" t="s">
        <v>5970</v>
      </c>
      <c r="BI1523" s="295" t="s">
        <v>2285</v>
      </c>
      <c r="BJ1523" s="546">
        <v>1</v>
      </c>
      <c r="BK1523" s="294">
        <v>1</v>
      </c>
      <c r="BL1523" s="157">
        <v>1</v>
      </c>
      <c r="BM1523" s="548" t="s">
        <v>1341</v>
      </c>
      <c r="BN1523" s="548" t="s">
        <v>1339</v>
      </c>
      <c r="BO1523" s="157" t="s">
        <v>4233</v>
      </c>
      <c r="BP1523" s="548" t="s">
        <v>307</v>
      </c>
      <c r="BQ1523" s="157" t="s">
        <v>4232</v>
      </c>
      <c r="BR1523" s="157"/>
    </row>
    <row r="1524" spans="1:70" x14ac:dyDescent="0.25">
      <c r="A1524" s="19" t="s">
        <v>3686</v>
      </c>
      <c r="B1524" s="37" t="s">
        <v>1759</v>
      </c>
      <c r="C1524" s="90">
        <v>44740.461215277777</v>
      </c>
      <c r="D1524" s="114">
        <v>44740.211215277777</v>
      </c>
      <c r="E1524" s="38">
        <v>44740</v>
      </c>
      <c r="F1524" s="91">
        <v>2022</v>
      </c>
      <c r="G1524" s="93">
        <v>6</v>
      </c>
      <c r="H1524" s="37" t="s">
        <v>475</v>
      </c>
      <c r="I1524" s="37"/>
      <c r="J1524" s="103">
        <v>-91.580575816418602</v>
      </c>
      <c r="K1524" s="40">
        <v>43.641605973284349</v>
      </c>
      <c r="L1524" s="74"/>
      <c r="M1524" s="272" t="s">
        <v>1760</v>
      </c>
      <c r="N1524" s="74">
        <v>1</v>
      </c>
      <c r="O1524" s="94"/>
      <c r="P1524" s="118">
        <v>1</v>
      </c>
      <c r="Q1524" s="510">
        <v>80</v>
      </c>
      <c r="R1524" s="513">
        <v>0</v>
      </c>
      <c r="S1524" s="41"/>
      <c r="T1524" s="40"/>
      <c r="U1524" s="40">
        <v>6</v>
      </c>
      <c r="V1524" s="119">
        <v>1</v>
      </c>
      <c r="W1524" s="40">
        <v>0</v>
      </c>
      <c r="X1524" s="119">
        <v>0</v>
      </c>
      <c r="Y1524" s="40"/>
      <c r="Z1524" s="119">
        <v>0</v>
      </c>
      <c r="AA1524" s="368" t="s">
        <v>16</v>
      </c>
      <c r="AB1524" s="535" t="s">
        <v>16</v>
      </c>
      <c r="AC1524" s="39" t="s">
        <v>160</v>
      </c>
      <c r="AD1524" s="75" t="s">
        <v>16</v>
      </c>
      <c r="AE1524" s="95">
        <v>-1</v>
      </c>
      <c r="AF1524" s="75">
        <v>-1</v>
      </c>
      <c r="AG1524" s="75">
        <v>-1</v>
      </c>
      <c r="AH1524" s="75">
        <v>-1</v>
      </c>
      <c r="AI1524" s="75">
        <v>-1</v>
      </c>
      <c r="AJ1524" s="75">
        <v>-1</v>
      </c>
      <c r="AK1524" s="75">
        <v>-1</v>
      </c>
      <c r="AL1524" s="95">
        <v>-1</v>
      </c>
      <c r="AM1524" s="92">
        <v>1</v>
      </c>
      <c r="AN1524" s="79" t="s">
        <v>80</v>
      </c>
      <c r="AO1524" s="75">
        <v>1</v>
      </c>
      <c r="AP1524" s="75" t="s">
        <v>83</v>
      </c>
      <c r="AQ1524" s="122">
        <v>1</v>
      </c>
      <c r="AR1524" s="515" t="s">
        <v>10</v>
      </c>
      <c r="AS1524" s="95">
        <v>0</v>
      </c>
      <c r="AT1524" s="75">
        <v>0</v>
      </c>
      <c r="AU1524" s="75">
        <v>0</v>
      </c>
      <c r="AV1524" s="75">
        <v>0</v>
      </c>
      <c r="AW1524" s="123">
        <v>0</v>
      </c>
      <c r="AX1524" s="516" t="s">
        <v>1761</v>
      </c>
      <c r="AY1524" s="75">
        <v>1</v>
      </c>
      <c r="AZ1524" s="77" t="s">
        <v>5971</v>
      </c>
      <c r="BA1524" s="78" t="s">
        <v>5971</v>
      </c>
      <c r="BB1524" s="78" t="s">
        <v>5971</v>
      </c>
      <c r="BC1524" s="78" t="s">
        <v>5971</v>
      </c>
      <c r="BD1524" s="78" t="s">
        <v>5971</v>
      </c>
      <c r="BE1524" s="78" t="s">
        <v>5971</v>
      </c>
      <c r="BF1524" s="78" t="s">
        <v>5971</v>
      </c>
      <c r="BG1524" s="78" t="s">
        <v>5971</v>
      </c>
      <c r="BH1524" s="75" t="s">
        <v>5971</v>
      </c>
      <c r="BI1524" s="295" t="s">
        <v>2259</v>
      </c>
      <c r="BJ1524" s="546">
        <v>1</v>
      </c>
      <c r="BK1524" s="294" t="s">
        <v>16</v>
      </c>
      <c r="BL1524" s="157" t="s">
        <v>16</v>
      </c>
      <c r="BM1524" s="548" t="s">
        <v>1341</v>
      </c>
      <c r="BN1524" s="548" t="s">
        <v>1339</v>
      </c>
      <c r="BO1524" s="157" t="s">
        <v>4233</v>
      </c>
      <c r="BP1524" s="548" t="s">
        <v>307</v>
      </c>
      <c r="BQ1524" s="157" t="s">
        <v>4232</v>
      </c>
      <c r="BR1524" s="157"/>
    </row>
    <row r="1525" spans="1:70" x14ac:dyDescent="0.25">
      <c r="A1525" s="19" t="s">
        <v>3686</v>
      </c>
      <c r="B1525" s="37" t="s">
        <v>1762</v>
      </c>
      <c r="C1525" s="90">
        <v>44739.817847222221</v>
      </c>
      <c r="D1525" s="114">
        <v>44739.567847222221</v>
      </c>
      <c r="E1525" s="38">
        <v>44739</v>
      </c>
      <c r="F1525" s="91">
        <v>2022</v>
      </c>
      <c r="G1525" s="93">
        <v>6</v>
      </c>
      <c r="H1525" s="37" t="s">
        <v>1447</v>
      </c>
      <c r="I1525" s="37" t="s">
        <v>16</v>
      </c>
      <c r="J1525" s="103">
        <v>-92.802848490041498</v>
      </c>
      <c r="K1525" s="40">
        <v>44.543035277206954</v>
      </c>
      <c r="L1525" s="74"/>
      <c r="M1525" s="272" t="s">
        <v>16</v>
      </c>
      <c r="N1525" s="74">
        <v>0</v>
      </c>
      <c r="O1525" s="94"/>
      <c r="P1525" s="118">
        <v>1</v>
      </c>
      <c r="Q1525" s="510">
        <v>180</v>
      </c>
      <c r="R1525" s="513">
        <v>180</v>
      </c>
      <c r="S1525" s="41"/>
      <c r="T1525" s="40"/>
      <c r="U1525" s="40">
        <v>7</v>
      </c>
      <c r="V1525" s="119">
        <v>1</v>
      </c>
      <c r="W1525" s="40">
        <v>100</v>
      </c>
      <c r="X1525" s="119">
        <v>1</v>
      </c>
      <c r="Y1525" s="40">
        <v>63</v>
      </c>
      <c r="Z1525" s="119">
        <v>1</v>
      </c>
      <c r="AA1525" s="368">
        <v>0</v>
      </c>
      <c r="AB1525" s="535">
        <v>10</v>
      </c>
      <c r="AC1525" s="39"/>
      <c r="AD1525" s="75" t="s">
        <v>10</v>
      </c>
      <c r="AE1525" s="95">
        <v>0</v>
      </c>
      <c r="AF1525" s="75">
        <v>0</v>
      </c>
      <c r="AG1525" s="75">
        <v>0</v>
      </c>
      <c r="AH1525" s="75">
        <v>0</v>
      </c>
      <c r="AI1525" s="75">
        <v>0</v>
      </c>
      <c r="AJ1525" s="75">
        <v>0</v>
      </c>
      <c r="AK1525" s="75">
        <v>0</v>
      </c>
      <c r="AL1525" s="95">
        <v>1</v>
      </c>
      <c r="AM1525" s="92">
        <v>0</v>
      </c>
      <c r="AN1525" s="79" t="s">
        <v>80</v>
      </c>
      <c r="AO1525" s="75">
        <v>1</v>
      </c>
      <c r="AP1525" s="75" t="s">
        <v>83</v>
      </c>
      <c r="AQ1525" s="122">
        <v>1</v>
      </c>
      <c r="AR1525" s="515" t="s">
        <v>10</v>
      </c>
      <c r="AS1525" s="95">
        <v>0</v>
      </c>
      <c r="AT1525" s="75">
        <v>0</v>
      </c>
      <c r="AU1525" s="75">
        <v>0</v>
      </c>
      <c r="AV1525" s="75">
        <v>0</v>
      </c>
      <c r="AW1525" s="123">
        <v>0</v>
      </c>
      <c r="AX1525" s="516"/>
      <c r="AY1525" s="75">
        <v>0</v>
      </c>
      <c r="AZ1525" s="77" t="s">
        <v>131</v>
      </c>
      <c r="BA1525" s="78" t="s">
        <v>131</v>
      </c>
      <c r="BB1525" s="78" t="s">
        <v>131</v>
      </c>
      <c r="BC1525" s="78" t="s">
        <v>131</v>
      </c>
      <c r="BD1525" s="78" t="s">
        <v>131</v>
      </c>
      <c r="BE1525" s="78" t="s">
        <v>131</v>
      </c>
      <c r="BF1525" s="78" t="s">
        <v>131</v>
      </c>
      <c r="BG1525" s="78" t="s">
        <v>132</v>
      </c>
      <c r="BH1525" s="75" t="s">
        <v>5970</v>
      </c>
      <c r="BI1525" s="295" t="s">
        <v>16</v>
      </c>
      <c r="BJ1525" s="546">
        <v>1</v>
      </c>
      <c r="BK1525" s="294">
        <v>1</v>
      </c>
      <c r="BL1525" s="157">
        <v>1</v>
      </c>
      <c r="BM1525" s="548" t="s">
        <v>2343</v>
      </c>
      <c r="BN1525" s="548" t="s">
        <v>4161</v>
      </c>
      <c r="BO1525" s="157" t="s">
        <v>4510</v>
      </c>
      <c r="BP1525" s="548" t="s">
        <v>753</v>
      </c>
      <c r="BQ1525" s="157" t="s">
        <v>4389</v>
      </c>
      <c r="BR1525" s="157"/>
    </row>
    <row r="1526" spans="1:70" x14ac:dyDescent="0.25">
      <c r="A1526" s="19" t="s">
        <v>3686</v>
      </c>
      <c r="B1526" s="37" t="s">
        <v>1763</v>
      </c>
      <c r="C1526" s="90">
        <v>44738.972002314818</v>
      </c>
      <c r="D1526" s="114">
        <v>44738.722002314818</v>
      </c>
      <c r="E1526" s="38">
        <v>44738</v>
      </c>
      <c r="F1526" s="91">
        <v>2022</v>
      </c>
      <c r="G1526" s="93">
        <v>6</v>
      </c>
      <c r="H1526" s="37" t="s">
        <v>1616</v>
      </c>
      <c r="I1526" s="37" t="s">
        <v>1212</v>
      </c>
      <c r="J1526" s="103">
        <v>-92.236451400000007</v>
      </c>
      <c r="K1526" s="40">
        <v>44.840102399999999</v>
      </c>
      <c r="L1526" s="74"/>
      <c r="M1526" s="272" t="s">
        <v>16</v>
      </c>
      <c r="N1526" s="74">
        <v>0</v>
      </c>
      <c r="O1526" s="94"/>
      <c r="P1526" s="118">
        <v>1</v>
      </c>
      <c r="Q1526" s="510">
        <v>80</v>
      </c>
      <c r="R1526" s="513">
        <v>120</v>
      </c>
      <c r="S1526" s="41"/>
      <c r="T1526" s="40"/>
      <c r="U1526" s="40">
        <v>8</v>
      </c>
      <c r="V1526" s="119">
        <v>1</v>
      </c>
      <c r="W1526" s="40">
        <v>0</v>
      </c>
      <c r="X1526" s="119">
        <v>1</v>
      </c>
      <c r="Y1526" s="40">
        <v>68</v>
      </c>
      <c r="Z1526" s="119">
        <v>1</v>
      </c>
      <c r="AA1526" s="368">
        <v>0</v>
      </c>
      <c r="AB1526" s="535">
        <v>0</v>
      </c>
      <c r="AC1526" s="39"/>
      <c r="AD1526" s="75" t="s">
        <v>16</v>
      </c>
      <c r="AE1526" s="95">
        <v>-1</v>
      </c>
      <c r="AF1526" s="75">
        <v>-1</v>
      </c>
      <c r="AG1526" s="75">
        <v>-1</v>
      </c>
      <c r="AH1526" s="75">
        <v>-1</v>
      </c>
      <c r="AI1526" s="75">
        <v>-1</v>
      </c>
      <c r="AJ1526" s="75">
        <v>-1</v>
      </c>
      <c r="AK1526" s="75">
        <v>-1</v>
      </c>
      <c r="AL1526" s="95">
        <v>-1</v>
      </c>
      <c r="AM1526" s="92">
        <v>1</v>
      </c>
      <c r="AN1526" s="79" t="s">
        <v>80</v>
      </c>
      <c r="AO1526" s="75">
        <v>1</v>
      </c>
      <c r="AP1526" s="75" t="s">
        <v>83</v>
      </c>
      <c r="AQ1526" s="122">
        <v>1</v>
      </c>
      <c r="AR1526" s="515" t="s">
        <v>10</v>
      </c>
      <c r="AS1526" s="95">
        <v>0</v>
      </c>
      <c r="AT1526" s="75">
        <v>0</v>
      </c>
      <c r="AU1526" s="75">
        <v>0</v>
      </c>
      <c r="AV1526" s="75">
        <v>0</v>
      </c>
      <c r="AW1526" s="123">
        <v>0</v>
      </c>
      <c r="AX1526" s="516"/>
      <c r="AY1526" s="75">
        <v>0</v>
      </c>
      <c r="AZ1526" s="77" t="s">
        <v>5971</v>
      </c>
      <c r="BA1526" s="78" t="s">
        <v>5971</v>
      </c>
      <c r="BB1526" s="78" t="s">
        <v>5971</v>
      </c>
      <c r="BC1526" s="78" t="s">
        <v>5971</v>
      </c>
      <c r="BD1526" s="78" t="s">
        <v>5971</v>
      </c>
      <c r="BE1526" s="78" t="s">
        <v>5971</v>
      </c>
      <c r="BF1526" s="78" t="s">
        <v>5971</v>
      </c>
      <c r="BG1526" s="78" t="s">
        <v>5971</v>
      </c>
      <c r="BH1526" s="75" t="s">
        <v>5971</v>
      </c>
      <c r="BI1526" s="295" t="s">
        <v>2247</v>
      </c>
      <c r="BJ1526" s="546">
        <v>1</v>
      </c>
      <c r="BK1526" s="294">
        <v>1</v>
      </c>
      <c r="BL1526" s="157">
        <v>1</v>
      </c>
      <c r="BM1526" s="548" t="s">
        <v>578</v>
      </c>
      <c r="BN1526" s="548" t="s">
        <v>578</v>
      </c>
      <c r="BO1526" s="157" t="s">
        <v>4318</v>
      </c>
      <c r="BP1526" s="548" t="s">
        <v>4439</v>
      </c>
      <c r="BQ1526" s="157" t="s">
        <v>4316</v>
      </c>
      <c r="BR1526" s="157"/>
    </row>
    <row r="1527" spans="1:70" x14ac:dyDescent="0.25">
      <c r="A1527" s="19" t="s">
        <v>3686</v>
      </c>
      <c r="B1527" s="37" t="s">
        <v>1764</v>
      </c>
      <c r="C1527" s="90">
        <v>44738.958611111113</v>
      </c>
      <c r="D1527" s="114">
        <v>44738.708611111113</v>
      </c>
      <c r="E1527" s="38">
        <v>44738</v>
      </c>
      <c r="F1527" s="91">
        <v>2022</v>
      </c>
      <c r="G1527" s="93">
        <v>6</v>
      </c>
      <c r="H1527" s="37" t="s">
        <v>1616</v>
      </c>
      <c r="I1527" s="37"/>
      <c r="J1527" s="103">
        <v>-92.236476300000007</v>
      </c>
      <c r="K1527" s="40">
        <v>44.840147399999999</v>
      </c>
      <c r="L1527" s="74"/>
      <c r="M1527" s="272" t="s">
        <v>1765</v>
      </c>
      <c r="N1527" s="74">
        <v>1</v>
      </c>
      <c r="O1527" s="94"/>
      <c r="P1527" s="118">
        <v>0</v>
      </c>
      <c r="Q1527" s="510"/>
      <c r="R1527" s="513"/>
      <c r="S1527" s="41"/>
      <c r="T1527" s="40"/>
      <c r="U1527" s="40"/>
      <c r="V1527" s="119">
        <v>0</v>
      </c>
      <c r="W1527" s="40"/>
      <c r="X1527" s="119">
        <v>0</v>
      </c>
      <c r="Y1527" s="40"/>
      <c r="Z1527" s="119">
        <v>0</v>
      </c>
      <c r="AA1527" s="368" t="s">
        <v>16</v>
      </c>
      <c r="AB1527" s="535" t="s">
        <v>16</v>
      </c>
      <c r="AC1527" s="39" t="s">
        <v>160</v>
      </c>
      <c r="AD1527" s="75" t="s">
        <v>16</v>
      </c>
      <c r="AE1527" s="95">
        <v>-1</v>
      </c>
      <c r="AF1527" s="75">
        <v>-1</v>
      </c>
      <c r="AG1527" s="75">
        <v>-1</v>
      </c>
      <c r="AH1527" s="75">
        <v>-1</v>
      </c>
      <c r="AI1527" s="75">
        <v>-1</v>
      </c>
      <c r="AJ1527" s="75">
        <v>-1</v>
      </c>
      <c r="AK1527" s="75">
        <v>-1</v>
      </c>
      <c r="AL1527" s="95">
        <v>-1</v>
      </c>
      <c r="AM1527" s="92">
        <v>1</v>
      </c>
      <c r="AN1527" s="79"/>
      <c r="AO1527" s="75">
        <v>0</v>
      </c>
      <c r="AP1527" s="75"/>
      <c r="AQ1527" s="122">
        <v>0</v>
      </c>
      <c r="AR1527" s="515" t="s">
        <v>16</v>
      </c>
      <c r="AS1527" s="95">
        <v>-1</v>
      </c>
      <c r="AT1527" s="75">
        <v>-1</v>
      </c>
      <c r="AU1527" s="75">
        <v>-1</v>
      </c>
      <c r="AV1527" s="75">
        <v>-1</v>
      </c>
      <c r="AW1527" s="123">
        <v>1</v>
      </c>
      <c r="AX1527" s="516"/>
      <c r="AY1527" s="75">
        <v>0</v>
      </c>
      <c r="AZ1527" s="77" t="s">
        <v>5971</v>
      </c>
      <c r="BA1527" s="78" t="s">
        <v>5971</v>
      </c>
      <c r="BB1527" s="78" t="s">
        <v>5971</v>
      </c>
      <c r="BC1527" s="78" t="s">
        <v>5971</v>
      </c>
      <c r="BD1527" s="78" t="s">
        <v>5971</v>
      </c>
      <c r="BE1527" s="78" t="s">
        <v>5971</v>
      </c>
      <c r="BF1527" s="78" t="s">
        <v>5971</v>
      </c>
      <c r="BG1527" s="78" t="s">
        <v>5971</v>
      </c>
      <c r="BH1527" s="75" t="s">
        <v>5971</v>
      </c>
      <c r="BI1527" s="295" t="s">
        <v>2247</v>
      </c>
      <c r="BJ1527" s="546">
        <v>1</v>
      </c>
      <c r="BK1527" s="294">
        <v>1</v>
      </c>
      <c r="BL1527" s="157">
        <v>1</v>
      </c>
      <c r="BM1527" s="548" t="s">
        <v>578</v>
      </c>
      <c r="BN1527" s="548" t="s">
        <v>578</v>
      </c>
      <c r="BO1527" s="157" t="s">
        <v>4318</v>
      </c>
      <c r="BP1527" s="548" t="s">
        <v>4439</v>
      </c>
      <c r="BQ1527" s="157" t="s">
        <v>4316</v>
      </c>
      <c r="BR1527" s="157"/>
    </row>
    <row r="1528" spans="1:70" x14ac:dyDescent="0.25">
      <c r="A1528" s="19" t="s">
        <v>3686</v>
      </c>
      <c r="B1528" s="37" t="s">
        <v>1766</v>
      </c>
      <c r="C1528" s="90">
        <v>44738.945</v>
      </c>
      <c r="D1528" s="114">
        <v>44738.695</v>
      </c>
      <c r="E1528" s="38">
        <v>44738</v>
      </c>
      <c r="F1528" s="91">
        <v>2022</v>
      </c>
      <c r="G1528" s="93">
        <v>6</v>
      </c>
      <c r="H1528" s="37" t="s">
        <v>1410</v>
      </c>
      <c r="I1528" s="37" t="s">
        <v>1411</v>
      </c>
      <c r="J1528" s="103">
        <v>-93.231903405608918</v>
      </c>
      <c r="K1528" s="40">
        <v>44.846789023085101</v>
      </c>
      <c r="L1528" s="74"/>
      <c r="M1528" s="272" t="s">
        <v>16</v>
      </c>
      <c r="N1528" s="74">
        <v>0</v>
      </c>
      <c r="O1528" s="94"/>
      <c r="P1528" s="118">
        <v>1</v>
      </c>
      <c r="Q1528" s="510">
        <v>180</v>
      </c>
      <c r="R1528" s="513">
        <v>180</v>
      </c>
      <c r="S1528" s="41"/>
      <c r="T1528" s="40"/>
      <c r="U1528" s="40">
        <v>8</v>
      </c>
      <c r="V1528" s="119">
        <v>1</v>
      </c>
      <c r="W1528" s="40">
        <v>0</v>
      </c>
      <c r="X1528" s="119">
        <v>1</v>
      </c>
      <c r="Y1528" s="40">
        <v>60</v>
      </c>
      <c r="Z1528" s="119">
        <v>1</v>
      </c>
      <c r="AA1528" s="368">
        <v>0</v>
      </c>
      <c r="AB1528" s="535">
        <v>0</v>
      </c>
      <c r="AC1528" s="39" t="s">
        <v>160</v>
      </c>
      <c r="AD1528" s="75" t="s">
        <v>10</v>
      </c>
      <c r="AE1528" s="95">
        <v>0</v>
      </c>
      <c r="AF1528" s="75">
        <v>0</v>
      </c>
      <c r="AG1528" s="75">
        <v>0</v>
      </c>
      <c r="AH1528" s="75">
        <v>0</v>
      </c>
      <c r="AI1528" s="75">
        <v>0</v>
      </c>
      <c r="AJ1528" s="75">
        <v>0</v>
      </c>
      <c r="AK1528" s="75">
        <v>0</v>
      </c>
      <c r="AL1528" s="95">
        <v>1</v>
      </c>
      <c r="AM1528" s="92">
        <v>0</v>
      </c>
      <c r="AN1528" s="79" t="s">
        <v>195</v>
      </c>
      <c r="AO1528" s="75">
        <v>1</v>
      </c>
      <c r="AP1528" s="75" t="s">
        <v>83</v>
      </c>
      <c r="AQ1528" s="122">
        <v>1</v>
      </c>
      <c r="AR1528" s="515" t="s">
        <v>10</v>
      </c>
      <c r="AS1528" s="95">
        <v>0</v>
      </c>
      <c r="AT1528" s="75">
        <v>0</v>
      </c>
      <c r="AU1528" s="75">
        <v>0</v>
      </c>
      <c r="AV1528" s="75">
        <v>0</v>
      </c>
      <c r="AW1528" s="123">
        <v>0</v>
      </c>
      <c r="AX1528" s="516"/>
      <c r="AY1528" s="75">
        <v>0</v>
      </c>
      <c r="AZ1528" s="77" t="s">
        <v>131</v>
      </c>
      <c r="BA1528" s="78" t="s">
        <v>131</v>
      </c>
      <c r="BB1528" s="78" t="s">
        <v>131</v>
      </c>
      <c r="BC1528" s="78" t="s">
        <v>131</v>
      </c>
      <c r="BD1528" s="78" t="s">
        <v>131</v>
      </c>
      <c r="BE1528" s="78" t="s">
        <v>131</v>
      </c>
      <c r="BF1528" s="78" t="s">
        <v>131</v>
      </c>
      <c r="BG1528" s="78" t="s">
        <v>132</v>
      </c>
      <c r="BH1528" s="75" t="s">
        <v>5970</v>
      </c>
      <c r="BI1528" s="295" t="s">
        <v>16</v>
      </c>
      <c r="BJ1528" s="546" t="s">
        <v>16</v>
      </c>
      <c r="BK1528" s="294" t="s">
        <v>16</v>
      </c>
      <c r="BL1528" s="157" t="s">
        <v>16</v>
      </c>
      <c r="BM1528" s="548" t="s">
        <v>2343</v>
      </c>
      <c r="BN1528" s="548" t="s">
        <v>4161</v>
      </c>
      <c r="BO1528" s="157" t="s">
        <v>4327</v>
      </c>
      <c r="BP1528" s="548" t="s">
        <v>4314</v>
      </c>
      <c r="BQ1528" s="157" t="s">
        <v>4312</v>
      </c>
      <c r="BR1528" s="157"/>
    </row>
    <row r="1529" spans="1:70" x14ac:dyDescent="0.25">
      <c r="A1529" s="19" t="s">
        <v>3686</v>
      </c>
      <c r="B1529" s="37" t="s">
        <v>1767</v>
      </c>
      <c r="C1529" s="90">
        <v>44736.753912037035</v>
      </c>
      <c r="D1529" s="114">
        <v>44736.503912037035</v>
      </c>
      <c r="E1529" s="38">
        <v>44736</v>
      </c>
      <c r="F1529" s="91">
        <v>2022</v>
      </c>
      <c r="G1529" s="93">
        <v>6</v>
      </c>
      <c r="H1529" s="37" t="s">
        <v>617</v>
      </c>
      <c r="I1529" s="37" t="s">
        <v>2362</v>
      </c>
      <c r="J1529" s="103">
        <v>-92.28419197166312</v>
      </c>
      <c r="K1529" s="40">
        <v>44.542264110928137</v>
      </c>
      <c r="L1529" s="74"/>
      <c r="M1529" s="272" t="s">
        <v>16</v>
      </c>
      <c r="N1529" s="74">
        <v>0</v>
      </c>
      <c r="O1529" s="94"/>
      <c r="P1529" s="118">
        <v>1</v>
      </c>
      <c r="Q1529" s="510">
        <v>120</v>
      </c>
      <c r="R1529" s="513">
        <v>120</v>
      </c>
      <c r="S1529" s="41"/>
      <c r="T1529" s="40"/>
      <c r="U1529" s="40">
        <v>7.5</v>
      </c>
      <c r="V1529" s="119">
        <v>1</v>
      </c>
      <c r="W1529" s="40">
        <v>0</v>
      </c>
      <c r="X1529" s="119">
        <v>1</v>
      </c>
      <c r="Y1529" s="40">
        <v>58</v>
      </c>
      <c r="Z1529" s="119">
        <v>0</v>
      </c>
      <c r="AA1529" s="368" t="s">
        <v>16</v>
      </c>
      <c r="AB1529" s="535" t="s">
        <v>16</v>
      </c>
      <c r="AC1529" s="39" t="s">
        <v>160</v>
      </c>
      <c r="AD1529" s="75" t="s">
        <v>16</v>
      </c>
      <c r="AE1529" s="95">
        <v>-1</v>
      </c>
      <c r="AF1529" s="75">
        <v>-1</v>
      </c>
      <c r="AG1529" s="75">
        <v>-1</v>
      </c>
      <c r="AH1529" s="75">
        <v>-1</v>
      </c>
      <c r="AI1529" s="75">
        <v>-1</v>
      </c>
      <c r="AJ1529" s="75">
        <v>-1</v>
      </c>
      <c r="AK1529" s="75">
        <v>-1</v>
      </c>
      <c r="AL1529" s="95">
        <v>-1</v>
      </c>
      <c r="AM1529" s="92">
        <v>1</v>
      </c>
      <c r="AN1529" s="79" t="s">
        <v>81</v>
      </c>
      <c r="AO1529" s="75">
        <v>1</v>
      </c>
      <c r="AP1529" s="75" t="s">
        <v>83</v>
      </c>
      <c r="AQ1529" s="122">
        <v>1</v>
      </c>
      <c r="AR1529" s="515" t="s">
        <v>16</v>
      </c>
      <c r="AS1529" s="95">
        <v>-1</v>
      </c>
      <c r="AT1529" s="75">
        <v>-1</v>
      </c>
      <c r="AU1529" s="75">
        <v>-1</v>
      </c>
      <c r="AV1529" s="75">
        <v>-1</v>
      </c>
      <c r="AW1529" s="123">
        <v>1</v>
      </c>
      <c r="AX1529" s="516"/>
      <c r="AY1529" s="75">
        <v>0</v>
      </c>
      <c r="AZ1529" s="77" t="s">
        <v>5971</v>
      </c>
      <c r="BA1529" s="78" t="s">
        <v>5971</v>
      </c>
      <c r="BB1529" s="78" t="s">
        <v>5971</v>
      </c>
      <c r="BC1529" s="78" t="s">
        <v>5971</v>
      </c>
      <c r="BD1529" s="78" t="s">
        <v>5971</v>
      </c>
      <c r="BE1529" s="78" t="s">
        <v>5971</v>
      </c>
      <c r="BF1529" s="78" t="s">
        <v>5971</v>
      </c>
      <c r="BG1529" s="78" t="s">
        <v>5971</v>
      </c>
      <c r="BH1529" s="75" t="s">
        <v>5971</v>
      </c>
      <c r="BI1529" s="295" t="s">
        <v>2261</v>
      </c>
      <c r="BJ1529" s="546">
        <v>1</v>
      </c>
      <c r="BK1529" s="294">
        <v>1</v>
      </c>
      <c r="BL1529" s="157">
        <v>1</v>
      </c>
      <c r="BM1529" s="548" t="s">
        <v>1340</v>
      </c>
      <c r="BN1529" s="548" t="s">
        <v>578</v>
      </c>
      <c r="BO1529" s="157" t="s">
        <v>4268</v>
      </c>
      <c r="BP1529" s="548" t="s">
        <v>2261</v>
      </c>
      <c r="BQ1529" s="157" t="s">
        <v>4214</v>
      </c>
      <c r="BR1529" s="157"/>
    </row>
    <row r="1530" spans="1:70" x14ac:dyDescent="0.25">
      <c r="A1530" s="19" t="s">
        <v>3686</v>
      </c>
      <c r="B1530" s="37" t="s">
        <v>1768</v>
      </c>
      <c r="C1530" s="90">
        <v>44736.692847222221</v>
      </c>
      <c r="D1530" s="114">
        <v>44736.442847222221</v>
      </c>
      <c r="E1530" s="38">
        <v>44736</v>
      </c>
      <c r="F1530" s="91">
        <v>2022</v>
      </c>
      <c r="G1530" s="93">
        <v>6</v>
      </c>
      <c r="H1530" s="37" t="s">
        <v>1386</v>
      </c>
      <c r="I1530" s="37" t="s">
        <v>16</v>
      </c>
      <c r="J1530" s="103">
        <v>-92.344028100000003</v>
      </c>
      <c r="K1530" s="40">
        <v>43.602170100000002</v>
      </c>
      <c r="L1530" s="74"/>
      <c r="M1530" s="272" t="s">
        <v>16</v>
      </c>
      <c r="N1530" s="74">
        <v>0</v>
      </c>
      <c r="O1530" s="94"/>
      <c r="P1530" s="118">
        <v>1</v>
      </c>
      <c r="Q1530" s="510">
        <v>80</v>
      </c>
      <c r="R1530" s="513">
        <v>120</v>
      </c>
      <c r="S1530" s="41"/>
      <c r="T1530" s="40"/>
      <c r="U1530" s="40">
        <v>7.5</v>
      </c>
      <c r="V1530" s="119">
        <v>1</v>
      </c>
      <c r="W1530" s="40">
        <v>100</v>
      </c>
      <c r="X1530" s="119">
        <v>1</v>
      </c>
      <c r="Y1530" s="40">
        <v>68</v>
      </c>
      <c r="Z1530" s="119">
        <v>1</v>
      </c>
      <c r="AA1530" s="368">
        <v>0</v>
      </c>
      <c r="AB1530" s="535">
        <v>5</v>
      </c>
      <c r="AC1530" s="39" t="s">
        <v>160</v>
      </c>
      <c r="AD1530" s="75" t="s">
        <v>10</v>
      </c>
      <c r="AE1530" s="95">
        <v>0</v>
      </c>
      <c r="AF1530" s="75">
        <v>0</v>
      </c>
      <c r="AG1530" s="75">
        <v>0</v>
      </c>
      <c r="AH1530" s="75">
        <v>0</v>
      </c>
      <c r="AI1530" s="75">
        <v>0</v>
      </c>
      <c r="AJ1530" s="75">
        <v>0</v>
      </c>
      <c r="AK1530" s="75">
        <v>0</v>
      </c>
      <c r="AL1530" s="95">
        <v>1</v>
      </c>
      <c r="AM1530" s="92">
        <v>0</v>
      </c>
      <c r="AN1530" s="79" t="s">
        <v>80</v>
      </c>
      <c r="AO1530" s="75">
        <v>1</v>
      </c>
      <c r="AP1530" s="75" t="s">
        <v>83</v>
      </c>
      <c r="AQ1530" s="122">
        <v>1</v>
      </c>
      <c r="AR1530" s="515" t="s">
        <v>10</v>
      </c>
      <c r="AS1530" s="95">
        <v>0</v>
      </c>
      <c r="AT1530" s="75">
        <v>0</v>
      </c>
      <c r="AU1530" s="75">
        <v>0</v>
      </c>
      <c r="AV1530" s="75">
        <v>0</v>
      </c>
      <c r="AW1530" s="123">
        <v>0</v>
      </c>
      <c r="AX1530" s="516"/>
      <c r="AY1530" s="75">
        <v>0</v>
      </c>
      <c r="AZ1530" s="77" t="s">
        <v>131</v>
      </c>
      <c r="BA1530" s="78" t="s">
        <v>131</v>
      </c>
      <c r="BB1530" s="78" t="s">
        <v>131</v>
      </c>
      <c r="BC1530" s="78" t="s">
        <v>131</v>
      </c>
      <c r="BD1530" s="78" t="s">
        <v>131</v>
      </c>
      <c r="BE1530" s="78" t="s">
        <v>131</v>
      </c>
      <c r="BF1530" s="78" t="s">
        <v>131</v>
      </c>
      <c r="BG1530" s="78" t="s">
        <v>132</v>
      </c>
      <c r="BH1530" s="75" t="s">
        <v>5970</v>
      </c>
      <c r="BI1530" s="295" t="s">
        <v>2294</v>
      </c>
      <c r="BJ1530" s="546">
        <v>1</v>
      </c>
      <c r="BK1530" s="294" t="s">
        <v>16</v>
      </c>
      <c r="BL1530" s="157" t="s">
        <v>16</v>
      </c>
      <c r="BM1530" s="548" t="s">
        <v>1339</v>
      </c>
      <c r="BN1530" s="548" t="s">
        <v>1339</v>
      </c>
      <c r="BO1530" s="157" t="s">
        <v>4230</v>
      </c>
      <c r="BP1530" s="548" t="s">
        <v>4231</v>
      </c>
      <c r="BQ1530" s="157" t="s">
        <v>4229</v>
      </c>
      <c r="BR1530" s="157"/>
    </row>
    <row r="1531" spans="1:70" x14ac:dyDescent="0.25">
      <c r="A1531" s="19" t="s">
        <v>3686</v>
      </c>
      <c r="B1531" s="37" t="s">
        <v>1769</v>
      </c>
      <c r="C1531" s="90">
        <v>44736.634560185186</v>
      </c>
      <c r="D1531" s="114">
        <v>44736.384560185186</v>
      </c>
      <c r="E1531" s="38">
        <v>44736</v>
      </c>
      <c r="F1531" s="91">
        <v>2022</v>
      </c>
      <c r="G1531" s="93">
        <v>6</v>
      </c>
      <c r="H1531" s="37" t="s">
        <v>302</v>
      </c>
      <c r="I1531" s="37"/>
      <c r="J1531" s="103">
        <v>-91.832016712467862</v>
      </c>
      <c r="K1531" s="40">
        <v>43.917187196852197</v>
      </c>
      <c r="L1531" s="74"/>
      <c r="M1531" s="272" t="s">
        <v>16</v>
      </c>
      <c r="N1531" s="74">
        <v>0</v>
      </c>
      <c r="O1531" s="94"/>
      <c r="P1531" s="118">
        <v>1</v>
      </c>
      <c r="Q1531" s="510">
        <v>180</v>
      </c>
      <c r="R1531" s="513">
        <v>180</v>
      </c>
      <c r="S1531" s="41"/>
      <c r="T1531" s="40"/>
      <c r="U1531" s="40">
        <v>7</v>
      </c>
      <c r="V1531" s="119">
        <v>1</v>
      </c>
      <c r="W1531" s="40">
        <v>200</v>
      </c>
      <c r="X1531" s="119">
        <v>0</v>
      </c>
      <c r="Y1531" s="40"/>
      <c r="Z1531" s="119">
        <v>1</v>
      </c>
      <c r="AA1531" s="368">
        <v>0</v>
      </c>
      <c r="AB1531" s="535">
        <v>5</v>
      </c>
      <c r="AC1531" s="39" t="s">
        <v>160</v>
      </c>
      <c r="AD1531" s="75" t="s">
        <v>439</v>
      </c>
      <c r="AE1531" s="95">
        <v>0</v>
      </c>
      <c r="AF1531" s="75">
        <v>1</v>
      </c>
      <c r="AG1531" s="75">
        <v>0</v>
      </c>
      <c r="AH1531" s="75">
        <v>0</v>
      </c>
      <c r="AI1531" s="75">
        <v>1</v>
      </c>
      <c r="AJ1531" s="75">
        <v>0</v>
      </c>
      <c r="AK1531" s="75">
        <v>0</v>
      </c>
      <c r="AL1531" s="95">
        <v>0</v>
      </c>
      <c r="AM1531" s="92">
        <v>0</v>
      </c>
      <c r="AN1531" s="79" t="s">
        <v>80</v>
      </c>
      <c r="AO1531" s="75">
        <v>1</v>
      </c>
      <c r="AP1531" s="75" t="s">
        <v>83</v>
      </c>
      <c r="AQ1531" s="122">
        <v>1</v>
      </c>
      <c r="AR1531" s="515" t="s">
        <v>10</v>
      </c>
      <c r="AS1531" s="95">
        <v>0</v>
      </c>
      <c r="AT1531" s="75">
        <v>0</v>
      </c>
      <c r="AU1531" s="75">
        <v>0</v>
      </c>
      <c r="AV1531" s="75">
        <v>0</v>
      </c>
      <c r="AW1531" s="123">
        <v>0</v>
      </c>
      <c r="AX1531" s="516" t="s">
        <v>1770</v>
      </c>
      <c r="AY1531" s="75">
        <v>1</v>
      </c>
      <c r="AZ1531" s="77" t="s">
        <v>131</v>
      </c>
      <c r="BA1531" s="78" t="s">
        <v>132</v>
      </c>
      <c r="BB1531" s="78" t="s">
        <v>131</v>
      </c>
      <c r="BC1531" s="78" t="s">
        <v>131</v>
      </c>
      <c r="BD1531" s="78" t="s">
        <v>132</v>
      </c>
      <c r="BE1531" s="78" t="s">
        <v>131</v>
      </c>
      <c r="BF1531" s="78" t="s">
        <v>131</v>
      </c>
      <c r="BG1531" s="78" t="s">
        <v>131</v>
      </c>
      <c r="BH1531" s="75" t="s">
        <v>5970</v>
      </c>
      <c r="BI1531" s="295" t="s">
        <v>2250</v>
      </c>
      <c r="BJ1531" s="546">
        <v>1</v>
      </c>
      <c r="BK1531" s="294">
        <v>1</v>
      </c>
      <c r="BL1531" s="157">
        <v>1</v>
      </c>
      <c r="BM1531" s="548" t="s">
        <v>1341</v>
      </c>
      <c r="BN1531" s="548" t="s">
        <v>4160</v>
      </c>
      <c r="BO1531" s="157" t="s">
        <v>4636</v>
      </c>
      <c r="BP1531" s="548" t="s">
        <v>4637</v>
      </c>
      <c r="BQ1531" s="157" t="s">
        <v>4635</v>
      </c>
      <c r="BR1531" s="157"/>
    </row>
    <row r="1532" spans="1:70" x14ac:dyDescent="0.25">
      <c r="A1532" s="19" t="s">
        <v>3686</v>
      </c>
      <c r="B1532" s="37" t="s">
        <v>1771</v>
      </c>
      <c r="C1532" s="90">
        <v>44736.576238425929</v>
      </c>
      <c r="D1532" s="114">
        <v>44736.326238425929</v>
      </c>
      <c r="E1532" s="38">
        <v>44736</v>
      </c>
      <c r="F1532" s="91">
        <v>2022</v>
      </c>
      <c r="G1532" s="93">
        <v>6</v>
      </c>
      <c r="H1532" s="37" t="s">
        <v>1514</v>
      </c>
      <c r="I1532" s="37" t="s">
        <v>1772</v>
      </c>
      <c r="J1532" s="103">
        <v>-92.189632850405545</v>
      </c>
      <c r="K1532" s="40">
        <v>44.63279593099579</v>
      </c>
      <c r="L1532" s="74"/>
      <c r="M1532" s="272" t="s">
        <v>16</v>
      </c>
      <c r="N1532" s="74">
        <v>0</v>
      </c>
      <c r="O1532" s="94"/>
      <c r="P1532" s="118">
        <v>1</v>
      </c>
      <c r="Q1532" s="510">
        <v>180</v>
      </c>
      <c r="R1532" s="513">
        <v>180</v>
      </c>
      <c r="S1532" s="41"/>
      <c r="T1532" s="40"/>
      <c r="U1532" s="40">
        <v>7</v>
      </c>
      <c r="V1532" s="119">
        <v>1</v>
      </c>
      <c r="W1532" s="40">
        <v>0</v>
      </c>
      <c r="X1532" s="119">
        <v>1</v>
      </c>
      <c r="Y1532" s="40">
        <v>57</v>
      </c>
      <c r="Z1532" s="119">
        <v>1</v>
      </c>
      <c r="AA1532" s="368">
        <v>0</v>
      </c>
      <c r="AB1532" s="535">
        <v>2</v>
      </c>
      <c r="AC1532" s="39" t="s">
        <v>160</v>
      </c>
      <c r="AD1532" s="75" t="s">
        <v>16</v>
      </c>
      <c r="AE1532" s="95">
        <v>-1</v>
      </c>
      <c r="AF1532" s="75">
        <v>-1</v>
      </c>
      <c r="AG1532" s="75">
        <v>-1</v>
      </c>
      <c r="AH1532" s="75">
        <v>-1</v>
      </c>
      <c r="AI1532" s="75">
        <v>-1</v>
      </c>
      <c r="AJ1532" s="75">
        <v>-1</v>
      </c>
      <c r="AK1532" s="75">
        <v>-1</v>
      </c>
      <c r="AL1532" s="95">
        <v>-1</v>
      </c>
      <c r="AM1532" s="92">
        <v>1</v>
      </c>
      <c r="AN1532" s="79" t="s">
        <v>81</v>
      </c>
      <c r="AO1532" s="75">
        <v>1</v>
      </c>
      <c r="AP1532" s="75" t="s">
        <v>83</v>
      </c>
      <c r="AQ1532" s="122">
        <v>1</v>
      </c>
      <c r="AR1532" s="515" t="s">
        <v>10</v>
      </c>
      <c r="AS1532" s="95">
        <v>0</v>
      </c>
      <c r="AT1532" s="75">
        <v>0</v>
      </c>
      <c r="AU1532" s="75">
        <v>0</v>
      </c>
      <c r="AV1532" s="75">
        <v>0</v>
      </c>
      <c r="AW1532" s="123">
        <v>0</v>
      </c>
      <c r="AX1532" s="516"/>
      <c r="AY1532" s="75">
        <v>0</v>
      </c>
      <c r="AZ1532" s="77" t="s">
        <v>5971</v>
      </c>
      <c r="BA1532" s="78" t="s">
        <v>5971</v>
      </c>
      <c r="BB1532" s="78" t="s">
        <v>5971</v>
      </c>
      <c r="BC1532" s="78" t="s">
        <v>5971</v>
      </c>
      <c r="BD1532" s="78" t="s">
        <v>5971</v>
      </c>
      <c r="BE1532" s="78" t="s">
        <v>5971</v>
      </c>
      <c r="BF1532" s="78" t="s">
        <v>5971</v>
      </c>
      <c r="BG1532" s="78" t="s">
        <v>5971</v>
      </c>
      <c r="BH1532" s="75" t="s">
        <v>5971</v>
      </c>
      <c r="BI1532" s="295" t="s">
        <v>16</v>
      </c>
      <c r="BJ1532" s="546">
        <v>1</v>
      </c>
      <c r="BK1532" s="294">
        <v>1</v>
      </c>
      <c r="BL1532" s="157">
        <v>1</v>
      </c>
      <c r="BM1532" s="548" t="s">
        <v>578</v>
      </c>
      <c r="BN1532" s="548" t="s">
        <v>578</v>
      </c>
      <c r="BO1532" s="157" t="s">
        <v>4218</v>
      </c>
      <c r="BP1532" s="548" t="s">
        <v>4221</v>
      </c>
      <c r="BQ1532" s="157" t="s">
        <v>4217</v>
      </c>
      <c r="BR1532" s="157"/>
    </row>
    <row r="1533" spans="1:70" x14ac:dyDescent="0.25">
      <c r="A1533" s="19" t="s">
        <v>3686</v>
      </c>
      <c r="B1533" s="37" t="s">
        <v>1773</v>
      </c>
      <c r="C1533" s="90">
        <v>44736.551493055558</v>
      </c>
      <c r="D1533" s="114">
        <v>44736.301493055558</v>
      </c>
      <c r="E1533" s="38">
        <v>44736</v>
      </c>
      <c r="F1533" s="91">
        <v>2022</v>
      </c>
      <c r="G1533" s="93">
        <v>6</v>
      </c>
      <c r="H1533" s="37" t="s">
        <v>1514</v>
      </c>
      <c r="I1533" s="37" t="s">
        <v>368</v>
      </c>
      <c r="J1533" s="103">
        <v>-92.331501746575753</v>
      </c>
      <c r="K1533" s="40">
        <v>44.746147238659368</v>
      </c>
      <c r="L1533" s="74"/>
      <c r="M1533" s="272" t="s">
        <v>16</v>
      </c>
      <c r="N1533" s="74">
        <v>0</v>
      </c>
      <c r="O1533" s="94"/>
      <c r="P1533" s="118">
        <v>1</v>
      </c>
      <c r="Q1533" s="510">
        <v>180</v>
      </c>
      <c r="R1533" s="513">
        <v>120</v>
      </c>
      <c r="S1533" s="41"/>
      <c r="T1533" s="40"/>
      <c r="U1533" s="40">
        <v>7</v>
      </c>
      <c r="V1533" s="119">
        <v>1</v>
      </c>
      <c r="W1533" s="40">
        <v>0</v>
      </c>
      <c r="X1533" s="119">
        <v>1</v>
      </c>
      <c r="Y1533" s="40">
        <v>65</v>
      </c>
      <c r="Z1533" s="119">
        <v>1</v>
      </c>
      <c r="AA1533" s="368">
        <v>0</v>
      </c>
      <c r="AB1533" s="535">
        <v>5</v>
      </c>
      <c r="AC1533" s="39" t="s">
        <v>160</v>
      </c>
      <c r="AD1533" s="75" t="s">
        <v>16</v>
      </c>
      <c r="AE1533" s="95">
        <v>-1</v>
      </c>
      <c r="AF1533" s="75">
        <v>-1</v>
      </c>
      <c r="AG1533" s="75">
        <v>-1</v>
      </c>
      <c r="AH1533" s="75">
        <v>-1</v>
      </c>
      <c r="AI1533" s="75">
        <v>-1</v>
      </c>
      <c r="AJ1533" s="75">
        <v>-1</v>
      </c>
      <c r="AK1533" s="75">
        <v>-1</v>
      </c>
      <c r="AL1533" s="95">
        <v>-1</v>
      </c>
      <c r="AM1533" s="92">
        <v>1</v>
      </c>
      <c r="AN1533" s="79" t="s">
        <v>81</v>
      </c>
      <c r="AO1533" s="75">
        <v>1</v>
      </c>
      <c r="AP1533" s="75"/>
      <c r="AQ1533" s="122">
        <v>0</v>
      </c>
      <c r="AR1533" s="515" t="s">
        <v>16</v>
      </c>
      <c r="AS1533" s="95">
        <v>-1</v>
      </c>
      <c r="AT1533" s="75">
        <v>-1</v>
      </c>
      <c r="AU1533" s="75">
        <v>-1</v>
      </c>
      <c r="AV1533" s="75">
        <v>-1</v>
      </c>
      <c r="AW1533" s="123">
        <v>1</v>
      </c>
      <c r="AX1533" s="516"/>
      <c r="AY1533" s="75">
        <v>0</v>
      </c>
      <c r="AZ1533" s="77" t="s">
        <v>5971</v>
      </c>
      <c r="BA1533" s="78" t="s">
        <v>5971</v>
      </c>
      <c r="BB1533" s="78" t="s">
        <v>5971</v>
      </c>
      <c r="BC1533" s="78" t="s">
        <v>5971</v>
      </c>
      <c r="BD1533" s="78" t="s">
        <v>5971</v>
      </c>
      <c r="BE1533" s="78" t="s">
        <v>5971</v>
      </c>
      <c r="BF1533" s="78" t="s">
        <v>5971</v>
      </c>
      <c r="BG1533" s="78" t="s">
        <v>5971</v>
      </c>
      <c r="BH1533" s="75" t="s">
        <v>5971</v>
      </c>
      <c r="BI1533" s="295" t="s">
        <v>2231</v>
      </c>
      <c r="BJ1533" s="546">
        <v>1</v>
      </c>
      <c r="BK1533" s="294">
        <v>1</v>
      </c>
      <c r="BL1533" s="157">
        <v>1</v>
      </c>
      <c r="BM1533" s="548" t="s">
        <v>578</v>
      </c>
      <c r="BN1533" s="548" t="s">
        <v>578</v>
      </c>
      <c r="BO1533" s="157" t="s">
        <v>4213</v>
      </c>
      <c r="BP1533" s="548" t="s">
        <v>4216</v>
      </c>
      <c r="BQ1533" s="157" t="s">
        <v>4212</v>
      </c>
      <c r="BR1533" s="157"/>
    </row>
    <row r="1534" spans="1:70" x14ac:dyDescent="0.25">
      <c r="A1534" s="19" t="s">
        <v>3686</v>
      </c>
      <c r="B1534" s="37" t="s">
        <v>1774</v>
      </c>
      <c r="C1534" s="90">
        <v>44735.906331018516</v>
      </c>
      <c r="D1534" s="114">
        <v>44735.656331018516</v>
      </c>
      <c r="E1534" s="38">
        <v>44735</v>
      </c>
      <c r="F1534" s="91">
        <v>2022</v>
      </c>
      <c r="G1534" s="93">
        <v>6</v>
      </c>
      <c r="H1534" s="37" t="s">
        <v>1364</v>
      </c>
      <c r="I1534" s="37" t="s">
        <v>959</v>
      </c>
      <c r="J1534" s="103">
        <v>-92.597246999999996</v>
      </c>
      <c r="K1534" s="40">
        <v>44.472558599999999</v>
      </c>
      <c r="L1534" s="74"/>
      <c r="M1534" s="272" t="s">
        <v>1775</v>
      </c>
      <c r="N1534" s="74">
        <v>1</v>
      </c>
      <c r="O1534" s="94"/>
      <c r="P1534" s="118">
        <v>1</v>
      </c>
      <c r="Q1534" s="510">
        <v>0</v>
      </c>
      <c r="R1534" s="513">
        <v>60</v>
      </c>
      <c r="S1534" s="41"/>
      <c r="T1534" s="40"/>
      <c r="U1534" s="40">
        <v>7.5</v>
      </c>
      <c r="V1534" s="119">
        <v>1</v>
      </c>
      <c r="W1534" s="40">
        <v>200</v>
      </c>
      <c r="X1534" s="119">
        <v>1</v>
      </c>
      <c r="Y1534" s="40">
        <v>64</v>
      </c>
      <c r="Z1534" s="119">
        <v>1</v>
      </c>
      <c r="AA1534" s="368">
        <v>0</v>
      </c>
      <c r="AB1534" s="535">
        <v>5</v>
      </c>
      <c r="AC1534" s="39" t="s">
        <v>160</v>
      </c>
      <c r="AD1534" s="75" t="s">
        <v>9</v>
      </c>
      <c r="AE1534" s="95">
        <v>0</v>
      </c>
      <c r="AF1534" s="75">
        <v>0</v>
      </c>
      <c r="AG1534" s="75">
        <v>1</v>
      </c>
      <c r="AH1534" s="75">
        <v>0</v>
      </c>
      <c r="AI1534" s="75">
        <v>0</v>
      </c>
      <c r="AJ1534" s="75">
        <v>0</v>
      </c>
      <c r="AK1534" s="75">
        <v>0</v>
      </c>
      <c r="AL1534" s="95">
        <v>0</v>
      </c>
      <c r="AM1534" s="92">
        <v>0</v>
      </c>
      <c r="AN1534" s="79" t="s">
        <v>80</v>
      </c>
      <c r="AO1534" s="75">
        <v>1</v>
      </c>
      <c r="AP1534" s="75" t="s">
        <v>83</v>
      </c>
      <c r="AQ1534" s="122">
        <v>1</v>
      </c>
      <c r="AR1534" s="515" t="s">
        <v>10</v>
      </c>
      <c r="AS1534" s="95">
        <v>0</v>
      </c>
      <c r="AT1534" s="75">
        <v>0</v>
      </c>
      <c r="AU1534" s="75">
        <v>0</v>
      </c>
      <c r="AV1534" s="75">
        <v>0</v>
      </c>
      <c r="AW1534" s="123">
        <v>0</v>
      </c>
      <c r="AX1534" s="516"/>
      <c r="AY1534" s="75">
        <v>0</v>
      </c>
      <c r="AZ1534" s="77" t="s">
        <v>131</v>
      </c>
      <c r="BA1534" s="78" t="s">
        <v>131</v>
      </c>
      <c r="BB1534" s="78" t="s">
        <v>132</v>
      </c>
      <c r="BC1534" s="78" t="s">
        <v>131</v>
      </c>
      <c r="BD1534" s="78" t="s">
        <v>131</v>
      </c>
      <c r="BE1534" s="78" t="s">
        <v>131</v>
      </c>
      <c r="BF1534" s="78" t="s">
        <v>131</v>
      </c>
      <c r="BG1534" s="78" t="s">
        <v>131</v>
      </c>
      <c r="BH1534" s="75" t="s">
        <v>5970</v>
      </c>
      <c r="BI1534" s="295" t="s">
        <v>2238</v>
      </c>
      <c r="BJ1534" s="546">
        <v>1</v>
      </c>
      <c r="BK1534" s="294" t="s">
        <v>16</v>
      </c>
      <c r="BL1534" s="157" t="s">
        <v>16</v>
      </c>
      <c r="BM1534" s="548" t="s">
        <v>2343</v>
      </c>
      <c r="BN1534" s="548" t="s">
        <v>4161</v>
      </c>
      <c r="BO1534" s="157" t="s">
        <v>4308</v>
      </c>
      <c r="BP1534" s="548" t="s">
        <v>2238</v>
      </c>
      <c r="BQ1534" s="157" t="s">
        <v>4307</v>
      </c>
      <c r="BR1534" s="157"/>
    </row>
    <row r="1535" spans="1:70" x14ac:dyDescent="0.25">
      <c r="A1535" s="19" t="s">
        <v>3686</v>
      </c>
      <c r="B1535" s="37" t="s">
        <v>1776</v>
      </c>
      <c r="C1535" s="90">
        <v>44735.886145833334</v>
      </c>
      <c r="D1535" s="114">
        <v>44735.636145833334</v>
      </c>
      <c r="E1535" s="38">
        <v>44735</v>
      </c>
      <c r="F1535" s="91">
        <v>2022</v>
      </c>
      <c r="G1535" s="93">
        <v>6</v>
      </c>
      <c r="H1535" s="37" t="s">
        <v>1364</v>
      </c>
      <c r="I1535" s="37" t="s">
        <v>958</v>
      </c>
      <c r="J1535" s="103">
        <v>-92.575595000000007</v>
      </c>
      <c r="K1535" s="40">
        <v>44.488368299999998</v>
      </c>
      <c r="L1535" s="74"/>
      <c r="M1535" s="272" t="s">
        <v>16</v>
      </c>
      <c r="N1535" s="74">
        <v>0</v>
      </c>
      <c r="O1535" s="94"/>
      <c r="P1535" s="118">
        <v>1</v>
      </c>
      <c r="Q1535" s="510">
        <v>40</v>
      </c>
      <c r="R1535" s="513">
        <v>0</v>
      </c>
      <c r="S1535" s="41"/>
      <c r="T1535" s="40"/>
      <c r="U1535" s="40">
        <v>7</v>
      </c>
      <c r="V1535" s="119">
        <v>1</v>
      </c>
      <c r="W1535" s="40">
        <v>200</v>
      </c>
      <c r="X1535" s="119">
        <v>1</v>
      </c>
      <c r="Y1535" s="40">
        <v>70</v>
      </c>
      <c r="Z1535" s="119">
        <v>1</v>
      </c>
      <c r="AA1535" s="368">
        <v>0</v>
      </c>
      <c r="AB1535" s="535">
        <v>0</v>
      </c>
      <c r="AC1535" s="39" t="s">
        <v>160</v>
      </c>
      <c r="AD1535" s="75" t="s">
        <v>10</v>
      </c>
      <c r="AE1535" s="95">
        <v>0</v>
      </c>
      <c r="AF1535" s="75">
        <v>0</v>
      </c>
      <c r="AG1535" s="75">
        <v>0</v>
      </c>
      <c r="AH1535" s="75">
        <v>0</v>
      </c>
      <c r="AI1535" s="75">
        <v>0</v>
      </c>
      <c r="AJ1535" s="75">
        <v>0</v>
      </c>
      <c r="AK1535" s="75">
        <v>0</v>
      </c>
      <c r="AL1535" s="95">
        <v>1</v>
      </c>
      <c r="AM1535" s="92">
        <v>0</v>
      </c>
      <c r="AN1535" s="79" t="s">
        <v>80</v>
      </c>
      <c r="AO1535" s="75">
        <v>1</v>
      </c>
      <c r="AP1535" s="75" t="s">
        <v>83</v>
      </c>
      <c r="AQ1535" s="122">
        <v>1</v>
      </c>
      <c r="AR1535" s="515" t="s">
        <v>10</v>
      </c>
      <c r="AS1535" s="95">
        <v>0</v>
      </c>
      <c r="AT1535" s="75">
        <v>0</v>
      </c>
      <c r="AU1535" s="75">
        <v>0</v>
      </c>
      <c r="AV1535" s="75">
        <v>0</v>
      </c>
      <c r="AW1535" s="123">
        <v>0</v>
      </c>
      <c r="AX1535" s="516"/>
      <c r="AY1535" s="75">
        <v>0</v>
      </c>
      <c r="AZ1535" s="77" t="s">
        <v>131</v>
      </c>
      <c r="BA1535" s="78" t="s">
        <v>131</v>
      </c>
      <c r="BB1535" s="78" t="s">
        <v>131</v>
      </c>
      <c r="BC1535" s="78" t="s">
        <v>131</v>
      </c>
      <c r="BD1535" s="78" t="s">
        <v>131</v>
      </c>
      <c r="BE1535" s="78" t="s">
        <v>131</v>
      </c>
      <c r="BF1535" s="78" t="s">
        <v>131</v>
      </c>
      <c r="BG1535" s="78" t="s">
        <v>132</v>
      </c>
      <c r="BH1535" s="75" t="s">
        <v>5970</v>
      </c>
      <c r="BI1535" s="295" t="s">
        <v>2238</v>
      </c>
      <c r="BJ1535" s="546">
        <v>1</v>
      </c>
      <c r="BK1535" s="294" t="s">
        <v>16</v>
      </c>
      <c r="BL1535" s="157" t="s">
        <v>16</v>
      </c>
      <c r="BM1535" s="548" t="s">
        <v>2343</v>
      </c>
      <c r="BN1535" s="548" t="s">
        <v>4161</v>
      </c>
      <c r="BO1535" s="157" t="s">
        <v>4308</v>
      </c>
      <c r="BP1535" s="548" t="s">
        <v>2238</v>
      </c>
      <c r="BQ1535" s="157" t="s">
        <v>4307</v>
      </c>
      <c r="BR1535" s="157"/>
    </row>
    <row r="1536" spans="1:70" x14ac:dyDescent="0.25">
      <c r="A1536" s="19" t="s">
        <v>3686</v>
      </c>
      <c r="B1536" s="37" t="s">
        <v>1777</v>
      </c>
      <c r="C1536" s="90">
        <v>44734.806458333333</v>
      </c>
      <c r="D1536" s="114">
        <v>44734.556458333333</v>
      </c>
      <c r="E1536" s="38">
        <v>44734</v>
      </c>
      <c r="F1536" s="91">
        <v>2022</v>
      </c>
      <c r="G1536" s="93">
        <v>6</v>
      </c>
      <c r="H1536" s="37" t="s">
        <v>624</v>
      </c>
      <c r="I1536" s="37" t="s">
        <v>16</v>
      </c>
      <c r="J1536" s="103">
        <v>-91.975195384232677</v>
      </c>
      <c r="K1536" s="40">
        <v>44.050649306138013</v>
      </c>
      <c r="L1536" s="74"/>
      <c r="M1536" s="272" t="s">
        <v>16</v>
      </c>
      <c r="N1536" s="74">
        <v>0</v>
      </c>
      <c r="O1536" s="94"/>
      <c r="P1536" s="118">
        <v>1</v>
      </c>
      <c r="Q1536" s="510">
        <v>180</v>
      </c>
      <c r="R1536" s="513">
        <v>180</v>
      </c>
      <c r="S1536" s="41"/>
      <c r="T1536" s="40"/>
      <c r="U1536" s="40">
        <v>9</v>
      </c>
      <c r="V1536" s="119">
        <v>1</v>
      </c>
      <c r="W1536" s="40">
        <v>0</v>
      </c>
      <c r="X1536" s="119">
        <v>1</v>
      </c>
      <c r="Y1536" s="40">
        <v>69</v>
      </c>
      <c r="Z1536" s="119">
        <v>0</v>
      </c>
      <c r="AA1536" s="368" t="s">
        <v>16</v>
      </c>
      <c r="AB1536" s="535" t="s">
        <v>16</v>
      </c>
      <c r="AC1536" s="39" t="s">
        <v>160</v>
      </c>
      <c r="AD1536" s="75" t="s">
        <v>10</v>
      </c>
      <c r="AE1536" s="95">
        <v>0</v>
      </c>
      <c r="AF1536" s="75">
        <v>0</v>
      </c>
      <c r="AG1536" s="75">
        <v>0</v>
      </c>
      <c r="AH1536" s="75">
        <v>0</v>
      </c>
      <c r="AI1536" s="75">
        <v>0</v>
      </c>
      <c r="AJ1536" s="75">
        <v>0</v>
      </c>
      <c r="AK1536" s="75">
        <v>0</v>
      </c>
      <c r="AL1536" s="95">
        <v>1</v>
      </c>
      <c r="AM1536" s="92">
        <v>0</v>
      </c>
      <c r="AN1536" s="79" t="s">
        <v>80</v>
      </c>
      <c r="AO1536" s="75">
        <v>1</v>
      </c>
      <c r="AP1536" s="75" t="s">
        <v>83</v>
      </c>
      <c r="AQ1536" s="122">
        <v>1</v>
      </c>
      <c r="AR1536" s="515" t="s">
        <v>10</v>
      </c>
      <c r="AS1536" s="95">
        <v>0</v>
      </c>
      <c r="AT1536" s="75">
        <v>0</v>
      </c>
      <c r="AU1536" s="75">
        <v>0</v>
      </c>
      <c r="AV1536" s="75">
        <v>0</v>
      </c>
      <c r="AW1536" s="123">
        <v>0</v>
      </c>
      <c r="AX1536" s="516"/>
      <c r="AY1536" s="75">
        <v>0</v>
      </c>
      <c r="AZ1536" s="77" t="s">
        <v>131</v>
      </c>
      <c r="BA1536" s="78" t="s">
        <v>131</v>
      </c>
      <c r="BB1536" s="78" t="s">
        <v>131</v>
      </c>
      <c r="BC1536" s="78" t="s">
        <v>131</v>
      </c>
      <c r="BD1536" s="78" t="s">
        <v>131</v>
      </c>
      <c r="BE1536" s="78" t="s">
        <v>131</v>
      </c>
      <c r="BF1536" s="78" t="s">
        <v>131</v>
      </c>
      <c r="BG1536" s="78" t="s">
        <v>132</v>
      </c>
      <c r="BH1536" s="75" t="s">
        <v>5970</v>
      </c>
      <c r="BI1536" s="295" t="s">
        <v>2255</v>
      </c>
      <c r="BJ1536" s="546">
        <v>1</v>
      </c>
      <c r="BK1536" s="294" t="s">
        <v>16</v>
      </c>
      <c r="BL1536" s="157" t="s">
        <v>16</v>
      </c>
      <c r="BM1536" s="548" t="s">
        <v>1341</v>
      </c>
      <c r="BN1536" s="548" t="s">
        <v>4161</v>
      </c>
      <c r="BO1536" s="157" t="s">
        <v>4362</v>
      </c>
      <c r="BP1536" s="548" t="s">
        <v>4363</v>
      </c>
      <c r="BQ1536" s="157" t="s">
        <v>4361</v>
      </c>
      <c r="BR1536" s="157"/>
    </row>
    <row r="1537" spans="1:70" x14ac:dyDescent="0.25">
      <c r="A1537" s="19" t="s">
        <v>3686</v>
      </c>
      <c r="B1537" s="37" t="s">
        <v>1778</v>
      </c>
      <c r="C1537" s="90">
        <v>44734.008148148147</v>
      </c>
      <c r="D1537" s="114">
        <v>44733.758148148147</v>
      </c>
      <c r="E1537" s="38">
        <v>44733</v>
      </c>
      <c r="F1537" s="91">
        <v>2022</v>
      </c>
      <c r="G1537" s="93">
        <v>6</v>
      </c>
      <c r="H1537" s="37" t="s">
        <v>201</v>
      </c>
      <c r="I1537" s="37"/>
      <c r="J1537" s="103">
        <v>-92.732048062095004</v>
      </c>
      <c r="K1537" s="40">
        <v>44.831138721040695</v>
      </c>
      <c r="L1537" s="74"/>
      <c r="M1537" s="272" t="s">
        <v>16</v>
      </c>
      <c r="N1537" s="74">
        <v>0</v>
      </c>
      <c r="O1537" s="94"/>
      <c r="P1537" s="118">
        <v>1</v>
      </c>
      <c r="Q1537" s="510">
        <v>180</v>
      </c>
      <c r="R1537" s="513">
        <v>180</v>
      </c>
      <c r="S1537" s="41"/>
      <c r="T1537" s="40"/>
      <c r="U1537" s="40">
        <v>8</v>
      </c>
      <c r="V1537" s="119">
        <v>1</v>
      </c>
      <c r="W1537" s="40">
        <v>100</v>
      </c>
      <c r="X1537" s="119">
        <v>1</v>
      </c>
      <c r="Y1537" s="40">
        <v>74</v>
      </c>
      <c r="Z1537" s="119">
        <v>1</v>
      </c>
      <c r="AA1537" s="368">
        <v>0</v>
      </c>
      <c r="AB1537" s="535">
        <v>5</v>
      </c>
      <c r="AC1537" s="39" t="s">
        <v>160</v>
      </c>
      <c r="AD1537" s="75" t="s">
        <v>8</v>
      </c>
      <c r="AE1537" s="95">
        <v>0</v>
      </c>
      <c r="AF1537" s="75">
        <v>1</v>
      </c>
      <c r="AG1537" s="75">
        <v>0</v>
      </c>
      <c r="AH1537" s="75">
        <v>0</v>
      </c>
      <c r="AI1537" s="75">
        <v>0</v>
      </c>
      <c r="AJ1537" s="75">
        <v>0</v>
      </c>
      <c r="AK1537" s="75">
        <v>0</v>
      </c>
      <c r="AL1537" s="95">
        <v>0</v>
      </c>
      <c r="AM1537" s="92">
        <v>0</v>
      </c>
      <c r="AN1537" s="79" t="s">
        <v>80</v>
      </c>
      <c r="AO1537" s="75">
        <v>1</v>
      </c>
      <c r="AP1537" s="75" t="s">
        <v>83</v>
      </c>
      <c r="AQ1537" s="122">
        <v>1</v>
      </c>
      <c r="AR1537" s="515" t="s">
        <v>35</v>
      </c>
      <c r="AS1537" s="95">
        <v>0</v>
      </c>
      <c r="AT1537" s="75">
        <v>1</v>
      </c>
      <c r="AU1537" s="75">
        <v>0</v>
      </c>
      <c r="AV1537" s="75">
        <v>0</v>
      </c>
      <c r="AW1537" s="123">
        <v>0</v>
      </c>
      <c r="AX1537" s="516" t="s">
        <v>1537</v>
      </c>
      <c r="AY1537" s="75">
        <v>1</v>
      </c>
      <c r="AZ1537" s="77" t="s">
        <v>131</v>
      </c>
      <c r="BA1537" s="78" t="s">
        <v>132</v>
      </c>
      <c r="BB1537" s="78" t="s">
        <v>131</v>
      </c>
      <c r="BC1537" s="78" t="s">
        <v>131</v>
      </c>
      <c r="BD1537" s="78" t="s">
        <v>131</v>
      </c>
      <c r="BE1537" s="78" t="s">
        <v>131</v>
      </c>
      <c r="BF1537" s="78" t="s">
        <v>131</v>
      </c>
      <c r="BG1537" s="78" t="s">
        <v>131</v>
      </c>
      <c r="BH1537" s="75" t="s">
        <v>5970</v>
      </c>
      <c r="BI1537" s="295" t="s">
        <v>2227</v>
      </c>
      <c r="BJ1537" s="546">
        <v>1</v>
      </c>
      <c r="BK1537" s="294" t="s">
        <v>16</v>
      </c>
      <c r="BL1537" s="157" t="s">
        <v>16</v>
      </c>
      <c r="BM1537" s="548" t="s">
        <v>578</v>
      </c>
      <c r="BN1537" s="548" t="s">
        <v>578</v>
      </c>
      <c r="BO1537" s="157" t="s">
        <v>4341</v>
      </c>
      <c r="BP1537" s="548" t="s">
        <v>4343</v>
      </c>
      <c r="BQ1537" s="157" t="s">
        <v>4309</v>
      </c>
      <c r="BR1537" s="157"/>
    </row>
    <row r="1538" spans="1:70" x14ac:dyDescent="0.25">
      <c r="A1538" s="19" t="s">
        <v>3686</v>
      </c>
      <c r="B1538" s="37" t="s">
        <v>1779</v>
      </c>
      <c r="C1538" s="90">
        <v>44731.674027777779</v>
      </c>
      <c r="D1538" s="114">
        <v>44731.424027777779</v>
      </c>
      <c r="E1538" s="38">
        <v>44731</v>
      </c>
      <c r="F1538" s="91">
        <v>2022</v>
      </c>
      <c r="G1538" s="93">
        <v>6</v>
      </c>
      <c r="H1538" s="37" t="s">
        <v>1517</v>
      </c>
      <c r="I1538" s="37"/>
      <c r="J1538" s="103">
        <v>-91.653141818977076</v>
      </c>
      <c r="K1538" s="40">
        <v>44.848820108084709</v>
      </c>
      <c r="L1538" s="74"/>
      <c r="M1538" s="272" t="s">
        <v>16</v>
      </c>
      <c r="N1538" s="74">
        <v>0</v>
      </c>
      <c r="O1538" s="94"/>
      <c r="P1538" s="118">
        <v>1</v>
      </c>
      <c r="Q1538" s="510">
        <v>40</v>
      </c>
      <c r="R1538" s="513">
        <v>30</v>
      </c>
      <c r="S1538" s="41"/>
      <c r="T1538" s="40"/>
      <c r="U1538" s="40">
        <v>6</v>
      </c>
      <c r="V1538" s="119">
        <v>0</v>
      </c>
      <c r="W1538" s="40"/>
      <c r="X1538" s="119">
        <v>1</v>
      </c>
      <c r="Y1538" s="40">
        <v>61</v>
      </c>
      <c r="Z1538" s="119">
        <v>1</v>
      </c>
      <c r="AA1538" s="368">
        <v>0</v>
      </c>
      <c r="AB1538" s="535">
        <v>5</v>
      </c>
      <c r="AC1538" s="39" t="s">
        <v>160</v>
      </c>
      <c r="AD1538" s="75" t="s">
        <v>8</v>
      </c>
      <c r="AE1538" s="95">
        <v>0</v>
      </c>
      <c r="AF1538" s="75">
        <v>1</v>
      </c>
      <c r="AG1538" s="75">
        <v>0</v>
      </c>
      <c r="AH1538" s="75">
        <v>0</v>
      </c>
      <c r="AI1538" s="75">
        <v>0</v>
      </c>
      <c r="AJ1538" s="75">
        <v>0</v>
      </c>
      <c r="AK1538" s="75">
        <v>0</v>
      </c>
      <c r="AL1538" s="95">
        <v>0</v>
      </c>
      <c r="AM1538" s="92">
        <v>0</v>
      </c>
      <c r="AN1538" s="79" t="s">
        <v>80</v>
      </c>
      <c r="AO1538" s="75">
        <v>1</v>
      </c>
      <c r="AP1538" s="75" t="s">
        <v>84</v>
      </c>
      <c r="AQ1538" s="122">
        <v>1</v>
      </c>
      <c r="AR1538" s="515" t="s">
        <v>10</v>
      </c>
      <c r="AS1538" s="95">
        <v>0</v>
      </c>
      <c r="AT1538" s="75">
        <v>0</v>
      </c>
      <c r="AU1538" s="75">
        <v>0</v>
      </c>
      <c r="AV1538" s="75">
        <v>0</v>
      </c>
      <c r="AW1538" s="123">
        <v>0</v>
      </c>
      <c r="AX1538" s="516"/>
      <c r="AY1538" s="75">
        <v>0</v>
      </c>
      <c r="AZ1538" s="77" t="s">
        <v>131</v>
      </c>
      <c r="BA1538" s="78" t="s">
        <v>132</v>
      </c>
      <c r="BB1538" s="78" t="s">
        <v>131</v>
      </c>
      <c r="BC1538" s="78" t="s">
        <v>131</v>
      </c>
      <c r="BD1538" s="78" t="s">
        <v>131</v>
      </c>
      <c r="BE1538" s="78" t="s">
        <v>131</v>
      </c>
      <c r="BF1538" s="78" t="s">
        <v>131</v>
      </c>
      <c r="BG1538" s="78" t="s">
        <v>131</v>
      </c>
      <c r="BH1538" s="75" t="s">
        <v>5970</v>
      </c>
      <c r="BI1538" s="295" t="s">
        <v>2246</v>
      </c>
      <c r="BJ1538" s="546">
        <v>1</v>
      </c>
      <c r="BK1538" s="294">
        <v>1</v>
      </c>
      <c r="BL1538" s="157">
        <v>1</v>
      </c>
      <c r="BM1538" s="548" t="s">
        <v>1340</v>
      </c>
      <c r="BN1538" s="548" t="s">
        <v>2344</v>
      </c>
      <c r="BO1538" s="157" t="s">
        <v>4631</v>
      </c>
      <c r="BP1538" s="548" t="s">
        <v>4632</v>
      </c>
      <c r="BQ1538" s="157" t="s">
        <v>4630</v>
      </c>
      <c r="BR1538" s="157"/>
    </row>
    <row r="1539" spans="1:70" x14ac:dyDescent="0.25">
      <c r="A1539" s="19" t="s">
        <v>3686</v>
      </c>
      <c r="B1539" s="37" t="s">
        <v>1780</v>
      </c>
      <c r="C1539" s="90">
        <v>44730.569930555554</v>
      </c>
      <c r="D1539" s="114">
        <v>44730.319930555554</v>
      </c>
      <c r="E1539" s="38">
        <v>44730</v>
      </c>
      <c r="F1539" s="91">
        <v>2022</v>
      </c>
      <c r="G1539" s="93">
        <v>6</v>
      </c>
      <c r="H1539" s="37" t="s">
        <v>1517</v>
      </c>
      <c r="I1539" s="37" t="s">
        <v>16</v>
      </c>
      <c r="J1539" s="103">
        <v>-91.42205712786226</v>
      </c>
      <c r="K1539" s="40">
        <v>44.77897578327336</v>
      </c>
      <c r="L1539" s="74"/>
      <c r="M1539" s="272" t="s">
        <v>16</v>
      </c>
      <c r="N1539" s="74">
        <v>0</v>
      </c>
      <c r="O1539" s="94"/>
      <c r="P1539" s="118">
        <v>1</v>
      </c>
      <c r="Q1539" s="510">
        <v>80</v>
      </c>
      <c r="R1539" s="513">
        <v>60</v>
      </c>
      <c r="S1539" s="41"/>
      <c r="T1539" s="40"/>
      <c r="U1539" s="40">
        <v>6</v>
      </c>
      <c r="V1539" s="119">
        <v>0</v>
      </c>
      <c r="W1539" s="40"/>
      <c r="X1539" s="119">
        <v>1</v>
      </c>
      <c r="Y1539" s="40">
        <v>60</v>
      </c>
      <c r="Z1539" s="119">
        <v>1</v>
      </c>
      <c r="AA1539" s="368">
        <v>0</v>
      </c>
      <c r="AB1539" s="535">
        <v>2</v>
      </c>
      <c r="AC1539" s="39" t="s">
        <v>160</v>
      </c>
      <c r="AD1539" s="75" t="s">
        <v>10</v>
      </c>
      <c r="AE1539" s="95">
        <v>0</v>
      </c>
      <c r="AF1539" s="75">
        <v>0</v>
      </c>
      <c r="AG1539" s="75">
        <v>0</v>
      </c>
      <c r="AH1539" s="75">
        <v>0</v>
      </c>
      <c r="AI1539" s="75">
        <v>0</v>
      </c>
      <c r="AJ1539" s="75">
        <v>0</v>
      </c>
      <c r="AK1539" s="75">
        <v>0</v>
      </c>
      <c r="AL1539" s="95">
        <v>1</v>
      </c>
      <c r="AM1539" s="92">
        <v>0</v>
      </c>
      <c r="AN1539" s="79" t="s">
        <v>81</v>
      </c>
      <c r="AO1539" s="75">
        <v>1</v>
      </c>
      <c r="AP1539" s="75" t="s">
        <v>83</v>
      </c>
      <c r="AQ1539" s="122">
        <v>1</v>
      </c>
      <c r="AR1539" s="515" t="s">
        <v>10</v>
      </c>
      <c r="AS1539" s="95">
        <v>0</v>
      </c>
      <c r="AT1539" s="75">
        <v>0</v>
      </c>
      <c r="AU1539" s="75">
        <v>0</v>
      </c>
      <c r="AV1539" s="75">
        <v>0</v>
      </c>
      <c r="AW1539" s="123">
        <v>0</v>
      </c>
      <c r="AX1539" s="516"/>
      <c r="AY1539" s="75">
        <v>0</v>
      </c>
      <c r="AZ1539" s="77" t="s">
        <v>131</v>
      </c>
      <c r="BA1539" s="78" t="s">
        <v>131</v>
      </c>
      <c r="BB1539" s="78" t="s">
        <v>131</v>
      </c>
      <c r="BC1539" s="78" t="s">
        <v>131</v>
      </c>
      <c r="BD1539" s="78" t="s">
        <v>131</v>
      </c>
      <c r="BE1539" s="78" t="s">
        <v>131</v>
      </c>
      <c r="BF1539" s="78" t="s">
        <v>131</v>
      </c>
      <c r="BG1539" s="78" t="s">
        <v>132</v>
      </c>
      <c r="BH1539" s="75" t="s">
        <v>5970</v>
      </c>
      <c r="BI1539" s="295" t="s">
        <v>2264</v>
      </c>
      <c r="BJ1539" s="546">
        <v>1</v>
      </c>
      <c r="BK1539" s="294" t="s">
        <v>16</v>
      </c>
      <c r="BL1539" s="157" t="s">
        <v>16</v>
      </c>
      <c r="BM1539" s="548" t="s">
        <v>1340</v>
      </c>
      <c r="BN1539" s="548" t="s">
        <v>2344</v>
      </c>
      <c r="BO1539" s="157" t="s">
        <v>4634</v>
      </c>
      <c r="BP1539" s="548" t="s">
        <v>2264</v>
      </c>
      <c r="BQ1539" s="157" t="s">
        <v>4633</v>
      </c>
      <c r="BR1539" s="157"/>
    </row>
    <row r="1540" spans="1:70" x14ac:dyDescent="0.25">
      <c r="A1540" s="19" t="s">
        <v>3686</v>
      </c>
      <c r="B1540" s="37" t="s">
        <v>1781</v>
      </c>
      <c r="C1540" s="90">
        <v>44727.902881944443</v>
      </c>
      <c r="D1540" s="114">
        <v>44727.652881944443</v>
      </c>
      <c r="E1540" s="38">
        <v>44727</v>
      </c>
      <c r="F1540" s="91">
        <v>2022</v>
      </c>
      <c r="G1540" s="93">
        <v>6</v>
      </c>
      <c r="H1540" s="37" t="s">
        <v>596</v>
      </c>
      <c r="I1540" s="37" t="s">
        <v>360</v>
      </c>
      <c r="J1540" s="103">
        <v>-92.643510899999995</v>
      </c>
      <c r="K1540" s="40">
        <v>44.8427346</v>
      </c>
      <c r="L1540" s="74"/>
      <c r="M1540" s="272" t="s">
        <v>16</v>
      </c>
      <c r="N1540" s="74">
        <v>0</v>
      </c>
      <c r="O1540" s="94"/>
      <c r="P1540" s="118">
        <v>1</v>
      </c>
      <c r="Q1540" s="510">
        <v>80</v>
      </c>
      <c r="R1540" s="513">
        <v>120</v>
      </c>
      <c r="S1540" s="41"/>
      <c r="T1540" s="40"/>
      <c r="U1540" s="40">
        <v>7.5</v>
      </c>
      <c r="V1540" s="119">
        <v>1</v>
      </c>
      <c r="W1540" s="40">
        <v>0</v>
      </c>
      <c r="X1540" s="119">
        <v>1</v>
      </c>
      <c r="Y1540" s="40">
        <v>59</v>
      </c>
      <c r="Z1540" s="119">
        <v>1</v>
      </c>
      <c r="AA1540" s="368">
        <v>0</v>
      </c>
      <c r="AB1540" s="535">
        <v>2</v>
      </c>
      <c r="AC1540" s="39" t="s">
        <v>160</v>
      </c>
      <c r="AD1540" s="75" t="s">
        <v>10</v>
      </c>
      <c r="AE1540" s="95">
        <v>0</v>
      </c>
      <c r="AF1540" s="75">
        <v>0</v>
      </c>
      <c r="AG1540" s="75">
        <v>0</v>
      </c>
      <c r="AH1540" s="75">
        <v>0</v>
      </c>
      <c r="AI1540" s="75">
        <v>0</v>
      </c>
      <c r="AJ1540" s="75">
        <v>0</v>
      </c>
      <c r="AK1540" s="75">
        <v>0</v>
      </c>
      <c r="AL1540" s="95">
        <v>1</v>
      </c>
      <c r="AM1540" s="92">
        <v>0</v>
      </c>
      <c r="AN1540" s="79" t="s">
        <v>80</v>
      </c>
      <c r="AO1540" s="75">
        <v>1</v>
      </c>
      <c r="AP1540" s="75" t="s">
        <v>83</v>
      </c>
      <c r="AQ1540" s="122">
        <v>1</v>
      </c>
      <c r="AR1540" s="515" t="s">
        <v>13</v>
      </c>
      <c r="AS1540" s="95">
        <v>1</v>
      </c>
      <c r="AT1540" s="75">
        <v>0</v>
      </c>
      <c r="AU1540" s="75">
        <v>0</v>
      </c>
      <c r="AV1540" s="75">
        <v>0</v>
      </c>
      <c r="AW1540" s="123">
        <v>0</v>
      </c>
      <c r="AX1540" s="516"/>
      <c r="AY1540" s="75">
        <v>0</v>
      </c>
      <c r="AZ1540" s="77" t="s">
        <v>131</v>
      </c>
      <c r="BA1540" s="78" t="s">
        <v>131</v>
      </c>
      <c r="BB1540" s="78" t="s">
        <v>131</v>
      </c>
      <c r="BC1540" s="78" t="s">
        <v>131</v>
      </c>
      <c r="BD1540" s="78" t="s">
        <v>131</v>
      </c>
      <c r="BE1540" s="78" t="s">
        <v>131</v>
      </c>
      <c r="BF1540" s="78" t="s">
        <v>131</v>
      </c>
      <c r="BG1540" s="78" t="s">
        <v>132</v>
      </c>
      <c r="BH1540" s="75" t="s">
        <v>5970</v>
      </c>
      <c r="BI1540" s="295" t="s">
        <v>2227</v>
      </c>
      <c r="BJ1540" s="546">
        <v>1</v>
      </c>
      <c r="BK1540" s="294" t="s">
        <v>16</v>
      </c>
      <c r="BL1540" s="157" t="s">
        <v>16</v>
      </c>
      <c r="BM1540" s="548" t="s">
        <v>578</v>
      </c>
      <c r="BN1540" s="548" t="s">
        <v>578</v>
      </c>
      <c r="BO1540" s="157" t="s">
        <v>4341</v>
      </c>
      <c r="BP1540" s="548" t="s">
        <v>4343</v>
      </c>
      <c r="BQ1540" s="157" t="s">
        <v>4309</v>
      </c>
      <c r="BR1540" s="157"/>
    </row>
    <row r="1541" spans="1:70" x14ac:dyDescent="0.25">
      <c r="A1541" s="19" t="s">
        <v>3686</v>
      </c>
      <c r="B1541" s="37" t="s">
        <v>1782</v>
      </c>
      <c r="C1541" s="90">
        <v>44727.818425925929</v>
      </c>
      <c r="D1541" s="114">
        <v>44727.568425925929</v>
      </c>
      <c r="E1541" s="38">
        <v>44727</v>
      </c>
      <c r="F1541" s="91">
        <v>2022</v>
      </c>
      <c r="G1541" s="93">
        <v>6</v>
      </c>
      <c r="H1541" s="37" t="s">
        <v>622</v>
      </c>
      <c r="I1541" s="37"/>
      <c r="J1541" s="103">
        <v>-92.267763801005003</v>
      </c>
      <c r="K1541" s="40">
        <v>44.428640655283282</v>
      </c>
      <c r="L1541" s="74"/>
      <c r="M1541" s="272" t="s">
        <v>16</v>
      </c>
      <c r="N1541" s="74">
        <v>0</v>
      </c>
      <c r="O1541" s="94"/>
      <c r="P1541" s="118">
        <v>0</v>
      </c>
      <c r="Q1541" s="510"/>
      <c r="R1541" s="513"/>
      <c r="S1541" s="41"/>
      <c r="T1541" s="40"/>
      <c r="U1541" s="40"/>
      <c r="V1541" s="119">
        <v>1</v>
      </c>
      <c r="W1541" s="40">
        <v>100</v>
      </c>
      <c r="X1541" s="119">
        <v>1</v>
      </c>
      <c r="Y1541" s="40">
        <v>57</v>
      </c>
      <c r="Z1541" s="119">
        <v>1</v>
      </c>
      <c r="AA1541" s="368">
        <v>0</v>
      </c>
      <c r="AB1541" s="535">
        <v>2</v>
      </c>
      <c r="AC1541" s="39" t="s">
        <v>160</v>
      </c>
      <c r="AD1541" s="75" t="s">
        <v>16</v>
      </c>
      <c r="AE1541" s="95">
        <v>-1</v>
      </c>
      <c r="AF1541" s="75">
        <v>-1</v>
      </c>
      <c r="AG1541" s="75">
        <v>-1</v>
      </c>
      <c r="AH1541" s="75">
        <v>-1</v>
      </c>
      <c r="AI1541" s="75">
        <v>-1</v>
      </c>
      <c r="AJ1541" s="75">
        <v>-1</v>
      </c>
      <c r="AK1541" s="75">
        <v>-1</v>
      </c>
      <c r="AL1541" s="95">
        <v>-1</v>
      </c>
      <c r="AM1541" s="92">
        <v>1</v>
      </c>
      <c r="AN1541" s="79"/>
      <c r="AO1541" s="75">
        <v>0</v>
      </c>
      <c r="AP1541" s="75"/>
      <c r="AQ1541" s="122">
        <v>0</v>
      </c>
      <c r="AR1541" s="515" t="s">
        <v>16</v>
      </c>
      <c r="AS1541" s="95">
        <v>-1</v>
      </c>
      <c r="AT1541" s="75">
        <v>-1</v>
      </c>
      <c r="AU1541" s="75">
        <v>-1</v>
      </c>
      <c r="AV1541" s="75">
        <v>-1</v>
      </c>
      <c r="AW1541" s="123">
        <v>1</v>
      </c>
      <c r="AX1541" s="516"/>
      <c r="AY1541" s="75">
        <v>0</v>
      </c>
      <c r="AZ1541" s="77" t="s">
        <v>5971</v>
      </c>
      <c r="BA1541" s="78" t="s">
        <v>5971</v>
      </c>
      <c r="BB1541" s="78" t="s">
        <v>5971</v>
      </c>
      <c r="BC1541" s="78" t="s">
        <v>5971</v>
      </c>
      <c r="BD1541" s="78" t="s">
        <v>5971</v>
      </c>
      <c r="BE1541" s="78" t="s">
        <v>5971</v>
      </c>
      <c r="BF1541" s="78" t="s">
        <v>5971</v>
      </c>
      <c r="BG1541" s="78" t="s">
        <v>5971</v>
      </c>
      <c r="BH1541" s="75" t="s">
        <v>5971</v>
      </c>
      <c r="BI1541" s="295" t="s">
        <v>2228</v>
      </c>
      <c r="BJ1541" s="546">
        <v>1</v>
      </c>
      <c r="BK1541" s="294" t="s">
        <v>16</v>
      </c>
      <c r="BL1541" s="157" t="s">
        <v>16</v>
      </c>
      <c r="BM1541" s="548" t="s">
        <v>1339</v>
      </c>
      <c r="BN1541" s="548" t="s">
        <v>1339</v>
      </c>
      <c r="BO1541" s="157" t="s">
        <v>4614</v>
      </c>
      <c r="BP1541" s="548" t="s">
        <v>2228</v>
      </c>
      <c r="BQ1541" s="157" t="s">
        <v>4214</v>
      </c>
      <c r="BR1541" s="157"/>
    </row>
    <row r="1542" spans="1:70" x14ac:dyDescent="0.25">
      <c r="A1542" s="19" t="s">
        <v>3686</v>
      </c>
      <c r="B1542" s="37" t="s">
        <v>1783</v>
      </c>
      <c r="C1542" s="90">
        <v>44726.689606481479</v>
      </c>
      <c r="D1542" s="114">
        <v>44726.439606481479</v>
      </c>
      <c r="E1542" s="38">
        <v>44726</v>
      </c>
      <c r="F1542" s="91">
        <v>2022</v>
      </c>
      <c r="G1542" s="93">
        <v>6</v>
      </c>
      <c r="H1542" s="37" t="s">
        <v>1491</v>
      </c>
      <c r="I1542" s="37" t="s">
        <v>16</v>
      </c>
      <c r="J1542" s="103">
        <v>-92.6364619</v>
      </c>
      <c r="K1542" s="40">
        <v>44.854680899999998</v>
      </c>
      <c r="L1542" s="74"/>
      <c r="M1542" s="272" t="s">
        <v>16</v>
      </c>
      <c r="N1542" s="74">
        <v>0</v>
      </c>
      <c r="O1542" s="94"/>
      <c r="P1542" s="118">
        <v>1</v>
      </c>
      <c r="Q1542" s="510">
        <v>40</v>
      </c>
      <c r="R1542" s="513">
        <v>0</v>
      </c>
      <c r="S1542" s="41"/>
      <c r="T1542" s="40"/>
      <c r="U1542" s="40">
        <v>7</v>
      </c>
      <c r="V1542" s="119">
        <v>1</v>
      </c>
      <c r="W1542" s="40">
        <v>0</v>
      </c>
      <c r="X1542" s="119">
        <v>1</v>
      </c>
      <c r="Y1542" s="40">
        <v>63</v>
      </c>
      <c r="Z1542" s="119">
        <v>1</v>
      </c>
      <c r="AA1542" s="368">
        <v>0</v>
      </c>
      <c r="AB1542" s="535">
        <v>5</v>
      </c>
      <c r="AC1542" s="39" t="s">
        <v>160</v>
      </c>
      <c r="AD1542" s="75" t="s">
        <v>181</v>
      </c>
      <c r="AE1542" s="95">
        <v>0</v>
      </c>
      <c r="AF1542" s="75">
        <v>0</v>
      </c>
      <c r="AG1542" s="75">
        <v>1</v>
      </c>
      <c r="AH1542" s="75">
        <v>1</v>
      </c>
      <c r="AI1542" s="75">
        <v>0</v>
      </c>
      <c r="AJ1542" s="75">
        <v>0</v>
      </c>
      <c r="AK1542" s="75">
        <v>0</v>
      </c>
      <c r="AL1542" s="95">
        <v>0</v>
      </c>
      <c r="AM1542" s="92">
        <v>0</v>
      </c>
      <c r="AN1542" s="79" t="s">
        <v>80</v>
      </c>
      <c r="AO1542" s="75">
        <v>1</v>
      </c>
      <c r="AP1542" s="75" t="s">
        <v>83</v>
      </c>
      <c r="AQ1542" s="122">
        <v>1</v>
      </c>
      <c r="AR1542" s="515" t="s">
        <v>10</v>
      </c>
      <c r="AS1542" s="95">
        <v>0</v>
      </c>
      <c r="AT1542" s="75">
        <v>0</v>
      </c>
      <c r="AU1542" s="75">
        <v>0</v>
      </c>
      <c r="AV1542" s="75">
        <v>0</v>
      </c>
      <c r="AW1542" s="123">
        <v>0</v>
      </c>
      <c r="AX1542" s="516"/>
      <c r="AY1542" s="75">
        <v>0</v>
      </c>
      <c r="AZ1542" s="77" t="s">
        <v>131</v>
      </c>
      <c r="BA1542" s="78" t="s">
        <v>131</v>
      </c>
      <c r="BB1542" s="78" t="s">
        <v>132</v>
      </c>
      <c r="BC1542" s="78" t="s">
        <v>132</v>
      </c>
      <c r="BD1542" s="78" t="s">
        <v>131</v>
      </c>
      <c r="BE1542" s="78" t="s">
        <v>131</v>
      </c>
      <c r="BF1542" s="78" t="s">
        <v>131</v>
      </c>
      <c r="BG1542" s="78" t="s">
        <v>131</v>
      </c>
      <c r="BH1542" s="75" t="s">
        <v>5970</v>
      </c>
      <c r="BI1542" s="295" t="s">
        <v>2227</v>
      </c>
      <c r="BJ1542" s="546">
        <v>1</v>
      </c>
      <c r="BK1542" s="294">
        <v>1</v>
      </c>
      <c r="BL1542" s="157">
        <v>1</v>
      </c>
      <c r="BM1542" s="548" t="s">
        <v>578</v>
      </c>
      <c r="BN1542" s="548" t="s">
        <v>4159</v>
      </c>
      <c r="BO1542" s="157" t="s">
        <v>4341</v>
      </c>
      <c r="BP1542" s="548" t="s">
        <v>4343</v>
      </c>
      <c r="BQ1542" s="157" t="s">
        <v>4309</v>
      </c>
      <c r="BR1542" s="157"/>
    </row>
    <row r="1543" spans="1:70" x14ac:dyDescent="0.25">
      <c r="A1543" s="19" t="s">
        <v>3686</v>
      </c>
      <c r="B1543" s="37" t="s">
        <v>1784</v>
      </c>
      <c r="C1543" s="90">
        <v>44726.668368055558</v>
      </c>
      <c r="D1543" s="114">
        <v>44726.418368055558</v>
      </c>
      <c r="E1543" s="38">
        <v>44726</v>
      </c>
      <c r="F1543" s="91">
        <v>2022</v>
      </c>
      <c r="G1543" s="93">
        <v>6</v>
      </c>
      <c r="H1543" s="37" t="s">
        <v>1425</v>
      </c>
      <c r="I1543" s="37"/>
      <c r="J1543" s="103">
        <v>-92.641542901631595</v>
      </c>
      <c r="K1543" s="40">
        <v>44.849813805202452</v>
      </c>
      <c r="L1543" s="74"/>
      <c r="M1543" s="272" t="s">
        <v>1785</v>
      </c>
      <c r="N1543" s="74">
        <v>1</v>
      </c>
      <c r="O1543" s="94"/>
      <c r="P1543" s="118">
        <v>1</v>
      </c>
      <c r="Q1543" s="510">
        <v>180</v>
      </c>
      <c r="R1543" s="513">
        <v>120</v>
      </c>
      <c r="S1543" s="41"/>
      <c r="T1543" s="40"/>
      <c r="U1543" s="40">
        <v>8</v>
      </c>
      <c r="V1543" s="119">
        <v>1</v>
      </c>
      <c r="W1543" s="40">
        <v>0</v>
      </c>
      <c r="X1543" s="119">
        <v>1</v>
      </c>
      <c r="Y1543" s="40">
        <v>63</v>
      </c>
      <c r="Z1543" s="119">
        <v>1</v>
      </c>
      <c r="AA1543" s="368">
        <v>0</v>
      </c>
      <c r="AB1543" s="535">
        <v>5</v>
      </c>
      <c r="AC1543" s="39" t="s">
        <v>160</v>
      </c>
      <c r="AD1543" s="75" t="s">
        <v>10</v>
      </c>
      <c r="AE1543" s="95">
        <v>0</v>
      </c>
      <c r="AF1543" s="75">
        <v>0</v>
      </c>
      <c r="AG1543" s="75">
        <v>0</v>
      </c>
      <c r="AH1543" s="75">
        <v>0</v>
      </c>
      <c r="AI1543" s="75">
        <v>0</v>
      </c>
      <c r="AJ1543" s="75">
        <v>0</v>
      </c>
      <c r="AK1543" s="75">
        <v>0</v>
      </c>
      <c r="AL1543" s="95">
        <v>1</v>
      </c>
      <c r="AM1543" s="92">
        <v>0</v>
      </c>
      <c r="AN1543" s="79" t="s">
        <v>80</v>
      </c>
      <c r="AO1543" s="75">
        <v>1</v>
      </c>
      <c r="AP1543" s="75" t="s">
        <v>83</v>
      </c>
      <c r="AQ1543" s="122">
        <v>1</v>
      </c>
      <c r="AR1543" s="515" t="s">
        <v>10</v>
      </c>
      <c r="AS1543" s="95">
        <v>0</v>
      </c>
      <c r="AT1543" s="75">
        <v>0</v>
      </c>
      <c r="AU1543" s="75">
        <v>0</v>
      </c>
      <c r="AV1543" s="75">
        <v>0</v>
      </c>
      <c r="AW1543" s="123">
        <v>0</v>
      </c>
      <c r="AX1543" s="516" t="s">
        <v>1520</v>
      </c>
      <c r="AY1543" s="75">
        <v>1</v>
      </c>
      <c r="AZ1543" s="77" t="s">
        <v>131</v>
      </c>
      <c r="BA1543" s="78" t="s">
        <v>131</v>
      </c>
      <c r="BB1543" s="78" t="s">
        <v>131</v>
      </c>
      <c r="BC1543" s="78" t="s">
        <v>131</v>
      </c>
      <c r="BD1543" s="78" t="s">
        <v>131</v>
      </c>
      <c r="BE1543" s="78" t="s">
        <v>131</v>
      </c>
      <c r="BF1543" s="78" t="s">
        <v>131</v>
      </c>
      <c r="BG1543" s="78" t="s">
        <v>132</v>
      </c>
      <c r="BH1543" s="75" t="s">
        <v>5970</v>
      </c>
      <c r="BI1543" s="295" t="s">
        <v>2227</v>
      </c>
      <c r="BJ1543" s="546">
        <v>1</v>
      </c>
      <c r="BK1543" s="294">
        <v>1</v>
      </c>
      <c r="BL1543" s="157">
        <v>1</v>
      </c>
      <c r="BM1543" s="548" t="s">
        <v>578</v>
      </c>
      <c r="BN1543" s="548" t="s">
        <v>4159</v>
      </c>
      <c r="BO1543" s="157" t="s">
        <v>4341</v>
      </c>
      <c r="BP1543" s="548" t="s">
        <v>4343</v>
      </c>
      <c r="BQ1543" s="157" t="s">
        <v>4309</v>
      </c>
      <c r="BR1543" s="157"/>
    </row>
    <row r="1544" spans="1:70" x14ac:dyDescent="0.25">
      <c r="A1544" s="19" t="s">
        <v>3686</v>
      </c>
      <c r="B1544" s="37" t="s">
        <v>1786</v>
      </c>
      <c r="C1544" s="90">
        <v>44726.652326388888</v>
      </c>
      <c r="D1544" s="114">
        <v>44726.402326388888</v>
      </c>
      <c r="E1544" s="38">
        <v>44726</v>
      </c>
      <c r="F1544" s="91">
        <v>2022</v>
      </c>
      <c r="G1544" s="93">
        <v>6</v>
      </c>
      <c r="H1544" s="37" t="s">
        <v>1425</v>
      </c>
      <c r="I1544" s="37"/>
      <c r="J1544" s="103">
        <v>-92.644111172990605</v>
      </c>
      <c r="K1544" s="40">
        <v>44.844261816926931</v>
      </c>
      <c r="L1544" s="74"/>
      <c r="M1544" s="272" t="s">
        <v>1787</v>
      </c>
      <c r="N1544" s="74">
        <v>1</v>
      </c>
      <c r="O1544" s="94"/>
      <c r="P1544" s="118">
        <v>1</v>
      </c>
      <c r="Q1544" s="510">
        <v>180</v>
      </c>
      <c r="R1544" s="513">
        <v>120</v>
      </c>
      <c r="S1544" s="41"/>
      <c r="T1544" s="40"/>
      <c r="U1544" s="40">
        <v>8</v>
      </c>
      <c r="V1544" s="119">
        <v>1</v>
      </c>
      <c r="W1544" s="40">
        <v>0</v>
      </c>
      <c r="X1544" s="119">
        <v>1</v>
      </c>
      <c r="Y1544" s="40">
        <v>63</v>
      </c>
      <c r="Z1544" s="119">
        <v>1</v>
      </c>
      <c r="AA1544" s="368">
        <v>0</v>
      </c>
      <c r="AB1544" s="535">
        <v>5</v>
      </c>
      <c r="AC1544" s="39" t="s">
        <v>160</v>
      </c>
      <c r="AD1544" s="75" t="s">
        <v>16</v>
      </c>
      <c r="AE1544" s="95">
        <v>-1</v>
      </c>
      <c r="AF1544" s="75">
        <v>-1</v>
      </c>
      <c r="AG1544" s="75">
        <v>-1</v>
      </c>
      <c r="AH1544" s="75">
        <v>-1</v>
      </c>
      <c r="AI1544" s="75">
        <v>-1</v>
      </c>
      <c r="AJ1544" s="75">
        <v>-1</v>
      </c>
      <c r="AK1544" s="75">
        <v>-1</v>
      </c>
      <c r="AL1544" s="95">
        <v>-1</v>
      </c>
      <c r="AM1544" s="92">
        <v>1</v>
      </c>
      <c r="AN1544" s="79" t="s">
        <v>80</v>
      </c>
      <c r="AO1544" s="75">
        <v>1</v>
      </c>
      <c r="AP1544" s="75" t="s">
        <v>83</v>
      </c>
      <c r="AQ1544" s="122">
        <v>1</v>
      </c>
      <c r="AR1544" s="515" t="s">
        <v>10</v>
      </c>
      <c r="AS1544" s="95">
        <v>0</v>
      </c>
      <c r="AT1544" s="75">
        <v>0</v>
      </c>
      <c r="AU1544" s="75">
        <v>0</v>
      </c>
      <c r="AV1544" s="75">
        <v>0</v>
      </c>
      <c r="AW1544" s="123">
        <v>0</v>
      </c>
      <c r="AX1544" s="516" t="s">
        <v>1520</v>
      </c>
      <c r="AY1544" s="75">
        <v>1</v>
      </c>
      <c r="AZ1544" s="77" t="s">
        <v>5971</v>
      </c>
      <c r="BA1544" s="78" t="s">
        <v>5971</v>
      </c>
      <c r="BB1544" s="78" t="s">
        <v>5971</v>
      </c>
      <c r="BC1544" s="78" t="s">
        <v>5971</v>
      </c>
      <c r="BD1544" s="78" t="s">
        <v>5971</v>
      </c>
      <c r="BE1544" s="78" t="s">
        <v>5971</v>
      </c>
      <c r="BF1544" s="78" t="s">
        <v>5971</v>
      </c>
      <c r="BG1544" s="78" t="s">
        <v>5971</v>
      </c>
      <c r="BH1544" s="75" t="s">
        <v>5971</v>
      </c>
      <c r="BI1544" s="295" t="s">
        <v>2227</v>
      </c>
      <c r="BJ1544" s="546">
        <v>1</v>
      </c>
      <c r="BK1544" s="294" t="s">
        <v>16</v>
      </c>
      <c r="BL1544" s="157" t="s">
        <v>16</v>
      </c>
      <c r="BM1544" s="548" t="s">
        <v>578</v>
      </c>
      <c r="BN1544" s="548" t="s">
        <v>4159</v>
      </c>
      <c r="BO1544" s="157" t="s">
        <v>4341</v>
      </c>
      <c r="BP1544" s="548" t="s">
        <v>4343</v>
      </c>
      <c r="BQ1544" s="157" t="s">
        <v>4309</v>
      </c>
      <c r="BR1544" s="157"/>
    </row>
    <row r="1545" spans="1:70" x14ac:dyDescent="0.25">
      <c r="A1545" s="19" t="s">
        <v>3686</v>
      </c>
      <c r="B1545" s="37" t="s">
        <v>1788</v>
      </c>
      <c r="C1545" s="90">
        <v>44726.64329861111</v>
      </c>
      <c r="D1545" s="114">
        <v>44726.39329861111</v>
      </c>
      <c r="E1545" s="38">
        <v>44726</v>
      </c>
      <c r="F1545" s="91">
        <v>2022</v>
      </c>
      <c r="G1545" s="93">
        <v>6</v>
      </c>
      <c r="H1545" s="37" t="s">
        <v>1491</v>
      </c>
      <c r="I1545" s="37"/>
      <c r="J1545" s="103">
        <v>-92.631910099999999</v>
      </c>
      <c r="K1545" s="40">
        <v>44.855534300000002</v>
      </c>
      <c r="L1545" s="74"/>
      <c r="M1545" s="272" t="s">
        <v>16</v>
      </c>
      <c r="N1545" s="74">
        <v>0</v>
      </c>
      <c r="O1545" s="94"/>
      <c r="P1545" s="118">
        <v>1</v>
      </c>
      <c r="Q1545" s="510">
        <v>80</v>
      </c>
      <c r="R1545" s="513">
        <v>120</v>
      </c>
      <c r="S1545" s="41"/>
      <c r="T1545" s="40"/>
      <c r="U1545" s="40">
        <v>7.5</v>
      </c>
      <c r="V1545" s="119">
        <v>1</v>
      </c>
      <c r="W1545" s="40">
        <v>0</v>
      </c>
      <c r="X1545" s="119">
        <v>1</v>
      </c>
      <c r="Y1545" s="40">
        <v>65</v>
      </c>
      <c r="Z1545" s="119">
        <v>1</v>
      </c>
      <c r="AA1545" s="368">
        <v>0</v>
      </c>
      <c r="AB1545" s="535">
        <v>2</v>
      </c>
      <c r="AC1545" s="39" t="s">
        <v>186</v>
      </c>
      <c r="AD1545" s="75" t="s">
        <v>181</v>
      </c>
      <c r="AE1545" s="95">
        <v>0</v>
      </c>
      <c r="AF1545" s="75">
        <v>0</v>
      </c>
      <c r="AG1545" s="75">
        <v>1</v>
      </c>
      <c r="AH1545" s="75">
        <v>1</v>
      </c>
      <c r="AI1545" s="75">
        <v>0</v>
      </c>
      <c r="AJ1545" s="75">
        <v>0</v>
      </c>
      <c r="AK1545" s="75">
        <v>0</v>
      </c>
      <c r="AL1545" s="95">
        <v>0</v>
      </c>
      <c r="AM1545" s="92">
        <v>0</v>
      </c>
      <c r="AN1545" s="79" t="s">
        <v>80</v>
      </c>
      <c r="AO1545" s="75">
        <v>1</v>
      </c>
      <c r="AP1545" s="75" t="s">
        <v>84</v>
      </c>
      <c r="AQ1545" s="122">
        <v>1</v>
      </c>
      <c r="AR1545" s="515" t="s">
        <v>10</v>
      </c>
      <c r="AS1545" s="95">
        <v>0</v>
      </c>
      <c r="AT1545" s="75">
        <v>0</v>
      </c>
      <c r="AU1545" s="75">
        <v>0</v>
      </c>
      <c r="AV1545" s="75">
        <v>0</v>
      </c>
      <c r="AW1545" s="123">
        <v>0</v>
      </c>
      <c r="AX1545" s="516"/>
      <c r="AY1545" s="75">
        <v>0</v>
      </c>
      <c r="AZ1545" s="77" t="s">
        <v>131</v>
      </c>
      <c r="BA1545" s="78" t="s">
        <v>131</v>
      </c>
      <c r="BB1545" s="78" t="s">
        <v>132</v>
      </c>
      <c r="BC1545" s="78" t="s">
        <v>132</v>
      </c>
      <c r="BD1545" s="78" t="s">
        <v>131</v>
      </c>
      <c r="BE1545" s="78" t="s">
        <v>131</v>
      </c>
      <c r="BF1545" s="78" t="s">
        <v>131</v>
      </c>
      <c r="BG1545" s="78" t="s">
        <v>131</v>
      </c>
      <c r="BH1545" s="75" t="s">
        <v>5970</v>
      </c>
      <c r="BI1545" s="295" t="s">
        <v>2227</v>
      </c>
      <c r="BJ1545" s="546">
        <v>1</v>
      </c>
      <c r="BK1545" s="294">
        <v>1</v>
      </c>
      <c r="BL1545" s="157">
        <v>1</v>
      </c>
      <c r="BM1545" s="548" t="s">
        <v>578</v>
      </c>
      <c r="BN1545" s="548" t="s">
        <v>4159</v>
      </c>
      <c r="BO1545" s="157" t="s">
        <v>4311</v>
      </c>
      <c r="BP1545" s="548" t="s">
        <v>4395</v>
      </c>
      <c r="BQ1545" s="157" t="s">
        <v>4309</v>
      </c>
      <c r="BR1545" s="157"/>
    </row>
    <row r="1546" spans="1:70" x14ac:dyDescent="0.25">
      <c r="A1546" s="19" t="s">
        <v>3686</v>
      </c>
      <c r="B1546" s="37" t="s">
        <v>1789</v>
      </c>
      <c r="C1546" s="90">
        <v>44726.617962962962</v>
      </c>
      <c r="D1546" s="114">
        <v>44726.367962962962</v>
      </c>
      <c r="E1546" s="38">
        <v>44726</v>
      </c>
      <c r="F1546" s="91">
        <v>2022</v>
      </c>
      <c r="G1546" s="93">
        <v>6</v>
      </c>
      <c r="H1546" s="37" t="s">
        <v>1425</v>
      </c>
      <c r="I1546" s="37"/>
      <c r="J1546" s="103">
        <v>-92.732331681553418</v>
      </c>
      <c r="K1546" s="40">
        <v>44.830981427330606</v>
      </c>
      <c r="L1546" s="74"/>
      <c r="M1546" s="272" t="s">
        <v>1790</v>
      </c>
      <c r="N1546" s="74">
        <v>1</v>
      </c>
      <c r="O1546" s="94"/>
      <c r="P1546" s="118">
        <v>1</v>
      </c>
      <c r="Q1546" s="510">
        <v>180</v>
      </c>
      <c r="R1546" s="513">
        <v>180</v>
      </c>
      <c r="S1546" s="41"/>
      <c r="T1546" s="40"/>
      <c r="U1546" s="40">
        <v>7.5</v>
      </c>
      <c r="V1546" s="119">
        <v>1</v>
      </c>
      <c r="W1546" s="40">
        <v>0</v>
      </c>
      <c r="X1546" s="119">
        <v>1</v>
      </c>
      <c r="Y1546" s="40">
        <v>62</v>
      </c>
      <c r="Z1546" s="119">
        <v>1</v>
      </c>
      <c r="AA1546" s="368">
        <v>0</v>
      </c>
      <c r="AB1546" s="535">
        <v>5</v>
      </c>
      <c r="AC1546" s="39" t="s">
        <v>160</v>
      </c>
      <c r="AD1546" s="75" t="s">
        <v>10</v>
      </c>
      <c r="AE1546" s="95">
        <v>0</v>
      </c>
      <c r="AF1546" s="75">
        <v>0</v>
      </c>
      <c r="AG1546" s="75">
        <v>0</v>
      </c>
      <c r="AH1546" s="75">
        <v>0</v>
      </c>
      <c r="AI1546" s="75">
        <v>0</v>
      </c>
      <c r="AJ1546" s="75">
        <v>0</v>
      </c>
      <c r="AK1546" s="75">
        <v>0</v>
      </c>
      <c r="AL1546" s="95">
        <v>1</v>
      </c>
      <c r="AM1546" s="92">
        <v>0</v>
      </c>
      <c r="AN1546" s="79" t="s">
        <v>80</v>
      </c>
      <c r="AO1546" s="75">
        <v>1</v>
      </c>
      <c r="AP1546" s="75" t="s">
        <v>83</v>
      </c>
      <c r="AQ1546" s="122">
        <v>1</v>
      </c>
      <c r="AR1546" s="515" t="s">
        <v>10</v>
      </c>
      <c r="AS1546" s="95">
        <v>0</v>
      </c>
      <c r="AT1546" s="75">
        <v>0</v>
      </c>
      <c r="AU1546" s="75">
        <v>0</v>
      </c>
      <c r="AV1546" s="75">
        <v>0</v>
      </c>
      <c r="AW1546" s="123">
        <v>0</v>
      </c>
      <c r="AX1546" s="516" t="s">
        <v>1520</v>
      </c>
      <c r="AY1546" s="75">
        <v>1</v>
      </c>
      <c r="AZ1546" s="77" t="s">
        <v>131</v>
      </c>
      <c r="BA1546" s="78" t="s">
        <v>131</v>
      </c>
      <c r="BB1546" s="78" t="s">
        <v>131</v>
      </c>
      <c r="BC1546" s="78" t="s">
        <v>131</v>
      </c>
      <c r="BD1546" s="78" t="s">
        <v>131</v>
      </c>
      <c r="BE1546" s="78" t="s">
        <v>131</v>
      </c>
      <c r="BF1546" s="78" t="s">
        <v>131</v>
      </c>
      <c r="BG1546" s="78" t="s">
        <v>132</v>
      </c>
      <c r="BH1546" s="75" t="s">
        <v>5970</v>
      </c>
      <c r="BI1546" s="295" t="s">
        <v>2227</v>
      </c>
      <c r="BJ1546" s="546">
        <v>1</v>
      </c>
      <c r="BK1546" s="294" t="s">
        <v>16</v>
      </c>
      <c r="BL1546" s="157" t="s">
        <v>16</v>
      </c>
      <c r="BM1546" s="548" t="s">
        <v>578</v>
      </c>
      <c r="BN1546" s="548" t="s">
        <v>4159</v>
      </c>
      <c r="BO1546" s="157" t="s">
        <v>4341</v>
      </c>
      <c r="BP1546" s="548" t="s">
        <v>4343</v>
      </c>
      <c r="BQ1546" s="157" t="s">
        <v>4309</v>
      </c>
      <c r="BR1546" s="157"/>
    </row>
    <row r="1547" spans="1:70" x14ac:dyDescent="0.25">
      <c r="A1547" s="19" t="s">
        <v>3686</v>
      </c>
      <c r="B1547" s="37" t="s">
        <v>1791</v>
      </c>
      <c r="C1547" s="90">
        <v>44726.617789351854</v>
      </c>
      <c r="D1547" s="114">
        <v>44726.367789351854</v>
      </c>
      <c r="E1547" s="38">
        <v>44726</v>
      </c>
      <c r="F1547" s="91">
        <v>2022</v>
      </c>
      <c r="G1547" s="93">
        <v>6</v>
      </c>
      <c r="H1547" s="37" t="s">
        <v>1491</v>
      </c>
      <c r="I1547" s="37"/>
      <c r="J1547" s="103">
        <v>-92.624051399999999</v>
      </c>
      <c r="K1547" s="40">
        <v>44.863977900000002</v>
      </c>
      <c r="L1547" s="74"/>
      <c r="M1547" s="272" t="s">
        <v>1792</v>
      </c>
      <c r="N1547" s="74">
        <v>1</v>
      </c>
      <c r="O1547" s="94"/>
      <c r="P1547" s="118">
        <v>1</v>
      </c>
      <c r="Q1547" s="510">
        <v>80</v>
      </c>
      <c r="R1547" s="513">
        <v>180</v>
      </c>
      <c r="S1547" s="41"/>
      <c r="T1547" s="40"/>
      <c r="U1547" s="40">
        <v>7</v>
      </c>
      <c r="V1547" s="119">
        <v>1</v>
      </c>
      <c r="W1547" s="40">
        <v>100</v>
      </c>
      <c r="X1547" s="119">
        <v>1</v>
      </c>
      <c r="Y1547" s="40">
        <v>59</v>
      </c>
      <c r="Z1547" s="119">
        <v>1</v>
      </c>
      <c r="AA1547" s="368">
        <v>0</v>
      </c>
      <c r="AB1547" s="535">
        <v>5</v>
      </c>
      <c r="AC1547" s="39" t="s">
        <v>160</v>
      </c>
      <c r="AD1547" s="75" t="s">
        <v>10</v>
      </c>
      <c r="AE1547" s="95">
        <v>0</v>
      </c>
      <c r="AF1547" s="75">
        <v>0</v>
      </c>
      <c r="AG1547" s="75">
        <v>0</v>
      </c>
      <c r="AH1547" s="75">
        <v>0</v>
      </c>
      <c r="AI1547" s="75">
        <v>0</v>
      </c>
      <c r="AJ1547" s="75">
        <v>0</v>
      </c>
      <c r="AK1547" s="75">
        <v>0</v>
      </c>
      <c r="AL1547" s="95">
        <v>1</v>
      </c>
      <c r="AM1547" s="92">
        <v>0</v>
      </c>
      <c r="AN1547" s="79" t="s">
        <v>80</v>
      </c>
      <c r="AO1547" s="75">
        <v>1</v>
      </c>
      <c r="AP1547" s="75" t="s">
        <v>83</v>
      </c>
      <c r="AQ1547" s="122">
        <v>1</v>
      </c>
      <c r="AR1547" s="515" t="s">
        <v>10</v>
      </c>
      <c r="AS1547" s="95">
        <v>0</v>
      </c>
      <c r="AT1547" s="75">
        <v>0</v>
      </c>
      <c r="AU1547" s="75">
        <v>0</v>
      </c>
      <c r="AV1547" s="75">
        <v>0</v>
      </c>
      <c r="AW1547" s="123">
        <v>0</v>
      </c>
      <c r="AX1547" s="516" t="s">
        <v>1793</v>
      </c>
      <c r="AY1547" s="75">
        <v>1</v>
      </c>
      <c r="AZ1547" s="77" t="s">
        <v>131</v>
      </c>
      <c r="BA1547" s="78" t="s">
        <v>131</v>
      </c>
      <c r="BB1547" s="78" t="s">
        <v>131</v>
      </c>
      <c r="BC1547" s="78" t="s">
        <v>131</v>
      </c>
      <c r="BD1547" s="78" t="s">
        <v>131</v>
      </c>
      <c r="BE1547" s="78" t="s">
        <v>131</v>
      </c>
      <c r="BF1547" s="78" t="s">
        <v>131</v>
      </c>
      <c r="BG1547" s="78" t="s">
        <v>132</v>
      </c>
      <c r="BH1547" s="75" t="s">
        <v>5970</v>
      </c>
      <c r="BI1547" s="295" t="s">
        <v>2227</v>
      </c>
      <c r="BJ1547" s="546">
        <v>1</v>
      </c>
      <c r="BK1547" s="294" t="s">
        <v>16</v>
      </c>
      <c r="BL1547" s="157" t="s">
        <v>16</v>
      </c>
      <c r="BM1547" s="548" t="s">
        <v>578</v>
      </c>
      <c r="BN1547" s="548" t="s">
        <v>4159</v>
      </c>
      <c r="BO1547" s="157" t="s">
        <v>4311</v>
      </c>
      <c r="BP1547" s="548" t="s">
        <v>4395</v>
      </c>
      <c r="BQ1547" s="157" t="s">
        <v>4309</v>
      </c>
      <c r="BR1547" s="157"/>
    </row>
    <row r="1548" spans="1:70" x14ac:dyDescent="0.25">
      <c r="A1548" s="19" t="s">
        <v>3686</v>
      </c>
      <c r="B1548" s="37" t="s">
        <v>1794</v>
      </c>
      <c r="C1548" s="90">
        <v>44726.590983796297</v>
      </c>
      <c r="D1548" s="114">
        <v>44726.340983796297</v>
      </c>
      <c r="E1548" s="38">
        <v>44726</v>
      </c>
      <c r="F1548" s="91">
        <v>2022</v>
      </c>
      <c r="G1548" s="93">
        <v>6</v>
      </c>
      <c r="H1548" s="37" t="s">
        <v>1425</v>
      </c>
      <c r="I1548" s="37" t="s">
        <v>16</v>
      </c>
      <c r="J1548" s="103">
        <v>-92.621245812330756</v>
      </c>
      <c r="K1548" s="40">
        <v>44.875122392883547</v>
      </c>
      <c r="L1548" s="74"/>
      <c r="M1548" s="272" t="s">
        <v>1795</v>
      </c>
      <c r="N1548" s="74">
        <v>1</v>
      </c>
      <c r="O1548" s="94"/>
      <c r="P1548" s="118">
        <v>1</v>
      </c>
      <c r="Q1548" s="510">
        <v>180</v>
      </c>
      <c r="R1548" s="513">
        <v>180</v>
      </c>
      <c r="S1548" s="41"/>
      <c r="T1548" s="40"/>
      <c r="U1548" s="40">
        <v>7.5</v>
      </c>
      <c r="V1548" s="119">
        <v>1</v>
      </c>
      <c r="W1548" s="40">
        <v>0</v>
      </c>
      <c r="X1548" s="119">
        <v>1</v>
      </c>
      <c r="Y1548" s="40">
        <v>59</v>
      </c>
      <c r="Z1548" s="119">
        <v>1</v>
      </c>
      <c r="AA1548" s="368">
        <v>0</v>
      </c>
      <c r="AB1548" s="535">
        <v>5</v>
      </c>
      <c r="AC1548" s="39" t="s">
        <v>160</v>
      </c>
      <c r="AD1548" s="75" t="s">
        <v>10</v>
      </c>
      <c r="AE1548" s="95">
        <v>0</v>
      </c>
      <c r="AF1548" s="75">
        <v>0</v>
      </c>
      <c r="AG1548" s="75">
        <v>0</v>
      </c>
      <c r="AH1548" s="75">
        <v>0</v>
      </c>
      <c r="AI1548" s="75">
        <v>0</v>
      </c>
      <c r="AJ1548" s="75">
        <v>0</v>
      </c>
      <c r="AK1548" s="75">
        <v>0</v>
      </c>
      <c r="AL1548" s="95">
        <v>1</v>
      </c>
      <c r="AM1548" s="92">
        <v>0</v>
      </c>
      <c r="AN1548" s="79" t="s">
        <v>80</v>
      </c>
      <c r="AO1548" s="75">
        <v>1</v>
      </c>
      <c r="AP1548" s="75" t="s">
        <v>83</v>
      </c>
      <c r="AQ1548" s="122">
        <v>1</v>
      </c>
      <c r="AR1548" s="515" t="s">
        <v>10</v>
      </c>
      <c r="AS1548" s="95">
        <v>0</v>
      </c>
      <c r="AT1548" s="75">
        <v>0</v>
      </c>
      <c r="AU1548" s="75">
        <v>0</v>
      </c>
      <c r="AV1548" s="75">
        <v>0</v>
      </c>
      <c r="AW1548" s="123">
        <v>0</v>
      </c>
      <c r="AX1548" s="516"/>
      <c r="AY1548" s="75">
        <v>0</v>
      </c>
      <c r="AZ1548" s="77" t="s">
        <v>131</v>
      </c>
      <c r="BA1548" s="78" t="s">
        <v>131</v>
      </c>
      <c r="BB1548" s="78" t="s">
        <v>131</v>
      </c>
      <c r="BC1548" s="78" t="s">
        <v>131</v>
      </c>
      <c r="BD1548" s="78" t="s">
        <v>131</v>
      </c>
      <c r="BE1548" s="78" t="s">
        <v>131</v>
      </c>
      <c r="BF1548" s="78" t="s">
        <v>131</v>
      </c>
      <c r="BG1548" s="78" t="s">
        <v>132</v>
      </c>
      <c r="BH1548" s="75" t="s">
        <v>5970</v>
      </c>
      <c r="BI1548" s="295" t="s">
        <v>2227</v>
      </c>
      <c r="BJ1548" s="546">
        <v>1</v>
      </c>
      <c r="BK1548" s="294" t="s">
        <v>16</v>
      </c>
      <c r="BL1548" s="157" t="s">
        <v>16</v>
      </c>
      <c r="BM1548" s="548" t="s">
        <v>578</v>
      </c>
      <c r="BN1548" s="548" t="s">
        <v>4159</v>
      </c>
      <c r="BO1548" s="157" t="s">
        <v>4311</v>
      </c>
      <c r="BP1548" s="548" t="s">
        <v>4395</v>
      </c>
      <c r="BQ1548" s="157" t="s">
        <v>4309</v>
      </c>
      <c r="BR1548" s="157"/>
    </row>
    <row r="1549" spans="1:70" x14ac:dyDescent="0.25">
      <c r="A1549" s="19" t="s">
        <v>3686</v>
      </c>
      <c r="B1549" s="37" t="s">
        <v>1796</v>
      </c>
      <c r="C1549" s="90">
        <v>44725.759432870371</v>
      </c>
      <c r="D1549" s="114">
        <v>44725.509432870371</v>
      </c>
      <c r="E1549" s="38">
        <v>44725</v>
      </c>
      <c r="F1549" s="91">
        <v>2022</v>
      </c>
      <c r="G1549" s="93">
        <v>6</v>
      </c>
      <c r="H1549" s="37" t="s">
        <v>1386</v>
      </c>
      <c r="I1549" s="37"/>
      <c r="J1549" s="103">
        <v>-92.296243000000004</v>
      </c>
      <c r="K1549" s="40">
        <v>43.714929599999998</v>
      </c>
      <c r="L1549" s="74"/>
      <c r="M1549" s="272" t="s">
        <v>1797</v>
      </c>
      <c r="N1549" s="74">
        <v>1</v>
      </c>
      <c r="O1549" s="94"/>
      <c r="P1549" s="118">
        <v>1</v>
      </c>
      <c r="Q1549" s="510">
        <v>40</v>
      </c>
      <c r="R1549" s="513">
        <v>180</v>
      </c>
      <c r="S1549" s="41"/>
      <c r="T1549" s="40"/>
      <c r="U1549" s="40">
        <v>7.5</v>
      </c>
      <c r="V1549" s="119">
        <v>1</v>
      </c>
      <c r="W1549" s="40">
        <v>200</v>
      </c>
      <c r="X1549" s="119">
        <v>1</v>
      </c>
      <c r="Y1549" s="40">
        <v>60</v>
      </c>
      <c r="Z1549" s="119">
        <v>1</v>
      </c>
      <c r="AA1549" s="368">
        <v>0</v>
      </c>
      <c r="AB1549" s="535">
        <v>5</v>
      </c>
      <c r="AC1549" s="39" t="s">
        <v>160</v>
      </c>
      <c r="AD1549" s="75" t="s">
        <v>10</v>
      </c>
      <c r="AE1549" s="95">
        <v>0</v>
      </c>
      <c r="AF1549" s="75">
        <v>0</v>
      </c>
      <c r="AG1549" s="75">
        <v>0</v>
      </c>
      <c r="AH1549" s="75">
        <v>0</v>
      </c>
      <c r="AI1549" s="75">
        <v>0</v>
      </c>
      <c r="AJ1549" s="75">
        <v>0</v>
      </c>
      <c r="AK1549" s="75">
        <v>0</v>
      </c>
      <c r="AL1549" s="95">
        <v>1</v>
      </c>
      <c r="AM1549" s="92">
        <v>0</v>
      </c>
      <c r="AN1549" s="79" t="s">
        <v>81</v>
      </c>
      <c r="AO1549" s="75">
        <v>1</v>
      </c>
      <c r="AP1549" s="75"/>
      <c r="AQ1549" s="122">
        <v>0</v>
      </c>
      <c r="AR1549" s="515" t="s">
        <v>13</v>
      </c>
      <c r="AS1549" s="95">
        <v>1</v>
      </c>
      <c r="AT1549" s="75">
        <v>0</v>
      </c>
      <c r="AU1549" s="75">
        <v>0</v>
      </c>
      <c r="AV1549" s="75">
        <v>0</v>
      </c>
      <c r="AW1549" s="123">
        <v>0</v>
      </c>
      <c r="AX1549" s="516"/>
      <c r="AY1549" s="75">
        <v>0</v>
      </c>
      <c r="AZ1549" s="77" t="s">
        <v>131</v>
      </c>
      <c r="BA1549" s="78" t="s">
        <v>131</v>
      </c>
      <c r="BB1549" s="78" t="s">
        <v>131</v>
      </c>
      <c r="BC1549" s="78" t="s">
        <v>131</v>
      </c>
      <c r="BD1549" s="78" t="s">
        <v>131</v>
      </c>
      <c r="BE1549" s="78" t="s">
        <v>131</v>
      </c>
      <c r="BF1549" s="78" t="s">
        <v>131</v>
      </c>
      <c r="BG1549" s="78" t="s">
        <v>132</v>
      </c>
      <c r="BH1549" s="75" t="s">
        <v>5970</v>
      </c>
      <c r="BI1549" s="295" t="s">
        <v>2230</v>
      </c>
      <c r="BJ1549" s="546">
        <v>1</v>
      </c>
      <c r="BK1549" s="294" t="s">
        <v>16</v>
      </c>
      <c r="BL1549" s="157" t="s">
        <v>16</v>
      </c>
      <c r="BM1549" s="548" t="s">
        <v>1339</v>
      </c>
      <c r="BN1549" s="548" t="s">
        <v>1339</v>
      </c>
      <c r="BO1549" s="157" t="s">
        <v>4227</v>
      </c>
      <c r="BP1549" s="548" t="s">
        <v>2230</v>
      </c>
      <c r="BQ1549" s="157" t="s">
        <v>4226</v>
      </c>
      <c r="BR1549" s="157"/>
    </row>
    <row r="1550" spans="1:70" x14ac:dyDescent="0.25">
      <c r="A1550" s="19" t="s">
        <v>3686</v>
      </c>
      <c r="B1550" s="37" t="s">
        <v>1798</v>
      </c>
      <c r="C1550" s="90">
        <v>44725.681423611109</v>
      </c>
      <c r="D1550" s="114">
        <v>44725.431423611109</v>
      </c>
      <c r="E1550" s="38">
        <v>44725</v>
      </c>
      <c r="F1550" s="91">
        <v>2022</v>
      </c>
      <c r="G1550" s="93">
        <v>6</v>
      </c>
      <c r="H1550" s="37" t="s">
        <v>618</v>
      </c>
      <c r="I1550" s="37" t="s">
        <v>753</v>
      </c>
      <c r="J1550" s="103">
        <v>-92.802105249032763</v>
      </c>
      <c r="K1550" s="40">
        <v>44.543020895462369</v>
      </c>
      <c r="L1550" s="74"/>
      <c r="M1550" s="272" t="s">
        <v>16</v>
      </c>
      <c r="N1550" s="74">
        <v>0</v>
      </c>
      <c r="O1550" s="94"/>
      <c r="P1550" s="118">
        <v>1</v>
      </c>
      <c r="Q1550" s="510">
        <v>120</v>
      </c>
      <c r="R1550" s="513">
        <v>180</v>
      </c>
      <c r="S1550" s="41"/>
      <c r="T1550" s="40"/>
      <c r="U1550" s="40">
        <v>8</v>
      </c>
      <c r="V1550" s="119">
        <v>1</v>
      </c>
      <c r="W1550" s="40">
        <v>100</v>
      </c>
      <c r="X1550" s="119">
        <v>1</v>
      </c>
      <c r="Y1550" s="40">
        <v>55</v>
      </c>
      <c r="Z1550" s="119">
        <v>1</v>
      </c>
      <c r="AA1550" s="368">
        <v>0</v>
      </c>
      <c r="AB1550" s="535">
        <v>10</v>
      </c>
      <c r="AC1550" s="39" t="s">
        <v>160</v>
      </c>
      <c r="AD1550" s="75" t="s">
        <v>10</v>
      </c>
      <c r="AE1550" s="95">
        <v>0</v>
      </c>
      <c r="AF1550" s="75">
        <v>0</v>
      </c>
      <c r="AG1550" s="75">
        <v>0</v>
      </c>
      <c r="AH1550" s="75">
        <v>0</v>
      </c>
      <c r="AI1550" s="75">
        <v>0</v>
      </c>
      <c r="AJ1550" s="75">
        <v>0</v>
      </c>
      <c r="AK1550" s="75">
        <v>0</v>
      </c>
      <c r="AL1550" s="95">
        <v>1</v>
      </c>
      <c r="AM1550" s="92">
        <v>0</v>
      </c>
      <c r="AN1550" s="79" t="s">
        <v>80</v>
      </c>
      <c r="AO1550" s="75">
        <v>1</v>
      </c>
      <c r="AP1550" s="75" t="s">
        <v>83</v>
      </c>
      <c r="AQ1550" s="122">
        <v>1</v>
      </c>
      <c r="AR1550" s="515" t="s">
        <v>13</v>
      </c>
      <c r="AS1550" s="95">
        <v>1</v>
      </c>
      <c r="AT1550" s="75">
        <v>0</v>
      </c>
      <c r="AU1550" s="75">
        <v>0</v>
      </c>
      <c r="AV1550" s="75">
        <v>0</v>
      </c>
      <c r="AW1550" s="123">
        <v>0</v>
      </c>
      <c r="AX1550" s="516"/>
      <c r="AY1550" s="75">
        <v>0</v>
      </c>
      <c r="AZ1550" s="77" t="s">
        <v>131</v>
      </c>
      <c r="BA1550" s="78" t="s">
        <v>131</v>
      </c>
      <c r="BB1550" s="78" t="s">
        <v>131</v>
      </c>
      <c r="BC1550" s="78" t="s">
        <v>131</v>
      </c>
      <c r="BD1550" s="78" t="s">
        <v>131</v>
      </c>
      <c r="BE1550" s="78" t="s">
        <v>131</v>
      </c>
      <c r="BF1550" s="78" t="s">
        <v>131</v>
      </c>
      <c r="BG1550" s="78" t="s">
        <v>132</v>
      </c>
      <c r="BH1550" s="75" t="s">
        <v>5970</v>
      </c>
      <c r="BI1550" s="295" t="s">
        <v>2224</v>
      </c>
      <c r="BJ1550" s="546">
        <v>1</v>
      </c>
      <c r="BK1550" s="294">
        <v>1</v>
      </c>
      <c r="BL1550" s="157">
        <v>1</v>
      </c>
      <c r="BM1550" s="548" t="s">
        <v>2343</v>
      </c>
      <c r="BN1550" s="548" t="s">
        <v>4161</v>
      </c>
      <c r="BO1550" s="157" t="s">
        <v>4510</v>
      </c>
      <c r="BP1550" s="548" t="s">
        <v>753</v>
      </c>
      <c r="BQ1550" s="157" t="s">
        <v>4389</v>
      </c>
      <c r="BR1550" s="157"/>
    </row>
    <row r="1551" spans="1:70" x14ac:dyDescent="0.25">
      <c r="A1551" s="19" t="s">
        <v>3686</v>
      </c>
      <c r="B1551" s="37" t="s">
        <v>1799</v>
      </c>
      <c r="C1551" s="90">
        <v>44725.073530092595</v>
      </c>
      <c r="D1551" s="114">
        <v>44724.823530092595</v>
      </c>
      <c r="E1551" s="38">
        <v>44724</v>
      </c>
      <c r="F1551" s="91">
        <v>2022</v>
      </c>
      <c r="G1551" s="93">
        <v>6</v>
      </c>
      <c r="H1551" s="37" t="s">
        <v>1410</v>
      </c>
      <c r="I1551" s="37" t="s">
        <v>1411</v>
      </c>
      <c r="J1551" s="103">
        <v>-93.231730230813284</v>
      </c>
      <c r="K1551" s="40">
        <v>44.84653080623621</v>
      </c>
      <c r="L1551" s="74"/>
      <c r="M1551" s="272" t="s">
        <v>1800</v>
      </c>
      <c r="N1551" s="74">
        <v>1</v>
      </c>
      <c r="O1551" s="94"/>
      <c r="P1551" s="118">
        <v>1</v>
      </c>
      <c r="Q1551" s="510">
        <v>180</v>
      </c>
      <c r="R1551" s="513">
        <v>120</v>
      </c>
      <c r="S1551" s="41"/>
      <c r="T1551" s="40"/>
      <c r="U1551" s="40">
        <v>8</v>
      </c>
      <c r="V1551" s="119">
        <v>1</v>
      </c>
      <c r="W1551" s="40">
        <v>0</v>
      </c>
      <c r="X1551" s="119">
        <v>1</v>
      </c>
      <c r="Y1551" s="40">
        <v>58</v>
      </c>
      <c r="Z1551" s="119">
        <v>1</v>
      </c>
      <c r="AA1551" s="368">
        <v>0</v>
      </c>
      <c r="AB1551" s="535">
        <v>0</v>
      </c>
      <c r="AC1551" s="39" t="s">
        <v>160</v>
      </c>
      <c r="AD1551" s="75" t="s">
        <v>10</v>
      </c>
      <c r="AE1551" s="95">
        <v>0</v>
      </c>
      <c r="AF1551" s="75">
        <v>0</v>
      </c>
      <c r="AG1551" s="75">
        <v>0</v>
      </c>
      <c r="AH1551" s="75">
        <v>0</v>
      </c>
      <c r="AI1551" s="75">
        <v>0</v>
      </c>
      <c r="AJ1551" s="75">
        <v>0</v>
      </c>
      <c r="AK1551" s="75">
        <v>0</v>
      </c>
      <c r="AL1551" s="95">
        <v>1</v>
      </c>
      <c r="AM1551" s="92">
        <v>0</v>
      </c>
      <c r="AN1551" s="79" t="s">
        <v>86</v>
      </c>
      <c r="AO1551" s="75">
        <v>1</v>
      </c>
      <c r="AP1551" s="75" t="s">
        <v>83</v>
      </c>
      <c r="AQ1551" s="122">
        <v>1</v>
      </c>
      <c r="AR1551" s="515" t="s">
        <v>10</v>
      </c>
      <c r="AS1551" s="95">
        <v>0</v>
      </c>
      <c r="AT1551" s="75">
        <v>0</v>
      </c>
      <c r="AU1551" s="75">
        <v>0</v>
      </c>
      <c r="AV1551" s="75">
        <v>0</v>
      </c>
      <c r="AW1551" s="123">
        <v>0</v>
      </c>
      <c r="AX1551" s="516"/>
      <c r="AY1551" s="75">
        <v>0</v>
      </c>
      <c r="AZ1551" s="77" t="s">
        <v>131</v>
      </c>
      <c r="BA1551" s="78" t="s">
        <v>131</v>
      </c>
      <c r="BB1551" s="78" t="s">
        <v>131</v>
      </c>
      <c r="BC1551" s="78" t="s">
        <v>131</v>
      </c>
      <c r="BD1551" s="78" t="s">
        <v>131</v>
      </c>
      <c r="BE1551" s="78" t="s">
        <v>131</v>
      </c>
      <c r="BF1551" s="78" t="s">
        <v>131</v>
      </c>
      <c r="BG1551" s="78" t="s">
        <v>132</v>
      </c>
      <c r="BH1551" s="75" t="s">
        <v>5970</v>
      </c>
      <c r="BI1551" s="295" t="s">
        <v>16</v>
      </c>
      <c r="BJ1551" s="546" t="s">
        <v>16</v>
      </c>
      <c r="BK1551" s="294" t="s">
        <v>16</v>
      </c>
      <c r="BL1551" s="157" t="s">
        <v>16</v>
      </c>
      <c r="BM1551" s="548" t="s">
        <v>2343</v>
      </c>
      <c r="BN1551" s="548" t="s">
        <v>4161</v>
      </c>
      <c r="BO1551" s="157" t="s">
        <v>4327</v>
      </c>
      <c r="BP1551" s="548" t="s">
        <v>4314</v>
      </c>
      <c r="BQ1551" s="157" t="s">
        <v>4312</v>
      </c>
      <c r="BR1551" s="157"/>
    </row>
    <row r="1552" spans="1:70" x14ac:dyDescent="0.25">
      <c r="A1552" s="19" t="s">
        <v>3686</v>
      </c>
      <c r="B1552" s="37" t="s">
        <v>1801</v>
      </c>
      <c r="C1552" s="90">
        <v>44723.819826388892</v>
      </c>
      <c r="D1552" s="114">
        <v>44723.569826388892</v>
      </c>
      <c r="E1552" s="38">
        <v>44723</v>
      </c>
      <c r="F1552" s="91">
        <v>2022</v>
      </c>
      <c r="G1552" s="93">
        <v>6</v>
      </c>
      <c r="H1552" s="37" t="s">
        <v>1391</v>
      </c>
      <c r="I1552" s="37"/>
      <c r="J1552" s="103">
        <v>-93.009002488193104</v>
      </c>
      <c r="K1552" s="40">
        <v>44.657272654627128</v>
      </c>
      <c r="L1552" s="74"/>
      <c r="M1552" s="272" t="s">
        <v>16</v>
      </c>
      <c r="N1552" s="74">
        <v>0</v>
      </c>
      <c r="O1552" s="94"/>
      <c r="P1552" s="118">
        <v>0</v>
      </c>
      <c r="Q1552" s="510"/>
      <c r="R1552" s="513"/>
      <c r="S1552" s="41"/>
      <c r="T1552" s="40"/>
      <c r="U1552" s="40"/>
      <c r="V1552" s="119">
        <v>0</v>
      </c>
      <c r="W1552" s="40"/>
      <c r="X1552" s="119">
        <v>0</v>
      </c>
      <c r="Y1552" s="40"/>
      <c r="Z1552" s="119">
        <v>0</v>
      </c>
      <c r="AA1552" s="368" t="s">
        <v>16</v>
      </c>
      <c r="AB1552" s="535" t="s">
        <v>16</v>
      </c>
      <c r="AC1552" s="39"/>
      <c r="AD1552" s="75" t="s">
        <v>10</v>
      </c>
      <c r="AE1552" s="95">
        <v>0</v>
      </c>
      <c r="AF1552" s="75">
        <v>0</v>
      </c>
      <c r="AG1552" s="75">
        <v>0</v>
      </c>
      <c r="AH1552" s="75">
        <v>0</v>
      </c>
      <c r="AI1552" s="75">
        <v>0</v>
      </c>
      <c r="AJ1552" s="75">
        <v>0</v>
      </c>
      <c r="AK1552" s="75">
        <v>0</v>
      </c>
      <c r="AL1552" s="95">
        <v>1</v>
      </c>
      <c r="AM1552" s="92">
        <v>0</v>
      </c>
      <c r="AN1552" s="79" t="s">
        <v>80</v>
      </c>
      <c r="AO1552" s="75">
        <v>1</v>
      </c>
      <c r="AP1552" s="75" t="s">
        <v>83</v>
      </c>
      <c r="AQ1552" s="122">
        <v>1</v>
      </c>
      <c r="AR1552" s="515" t="s">
        <v>13</v>
      </c>
      <c r="AS1552" s="95">
        <v>1</v>
      </c>
      <c r="AT1552" s="75">
        <v>0</v>
      </c>
      <c r="AU1552" s="75">
        <v>0</v>
      </c>
      <c r="AV1552" s="75">
        <v>0</v>
      </c>
      <c r="AW1552" s="123">
        <v>0</v>
      </c>
      <c r="AX1552" s="516"/>
      <c r="AY1552" s="75">
        <v>0</v>
      </c>
      <c r="AZ1552" s="77" t="s">
        <v>131</v>
      </c>
      <c r="BA1552" s="78" t="s">
        <v>131</v>
      </c>
      <c r="BB1552" s="78" t="s">
        <v>131</v>
      </c>
      <c r="BC1552" s="78" t="s">
        <v>131</v>
      </c>
      <c r="BD1552" s="78" t="s">
        <v>131</v>
      </c>
      <c r="BE1552" s="78" t="s">
        <v>131</v>
      </c>
      <c r="BF1552" s="78" t="s">
        <v>131</v>
      </c>
      <c r="BG1552" s="78" t="s">
        <v>132</v>
      </c>
      <c r="BH1552" s="75" t="s">
        <v>5970</v>
      </c>
      <c r="BI1552" s="295" t="s">
        <v>2225</v>
      </c>
      <c r="BJ1552" s="546">
        <v>1</v>
      </c>
      <c r="BK1552" s="294" t="s">
        <v>16</v>
      </c>
      <c r="BL1552" s="157" t="s">
        <v>16</v>
      </c>
      <c r="BM1552" s="548" t="s">
        <v>2343</v>
      </c>
      <c r="BN1552" s="548" t="s">
        <v>4161</v>
      </c>
      <c r="BO1552" s="157" t="s">
        <v>4293</v>
      </c>
      <c r="BP1552" s="548" t="s">
        <v>2225</v>
      </c>
      <c r="BQ1552" s="157" t="s">
        <v>4292</v>
      </c>
      <c r="BR1552" s="157"/>
    </row>
    <row r="1553" spans="1:70" x14ac:dyDescent="0.25">
      <c r="A1553" s="19" t="s">
        <v>3686</v>
      </c>
      <c r="B1553" s="37" t="s">
        <v>1802</v>
      </c>
      <c r="C1553" s="90">
        <v>44723.818784722222</v>
      </c>
      <c r="D1553" s="114">
        <v>44723.568784722222</v>
      </c>
      <c r="E1553" s="38">
        <v>44723</v>
      </c>
      <c r="F1553" s="91">
        <v>2022</v>
      </c>
      <c r="G1553" s="93">
        <v>6</v>
      </c>
      <c r="H1553" s="37" t="s">
        <v>1391</v>
      </c>
      <c r="I1553" s="37" t="s">
        <v>960</v>
      </c>
      <c r="J1553" s="103">
        <v>-93.008973319170082</v>
      </c>
      <c r="K1553" s="40">
        <v>44.657278354321285</v>
      </c>
      <c r="L1553" s="74"/>
      <c r="M1553" s="272" t="s">
        <v>16</v>
      </c>
      <c r="N1553" s="74">
        <v>0</v>
      </c>
      <c r="O1553" s="94"/>
      <c r="P1553" s="118">
        <v>1</v>
      </c>
      <c r="Q1553" s="510">
        <v>120</v>
      </c>
      <c r="R1553" s="513">
        <v>120</v>
      </c>
      <c r="S1553" s="41"/>
      <c r="T1553" s="40"/>
      <c r="U1553" s="40">
        <v>7</v>
      </c>
      <c r="V1553" s="119">
        <v>1</v>
      </c>
      <c r="W1553" s="40">
        <v>200</v>
      </c>
      <c r="X1553" s="119">
        <v>1</v>
      </c>
      <c r="Y1553" s="40">
        <v>64</v>
      </c>
      <c r="Z1553" s="119">
        <v>1</v>
      </c>
      <c r="AA1553" s="368">
        <v>0</v>
      </c>
      <c r="AB1553" s="535">
        <v>5</v>
      </c>
      <c r="AC1553" s="39" t="s">
        <v>160</v>
      </c>
      <c r="AD1553" s="75" t="s">
        <v>16</v>
      </c>
      <c r="AE1553" s="95">
        <v>-1</v>
      </c>
      <c r="AF1553" s="75">
        <v>-1</v>
      </c>
      <c r="AG1553" s="75">
        <v>-1</v>
      </c>
      <c r="AH1553" s="75">
        <v>-1</v>
      </c>
      <c r="AI1553" s="75">
        <v>-1</v>
      </c>
      <c r="AJ1553" s="75">
        <v>-1</v>
      </c>
      <c r="AK1553" s="75">
        <v>-1</v>
      </c>
      <c r="AL1553" s="95">
        <v>-1</v>
      </c>
      <c r="AM1553" s="92">
        <v>1</v>
      </c>
      <c r="AN1553" s="79"/>
      <c r="AO1553" s="75">
        <v>0</v>
      </c>
      <c r="AP1553" s="75"/>
      <c r="AQ1553" s="122">
        <v>0</v>
      </c>
      <c r="AR1553" s="515" t="s">
        <v>16</v>
      </c>
      <c r="AS1553" s="95">
        <v>-1</v>
      </c>
      <c r="AT1553" s="75">
        <v>-1</v>
      </c>
      <c r="AU1553" s="75">
        <v>-1</v>
      </c>
      <c r="AV1553" s="75">
        <v>-1</v>
      </c>
      <c r="AW1553" s="123">
        <v>1</v>
      </c>
      <c r="AX1553" s="516"/>
      <c r="AY1553" s="75">
        <v>0</v>
      </c>
      <c r="AZ1553" s="77" t="s">
        <v>5971</v>
      </c>
      <c r="BA1553" s="78" t="s">
        <v>5971</v>
      </c>
      <c r="BB1553" s="78" t="s">
        <v>5971</v>
      </c>
      <c r="BC1553" s="78" t="s">
        <v>5971</v>
      </c>
      <c r="BD1553" s="78" t="s">
        <v>5971</v>
      </c>
      <c r="BE1553" s="78" t="s">
        <v>5971</v>
      </c>
      <c r="BF1553" s="78" t="s">
        <v>5971</v>
      </c>
      <c r="BG1553" s="78" t="s">
        <v>5971</v>
      </c>
      <c r="BH1553" s="75" t="s">
        <v>5971</v>
      </c>
      <c r="BI1553" s="295" t="s">
        <v>2225</v>
      </c>
      <c r="BJ1553" s="546">
        <v>1</v>
      </c>
      <c r="BK1553" s="294" t="s">
        <v>16</v>
      </c>
      <c r="BL1553" s="157" t="s">
        <v>16</v>
      </c>
      <c r="BM1553" s="548" t="s">
        <v>2343</v>
      </c>
      <c r="BN1553" s="548" t="s">
        <v>4161</v>
      </c>
      <c r="BO1553" s="157" t="s">
        <v>4293</v>
      </c>
      <c r="BP1553" s="548" t="s">
        <v>2225</v>
      </c>
      <c r="BQ1553" s="157" t="s">
        <v>4292</v>
      </c>
      <c r="BR1553" s="157"/>
    </row>
    <row r="1554" spans="1:70" x14ac:dyDescent="0.25">
      <c r="A1554" s="19" t="s">
        <v>3686</v>
      </c>
      <c r="B1554" s="37" t="s">
        <v>1803</v>
      </c>
      <c r="C1554" s="90">
        <v>44722.893541666665</v>
      </c>
      <c r="D1554" s="114">
        <v>44722.643541666665</v>
      </c>
      <c r="E1554" s="38">
        <v>44722</v>
      </c>
      <c r="F1554" s="91">
        <v>2022</v>
      </c>
      <c r="G1554" s="93">
        <v>6</v>
      </c>
      <c r="H1554" s="37" t="s">
        <v>606</v>
      </c>
      <c r="I1554" s="37"/>
      <c r="J1554" s="103">
        <v>-92.149222089504207</v>
      </c>
      <c r="K1554" s="40">
        <v>44.248810839234999</v>
      </c>
      <c r="L1554" s="74"/>
      <c r="M1554" s="272" t="s">
        <v>16</v>
      </c>
      <c r="N1554" s="74">
        <v>0</v>
      </c>
      <c r="O1554" s="94"/>
      <c r="P1554" s="118">
        <v>1</v>
      </c>
      <c r="Q1554" s="510">
        <v>120</v>
      </c>
      <c r="R1554" s="513">
        <v>180</v>
      </c>
      <c r="S1554" s="41"/>
      <c r="T1554" s="40"/>
      <c r="U1554" s="40">
        <v>8</v>
      </c>
      <c r="V1554" s="119">
        <v>1</v>
      </c>
      <c r="W1554" s="40">
        <v>0</v>
      </c>
      <c r="X1554" s="119">
        <v>1</v>
      </c>
      <c r="Y1554" s="40">
        <v>62</v>
      </c>
      <c r="Z1554" s="119">
        <v>1</v>
      </c>
      <c r="AA1554" s="368">
        <v>0</v>
      </c>
      <c r="AB1554" s="535">
        <v>2</v>
      </c>
      <c r="AC1554" s="39" t="s">
        <v>160</v>
      </c>
      <c r="AD1554" s="75" t="s">
        <v>10</v>
      </c>
      <c r="AE1554" s="95">
        <v>0</v>
      </c>
      <c r="AF1554" s="75">
        <v>0</v>
      </c>
      <c r="AG1554" s="75">
        <v>0</v>
      </c>
      <c r="AH1554" s="75">
        <v>0</v>
      </c>
      <c r="AI1554" s="75">
        <v>0</v>
      </c>
      <c r="AJ1554" s="75">
        <v>0</v>
      </c>
      <c r="AK1554" s="75">
        <v>0</v>
      </c>
      <c r="AL1554" s="95">
        <v>1</v>
      </c>
      <c r="AM1554" s="92">
        <v>0</v>
      </c>
      <c r="AN1554" s="79" t="s">
        <v>80</v>
      </c>
      <c r="AO1554" s="75">
        <v>1</v>
      </c>
      <c r="AP1554" s="75" t="s">
        <v>83</v>
      </c>
      <c r="AQ1554" s="122">
        <v>1</v>
      </c>
      <c r="AR1554" s="515" t="s">
        <v>10</v>
      </c>
      <c r="AS1554" s="95">
        <v>0</v>
      </c>
      <c r="AT1554" s="75">
        <v>0</v>
      </c>
      <c r="AU1554" s="75">
        <v>0</v>
      </c>
      <c r="AV1554" s="75">
        <v>0</v>
      </c>
      <c r="AW1554" s="123">
        <v>0</v>
      </c>
      <c r="AX1554" s="516" t="s">
        <v>1804</v>
      </c>
      <c r="AY1554" s="75">
        <v>1</v>
      </c>
      <c r="AZ1554" s="77" t="s">
        <v>131</v>
      </c>
      <c r="BA1554" s="78" t="s">
        <v>131</v>
      </c>
      <c r="BB1554" s="78" t="s">
        <v>131</v>
      </c>
      <c r="BC1554" s="78" t="s">
        <v>131</v>
      </c>
      <c r="BD1554" s="78" t="s">
        <v>131</v>
      </c>
      <c r="BE1554" s="78" t="s">
        <v>131</v>
      </c>
      <c r="BF1554" s="78" t="s">
        <v>131</v>
      </c>
      <c r="BG1554" s="78" t="s">
        <v>132</v>
      </c>
      <c r="BH1554" s="75" t="s">
        <v>5970</v>
      </c>
      <c r="BI1554" s="295" t="s">
        <v>317</v>
      </c>
      <c r="BJ1554" s="546">
        <v>1</v>
      </c>
      <c r="BK1554" s="294">
        <v>1</v>
      </c>
      <c r="BL1554" s="157">
        <v>1</v>
      </c>
      <c r="BM1554" s="548" t="s">
        <v>1339</v>
      </c>
      <c r="BN1554" s="548" t="s">
        <v>1339</v>
      </c>
      <c r="BO1554" s="157" t="s">
        <v>4358</v>
      </c>
      <c r="BP1554" s="548" t="s">
        <v>317</v>
      </c>
      <c r="BQ1554" s="157" t="s">
        <v>4330</v>
      </c>
      <c r="BR1554" s="157"/>
    </row>
    <row r="1555" spans="1:70" x14ac:dyDescent="0.25">
      <c r="A1555" s="19" t="s">
        <v>3686</v>
      </c>
      <c r="B1555" s="37" t="s">
        <v>1805</v>
      </c>
      <c r="C1555" s="90">
        <v>44722.697233796294</v>
      </c>
      <c r="D1555" s="114">
        <v>44722.447233796294</v>
      </c>
      <c r="E1555" s="38">
        <v>44722</v>
      </c>
      <c r="F1555" s="91">
        <v>2022</v>
      </c>
      <c r="G1555" s="93">
        <v>6</v>
      </c>
      <c r="H1555" s="37" t="s">
        <v>1517</v>
      </c>
      <c r="I1555" s="37"/>
      <c r="J1555" s="103">
        <v>-91.662014068496362</v>
      </c>
      <c r="K1555" s="40">
        <v>44.786707357789666</v>
      </c>
      <c r="L1555" s="74"/>
      <c r="M1555" s="272" t="s">
        <v>16</v>
      </c>
      <c r="N1555" s="74">
        <v>0</v>
      </c>
      <c r="O1555" s="94"/>
      <c r="P1555" s="118">
        <v>1</v>
      </c>
      <c r="Q1555" s="510">
        <v>0</v>
      </c>
      <c r="R1555" s="513">
        <v>60</v>
      </c>
      <c r="S1555" s="41"/>
      <c r="T1555" s="40"/>
      <c r="U1555" s="40">
        <v>6</v>
      </c>
      <c r="V1555" s="119">
        <v>0</v>
      </c>
      <c r="W1555" s="40"/>
      <c r="X1555" s="119">
        <v>1</v>
      </c>
      <c r="Y1555" s="40">
        <v>62</v>
      </c>
      <c r="Z1555" s="119">
        <v>0</v>
      </c>
      <c r="AA1555" s="368" t="s">
        <v>16</v>
      </c>
      <c r="AB1555" s="535" t="s">
        <v>16</v>
      </c>
      <c r="AC1555" s="39" t="s">
        <v>160</v>
      </c>
      <c r="AD1555" s="75" t="s">
        <v>10</v>
      </c>
      <c r="AE1555" s="95">
        <v>0</v>
      </c>
      <c r="AF1555" s="75">
        <v>0</v>
      </c>
      <c r="AG1555" s="75">
        <v>0</v>
      </c>
      <c r="AH1555" s="75">
        <v>0</v>
      </c>
      <c r="AI1555" s="75">
        <v>0</v>
      </c>
      <c r="AJ1555" s="75">
        <v>0</v>
      </c>
      <c r="AK1555" s="75">
        <v>0</v>
      </c>
      <c r="AL1555" s="95">
        <v>1</v>
      </c>
      <c r="AM1555" s="92">
        <v>0</v>
      </c>
      <c r="AN1555" s="79" t="s">
        <v>80</v>
      </c>
      <c r="AO1555" s="75">
        <v>1</v>
      </c>
      <c r="AP1555" s="75" t="s">
        <v>84</v>
      </c>
      <c r="AQ1555" s="122">
        <v>1</v>
      </c>
      <c r="AR1555" s="515" t="s">
        <v>10</v>
      </c>
      <c r="AS1555" s="95">
        <v>0</v>
      </c>
      <c r="AT1555" s="75">
        <v>0</v>
      </c>
      <c r="AU1555" s="75">
        <v>0</v>
      </c>
      <c r="AV1555" s="75">
        <v>0</v>
      </c>
      <c r="AW1555" s="123">
        <v>0</v>
      </c>
      <c r="AX1555" s="516"/>
      <c r="AY1555" s="75">
        <v>0</v>
      </c>
      <c r="AZ1555" s="77" t="s">
        <v>131</v>
      </c>
      <c r="BA1555" s="78" t="s">
        <v>131</v>
      </c>
      <c r="BB1555" s="78" t="s">
        <v>131</v>
      </c>
      <c r="BC1555" s="78" t="s">
        <v>131</v>
      </c>
      <c r="BD1555" s="78" t="s">
        <v>131</v>
      </c>
      <c r="BE1555" s="78" t="s">
        <v>131</v>
      </c>
      <c r="BF1555" s="78" t="s">
        <v>131</v>
      </c>
      <c r="BG1555" s="78" t="s">
        <v>132</v>
      </c>
      <c r="BH1555" s="75" t="s">
        <v>5970</v>
      </c>
      <c r="BI1555" s="295" t="s">
        <v>2246</v>
      </c>
      <c r="BJ1555" s="546">
        <v>1</v>
      </c>
      <c r="BK1555" s="294" t="s">
        <v>16</v>
      </c>
      <c r="BL1555" s="157" t="s">
        <v>16</v>
      </c>
      <c r="BM1555" s="548" t="s">
        <v>1340</v>
      </c>
      <c r="BN1555" s="548" t="s">
        <v>2344</v>
      </c>
      <c r="BO1555" s="157" t="s">
        <v>4631</v>
      </c>
      <c r="BP1555" s="548" t="s">
        <v>4632</v>
      </c>
      <c r="BQ1555" s="157" t="s">
        <v>4630</v>
      </c>
      <c r="BR1555" s="157"/>
    </row>
    <row r="1556" spans="1:70" x14ac:dyDescent="0.25">
      <c r="A1556" s="19" t="s">
        <v>3686</v>
      </c>
      <c r="B1556" s="37" t="s">
        <v>3684</v>
      </c>
      <c r="C1556" s="90">
        <v>44721.695092592592</v>
      </c>
      <c r="D1556" s="114">
        <v>44721.445092592592</v>
      </c>
      <c r="E1556" s="38">
        <v>44721</v>
      </c>
      <c r="F1556" s="91">
        <v>2022</v>
      </c>
      <c r="G1556" s="93">
        <v>6</v>
      </c>
      <c r="H1556" s="37" t="s">
        <v>1807</v>
      </c>
      <c r="I1556" s="37"/>
      <c r="J1556" s="103">
        <v>-91.762896777907926</v>
      </c>
      <c r="K1556" s="40">
        <v>42.8616595299683</v>
      </c>
      <c r="L1556" s="74"/>
      <c r="M1556" s="272" t="s">
        <v>3685</v>
      </c>
      <c r="N1556" s="74">
        <v>1</v>
      </c>
      <c r="O1556" s="94"/>
      <c r="P1556" s="118">
        <v>1</v>
      </c>
      <c r="Q1556" s="510">
        <v>180</v>
      </c>
      <c r="R1556" s="513">
        <v>180</v>
      </c>
      <c r="S1556" s="41"/>
      <c r="T1556" s="40"/>
      <c r="U1556" s="40">
        <v>7.5</v>
      </c>
      <c r="V1556" s="119">
        <v>1</v>
      </c>
      <c r="W1556" s="40">
        <v>0</v>
      </c>
      <c r="X1556" s="119">
        <v>1</v>
      </c>
      <c r="Y1556" s="40">
        <v>64</v>
      </c>
      <c r="Z1556" s="119">
        <v>1</v>
      </c>
      <c r="AA1556" s="368">
        <v>0</v>
      </c>
      <c r="AB1556" s="535">
        <v>20</v>
      </c>
      <c r="AC1556" s="39" t="s">
        <v>160</v>
      </c>
      <c r="AD1556" s="75" t="s">
        <v>10</v>
      </c>
      <c r="AE1556" s="95">
        <v>0</v>
      </c>
      <c r="AF1556" s="75">
        <v>0</v>
      </c>
      <c r="AG1556" s="75">
        <v>0</v>
      </c>
      <c r="AH1556" s="75">
        <v>0</v>
      </c>
      <c r="AI1556" s="75">
        <v>0</v>
      </c>
      <c r="AJ1556" s="75">
        <v>0</v>
      </c>
      <c r="AK1556" s="75">
        <v>0</v>
      </c>
      <c r="AL1556" s="95">
        <v>1</v>
      </c>
      <c r="AM1556" s="92">
        <v>0</v>
      </c>
      <c r="AN1556" s="79" t="s">
        <v>195</v>
      </c>
      <c r="AO1556" s="75">
        <v>1</v>
      </c>
      <c r="AP1556" s="75" t="s">
        <v>84</v>
      </c>
      <c r="AQ1556" s="122">
        <v>1</v>
      </c>
      <c r="AR1556" s="515" t="s">
        <v>16</v>
      </c>
      <c r="AS1556" s="95">
        <v>-1</v>
      </c>
      <c r="AT1556" s="75">
        <v>-1</v>
      </c>
      <c r="AU1556" s="75">
        <v>-1</v>
      </c>
      <c r="AV1556" s="75">
        <v>-1</v>
      </c>
      <c r="AW1556" s="123">
        <v>1</v>
      </c>
      <c r="AX1556" s="516"/>
      <c r="AY1556" s="75">
        <v>0</v>
      </c>
      <c r="AZ1556" s="77" t="s">
        <v>131</v>
      </c>
      <c r="BA1556" s="78" t="s">
        <v>131</v>
      </c>
      <c r="BB1556" s="78" t="s">
        <v>131</v>
      </c>
      <c r="BC1556" s="78" t="s">
        <v>131</v>
      </c>
      <c r="BD1556" s="78" t="s">
        <v>131</v>
      </c>
      <c r="BE1556" s="78" t="s">
        <v>131</v>
      </c>
      <c r="BF1556" s="78" t="s">
        <v>131</v>
      </c>
      <c r="BG1556" s="78" t="s">
        <v>132</v>
      </c>
      <c r="BH1556" s="75" t="s">
        <v>5970</v>
      </c>
      <c r="BI1556" s="295" t="s">
        <v>16</v>
      </c>
      <c r="BJ1556" s="546">
        <v>1</v>
      </c>
      <c r="BK1556" s="294" t="s">
        <v>16</v>
      </c>
      <c r="BL1556" s="157" t="s">
        <v>16</v>
      </c>
      <c r="BM1556" s="548" t="s">
        <v>1344</v>
      </c>
      <c r="BN1556" s="548" t="s">
        <v>4160</v>
      </c>
      <c r="BO1556" s="157" t="s">
        <v>4572</v>
      </c>
      <c r="BP1556" s="548" t="s">
        <v>4574</v>
      </c>
      <c r="BQ1556" s="157" t="s">
        <v>4571</v>
      </c>
      <c r="BR1556" s="157"/>
    </row>
    <row r="1557" spans="1:70" x14ac:dyDescent="0.25">
      <c r="A1557" s="19" t="s">
        <v>3686</v>
      </c>
      <c r="B1557" s="37" t="s">
        <v>1806</v>
      </c>
      <c r="C1557" s="90">
        <v>44721.66097222222</v>
      </c>
      <c r="D1557" s="114">
        <v>44721.41097222222</v>
      </c>
      <c r="E1557" s="38">
        <v>44721</v>
      </c>
      <c r="F1557" s="91">
        <v>2022</v>
      </c>
      <c r="G1557" s="93">
        <v>6</v>
      </c>
      <c r="H1557" s="37" t="s">
        <v>1807</v>
      </c>
      <c r="I1557" s="37"/>
      <c r="J1557" s="103">
        <v>-91.760229490481137</v>
      </c>
      <c r="K1557" s="40">
        <v>42.86109791928201</v>
      </c>
      <c r="L1557" s="74"/>
      <c r="M1557" s="272" t="s">
        <v>1808</v>
      </c>
      <c r="N1557" s="74">
        <v>1</v>
      </c>
      <c r="O1557" s="94"/>
      <c r="P1557" s="118">
        <v>1</v>
      </c>
      <c r="Q1557" s="510">
        <v>180</v>
      </c>
      <c r="R1557" s="513">
        <v>180</v>
      </c>
      <c r="S1557" s="41"/>
      <c r="T1557" s="40"/>
      <c r="U1557" s="40">
        <v>8</v>
      </c>
      <c r="V1557" s="119">
        <v>1</v>
      </c>
      <c r="W1557" s="40">
        <v>0</v>
      </c>
      <c r="X1557" s="119">
        <v>0</v>
      </c>
      <c r="Y1557" s="40"/>
      <c r="Z1557" s="119">
        <v>1</v>
      </c>
      <c r="AA1557" s="368">
        <v>0</v>
      </c>
      <c r="AB1557" s="535">
        <v>1</v>
      </c>
      <c r="AC1557" s="39" t="s">
        <v>160</v>
      </c>
      <c r="AD1557" s="75" t="s">
        <v>10</v>
      </c>
      <c r="AE1557" s="95">
        <v>0</v>
      </c>
      <c r="AF1557" s="75">
        <v>0</v>
      </c>
      <c r="AG1557" s="75">
        <v>0</v>
      </c>
      <c r="AH1557" s="75">
        <v>0</v>
      </c>
      <c r="AI1557" s="75">
        <v>0</v>
      </c>
      <c r="AJ1557" s="75">
        <v>0</v>
      </c>
      <c r="AK1557" s="75">
        <v>0</v>
      </c>
      <c r="AL1557" s="95">
        <v>1</v>
      </c>
      <c r="AM1557" s="92">
        <v>0</v>
      </c>
      <c r="AN1557" s="79" t="s">
        <v>80</v>
      </c>
      <c r="AO1557" s="75">
        <v>1</v>
      </c>
      <c r="AP1557" s="75" t="s">
        <v>83</v>
      </c>
      <c r="AQ1557" s="122">
        <v>1</v>
      </c>
      <c r="AR1557" s="515" t="s">
        <v>10</v>
      </c>
      <c r="AS1557" s="95">
        <v>0</v>
      </c>
      <c r="AT1557" s="75">
        <v>0</v>
      </c>
      <c r="AU1557" s="75">
        <v>0</v>
      </c>
      <c r="AV1557" s="75">
        <v>0</v>
      </c>
      <c r="AW1557" s="123">
        <v>0</v>
      </c>
      <c r="AX1557" s="516" t="s">
        <v>1809</v>
      </c>
      <c r="AY1557" s="75">
        <v>1</v>
      </c>
      <c r="AZ1557" s="77" t="s">
        <v>131</v>
      </c>
      <c r="BA1557" s="78" t="s">
        <v>131</v>
      </c>
      <c r="BB1557" s="78" t="s">
        <v>131</v>
      </c>
      <c r="BC1557" s="78" t="s">
        <v>131</v>
      </c>
      <c r="BD1557" s="78" t="s">
        <v>131</v>
      </c>
      <c r="BE1557" s="78" t="s">
        <v>131</v>
      </c>
      <c r="BF1557" s="78" t="s">
        <v>131</v>
      </c>
      <c r="BG1557" s="78" t="s">
        <v>132</v>
      </c>
      <c r="BH1557" s="75" t="s">
        <v>5970</v>
      </c>
      <c r="BI1557" s="295" t="s">
        <v>2284</v>
      </c>
      <c r="BJ1557" s="546">
        <v>1</v>
      </c>
      <c r="BK1557" s="294" t="s">
        <v>16</v>
      </c>
      <c r="BL1557" s="157" t="s">
        <v>16</v>
      </c>
      <c r="BM1557" s="548" t="s">
        <v>1344</v>
      </c>
      <c r="BN1557" s="548" t="s">
        <v>4160</v>
      </c>
      <c r="BO1557" s="157" t="s">
        <v>4572</v>
      </c>
      <c r="BP1557" s="548" t="s">
        <v>4574</v>
      </c>
      <c r="BQ1557" s="157" t="s">
        <v>4571</v>
      </c>
      <c r="BR1557" s="157"/>
    </row>
    <row r="1558" spans="1:70" x14ac:dyDescent="0.25">
      <c r="A1558" s="19" t="s">
        <v>3686</v>
      </c>
      <c r="B1558" s="37" t="s">
        <v>1810</v>
      </c>
      <c r="C1558" s="90">
        <v>44721.539560185185</v>
      </c>
      <c r="D1558" s="114">
        <v>44721.289560185185</v>
      </c>
      <c r="E1558" s="38">
        <v>44721</v>
      </c>
      <c r="F1558" s="91">
        <v>2022</v>
      </c>
      <c r="G1558" s="93">
        <v>6</v>
      </c>
      <c r="H1558" s="37" t="s">
        <v>475</v>
      </c>
      <c r="I1558" s="37"/>
      <c r="J1558" s="103">
        <v>-92.224485604178355</v>
      </c>
      <c r="K1558" s="40">
        <v>43.622284052002819</v>
      </c>
      <c r="L1558" s="74"/>
      <c r="M1558" s="272" t="s">
        <v>1811</v>
      </c>
      <c r="N1558" s="74">
        <v>1</v>
      </c>
      <c r="O1558" s="94"/>
      <c r="P1558" s="118">
        <v>1</v>
      </c>
      <c r="Q1558" s="510">
        <v>180</v>
      </c>
      <c r="R1558" s="513">
        <v>120</v>
      </c>
      <c r="S1558" s="41"/>
      <c r="T1558" s="40"/>
      <c r="U1558" s="40">
        <v>7.5</v>
      </c>
      <c r="V1558" s="119">
        <v>1</v>
      </c>
      <c r="W1558" s="40">
        <v>0</v>
      </c>
      <c r="X1558" s="119">
        <v>0</v>
      </c>
      <c r="Y1558" s="40"/>
      <c r="Z1558" s="119">
        <v>1</v>
      </c>
      <c r="AA1558" s="368">
        <v>0</v>
      </c>
      <c r="AB1558" s="535">
        <v>5</v>
      </c>
      <c r="AC1558" s="39" t="s">
        <v>160</v>
      </c>
      <c r="AD1558" s="75" t="s">
        <v>10</v>
      </c>
      <c r="AE1558" s="95">
        <v>0</v>
      </c>
      <c r="AF1558" s="75">
        <v>0</v>
      </c>
      <c r="AG1558" s="75">
        <v>0</v>
      </c>
      <c r="AH1558" s="75">
        <v>0</v>
      </c>
      <c r="AI1558" s="75">
        <v>0</v>
      </c>
      <c r="AJ1558" s="75">
        <v>0</v>
      </c>
      <c r="AK1558" s="75">
        <v>0</v>
      </c>
      <c r="AL1558" s="95">
        <v>1</v>
      </c>
      <c r="AM1558" s="92">
        <v>0</v>
      </c>
      <c r="AN1558" s="79" t="s">
        <v>80</v>
      </c>
      <c r="AO1558" s="75">
        <v>1</v>
      </c>
      <c r="AP1558" s="75" t="s">
        <v>83</v>
      </c>
      <c r="AQ1558" s="122">
        <v>1</v>
      </c>
      <c r="AR1558" s="515" t="s">
        <v>10</v>
      </c>
      <c r="AS1558" s="95">
        <v>0</v>
      </c>
      <c r="AT1558" s="75">
        <v>0</v>
      </c>
      <c r="AU1558" s="75">
        <v>0</v>
      </c>
      <c r="AV1558" s="75">
        <v>0</v>
      </c>
      <c r="AW1558" s="123">
        <v>0</v>
      </c>
      <c r="AX1558" s="516" t="s">
        <v>1812</v>
      </c>
      <c r="AY1558" s="75">
        <v>1</v>
      </c>
      <c r="AZ1558" s="77" t="s">
        <v>131</v>
      </c>
      <c r="BA1558" s="78" t="s">
        <v>131</v>
      </c>
      <c r="BB1558" s="78" t="s">
        <v>131</v>
      </c>
      <c r="BC1558" s="78" t="s">
        <v>131</v>
      </c>
      <c r="BD1558" s="78" t="s">
        <v>131</v>
      </c>
      <c r="BE1558" s="78" t="s">
        <v>131</v>
      </c>
      <c r="BF1558" s="78" t="s">
        <v>131</v>
      </c>
      <c r="BG1558" s="78" t="s">
        <v>132</v>
      </c>
      <c r="BH1558" s="75" t="s">
        <v>5970</v>
      </c>
      <c r="BI1558" s="295" t="s">
        <v>2232</v>
      </c>
      <c r="BJ1558" s="546">
        <v>1</v>
      </c>
      <c r="BK1558" s="294" t="s">
        <v>16</v>
      </c>
      <c r="BL1558" s="157" t="s">
        <v>16</v>
      </c>
      <c r="BM1558" s="548" t="s">
        <v>1339</v>
      </c>
      <c r="BN1558" s="548" t="s">
        <v>1339</v>
      </c>
      <c r="BO1558" s="157" t="s">
        <v>4332</v>
      </c>
      <c r="BP1558" s="548" t="s">
        <v>4333</v>
      </c>
      <c r="BQ1558" s="157" t="s">
        <v>4229</v>
      </c>
      <c r="BR1558" s="157"/>
    </row>
    <row r="1559" spans="1:70" x14ac:dyDescent="0.25">
      <c r="A1559" s="19" t="s">
        <v>3686</v>
      </c>
      <c r="B1559" s="37" t="s">
        <v>1813</v>
      </c>
      <c r="C1559" s="90">
        <v>44721.48064814815</v>
      </c>
      <c r="D1559" s="114">
        <v>44721.23064814815</v>
      </c>
      <c r="E1559" s="38">
        <v>44721</v>
      </c>
      <c r="F1559" s="91">
        <v>2022</v>
      </c>
      <c r="G1559" s="93">
        <v>6</v>
      </c>
      <c r="H1559" s="37" t="s">
        <v>475</v>
      </c>
      <c r="I1559" s="37"/>
      <c r="J1559" s="103">
        <v>-92.278086030941722</v>
      </c>
      <c r="K1559" s="40">
        <v>43.793198894750134</v>
      </c>
      <c r="L1559" s="74"/>
      <c r="M1559" s="272" t="s">
        <v>1814</v>
      </c>
      <c r="N1559" s="74">
        <v>1</v>
      </c>
      <c r="O1559" s="94"/>
      <c r="P1559" s="118">
        <v>1</v>
      </c>
      <c r="Q1559" s="510">
        <v>180</v>
      </c>
      <c r="R1559" s="513">
        <v>120</v>
      </c>
      <c r="S1559" s="41"/>
      <c r="T1559" s="40"/>
      <c r="U1559" s="40">
        <v>7.5</v>
      </c>
      <c r="V1559" s="119">
        <v>1</v>
      </c>
      <c r="W1559" s="40">
        <v>0</v>
      </c>
      <c r="X1559" s="119">
        <v>0</v>
      </c>
      <c r="Y1559" s="40"/>
      <c r="Z1559" s="119">
        <v>1</v>
      </c>
      <c r="AA1559" s="368">
        <v>0</v>
      </c>
      <c r="AB1559" s="535">
        <v>5</v>
      </c>
      <c r="AC1559" s="39" t="s">
        <v>160</v>
      </c>
      <c r="AD1559" s="75" t="s">
        <v>10</v>
      </c>
      <c r="AE1559" s="95">
        <v>0</v>
      </c>
      <c r="AF1559" s="75">
        <v>0</v>
      </c>
      <c r="AG1559" s="75">
        <v>0</v>
      </c>
      <c r="AH1559" s="75">
        <v>0</v>
      </c>
      <c r="AI1559" s="75">
        <v>0</v>
      </c>
      <c r="AJ1559" s="75">
        <v>0</v>
      </c>
      <c r="AK1559" s="75">
        <v>0</v>
      </c>
      <c r="AL1559" s="95">
        <v>1</v>
      </c>
      <c r="AM1559" s="92">
        <v>0</v>
      </c>
      <c r="AN1559" s="79" t="s">
        <v>80</v>
      </c>
      <c r="AO1559" s="75">
        <v>1</v>
      </c>
      <c r="AP1559" s="75" t="s">
        <v>83</v>
      </c>
      <c r="AQ1559" s="122">
        <v>1</v>
      </c>
      <c r="AR1559" s="515" t="s">
        <v>10</v>
      </c>
      <c r="AS1559" s="95">
        <v>0</v>
      </c>
      <c r="AT1559" s="75">
        <v>0</v>
      </c>
      <c r="AU1559" s="75">
        <v>0</v>
      </c>
      <c r="AV1559" s="75">
        <v>0</v>
      </c>
      <c r="AW1559" s="123">
        <v>0</v>
      </c>
      <c r="AX1559" s="516" t="s">
        <v>1815</v>
      </c>
      <c r="AY1559" s="75">
        <v>1</v>
      </c>
      <c r="AZ1559" s="77" t="s">
        <v>131</v>
      </c>
      <c r="BA1559" s="78" t="s">
        <v>131</v>
      </c>
      <c r="BB1559" s="78" t="s">
        <v>131</v>
      </c>
      <c r="BC1559" s="78" t="s">
        <v>131</v>
      </c>
      <c r="BD1559" s="78" t="s">
        <v>131</v>
      </c>
      <c r="BE1559" s="78" t="s">
        <v>131</v>
      </c>
      <c r="BF1559" s="78" t="s">
        <v>131</v>
      </c>
      <c r="BG1559" s="78" t="s">
        <v>132</v>
      </c>
      <c r="BH1559" s="75" t="s">
        <v>5970</v>
      </c>
      <c r="BI1559" s="295" t="s">
        <v>2251</v>
      </c>
      <c r="BJ1559" s="546">
        <v>1</v>
      </c>
      <c r="BK1559" s="294">
        <v>1</v>
      </c>
      <c r="BL1559" s="157">
        <v>1</v>
      </c>
      <c r="BM1559" s="548" t="s">
        <v>1339</v>
      </c>
      <c r="BN1559" s="548" t="s">
        <v>1339</v>
      </c>
      <c r="BO1559" s="157" t="s">
        <v>4329</v>
      </c>
      <c r="BP1559" s="548" t="s">
        <v>4228</v>
      </c>
      <c r="BQ1559" s="157" t="s">
        <v>4226</v>
      </c>
      <c r="BR1559" s="157"/>
    </row>
    <row r="1560" spans="1:70" x14ac:dyDescent="0.25">
      <c r="A1560" s="19" t="s">
        <v>3686</v>
      </c>
      <c r="B1560" s="37" t="s">
        <v>1816</v>
      </c>
      <c r="C1560" s="90">
        <v>44721.451099537036</v>
      </c>
      <c r="D1560" s="114">
        <v>44721.201099537036</v>
      </c>
      <c r="E1560" s="38">
        <v>44721</v>
      </c>
      <c r="F1560" s="91">
        <v>2022</v>
      </c>
      <c r="G1560" s="93">
        <v>6</v>
      </c>
      <c r="H1560" s="37" t="s">
        <v>475</v>
      </c>
      <c r="I1560" s="37"/>
      <c r="J1560" s="103">
        <v>-92.342508668165976</v>
      </c>
      <c r="K1560" s="40">
        <v>43.773705773096317</v>
      </c>
      <c r="L1560" s="74"/>
      <c r="M1560" s="272" t="s">
        <v>1817</v>
      </c>
      <c r="N1560" s="74">
        <v>1</v>
      </c>
      <c r="O1560" s="94"/>
      <c r="P1560" s="118">
        <v>1</v>
      </c>
      <c r="Q1560" s="510">
        <v>120</v>
      </c>
      <c r="R1560" s="513">
        <v>180</v>
      </c>
      <c r="S1560" s="41"/>
      <c r="T1560" s="40"/>
      <c r="U1560" s="40">
        <v>7</v>
      </c>
      <c r="V1560" s="119">
        <v>1</v>
      </c>
      <c r="W1560" s="40">
        <v>0</v>
      </c>
      <c r="X1560" s="119">
        <v>0</v>
      </c>
      <c r="Y1560" s="40"/>
      <c r="Z1560" s="119">
        <v>1</v>
      </c>
      <c r="AA1560" s="368">
        <v>0</v>
      </c>
      <c r="AB1560" s="535">
        <v>5</v>
      </c>
      <c r="AC1560" s="39" t="s">
        <v>160</v>
      </c>
      <c r="AD1560" s="75" t="s">
        <v>10</v>
      </c>
      <c r="AE1560" s="95">
        <v>0</v>
      </c>
      <c r="AF1560" s="75">
        <v>0</v>
      </c>
      <c r="AG1560" s="75">
        <v>0</v>
      </c>
      <c r="AH1560" s="75">
        <v>0</v>
      </c>
      <c r="AI1560" s="75">
        <v>0</v>
      </c>
      <c r="AJ1560" s="75">
        <v>0</v>
      </c>
      <c r="AK1560" s="75">
        <v>0</v>
      </c>
      <c r="AL1560" s="95">
        <v>1</v>
      </c>
      <c r="AM1560" s="92">
        <v>0</v>
      </c>
      <c r="AN1560" s="79" t="s">
        <v>80</v>
      </c>
      <c r="AO1560" s="75">
        <v>1</v>
      </c>
      <c r="AP1560" s="75" t="s">
        <v>83</v>
      </c>
      <c r="AQ1560" s="122">
        <v>1</v>
      </c>
      <c r="AR1560" s="515" t="s">
        <v>10</v>
      </c>
      <c r="AS1560" s="95">
        <v>0</v>
      </c>
      <c r="AT1560" s="75">
        <v>0</v>
      </c>
      <c r="AU1560" s="75">
        <v>0</v>
      </c>
      <c r="AV1560" s="75">
        <v>0</v>
      </c>
      <c r="AW1560" s="123">
        <v>0</v>
      </c>
      <c r="AX1560" s="516" t="s">
        <v>1818</v>
      </c>
      <c r="AY1560" s="75">
        <v>1</v>
      </c>
      <c r="AZ1560" s="77" t="s">
        <v>131</v>
      </c>
      <c r="BA1560" s="78" t="s">
        <v>131</v>
      </c>
      <c r="BB1560" s="78" t="s">
        <v>131</v>
      </c>
      <c r="BC1560" s="78" t="s">
        <v>131</v>
      </c>
      <c r="BD1560" s="78" t="s">
        <v>131</v>
      </c>
      <c r="BE1560" s="78" t="s">
        <v>131</v>
      </c>
      <c r="BF1560" s="78" t="s">
        <v>131</v>
      </c>
      <c r="BG1560" s="78" t="s">
        <v>132</v>
      </c>
      <c r="BH1560" s="75" t="s">
        <v>5970</v>
      </c>
      <c r="BI1560" s="295" t="s">
        <v>2260</v>
      </c>
      <c r="BJ1560" s="546">
        <v>1</v>
      </c>
      <c r="BK1560" s="294" t="s">
        <v>16</v>
      </c>
      <c r="BL1560" s="157" t="s">
        <v>16</v>
      </c>
      <c r="BM1560" s="548" t="s">
        <v>1339</v>
      </c>
      <c r="BN1560" s="548" t="s">
        <v>1339</v>
      </c>
      <c r="BO1560" s="157" t="s">
        <v>4328</v>
      </c>
      <c r="BP1560" s="548" t="s">
        <v>2222</v>
      </c>
      <c r="BQ1560" s="157" t="s">
        <v>4226</v>
      </c>
      <c r="BR1560" s="157"/>
    </row>
    <row r="1561" spans="1:70" x14ac:dyDescent="0.25">
      <c r="A1561" s="19" t="s">
        <v>3686</v>
      </c>
      <c r="B1561" s="37" t="s">
        <v>1819</v>
      </c>
      <c r="C1561" s="90">
        <v>44720.717743055553</v>
      </c>
      <c r="D1561" s="114">
        <v>44720.467743055553</v>
      </c>
      <c r="E1561" s="38">
        <v>44720</v>
      </c>
      <c r="F1561" s="91">
        <v>2022</v>
      </c>
      <c r="G1561" s="93">
        <v>6</v>
      </c>
      <c r="H1561" s="37" t="s">
        <v>1491</v>
      </c>
      <c r="I1561" s="37"/>
      <c r="J1561" s="103">
        <v>-92.624886700000005</v>
      </c>
      <c r="K1561" s="40">
        <v>44.861567399999998</v>
      </c>
      <c r="L1561" s="74"/>
      <c r="M1561" s="272" t="s">
        <v>1820</v>
      </c>
      <c r="N1561" s="74">
        <v>1</v>
      </c>
      <c r="O1561" s="94"/>
      <c r="P1561" s="118">
        <v>1</v>
      </c>
      <c r="Q1561" s="510">
        <v>80</v>
      </c>
      <c r="R1561" s="513">
        <v>120</v>
      </c>
      <c r="S1561" s="41"/>
      <c r="T1561" s="40"/>
      <c r="U1561" s="40">
        <v>7.5</v>
      </c>
      <c r="V1561" s="119">
        <v>1</v>
      </c>
      <c r="W1561" s="40">
        <v>0</v>
      </c>
      <c r="X1561" s="119">
        <v>1</v>
      </c>
      <c r="Y1561" s="40">
        <v>58</v>
      </c>
      <c r="Z1561" s="119">
        <v>1</v>
      </c>
      <c r="AA1561" s="368">
        <v>0</v>
      </c>
      <c r="AB1561" s="535">
        <v>10</v>
      </c>
      <c r="AC1561" s="39" t="s">
        <v>160</v>
      </c>
      <c r="AD1561" s="75" t="s">
        <v>9</v>
      </c>
      <c r="AE1561" s="95">
        <v>0</v>
      </c>
      <c r="AF1561" s="75">
        <v>0</v>
      </c>
      <c r="AG1561" s="75">
        <v>1</v>
      </c>
      <c r="AH1561" s="75">
        <v>0</v>
      </c>
      <c r="AI1561" s="75">
        <v>0</v>
      </c>
      <c r="AJ1561" s="75">
        <v>0</v>
      </c>
      <c r="AK1561" s="75">
        <v>0</v>
      </c>
      <c r="AL1561" s="95">
        <v>0</v>
      </c>
      <c r="AM1561" s="92">
        <v>0</v>
      </c>
      <c r="AN1561" s="79" t="s">
        <v>80</v>
      </c>
      <c r="AO1561" s="75">
        <v>1</v>
      </c>
      <c r="AP1561" s="75" t="s">
        <v>83</v>
      </c>
      <c r="AQ1561" s="122">
        <v>1</v>
      </c>
      <c r="AR1561" s="515" t="s">
        <v>10</v>
      </c>
      <c r="AS1561" s="95">
        <v>0</v>
      </c>
      <c r="AT1561" s="75">
        <v>0</v>
      </c>
      <c r="AU1561" s="75">
        <v>0</v>
      </c>
      <c r="AV1561" s="75">
        <v>0</v>
      </c>
      <c r="AW1561" s="123">
        <v>0</v>
      </c>
      <c r="AX1561" s="516"/>
      <c r="AY1561" s="75">
        <v>0</v>
      </c>
      <c r="AZ1561" s="77" t="s">
        <v>131</v>
      </c>
      <c r="BA1561" s="78" t="s">
        <v>131</v>
      </c>
      <c r="BB1561" s="78" t="s">
        <v>132</v>
      </c>
      <c r="BC1561" s="78" t="s">
        <v>131</v>
      </c>
      <c r="BD1561" s="78" t="s">
        <v>131</v>
      </c>
      <c r="BE1561" s="78" t="s">
        <v>131</v>
      </c>
      <c r="BF1561" s="78" t="s">
        <v>131</v>
      </c>
      <c r="BG1561" s="78" t="s">
        <v>131</v>
      </c>
      <c r="BH1561" s="75" t="s">
        <v>5970</v>
      </c>
      <c r="BI1561" s="295" t="s">
        <v>2227</v>
      </c>
      <c r="BJ1561" s="546">
        <v>1</v>
      </c>
      <c r="BK1561" s="294" t="s">
        <v>16</v>
      </c>
      <c r="BL1561" s="157" t="s">
        <v>16</v>
      </c>
      <c r="BM1561" s="548" t="s">
        <v>578</v>
      </c>
      <c r="BN1561" s="548" t="s">
        <v>4159</v>
      </c>
      <c r="BO1561" s="157" t="s">
        <v>4311</v>
      </c>
      <c r="BP1561" s="548" t="s">
        <v>4395</v>
      </c>
      <c r="BQ1561" s="157" t="s">
        <v>4309</v>
      </c>
      <c r="BR1561" s="157"/>
    </row>
    <row r="1562" spans="1:70" x14ac:dyDescent="0.25">
      <c r="A1562" s="19" t="s">
        <v>3686</v>
      </c>
      <c r="B1562" s="37" t="s">
        <v>1821</v>
      </c>
      <c r="C1562" s="90">
        <v>44720.66646990741</v>
      </c>
      <c r="D1562" s="114">
        <v>44720.41646990741</v>
      </c>
      <c r="E1562" s="38">
        <v>44720</v>
      </c>
      <c r="F1562" s="91">
        <v>2022</v>
      </c>
      <c r="G1562" s="93">
        <v>6</v>
      </c>
      <c r="H1562" s="37" t="s">
        <v>1822</v>
      </c>
      <c r="I1562" s="37" t="s">
        <v>146</v>
      </c>
      <c r="J1562" s="103">
        <v>-91.799149196680446</v>
      </c>
      <c r="K1562" s="40">
        <v>42.839738633523545</v>
      </c>
      <c r="L1562" s="74"/>
      <c r="M1562" s="272" t="s">
        <v>16</v>
      </c>
      <c r="N1562" s="74">
        <v>0</v>
      </c>
      <c r="O1562" s="94"/>
      <c r="P1562" s="118">
        <v>1</v>
      </c>
      <c r="Q1562" s="510">
        <v>40</v>
      </c>
      <c r="R1562" s="513">
        <v>30</v>
      </c>
      <c r="S1562" s="41"/>
      <c r="T1562" s="40"/>
      <c r="U1562" s="40">
        <v>7.5</v>
      </c>
      <c r="V1562" s="119">
        <v>1</v>
      </c>
      <c r="W1562" s="40">
        <v>200</v>
      </c>
      <c r="X1562" s="119">
        <v>1</v>
      </c>
      <c r="Y1562" s="40">
        <v>66</v>
      </c>
      <c r="Z1562" s="119">
        <v>1</v>
      </c>
      <c r="AA1562" s="368">
        <v>0</v>
      </c>
      <c r="AB1562" s="535">
        <v>2</v>
      </c>
      <c r="AC1562" s="39" t="s">
        <v>186</v>
      </c>
      <c r="AD1562" s="75" t="s">
        <v>16</v>
      </c>
      <c r="AE1562" s="95">
        <v>-1</v>
      </c>
      <c r="AF1562" s="75">
        <v>-1</v>
      </c>
      <c r="AG1562" s="75">
        <v>-1</v>
      </c>
      <c r="AH1562" s="75">
        <v>-1</v>
      </c>
      <c r="AI1562" s="75">
        <v>-1</v>
      </c>
      <c r="AJ1562" s="75">
        <v>-1</v>
      </c>
      <c r="AK1562" s="75">
        <v>-1</v>
      </c>
      <c r="AL1562" s="95">
        <v>-1</v>
      </c>
      <c r="AM1562" s="92">
        <v>1</v>
      </c>
      <c r="AN1562" s="79"/>
      <c r="AO1562" s="75">
        <v>0</v>
      </c>
      <c r="AP1562" s="75"/>
      <c r="AQ1562" s="122">
        <v>0</v>
      </c>
      <c r="AR1562" s="515" t="s">
        <v>16</v>
      </c>
      <c r="AS1562" s="95">
        <v>-1</v>
      </c>
      <c r="AT1562" s="75">
        <v>-1</v>
      </c>
      <c r="AU1562" s="75">
        <v>-1</v>
      </c>
      <c r="AV1562" s="75">
        <v>-1</v>
      </c>
      <c r="AW1562" s="123">
        <v>1</v>
      </c>
      <c r="AX1562" s="516"/>
      <c r="AY1562" s="75">
        <v>0</v>
      </c>
      <c r="AZ1562" s="77" t="s">
        <v>5971</v>
      </c>
      <c r="BA1562" s="78" t="s">
        <v>5971</v>
      </c>
      <c r="BB1562" s="78" t="s">
        <v>5971</v>
      </c>
      <c r="BC1562" s="78" t="s">
        <v>5971</v>
      </c>
      <c r="BD1562" s="78" t="s">
        <v>5971</v>
      </c>
      <c r="BE1562" s="78" t="s">
        <v>5971</v>
      </c>
      <c r="BF1562" s="78" t="s">
        <v>5971</v>
      </c>
      <c r="BG1562" s="78" t="s">
        <v>5971</v>
      </c>
      <c r="BH1562" s="75" t="s">
        <v>5971</v>
      </c>
      <c r="BI1562" s="295" t="s">
        <v>16</v>
      </c>
      <c r="BJ1562" s="546" t="s">
        <v>16</v>
      </c>
      <c r="BK1562" s="294" t="s">
        <v>16</v>
      </c>
      <c r="BL1562" s="157" t="s">
        <v>16</v>
      </c>
      <c r="BM1562" s="548" t="s">
        <v>1344</v>
      </c>
      <c r="BN1562" s="548" t="s">
        <v>4160</v>
      </c>
      <c r="BO1562" s="157" t="s">
        <v>4572</v>
      </c>
      <c r="BP1562" s="548" t="s">
        <v>4574</v>
      </c>
      <c r="BQ1562" s="157" t="s">
        <v>4571</v>
      </c>
      <c r="BR1562" s="157"/>
    </row>
    <row r="1563" spans="1:70" x14ac:dyDescent="0.25">
      <c r="A1563" s="19" t="s">
        <v>3686</v>
      </c>
      <c r="B1563" s="37" t="s">
        <v>1823</v>
      </c>
      <c r="C1563" s="90">
        <v>44719.868101851855</v>
      </c>
      <c r="D1563" s="114">
        <v>44719.618101851855</v>
      </c>
      <c r="E1563" s="38">
        <v>44719</v>
      </c>
      <c r="F1563" s="91">
        <v>2022</v>
      </c>
      <c r="G1563" s="93">
        <v>6</v>
      </c>
      <c r="H1563" s="37" t="s">
        <v>1386</v>
      </c>
      <c r="I1563" s="37"/>
      <c r="J1563" s="103">
        <v>-91.869533799999999</v>
      </c>
      <c r="K1563" s="40">
        <v>43.8640556</v>
      </c>
      <c r="L1563" s="74"/>
      <c r="M1563" s="272" t="s">
        <v>1824</v>
      </c>
      <c r="N1563" s="74">
        <v>1</v>
      </c>
      <c r="O1563" s="94"/>
      <c r="P1563" s="118">
        <v>1</v>
      </c>
      <c r="Q1563" s="510">
        <v>40</v>
      </c>
      <c r="R1563" s="513">
        <v>180</v>
      </c>
      <c r="S1563" s="41"/>
      <c r="T1563" s="40"/>
      <c r="U1563" s="40">
        <v>8</v>
      </c>
      <c r="V1563" s="119">
        <v>1</v>
      </c>
      <c r="W1563" s="40">
        <v>0</v>
      </c>
      <c r="X1563" s="119">
        <v>1</v>
      </c>
      <c r="Y1563" s="40">
        <v>61</v>
      </c>
      <c r="Z1563" s="119">
        <v>1</v>
      </c>
      <c r="AA1563" s="368">
        <v>0</v>
      </c>
      <c r="AB1563" s="535">
        <v>5</v>
      </c>
      <c r="AC1563" s="39" t="s">
        <v>160</v>
      </c>
      <c r="AD1563" s="75" t="s">
        <v>10</v>
      </c>
      <c r="AE1563" s="95">
        <v>0</v>
      </c>
      <c r="AF1563" s="75">
        <v>0</v>
      </c>
      <c r="AG1563" s="75">
        <v>0</v>
      </c>
      <c r="AH1563" s="75">
        <v>0</v>
      </c>
      <c r="AI1563" s="75">
        <v>0</v>
      </c>
      <c r="AJ1563" s="75">
        <v>0</v>
      </c>
      <c r="AK1563" s="75">
        <v>0</v>
      </c>
      <c r="AL1563" s="95">
        <v>1</v>
      </c>
      <c r="AM1563" s="92">
        <v>0</v>
      </c>
      <c r="AN1563" s="79" t="s">
        <v>80</v>
      </c>
      <c r="AO1563" s="75">
        <v>1</v>
      </c>
      <c r="AP1563" s="75" t="s">
        <v>83</v>
      </c>
      <c r="AQ1563" s="122">
        <v>1</v>
      </c>
      <c r="AR1563" s="515" t="s">
        <v>10</v>
      </c>
      <c r="AS1563" s="95">
        <v>0</v>
      </c>
      <c r="AT1563" s="75">
        <v>0</v>
      </c>
      <c r="AU1563" s="75">
        <v>0</v>
      </c>
      <c r="AV1563" s="75">
        <v>0</v>
      </c>
      <c r="AW1563" s="123">
        <v>0</v>
      </c>
      <c r="AX1563" s="516"/>
      <c r="AY1563" s="75">
        <v>0</v>
      </c>
      <c r="AZ1563" s="77" t="s">
        <v>131</v>
      </c>
      <c r="BA1563" s="78" t="s">
        <v>131</v>
      </c>
      <c r="BB1563" s="78" t="s">
        <v>131</v>
      </c>
      <c r="BC1563" s="78" t="s">
        <v>131</v>
      </c>
      <c r="BD1563" s="78" t="s">
        <v>131</v>
      </c>
      <c r="BE1563" s="78" t="s">
        <v>131</v>
      </c>
      <c r="BF1563" s="78" t="s">
        <v>131</v>
      </c>
      <c r="BG1563" s="78" t="s">
        <v>132</v>
      </c>
      <c r="BH1563" s="75" t="s">
        <v>5970</v>
      </c>
      <c r="BI1563" s="295" t="s">
        <v>2310</v>
      </c>
      <c r="BJ1563" s="546">
        <v>1</v>
      </c>
      <c r="BK1563" s="294">
        <v>1</v>
      </c>
      <c r="BL1563" s="157">
        <v>1</v>
      </c>
      <c r="BM1563" s="548" t="s">
        <v>1341</v>
      </c>
      <c r="BN1563" s="548" t="s">
        <v>1339</v>
      </c>
      <c r="BO1563" s="157" t="s">
        <v>4640</v>
      </c>
      <c r="BP1563" s="548" t="s">
        <v>2261</v>
      </c>
      <c r="BQ1563" s="157" t="s">
        <v>4635</v>
      </c>
      <c r="BR1563" s="157"/>
    </row>
    <row r="1564" spans="1:70" x14ac:dyDescent="0.25">
      <c r="A1564" s="19" t="s">
        <v>3686</v>
      </c>
      <c r="B1564" s="37" t="s">
        <v>1825</v>
      </c>
      <c r="C1564" s="90">
        <v>44719.812164351853</v>
      </c>
      <c r="D1564" s="114">
        <v>44719.562164351853</v>
      </c>
      <c r="E1564" s="38">
        <v>44719</v>
      </c>
      <c r="F1564" s="91">
        <v>2022</v>
      </c>
      <c r="G1564" s="93">
        <v>6</v>
      </c>
      <c r="H1564" s="37" t="s">
        <v>1386</v>
      </c>
      <c r="I1564" s="37"/>
      <c r="J1564" s="103">
        <v>-91.867770199999995</v>
      </c>
      <c r="K1564" s="40">
        <v>43.8679524</v>
      </c>
      <c r="L1564" s="74"/>
      <c r="M1564" s="272" t="s">
        <v>1826</v>
      </c>
      <c r="N1564" s="74">
        <v>1</v>
      </c>
      <c r="O1564" s="94"/>
      <c r="P1564" s="118">
        <v>1</v>
      </c>
      <c r="Q1564" s="510">
        <v>80</v>
      </c>
      <c r="R1564" s="513">
        <v>180</v>
      </c>
      <c r="S1564" s="41"/>
      <c r="T1564" s="40"/>
      <c r="U1564" s="40">
        <v>9</v>
      </c>
      <c r="V1564" s="119">
        <v>1</v>
      </c>
      <c r="W1564" s="40">
        <v>0</v>
      </c>
      <c r="X1564" s="119">
        <v>1</v>
      </c>
      <c r="Y1564" s="40">
        <v>60</v>
      </c>
      <c r="Z1564" s="119">
        <v>1</v>
      </c>
      <c r="AA1564" s="368">
        <v>0</v>
      </c>
      <c r="AB1564" s="535">
        <v>2</v>
      </c>
      <c r="AC1564" s="39" t="s">
        <v>160</v>
      </c>
      <c r="AD1564" s="75" t="s">
        <v>16</v>
      </c>
      <c r="AE1564" s="95">
        <v>-1</v>
      </c>
      <c r="AF1564" s="75">
        <v>-1</v>
      </c>
      <c r="AG1564" s="75">
        <v>-1</v>
      </c>
      <c r="AH1564" s="75">
        <v>-1</v>
      </c>
      <c r="AI1564" s="75">
        <v>-1</v>
      </c>
      <c r="AJ1564" s="75">
        <v>-1</v>
      </c>
      <c r="AK1564" s="75">
        <v>-1</v>
      </c>
      <c r="AL1564" s="95">
        <v>-1</v>
      </c>
      <c r="AM1564" s="92">
        <v>1</v>
      </c>
      <c r="AN1564" s="79" t="s">
        <v>80</v>
      </c>
      <c r="AO1564" s="75">
        <v>1</v>
      </c>
      <c r="AP1564" s="75" t="s">
        <v>83</v>
      </c>
      <c r="AQ1564" s="122">
        <v>1</v>
      </c>
      <c r="AR1564" s="515" t="s">
        <v>10</v>
      </c>
      <c r="AS1564" s="95">
        <v>0</v>
      </c>
      <c r="AT1564" s="75">
        <v>0</v>
      </c>
      <c r="AU1564" s="75">
        <v>0</v>
      </c>
      <c r="AV1564" s="75">
        <v>0</v>
      </c>
      <c r="AW1564" s="123">
        <v>0</v>
      </c>
      <c r="AX1564" s="516"/>
      <c r="AY1564" s="75">
        <v>0</v>
      </c>
      <c r="AZ1564" s="77" t="s">
        <v>5971</v>
      </c>
      <c r="BA1564" s="78" t="s">
        <v>5971</v>
      </c>
      <c r="BB1564" s="78" t="s">
        <v>5971</v>
      </c>
      <c r="BC1564" s="78" t="s">
        <v>5971</v>
      </c>
      <c r="BD1564" s="78" t="s">
        <v>5971</v>
      </c>
      <c r="BE1564" s="78" t="s">
        <v>5971</v>
      </c>
      <c r="BF1564" s="78" t="s">
        <v>5971</v>
      </c>
      <c r="BG1564" s="78" t="s">
        <v>5971</v>
      </c>
      <c r="BH1564" s="75" t="s">
        <v>5971</v>
      </c>
      <c r="BI1564" s="295" t="s">
        <v>2310</v>
      </c>
      <c r="BJ1564" s="546">
        <v>1</v>
      </c>
      <c r="BK1564" s="294">
        <v>1</v>
      </c>
      <c r="BL1564" s="157">
        <v>1</v>
      </c>
      <c r="BM1564" s="548" t="s">
        <v>1341</v>
      </c>
      <c r="BN1564" s="548" t="s">
        <v>1339</v>
      </c>
      <c r="BO1564" s="157" t="s">
        <v>4640</v>
      </c>
      <c r="BP1564" s="548" t="s">
        <v>2261</v>
      </c>
      <c r="BQ1564" s="157" t="s">
        <v>4635</v>
      </c>
      <c r="BR1564" s="157"/>
    </row>
    <row r="1565" spans="1:70" x14ac:dyDescent="0.25">
      <c r="A1565" s="19" t="s">
        <v>3686</v>
      </c>
      <c r="B1565" s="37" t="s">
        <v>1827</v>
      </c>
      <c r="C1565" s="90">
        <v>44719.750520833331</v>
      </c>
      <c r="D1565" s="114">
        <v>44719.500520833331</v>
      </c>
      <c r="E1565" s="38">
        <v>44719</v>
      </c>
      <c r="F1565" s="91">
        <v>2022</v>
      </c>
      <c r="G1565" s="93">
        <v>6</v>
      </c>
      <c r="H1565" s="37" t="s">
        <v>1517</v>
      </c>
      <c r="I1565" s="37"/>
      <c r="J1565" s="103">
        <v>-91.523188435299161</v>
      </c>
      <c r="K1565" s="40">
        <v>44.773399693165686</v>
      </c>
      <c r="L1565" s="74"/>
      <c r="M1565" s="272" t="s">
        <v>16</v>
      </c>
      <c r="N1565" s="74">
        <v>0</v>
      </c>
      <c r="O1565" s="94"/>
      <c r="P1565" s="118">
        <v>1</v>
      </c>
      <c r="Q1565" s="510">
        <v>0</v>
      </c>
      <c r="R1565" s="513">
        <v>120</v>
      </c>
      <c r="S1565" s="41"/>
      <c r="T1565" s="40"/>
      <c r="U1565" s="40">
        <v>7</v>
      </c>
      <c r="V1565" s="119">
        <v>0</v>
      </c>
      <c r="W1565" s="40"/>
      <c r="X1565" s="119">
        <v>1</v>
      </c>
      <c r="Y1565" s="40">
        <v>59</v>
      </c>
      <c r="Z1565" s="119">
        <v>1</v>
      </c>
      <c r="AA1565" s="368">
        <v>0</v>
      </c>
      <c r="AB1565" s="535">
        <v>2</v>
      </c>
      <c r="AC1565" s="39" t="s">
        <v>160</v>
      </c>
      <c r="AD1565" s="75" t="s">
        <v>10</v>
      </c>
      <c r="AE1565" s="95">
        <v>0</v>
      </c>
      <c r="AF1565" s="75">
        <v>0</v>
      </c>
      <c r="AG1565" s="75">
        <v>0</v>
      </c>
      <c r="AH1565" s="75">
        <v>0</v>
      </c>
      <c r="AI1565" s="75">
        <v>0</v>
      </c>
      <c r="AJ1565" s="75">
        <v>0</v>
      </c>
      <c r="AK1565" s="75">
        <v>0</v>
      </c>
      <c r="AL1565" s="95">
        <v>1</v>
      </c>
      <c r="AM1565" s="92">
        <v>0</v>
      </c>
      <c r="AN1565" s="79" t="s">
        <v>81</v>
      </c>
      <c r="AO1565" s="75">
        <v>1</v>
      </c>
      <c r="AP1565" s="75" t="s">
        <v>84</v>
      </c>
      <c r="AQ1565" s="122">
        <v>1</v>
      </c>
      <c r="AR1565" s="515" t="s">
        <v>10</v>
      </c>
      <c r="AS1565" s="95">
        <v>0</v>
      </c>
      <c r="AT1565" s="75">
        <v>0</v>
      </c>
      <c r="AU1565" s="75">
        <v>0</v>
      </c>
      <c r="AV1565" s="75">
        <v>0</v>
      </c>
      <c r="AW1565" s="123">
        <v>0</v>
      </c>
      <c r="AX1565" s="516" t="s">
        <v>1828</v>
      </c>
      <c r="AY1565" s="75">
        <v>1</v>
      </c>
      <c r="AZ1565" s="77" t="s">
        <v>131</v>
      </c>
      <c r="BA1565" s="78" t="s">
        <v>131</v>
      </c>
      <c r="BB1565" s="78" t="s">
        <v>131</v>
      </c>
      <c r="BC1565" s="78" t="s">
        <v>131</v>
      </c>
      <c r="BD1565" s="78" t="s">
        <v>131</v>
      </c>
      <c r="BE1565" s="78" t="s">
        <v>131</v>
      </c>
      <c r="BF1565" s="78" t="s">
        <v>131</v>
      </c>
      <c r="BG1565" s="78" t="s">
        <v>132</v>
      </c>
      <c r="BH1565" s="75" t="s">
        <v>5970</v>
      </c>
      <c r="BI1565" s="295" t="s">
        <v>2257</v>
      </c>
      <c r="BJ1565" s="546">
        <v>1</v>
      </c>
      <c r="BK1565" s="294" t="s">
        <v>16</v>
      </c>
      <c r="BL1565" s="157" t="s">
        <v>16</v>
      </c>
      <c r="BM1565" s="548" t="s">
        <v>1340</v>
      </c>
      <c r="BN1565" s="548" t="s">
        <v>2344</v>
      </c>
      <c r="BO1565" s="157" t="s">
        <v>4628</v>
      </c>
      <c r="BP1565" s="548" t="s">
        <v>4629</v>
      </c>
      <c r="BQ1565" s="157" t="s">
        <v>4627</v>
      </c>
      <c r="BR1565" s="157"/>
    </row>
    <row r="1566" spans="1:70" x14ac:dyDescent="0.25">
      <c r="A1566" s="19" t="s">
        <v>3686</v>
      </c>
      <c r="B1566" s="37" t="s">
        <v>1829</v>
      </c>
      <c r="C1566" s="90">
        <v>44719.593310185184</v>
      </c>
      <c r="D1566" s="114">
        <v>44719.343310185184</v>
      </c>
      <c r="E1566" s="38">
        <v>44719</v>
      </c>
      <c r="F1566" s="91">
        <v>2022</v>
      </c>
      <c r="G1566" s="93">
        <v>6</v>
      </c>
      <c r="H1566" s="37" t="s">
        <v>1517</v>
      </c>
      <c r="I1566" s="37" t="s">
        <v>16</v>
      </c>
      <c r="J1566" s="103">
        <v>-91.530411819123273</v>
      </c>
      <c r="K1566" s="40">
        <v>44.773079804427475</v>
      </c>
      <c r="L1566" s="74"/>
      <c r="M1566" s="272" t="s">
        <v>16</v>
      </c>
      <c r="N1566" s="74">
        <v>0</v>
      </c>
      <c r="O1566" s="94"/>
      <c r="P1566" s="118">
        <v>1</v>
      </c>
      <c r="Q1566" s="510">
        <v>80</v>
      </c>
      <c r="R1566" s="513">
        <v>30</v>
      </c>
      <c r="S1566" s="41"/>
      <c r="T1566" s="40"/>
      <c r="U1566" s="40">
        <v>7</v>
      </c>
      <c r="V1566" s="119">
        <v>0</v>
      </c>
      <c r="W1566" s="40"/>
      <c r="X1566" s="119">
        <v>1</v>
      </c>
      <c r="Y1566" s="40">
        <v>58</v>
      </c>
      <c r="Z1566" s="119">
        <v>1</v>
      </c>
      <c r="AA1566" s="368">
        <v>0</v>
      </c>
      <c r="AB1566" s="535">
        <v>2</v>
      </c>
      <c r="AC1566" s="39" t="s">
        <v>160</v>
      </c>
      <c r="AD1566" s="75" t="s">
        <v>10</v>
      </c>
      <c r="AE1566" s="95">
        <v>0</v>
      </c>
      <c r="AF1566" s="75">
        <v>0</v>
      </c>
      <c r="AG1566" s="75">
        <v>0</v>
      </c>
      <c r="AH1566" s="75">
        <v>0</v>
      </c>
      <c r="AI1566" s="75">
        <v>0</v>
      </c>
      <c r="AJ1566" s="75">
        <v>0</v>
      </c>
      <c r="AK1566" s="75">
        <v>0</v>
      </c>
      <c r="AL1566" s="95">
        <v>1</v>
      </c>
      <c r="AM1566" s="92">
        <v>0</v>
      </c>
      <c r="AN1566" s="79" t="s">
        <v>81</v>
      </c>
      <c r="AO1566" s="75">
        <v>1</v>
      </c>
      <c r="AP1566" s="75" t="s">
        <v>84</v>
      </c>
      <c r="AQ1566" s="122">
        <v>1</v>
      </c>
      <c r="AR1566" s="515" t="s">
        <v>10</v>
      </c>
      <c r="AS1566" s="95">
        <v>0</v>
      </c>
      <c r="AT1566" s="75">
        <v>0</v>
      </c>
      <c r="AU1566" s="75">
        <v>0</v>
      </c>
      <c r="AV1566" s="75">
        <v>0</v>
      </c>
      <c r="AW1566" s="123">
        <v>0</v>
      </c>
      <c r="AX1566" s="516"/>
      <c r="AY1566" s="75">
        <v>0</v>
      </c>
      <c r="AZ1566" s="77" t="s">
        <v>131</v>
      </c>
      <c r="BA1566" s="78" t="s">
        <v>131</v>
      </c>
      <c r="BB1566" s="78" t="s">
        <v>131</v>
      </c>
      <c r="BC1566" s="78" t="s">
        <v>131</v>
      </c>
      <c r="BD1566" s="78" t="s">
        <v>131</v>
      </c>
      <c r="BE1566" s="78" t="s">
        <v>131</v>
      </c>
      <c r="BF1566" s="78" t="s">
        <v>131</v>
      </c>
      <c r="BG1566" s="78" t="s">
        <v>132</v>
      </c>
      <c r="BH1566" s="75" t="s">
        <v>5970</v>
      </c>
      <c r="BI1566" s="295" t="s">
        <v>2257</v>
      </c>
      <c r="BJ1566" s="546">
        <v>1</v>
      </c>
      <c r="BK1566" s="294" t="s">
        <v>16</v>
      </c>
      <c r="BL1566" s="157" t="s">
        <v>16</v>
      </c>
      <c r="BM1566" s="548" t="s">
        <v>1340</v>
      </c>
      <c r="BN1566" s="548" t="s">
        <v>2344</v>
      </c>
      <c r="BO1566" s="157" t="s">
        <v>4628</v>
      </c>
      <c r="BP1566" s="548" t="s">
        <v>4629</v>
      </c>
      <c r="BQ1566" s="157" t="s">
        <v>4627</v>
      </c>
      <c r="BR1566" s="157"/>
    </row>
    <row r="1567" spans="1:70" x14ac:dyDescent="0.25">
      <c r="A1567" s="19" t="s">
        <v>3686</v>
      </c>
      <c r="B1567" s="37" t="s">
        <v>1830</v>
      </c>
      <c r="C1567" s="90">
        <v>44718.981990740744</v>
      </c>
      <c r="D1567" s="114">
        <v>44718.731990740744</v>
      </c>
      <c r="E1567" s="38">
        <v>44718</v>
      </c>
      <c r="F1567" s="91">
        <v>2022</v>
      </c>
      <c r="G1567" s="93">
        <v>6</v>
      </c>
      <c r="H1567" s="37" t="s">
        <v>1410</v>
      </c>
      <c r="I1567" s="37" t="s">
        <v>1411</v>
      </c>
      <c r="J1567" s="103">
        <v>-93.231333913439983</v>
      </c>
      <c r="K1567" s="40">
        <v>44.846842096096204</v>
      </c>
      <c r="L1567" s="74"/>
      <c r="M1567" s="272" t="s">
        <v>16</v>
      </c>
      <c r="N1567" s="74">
        <v>0</v>
      </c>
      <c r="O1567" s="94"/>
      <c r="P1567" s="118">
        <v>1</v>
      </c>
      <c r="Q1567" s="510">
        <v>180</v>
      </c>
      <c r="R1567" s="513">
        <v>180</v>
      </c>
      <c r="S1567" s="41"/>
      <c r="T1567" s="40"/>
      <c r="U1567" s="40">
        <v>8</v>
      </c>
      <c r="V1567" s="119">
        <v>1</v>
      </c>
      <c r="W1567" s="40">
        <v>0</v>
      </c>
      <c r="X1567" s="119">
        <v>1</v>
      </c>
      <c r="Y1567" s="40">
        <v>58</v>
      </c>
      <c r="Z1567" s="119">
        <v>1</v>
      </c>
      <c r="AA1567" s="368">
        <v>0</v>
      </c>
      <c r="AB1567" s="535">
        <v>0</v>
      </c>
      <c r="AC1567" s="39" t="s">
        <v>160</v>
      </c>
      <c r="AD1567" s="75" t="s">
        <v>10</v>
      </c>
      <c r="AE1567" s="95">
        <v>0</v>
      </c>
      <c r="AF1567" s="75">
        <v>0</v>
      </c>
      <c r="AG1567" s="75">
        <v>0</v>
      </c>
      <c r="AH1567" s="75">
        <v>0</v>
      </c>
      <c r="AI1567" s="75">
        <v>0</v>
      </c>
      <c r="AJ1567" s="75">
        <v>0</v>
      </c>
      <c r="AK1567" s="75">
        <v>0</v>
      </c>
      <c r="AL1567" s="95">
        <v>1</v>
      </c>
      <c r="AM1567" s="92">
        <v>0</v>
      </c>
      <c r="AN1567" s="79" t="s">
        <v>86</v>
      </c>
      <c r="AO1567" s="75">
        <v>1</v>
      </c>
      <c r="AP1567" s="75" t="s">
        <v>83</v>
      </c>
      <c r="AQ1567" s="122">
        <v>1</v>
      </c>
      <c r="AR1567" s="515" t="s">
        <v>13</v>
      </c>
      <c r="AS1567" s="95">
        <v>1</v>
      </c>
      <c r="AT1567" s="75">
        <v>0</v>
      </c>
      <c r="AU1567" s="75">
        <v>0</v>
      </c>
      <c r="AV1567" s="75">
        <v>0</v>
      </c>
      <c r="AW1567" s="123">
        <v>0</v>
      </c>
      <c r="AX1567" s="516"/>
      <c r="AY1567" s="75">
        <v>0</v>
      </c>
      <c r="AZ1567" s="77" t="s">
        <v>131</v>
      </c>
      <c r="BA1567" s="78" t="s">
        <v>131</v>
      </c>
      <c r="BB1567" s="78" t="s">
        <v>131</v>
      </c>
      <c r="BC1567" s="78" t="s">
        <v>131</v>
      </c>
      <c r="BD1567" s="78" t="s">
        <v>131</v>
      </c>
      <c r="BE1567" s="78" t="s">
        <v>131</v>
      </c>
      <c r="BF1567" s="78" t="s">
        <v>131</v>
      </c>
      <c r="BG1567" s="78" t="s">
        <v>132</v>
      </c>
      <c r="BH1567" s="75" t="s">
        <v>5970</v>
      </c>
      <c r="BI1567" s="295" t="s">
        <v>16</v>
      </c>
      <c r="BJ1567" s="546" t="s">
        <v>16</v>
      </c>
      <c r="BK1567" s="294" t="s">
        <v>16</v>
      </c>
      <c r="BL1567" s="157" t="s">
        <v>16</v>
      </c>
      <c r="BM1567" s="548" t="s">
        <v>2343</v>
      </c>
      <c r="BN1567" s="548" t="s">
        <v>4161</v>
      </c>
      <c r="BO1567" s="157" t="s">
        <v>4327</v>
      </c>
      <c r="BP1567" s="548" t="s">
        <v>4314</v>
      </c>
      <c r="BQ1567" s="157" t="s">
        <v>4312</v>
      </c>
      <c r="BR1567" s="157"/>
    </row>
    <row r="1568" spans="1:70" x14ac:dyDescent="0.25">
      <c r="A1568" s="19" t="s">
        <v>3686</v>
      </c>
      <c r="B1568" s="37" t="s">
        <v>1831</v>
      </c>
      <c r="C1568" s="90">
        <v>44718.903020833335</v>
      </c>
      <c r="D1568" s="114">
        <v>44718.653020833335</v>
      </c>
      <c r="E1568" s="38">
        <v>44718</v>
      </c>
      <c r="F1568" s="91">
        <v>2022</v>
      </c>
      <c r="G1568" s="93">
        <v>6</v>
      </c>
      <c r="H1568" s="37" t="s">
        <v>302</v>
      </c>
      <c r="I1568" s="37"/>
      <c r="J1568" s="103">
        <v>-92.025811096644404</v>
      </c>
      <c r="K1568" s="40">
        <v>44.21568827394335</v>
      </c>
      <c r="L1568" s="74"/>
      <c r="M1568" s="272" t="s">
        <v>16</v>
      </c>
      <c r="N1568" s="74">
        <v>0</v>
      </c>
      <c r="O1568" s="94"/>
      <c r="P1568" s="118">
        <v>1</v>
      </c>
      <c r="Q1568" s="510">
        <v>180</v>
      </c>
      <c r="R1568" s="513">
        <v>180</v>
      </c>
      <c r="S1568" s="41"/>
      <c r="T1568" s="40"/>
      <c r="U1568" s="40">
        <v>7.5</v>
      </c>
      <c r="V1568" s="119">
        <v>1</v>
      </c>
      <c r="W1568" s="40">
        <v>0</v>
      </c>
      <c r="X1568" s="119">
        <v>0</v>
      </c>
      <c r="Y1568" s="40"/>
      <c r="Z1568" s="119">
        <v>1</v>
      </c>
      <c r="AA1568" s="368">
        <v>0</v>
      </c>
      <c r="AB1568" s="535">
        <v>2</v>
      </c>
      <c r="AC1568" s="39" t="s">
        <v>160</v>
      </c>
      <c r="AD1568" s="75" t="s">
        <v>8</v>
      </c>
      <c r="AE1568" s="95">
        <v>0</v>
      </c>
      <c r="AF1568" s="75">
        <v>1</v>
      </c>
      <c r="AG1568" s="75">
        <v>0</v>
      </c>
      <c r="AH1568" s="75">
        <v>0</v>
      </c>
      <c r="AI1568" s="75">
        <v>0</v>
      </c>
      <c r="AJ1568" s="75">
        <v>0</v>
      </c>
      <c r="AK1568" s="75">
        <v>0</v>
      </c>
      <c r="AL1568" s="95">
        <v>0</v>
      </c>
      <c r="AM1568" s="92">
        <v>0</v>
      </c>
      <c r="AN1568" s="79" t="s">
        <v>80</v>
      </c>
      <c r="AO1568" s="75">
        <v>1</v>
      </c>
      <c r="AP1568" s="75" t="s">
        <v>83</v>
      </c>
      <c r="AQ1568" s="122">
        <v>1</v>
      </c>
      <c r="AR1568" s="515" t="s">
        <v>10</v>
      </c>
      <c r="AS1568" s="95">
        <v>0</v>
      </c>
      <c r="AT1568" s="75">
        <v>0</v>
      </c>
      <c r="AU1568" s="75">
        <v>0</v>
      </c>
      <c r="AV1568" s="75">
        <v>0</v>
      </c>
      <c r="AW1568" s="123">
        <v>0</v>
      </c>
      <c r="AX1568" s="516" t="s">
        <v>1832</v>
      </c>
      <c r="AY1568" s="75">
        <v>1</v>
      </c>
      <c r="AZ1568" s="77" t="s">
        <v>131</v>
      </c>
      <c r="BA1568" s="78" t="s">
        <v>132</v>
      </c>
      <c r="BB1568" s="78" t="s">
        <v>131</v>
      </c>
      <c r="BC1568" s="78" t="s">
        <v>131</v>
      </c>
      <c r="BD1568" s="78" t="s">
        <v>131</v>
      </c>
      <c r="BE1568" s="78" t="s">
        <v>131</v>
      </c>
      <c r="BF1568" s="78" t="s">
        <v>131</v>
      </c>
      <c r="BG1568" s="78" t="s">
        <v>131</v>
      </c>
      <c r="BH1568" s="75" t="s">
        <v>5970</v>
      </c>
      <c r="BI1568" s="295" t="s">
        <v>2256</v>
      </c>
      <c r="BJ1568" s="546">
        <v>1</v>
      </c>
      <c r="BK1568" s="294">
        <v>1</v>
      </c>
      <c r="BL1568" s="157">
        <v>1</v>
      </c>
      <c r="BM1568" s="548" t="s">
        <v>1341</v>
      </c>
      <c r="BN1568" s="548" t="s">
        <v>4160</v>
      </c>
      <c r="BO1568" s="157" t="s">
        <v>4507</v>
      </c>
      <c r="BP1568" s="548" t="s">
        <v>2256</v>
      </c>
      <c r="BQ1568" s="157" t="s">
        <v>4269</v>
      </c>
      <c r="BR1568" s="157"/>
    </row>
    <row r="1569" spans="1:70" x14ac:dyDescent="0.25">
      <c r="A1569" s="19" t="s">
        <v>3686</v>
      </c>
      <c r="B1569" s="37" t="s">
        <v>1833</v>
      </c>
      <c r="C1569" s="90">
        <v>44718.864594907405</v>
      </c>
      <c r="D1569" s="114">
        <v>44718.614594907405</v>
      </c>
      <c r="E1569" s="38">
        <v>44718</v>
      </c>
      <c r="F1569" s="91">
        <v>2022</v>
      </c>
      <c r="G1569" s="93">
        <v>6</v>
      </c>
      <c r="H1569" s="37" t="s">
        <v>302</v>
      </c>
      <c r="I1569" s="37"/>
      <c r="J1569" s="103">
        <v>-92.053152666582164</v>
      </c>
      <c r="K1569" s="40">
        <v>44.145397738880206</v>
      </c>
      <c r="L1569" s="74"/>
      <c r="M1569" s="272" t="s">
        <v>1834</v>
      </c>
      <c r="N1569" s="74">
        <v>1</v>
      </c>
      <c r="O1569" s="94"/>
      <c r="P1569" s="118">
        <v>1</v>
      </c>
      <c r="Q1569" s="510">
        <v>180</v>
      </c>
      <c r="R1569" s="513">
        <v>180</v>
      </c>
      <c r="S1569" s="41"/>
      <c r="T1569" s="40"/>
      <c r="U1569" s="40">
        <v>8</v>
      </c>
      <c r="V1569" s="119">
        <v>1</v>
      </c>
      <c r="W1569" s="40">
        <v>200</v>
      </c>
      <c r="X1569" s="119">
        <v>0</v>
      </c>
      <c r="Y1569" s="40"/>
      <c r="Z1569" s="119">
        <v>1</v>
      </c>
      <c r="AA1569" s="368">
        <v>0</v>
      </c>
      <c r="AB1569" s="535">
        <v>5</v>
      </c>
      <c r="AC1569" s="39" t="s">
        <v>160</v>
      </c>
      <c r="AD1569" s="75" t="s">
        <v>8</v>
      </c>
      <c r="AE1569" s="95">
        <v>0</v>
      </c>
      <c r="AF1569" s="75">
        <v>1</v>
      </c>
      <c r="AG1569" s="75">
        <v>0</v>
      </c>
      <c r="AH1569" s="75">
        <v>0</v>
      </c>
      <c r="AI1569" s="75">
        <v>0</v>
      </c>
      <c r="AJ1569" s="75">
        <v>0</v>
      </c>
      <c r="AK1569" s="75">
        <v>0</v>
      </c>
      <c r="AL1569" s="95">
        <v>0</v>
      </c>
      <c r="AM1569" s="92">
        <v>0</v>
      </c>
      <c r="AN1569" s="79" t="s">
        <v>80</v>
      </c>
      <c r="AO1569" s="75">
        <v>1</v>
      </c>
      <c r="AP1569" s="75" t="s">
        <v>83</v>
      </c>
      <c r="AQ1569" s="122">
        <v>1</v>
      </c>
      <c r="AR1569" s="515" t="s">
        <v>10</v>
      </c>
      <c r="AS1569" s="95">
        <v>0</v>
      </c>
      <c r="AT1569" s="75">
        <v>0</v>
      </c>
      <c r="AU1569" s="75">
        <v>0</v>
      </c>
      <c r="AV1569" s="75">
        <v>0</v>
      </c>
      <c r="AW1569" s="123">
        <v>0</v>
      </c>
      <c r="AX1569" s="516" t="s">
        <v>1835</v>
      </c>
      <c r="AY1569" s="75">
        <v>1</v>
      </c>
      <c r="AZ1569" s="77" t="s">
        <v>131</v>
      </c>
      <c r="BA1569" s="78" t="s">
        <v>132</v>
      </c>
      <c r="BB1569" s="78" t="s">
        <v>131</v>
      </c>
      <c r="BC1569" s="78" t="s">
        <v>131</v>
      </c>
      <c r="BD1569" s="78" t="s">
        <v>131</v>
      </c>
      <c r="BE1569" s="78" t="s">
        <v>131</v>
      </c>
      <c r="BF1569" s="78" t="s">
        <v>131</v>
      </c>
      <c r="BG1569" s="78" t="s">
        <v>131</v>
      </c>
      <c r="BH1569" s="75" t="s">
        <v>5970</v>
      </c>
      <c r="BI1569" s="295" t="s">
        <v>16</v>
      </c>
      <c r="BJ1569" s="546">
        <v>1</v>
      </c>
      <c r="BK1569" s="294" t="s">
        <v>16</v>
      </c>
      <c r="BL1569" s="157" t="s">
        <v>16</v>
      </c>
      <c r="BM1569" s="548" t="s">
        <v>1339</v>
      </c>
      <c r="BN1569" s="548" t="s">
        <v>4160</v>
      </c>
      <c r="BO1569" s="157" t="s">
        <v>4693</v>
      </c>
      <c r="BP1569" s="548" t="s">
        <v>307</v>
      </c>
      <c r="BQ1569" s="157" t="s">
        <v>4361</v>
      </c>
      <c r="BR1569" s="157"/>
    </row>
    <row r="1570" spans="1:70" x14ac:dyDescent="0.25">
      <c r="A1570" s="19" t="s">
        <v>3686</v>
      </c>
      <c r="B1570" s="37" t="s">
        <v>1836</v>
      </c>
      <c r="C1570" s="90">
        <v>44718.842083333337</v>
      </c>
      <c r="D1570" s="114">
        <v>44718.592083333337</v>
      </c>
      <c r="E1570" s="38">
        <v>44718</v>
      </c>
      <c r="F1570" s="91">
        <v>2022</v>
      </c>
      <c r="G1570" s="93">
        <v>6</v>
      </c>
      <c r="H1570" s="37" t="s">
        <v>1837</v>
      </c>
      <c r="I1570" s="37" t="s">
        <v>16</v>
      </c>
      <c r="J1570" s="103">
        <v>-91.814663952719656</v>
      </c>
      <c r="K1570" s="40">
        <v>43.879222202880882</v>
      </c>
      <c r="L1570" s="74"/>
      <c r="M1570" s="272" t="s">
        <v>16</v>
      </c>
      <c r="N1570" s="74">
        <v>0</v>
      </c>
      <c r="O1570" s="94"/>
      <c r="P1570" s="118">
        <v>0</v>
      </c>
      <c r="Q1570" s="510"/>
      <c r="R1570" s="513"/>
      <c r="S1570" s="41"/>
      <c r="T1570" s="40"/>
      <c r="U1570" s="40"/>
      <c r="V1570" s="119">
        <v>0</v>
      </c>
      <c r="W1570" s="40"/>
      <c r="X1570" s="119">
        <v>1</v>
      </c>
      <c r="Y1570" s="40">
        <v>62</v>
      </c>
      <c r="Z1570" s="119">
        <v>0</v>
      </c>
      <c r="AA1570" s="368" t="s">
        <v>16</v>
      </c>
      <c r="AB1570" s="535" t="s">
        <v>16</v>
      </c>
      <c r="AC1570" s="39"/>
      <c r="AD1570" s="75" t="s">
        <v>16</v>
      </c>
      <c r="AE1570" s="95">
        <v>-1</v>
      </c>
      <c r="AF1570" s="75">
        <v>-1</v>
      </c>
      <c r="AG1570" s="75">
        <v>-1</v>
      </c>
      <c r="AH1570" s="75">
        <v>-1</v>
      </c>
      <c r="AI1570" s="75">
        <v>-1</v>
      </c>
      <c r="AJ1570" s="75">
        <v>-1</v>
      </c>
      <c r="AK1570" s="75">
        <v>-1</v>
      </c>
      <c r="AL1570" s="95">
        <v>-1</v>
      </c>
      <c r="AM1570" s="92">
        <v>1</v>
      </c>
      <c r="AN1570" s="79"/>
      <c r="AO1570" s="75">
        <v>0</v>
      </c>
      <c r="AP1570" s="75"/>
      <c r="AQ1570" s="122">
        <v>0</v>
      </c>
      <c r="AR1570" s="515" t="s">
        <v>16</v>
      </c>
      <c r="AS1570" s="95">
        <v>-1</v>
      </c>
      <c r="AT1570" s="75">
        <v>-1</v>
      </c>
      <c r="AU1570" s="75">
        <v>-1</v>
      </c>
      <c r="AV1570" s="75">
        <v>-1</v>
      </c>
      <c r="AW1570" s="123">
        <v>1</v>
      </c>
      <c r="AX1570" s="516"/>
      <c r="AY1570" s="75">
        <v>0</v>
      </c>
      <c r="AZ1570" s="77" t="s">
        <v>5971</v>
      </c>
      <c r="BA1570" s="78" t="s">
        <v>5971</v>
      </c>
      <c r="BB1570" s="78" t="s">
        <v>5971</v>
      </c>
      <c r="BC1570" s="78" t="s">
        <v>5971</v>
      </c>
      <c r="BD1570" s="78" t="s">
        <v>5971</v>
      </c>
      <c r="BE1570" s="78" t="s">
        <v>5971</v>
      </c>
      <c r="BF1570" s="78" t="s">
        <v>5971</v>
      </c>
      <c r="BG1570" s="78" t="s">
        <v>5971</v>
      </c>
      <c r="BH1570" s="75" t="s">
        <v>5971</v>
      </c>
      <c r="BI1570" s="295" t="s">
        <v>16</v>
      </c>
      <c r="BJ1570" s="546">
        <v>1</v>
      </c>
      <c r="BK1570" s="294" t="s">
        <v>16</v>
      </c>
      <c r="BL1570" s="157" t="s">
        <v>16</v>
      </c>
      <c r="BM1570" s="548" t="s">
        <v>1341</v>
      </c>
      <c r="BN1570" s="548" t="s">
        <v>1339</v>
      </c>
      <c r="BO1570" s="157" t="s">
        <v>4636</v>
      </c>
      <c r="BP1570" s="548" t="s">
        <v>4637</v>
      </c>
      <c r="BQ1570" s="157" t="s">
        <v>4635</v>
      </c>
      <c r="BR1570" s="157"/>
    </row>
    <row r="1571" spans="1:70" x14ac:dyDescent="0.25">
      <c r="A1571" s="19" t="s">
        <v>3686</v>
      </c>
      <c r="B1571" s="37" t="s">
        <v>1838</v>
      </c>
      <c r="C1571" s="90">
        <v>44718.841134259259</v>
      </c>
      <c r="D1571" s="114">
        <v>44718.591134259259</v>
      </c>
      <c r="E1571" s="38">
        <v>44718</v>
      </c>
      <c r="F1571" s="91">
        <v>2022</v>
      </c>
      <c r="G1571" s="93">
        <v>6</v>
      </c>
      <c r="H1571" s="37" t="s">
        <v>302</v>
      </c>
      <c r="I1571" s="37"/>
      <c r="J1571" s="103">
        <v>-91.930906587074901</v>
      </c>
      <c r="K1571" s="40">
        <v>44.15699427681195</v>
      </c>
      <c r="L1571" s="74"/>
      <c r="M1571" s="272" t="s">
        <v>1839</v>
      </c>
      <c r="N1571" s="74">
        <v>1</v>
      </c>
      <c r="O1571" s="94"/>
      <c r="P1571" s="118">
        <v>1</v>
      </c>
      <c r="Q1571" s="510">
        <v>180</v>
      </c>
      <c r="R1571" s="513">
        <v>180</v>
      </c>
      <c r="S1571" s="41"/>
      <c r="T1571" s="40"/>
      <c r="U1571" s="40">
        <v>7</v>
      </c>
      <c r="V1571" s="119">
        <v>1</v>
      </c>
      <c r="W1571" s="40">
        <v>100</v>
      </c>
      <c r="X1571" s="119">
        <v>0</v>
      </c>
      <c r="Y1571" s="40"/>
      <c r="Z1571" s="119">
        <v>1</v>
      </c>
      <c r="AA1571" s="368">
        <v>0</v>
      </c>
      <c r="AB1571" s="535">
        <v>2</v>
      </c>
      <c r="AC1571" s="39" t="s">
        <v>160</v>
      </c>
      <c r="AD1571" s="75" t="s">
        <v>8</v>
      </c>
      <c r="AE1571" s="95">
        <v>0</v>
      </c>
      <c r="AF1571" s="75">
        <v>1</v>
      </c>
      <c r="AG1571" s="75">
        <v>0</v>
      </c>
      <c r="AH1571" s="75">
        <v>0</v>
      </c>
      <c r="AI1571" s="75">
        <v>0</v>
      </c>
      <c r="AJ1571" s="75">
        <v>0</v>
      </c>
      <c r="AK1571" s="75">
        <v>0</v>
      </c>
      <c r="AL1571" s="95">
        <v>0</v>
      </c>
      <c r="AM1571" s="92">
        <v>0</v>
      </c>
      <c r="AN1571" s="79" t="s">
        <v>80</v>
      </c>
      <c r="AO1571" s="75">
        <v>1</v>
      </c>
      <c r="AP1571" s="75" t="s">
        <v>83</v>
      </c>
      <c r="AQ1571" s="122">
        <v>1</v>
      </c>
      <c r="AR1571" s="515" t="s">
        <v>10</v>
      </c>
      <c r="AS1571" s="95">
        <v>0</v>
      </c>
      <c r="AT1571" s="75">
        <v>0</v>
      </c>
      <c r="AU1571" s="75">
        <v>0</v>
      </c>
      <c r="AV1571" s="75">
        <v>0</v>
      </c>
      <c r="AW1571" s="123">
        <v>0</v>
      </c>
      <c r="AX1571" s="516" t="s">
        <v>1840</v>
      </c>
      <c r="AY1571" s="75">
        <v>1</v>
      </c>
      <c r="AZ1571" s="77" t="s">
        <v>131</v>
      </c>
      <c r="BA1571" s="78" t="s">
        <v>132</v>
      </c>
      <c r="BB1571" s="78" t="s">
        <v>131</v>
      </c>
      <c r="BC1571" s="78" t="s">
        <v>131</v>
      </c>
      <c r="BD1571" s="78" t="s">
        <v>131</v>
      </c>
      <c r="BE1571" s="78" t="s">
        <v>131</v>
      </c>
      <c r="BF1571" s="78" t="s">
        <v>131</v>
      </c>
      <c r="BG1571" s="78" t="s">
        <v>131</v>
      </c>
      <c r="BH1571" s="75" t="s">
        <v>5970</v>
      </c>
      <c r="BI1571" s="295" t="s">
        <v>2254</v>
      </c>
      <c r="BJ1571" s="546">
        <v>1</v>
      </c>
      <c r="BK1571" s="294">
        <v>1</v>
      </c>
      <c r="BL1571" s="157">
        <v>1</v>
      </c>
      <c r="BM1571" s="548" t="s">
        <v>1341</v>
      </c>
      <c r="BN1571" s="548" t="s">
        <v>4160</v>
      </c>
      <c r="BO1571" s="157" t="s">
        <v>4655</v>
      </c>
      <c r="BP1571" s="548" t="s">
        <v>2254</v>
      </c>
      <c r="BQ1571" s="157" t="s">
        <v>4361</v>
      </c>
      <c r="BR1571" s="157"/>
    </row>
    <row r="1572" spans="1:70" x14ac:dyDescent="0.25">
      <c r="A1572" s="19" t="s">
        <v>3686</v>
      </c>
      <c r="B1572" s="37" t="s">
        <v>1841</v>
      </c>
      <c r="C1572" s="90">
        <v>44718.839918981481</v>
      </c>
      <c r="D1572" s="114">
        <v>44718.589918981481</v>
      </c>
      <c r="E1572" s="38">
        <v>44718</v>
      </c>
      <c r="F1572" s="91">
        <v>2022</v>
      </c>
      <c r="G1572" s="93">
        <v>6</v>
      </c>
      <c r="H1572" s="37" t="s">
        <v>1837</v>
      </c>
      <c r="I1572" s="37"/>
      <c r="J1572" s="103">
        <v>-91.814350234296782</v>
      </c>
      <c r="K1572" s="40">
        <v>43.879435690528403</v>
      </c>
      <c r="L1572" s="74"/>
      <c r="M1572" s="272" t="s">
        <v>16</v>
      </c>
      <c r="N1572" s="74">
        <v>0</v>
      </c>
      <c r="O1572" s="94"/>
      <c r="P1572" s="118">
        <v>0</v>
      </c>
      <c r="Q1572" s="510"/>
      <c r="R1572" s="513"/>
      <c r="S1572" s="41"/>
      <c r="T1572" s="40"/>
      <c r="U1572" s="40"/>
      <c r="V1572" s="119">
        <v>0</v>
      </c>
      <c r="W1572" s="40"/>
      <c r="X1572" s="119">
        <v>0</v>
      </c>
      <c r="Y1572" s="40"/>
      <c r="Z1572" s="119">
        <v>1</v>
      </c>
      <c r="AA1572" s="368">
        <v>0</v>
      </c>
      <c r="AB1572" s="535">
        <v>2</v>
      </c>
      <c r="AC1572" s="39" t="s">
        <v>160</v>
      </c>
      <c r="AD1572" s="75" t="s">
        <v>16</v>
      </c>
      <c r="AE1572" s="95">
        <v>-1</v>
      </c>
      <c r="AF1572" s="75">
        <v>-1</v>
      </c>
      <c r="AG1572" s="75">
        <v>-1</v>
      </c>
      <c r="AH1572" s="75">
        <v>-1</v>
      </c>
      <c r="AI1572" s="75">
        <v>-1</v>
      </c>
      <c r="AJ1572" s="75">
        <v>-1</v>
      </c>
      <c r="AK1572" s="75">
        <v>-1</v>
      </c>
      <c r="AL1572" s="95">
        <v>-1</v>
      </c>
      <c r="AM1572" s="92">
        <v>1</v>
      </c>
      <c r="AN1572" s="79"/>
      <c r="AO1572" s="75">
        <v>0</v>
      </c>
      <c r="AP1572" s="75"/>
      <c r="AQ1572" s="122">
        <v>0</v>
      </c>
      <c r="AR1572" s="515" t="s">
        <v>16</v>
      </c>
      <c r="AS1572" s="95">
        <v>-1</v>
      </c>
      <c r="AT1572" s="75">
        <v>-1</v>
      </c>
      <c r="AU1572" s="75">
        <v>-1</v>
      </c>
      <c r="AV1572" s="75">
        <v>-1</v>
      </c>
      <c r="AW1572" s="123">
        <v>1</v>
      </c>
      <c r="AX1572" s="516"/>
      <c r="AY1572" s="75">
        <v>0</v>
      </c>
      <c r="AZ1572" s="77" t="s">
        <v>5971</v>
      </c>
      <c r="BA1572" s="78" t="s">
        <v>5971</v>
      </c>
      <c r="BB1572" s="78" t="s">
        <v>5971</v>
      </c>
      <c r="BC1572" s="78" t="s">
        <v>5971</v>
      </c>
      <c r="BD1572" s="78" t="s">
        <v>5971</v>
      </c>
      <c r="BE1572" s="78" t="s">
        <v>5971</v>
      </c>
      <c r="BF1572" s="78" t="s">
        <v>5971</v>
      </c>
      <c r="BG1572" s="78" t="s">
        <v>5971</v>
      </c>
      <c r="BH1572" s="75" t="s">
        <v>5971</v>
      </c>
      <c r="BI1572" s="295" t="s">
        <v>2250</v>
      </c>
      <c r="BJ1572" s="546">
        <v>1</v>
      </c>
      <c r="BK1572" s="294" t="s">
        <v>16</v>
      </c>
      <c r="BL1572" s="157" t="s">
        <v>16</v>
      </c>
      <c r="BM1572" s="548" t="s">
        <v>1341</v>
      </c>
      <c r="BN1572" s="548" t="s">
        <v>1339</v>
      </c>
      <c r="BO1572" s="157" t="s">
        <v>4636</v>
      </c>
      <c r="BP1572" s="548" t="s">
        <v>4637</v>
      </c>
      <c r="BQ1572" s="157" t="s">
        <v>4635</v>
      </c>
      <c r="BR1572" s="157"/>
    </row>
    <row r="1573" spans="1:70" x14ac:dyDescent="0.25">
      <c r="A1573" s="19" t="s">
        <v>3686</v>
      </c>
      <c r="B1573" s="37" t="s">
        <v>1842</v>
      </c>
      <c r="C1573" s="90">
        <v>44718.835902777777</v>
      </c>
      <c r="D1573" s="114">
        <v>44718.585902777777</v>
      </c>
      <c r="E1573" s="38">
        <v>44718</v>
      </c>
      <c r="F1573" s="91">
        <v>2022</v>
      </c>
      <c r="G1573" s="93">
        <v>6</v>
      </c>
      <c r="H1573" s="37" t="s">
        <v>1837</v>
      </c>
      <c r="I1573" s="37" t="s">
        <v>16</v>
      </c>
      <c r="J1573" s="103">
        <v>-91.81434382825816</v>
      </c>
      <c r="K1573" s="40">
        <v>43.879439469540252</v>
      </c>
      <c r="L1573" s="74"/>
      <c r="M1573" s="272" t="s">
        <v>16</v>
      </c>
      <c r="N1573" s="74">
        <v>0</v>
      </c>
      <c r="O1573" s="94"/>
      <c r="P1573" s="118">
        <v>0</v>
      </c>
      <c r="Q1573" s="510"/>
      <c r="R1573" s="513"/>
      <c r="S1573" s="41"/>
      <c r="T1573" s="40"/>
      <c r="U1573" s="40"/>
      <c r="V1573" s="119">
        <v>1</v>
      </c>
      <c r="W1573" s="40">
        <v>0</v>
      </c>
      <c r="X1573" s="119">
        <v>0</v>
      </c>
      <c r="Y1573" s="40"/>
      <c r="Z1573" s="119">
        <v>1</v>
      </c>
      <c r="AA1573" s="368">
        <v>0</v>
      </c>
      <c r="AB1573" s="535">
        <v>2</v>
      </c>
      <c r="AC1573" s="39" t="s">
        <v>160</v>
      </c>
      <c r="AD1573" s="75" t="s">
        <v>10</v>
      </c>
      <c r="AE1573" s="95">
        <v>0</v>
      </c>
      <c r="AF1573" s="75">
        <v>0</v>
      </c>
      <c r="AG1573" s="75">
        <v>0</v>
      </c>
      <c r="AH1573" s="75">
        <v>0</v>
      </c>
      <c r="AI1573" s="75">
        <v>0</v>
      </c>
      <c r="AJ1573" s="75">
        <v>0</v>
      </c>
      <c r="AK1573" s="75">
        <v>0</v>
      </c>
      <c r="AL1573" s="95">
        <v>1</v>
      </c>
      <c r="AM1573" s="92">
        <v>0</v>
      </c>
      <c r="AN1573" s="79"/>
      <c r="AO1573" s="75">
        <v>0</v>
      </c>
      <c r="AP1573" s="75"/>
      <c r="AQ1573" s="122">
        <v>0</v>
      </c>
      <c r="AR1573" s="515" t="s">
        <v>16</v>
      </c>
      <c r="AS1573" s="95">
        <v>-1</v>
      </c>
      <c r="AT1573" s="75">
        <v>-1</v>
      </c>
      <c r="AU1573" s="75">
        <v>-1</v>
      </c>
      <c r="AV1573" s="75">
        <v>-1</v>
      </c>
      <c r="AW1573" s="123">
        <v>1</v>
      </c>
      <c r="AX1573" s="516"/>
      <c r="AY1573" s="75">
        <v>0</v>
      </c>
      <c r="AZ1573" s="77" t="s">
        <v>131</v>
      </c>
      <c r="BA1573" s="78" t="s">
        <v>131</v>
      </c>
      <c r="BB1573" s="78" t="s">
        <v>131</v>
      </c>
      <c r="BC1573" s="78" t="s">
        <v>131</v>
      </c>
      <c r="BD1573" s="78" t="s">
        <v>131</v>
      </c>
      <c r="BE1573" s="78" t="s">
        <v>131</v>
      </c>
      <c r="BF1573" s="78" t="s">
        <v>131</v>
      </c>
      <c r="BG1573" s="78" t="s">
        <v>132</v>
      </c>
      <c r="BH1573" s="75" t="s">
        <v>5970</v>
      </c>
      <c r="BI1573" s="295" t="s">
        <v>2250</v>
      </c>
      <c r="BJ1573" s="546">
        <v>1</v>
      </c>
      <c r="BK1573" s="294" t="s">
        <v>16</v>
      </c>
      <c r="BL1573" s="157" t="s">
        <v>16</v>
      </c>
      <c r="BM1573" s="548" t="s">
        <v>1341</v>
      </c>
      <c r="BN1573" s="548" t="s">
        <v>1339</v>
      </c>
      <c r="BO1573" s="157" t="s">
        <v>4636</v>
      </c>
      <c r="BP1573" s="548" t="s">
        <v>4637</v>
      </c>
      <c r="BQ1573" s="157" t="s">
        <v>4635</v>
      </c>
      <c r="BR1573" s="157"/>
    </row>
    <row r="1574" spans="1:70" x14ac:dyDescent="0.25">
      <c r="A1574" s="19" t="s">
        <v>3686</v>
      </c>
      <c r="B1574" s="37" t="s">
        <v>1843</v>
      </c>
      <c r="C1574" s="90">
        <v>44718.829733796294</v>
      </c>
      <c r="D1574" s="114">
        <v>44718.579733796294</v>
      </c>
      <c r="E1574" s="38">
        <v>44718</v>
      </c>
      <c r="F1574" s="91">
        <v>2022</v>
      </c>
      <c r="G1574" s="93">
        <v>6</v>
      </c>
      <c r="H1574" s="37" t="s">
        <v>1837</v>
      </c>
      <c r="I1574" s="37"/>
      <c r="J1574" s="103">
        <v>-91.814304590082287</v>
      </c>
      <c r="K1574" s="40">
        <v>43.8794446611655</v>
      </c>
      <c r="L1574" s="74"/>
      <c r="M1574" s="272" t="s">
        <v>16</v>
      </c>
      <c r="N1574" s="74">
        <v>0</v>
      </c>
      <c r="O1574" s="94"/>
      <c r="P1574" s="118">
        <v>1</v>
      </c>
      <c r="Q1574" s="510">
        <v>0</v>
      </c>
      <c r="R1574" s="513">
        <v>30</v>
      </c>
      <c r="S1574" s="41"/>
      <c r="T1574" s="40"/>
      <c r="U1574" s="40">
        <v>7</v>
      </c>
      <c r="V1574" s="119">
        <v>0</v>
      </c>
      <c r="W1574" s="40"/>
      <c r="X1574" s="119">
        <v>0</v>
      </c>
      <c r="Y1574" s="40"/>
      <c r="Z1574" s="119">
        <v>0</v>
      </c>
      <c r="AA1574" s="368" t="s">
        <v>16</v>
      </c>
      <c r="AB1574" s="535" t="s">
        <v>16</v>
      </c>
      <c r="AC1574" s="39" t="s">
        <v>160</v>
      </c>
      <c r="AD1574" s="75" t="s">
        <v>10</v>
      </c>
      <c r="AE1574" s="95">
        <v>0</v>
      </c>
      <c r="AF1574" s="75">
        <v>0</v>
      </c>
      <c r="AG1574" s="75">
        <v>0</v>
      </c>
      <c r="AH1574" s="75">
        <v>0</v>
      </c>
      <c r="AI1574" s="75">
        <v>0</v>
      </c>
      <c r="AJ1574" s="75">
        <v>0</v>
      </c>
      <c r="AK1574" s="75">
        <v>0</v>
      </c>
      <c r="AL1574" s="95">
        <v>1</v>
      </c>
      <c r="AM1574" s="92">
        <v>0</v>
      </c>
      <c r="AN1574" s="79" t="s">
        <v>80</v>
      </c>
      <c r="AO1574" s="75">
        <v>1</v>
      </c>
      <c r="AP1574" s="75" t="s">
        <v>83</v>
      </c>
      <c r="AQ1574" s="122">
        <v>1</v>
      </c>
      <c r="AR1574" s="515" t="s">
        <v>10</v>
      </c>
      <c r="AS1574" s="95">
        <v>0</v>
      </c>
      <c r="AT1574" s="75">
        <v>0</v>
      </c>
      <c r="AU1574" s="75">
        <v>0</v>
      </c>
      <c r="AV1574" s="75">
        <v>0</v>
      </c>
      <c r="AW1574" s="123">
        <v>0</v>
      </c>
      <c r="AX1574" s="516"/>
      <c r="AY1574" s="75">
        <v>0</v>
      </c>
      <c r="AZ1574" s="77" t="s">
        <v>131</v>
      </c>
      <c r="BA1574" s="78" t="s">
        <v>131</v>
      </c>
      <c r="BB1574" s="78" t="s">
        <v>131</v>
      </c>
      <c r="BC1574" s="78" t="s">
        <v>131</v>
      </c>
      <c r="BD1574" s="78" t="s">
        <v>131</v>
      </c>
      <c r="BE1574" s="78" t="s">
        <v>131</v>
      </c>
      <c r="BF1574" s="78" t="s">
        <v>131</v>
      </c>
      <c r="BG1574" s="78" t="s">
        <v>132</v>
      </c>
      <c r="BH1574" s="75" t="s">
        <v>5970</v>
      </c>
      <c r="BI1574" s="295" t="s">
        <v>2250</v>
      </c>
      <c r="BJ1574" s="546">
        <v>1</v>
      </c>
      <c r="BK1574" s="294" t="s">
        <v>16</v>
      </c>
      <c r="BL1574" s="157" t="s">
        <v>16</v>
      </c>
      <c r="BM1574" s="548" t="s">
        <v>1341</v>
      </c>
      <c r="BN1574" s="548" t="s">
        <v>1339</v>
      </c>
      <c r="BO1574" s="157" t="s">
        <v>4636</v>
      </c>
      <c r="BP1574" s="548" t="s">
        <v>4637</v>
      </c>
      <c r="BQ1574" s="157" t="s">
        <v>4635</v>
      </c>
      <c r="BR1574" s="157"/>
    </row>
    <row r="1575" spans="1:70" x14ac:dyDescent="0.25">
      <c r="A1575" s="19" t="s">
        <v>3686</v>
      </c>
      <c r="B1575" s="37" t="s">
        <v>1844</v>
      </c>
      <c r="C1575" s="90">
        <v>44718.795474537037</v>
      </c>
      <c r="D1575" s="114">
        <v>44718.545474537037</v>
      </c>
      <c r="E1575" s="38">
        <v>44718</v>
      </c>
      <c r="F1575" s="91">
        <v>2022</v>
      </c>
      <c r="G1575" s="93">
        <v>6</v>
      </c>
      <c r="H1575" s="37" t="s">
        <v>966</v>
      </c>
      <c r="I1575" s="37"/>
      <c r="J1575" s="103">
        <v>-92.587479702177021</v>
      </c>
      <c r="K1575" s="40">
        <v>44.477927070741266</v>
      </c>
      <c r="L1575" s="74"/>
      <c r="M1575" s="272" t="s">
        <v>1845</v>
      </c>
      <c r="N1575" s="74">
        <v>1</v>
      </c>
      <c r="O1575" s="94"/>
      <c r="P1575" s="118">
        <v>1</v>
      </c>
      <c r="Q1575" s="510">
        <v>180</v>
      </c>
      <c r="R1575" s="513">
        <v>180</v>
      </c>
      <c r="S1575" s="41"/>
      <c r="T1575" s="40"/>
      <c r="U1575" s="40">
        <v>9</v>
      </c>
      <c r="V1575" s="119">
        <v>1</v>
      </c>
      <c r="W1575" s="40">
        <v>0</v>
      </c>
      <c r="X1575" s="119">
        <v>1</v>
      </c>
      <c r="Y1575" s="40">
        <v>59</v>
      </c>
      <c r="Z1575" s="119">
        <v>1</v>
      </c>
      <c r="AA1575" s="368">
        <v>0</v>
      </c>
      <c r="AB1575" s="535">
        <v>5</v>
      </c>
      <c r="AC1575" s="39" t="s">
        <v>160</v>
      </c>
      <c r="AD1575" s="75" t="s">
        <v>355</v>
      </c>
      <c r="AE1575" s="95">
        <v>0</v>
      </c>
      <c r="AF1575" s="75">
        <v>0</v>
      </c>
      <c r="AG1575" s="75">
        <v>0</v>
      </c>
      <c r="AH1575" s="75">
        <v>1</v>
      </c>
      <c r="AI1575" s="75">
        <v>0</v>
      </c>
      <c r="AJ1575" s="75">
        <v>0</v>
      </c>
      <c r="AK1575" s="75">
        <v>0</v>
      </c>
      <c r="AL1575" s="95">
        <v>0</v>
      </c>
      <c r="AM1575" s="92">
        <v>0</v>
      </c>
      <c r="AN1575" s="79" t="s">
        <v>195</v>
      </c>
      <c r="AO1575" s="75">
        <v>1</v>
      </c>
      <c r="AP1575" s="75" t="s">
        <v>83</v>
      </c>
      <c r="AQ1575" s="122">
        <v>1</v>
      </c>
      <c r="AR1575" s="515" t="s">
        <v>10</v>
      </c>
      <c r="AS1575" s="95">
        <v>0</v>
      </c>
      <c r="AT1575" s="75">
        <v>0</v>
      </c>
      <c r="AU1575" s="75">
        <v>0</v>
      </c>
      <c r="AV1575" s="75">
        <v>0</v>
      </c>
      <c r="AW1575" s="123">
        <v>0</v>
      </c>
      <c r="AX1575" s="516"/>
      <c r="AY1575" s="75">
        <v>0</v>
      </c>
      <c r="AZ1575" s="77" t="s">
        <v>131</v>
      </c>
      <c r="BA1575" s="78" t="s">
        <v>131</v>
      </c>
      <c r="BB1575" s="78" t="s">
        <v>131</v>
      </c>
      <c r="BC1575" s="78" t="s">
        <v>132</v>
      </c>
      <c r="BD1575" s="78" t="s">
        <v>131</v>
      </c>
      <c r="BE1575" s="78" t="s">
        <v>131</v>
      </c>
      <c r="BF1575" s="78" t="s">
        <v>131</v>
      </c>
      <c r="BG1575" s="78" t="s">
        <v>131</v>
      </c>
      <c r="BH1575" s="75" t="s">
        <v>5970</v>
      </c>
      <c r="BI1575" s="295" t="s">
        <v>2238</v>
      </c>
      <c r="BJ1575" s="546">
        <v>1</v>
      </c>
      <c r="BK1575" s="294" t="s">
        <v>16</v>
      </c>
      <c r="BL1575" s="157" t="s">
        <v>16</v>
      </c>
      <c r="BM1575" s="548" t="s">
        <v>2343</v>
      </c>
      <c r="BN1575" s="548" t="s">
        <v>4161</v>
      </c>
      <c r="BO1575" s="157" t="s">
        <v>4308</v>
      </c>
      <c r="BP1575" s="548" t="s">
        <v>2238</v>
      </c>
      <c r="BQ1575" s="157" t="s">
        <v>4307</v>
      </c>
      <c r="BR1575" s="157"/>
    </row>
    <row r="1576" spans="1:70" x14ac:dyDescent="0.25">
      <c r="A1576" s="19" t="s">
        <v>3686</v>
      </c>
      <c r="B1576" s="37" t="s">
        <v>1846</v>
      </c>
      <c r="C1576" s="90">
        <v>44718.771863425929</v>
      </c>
      <c r="D1576" s="114">
        <v>44718.521863425929</v>
      </c>
      <c r="E1576" s="38">
        <v>44718</v>
      </c>
      <c r="F1576" s="91">
        <v>2022</v>
      </c>
      <c r="G1576" s="93">
        <v>6</v>
      </c>
      <c r="H1576" s="37" t="s">
        <v>260</v>
      </c>
      <c r="I1576" s="37" t="s">
        <v>337</v>
      </c>
      <c r="J1576" s="103">
        <v>-92.645174562596196</v>
      </c>
      <c r="K1576" s="40">
        <v>44.843635912705338</v>
      </c>
      <c r="L1576" s="74"/>
      <c r="M1576" s="272" t="s">
        <v>1847</v>
      </c>
      <c r="N1576" s="74">
        <v>1</v>
      </c>
      <c r="O1576" s="94"/>
      <c r="P1576" s="118">
        <v>1</v>
      </c>
      <c r="Q1576" s="510">
        <v>0</v>
      </c>
      <c r="R1576" s="513">
        <v>30</v>
      </c>
      <c r="S1576" s="41"/>
      <c r="T1576" s="40"/>
      <c r="U1576" s="40">
        <v>7</v>
      </c>
      <c r="V1576" s="119">
        <v>1</v>
      </c>
      <c r="W1576" s="40">
        <v>0</v>
      </c>
      <c r="X1576" s="119">
        <v>1</v>
      </c>
      <c r="Y1576" s="40">
        <v>58</v>
      </c>
      <c r="Z1576" s="119">
        <v>1</v>
      </c>
      <c r="AA1576" s="368">
        <v>0</v>
      </c>
      <c r="AB1576" s="535">
        <v>2</v>
      </c>
      <c r="AC1576" s="39" t="s">
        <v>160</v>
      </c>
      <c r="AD1576" s="75" t="s">
        <v>10</v>
      </c>
      <c r="AE1576" s="95">
        <v>0</v>
      </c>
      <c r="AF1576" s="75">
        <v>0</v>
      </c>
      <c r="AG1576" s="75">
        <v>0</v>
      </c>
      <c r="AH1576" s="75">
        <v>0</v>
      </c>
      <c r="AI1576" s="75">
        <v>0</v>
      </c>
      <c r="AJ1576" s="75">
        <v>0</v>
      </c>
      <c r="AK1576" s="75">
        <v>0</v>
      </c>
      <c r="AL1576" s="95">
        <v>1</v>
      </c>
      <c r="AM1576" s="92">
        <v>0</v>
      </c>
      <c r="AN1576" s="79" t="s">
        <v>80</v>
      </c>
      <c r="AO1576" s="75">
        <v>1</v>
      </c>
      <c r="AP1576" s="75" t="s">
        <v>83</v>
      </c>
      <c r="AQ1576" s="122">
        <v>1</v>
      </c>
      <c r="AR1576" s="515" t="s">
        <v>10</v>
      </c>
      <c r="AS1576" s="95">
        <v>0</v>
      </c>
      <c r="AT1576" s="75">
        <v>0</v>
      </c>
      <c r="AU1576" s="75">
        <v>0</v>
      </c>
      <c r="AV1576" s="75">
        <v>0</v>
      </c>
      <c r="AW1576" s="123">
        <v>0</v>
      </c>
      <c r="AX1576" s="516" t="s">
        <v>1848</v>
      </c>
      <c r="AY1576" s="75">
        <v>1</v>
      </c>
      <c r="AZ1576" s="77" t="s">
        <v>131</v>
      </c>
      <c r="BA1576" s="78" t="s">
        <v>131</v>
      </c>
      <c r="BB1576" s="78" t="s">
        <v>131</v>
      </c>
      <c r="BC1576" s="78" t="s">
        <v>131</v>
      </c>
      <c r="BD1576" s="78" t="s">
        <v>131</v>
      </c>
      <c r="BE1576" s="78" t="s">
        <v>131</v>
      </c>
      <c r="BF1576" s="78" t="s">
        <v>131</v>
      </c>
      <c r="BG1576" s="78" t="s">
        <v>132</v>
      </c>
      <c r="BH1576" s="75" t="s">
        <v>5970</v>
      </c>
      <c r="BI1576" s="295" t="s">
        <v>2227</v>
      </c>
      <c r="BJ1576" s="546">
        <v>1</v>
      </c>
      <c r="BK1576" s="294" t="s">
        <v>16</v>
      </c>
      <c r="BL1576" s="157" t="s">
        <v>16</v>
      </c>
      <c r="BM1576" s="548" t="s">
        <v>578</v>
      </c>
      <c r="BN1576" s="548" t="s">
        <v>578</v>
      </c>
      <c r="BO1576" s="157" t="s">
        <v>4341</v>
      </c>
      <c r="BP1576" s="548" t="s">
        <v>4343</v>
      </c>
      <c r="BQ1576" s="157" t="s">
        <v>4309</v>
      </c>
      <c r="BR1576" s="157"/>
    </row>
    <row r="1577" spans="1:70" x14ac:dyDescent="0.25">
      <c r="A1577" s="19" t="s">
        <v>3686</v>
      </c>
      <c r="B1577" s="37" t="s">
        <v>1849</v>
      </c>
      <c r="C1577" s="90">
        <v>44718.701238425929</v>
      </c>
      <c r="D1577" s="114">
        <v>44718.451238425929</v>
      </c>
      <c r="E1577" s="38">
        <v>44718</v>
      </c>
      <c r="F1577" s="91">
        <v>2022</v>
      </c>
      <c r="G1577" s="93">
        <v>6</v>
      </c>
      <c r="H1577" s="37" t="s">
        <v>302</v>
      </c>
      <c r="I1577" s="37"/>
      <c r="J1577" s="103">
        <v>-92.221027177517897</v>
      </c>
      <c r="K1577" s="40">
        <v>43.637281746664499</v>
      </c>
      <c r="L1577" s="74"/>
      <c r="M1577" s="272" t="s">
        <v>1850</v>
      </c>
      <c r="N1577" s="74">
        <v>1</v>
      </c>
      <c r="O1577" s="94"/>
      <c r="P1577" s="118">
        <v>1</v>
      </c>
      <c r="Q1577" s="510">
        <v>120</v>
      </c>
      <c r="R1577" s="513">
        <v>180</v>
      </c>
      <c r="S1577" s="41"/>
      <c r="T1577" s="40"/>
      <c r="U1577" s="40">
        <v>7.5</v>
      </c>
      <c r="V1577" s="119">
        <v>1</v>
      </c>
      <c r="W1577" s="40">
        <v>100</v>
      </c>
      <c r="X1577" s="119">
        <v>0</v>
      </c>
      <c r="Y1577" s="40"/>
      <c r="Z1577" s="119">
        <v>1</v>
      </c>
      <c r="AA1577" s="368">
        <v>0</v>
      </c>
      <c r="AB1577" s="535">
        <v>10</v>
      </c>
      <c r="AC1577" s="39" t="s">
        <v>160</v>
      </c>
      <c r="AD1577" s="75" t="s">
        <v>8</v>
      </c>
      <c r="AE1577" s="95">
        <v>0</v>
      </c>
      <c r="AF1577" s="75">
        <v>1</v>
      </c>
      <c r="AG1577" s="75">
        <v>0</v>
      </c>
      <c r="AH1577" s="75">
        <v>0</v>
      </c>
      <c r="AI1577" s="75">
        <v>0</v>
      </c>
      <c r="AJ1577" s="75">
        <v>0</v>
      </c>
      <c r="AK1577" s="75">
        <v>0</v>
      </c>
      <c r="AL1577" s="95">
        <v>0</v>
      </c>
      <c r="AM1577" s="92">
        <v>0</v>
      </c>
      <c r="AN1577" s="79" t="s">
        <v>80</v>
      </c>
      <c r="AO1577" s="75">
        <v>1</v>
      </c>
      <c r="AP1577" s="75" t="s">
        <v>83</v>
      </c>
      <c r="AQ1577" s="122">
        <v>1</v>
      </c>
      <c r="AR1577" s="515" t="s">
        <v>10</v>
      </c>
      <c r="AS1577" s="95">
        <v>0</v>
      </c>
      <c r="AT1577" s="75">
        <v>0</v>
      </c>
      <c r="AU1577" s="75">
        <v>0</v>
      </c>
      <c r="AV1577" s="75">
        <v>0</v>
      </c>
      <c r="AW1577" s="123">
        <v>0</v>
      </c>
      <c r="AX1577" s="516" t="s">
        <v>1851</v>
      </c>
      <c r="AY1577" s="75">
        <v>1</v>
      </c>
      <c r="AZ1577" s="77" t="s">
        <v>131</v>
      </c>
      <c r="BA1577" s="78" t="s">
        <v>132</v>
      </c>
      <c r="BB1577" s="78" t="s">
        <v>131</v>
      </c>
      <c r="BC1577" s="78" t="s">
        <v>131</v>
      </c>
      <c r="BD1577" s="78" t="s">
        <v>131</v>
      </c>
      <c r="BE1577" s="78" t="s">
        <v>131</v>
      </c>
      <c r="BF1577" s="78" t="s">
        <v>131</v>
      </c>
      <c r="BG1577" s="78" t="s">
        <v>131</v>
      </c>
      <c r="BH1577" s="75" t="s">
        <v>5970</v>
      </c>
      <c r="BI1577" s="295" t="s">
        <v>2263</v>
      </c>
      <c r="BJ1577" s="546">
        <v>1</v>
      </c>
      <c r="BK1577" s="294" t="s">
        <v>16</v>
      </c>
      <c r="BL1577" s="157" t="s">
        <v>16</v>
      </c>
      <c r="BM1577" s="548" t="s">
        <v>1339</v>
      </c>
      <c r="BN1577" s="548" t="s">
        <v>4160</v>
      </c>
      <c r="BO1577" s="157" t="s">
        <v>4694</v>
      </c>
      <c r="BP1577" s="548" t="s">
        <v>2263</v>
      </c>
      <c r="BQ1577" s="157" t="s">
        <v>4229</v>
      </c>
      <c r="BR1577" s="157"/>
    </row>
    <row r="1578" spans="1:70" x14ac:dyDescent="0.25">
      <c r="A1578" s="19" t="s">
        <v>3686</v>
      </c>
      <c r="B1578" s="37" t="s">
        <v>1852</v>
      </c>
      <c r="C1578" s="90">
        <v>44718.682152777779</v>
      </c>
      <c r="D1578" s="114">
        <v>44718.432152777779</v>
      </c>
      <c r="E1578" s="38">
        <v>44718</v>
      </c>
      <c r="F1578" s="91">
        <v>2022</v>
      </c>
      <c r="G1578" s="93">
        <v>6</v>
      </c>
      <c r="H1578" s="37" t="s">
        <v>302</v>
      </c>
      <c r="I1578" s="37"/>
      <c r="J1578" s="103">
        <v>-92.236123540928261</v>
      </c>
      <c r="K1578" s="40">
        <v>43.621897166320906</v>
      </c>
      <c r="L1578" s="74"/>
      <c r="M1578" s="272" t="s">
        <v>16</v>
      </c>
      <c r="N1578" s="74">
        <v>0</v>
      </c>
      <c r="O1578" s="94"/>
      <c r="P1578" s="118">
        <v>1</v>
      </c>
      <c r="Q1578" s="510">
        <v>120</v>
      </c>
      <c r="R1578" s="513">
        <v>120</v>
      </c>
      <c r="S1578" s="41"/>
      <c r="T1578" s="40"/>
      <c r="U1578" s="40">
        <v>8</v>
      </c>
      <c r="V1578" s="119">
        <v>1</v>
      </c>
      <c r="W1578" s="40">
        <v>100</v>
      </c>
      <c r="X1578" s="119">
        <v>0</v>
      </c>
      <c r="Y1578" s="40"/>
      <c r="Z1578" s="119">
        <v>1</v>
      </c>
      <c r="AA1578" s="368">
        <v>0</v>
      </c>
      <c r="AB1578" s="535">
        <v>5</v>
      </c>
      <c r="AC1578" s="39" t="s">
        <v>160</v>
      </c>
      <c r="AD1578" s="75" t="s">
        <v>8</v>
      </c>
      <c r="AE1578" s="95">
        <v>0</v>
      </c>
      <c r="AF1578" s="75">
        <v>1</v>
      </c>
      <c r="AG1578" s="75">
        <v>0</v>
      </c>
      <c r="AH1578" s="75">
        <v>0</v>
      </c>
      <c r="AI1578" s="75">
        <v>0</v>
      </c>
      <c r="AJ1578" s="75">
        <v>0</v>
      </c>
      <c r="AK1578" s="75">
        <v>0</v>
      </c>
      <c r="AL1578" s="95">
        <v>0</v>
      </c>
      <c r="AM1578" s="92">
        <v>0</v>
      </c>
      <c r="AN1578" s="79" t="s">
        <v>80</v>
      </c>
      <c r="AO1578" s="75">
        <v>1</v>
      </c>
      <c r="AP1578" s="75" t="s">
        <v>83</v>
      </c>
      <c r="AQ1578" s="122">
        <v>1</v>
      </c>
      <c r="AR1578" s="515" t="s">
        <v>10</v>
      </c>
      <c r="AS1578" s="95">
        <v>0</v>
      </c>
      <c r="AT1578" s="75">
        <v>0</v>
      </c>
      <c r="AU1578" s="75">
        <v>0</v>
      </c>
      <c r="AV1578" s="75">
        <v>0</v>
      </c>
      <c r="AW1578" s="123">
        <v>0</v>
      </c>
      <c r="AX1578" s="516" t="s">
        <v>1853</v>
      </c>
      <c r="AY1578" s="75">
        <v>1</v>
      </c>
      <c r="AZ1578" s="77" t="s">
        <v>131</v>
      </c>
      <c r="BA1578" s="78" t="s">
        <v>132</v>
      </c>
      <c r="BB1578" s="78" t="s">
        <v>131</v>
      </c>
      <c r="BC1578" s="78" t="s">
        <v>131</v>
      </c>
      <c r="BD1578" s="78" t="s">
        <v>131</v>
      </c>
      <c r="BE1578" s="78" t="s">
        <v>131</v>
      </c>
      <c r="BF1578" s="78" t="s">
        <v>131</v>
      </c>
      <c r="BG1578" s="78" t="s">
        <v>131</v>
      </c>
      <c r="BH1578" s="75" t="s">
        <v>5970</v>
      </c>
      <c r="BI1578" s="295" t="s">
        <v>2268</v>
      </c>
      <c r="BJ1578" s="546">
        <v>1</v>
      </c>
      <c r="BK1578" s="294" t="s">
        <v>16</v>
      </c>
      <c r="BL1578" s="157" t="s">
        <v>16</v>
      </c>
      <c r="BM1578" s="548" t="s">
        <v>1339</v>
      </c>
      <c r="BN1578" s="548" t="s">
        <v>4160</v>
      </c>
      <c r="BO1578" s="157" t="s">
        <v>4230</v>
      </c>
      <c r="BP1578" s="548" t="s">
        <v>4231</v>
      </c>
      <c r="BQ1578" s="157" t="s">
        <v>4229</v>
      </c>
      <c r="BR1578" s="157"/>
    </row>
    <row r="1579" spans="1:70" x14ac:dyDescent="0.25">
      <c r="A1579" s="19" t="s">
        <v>3686</v>
      </c>
      <c r="B1579" s="37" t="s">
        <v>1854</v>
      </c>
      <c r="C1579" s="90">
        <v>44718.637754629628</v>
      </c>
      <c r="D1579" s="114">
        <v>44718.387754629628</v>
      </c>
      <c r="E1579" s="38">
        <v>44718</v>
      </c>
      <c r="F1579" s="91">
        <v>2022</v>
      </c>
      <c r="G1579" s="93">
        <v>6</v>
      </c>
      <c r="H1579" s="37" t="s">
        <v>302</v>
      </c>
      <c r="I1579" s="37"/>
      <c r="J1579" s="103">
        <v>-92.072085911038201</v>
      </c>
      <c r="K1579" s="40">
        <v>43.85921004751205</v>
      </c>
      <c r="L1579" s="74"/>
      <c r="M1579" s="272" t="s">
        <v>1855</v>
      </c>
      <c r="N1579" s="74">
        <v>1</v>
      </c>
      <c r="O1579" s="94"/>
      <c r="P1579" s="118">
        <v>1</v>
      </c>
      <c r="Q1579" s="510">
        <v>180</v>
      </c>
      <c r="R1579" s="513">
        <v>180</v>
      </c>
      <c r="S1579" s="41"/>
      <c r="T1579" s="40"/>
      <c r="U1579" s="40">
        <v>8</v>
      </c>
      <c r="V1579" s="119">
        <v>1</v>
      </c>
      <c r="W1579" s="40">
        <v>100</v>
      </c>
      <c r="X1579" s="119">
        <v>0</v>
      </c>
      <c r="Y1579" s="40"/>
      <c r="Z1579" s="119">
        <v>1</v>
      </c>
      <c r="AA1579" s="368">
        <v>0</v>
      </c>
      <c r="AB1579" s="535">
        <v>5</v>
      </c>
      <c r="AC1579" s="39" t="s">
        <v>160</v>
      </c>
      <c r="AD1579" s="75" t="s">
        <v>8</v>
      </c>
      <c r="AE1579" s="95">
        <v>0</v>
      </c>
      <c r="AF1579" s="75">
        <v>1</v>
      </c>
      <c r="AG1579" s="75">
        <v>0</v>
      </c>
      <c r="AH1579" s="75">
        <v>0</v>
      </c>
      <c r="AI1579" s="75">
        <v>0</v>
      </c>
      <c r="AJ1579" s="75">
        <v>0</v>
      </c>
      <c r="AK1579" s="75">
        <v>0</v>
      </c>
      <c r="AL1579" s="95">
        <v>0</v>
      </c>
      <c r="AM1579" s="92">
        <v>0</v>
      </c>
      <c r="AN1579" s="79" t="s">
        <v>80</v>
      </c>
      <c r="AO1579" s="75">
        <v>1</v>
      </c>
      <c r="AP1579" s="75" t="s">
        <v>83</v>
      </c>
      <c r="AQ1579" s="122">
        <v>1</v>
      </c>
      <c r="AR1579" s="515" t="s">
        <v>10</v>
      </c>
      <c r="AS1579" s="95">
        <v>0</v>
      </c>
      <c r="AT1579" s="75">
        <v>0</v>
      </c>
      <c r="AU1579" s="75">
        <v>0</v>
      </c>
      <c r="AV1579" s="75">
        <v>0</v>
      </c>
      <c r="AW1579" s="123">
        <v>0</v>
      </c>
      <c r="AX1579" s="516" t="s">
        <v>1856</v>
      </c>
      <c r="AY1579" s="75">
        <v>1</v>
      </c>
      <c r="AZ1579" s="77" t="s">
        <v>131</v>
      </c>
      <c r="BA1579" s="78" t="s">
        <v>132</v>
      </c>
      <c r="BB1579" s="78" t="s">
        <v>131</v>
      </c>
      <c r="BC1579" s="78" t="s">
        <v>131</v>
      </c>
      <c r="BD1579" s="78" t="s">
        <v>131</v>
      </c>
      <c r="BE1579" s="78" t="s">
        <v>131</v>
      </c>
      <c r="BF1579" s="78" t="s">
        <v>131</v>
      </c>
      <c r="BG1579" s="78" t="s">
        <v>131</v>
      </c>
      <c r="BH1579" s="75" t="s">
        <v>5970</v>
      </c>
      <c r="BI1579" s="295" t="s">
        <v>2235</v>
      </c>
      <c r="BJ1579" s="546">
        <v>1</v>
      </c>
      <c r="BK1579" s="294" t="s">
        <v>16</v>
      </c>
      <c r="BL1579" s="157" t="s">
        <v>16</v>
      </c>
      <c r="BM1579" s="548" t="s">
        <v>1339</v>
      </c>
      <c r="BN1579" s="548" t="s">
        <v>4160</v>
      </c>
      <c r="BO1579" s="157" t="s">
        <v>4695</v>
      </c>
      <c r="BP1579" s="548" t="s">
        <v>2235</v>
      </c>
      <c r="BQ1579" s="157" t="s">
        <v>4319</v>
      </c>
      <c r="BR1579" s="157"/>
    </row>
    <row r="1580" spans="1:70" x14ac:dyDescent="0.25">
      <c r="A1580" s="19" t="s">
        <v>3686</v>
      </c>
      <c r="B1580" s="37" t="s">
        <v>1857</v>
      </c>
      <c r="C1580" s="90">
        <v>44718.612210648149</v>
      </c>
      <c r="D1580" s="114">
        <v>44718.362210648149</v>
      </c>
      <c r="E1580" s="38">
        <v>44718</v>
      </c>
      <c r="F1580" s="91">
        <v>2022</v>
      </c>
      <c r="G1580" s="93">
        <v>6</v>
      </c>
      <c r="H1580" s="37" t="s">
        <v>302</v>
      </c>
      <c r="I1580" s="37"/>
      <c r="J1580" s="103">
        <v>-92.115866291039524</v>
      </c>
      <c r="K1580" s="40">
        <v>44.021517322867375</v>
      </c>
      <c r="L1580" s="74"/>
      <c r="M1580" s="272" t="s">
        <v>16</v>
      </c>
      <c r="N1580" s="74">
        <v>0</v>
      </c>
      <c r="O1580" s="94"/>
      <c r="P1580" s="118">
        <v>1</v>
      </c>
      <c r="Q1580" s="510">
        <v>180</v>
      </c>
      <c r="R1580" s="513">
        <v>180</v>
      </c>
      <c r="S1580" s="41"/>
      <c r="T1580" s="40"/>
      <c r="U1580" s="40">
        <v>7</v>
      </c>
      <c r="V1580" s="119">
        <v>1</v>
      </c>
      <c r="W1580" s="40">
        <v>0</v>
      </c>
      <c r="X1580" s="119">
        <v>0</v>
      </c>
      <c r="Y1580" s="40"/>
      <c r="Z1580" s="119">
        <v>1</v>
      </c>
      <c r="AA1580" s="368">
        <v>0</v>
      </c>
      <c r="AB1580" s="535">
        <v>5</v>
      </c>
      <c r="AC1580" s="39" t="s">
        <v>160</v>
      </c>
      <c r="AD1580" s="75" t="s">
        <v>439</v>
      </c>
      <c r="AE1580" s="95">
        <v>0</v>
      </c>
      <c r="AF1580" s="75">
        <v>1</v>
      </c>
      <c r="AG1580" s="75">
        <v>0</v>
      </c>
      <c r="AH1580" s="75">
        <v>0</v>
      </c>
      <c r="AI1580" s="75">
        <v>1</v>
      </c>
      <c r="AJ1580" s="75">
        <v>0</v>
      </c>
      <c r="AK1580" s="75">
        <v>0</v>
      </c>
      <c r="AL1580" s="95">
        <v>0</v>
      </c>
      <c r="AM1580" s="92">
        <v>0</v>
      </c>
      <c r="AN1580" s="79" t="s">
        <v>80</v>
      </c>
      <c r="AO1580" s="75">
        <v>1</v>
      </c>
      <c r="AP1580" s="75" t="s">
        <v>83</v>
      </c>
      <c r="AQ1580" s="122">
        <v>1</v>
      </c>
      <c r="AR1580" s="515" t="s">
        <v>10</v>
      </c>
      <c r="AS1580" s="95">
        <v>0</v>
      </c>
      <c r="AT1580" s="75">
        <v>0</v>
      </c>
      <c r="AU1580" s="75">
        <v>0</v>
      </c>
      <c r="AV1580" s="75">
        <v>0</v>
      </c>
      <c r="AW1580" s="123">
        <v>0</v>
      </c>
      <c r="AX1580" s="516" t="s">
        <v>1858</v>
      </c>
      <c r="AY1580" s="75">
        <v>1</v>
      </c>
      <c r="AZ1580" s="77" t="s">
        <v>131</v>
      </c>
      <c r="BA1580" s="78" t="s">
        <v>132</v>
      </c>
      <c r="BB1580" s="78" t="s">
        <v>131</v>
      </c>
      <c r="BC1580" s="78" t="s">
        <v>131</v>
      </c>
      <c r="BD1580" s="78" t="s">
        <v>132</v>
      </c>
      <c r="BE1580" s="78" t="s">
        <v>131</v>
      </c>
      <c r="BF1580" s="78" t="s">
        <v>131</v>
      </c>
      <c r="BG1580" s="78" t="s">
        <v>131</v>
      </c>
      <c r="BH1580" s="75" t="s">
        <v>5970</v>
      </c>
      <c r="BI1580" s="295" t="s">
        <v>16</v>
      </c>
      <c r="BJ1580" s="546">
        <v>1</v>
      </c>
      <c r="BK1580" s="294">
        <v>1</v>
      </c>
      <c r="BL1580" s="157">
        <v>1</v>
      </c>
      <c r="BM1580" s="548" t="s">
        <v>1339</v>
      </c>
      <c r="BN1580" s="548" t="s">
        <v>4160</v>
      </c>
      <c r="BO1580" s="157" t="s">
        <v>4364</v>
      </c>
      <c r="BP1580" s="548" t="s">
        <v>2292</v>
      </c>
      <c r="BQ1580" s="157" t="s">
        <v>4361</v>
      </c>
      <c r="BR1580" s="157"/>
    </row>
    <row r="1581" spans="1:70" x14ac:dyDescent="0.25">
      <c r="A1581" s="19" t="s">
        <v>3686</v>
      </c>
      <c r="B1581" s="37" t="s">
        <v>1859</v>
      </c>
      <c r="C1581" s="90">
        <v>44717.053495370368</v>
      </c>
      <c r="D1581" s="114">
        <v>44716.803495370368</v>
      </c>
      <c r="E1581" s="38">
        <v>44716</v>
      </c>
      <c r="F1581" s="91">
        <v>2022</v>
      </c>
      <c r="G1581" s="93">
        <v>6</v>
      </c>
      <c r="H1581" s="37" t="s">
        <v>622</v>
      </c>
      <c r="I1581" s="37"/>
      <c r="J1581" s="103">
        <v>-92.267891457390277</v>
      </c>
      <c r="K1581" s="40">
        <v>44.428694718558738</v>
      </c>
      <c r="L1581" s="74"/>
      <c r="M1581" s="272" t="s">
        <v>16</v>
      </c>
      <c r="N1581" s="74">
        <v>0</v>
      </c>
      <c r="O1581" s="94"/>
      <c r="P1581" s="118">
        <v>1</v>
      </c>
      <c r="Q1581" s="510">
        <v>80</v>
      </c>
      <c r="R1581" s="513">
        <v>60</v>
      </c>
      <c r="S1581" s="41"/>
      <c r="T1581" s="40"/>
      <c r="U1581" s="40">
        <v>7.5</v>
      </c>
      <c r="V1581" s="119">
        <v>0</v>
      </c>
      <c r="W1581" s="40"/>
      <c r="X1581" s="119">
        <v>0</v>
      </c>
      <c r="Y1581" s="40"/>
      <c r="Z1581" s="119">
        <v>1</v>
      </c>
      <c r="AA1581" s="368">
        <v>0</v>
      </c>
      <c r="AB1581" s="535">
        <v>2</v>
      </c>
      <c r="AC1581" s="39" t="s">
        <v>160</v>
      </c>
      <c r="AD1581" s="75" t="s">
        <v>16</v>
      </c>
      <c r="AE1581" s="95">
        <v>-1</v>
      </c>
      <c r="AF1581" s="75">
        <v>-1</v>
      </c>
      <c r="AG1581" s="75">
        <v>-1</v>
      </c>
      <c r="AH1581" s="75">
        <v>-1</v>
      </c>
      <c r="AI1581" s="75">
        <v>-1</v>
      </c>
      <c r="AJ1581" s="75">
        <v>-1</v>
      </c>
      <c r="AK1581" s="75">
        <v>-1</v>
      </c>
      <c r="AL1581" s="95">
        <v>-1</v>
      </c>
      <c r="AM1581" s="92">
        <v>1</v>
      </c>
      <c r="AN1581" s="79"/>
      <c r="AO1581" s="75">
        <v>0</v>
      </c>
      <c r="AP1581" s="75"/>
      <c r="AQ1581" s="122">
        <v>0</v>
      </c>
      <c r="AR1581" s="515" t="s">
        <v>16</v>
      </c>
      <c r="AS1581" s="95">
        <v>-1</v>
      </c>
      <c r="AT1581" s="75">
        <v>-1</v>
      </c>
      <c r="AU1581" s="75">
        <v>-1</v>
      </c>
      <c r="AV1581" s="75">
        <v>-1</v>
      </c>
      <c r="AW1581" s="123">
        <v>1</v>
      </c>
      <c r="AX1581" s="516"/>
      <c r="AY1581" s="75">
        <v>0</v>
      </c>
      <c r="AZ1581" s="77" t="s">
        <v>5971</v>
      </c>
      <c r="BA1581" s="78" t="s">
        <v>5971</v>
      </c>
      <c r="BB1581" s="78" t="s">
        <v>5971</v>
      </c>
      <c r="BC1581" s="78" t="s">
        <v>5971</v>
      </c>
      <c r="BD1581" s="78" t="s">
        <v>5971</v>
      </c>
      <c r="BE1581" s="78" t="s">
        <v>5971</v>
      </c>
      <c r="BF1581" s="78" t="s">
        <v>5971</v>
      </c>
      <c r="BG1581" s="78" t="s">
        <v>5971</v>
      </c>
      <c r="BH1581" s="75" t="s">
        <v>5971</v>
      </c>
      <c r="BI1581" s="295" t="s">
        <v>16</v>
      </c>
      <c r="BJ1581" s="546">
        <v>1</v>
      </c>
      <c r="BK1581" s="294" t="s">
        <v>16</v>
      </c>
      <c r="BL1581" s="157" t="s">
        <v>16</v>
      </c>
      <c r="BM1581" s="548" t="s">
        <v>1339</v>
      </c>
      <c r="BN1581" s="548" t="s">
        <v>1339</v>
      </c>
      <c r="BO1581" s="157" t="s">
        <v>4614</v>
      </c>
      <c r="BP1581" s="548" t="s">
        <v>2228</v>
      </c>
      <c r="BQ1581" s="157" t="s">
        <v>4214</v>
      </c>
      <c r="BR1581" s="157"/>
    </row>
    <row r="1582" spans="1:70" x14ac:dyDescent="0.25">
      <c r="A1582" s="19" t="s">
        <v>3686</v>
      </c>
      <c r="B1582" s="37" t="s">
        <v>1860</v>
      </c>
      <c r="C1582" s="90">
        <v>44716.791226851848</v>
      </c>
      <c r="D1582" s="114">
        <v>44716.541226851848</v>
      </c>
      <c r="E1582" s="38">
        <v>44716</v>
      </c>
      <c r="F1582" s="91">
        <v>2022</v>
      </c>
      <c r="G1582" s="93">
        <v>6</v>
      </c>
      <c r="H1582" s="37" t="s">
        <v>1416</v>
      </c>
      <c r="I1582" s="37"/>
      <c r="J1582" s="103">
        <v>-93.217116658361377</v>
      </c>
      <c r="K1582" s="40">
        <v>44.639386893535587</v>
      </c>
      <c r="L1582" s="74"/>
      <c r="M1582" s="272" t="s">
        <v>16</v>
      </c>
      <c r="N1582" s="74">
        <v>0</v>
      </c>
      <c r="O1582" s="94"/>
      <c r="P1582" s="118">
        <v>1</v>
      </c>
      <c r="Q1582" s="510">
        <v>120</v>
      </c>
      <c r="R1582" s="513">
        <v>180</v>
      </c>
      <c r="S1582" s="41"/>
      <c r="T1582" s="40"/>
      <c r="U1582" s="40">
        <v>7</v>
      </c>
      <c r="V1582" s="119">
        <v>1</v>
      </c>
      <c r="W1582" s="40">
        <v>100</v>
      </c>
      <c r="X1582" s="119">
        <v>1</v>
      </c>
      <c r="Y1582" s="40">
        <v>54</v>
      </c>
      <c r="Z1582" s="119">
        <v>0</v>
      </c>
      <c r="AA1582" s="368" t="s">
        <v>16</v>
      </c>
      <c r="AB1582" s="535" t="s">
        <v>16</v>
      </c>
      <c r="AC1582" s="39" t="s">
        <v>160</v>
      </c>
      <c r="AD1582" s="75" t="s">
        <v>16</v>
      </c>
      <c r="AE1582" s="95">
        <v>-1</v>
      </c>
      <c r="AF1582" s="75">
        <v>-1</v>
      </c>
      <c r="AG1582" s="75">
        <v>-1</v>
      </c>
      <c r="AH1582" s="75">
        <v>-1</v>
      </c>
      <c r="AI1582" s="75">
        <v>-1</v>
      </c>
      <c r="AJ1582" s="75">
        <v>-1</v>
      </c>
      <c r="AK1582" s="75">
        <v>-1</v>
      </c>
      <c r="AL1582" s="95">
        <v>-1</v>
      </c>
      <c r="AM1582" s="92">
        <v>1</v>
      </c>
      <c r="AN1582" s="79"/>
      <c r="AO1582" s="75">
        <v>0</v>
      </c>
      <c r="AP1582" s="75"/>
      <c r="AQ1582" s="122">
        <v>0</v>
      </c>
      <c r="AR1582" s="515" t="s">
        <v>16</v>
      </c>
      <c r="AS1582" s="95">
        <v>-1</v>
      </c>
      <c r="AT1582" s="75">
        <v>-1</v>
      </c>
      <c r="AU1582" s="75">
        <v>-1</v>
      </c>
      <c r="AV1582" s="75">
        <v>-1</v>
      </c>
      <c r="AW1582" s="123">
        <v>1</v>
      </c>
      <c r="AX1582" s="516"/>
      <c r="AY1582" s="75">
        <v>0</v>
      </c>
      <c r="AZ1582" s="77" t="s">
        <v>5971</v>
      </c>
      <c r="BA1582" s="78" t="s">
        <v>5971</v>
      </c>
      <c r="BB1582" s="78" t="s">
        <v>5971</v>
      </c>
      <c r="BC1582" s="78" t="s">
        <v>5971</v>
      </c>
      <c r="BD1582" s="78" t="s">
        <v>5971</v>
      </c>
      <c r="BE1582" s="78" t="s">
        <v>5971</v>
      </c>
      <c r="BF1582" s="78" t="s">
        <v>5971</v>
      </c>
      <c r="BG1582" s="78" t="s">
        <v>5971</v>
      </c>
      <c r="BH1582" s="75" t="s">
        <v>5971</v>
      </c>
      <c r="BI1582" s="295" t="s">
        <v>16</v>
      </c>
      <c r="BJ1582" s="546">
        <v>1</v>
      </c>
      <c r="BK1582" s="294" t="s">
        <v>16</v>
      </c>
      <c r="BL1582" s="157" t="s">
        <v>16</v>
      </c>
      <c r="BM1582" s="548" t="s">
        <v>2343</v>
      </c>
      <c r="BN1582" s="548" t="s">
        <v>4161</v>
      </c>
      <c r="BO1582" s="157" t="s">
        <v>4676</v>
      </c>
      <c r="BP1582" s="548" t="s">
        <v>4677</v>
      </c>
      <c r="BQ1582" s="157" t="s">
        <v>4292</v>
      </c>
      <c r="BR1582" s="157"/>
    </row>
    <row r="1583" spans="1:70" x14ac:dyDescent="0.25">
      <c r="A1583" s="19" t="s">
        <v>3686</v>
      </c>
      <c r="B1583" s="37" t="s">
        <v>1861</v>
      </c>
      <c r="C1583" s="90">
        <v>44716.588796296295</v>
      </c>
      <c r="D1583" s="114">
        <v>44716.338796296295</v>
      </c>
      <c r="E1583" s="38">
        <v>44716</v>
      </c>
      <c r="F1583" s="91">
        <v>2022</v>
      </c>
      <c r="G1583" s="93">
        <v>6</v>
      </c>
      <c r="H1583" s="37" t="s">
        <v>612</v>
      </c>
      <c r="I1583" s="37" t="s">
        <v>16</v>
      </c>
      <c r="J1583" s="103">
        <v>-93.009033837119105</v>
      </c>
      <c r="K1583" s="40">
        <v>44.657279120782135</v>
      </c>
      <c r="L1583" s="74"/>
      <c r="M1583" s="272" t="s">
        <v>16</v>
      </c>
      <c r="N1583" s="74">
        <v>0</v>
      </c>
      <c r="O1583" s="94"/>
      <c r="P1583" s="118">
        <v>1</v>
      </c>
      <c r="Q1583" s="510">
        <v>120</v>
      </c>
      <c r="R1583" s="513">
        <v>180</v>
      </c>
      <c r="S1583" s="41"/>
      <c r="T1583" s="40"/>
      <c r="U1583" s="40">
        <v>7</v>
      </c>
      <c r="V1583" s="119">
        <v>1</v>
      </c>
      <c r="W1583" s="40">
        <v>0</v>
      </c>
      <c r="X1583" s="119">
        <v>1</v>
      </c>
      <c r="Y1583" s="40">
        <v>54</v>
      </c>
      <c r="Z1583" s="119">
        <v>0</v>
      </c>
      <c r="AA1583" s="368" t="s">
        <v>16</v>
      </c>
      <c r="AB1583" s="535" t="s">
        <v>16</v>
      </c>
      <c r="AC1583" s="39" t="s">
        <v>160</v>
      </c>
      <c r="AD1583" s="75" t="s">
        <v>10</v>
      </c>
      <c r="AE1583" s="95">
        <v>0</v>
      </c>
      <c r="AF1583" s="75">
        <v>0</v>
      </c>
      <c r="AG1583" s="75">
        <v>0</v>
      </c>
      <c r="AH1583" s="75">
        <v>0</v>
      </c>
      <c r="AI1583" s="75">
        <v>0</v>
      </c>
      <c r="AJ1583" s="75">
        <v>0</v>
      </c>
      <c r="AK1583" s="75">
        <v>0</v>
      </c>
      <c r="AL1583" s="95">
        <v>1</v>
      </c>
      <c r="AM1583" s="92">
        <v>0</v>
      </c>
      <c r="AN1583" s="79" t="s">
        <v>80</v>
      </c>
      <c r="AO1583" s="75">
        <v>1</v>
      </c>
      <c r="AP1583" s="75"/>
      <c r="AQ1583" s="122">
        <v>0</v>
      </c>
      <c r="AR1583" s="515" t="s">
        <v>10</v>
      </c>
      <c r="AS1583" s="95">
        <v>0</v>
      </c>
      <c r="AT1583" s="75">
        <v>0</v>
      </c>
      <c r="AU1583" s="75">
        <v>0</v>
      </c>
      <c r="AV1583" s="75">
        <v>0</v>
      </c>
      <c r="AW1583" s="123">
        <v>0</v>
      </c>
      <c r="AX1583" s="516"/>
      <c r="AY1583" s="75">
        <v>0</v>
      </c>
      <c r="AZ1583" s="77" t="s">
        <v>131</v>
      </c>
      <c r="BA1583" s="78" t="s">
        <v>131</v>
      </c>
      <c r="BB1583" s="78" t="s">
        <v>131</v>
      </c>
      <c r="BC1583" s="78" t="s">
        <v>131</v>
      </c>
      <c r="BD1583" s="78" t="s">
        <v>131</v>
      </c>
      <c r="BE1583" s="78" t="s">
        <v>131</v>
      </c>
      <c r="BF1583" s="78" t="s">
        <v>131</v>
      </c>
      <c r="BG1583" s="78" t="s">
        <v>132</v>
      </c>
      <c r="BH1583" s="75" t="s">
        <v>5970</v>
      </c>
      <c r="BI1583" s="295" t="s">
        <v>2225</v>
      </c>
      <c r="BJ1583" s="546">
        <v>1</v>
      </c>
      <c r="BK1583" s="294" t="s">
        <v>16</v>
      </c>
      <c r="BL1583" s="157" t="s">
        <v>16</v>
      </c>
      <c r="BM1583" s="548" t="s">
        <v>2343</v>
      </c>
      <c r="BN1583" s="548" t="s">
        <v>4161</v>
      </c>
      <c r="BO1583" s="157" t="s">
        <v>4293</v>
      </c>
      <c r="BP1583" s="548" t="s">
        <v>2225</v>
      </c>
      <c r="BQ1583" s="157" t="s">
        <v>4292</v>
      </c>
      <c r="BR1583" s="157"/>
    </row>
    <row r="1584" spans="1:70" x14ac:dyDescent="0.25">
      <c r="A1584" s="19" t="s">
        <v>3686</v>
      </c>
      <c r="B1584" s="37" t="s">
        <v>1862</v>
      </c>
      <c r="C1584" s="90">
        <v>44716.562210648146</v>
      </c>
      <c r="D1584" s="114">
        <v>44716.312210648146</v>
      </c>
      <c r="E1584" s="38">
        <v>44716</v>
      </c>
      <c r="F1584" s="91">
        <v>2022</v>
      </c>
      <c r="G1584" s="93">
        <v>6</v>
      </c>
      <c r="H1584" s="37" t="s">
        <v>1517</v>
      </c>
      <c r="I1584" s="37"/>
      <c r="J1584" s="103">
        <v>-91.422169247423696</v>
      </c>
      <c r="K1584" s="40">
        <v>44.778787935149658</v>
      </c>
      <c r="L1584" s="74"/>
      <c r="M1584" s="272" t="s">
        <v>16</v>
      </c>
      <c r="N1584" s="74">
        <v>0</v>
      </c>
      <c r="O1584" s="94"/>
      <c r="P1584" s="118">
        <v>1</v>
      </c>
      <c r="Q1584" s="510">
        <v>80</v>
      </c>
      <c r="R1584" s="513">
        <v>60</v>
      </c>
      <c r="S1584" s="41"/>
      <c r="T1584" s="40"/>
      <c r="U1584" s="40">
        <v>6</v>
      </c>
      <c r="V1584" s="119">
        <v>0</v>
      </c>
      <c r="W1584" s="40"/>
      <c r="X1584" s="119">
        <v>1</v>
      </c>
      <c r="Y1584" s="40">
        <v>54</v>
      </c>
      <c r="Z1584" s="119">
        <v>0</v>
      </c>
      <c r="AA1584" s="368" t="s">
        <v>16</v>
      </c>
      <c r="AB1584" s="535" t="s">
        <v>16</v>
      </c>
      <c r="AC1584" s="39" t="s">
        <v>160</v>
      </c>
      <c r="AD1584" s="75" t="s">
        <v>8</v>
      </c>
      <c r="AE1584" s="95">
        <v>0</v>
      </c>
      <c r="AF1584" s="75">
        <v>1</v>
      </c>
      <c r="AG1584" s="75">
        <v>0</v>
      </c>
      <c r="AH1584" s="75">
        <v>0</v>
      </c>
      <c r="AI1584" s="75">
        <v>0</v>
      </c>
      <c r="AJ1584" s="75">
        <v>0</v>
      </c>
      <c r="AK1584" s="75">
        <v>0</v>
      </c>
      <c r="AL1584" s="95">
        <v>0</v>
      </c>
      <c r="AM1584" s="92">
        <v>0</v>
      </c>
      <c r="AN1584" s="79" t="s">
        <v>80</v>
      </c>
      <c r="AO1584" s="75">
        <v>1</v>
      </c>
      <c r="AP1584" s="75" t="s">
        <v>83</v>
      </c>
      <c r="AQ1584" s="122">
        <v>1</v>
      </c>
      <c r="AR1584" s="515" t="s">
        <v>10</v>
      </c>
      <c r="AS1584" s="95">
        <v>0</v>
      </c>
      <c r="AT1584" s="75">
        <v>0</v>
      </c>
      <c r="AU1584" s="75">
        <v>0</v>
      </c>
      <c r="AV1584" s="75">
        <v>0</v>
      </c>
      <c r="AW1584" s="123">
        <v>0</v>
      </c>
      <c r="AX1584" s="516"/>
      <c r="AY1584" s="75">
        <v>0</v>
      </c>
      <c r="AZ1584" s="77" t="s">
        <v>131</v>
      </c>
      <c r="BA1584" s="78" t="s">
        <v>132</v>
      </c>
      <c r="BB1584" s="78" t="s">
        <v>131</v>
      </c>
      <c r="BC1584" s="78" t="s">
        <v>131</v>
      </c>
      <c r="BD1584" s="78" t="s">
        <v>131</v>
      </c>
      <c r="BE1584" s="78" t="s">
        <v>131</v>
      </c>
      <c r="BF1584" s="78" t="s">
        <v>131</v>
      </c>
      <c r="BG1584" s="78" t="s">
        <v>131</v>
      </c>
      <c r="BH1584" s="75" t="s">
        <v>5970</v>
      </c>
      <c r="BI1584" s="295" t="s">
        <v>2264</v>
      </c>
      <c r="BJ1584" s="546">
        <v>1</v>
      </c>
      <c r="BK1584" s="294" t="s">
        <v>16</v>
      </c>
      <c r="BL1584" s="157" t="s">
        <v>16</v>
      </c>
      <c r="BM1584" s="548" t="s">
        <v>1340</v>
      </c>
      <c r="BN1584" s="548" t="s">
        <v>2344</v>
      </c>
      <c r="BO1584" s="157" t="s">
        <v>4634</v>
      </c>
      <c r="BP1584" s="548" t="s">
        <v>2264</v>
      </c>
      <c r="BQ1584" s="157" t="s">
        <v>4633</v>
      </c>
      <c r="BR1584" s="157"/>
    </row>
    <row r="1585" spans="1:70" x14ac:dyDescent="0.25">
      <c r="A1585" s="19" t="s">
        <v>3686</v>
      </c>
      <c r="B1585" s="37" t="s">
        <v>1863</v>
      </c>
      <c r="C1585" s="90">
        <v>44713.861990740741</v>
      </c>
      <c r="D1585" s="114">
        <v>44713.611990740741</v>
      </c>
      <c r="E1585" s="38">
        <v>44713</v>
      </c>
      <c r="F1585" s="91">
        <v>2022</v>
      </c>
      <c r="G1585" s="93">
        <v>6</v>
      </c>
      <c r="H1585" s="37" t="s">
        <v>1447</v>
      </c>
      <c r="I1585" s="37"/>
      <c r="J1585" s="103">
        <v>-93.193497732368485</v>
      </c>
      <c r="K1585" s="40">
        <v>44.944411595393852</v>
      </c>
      <c r="L1585" s="74"/>
      <c r="M1585" s="272" t="s">
        <v>16</v>
      </c>
      <c r="N1585" s="74">
        <v>0</v>
      </c>
      <c r="O1585" s="94"/>
      <c r="P1585" s="118">
        <v>1</v>
      </c>
      <c r="Q1585" s="510">
        <v>180</v>
      </c>
      <c r="R1585" s="513">
        <v>180</v>
      </c>
      <c r="S1585" s="41"/>
      <c r="T1585" s="40"/>
      <c r="U1585" s="40">
        <v>7</v>
      </c>
      <c r="V1585" s="119">
        <v>1</v>
      </c>
      <c r="W1585" s="40">
        <v>0</v>
      </c>
      <c r="X1585" s="119">
        <v>1</v>
      </c>
      <c r="Y1585" s="40">
        <v>61</v>
      </c>
      <c r="Z1585" s="119">
        <v>1</v>
      </c>
      <c r="AA1585" s="368">
        <v>0</v>
      </c>
      <c r="AB1585" s="535">
        <v>10</v>
      </c>
      <c r="AC1585" s="39" t="s">
        <v>160</v>
      </c>
      <c r="AD1585" s="75" t="s">
        <v>16</v>
      </c>
      <c r="AE1585" s="95">
        <v>-1</v>
      </c>
      <c r="AF1585" s="75">
        <v>-1</v>
      </c>
      <c r="AG1585" s="75">
        <v>-1</v>
      </c>
      <c r="AH1585" s="75">
        <v>-1</v>
      </c>
      <c r="AI1585" s="75">
        <v>-1</v>
      </c>
      <c r="AJ1585" s="75">
        <v>-1</v>
      </c>
      <c r="AK1585" s="75">
        <v>-1</v>
      </c>
      <c r="AL1585" s="95">
        <v>-1</v>
      </c>
      <c r="AM1585" s="92">
        <v>1</v>
      </c>
      <c r="AN1585" s="79"/>
      <c r="AO1585" s="75">
        <v>0</v>
      </c>
      <c r="AP1585" s="75"/>
      <c r="AQ1585" s="122">
        <v>0</v>
      </c>
      <c r="AR1585" s="515" t="s">
        <v>16</v>
      </c>
      <c r="AS1585" s="95">
        <v>-1</v>
      </c>
      <c r="AT1585" s="75">
        <v>-1</v>
      </c>
      <c r="AU1585" s="75">
        <v>-1</v>
      </c>
      <c r="AV1585" s="75">
        <v>-1</v>
      </c>
      <c r="AW1585" s="123">
        <v>1</v>
      </c>
      <c r="AX1585" s="516"/>
      <c r="AY1585" s="75">
        <v>0</v>
      </c>
      <c r="AZ1585" s="77" t="s">
        <v>5971</v>
      </c>
      <c r="BA1585" s="78" t="s">
        <v>5971</v>
      </c>
      <c r="BB1585" s="78" t="s">
        <v>5971</v>
      </c>
      <c r="BC1585" s="78" t="s">
        <v>5971</v>
      </c>
      <c r="BD1585" s="78" t="s">
        <v>5971</v>
      </c>
      <c r="BE1585" s="78" t="s">
        <v>5971</v>
      </c>
      <c r="BF1585" s="78" t="s">
        <v>5971</v>
      </c>
      <c r="BG1585" s="78" t="s">
        <v>5971</v>
      </c>
      <c r="BH1585" s="75" t="s">
        <v>5971</v>
      </c>
      <c r="BI1585" s="295" t="s">
        <v>16</v>
      </c>
      <c r="BJ1585" s="546" t="s">
        <v>16</v>
      </c>
      <c r="BK1585" s="294" t="s">
        <v>16</v>
      </c>
      <c r="BL1585" s="157" t="s">
        <v>16</v>
      </c>
      <c r="BM1585" s="548" t="s">
        <v>2343</v>
      </c>
      <c r="BN1585" s="548" t="s">
        <v>4161</v>
      </c>
      <c r="BO1585" s="157" t="s">
        <v>4467</v>
      </c>
      <c r="BP1585" s="548" t="s">
        <v>4468</v>
      </c>
      <c r="BQ1585" s="157" t="s">
        <v>4466</v>
      </c>
      <c r="BR1585" s="157"/>
    </row>
    <row r="1586" spans="1:70" x14ac:dyDescent="0.25">
      <c r="A1586" s="19" t="s">
        <v>3686</v>
      </c>
      <c r="B1586" s="37" t="s">
        <v>1864</v>
      </c>
      <c r="C1586" s="90">
        <v>44713.685717592591</v>
      </c>
      <c r="D1586" s="114">
        <v>44713.435717592591</v>
      </c>
      <c r="E1586" s="38">
        <v>44713</v>
      </c>
      <c r="F1586" s="91">
        <v>2022</v>
      </c>
      <c r="G1586" s="93">
        <v>6</v>
      </c>
      <c r="H1586" s="37" t="s">
        <v>1517</v>
      </c>
      <c r="I1586" s="37"/>
      <c r="J1586" s="103">
        <v>-91.421888978474726</v>
      </c>
      <c r="K1586" s="40">
        <v>44.777272103415712</v>
      </c>
      <c r="L1586" s="74"/>
      <c r="M1586" s="272" t="s">
        <v>16</v>
      </c>
      <c r="N1586" s="74">
        <v>0</v>
      </c>
      <c r="O1586" s="94"/>
      <c r="P1586" s="118">
        <v>0</v>
      </c>
      <c r="Q1586" s="510"/>
      <c r="R1586" s="513"/>
      <c r="S1586" s="41"/>
      <c r="T1586" s="40"/>
      <c r="U1586" s="40"/>
      <c r="V1586" s="119">
        <v>0</v>
      </c>
      <c r="W1586" s="40"/>
      <c r="X1586" s="119">
        <v>1</v>
      </c>
      <c r="Y1586" s="40">
        <v>60</v>
      </c>
      <c r="Z1586" s="119">
        <v>0</v>
      </c>
      <c r="AA1586" s="368" t="s">
        <v>16</v>
      </c>
      <c r="AB1586" s="535" t="s">
        <v>16</v>
      </c>
      <c r="AC1586" s="39" t="s">
        <v>160</v>
      </c>
      <c r="AD1586" s="75" t="s">
        <v>8</v>
      </c>
      <c r="AE1586" s="95">
        <v>0</v>
      </c>
      <c r="AF1586" s="75">
        <v>1</v>
      </c>
      <c r="AG1586" s="75">
        <v>0</v>
      </c>
      <c r="AH1586" s="75">
        <v>0</v>
      </c>
      <c r="AI1586" s="75">
        <v>0</v>
      </c>
      <c r="AJ1586" s="75">
        <v>0</v>
      </c>
      <c r="AK1586" s="75">
        <v>0</v>
      </c>
      <c r="AL1586" s="95">
        <v>0</v>
      </c>
      <c r="AM1586" s="92">
        <v>0</v>
      </c>
      <c r="AN1586" s="79" t="s">
        <v>80</v>
      </c>
      <c r="AO1586" s="75">
        <v>1</v>
      </c>
      <c r="AP1586" s="75" t="s">
        <v>84</v>
      </c>
      <c r="AQ1586" s="122">
        <v>1</v>
      </c>
      <c r="AR1586" s="515" t="s">
        <v>10</v>
      </c>
      <c r="AS1586" s="95">
        <v>0</v>
      </c>
      <c r="AT1586" s="75">
        <v>0</v>
      </c>
      <c r="AU1586" s="75">
        <v>0</v>
      </c>
      <c r="AV1586" s="75">
        <v>0</v>
      </c>
      <c r="AW1586" s="123">
        <v>0</v>
      </c>
      <c r="AX1586" s="516"/>
      <c r="AY1586" s="75">
        <v>0</v>
      </c>
      <c r="AZ1586" s="77" t="s">
        <v>131</v>
      </c>
      <c r="BA1586" s="78" t="s">
        <v>132</v>
      </c>
      <c r="BB1586" s="78" t="s">
        <v>131</v>
      </c>
      <c r="BC1586" s="78" t="s">
        <v>131</v>
      </c>
      <c r="BD1586" s="78" t="s">
        <v>131</v>
      </c>
      <c r="BE1586" s="78" t="s">
        <v>131</v>
      </c>
      <c r="BF1586" s="78" t="s">
        <v>131</v>
      </c>
      <c r="BG1586" s="78" t="s">
        <v>131</v>
      </c>
      <c r="BH1586" s="75" t="s">
        <v>5970</v>
      </c>
      <c r="BI1586" s="295" t="s">
        <v>2264</v>
      </c>
      <c r="BJ1586" s="546">
        <v>1</v>
      </c>
      <c r="BK1586" s="294" t="s">
        <v>16</v>
      </c>
      <c r="BL1586" s="157" t="s">
        <v>16</v>
      </c>
      <c r="BM1586" s="548" t="s">
        <v>1340</v>
      </c>
      <c r="BN1586" s="548" t="s">
        <v>2344</v>
      </c>
      <c r="BO1586" s="157" t="s">
        <v>4634</v>
      </c>
      <c r="BP1586" s="548" t="s">
        <v>2264</v>
      </c>
      <c r="BQ1586" s="157" t="s">
        <v>4633</v>
      </c>
      <c r="BR1586" s="157"/>
    </row>
    <row r="1587" spans="1:70" x14ac:dyDescent="0.25">
      <c r="A1587" s="19" t="s">
        <v>3686</v>
      </c>
      <c r="B1587" s="37" t="s">
        <v>1865</v>
      </c>
      <c r="C1587" s="90">
        <v>44712.781192129631</v>
      </c>
      <c r="D1587" s="114">
        <v>44712.531192129631</v>
      </c>
      <c r="E1587" s="38">
        <v>44712</v>
      </c>
      <c r="F1587" s="91">
        <v>2022</v>
      </c>
      <c r="G1587" s="93">
        <v>5</v>
      </c>
      <c r="H1587" s="37" t="s">
        <v>1425</v>
      </c>
      <c r="I1587" s="37"/>
      <c r="J1587" s="103">
        <v>-92.634077326484118</v>
      </c>
      <c r="K1587" s="40">
        <v>44.854714010001274</v>
      </c>
      <c r="L1587" s="74"/>
      <c r="M1587" s="272" t="s">
        <v>1866</v>
      </c>
      <c r="N1587" s="74">
        <v>1</v>
      </c>
      <c r="O1587" s="94"/>
      <c r="P1587" s="118">
        <v>1</v>
      </c>
      <c r="Q1587" s="510">
        <v>180</v>
      </c>
      <c r="R1587" s="513">
        <v>120</v>
      </c>
      <c r="S1587" s="41"/>
      <c r="T1587" s="40"/>
      <c r="U1587" s="40">
        <v>9</v>
      </c>
      <c r="V1587" s="119">
        <v>1</v>
      </c>
      <c r="W1587" s="40">
        <v>0</v>
      </c>
      <c r="X1587" s="119">
        <v>1</v>
      </c>
      <c r="Y1587" s="40">
        <v>64</v>
      </c>
      <c r="Z1587" s="119">
        <v>1</v>
      </c>
      <c r="AA1587" s="368">
        <v>0</v>
      </c>
      <c r="AB1587" s="535">
        <v>2</v>
      </c>
      <c r="AC1587" s="39" t="s">
        <v>160</v>
      </c>
      <c r="AD1587" s="75" t="s">
        <v>427</v>
      </c>
      <c r="AE1587" s="95">
        <v>0</v>
      </c>
      <c r="AF1587" s="75">
        <v>0</v>
      </c>
      <c r="AG1587" s="75">
        <v>0</v>
      </c>
      <c r="AH1587" s="75">
        <v>0</v>
      </c>
      <c r="AI1587" s="75">
        <v>0</v>
      </c>
      <c r="AJ1587" s="75">
        <v>1</v>
      </c>
      <c r="AK1587" s="75">
        <v>0</v>
      </c>
      <c r="AL1587" s="95">
        <v>0</v>
      </c>
      <c r="AM1587" s="92">
        <v>0</v>
      </c>
      <c r="AN1587" s="79" t="s">
        <v>80</v>
      </c>
      <c r="AO1587" s="75">
        <v>1</v>
      </c>
      <c r="AP1587" s="75" t="s">
        <v>83</v>
      </c>
      <c r="AQ1587" s="122">
        <v>1</v>
      </c>
      <c r="AR1587" s="515" t="s">
        <v>10</v>
      </c>
      <c r="AS1587" s="95">
        <v>0</v>
      </c>
      <c r="AT1587" s="75">
        <v>0</v>
      </c>
      <c r="AU1587" s="75">
        <v>0</v>
      </c>
      <c r="AV1587" s="75">
        <v>0</v>
      </c>
      <c r="AW1587" s="123">
        <v>0</v>
      </c>
      <c r="AX1587" s="516" t="s">
        <v>1520</v>
      </c>
      <c r="AY1587" s="75">
        <v>1</v>
      </c>
      <c r="AZ1587" s="77" t="s">
        <v>131</v>
      </c>
      <c r="BA1587" s="78" t="s">
        <v>131</v>
      </c>
      <c r="BB1587" s="78" t="s">
        <v>131</v>
      </c>
      <c r="BC1587" s="78" t="s">
        <v>131</v>
      </c>
      <c r="BD1587" s="78" t="s">
        <v>131</v>
      </c>
      <c r="BE1587" s="78" t="s">
        <v>132</v>
      </c>
      <c r="BF1587" s="78" t="s">
        <v>131</v>
      </c>
      <c r="BG1587" s="78" t="s">
        <v>131</v>
      </c>
      <c r="BH1587" s="75" t="s">
        <v>5970</v>
      </c>
      <c r="BI1587" s="295" t="s">
        <v>16</v>
      </c>
      <c r="BJ1587" s="546">
        <v>1</v>
      </c>
      <c r="BK1587" s="294">
        <v>1</v>
      </c>
      <c r="BL1587" s="157">
        <v>1</v>
      </c>
      <c r="BM1587" s="548" t="s">
        <v>578</v>
      </c>
      <c r="BN1587" s="548" t="s">
        <v>4159</v>
      </c>
      <c r="BO1587" s="157" t="s">
        <v>4310</v>
      </c>
      <c r="BP1587" s="548" t="s">
        <v>2226</v>
      </c>
      <c r="BQ1587" s="157" t="s">
        <v>4309</v>
      </c>
      <c r="BR1587" s="157"/>
    </row>
    <row r="1588" spans="1:70" x14ac:dyDescent="0.25">
      <c r="A1588" s="19" t="s">
        <v>3686</v>
      </c>
      <c r="B1588" s="37" t="s">
        <v>1867</v>
      </c>
      <c r="C1588" s="90">
        <v>44712.760254629633</v>
      </c>
      <c r="D1588" s="114">
        <v>44712.510254629633</v>
      </c>
      <c r="E1588" s="38">
        <v>44712</v>
      </c>
      <c r="F1588" s="91">
        <v>2022</v>
      </c>
      <c r="G1588" s="93">
        <v>5</v>
      </c>
      <c r="H1588" s="37" t="s">
        <v>1425</v>
      </c>
      <c r="I1588" s="37"/>
      <c r="J1588" s="103">
        <v>-92.622431099170754</v>
      </c>
      <c r="K1588" s="40">
        <v>44.850218202117148</v>
      </c>
      <c r="L1588" s="74"/>
      <c r="M1588" s="272" t="s">
        <v>1868</v>
      </c>
      <c r="N1588" s="74">
        <v>1</v>
      </c>
      <c r="O1588" s="94"/>
      <c r="P1588" s="118">
        <v>1</v>
      </c>
      <c r="Q1588" s="510">
        <v>180</v>
      </c>
      <c r="R1588" s="513">
        <v>180</v>
      </c>
      <c r="S1588" s="41"/>
      <c r="T1588" s="40"/>
      <c r="U1588" s="40">
        <v>8</v>
      </c>
      <c r="V1588" s="119">
        <v>1</v>
      </c>
      <c r="W1588" s="40">
        <v>0</v>
      </c>
      <c r="X1588" s="119">
        <v>1</v>
      </c>
      <c r="Y1588" s="40">
        <v>61</v>
      </c>
      <c r="Z1588" s="119">
        <v>1</v>
      </c>
      <c r="AA1588" s="368">
        <v>0</v>
      </c>
      <c r="AB1588" s="535">
        <v>2</v>
      </c>
      <c r="AC1588" s="39" t="s">
        <v>160</v>
      </c>
      <c r="AD1588" s="75" t="s">
        <v>10</v>
      </c>
      <c r="AE1588" s="95">
        <v>0</v>
      </c>
      <c r="AF1588" s="75">
        <v>0</v>
      </c>
      <c r="AG1588" s="75">
        <v>0</v>
      </c>
      <c r="AH1588" s="75">
        <v>0</v>
      </c>
      <c r="AI1588" s="75">
        <v>0</v>
      </c>
      <c r="AJ1588" s="75">
        <v>0</v>
      </c>
      <c r="AK1588" s="75">
        <v>0</v>
      </c>
      <c r="AL1588" s="95">
        <v>1</v>
      </c>
      <c r="AM1588" s="92">
        <v>0</v>
      </c>
      <c r="AN1588" s="79" t="s">
        <v>80</v>
      </c>
      <c r="AO1588" s="75">
        <v>1</v>
      </c>
      <c r="AP1588" s="75" t="s">
        <v>83</v>
      </c>
      <c r="AQ1588" s="122">
        <v>1</v>
      </c>
      <c r="AR1588" s="515" t="s">
        <v>10</v>
      </c>
      <c r="AS1588" s="95">
        <v>0</v>
      </c>
      <c r="AT1588" s="75">
        <v>0</v>
      </c>
      <c r="AU1588" s="75">
        <v>0</v>
      </c>
      <c r="AV1588" s="75">
        <v>0</v>
      </c>
      <c r="AW1588" s="123">
        <v>0</v>
      </c>
      <c r="AX1588" s="516" t="s">
        <v>1869</v>
      </c>
      <c r="AY1588" s="75">
        <v>1</v>
      </c>
      <c r="AZ1588" s="77" t="s">
        <v>131</v>
      </c>
      <c r="BA1588" s="78" t="s">
        <v>131</v>
      </c>
      <c r="BB1588" s="78" t="s">
        <v>131</v>
      </c>
      <c r="BC1588" s="78" t="s">
        <v>131</v>
      </c>
      <c r="BD1588" s="78" t="s">
        <v>131</v>
      </c>
      <c r="BE1588" s="78" t="s">
        <v>131</v>
      </c>
      <c r="BF1588" s="78" t="s">
        <v>131</v>
      </c>
      <c r="BG1588" s="78" t="s">
        <v>132</v>
      </c>
      <c r="BH1588" s="75" t="s">
        <v>5970</v>
      </c>
      <c r="BI1588" s="295" t="s">
        <v>2226</v>
      </c>
      <c r="BJ1588" s="546">
        <v>1</v>
      </c>
      <c r="BK1588" s="294">
        <v>1</v>
      </c>
      <c r="BL1588" s="157">
        <v>1</v>
      </c>
      <c r="BM1588" s="548" t="s">
        <v>578</v>
      </c>
      <c r="BN1588" s="548" t="s">
        <v>4159</v>
      </c>
      <c r="BO1588" s="157" t="s">
        <v>4310</v>
      </c>
      <c r="BP1588" s="548" t="s">
        <v>2226</v>
      </c>
      <c r="BQ1588" s="157" t="s">
        <v>4309</v>
      </c>
      <c r="BR1588" s="157"/>
    </row>
    <row r="1589" spans="1:70" x14ac:dyDescent="0.25">
      <c r="A1589" s="19" t="s">
        <v>3686</v>
      </c>
      <c r="B1589" s="37" t="s">
        <v>1870</v>
      </c>
      <c r="C1589" s="90">
        <v>44712.745393518519</v>
      </c>
      <c r="D1589" s="114">
        <v>44712.495393518519</v>
      </c>
      <c r="E1589" s="38">
        <v>44712</v>
      </c>
      <c r="F1589" s="91">
        <v>2022</v>
      </c>
      <c r="G1589" s="93">
        <v>5</v>
      </c>
      <c r="H1589" s="37" t="s">
        <v>1425</v>
      </c>
      <c r="I1589" s="37"/>
      <c r="J1589" s="103">
        <v>-92.624714625117775</v>
      </c>
      <c r="K1589" s="40">
        <v>44.850499159485693</v>
      </c>
      <c r="L1589" s="74"/>
      <c r="M1589" s="272" t="s">
        <v>1871</v>
      </c>
      <c r="N1589" s="74">
        <v>1</v>
      </c>
      <c r="O1589" s="94"/>
      <c r="P1589" s="118">
        <v>1</v>
      </c>
      <c r="Q1589" s="510">
        <v>120</v>
      </c>
      <c r="R1589" s="513">
        <v>180</v>
      </c>
      <c r="S1589" s="41"/>
      <c r="T1589" s="40"/>
      <c r="U1589" s="40">
        <v>8</v>
      </c>
      <c r="V1589" s="119">
        <v>1</v>
      </c>
      <c r="W1589" s="40">
        <v>0</v>
      </c>
      <c r="X1589" s="119">
        <v>1</v>
      </c>
      <c r="Y1589" s="40">
        <v>59</v>
      </c>
      <c r="Z1589" s="119">
        <v>1</v>
      </c>
      <c r="AA1589" s="368">
        <v>0</v>
      </c>
      <c r="AB1589" s="535">
        <v>2</v>
      </c>
      <c r="AC1589" s="39" t="s">
        <v>160</v>
      </c>
      <c r="AD1589" s="75" t="s">
        <v>10</v>
      </c>
      <c r="AE1589" s="95">
        <v>0</v>
      </c>
      <c r="AF1589" s="75">
        <v>0</v>
      </c>
      <c r="AG1589" s="75">
        <v>0</v>
      </c>
      <c r="AH1589" s="75">
        <v>0</v>
      </c>
      <c r="AI1589" s="75">
        <v>0</v>
      </c>
      <c r="AJ1589" s="75">
        <v>0</v>
      </c>
      <c r="AK1589" s="75">
        <v>0</v>
      </c>
      <c r="AL1589" s="95">
        <v>1</v>
      </c>
      <c r="AM1589" s="92">
        <v>0</v>
      </c>
      <c r="AN1589" s="79" t="s">
        <v>80</v>
      </c>
      <c r="AO1589" s="75">
        <v>1</v>
      </c>
      <c r="AP1589" s="75" t="s">
        <v>83</v>
      </c>
      <c r="AQ1589" s="122">
        <v>1</v>
      </c>
      <c r="AR1589" s="515" t="s">
        <v>10</v>
      </c>
      <c r="AS1589" s="95">
        <v>0</v>
      </c>
      <c r="AT1589" s="75">
        <v>0</v>
      </c>
      <c r="AU1589" s="75">
        <v>0</v>
      </c>
      <c r="AV1589" s="75">
        <v>0</v>
      </c>
      <c r="AW1589" s="123">
        <v>0</v>
      </c>
      <c r="AX1589" s="516" t="s">
        <v>1520</v>
      </c>
      <c r="AY1589" s="75">
        <v>1</v>
      </c>
      <c r="AZ1589" s="77" t="s">
        <v>131</v>
      </c>
      <c r="BA1589" s="78" t="s">
        <v>131</v>
      </c>
      <c r="BB1589" s="78" t="s">
        <v>131</v>
      </c>
      <c r="BC1589" s="78" t="s">
        <v>131</v>
      </c>
      <c r="BD1589" s="78" t="s">
        <v>131</v>
      </c>
      <c r="BE1589" s="78" t="s">
        <v>131</v>
      </c>
      <c r="BF1589" s="78" t="s">
        <v>131</v>
      </c>
      <c r="BG1589" s="78" t="s">
        <v>132</v>
      </c>
      <c r="BH1589" s="75" t="s">
        <v>5970</v>
      </c>
      <c r="BI1589" s="295" t="s">
        <v>2226</v>
      </c>
      <c r="BJ1589" s="546">
        <v>1</v>
      </c>
      <c r="BK1589" s="294">
        <v>1</v>
      </c>
      <c r="BL1589" s="157">
        <v>1</v>
      </c>
      <c r="BM1589" s="548" t="s">
        <v>578</v>
      </c>
      <c r="BN1589" s="548" t="s">
        <v>4159</v>
      </c>
      <c r="BO1589" s="157" t="s">
        <v>4310</v>
      </c>
      <c r="BP1589" s="548" t="s">
        <v>2226</v>
      </c>
      <c r="BQ1589" s="157" t="s">
        <v>4309</v>
      </c>
      <c r="BR1589" s="157"/>
    </row>
    <row r="1590" spans="1:70" x14ac:dyDescent="0.25">
      <c r="A1590" s="19" t="s">
        <v>3686</v>
      </c>
      <c r="B1590" s="37" t="s">
        <v>1872</v>
      </c>
      <c r="C1590" s="90">
        <v>44712.72997685185</v>
      </c>
      <c r="D1590" s="114">
        <v>44712.47997685185</v>
      </c>
      <c r="E1590" s="38">
        <v>44712</v>
      </c>
      <c r="F1590" s="91">
        <v>2022</v>
      </c>
      <c r="G1590" s="93">
        <v>5</v>
      </c>
      <c r="H1590" s="37" t="s">
        <v>1425</v>
      </c>
      <c r="I1590" s="37"/>
      <c r="J1590" s="103">
        <v>-92.604507830355217</v>
      </c>
      <c r="K1590" s="40">
        <v>44.848181552731646</v>
      </c>
      <c r="L1590" s="74"/>
      <c r="M1590" s="272" t="s">
        <v>1873</v>
      </c>
      <c r="N1590" s="74">
        <v>1</v>
      </c>
      <c r="O1590" s="94"/>
      <c r="P1590" s="118">
        <v>1</v>
      </c>
      <c r="Q1590" s="510">
        <v>180</v>
      </c>
      <c r="R1590" s="513">
        <v>120</v>
      </c>
      <c r="S1590" s="41"/>
      <c r="T1590" s="40"/>
      <c r="U1590" s="40">
        <v>7.5</v>
      </c>
      <c r="V1590" s="119">
        <v>1</v>
      </c>
      <c r="W1590" s="40">
        <v>0</v>
      </c>
      <c r="X1590" s="119">
        <v>1</v>
      </c>
      <c r="Y1590" s="40">
        <v>59</v>
      </c>
      <c r="Z1590" s="119">
        <v>1</v>
      </c>
      <c r="AA1590" s="368">
        <v>0</v>
      </c>
      <c r="AB1590" s="535">
        <v>2</v>
      </c>
      <c r="AC1590" s="39" t="s">
        <v>160</v>
      </c>
      <c r="AD1590" s="75" t="s">
        <v>10</v>
      </c>
      <c r="AE1590" s="95">
        <v>0</v>
      </c>
      <c r="AF1590" s="75">
        <v>0</v>
      </c>
      <c r="AG1590" s="75">
        <v>0</v>
      </c>
      <c r="AH1590" s="75">
        <v>0</v>
      </c>
      <c r="AI1590" s="75">
        <v>0</v>
      </c>
      <c r="AJ1590" s="75">
        <v>0</v>
      </c>
      <c r="AK1590" s="75">
        <v>0</v>
      </c>
      <c r="AL1590" s="95">
        <v>1</v>
      </c>
      <c r="AM1590" s="92">
        <v>0</v>
      </c>
      <c r="AN1590" s="79" t="s">
        <v>80</v>
      </c>
      <c r="AO1590" s="75">
        <v>1</v>
      </c>
      <c r="AP1590" s="75" t="s">
        <v>83</v>
      </c>
      <c r="AQ1590" s="122">
        <v>1</v>
      </c>
      <c r="AR1590" s="515" t="s">
        <v>10</v>
      </c>
      <c r="AS1590" s="95">
        <v>0</v>
      </c>
      <c r="AT1590" s="75">
        <v>0</v>
      </c>
      <c r="AU1590" s="75">
        <v>0</v>
      </c>
      <c r="AV1590" s="75">
        <v>0</v>
      </c>
      <c r="AW1590" s="123">
        <v>0</v>
      </c>
      <c r="AX1590" s="516" t="s">
        <v>1520</v>
      </c>
      <c r="AY1590" s="75">
        <v>1</v>
      </c>
      <c r="AZ1590" s="77" t="s">
        <v>131</v>
      </c>
      <c r="BA1590" s="78" t="s">
        <v>131</v>
      </c>
      <c r="BB1590" s="78" t="s">
        <v>131</v>
      </c>
      <c r="BC1590" s="78" t="s">
        <v>131</v>
      </c>
      <c r="BD1590" s="78" t="s">
        <v>131</v>
      </c>
      <c r="BE1590" s="78" t="s">
        <v>131</v>
      </c>
      <c r="BF1590" s="78" t="s">
        <v>131</v>
      </c>
      <c r="BG1590" s="78" t="s">
        <v>132</v>
      </c>
      <c r="BH1590" s="75" t="s">
        <v>5970</v>
      </c>
      <c r="BI1590" s="295" t="s">
        <v>16</v>
      </c>
      <c r="BJ1590" s="546">
        <v>1</v>
      </c>
      <c r="BK1590" s="294">
        <v>1</v>
      </c>
      <c r="BL1590" s="157">
        <v>1</v>
      </c>
      <c r="BM1590" s="548" t="s">
        <v>578</v>
      </c>
      <c r="BN1590" s="548" t="s">
        <v>4159</v>
      </c>
      <c r="BO1590" s="157" t="s">
        <v>4310</v>
      </c>
      <c r="BP1590" s="548" t="s">
        <v>2226</v>
      </c>
      <c r="BQ1590" s="157" t="s">
        <v>4309</v>
      </c>
      <c r="BR1590" s="157"/>
    </row>
    <row r="1591" spans="1:70" x14ac:dyDescent="0.25">
      <c r="A1591" s="19" t="s">
        <v>3686</v>
      </c>
      <c r="B1591" s="37" t="s">
        <v>1874</v>
      </c>
      <c r="C1591" s="90">
        <v>44712.715578703705</v>
      </c>
      <c r="D1591" s="114">
        <v>44712.465578703705</v>
      </c>
      <c r="E1591" s="38">
        <v>44712</v>
      </c>
      <c r="F1591" s="91">
        <v>2022</v>
      </c>
      <c r="G1591" s="93">
        <v>5</v>
      </c>
      <c r="H1591" s="37" t="s">
        <v>1425</v>
      </c>
      <c r="I1591" s="37"/>
      <c r="J1591" s="103">
        <v>-92.583442774075394</v>
      </c>
      <c r="K1591" s="40">
        <v>44.848729727265869</v>
      </c>
      <c r="L1591" s="74"/>
      <c r="M1591" s="272" t="s">
        <v>1875</v>
      </c>
      <c r="N1591" s="74">
        <v>1</v>
      </c>
      <c r="O1591" s="94"/>
      <c r="P1591" s="118">
        <v>1</v>
      </c>
      <c r="Q1591" s="510">
        <v>180</v>
      </c>
      <c r="R1591" s="513">
        <v>180</v>
      </c>
      <c r="S1591" s="41"/>
      <c r="T1591" s="40"/>
      <c r="U1591" s="40">
        <v>8</v>
      </c>
      <c r="V1591" s="119">
        <v>1</v>
      </c>
      <c r="W1591" s="40">
        <v>0</v>
      </c>
      <c r="X1591" s="119">
        <v>1</v>
      </c>
      <c r="Y1591" s="40">
        <v>57</v>
      </c>
      <c r="Z1591" s="119">
        <v>1</v>
      </c>
      <c r="AA1591" s="368">
        <v>0</v>
      </c>
      <c r="AB1591" s="535">
        <v>2</v>
      </c>
      <c r="AC1591" s="39" t="s">
        <v>160</v>
      </c>
      <c r="AD1591" s="75" t="s">
        <v>10</v>
      </c>
      <c r="AE1591" s="95">
        <v>0</v>
      </c>
      <c r="AF1591" s="75">
        <v>0</v>
      </c>
      <c r="AG1591" s="75">
        <v>0</v>
      </c>
      <c r="AH1591" s="75">
        <v>0</v>
      </c>
      <c r="AI1591" s="75">
        <v>0</v>
      </c>
      <c r="AJ1591" s="75">
        <v>0</v>
      </c>
      <c r="AK1591" s="75">
        <v>0</v>
      </c>
      <c r="AL1591" s="95">
        <v>1</v>
      </c>
      <c r="AM1591" s="92">
        <v>0</v>
      </c>
      <c r="AN1591" s="79" t="s">
        <v>80</v>
      </c>
      <c r="AO1591" s="75">
        <v>1</v>
      </c>
      <c r="AP1591" s="75" t="s">
        <v>83</v>
      </c>
      <c r="AQ1591" s="122">
        <v>1</v>
      </c>
      <c r="AR1591" s="515" t="s">
        <v>10</v>
      </c>
      <c r="AS1591" s="95">
        <v>0</v>
      </c>
      <c r="AT1591" s="75">
        <v>0</v>
      </c>
      <c r="AU1591" s="75">
        <v>0</v>
      </c>
      <c r="AV1591" s="75">
        <v>0</v>
      </c>
      <c r="AW1591" s="123">
        <v>0</v>
      </c>
      <c r="AX1591" s="516" t="s">
        <v>1520</v>
      </c>
      <c r="AY1591" s="75">
        <v>1</v>
      </c>
      <c r="AZ1591" s="77" t="s">
        <v>131</v>
      </c>
      <c r="BA1591" s="78" t="s">
        <v>131</v>
      </c>
      <c r="BB1591" s="78" t="s">
        <v>131</v>
      </c>
      <c r="BC1591" s="78" t="s">
        <v>131</v>
      </c>
      <c r="BD1591" s="78" t="s">
        <v>131</v>
      </c>
      <c r="BE1591" s="78" t="s">
        <v>131</v>
      </c>
      <c r="BF1591" s="78" t="s">
        <v>131</v>
      </c>
      <c r="BG1591" s="78" t="s">
        <v>132</v>
      </c>
      <c r="BH1591" s="75" t="s">
        <v>5970</v>
      </c>
      <c r="BI1591" s="295" t="s">
        <v>2226</v>
      </c>
      <c r="BJ1591" s="546">
        <v>1</v>
      </c>
      <c r="BK1591" s="294">
        <v>1</v>
      </c>
      <c r="BL1591" s="157">
        <v>1</v>
      </c>
      <c r="BM1591" s="548" t="s">
        <v>578</v>
      </c>
      <c r="BN1591" s="548" t="s">
        <v>4159</v>
      </c>
      <c r="BO1591" s="157" t="s">
        <v>4310</v>
      </c>
      <c r="BP1591" s="548" t="s">
        <v>2226</v>
      </c>
      <c r="BQ1591" s="157" t="s">
        <v>4309</v>
      </c>
      <c r="BR1591" s="157"/>
    </row>
    <row r="1592" spans="1:70" x14ac:dyDescent="0.25">
      <c r="A1592" s="19" t="s">
        <v>3686</v>
      </c>
      <c r="B1592" s="37" t="s">
        <v>1876</v>
      </c>
      <c r="C1592" s="90">
        <v>44712.702280092592</v>
      </c>
      <c r="D1592" s="114">
        <v>44712.452280092592</v>
      </c>
      <c r="E1592" s="38">
        <v>44712</v>
      </c>
      <c r="F1592" s="91">
        <v>2022</v>
      </c>
      <c r="G1592" s="93">
        <v>5</v>
      </c>
      <c r="H1592" s="37" t="s">
        <v>1425</v>
      </c>
      <c r="I1592" s="37" t="s">
        <v>16</v>
      </c>
      <c r="J1592" s="103">
        <v>-92.559825073010657</v>
      </c>
      <c r="K1592" s="40">
        <v>44.849454543780439</v>
      </c>
      <c r="L1592" s="74"/>
      <c r="M1592" s="272" t="s">
        <v>1877</v>
      </c>
      <c r="N1592" s="74">
        <v>1</v>
      </c>
      <c r="O1592" s="94"/>
      <c r="P1592" s="118">
        <v>1</v>
      </c>
      <c r="Q1592" s="510">
        <v>180</v>
      </c>
      <c r="R1592" s="513">
        <v>180</v>
      </c>
      <c r="S1592" s="41"/>
      <c r="T1592" s="40"/>
      <c r="U1592" s="40">
        <v>7.5</v>
      </c>
      <c r="V1592" s="119">
        <v>1</v>
      </c>
      <c r="W1592" s="40">
        <v>100</v>
      </c>
      <c r="X1592" s="119">
        <v>1</v>
      </c>
      <c r="Y1592" s="40">
        <v>62</v>
      </c>
      <c r="Z1592" s="119">
        <v>1</v>
      </c>
      <c r="AA1592" s="368">
        <v>0</v>
      </c>
      <c r="AB1592" s="535">
        <v>2</v>
      </c>
      <c r="AC1592" s="39" t="s">
        <v>160</v>
      </c>
      <c r="AD1592" s="75" t="s">
        <v>10</v>
      </c>
      <c r="AE1592" s="95">
        <v>0</v>
      </c>
      <c r="AF1592" s="75">
        <v>0</v>
      </c>
      <c r="AG1592" s="75">
        <v>0</v>
      </c>
      <c r="AH1592" s="75">
        <v>0</v>
      </c>
      <c r="AI1592" s="75">
        <v>0</v>
      </c>
      <c r="AJ1592" s="75">
        <v>0</v>
      </c>
      <c r="AK1592" s="75">
        <v>0</v>
      </c>
      <c r="AL1592" s="95">
        <v>1</v>
      </c>
      <c r="AM1592" s="92">
        <v>0</v>
      </c>
      <c r="AN1592" s="79" t="s">
        <v>80</v>
      </c>
      <c r="AO1592" s="75">
        <v>1</v>
      </c>
      <c r="AP1592" s="75" t="s">
        <v>83</v>
      </c>
      <c r="AQ1592" s="122">
        <v>1</v>
      </c>
      <c r="AR1592" s="515" t="s">
        <v>10</v>
      </c>
      <c r="AS1592" s="95">
        <v>0</v>
      </c>
      <c r="AT1592" s="75">
        <v>0</v>
      </c>
      <c r="AU1592" s="75">
        <v>0</v>
      </c>
      <c r="AV1592" s="75">
        <v>0</v>
      </c>
      <c r="AW1592" s="123">
        <v>0</v>
      </c>
      <c r="AX1592" s="516" t="s">
        <v>1520</v>
      </c>
      <c r="AY1592" s="75">
        <v>1</v>
      </c>
      <c r="AZ1592" s="77" t="s">
        <v>131</v>
      </c>
      <c r="BA1592" s="78" t="s">
        <v>131</v>
      </c>
      <c r="BB1592" s="78" t="s">
        <v>131</v>
      </c>
      <c r="BC1592" s="78" t="s">
        <v>131</v>
      </c>
      <c r="BD1592" s="78" t="s">
        <v>131</v>
      </c>
      <c r="BE1592" s="78" t="s">
        <v>131</v>
      </c>
      <c r="BF1592" s="78" t="s">
        <v>131</v>
      </c>
      <c r="BG1592" s="78" t="s">
        <v>132</v>
      </c>
      <c r="BH1592" s="75" t="s">
        <v>5970</v>
      </c>
      <c r="BI1592" s="295" t="s">
        <v>2226</v>
      </c>
      <c r="BJ1592" s="546">
        <v>1</v>
      </c>
      <c r="BK1592" s="294">
        <v>1</v>
      </c>
      <c r="BL1592" s="157">
        <v>1</v>
      </c>
      <c r="BM1592" s="548" t="s">
        <v>578</v>
      </c>
      <c r="BN1592" s="548" t="s">
        <v>4159</v>
      </c>
      <c r="BO1592" s="157" t="s">
        <v>4310</v>
      </c>
      <c r="BP1592" s="548" t="s">
        <v>2226</v>
      </c>
      <c r="BQ1592" s="157" t="s">
        <v>4309</v>
      </c>
      <c r="BR1592" s="157"/>
    </row>
    <row r="1593" spans="1:70" x14ac:dyDescent="0.25">
      <c r="A1593" s="19" t="s">
        <v>3686</v>
      </c>
      <c r="B1593" s="37" t="s">
        <v>1878</v>
      </c>
      <c r="C1593" s="90">
        <v>44712.686261574076</v>
      </c>
      <c r="D1593" s="114">
        <v>44712.436261574076</v>
      </c>
      <c r="E1593" s="38">
        <v>44712</v>
      </c>
      <c r="F1593" s="91">
        <v>2022</v>
      </c>
      <c r="G1593" s="93">
        <v>5</v>
      </c>
      <c r="H1593" s="37" t="s">
        <v>1425</v>
      </c>
      <c r="I1593" s="37" t="s">
        <v>16</v>
      </c>
      <c r="J1593" s="103">
        <v>-92.550507942401396</v>
      </c>
      <c r="K1593" s="40">
        <v>44.831089229390187</v>
      </c>
      <c r="L1593" s="74"/>
      <c r="M1593" s="272" t="s">
        <v>1879</v>
      </c>
      <c r="N1593" s="74">
        <v>1</v>
      </c>
      <c r="O1593" s="94"/>
      <c r="P1593" s="118">
        <v>1</v>
      </c>
      <c r="Q1593" s="510">
        <v>80</v>
      </c>
      <c r="R1593" s="513">
        <v>120</v>
      </c>
      <c r="S1593" s="41"/>
      <c r="T1593" s="40"/>
      <c r="U1593" s="40">
        <v>7</v>
      </c>
      <c r="V1593" s="119">
        <v>1</v>
      </c>
      <c r="W1593" s="40">
        <v>0</v>
      </c>
      <c r="X1593" s="119">
        <v>1</v>
      </c>
      <c r="Y1593" s="40">
        <v>68</v>
      </c>
      <c r="Z1593" s="119">
        <v>1</v>
      </c>
      <c r="AA1593" s="368">
        <v>0</v>
      </c>
      <c r="AB1593" s="535">
        <v>1</v>
      </c>
      <c r="AC1593" s="39" t="s">
        <v>186</v>
      </c>
      <c r="AD1593" s="75" t="s">
        <v>355</v>
      </c>
      <c r="AE1593" s="95">
        <v>0</v>
      </c>
      <c r="AF1593" s="75">
        <v>0</v>
      </c>
      <c r="AG1593" s="75">
        <v>0</v>
      </c>
      <c r="AH1593" s="75">
        <v>1</v>
      </c>
      <c r="AI1593" s="75">
        <v>0</v>
      </c>
      <c r="AJ1593" s="75">
        <v>0</v>
      </c>
      <c r="AK1593" s="75">
        <v>0</v>
      </c>
      <c r="AL1593" s="95">
        <v>0</v>
      </c>
      <c r="AM1593" s="92">
        <v>0</v>
      </c>
      <c r="AN1593" s="79" t="s">
        <v>80</v>
      </c>
      <c r="AO1593" s="75">
        <v>1</v>
      </c>
      <c r="AP1593" s="75" t="s">
        <v>84</v>
      </c>
      <c r="AQ1593" s="122">
        <v>1</v>
      </c>
      <c r="AR1593" s="515" t="s">
        <v>10</v>
      </c>
      <c r="AS1593" s="95">
        <v>0</v>
      </c>
      <c r="AT1593" s="75">
        <v>0</v>
      </c>
      <c r="AU1593" s="75">
        <v>0</v>
      </c>
      <c r="AV1593" s="75">
        <v>0</v>
      </c>
      <c r="AW1593" s="123">
        <v>0</v>
      </c>
      <c r="AX1593" s="516" t="s">
        <v>1880</v>
      </c>
      <c r="AY1593" s="75">
        <v>1</v>
      </c>
      <c r="AZ1593" s="77" t="s">
        <v>131</v>
      </c>
      <c r="BA1593" s="78" t="s">
        <v>131</v>
      </c>
      <c r="BB1593" s="78" t="s">
        <v>131</v>
      </c>
      <c r="BC1593" s="78" t="s">
        <v>132</v>
      </c>
      <c r="BD1593" s="78" t="s">
        <v>131</v>
      </c>
      <c r="BE1593" s="78" t="s">
        <v>131</v>
      </c>
      <c r="BF1593" s="78" t="s">
        <v>131</v>
      </c>
      <c r="BG1593" s="78" t="s">
        <v>131</v>
      </c>
      <c r="BH1593" s="75" t="s">
        <v>5970</v>
      </c>
      <c r="BI1593" s="295">
        <v>0</v>
      </c>
      <c r="BJ1593" s="546" t="s">
        <v>16</v>
      </c>
      <c r="BK1593" s="294" t="s">
        <v>16</v>
      </c>
      <c r="BL1593" s="157" t="s">
        <v>16</v>
      </c>
      <c r="BM1593" s="548" t="s">
        <v>578</v>
      </c>
      <c r="BN1593" s="548" t="s">
        <v>4159</v>
      </c>
      <c r="BO1593" s="157" t="s">
        <v>4310</v>
      </c>
      <c r="BP1593" s="548" t="s">
        <v>2226</v>
      </c>
      <c r="BQ1593" s="157" t="s">
        <v>4309</v>
      </c>
      <c r="BR1593" s="157"/>
    </row>
    <row r="1594" spans="1:70" x14ac:dyDescent="0.25">
      <c r="A1594" s="19" t="s">
        <v>3686</v>
      </c>
      <c r="B1594" s="37" t="s">
        <v>1881</v>
      </c>
      <c r="C1594" s="90">
        <v>44711.651701388888</v>
      </c>
      <c r="D1594" s="114">
        <v>44711.401701388888</v>
      </c>
      <c r="E1594" s="38">
        <v>44711</v>
      </c>
      <c r="F1594" s="91">
        <v>2022</v>
      </c>
      <c r="G1594" s="93">
        <v>5</v>
      </c>
      <c r="H1594" s="37" t="s">
        <v>1364</v>
      </c>
      <c r="I1594" s="37" t="s">
        <v>958</v>
      </c>
      <c r="J1594" s="103">
        <v>-92.5754783</v>
      </c>
      <c r="K1594" s="40">
        <v>44.488385000000001</v>
      </c>
      <c r="L1594" s="74"/>
      <c r="M1594" s="272" t="s">
        <v>1882</v>
      </c>
      <c r="N1594" s="74">
        <v>1</v>
      </c>
      <c r="O1594" s="94"/>
      <c r="P1594" s="118">
        <v>1</v>
      </c>
      <c r="Q1594" s="510">
        <v>80</v>
      </c>
      <c r="R1594" s="513">
        <v>180</v>
      </c>
      <c r="S1594" s="41"/>
      <c r="T1594" s="40"/>
      <c r="U1594" s="40">
        <v>7</v>
      </c>
      <c r="V1594" s="119">
        <v>1</v>
      </c>
      <c r="W1594" s="40">
        <v>100</v>
      </c>
      <c r="X1594" s="119">
        <v>1</v>
      </c>
      <c r="Y1594" s="40">
        <v>56</v>
      </c>
      <c r="Z1594" s="119">
        <v>1</v>
      </c>
      <c r="AA1594" s="368">
        <v>0</v>
      </c>
      <c r="AB1594" s="535">
        <v>2</v>
      </c>
      <c r="AC1594" s="39" t="s">
        <v>160</v>
      </c>
      <c r="AD1594" s="75" t="s">
        <v>10</v>
      </c>
      <c r="AE1594" s="95">
        <v>0</v>
      </c>
      <c r="AF1594" s="75">
        <v>0</v>
      </c>
      <c r="AG1594" s="75">
        <v>0</v>
      </c>
      <c r="AH1594" s="75">
        <v>0</v>
      </c>
      <c r="AI1594" s="75">
        <v>0</v>
      </c>
      <c r="AJ1594" s="75">
        <v>0</v>
      </c>
      <c r="AK1594" s="75">
        <v>0</v>
      </c>
      <c r="AL1594" s="95">
        <v>1</v>
      </c>
      <c r="AM1594" s="92">
        <v>0</v>
      </c>
      <c r="AN1594" s="79" t="s">
        <v>81</v>
      </c>
      <c r="AO1594" s="75">
        <v>1</v>
      </c>
      <c r="AP1594" s="75" t="s">
        <v>84</v>
      </c>
      <c r="AQ1594" s="122">
        <v>1</v>
      </c>
      <c r="AR1594" s="515" t="s">
        <v>35</v>
      </c>
      <c r="AS1594" s="95">
        <v>0</v>
      </c>
      <c r="AT1594" s="75">
        <v>1</v>
      </c>
      <c r="AU1594" s="75">
        <v>0</v>
      </c>
      <c r="AV1594" s="75">
        <v>0</v>
      </c>
      <c r="AW1594" s="123">
        <v>0</v>
      </c>
      <c r="AX1594" s="516"/>
      <c r="AY1594" s="75">
        <v>0</v>
      </c>
      <c r="AZ1594" s="77" t="s">
        <v>131</v>
      </c>
      <c r="BA1594" s="78" t="s">
        <v>131</v>
      </c>
      <c r="BB1594" s="78" t="s">
        <v>131</v>
      </c>
      <c r="BC1594" s="78" t="s">
        <v>131</v>
      </c>
      <c r="BD1594" s="78" t="s">
        <v>131</v>
      </c>
      <c r="BE1594" s="78" t="s">
        <v>131</v>
      </c>
      <c r="BF1594" s="78" t="s">
        <v>131</v>
      </c>
      <c r="BG1594" s="78" t="s">
        <v>132</v>
      </c>
      <c r="BH1594" s="75" t="s">
        <v>5970</v>
      </c>
      <c r="BI1594" s="295" t="s">
        <v>2238</v>
      </c>
      <c r="BJ1594" s="546">
        <v>1</v>
      </c>
      <c r="BK1594" s="294" t="s">
        <v>16</v>
      </c>
      <c r="BL1594" s="157" t="s">
        <v>16</v>
      </c>
      <c r="BM1594" s="548" t="s">
        <v>2343</v>
      </c>
      <c r="BN1594" s="548" t="s">
        <v>4161</v>
      </c>
      <c r="BO1594" s="157" t="s">
        <v>4308</v>
      </c>
      <c r="BP1594" s="548" t="s">
        <v>2238</v>
      </c>
      <c r="BQ1594" s="157" t="s">
        <v>4307</v>
      </c>
      <c r="BR1594" s="157"/>
    </row>
    <row r="1595" spans="1:70" x14ac:dyDescent="0.25">
      <c r="A1595" s="19" t="s">
        <v>3686</v>
      </c>
      <c r="B1595" s="37" t="s">
        <v>1883</v>
      </c>
      <c r="C1595" s="90">
        <v>44709.809490740743</v>
      </c>
      <c r="D1595" s="114">
        <v>44709.559490740743</v>
      </c>
      <c r="E1595" s="38">
        <v>44709</v>
      </c>
      <c r="F1595" s="91">
        <v>2022</v>
      </c>
      <c r="G1595" s="93">
        <v>5</v>
      </c>
      <c r="H1595" s="37" t="s">
        <v>201</v>
      </c>
      <c r="I1595" s="37"/>
      <c r="J1595" s="103">
        <v>-92.732077821670458</v>
      </c>
      <c r="K1595" s="40">
        <v>44.831206442851155</v>
      </c>
      <c r="L1595" s="74"/>
      <c r="M1595" s="272" t="s">
        <v>16</v>
      </c>
      <c r="N1595" s="74">
        <v>0</v>
      </c>
      <c r="O1595" s="94"/>
      <c r="P1595" s="118">
        <v>0</v>
      </c>
      <c r="Q1595" s="510"/>
      <c r="R1595" s="513"/>
      <c r="S1595" s="41"/>
      <c r="T1595" s="40"/>
      <c r="U1595" s="40"/>
      <c r="V1595" s="119">
        <v>0</v>
      </c>
      <c r="W1595" s="40"/>
      <c r="X1595" s="119">
        <v>0</v>
      </c>
      <c r="Y1595" s="40"/>
      <c r="Z1595" s="119">
        <v>1</v>
      </c>
      <c r="AA1595" s="368">
        <v>0</v>
      </c>
      <c r="AB1595" s="535">
        <v>5</v>
      </c>
      <c r="AC1595" s="39" t="s">
        <v>160</v>
      </c>
      <c r="AD1595" s="75" t="s">
        <v>16</v>
      </c>
      <c r="AE1595" s="95">
        <v>-1</v>
      </c>
      <c r="AF1595" s="75">
        <v>-1</v>
      </c>
      <c r="AG1595" s="75">
        <v>-1</v>
      </c>
      <c r="AH1595" s="75">
        <v>-1</v>
      </c>
      <c r="AI1595" s="75">
        <v>-1</v>
      </c>
      <c r="AJ1595" s="75">
        <v>-1</v>
      </c>
      <c r="AK1595" s="75">
        <v>-1</v>
      </c>
      <c r="AL1595" s="95">
        <v>-1</v>
      </c>
      <c r="AM1595" s="92">
        <v>1</v>
      </c>
      <c r="AN1595" s="79"/>
      <c r="AO1595" s="75">
        <v>0</v>
      </c>
      <c r="AP1595" s="75"/>
      <c r="AQ1595" s="122">
        <v>0</v>
      </c>
      <c r="AR1595" s="515" t="s">
        <v>16</v>
      </c>
      <c r="AS1595" s="95">
        <v>-1</v>
      </c>
      <c r="AT1595" s="75">
        <v>-1</v>
      </c>
      <c r="AU1595" s="75">
        <v>-1</v>
      </c>
      <c r="AV1595" s="75">
        <v>-1</v>
      </c>
      <c r="AW1595" s="123">
        <v>1</v>
      </c>
      <c r="AX1595" s="516" t="s">
        <v>1884</v>
      </c>
      <c r="AY1595" s="75">
        <v>1</v>
      </c>
      <c r="AZ1595" s="77" t="s">
        <v>5971</v>
      </c>
      <c r="BA1595" s="78" t="s">
        <v>5971</v>
      </c>
      <c r="BB1595" s="78" t="s">
        <v>5971</v>
      </c>
      <c r="BC1595" s="78" t="s">
        <v>5971</v>
      </c>
      <c r="BD1595" s="78" t="s">
        <v>5971</v>
      </c>
      <c r="BE1595" s="78" t="s">
        <v>5971</v>
      </c>
      <c r="BF1595" s="78" t="s">
        <v>5971</v>
      </c>
      <c r="BG1595" s="78" t="s">
        <v>5971</v>
      </c>
      <c r="BH1595" s="75" t="s">
        <v>5971</v>
      </c>
      <c r="BI1595" s="295" t="s">
        <v>2227</v>
      </c>
      <c r="BJ1595" s="546">
        <v>1</v>
      </c>
      <c r="BK1595" s="294" t="s">
        <v>16</v>
      </c>
      <c r="BL1595" s="157" t="s">
        <v>16</v>
      </c>
      <c r="BM1595" s="548" t="s">
        <v>578</v>
      </c>
      <c r="BN1595" s="548" t="s">
        <v>578</v>
      </c>
      <c r="BO1595" s="157" t="s">
        <v>4341</v>
      </c>
      <c r="BP1595" s="548" t="s">
        <v>4343</v>
      </c>
      <c r="BQ1595" s="157" t="s">
        <v>4309</v>
      </c>
      <c r="BR1595" s="157"/>
    </row>
    <row r="1596" spans="1:70" x14ac:dyDescent="0.25">
      <c r="A1596" s="19" t="s">
        <v>3686</v>
      </c>
      <c r="B1596" s="37" t="s">
        <v>1885</v>
      </c>
      <c r="C1596" s="90">
        <v>44709.809386574074</v>
      </c>
      <c r="D1596" s="114">
        <v>44709.559386574074</v>
      </c>
      <c r="E1596" s="38">
        <v>44709</v>
      </c>
      <c r="F1596" s="91">
        <v>2022</v>
      </c>
      <c r="G1596" s="93">
        <v>5</v>
      </c>
      <c r="H1596" s="37" t="s">
        <v>599</v>
      </c>
      <c r="I1596" s="37" t="s">
        <v>2361</v>
      </c>
      <c r="J1596" s="103">
        <v>-92.442853703388181</v>
      </c>
      <c r="K1596" s="40">
        <v>44.621479698042734</v>
      </c>
      <c r="L1596" s="74"/>
      <c r="M1596" s="272" t="s">
        <v>16</v>
      </c>
      <c r="N1596" s="74">
        <v>0</v>
      </c>
      <c r="O1596" s="94"/>
      <c r="P1596" s="118">
        <v>0</v>
      </c>
      <c r="Q1596" s="510"/>
      <c r="R1596" s="513"/>
      <c r="S1596" s="41"/>
      <c r="T1596" s="40"/>
      <c r="U1596" s="40"/>
      <c r="V1596" s="119">
        <v>1</v>
      </c>
      <c r="W1596" s="40">
        <v>0</v>
      </c>
      <c r="X1596" s="119">
        <v>1</v>
      </c>
      <c r="Y1596" s="40">
        <v>57</v>
      </c>
      <c r="Z1596" s="119">
        <v>1</v>
      </c>
      <c r="AA1596" s="368">
        <v>0</v>
      </c>
      <c r="AB1596" s="535">
        <v>2</v>
      </c>
      <c r="AC1596" s="39" t="s">
        <v>160</v>
      </c>
      <c r="AD1596" s="75" t="s">
        <v>10</v>
      </c>
      <c r="AE1596" s="95">
        <v>0</v>
      </c>
      <c r="AF1596" s="75">
        <v>0</v>
      </c>
      <c r="AG1596" s="75">
        <v>0</v>
      </c>
      <c r="AH1596" s="75">
        <v>0</v>
      </c>
      <c r="AI1596" s="75">
        <v>0</v>
      </c>
      <c r="AJ1596" s="75">
        <v>0</v>
      </c>
      <c r="AK1596" s="75">
        <v>0</v>
      </c>
      <c r="AL1596" s="95">
        <v>1</v>
      </c>
      <c r="AM1596" s="92">
        <v>0</v>
      </c>
      <c r="AN1596" s="79" t="s">
        <v>80</v>
      </c>
      <c r="AO1596" s="75">
        <v>1</v>
      </c>
      <c r="AP1596" s="75" t="s">
        <v>83</v>
      </c>
      <c r="AQ1596" s="122">
        <v>1</v>
      </c>
      <c r="AR1596" s="515" t="s">
        <v>10</v>
      </c>
      <c r="AS1596" s="95">
        <v>0</v>
      </c>
      <c r="AT1596" s="75">
        <v>0</v>
      </c>
      <c r="AU1596" s="75">
        <v>0</v>
      </c>
      <c r="AV1596" s="75">
        <v>0</v>
      </c>
      <c r="AW1596" s="123">
        <v>0</v>
      </c>
      <c r="AX1596" s="516"/>
      <c r="AY1596" s="75">
        <v>0</v>
      </c>
      <c r="AZ1596" s="77" t="s">
        <v>131</v>
      </c>
      <c r="BA1596" s="78" t="s">
        <v>131</v>
      </c>
      <c r="BB1596" s="78" t="s">
        <v>131</v>
      </c>
      <c r="BC1596" s="78" t="s">
        <v>131</v>
      </c>
      <c r="BD1596" s="78" t="s">
        <v>131</v>
      </c>
      <c r="BE1596" s="78" t="s">
        <v>131</v>
      </c>
      <c r="BF1596" s="78" t="s">
        <v>131</v>
      </c>
      <c r="BG1596" s="78" t="s">
        <v>132</v>
      </c>
      <c r="BH1596" s="75" t="s">
        <v>5970</v>
      </c>
      <c r="BI1596" s="295" t="s">
        <v>2289</v>
      </c>
      <c r="BJ1596" s="546">
        <v>1</v>
      </c>
      <c r="BK1596" s="294" t="s">
        <v>16</v>
      </c>
      <c r="BL1596" s="157" t="s">
        <v>16</v>
      </c>
      <c r="BM1596" s="548" t="s">
        <v>578</v>
      </c>
      <c r="BN1596" s="548" t="s">
        <v>544</v>
      </c>
      <c r="BO1596" s="157" t="s">
        <v>4283</v>
      </c>
      <c r="BP1596" s="548" t="s">
        <v>2289</v>
      </c>
      <c r="BQ1596" s="157" t="s">
        <v>4214</v>
      </c>
      <c r="BR1596" s="157"/>
    </row>
    <row r="1597" spans="1:70" x14ac:dyDescent="0.25">
      <c r="A1597" s="19" t="s">
        <v>3686</v>
      </c>
      <c r="B1597" s="37" t="s">
        <v>1886</v>
      </c>
      <c r="C1597" s="90">
        <v>44709.803229166668</v>
      </c>
      <c r="D1597" s="114">
        <v>44709.553229166668</v>
      </c>
      <c r="E1597" s="38">
        <v>44709</v>
      </c>
      <c r="F1597" s="91">
        <v>2022</v>
      </c>
      <c r="G1597" s="93">
        <v>5</v>
      </c>
      <c r="H1597" s="37" t="s">
        <v>201</v>
      </c>
      <c r="I1597" s="37"/>
      <c r="J1597" s="103">
        <v>-92.73209739571476</v>
      </c>
      <c r="K1597" s="40">
        <v>44.831177424994621</v>
      </c>
      <c r="L1597" s="74"/>
      <c r="M1597" s="272" t="s">
        <v>16</v>
      </c>
      <c r="N1597" s="74">
        <v>0</v>
      </c>
      <c r="O1597" s="94"/>
      <c r="P1597" s="118">
        <v>1</v>
      </c>
      <c r="Q1597" s="510">
        <v>180</v>
      </c>
      <c r="R1597" s="513">
        <v>180</v>
      </c>
      <c r="S1597" s="41"/>
      <c r="T1597" s="40"/>
      <c r="U1597" s="40">
        <v>8</v>
      </c>
      <c r="V1597" s="119">
        <v>1</v>
      </c>
      <c r="W1597" s="40">
        <v>0</v>
      </c>
      <c r="X1597" s="119">
        <v>1</v>
      </c>
      <c r="Y1597" s="40">
        <v>62</v>
      </c>
      <c r="Z1597" s="119">
        <v>1</v>
      </c>
      <c r="AA1597" s="368">
        <v>0</v>
      </c>
      <c r="AB1597" s="535">
        <v>5</v>
      </c>
      <c r="AC1597" s="39" t="s">
        <v>160</v>
      </c>
      <c r="AD1597" s="75" t="s">
        <v>8</v>
      </c>
      <c r="AE1597" s="95">
        <v>0</v>
      </c>
      <c r="AF1597" s="75">
        <v>1</v>
      </c>
      <c r="AG1597" s="75">
        <v>0</v>
      </c>
      <c r="AH1597" s="75">
        <v>0</v>
      </c>
      <c r="AI1597" s="75">
        <v>0</v>
      </c>
      <c r="AJ1597" s="75">
        <v>0</v>
      </c>
      <c r="AK1597" s="75">
        <v>0</v>
      </c>
      <c r="AL1597" s="95">
        <v>0</v>
      </c>
      <c r="AM1597" s="92">
        <v>0</v>
      </c>
      <c r="AN1597" s="79" t="s">
        <v>80</v>
      </c>
      <c r="AO1597" s="75">
        <v>1</v>
      </c>
      <c r="AP1597" s="75" t="s">
        <v>83</v>
      </c>
      <c r="AQ1597" s="122">
        <v>1</v>
      </c>
      <c r="AR1597" s="515" t="s">
        <v>35</v>
      </c>
      <c r="AS1597" s="95">
        <v>0</v>
      </c>
      <c r="AT1597" s="75">
        <v>1</v>
      </c>
      <c r="AU1597" s="75">
        <v>0</v>
      </c>
      <c r="AV1597" s="75">
        <v>0</v>
      </c>
      <c r="AW1597" s="123">
        <v>0</v>
      </c>
      <c r="AX1597" s="516" t="s">
        <v>1887</v>
      </c>
      <c r="AY1597" s="75">
        <v>1</v>
      </c>
      <c r="AZ1597" s="77" t="s">
        <v>131</v>
      </c>
      <c r="BA1597" s="78" t="s">
        <v>132</v>
      </c>
      <c r="BB1597" s="78" t="s">
        <v>131</v>
      </c>
      <c r="BC1597" s="78" t="s">
        <v>131</v>
      </c>
      <c r="BD1597" s="78" t="s">
        <v>131</v>
      </c>
      <c r="BE1597" s="78" t="s">
        <v>131</v>
      </c>
      <c r="BF1597" s="78" t="s">
        <v>131</v>
      </c>
      <c r="BG1597" s="78" t="s">
        <v>131</v>
      </c>
      <c r="BH1597" s="75" t="s">
        <v>5970</v>
      </c>
      <c r="BI1597" s="295" t="s">
        <v>2227</v>
      </c>
      <c r="BJ1597" s="546">
        <v>1</v>
      </c>
      <c r="BK1597" s="294" t="s">
        <v>16</v>
      </c>
      <c r="BL1597" s="157" t="s">
        <v>16</v>
      </c>
      <c r="BM1597" s="548" t="s">
        <v>578</v>
      </c>
      <c r="BN1597" s="548" t="s">
        <v>578</v>
      </c>
      <c r="BO1597" s="157" t="s">
        <v>4341</v>
      </c>
      <c r="BP1597" s="548" t="s">
        <v>4343</v>
      </c>
      <c r="BQ1597" s="157" t="s">
        <v>4309</v>
      </c>
      <c r="BR1597" s="157"/>
    </row>
    <row r="1598" spans="1:70" x14ac:dyDescent="0.25">
      <c r="A1598" s="19" t="s">
        <v>3686</v>
      </c>
      <c r="B1598" s="37" t="s">
        <v>1888</v>
      </c>
      <c r="C1598" s="90">
        <v>44707.006388888891</v>
      </c>
      <c r="D1598" s="114">
        <v>44706.756388888891</v>
      </c>
      <c r="E1598" s="38">
        <v>44706</v>
      </c>
      <c r="F1598" s="91">
        <v>2022</v>
      </c>
      <c r="G1598" s="93">
        <v>5</v>
      </c>
      <c r="H1598" s="37" t="s">
        <v>621</v>
      </c>
      <c r="I1598" s="37" t="s">
        <v>960</v>
      </c>
      <c r="J1598" s="103">
        <v>-93.009013133210118</v>
      </c>
      <c r="K1598" s="40">
        <v>44.65725220278339</v>
      </c>
      <c r="L1598" s="74"/>
      <c r="M1598" s="272" t="s">
        <v>16</v>
      </c>
      <c r="N1598" s="74">
        <v>0</v>
      </c>
      <c r="O1598" s="94"/>
      <c r="P1598" s="118">
        <v>1</v>
      </c>
      <c r="Q1598" s="510">
        <v>120</v>
      </c>
      <c r="R1598" s="513">
        <v>180</v>
      </c>
      <c r="S1598" s="41"/>
      <c r="T1598" s="40"/>
      <c r="U1598" s="40">
        <v>8</v>
      </c>
      <c r="V1598" s="119">
        <v>1</v>
      </c>
      <c r="W1598" s="40">
        <v>0</v>
      </c>
      <c r="X1598" s="119">
        <v>1</v>
      </c>
      <c r="Y1598" s="40">
        <v>52</v>
      </c>
      <c r="Z1598" s="119">
        <v>1</v>
      </c>
      <c r="AA1598" s="368">
        <v>0</v>
      </c>
      <c r="AB1598" s="535">
        <v>2</v>
      </c>
      <c r="AC1598" s="39" t="s">
        <v>160</v>
      </c>
      <c r="AD1598" s="75" t="s">
        <v>16</v>
      </c>
      <c r="AE1598" s="95">
        <v>-1</v>
      </c>
      <c r="AF1598" s="75">
        <v>-1</v>
      </c>
      <c r="AG1598" s="75">
        <v>-1</v>
      </c>
      <c r="AH1598" s="75">
        <v>-1</v>
      </c>
      <c r="AI1598" s="75">
        <v>-1</v>
      </c>
      <c r="AJ1598" s="75">
        <v>-1</v>
      </c>
      <c r="AK1598" s="75">
        <v>-1</v>
      </c>
      <c r="AL1598" s="95">
        <v>-1</v>
      </c>
      <c r="AM1598" s="92">
        <v>1</v>
      </c>
      <c r="AN1598" s="79" t="s">
        <v>195</v>
      </c>
      <c r="AO1598" s="75">
        <v>1</v>
      </c>
      <c r="AP1598" s="75" t="s">
        <v>83</v>
      </c>
      <c r="AQ1598" s="122">
        <v>1</v>
      </c>
      <c r="AR1598" s="515" t="s">
        <v>13</v>
      </c>
      <c r="AS1598" s="95">
        <v>1</v>
      </c>
      <c r="AT1598" s="75">
        <v>0</v>
      </c>
      <c r="AU1598" s="75">
        <v>0</v>
      </c>
      <c r="AV1598" s="75">
        <v>0</v>
      </c>
      <c r="AW1598" s="123">
        <v>0</v>
      </c>
      <c r="AX1598" s="516" t="s">
        <v>1889</v>
      </c>
      <c r="AY1598" s="75">
        <v>1</v>
      </c>
      <c r="AZ1598" s="77" t="s">
        <v>5971</v>
      </c>
      <c r="BA1598" s="78" t="s">
        <v>5971</v>
      </c>
      <c r="BB1598" s="78" t="s">
        <v>5971</v>
      </c>
      <c r="BC1598" s="78" t="s">
        <v>5971</v>
      </c>
      <c r="BD1598" s="78" t="s">
        <v>5971</v>
      </c>
      <c r="BE1598" s="78" t="s">
        <v>5971</v>
      </c>
      <c r="BF1598" s="78" t="s">
        <v>5971</v>
      </c>
      <c r="BG1598" s="78" t="s">
        <v>5971</v>
      </c>
      <c r="BH1598" s="75" t="s">
        <v>5971</v>
      </c>
      <c r="BI1598" s="295" t="s">
        <v>2225</v>
      </c>
      <c r="BJ1598" s="546">
        <v>1</v>
      </c>
      <c r="BK1598" s="294" t="s">
        <v>16</v>
      </c>
      <c r="BL1598" s="157" t="s">
        <v>16</v>
      </c>
      <c r="BM1598" s="548" t="s">
        <v>2343</v>
      </c>
      <c r="BN1598" s="548" t="s">
        <v>4161</v>
      </c>
      <c r="BO1598" s="157" t="s">
        <v>4293</v>
      </c>
      <c r="BP1598" s="548" t="s">
        <v>2225</v>
      </c>
      <c r="BQ1598" s="157" t="s">
        <v>4292</v>
      </c>
      <c r="BR1598" s="157"/>
    </row>
    <row r="1599" spans="1:70" x14ac:dyDescent="0.25">
      <c r="A1599" s="19" t="s">
        <v>3686</v>
      </c>
      <c r="B1599" s="37" t="s">
        <v>1890</v>
      </c>
      <c r="C1599" s="90">
        <v>44706.809293981481</v>
      </c>
      <c r="D1599" s="114">
        <v>44706.559293981481</v>
      </c>
      <c r="E1599" s="38">
        <v>44706</v>
      </c>
      <c r="F1599" s="91">
        <v>2022</v>
      </c>
      <c r="G1599" s="93">
        <v>5</v>
      </c>
      <c r="H1599" s="37" t="s">
        <v>622</v>
      </c>
      <c r="I1599" s="37"/>
      <c r="J1599" s="103">
        <v>-92.267847284760578</v>
      </c>
      <c r="K1599" s="40">
        <v>44.428693167906651</v>
      </c>
      <c r="L1599" s="74"/>
      <c r="M1599" s="272" t="s">
        <v>16</v>
      </c>
      <c r="N1599" s="74">
        <v>0</v>
      </c>
      <c r="O1599" s="94"/>
      <c r="P1599" s="118">
        <v>1</v>
      </c>
      <c r="Q1599" s="510">
        <v>180</v>
      </c>
      <c r="R1599" s="513">
        <v>180</v>
      </c>
      <c r="S1599" s="41"/>
      <c r="T1599" s="40"/>
      <c r="U1599" s="40">
        <v>8</v>
      </c>
      <c r="V1599" s="119">
        <v>1</v>
      </c>
      <c r="W1599" s="40">
        <v>0</v>
      </c>
      <c r="X1599" s="119">
        <v>0</v>
      </c>
      <c r="Y1599" s="40"/>
      <c r="Z1599" s="119">
        <v>1</v>
      </c>
      <c r="AA1599" s="368">
        <v>0</v>
      </c>
      <c r="AB1599" s="535">
        <v>1</v>
      </c>
      <c r="AC1599" s="39" t="s">
        <v>160</v>
      </c>
      <c r="AD1599" s="75" t="s">
        <v>16</v>
      </c>
      <c r="AE1599" s="95">
        <v>-1</v>
      </c>
      <c r="AF1599" s="75">
        <v>-1</v>
      </c>
      <c r="AG1599" s="75">
        <v>-1</v>
      </c>
      <c r="AH1599" s="75">
        <v>-1</v>
      </c>
      <c r="AI1599" s="75">
        <v>-1</v>
      </c>
      <c r="AJ1599" s="75">
        <v>-1</v>
      </c>
      <c r="AK1599" s="75">
        <v>-1</v>
      </c>
      <c r="AL1599" s="95">
        <v>-1</v>
      </c>
      <c r="AM1599" s="92">
        <v>1</v>
      </c>
      <c r="AN1599" s="79"/>
      <c r="AO1599" s="75">
        <v>0</v>
      </c>
      <c r="AP1599" s="75"/>
      <c r="AQ1599" s="122">
        <v>0</v>
      </c>
      <c r="AR1599" s="515" t="s">
        <v>16</v>
      </c>
      <c r="AS1599" s="95">
        <v>-1</v>
      </c>
      <c r="AT1599" s="75">
        <v>-1</v>
      </c>
      <c r="AU1599" s="75">
        <v>-1</v>
      </c>
      <c r="AV1599" s="75">
        <v>-1</v>
      </c>
      <c r="AW1599" s="123">
        <v>1</v>
      </c>
      <c r="AX1599" s="516" t="s">
        <v>1891</v>
      </c>
      <c r="AY1599" s="75">
        <v>1</v>
      </c>
      <c r="AZ1599" s="77" t="s">
        <v>5971</v>
      </c>
      <c r="BA1599" s="78" t="s">
        <v>5971</v>
      </c>
      <c r="BB1599" s="78" t="s">
        <v>5971</v>
      </c>
      <c r="BC1599" s="78" t="s">
        <v>5971</v>
      </c>
      <c r="BD1599" s="78" t="s">
        <v>5971</v>
      </c>
      <c r="BE1599" s="78" t="s">
        <v>5971</v>
      </c>
      <c r="BF1599" s="78" t="s">
        <v>5971</v>
      </c>
      <c r="BG1599" s="78" t="s">
        <v>5971</v>
      </c>
      <c r="BH1599" s="75" t="s">
        <v>5971</v>
      </c>
      <c r="BI1599" s="295" t="s">
        <v>2228</v>
      </c>
      <c r="BJ1599" s="546">
        <v>1</v>
      </c>
      <c r="BK1599" s="294" t="s">
        <v>16</v>
      </c>
      <c r="BL1599" s="157" t="s">
        <v>16</v>
      </c>
      <c r="BM1599" s="548" t="s">
        <v>1339</v>
      </c>
      <c r="BN1599" s="548" t="s">
        <v>1339</v>
      </c>
      <c r="BO1599" s="157" t="s">
        <v>4614</v>
      </c>
      <c r="BP1599" s="548" t="s">
        <v>2228</v>
      </c>
      <c r="BQ1599" s="157" t="s">
        <v>4214</v>
      </c>
      <c r="BR1599" s="157"/>
    </row>
    <row r="1600" spans="1:70" x14ac:dyDescent="0.25">
      <c r="A1600" s="19" t="s">
        <v>3686</v>
      </c>
      <c r="B1600" s="37" t="s">
        <v>1892</v>
      </c>
      <c r="C1600" s="90">
        <v>44706.046354166669</v>
      </c>
      <c r="D1600" s="114">
        <v>44705.796354166669</v>
      </c>
      <c r="E1600" s="38">
        <v>44705</v>
      </c>
      <c r="F1600" s="91">
        <v>2022</v>
      </c>
      <c r="G1600" s="93">
        <v>5</v>
      </c>
      <c r="H1600" s="37" t="s">
        <v>461</v>
      </c>
      <c r="I1600" s="37" t="s">
        <v>154</v>
      </c>
      <c r="J1600" s="103">
        <v>-92.146860024983539</v>
      </c>
      <c r="K1600" s="40">
        <v>44.793238189357027</v>
      </c>
      <c r="L1600" s="74"/>
      <c r="M1600" s="272" t="s">
        <v>1893</v>
      </c>
      <c r="N1600" s="74">
        <v>1</v>
      </c>
      <c r="O1600" s="94"/>
      <c r="P1600" s="118">
        <v>1</v>
      </c>
      <c r="Q1600" s="510">
        <v>180</v>
      </c>
      <c r="R1600" s="513">
        <v>120</v>
      </c>
      <c r="S1600" s="41"/>
      <c r="T1600" s="40"/>
      <c r="U1600" s="40">
        <v>7.5</v>
      </c>
      <c r="V1600" s="119">
        <v>1</v>
      </c>
      <c r="W1600" s="40">
        <v>100</v>
      </c>
      <c r="X1600" s="119">
        <v>1</v>
      </c>
      <c r="Y1600" s="40">
        <v>56</v>
      </c>
      <c r="Z1600" s="119">
        <v>1</v>
      </c>
      <c r="AA1600" s="368">
        <v>0</v>
      </c>
      <c r="AB1600" s="535">
        <v>2</v>
      </c>
      <c r="AC1600" s="39" t="s">
        <v>160</v>
      </c>
      <c r="AD1600" s="75" t="s">
        <v>10</v>
      </c>
      <c r="AE1600" s="95">
        <v>0</v>
      </c>
      <c r="AF1600" s="75">
        <v>0</v>
      </c>
      <c r="AG1600" s="75">
        <v>0</v>
      </c>
      <c r="AH1600" s="75">
        <v>0</v>
      </c>
      <c r="AI1600" s="75">
        <v>0</v>
      </c>
      <c r="AJ1600" s="75">
        <v>0</v>
      </c>
      <c r="AK1600" s="75">
        <v>0</v>
      </c>
      <c r="AL1600" s="95">
        <v>1</v>
      </c>
      <c r="AM1600" s="92">
        <v>0</v>
      </c>
      <c r="AN1600" s="79" t="s">
        <v>80</v>
      </c>
      <c r="AO1600" s="75">
        <v>1</v>
      </c>
      <c r="AP1600" s="75" t="s">
        <v>83</v>
      </c>
      <c r="AQ1600" s="122">
        <v>1</v>
      </c>
      <c r="AR1600" s="515" t="s">
        <v>10</v>
      </c>
      <c r="AS1600" s="95">
        <v>0</v>
      </c>
      <c r="AT1600" s="75">
        <v>0</v>
      </c>
      <c r="AU1600" s="75">
        <v>0</v>
      </c>
      <c r="AV1600" s="75">
        <v>0</v>
      </c>
      <c r="AW1600" s="123">
        <v>0</v>
      </c>
      <c r="AX1600" s="516"/>
      <c r="AY1600" s="75">
        <v>0</v>
      </c>
      <c r="AZ1600" s="77" t="s">
        <v>131</v>
      </c>
      <c r="BA1600" s="78" t="s">
        <v>131</v>
      </c>
      <c r="BB1600" s="78" t="s">
        <v>131</v>
      </c>
      <c r="BC1600" s="78" t="s">
        <v>131</v>
      </c>
      <c r="BD1600" s="78" t="s">
        <v>131</v>
      </c>
      <c r="BE1600" s="78" t="s">
        <v>131</v>
      </c>
      <c r="BF1600" s="78" t="s">
        <v>131</v>
      </c>
      <c r="BG1600" s="78" t="s">
        <v>132</v>
      </c>
      <c r="BH1600" s="75" t="s">
        <v>5970</v>
      </c>
      <c r="BI1600" s="295" t="s">
        <v>2270</v>
      </c>
      <c r="BJ1600" s="546">
        <v>1</v>
      </c>
      <c r="BK1600" s="294">
        <v>1</v>
      </c>
      <c r="BL1600" s="157">
        <v>1</v>
      </c>
      <c r="BM1600" s="548" t="s">
        <v>578</v>
      </c>
      <c r="BN1600" s="548" t="s">
        <v>578</v>
      </c>
      <c r="BO1600" s="157" t="s">
        <v>4317</v>
      </c>
      <c r="BP1600" s="548" t="s">
        <v>2270</v>
      </c>
      <c r="BQ1600" s="157" t="s">
        <v>4316</v>
      </c>
      <c r="BR1600" s="157"/>
    </row>
    <row r="1601" spans="1:70" x14ac:dyDescent="0.25">
      <c r="A1601" s="19" t="s">
        <v>3686</v>
      </c>
      <c r="B1601" s="37" t="s">
        <v>1894</v>
      </c>
      <c r="C1601" s="90">
        <v>44705.640081018515</v>
      </c>
      <c r="D1601" s="114">
        <v>44705.390081018515</v>
      </c>
      <c r="E1601" s="38">
        <v>44705</v>
      </c>
      <c r="F1601" s="91">
        <v>2022</v>
      </c>
      <c r="G1601" s="93">
        <v>5</v>
      </c>
      <c r="H1601" s="37" t="s">
        <v>302</v>
      </c>
      <c r="I1601" s="37"/>
      <c r="J1601" s="103">
        <v>-92.055963699154006</v>
      </c>
      <c r="K1601" s="40">
        <v>43.85724768607669</v>
      </c>
      <c r="L1601" s="74"/>
      <c r="M1601" s="272" t="s">
        <v>16</v>
      </c>
      <c r="N1601" s="74">
        <v>0</v>
      </c>
      <c r="O1601" s="94"/>
      <c r="P1601" s="118">
        <v>1</v>
      </c>
      <c r="Q1601" s="510">
        <v>180</v>
      </c>
      <c r="R1601" s="513">
        <v>180</v>
      </c>
      <c r="S1601" s="41"/>
      <c r="T1601" s="40"/>
      <c r="U1601" s="40">
        <v>8</v>
      </c>
      <c r="V1601" s="119">
        <v>1</v>
      </c>
      <c r="W1601" s="40">
        <v>100</v>
      </c>
      <c r="X1601" s="119">
        <v>0</v>
      </c>
      <c r="Y1601" s="40"/>
      <c r="Z1601" s="119">
        <v>1</v>
      </c>
      <c r="AA1601" s="368">
        <v>0</v>
      </c>
      <c r="AB1601" s="535">
        <v>5</v>
      </c>
      <c r="AC1601" s="39" t="s">
        <v>160</v>
      </c>
      <c r="AD1601" s="75" t="s">
        <v>9</v>
      </c>
      <c r="AE1601" s="95">
        <v>0</v>
      </c>
      <c r="AF1601" s="75">
        <v>0</v>
      </c>
      <c r="AG1601" s="75">
        <v>1</v>
      </c>
      <c r="AH1601" s="75">
        <v>0</v>
      </c>
      <c r="AI1601" s="75">
        <v>0</v>
      </c>
      <c r="AJ1601" s="75">
        <v>0</v>
      </c>
      <c r="AK1601" s="75">
        <v>0</v>
      </c>
      <c r="AL1601" s="95">
        <v>0</v>
      </c>
      <c r="AM1601" s="92">
        <v>0</v>
      </c>
      <c r="AN1601" s="79" t="s">
        <v>81</v>
      </c>
      <c r="AO1601" s="75">
        <v>1</v>
      </c>
      <c r="AP1601" s="75" t="s">
        <v>84</v>
      </c>
      <c r="AQ1601" s="122">
        <v>1</v>
      </c>
      <c r="AR1601" s="515" t="s">
        <v>10</v>
      </c>
      <c r="AS1601" s="95">
        <v>0</v>
      </c>
      <c r="AT1601" s="75">
        <v>0</v>
      </c>
      <c r="AU1601" s="75">
        <v>0</v>
      </c>
      <c r="AV1601" s="75">
        <v>0</v>
      </c>
      <c r="AW1601" s="123">
        <v>0</v>
      </c>
      <c r="AX1601" s="516" t="s">
        <v>1895</v>
      </c>
      <c r="AY1601" s="75">
        <v>1</v>
      </c>
      <c r="AZ1601" s="77" t="s">
        <v>131</v>
      </c>
      <c r="BA1601" s="78" t="s">
        <v>131</v>
      </c>
      <c r="BB1601" s="78" t="s">
        <v>132</v>
      </c>
      <c r="BC1601" s="78" t="s">
        <v>131</v>
      </c>
      <c r="BD1601" s="78" t="s">
        <v>131</v>
      </c>
      <c r="BE1601" s="78" t="s">
        <v>131</v>
      </c>
      <c r="BF1601" s="78" t="s">
        <v>131</v>
      </c>
      <c r="BG1601" s="78" t="s">
        <v>131</v>
      </c>
      <c r="BH1601" s="75" t="s">
        <v>5970</v>
      </c>
      <c r="BI1601" s="295" t="s">
        <v>2235</v>
      </c>
      <c r="BJ1601" s="546">
        <v>1</v>
      </c>
      <c r="BK1601" s="294" t="s">
        <v>16</v>
      </c>
      <c r="BL1601" s="157" t="s">
        <v>16</v>
      </c>
      <c r="BM1601" s="548" t="s">
        <v>1339</v>
      </c>
      <c r="BN1601" s="548" t="s">
        <v>4160</v>
      </c>
      <c r="BO1601" s="157" t="s">
        <v>4695</v>
      </c>
      <c r="BP1601" s="548" t="s">
        <v>2235</v>
      </c>
      <c r="BQ1601" s="157" t="s">
        <v>4319</v>
      </c>
      <c r="BR1601" s="157"/>
    </row>
    <row r="1602" spans="1:70" x14ac:dyDescent="0.25">
      <c r="A1602" s="19" t="s">
        <v>3686</v>
      </c>
      <c r="B1602" s="37" t="s">
        <v>1896</v>
      </c>
      <c r="C1602" s="90">
        <v>44705.108506944445</v>
      </c>
      <c r="D1602" s="114">
        <v>44704.858506944445</v>
      </c>
      <c r="E1602" s="38">
        <v>44704</v>
      </c>
      <c r="F1602" s="91">
        <v>2022</v>
      </c>
      <c r="G1602" s="93">
        <v>5</v>
      </c>
      <c r="H1602" s="37" t="s">
        <v>1425</v>
      </c>
      <c r="I1602" s="37"/>
      <c r="J1602" s="103">
        <v>-92.550628569022919</v>
      </c>
      <c r="K1602" s="40">
        <v>44.829061810202518</v>
      </c>
      <c r="L1602" s="74"/>
      <c r="M1602" s="272" t="s">
        <v>16</v>
      </c>
      <c r="N1602" s="74">
        <v>0</v>
      </c>
      <c r="O1602" s="94"/>
      <c r="P1602" s="118">
        <v>1</v>
      </c>
      <c r="Q1602" s="510">
        <v>180</v>
      </c>
      <c r="R1602" s="513">
        <v>0</v>
      </c>
      <c r="S1602" s="41"/>
      <c r="T1602" s="40"/>
      <c r="U1602" s="40">
        <v>7</v>
      </c>
      <c r="V1602" s="119">
        <v>1</v>
      </c>
      <c r="W1602" s="40">
        <v>100</v>
      </c>
      <c r="X1602" s="119">
        <v>1</v>
      </c>
      <c r="Y1602" s="40">
        <v>0</v>
      </c>
      <c r="Z1602" s="119">
        <v>1</v>
      </c>
      <c r="AA1602" s="368">
        <v>0</v>
      </c>
      <c r="AB1602" s="535">
        <v>0</v>
      </c>
      <c r="AC1602" s="39" t="s">
        <v>372</v>
      </c>
      <c r="AD1602" s="75" t="s">
        <v>16</v>
      </c>
      <c r="AE1602" s="95">
        <v>-1</v>
      </c>
      <c r="AF1602" s="75">
        <v>-1</v>
      </c>
      <c r="AG1602" s="75">
        <v>-1</v>
      </c>
      <c r="AH1602" s="75">
        <v>-1</v>
      </c>
      <c r="AI1602" s="75">
        <v>-1</v>
      </c>
      <c r="AJ1602" s="75">
        <v>-1</v>
      </c>
      <c r="AK1602" s="75">
        <v>-1</v>
      </c>
      <c r="AL1602" s="95">
        <v>-1</v>
      </c>
      <c r="AM1602" s="92">
        <v>1</v>
      </c>
      <c r="AN1602" s="79"/>
      <c r="AO1602" s="75">
        <v>0</v>
      </c>
      <c r="AP1602" s="75"/>
      <c r="AQ1602" s="122">
        <v>0</v>
      </c>
      <c r="AR1602" s="515" t="s">
        <v>16</v>
      </c>
      <c r="AS1602" s="95">
        <v>-1</v>
      </c>
      <c r="AT1602" s="75">
        <v>-1</v>
      </c>
      <c r="AU1602" s="75">
        <v>-1</v>
      </c>
      <c r="AV1602" s="75">
        <v>-1</v>
      </c>
      <c r="AW1602" s="123">
        <v>1</v>
      </c>
      <c r="AX1602" s="516"/>
      <c r="AY1602" s="75">
        <v>0</v>
      </c>
      <c r="AZ1602" s="77" t="s">
        <v>5971</v>
      </c>
      <c r="BA1602" s="78" t="s">
        <v>5971</v>
      </c>
      <c r="BB1602" s="78" t="s">
        <v>5971</v>
      </c>
      <c r="BC1602" s="78" t="s">
        <v>5971</v>
      </c>
      <c r="BD1602" s="78" t="s">
        <v>5971</v>
      </c>
      <c r="BE1602" s="78" t="s">
        <v>5971</v>
      </c>
      <c r="BF1602" s="78" t="s">
        <v>5971</v>
      </c>
      <c r="BG1602" s="78" t="s">
        <v>5971</v>
      </c>
      <c r="BH1602" s="75" t="s">
        <v>5971</v>
      </c>
      <c r="BI1602" s="295">
        <v>0</v>
      </c>
      <c r="BJ1602" s="546" t="s">
        <v>16</v>
      </c>
      <c r="BK1602" s="294" t="s">
        <v>16</v>
      </c>
      <c r="BL1602" s="157" t="s">
        <v>16</v>
      </c>
      <c r="BM1602" s="548" t="s">
        <v>578</v>
      </c>
      <c r="BN1602" s="548" t="s">
        <v>4159</v>
      </c>
      <c r="BO1602" s="157" t="s">
        <v>4310</v>
      </c>
      <c r="BP1602" s="548" t="s">
        <v>2226</v>
      </c>
      <c r="BQ1602" s="157" t="s">
        <v>4309</v>
      </c>
      <c r="BR1602" s="157"/>
    </row>
    <row r="1603" spans="1:70" x14ac:dyDescent="0.25">
      <c r="A1603" s="19" t="s">
        <v>3686</v>
      </c>
      <c r="B1603" s="37" t="s">
        <v>1897</v>
      </c>
      <c r="C1603" s="90">
        <v>44704.816099537034</v>
      </c>
      <c r="D1603" s="114">
        <v>44704.566099537034</v>
      </c>
      <c r="E1603" s="38">
        <v>44704</v>
      </c>
      <c r="F1603" s="91">
        <v>2022</v>
      </c>
      <c r="G1603" s="93">
        <v>5</v>
      </c>
      <c r="H1603" s="37" t="s">
        <v>302</v>
      </c>
      <c r="I1603" s="37"/>
      <c r="J1603" s="103">
        <v>-91.977019588534461</v>
      </c>
      <c r="K1603" s="40">
        <v>44.063205876986174</v>
      </c>
      <c r="L1603" s="74"/>
      <c r="M1603" s="272" t="s">
        <v>1898</v>
      </c>
      <c r="N1603" s="74">
        <v>1</v>
      </c>
      <c r="O1603" s="94"/>
      <c r="P1603" s="118">
        <v>1</v>
      </c>
      <c r="Q1603" s="510">
        <v>180</v>
      </c>
      <c r="R1603" s="513">
        <v>180</v>
      </c>
      <c r="S1603" s="41"/>
      <c r="T1603" s="40"/>
      <c r="U1603" s="40">
        <v>8</v>
      </c>
      <c r="V1603" s="119">
        <v>1</v>
      </c>
      <c r="W1603" s="40">
        <v>200</v>
      </c>
      <c r="X1603" s="119">
        <v>0</v>
      </c>
      <c r="Y1603" s="40"/>
      <c r="Z1603" s="119">
        <v>1</v>
      </c>
      <c r="AA1603" s="368">
        <v>0</v>
      </c>
      <c r="AB1603" s="535">
        <v>5</v>
      </c>
      <c r="AC1603" s="39" t="s">
        <v>160</v>
      </c>
      <c r="AD1603" s="75" t="s">
        <v>8</v>
      </c>
      <c r="AE1603" s="95">
        <v>0</v>
      </c>
      <c r="AF1603" s="75">
        <v>1</v>
      </c>
      <c r="AG1603" s="75">
        <v>0</v>
      </c>
      <c r="AH1603" s="75">
        <v>0</v>
      </c>
      <c r="AI1603" s="75">
        <v>0</v>
      </c>
      <c r="AJ1603" s="75">
        <v>0</v>
      </c>
      <c r="AK1603" s="75">
        <v>0</v>
      </c>
      <c r="AL1603" s="95">
        <v>0</v>
      </c>
      <c r="AM1603" s="92">
        <v>0</v>
      </c>
      <c r="AN1603" s="79" t="s">
        <v>81</v>
      </c>
      <c r="AO1603" s="75">
        <v>1</v>
      </c>
      <c r="AP1603" s="75" t="s">
        <v>84</v>
      </c>
      <c r="AQ1603" s="122">
        <v>1</v>
      </c>
      <c r="AR1603" s="515" t="s">
        <v>10</v>
      </c>
      <c r="AS1603" s="95">
        <v>0</v>
      </c>
      <c r="AT1603" s="75">
        <v>0</v>
      </c>
      <c r="AU1603" s="75">
        <v>0</v>
      </c>
      <c r="AV1603" s="75">
        <v>0</v>
      </c>
      <c r="AW1603" s="123">
        <v>0</v>
      </c>
      <c r="AX1603" s="516" t="s">
        <v>1899</v>
      </c>
      <c r="AY1603" s="75">
        <v>1</v>
      </c>
      <c r="AZ1603" s="77" t="s">
        <v>131</v>
      </c>
      <c r="BA1603" s="78" t="s">
        <v>132</v>
      </c>
      <c r="BB1603" s="78" t="s">
        <v>131</v>
      </c>
      <c r="BC1603" s="78" t="s">
        <v>131</v>
      </c>
      <c r="BD1603" s="78" t="s">
        <v>131</v>
      </c>
      <c r="BE1603" s="78" t="s">
        <v>131</v>
      </c>
      <c r="BF1603" s="78" t="s">
        <v>131</v>
      </c>
      <c r="BG1603" s="78" t="s">
        <v>131</v>
      </c>
      <c r="BH1603" s="75" t="s">
        <v>5970</v>
      </c>
      <c r="BI1603" s="295" t="s">
        <v>2255</v>
      </c>
      <c r="BJ1603" s="546">
        <v>1</v>
      </c>
      <c r="BK1603" s="294" t="s">
        <v>16</v>
      </c>
      <c r="BL1603" s="157" t="s">
        <v>16</v>
      </c>
      <c r="BM1603" s="548" t="s">
        <v>1341</v>
      </c>
      <c r="BN1603" s="548" t="s">
        <v>4160</v>
      </c>
      <c r="BO1603" s="157" t="s">
        <v>4362</v>
      </c>
      <c r="BP1603" s="548" t="s">
        <v>4363</v>
      </c>
      <c r="BQ1603" s="157" t="s">
        <v>4361</v>
      </c>
      <c r="BR1603" s="157"/>
    </row>
    <row r="1604" spans="1:70" x14ac:dyDescent="0.25">
      <c r="A1604" s="19" t="s">
        <v>3686</v>
      </c>
      <c r="B1604" s="37" t="s">
        <v>1900</v>
      </c>
      <c r="C1604" s="90">
        <v>44704.814953703702</v>
      </c>
      <c r="D1604" s="114">
        <v>44704.564953703702</v>
      </c>
      <c r="E1604" s="38">
        <v>44704</v>
      </c>
      <c r="F1604" s="91">
        <v>2022</v>
      </c>
      <c r="G1604" s="93">
        <v>5</v>
      </c>
      <c r="H1604" s="37" t="s">
        <v>1491</v>
      </c>
      <c r="I1604" s="37" t="s">
        <v>16</v>
      </c>
      <c r="J1604" s="103">
        <v>-92.732088899999994</v>
      </c>
      <c r="K1604" s="40">
        <v>44.831069300000003</v>
      </c>
      <c r="L1604" s="74"/>
      <c r="M1604" s="272" t="s">
        <v>16</v>
      </c>
      <c r="N1604" s="74">
        <v>0</v>
      </c>
      <c r="O1604" s="94"/>
      <c r="P1604" s="118">
        <v>1</v>
      </c>
      <c r="Q1604" s="510">
        <v>80</v>
      </c>
      <c r="R1604" s="513">
        <v>120</v>
      </c>
      <c r="S1604" s="41"/>
      <c r="T1604" s="40"/>
      <c r="U1604" s="40">
        <v>7.5</v>
      </c>
      <c r="V1604" s="119">
        <v>1</v>
      </c>
      <c r="W1604" s="40">
        <v>0</v>
      </c>
      <c r="X1604" s="119">
        <v>1</v>
      </c>
      <c r="Y1604" s="40">
        <v>58</v>
      </c>
      <c r="Z1604" s="119">
        <v>1</v>
      </c>
      <c r="AA1604" s="368">
        <v>0</v>
      </c>
      <c r="AB1604" s="535">
        <v>5</v>
      </c>
      <c r="AC1604" s="39" t="s">
        <v>160</v>
      </c>
      <c r="AD1604" s="75" t="s">
        <v>10</v>
      </c>
      <c r="AE1604" s="95">
        <v>0</v>
      </c>
      <c r="AF1604" s="75">
        <v>0</v>
      </c>
      <c r="AG1604" s="75">
        <v>0</v>
      </c>
      <c r="AH1604" s="75">
        <v>0</v>
      </c>
      <c r="AI1604" s="75">
        <v>0</v>
      </c>
      <c r="AJ1604" s="75">
        <v>0</v>
      </c>
      <c r="AK1604" s="75">
        <v>0</v>
      </c>
      <c r="AL1604" s="95">
        <v>1</v>
      </c>
      <c r="AM1604" s="92">
        <v>0</v>
      </c>
      <c r="AN1604" s="79" t="s">
        <v>80</v>
      </c>
      <c r="AO1604" s="75">
        <v>1</v>
      </c>
      <c r="AP1604" s="75" t="s">
        <v>83</v>
      </c>
      <c r="AQ1604" s="122">
        <v>1</v>
      </c>
      <c r="AR1604" s="515" t="s">
        <v>10</v>
      </c>
      <c r="AS1604" s="95">
        <v>0</v>
      </c>
      <c r="AT1604" s="75">
        <v>0</v>
      </c>
      <c r="AU1604" s="75">
        <v>0</v>
      </c>
      <c r="AV1604" s="75">
        <v>0</v>
      </c>
      <c r="AW1604" s="123">
        <v>0</v>
      </c>
      <c r="AX1604" s="516" t="s">
        <v>1901</v>
      </c>
      <c r="AY1604" s="75">
        <v>1</v>
      </c>
      <c r="AZ1604" s="77" t="s">
        <v>131</v>
      </c>
      <c r="BA1604" s="78" t="s">
        <v>131</v>
      </c>
      <c r="BB1604" s="78" t="s">
        <v>131</v>
      </c>
      <c r="BC1604" s="78" t="s">
        <v>131</v>
      </c>
      <c r="BD1604" s="78" t="s">
        <v>131</v>
      </c>
      <c r="BE1604" s="78" t="s">
        <v>131</v>
      </c>
      <c r="BF1604" s="78" t="s">
        <v>131</v>
      </c>
      <c r="BG1604" s="78" t="s">
        <v>132</v>
      </c>
      <c r="BH1604" s="75" t="s">
        <v>5970</v>
      </c>
      <c r="BI1604" s="295" t="s">
        <v>2227</v>
      </c>
      <c r="BJ1604" s="546">
        <v>1</v>
      </c>
      <c r="BK1604" s="294" t="s">
        <v>16</v>
      </c>
      <c r="BL1604" s="157" t="s">
        <v>16</v>
      </c>
      <c r="BM1604" s="548" t="s">
        <v>578</v>
      </c>
      <c r="BN1604" s="548" t="s">
        <v>4159</v>
      </c>
      <c r="BO1604" s="157" t="s">
        <v>4341</v>
      </c>
      <c r="BP1604" s="548" t="s">
        <v>4343</v>
      </c>
      <c r="BQ1604" s="157" t="s">
        <v>4309</v>
      </c>
      <c r="BR1604" s="157"/>
    </row>
    <row r="1605" spans="1:70" x14ac:dyDescent="0.25">
      <c r="A1605" s="19" t="s">
        <v>3686</v>
      </c>
      <c r="B1605" s="37" t="s">
        <v>1902</v>
      </c>
      <c r="C1605" s="90">
        <v>44704.781018518515</v>
      </c>
      <c r="D1605" s="114">
        <v>44704.531018518515</v>
      </c>
      <c r="E1605" s="38">
        <v>44704</v>
      </c>
      <c r="F1605" s="91">
        <v>2022</v>
      </c>
      <c r="G1605" s="93">
        <v>5</v>
      </c>
      <c r="H1605" s="37" t="s">
        <v>1425</v>
      </c>
      <c r="I1605" s="37"/>
      <c r="J1605" s="103">
        <v>-92.641632213508842</v>
      </c>
      <c r="K1605" s="40">
        <v>44.849855910071497</v>
      </c>
      <c r="L1605" s="74"/>
      <c r="M1605" s="272" t="s">
        <v>1903</v>
      </c>
      <c r="N1605" s="74">
        <v>1</v>
      </c>
      <c r="O1605" s="94"/>
      <c r="P1605" s="118">
        <v>1</v>
      </c>
      <c r="Q1605" s="510">
        <v>180</v>
      </c>
      <c r="R1605" s="513">
        <v>120</v>
      </c>
      <c r="S1605" s="41"/>
      <c r="T1605" s="40"/>
      <c r="U1605" s="40">
        <v>8</v>
      </c>
      <c r="V1605" s="119">
        <v>1</v>
      </c>
      <c r="W1605" s="40">
        <v>0</v>
      </c>
      <c r="X1605" s="119">
        <v>1</v>
      </c>
      <c r="Y1605" s="40">
        <v>56</v>
      </c>
      <c r="Z1605" s="119">
        <v>1</v>
      </c>
      <c r="AA1605" s="368">
        <v>0</v>
      </c>
      <c r="AB1605" s="535">
        <v>5</v>
      </c>
      <c r="AC1605" s="39" t="s">
        <v>160</v>
      </c>
      <c r="AD1605" s="75" t="s">
        <v>10</v>
      </c>
      <c r="AE1605" s="95">
        <v>0</v>
      </c>
      <c r="AF1605" s="75">
        <v>0</v>
      </c>
      <c r="AG1605" s="75">
        <v>0</v>
      </c>
      <c r="AH1605" s="75">
        <v>0</v>
      </c>
      <c r="AI1605" s="75">
        <v>0</v>
      </c>
      <c r="AJ1605" s="75">
        <v>0</v>
      </c>
      <c r="AK1605" s="75">
        <v>0</v>
      </c>
      <c r="AL1605" s="95">
        <v>1</v>
      </c>
      <c r="AM1605" s="92">
        <v>0</v>
      </c>
      <c r="AN1605" s="79" t="s">
        <v>80</v>
      </c>
      <c r="AO1605" s="75">
        <v>1</v>
      </c>
      <c r="AP1605" s="75" t="s">
        <v>83</v>
      </c>
      <c r="AQ1605" s="122">
        <v>1</v>
      </c>
      <c r="AR1605" s="515" t="s">
        <v>10</v>
      </c>
      <c r="AS1605" s="95">
        <v>0</v>
      </c>
      <c r="AT1605" s="75">
        <v>0</v>
      </c>
      <c r="AU1605" s="75">
        <v>0</v>
      </c>
      <c r="AV1605" s="75">
        <v>0</v>
      </c>
      <c r="AW1605" s="123">
        <v>0</v>
      </c>
      <c r="AX1605" s="516" t="s">
        <v>1904</v>
      </c>
      <c r="AY1605" s="75">
        <v>1</v>
      </c>
      <c r="AZ1605" s="77" t="s">
        <v>131</v>
      </c>
      <c r="BA1605" s="78" t="s">
        <v>131</v>
      </c>
      <c r="BB1605" s="78" t="s">
        <v>131</v>
      </c>
      <c r="BC1605" s="78" t="s">
        <v>131</v>
      </c>
      <c r="BD1605" s="78" t="s">
        <v>131</v>
      </c>
      <c r="BE1605" s="78" t="s">
        <v>131</v>
      </c>
      <c r="BF1605" s="78" t="s">
        <v>131</v>
      </c>
      <c r="BG1605" s="78" t="s">
        <v>132</v>
      </c>
      <c r="BH1605" s="75" t="s">
        <v>5970</v>
      </c>
      <c r="BI1605" s="295" t="s">
        <v>2227</v>
      </c>
      <c r="BJ1605" s="546">
        <v>1</v>
      </c>
      <c r="BK1605" s="294">
        <v>1</v>
      </c>
      <c r="BL1605" s="157">
        <v>1</v>
      </c>
      <c r="BM1605" s="548" t="s">
        <v>578</v>
      </c>
      <c r="BN1605" s="548" t="s">
        <v>4159</v>
      </c>
      <c r="BO1605" s="157" t="s">
        <v>4341</v>
      </c>
      <c r="BP1605" s="548" t="s">
        <v>4343</v>
      </c>
      <c r="BQ1605" s="157" t="s">
        <v>4309</v>
      </c>
      <c r="BR1605" s="157"/>
    </row>
    <row r="1606" spans="1:70" x14ac:dyDescent="0.25">
      <c r="A1606" s="19" t="s">
        <v>3686</v>
      </c>
      <c r="B1606" s="37" t="s">
        <v>1905</v>
      </c>
      <c r="C1606" s="90">
        <v>44704.780972222223</v>
      </c>
      <c r="D1606" s="114">
        <v>44704.530972222223</v>
      </c>
      <c r="E1606" s="38">
        <v>44704</v>
      </c>
      <c r="F1606" s="91">
        <v>2022</v>
      </c>
      <c r="G1606" s="93">
        <v>5</v>
      </c>
      <c r="H1606" s="37" t="s">
        <v>1491</v>
      </c>
      <c r="I1606" s="37" t="s">
        <v>16</v>
      </c>
      <c r="J1606" s="103">
        <v>-92.641559599999994</v>
      </c>
      <c r="K1606" s="40">
        <v>44.849910800000004</v>
      </c>
      <c r="L1606" s="74"/>
      <c r="M1606" s="272" t="s">
        <v>16</v>
      </c>
      <c r="N1606" s="74">
        <v>0</v>
      </c>
      <c r="O1606" s="94"/>
      <c r="P1606" s="118">
        <v>1</v>
      </c>
      <c r="Q1606" s="510">
        <v>80</v>
      </c>
      <c r="R1606" s="513">
        <v>120</v>
      </c>
      <c r="S1606" s="41"/>
      <c r="T1606" s="40"/>
      <c r="U1606" s="40">
        <v>7.5</v>
      </c>
      <c r="V1606" s="119">
        <v>1</v>
      </c>
      <c r="W1606" s="40">
        <v>0</v>
      </c>
      <c r="X1606" s="119">
        <v>1</v>
      </c>
      <c r="Y1606" s="40">
        <v>56</v>
      </c>
      <c r="Z1606" s="119">
        <v>1</v>
      </c>
      <c r="AA1606" s="368">
        <v>0</v>
      </c>
      <c r="AB1606" s="535">
        <v>5</v>
      </c>
      <c r="AC1606" s="39" t="s">
        <v>160</v>
      </c>
      <c r="AD1606" s="75" t="s">
        <v>10</v>
      </c>
      <c r="AE1606" s="95">
        <v>0</v>
      </c>
      <c r="AF1606" s="75">
        <v>0</v>
      </c>
      <c r="AG1606" s="75">
        <v>0</v>
      </c>
      <c r="AH1606" s="75">
        <v>0</v>
      </c>
      <c r="AI1606" s="75">
        <v>0</v>
      </c>
      <c r="AJ1606" s="75">
        <v>0</v>
      </c>
      <c r="AK1606" s="75">
        <v>0</v>
      </c>
      <c r="AL1606" s="95">
        <v>1</v>
      </c>
      <c r="AM1606" s="92">
        <v>0</v>
      </c>
      <c r="AN1606" s="79" t="s">
        <v>80</v>
      </c>
      <c r="AO1606" s="75">
        <v>1</v>
      </c>
      <c r="AP1606" s="75" t="s">
        <v>83</v>
      </c>
      <c r="AQ1606" s="122">
        <v>1</v>
      </c>
      <c r="AR1606" s="515" t="s">
        <v>10</v>
      </c>
      <c r="AS1606" s="95">
        <v>0</v>
      </c>
      <c r="AT1606" s="75">
        <v>0</v>
      </c>
      <c r="AU1606" s="75">
        <v>0</v>
      </c>
      <c r="AV1606" s="75">
        <v>0</v>
      </c>
      <c r="AW1606" s="123">
        <v>0</v>
      </c>
      <c r="AX1606" s="516" t="s">
        <v>1906</v>
      </c>
      <c r="AY1606" s="75">
        <v>1</v>
      </c>
      <c r="AZ1606" s="77" t="s">
        <v>131</v>
      </c>
      <c r="BA1606" s="78" t="s">
        <v>131</v>
      </c>
      <c r="BB1606" s="78" t="s">
        <v>131</v>
      </c>
      <c r="BC1606" s="78" t="s">
        <v>131</v>
      </c>
      <c r="BD1606" s="78" t="s">
        <v>131</v>
      </c>
      <c r="BE1606" s="78" t="s">
        <v>131</v>
      </c>
      <c r="BF1606" s="78" t="s">
        <v>131</v>
      </c>
      <c r="BG1606" s="78" t="s">
        <v>132</v>
      </c>
      <c r="BH1606" s="75" t="s">
        <v>5970</v>
      </c>
      <c r="BI1606" s="295" t="s">
        <v>2227</v>
      </c>
      <c r="BJ1606" s="546">
        <v>1</v>
      </c>
      <c r="BK1606" s="294">
        <v>1</v>
      </c>
      <c r="BL1606" s="157">
        <v>1</v>
      </c>
      <c r="BM1606" s="548" t="s">
        <v>578</v>
      </c>
      <c r="BN1606" s="548" t="s">
        <v>4159</v>
      </c>
      <c r="BO1606" s="157" t="s">
        <v>4341</v>
      </c>
      <c r="BP1606" s="548" t="s">
        <v>4343</v>
      </c>
      <c r="BQ1606" s="157" t="s">
        <v>4309</v>
      </c>
      <c r="BR1606" s="157"/>
    </row>
    <row r="1607" spans="1:70" x14ac:dyDescent="0.25">
      <c r="A1607" s="19" t="s">
        <v>3686</v>
      </c>
      <c r="B1607" s="37" t="s">
        <v>1907</v>
      </c>
      <c r="C1607" s="90">
        <v>44704.762719907405</v>
      </c>
      <c r="D1607" s="114">
        <v>44704.512719907405</v>
      </c>
      <c r="E1607" s="38">
        <v>44704</v>
      </c>
      <c r="F1607" s="91">
        <v>2022</v>
      </c>
      <c r="G1607" s="93">
        <v>5</v>
      </c>
      <c r="H1607" s="37" t="s">
        <v>1425</v>
      </c>
      <c r="I1607" s="37"/>
      <c r="J1607" s="103">
        <v>-92.643991088630159</v>
      </c>
      <c r="K1607" s="40">
        <v>44.844254194109851</v>
      </c>
      <c r="L1607" s="74"/>
      <c r="M1607" s="272" t="s">
        <v>1908</v>
      </c>
      <c r="N1607" s="74">
        <v>1</v>
      </c>
      <c r="O1607" s="94"/>
      <c r="P1607" s="118">
        <v>1</v>
      </c>
      <c r="Q1607" s="510">
        <v>180</v>
      </c>
      <c r="R1607" s="513">
        <v>120</v>
      </c>
      <c r="S1607" s="41"/>
      <c r="T1607" s="40"/>
      <c r="U1607" s="40">
        <v>8</v>
      </c>
      <c r="V1607" s="119">
        <v>1</v>
      </c>
      <c r="W1607" s="40">
        <v>0</v>
      </c>
      <c r="X1607" s="119">
        <v>1</v>
      </c>
      <c r="Y1607" s="40">
        <v>55</v>
      </c>
      <c r="Z1607" s="119">
        <v>1</v>
      </c>
      <c r="AA1607" s="368">
        <v>0</v>
      </c>
      <c r="AB1607" s="535">
        <v>5</v>
      </c>
      <c r="AC1607" s="39" t="s">
        <v>160</v>
      </c>
      <c r="AD1607" s="75" t="s">
        <v>9</v>
      </c>
      <c r="AE1607" s="95">
        <v>0</v>
      </c>
      <c r="AF1607" s="75">
        <v>0</v>
      </c>
      <c r="AG1607" s="75">
        <v>1</v>
      </c>
      <c r="AH1607" s="75">
        <v>0</v>
      </c>
      <c r="AI1607" s="75">
        <v>0</v>
      </c>
      <c r="AJ1607" s="75">
        <v>0</v>
      </c>
      <c r="AK1607" s="75">
        <v>0</v>
      </c>
      <c r="AL1607" s="95">
        <v>0</v>
      </c>
      <c r="AM1607" s="92">
        <v>0</v>
      </c>
      <c r="AN1607" s="79" t="s">
        <v>80</v>
      </c>
      <c r="AO1607" s="75">
        <v>1</v>
      </c>
      <c r="AP1607" s="75" t="s">
        <v>83</v>
      </c>
      <c r="AQ1607" s="122">
        <v>1</v>
      </c>
      <c r="AR1607" s="515" t="s">
        <v>10</v>
      </c>
      <c r="AS1607" s="95">
        <v>0</v>
      </c>
      <c r="AT1607" s="75">
        <v>0</v>
      </c>
      <c r="AU1607" s="75">
        <v>0</v>
      </c>
      <c r="AV1607" s="75">
        <v>0</v>
      </c>
      <c r="AW1607" s="123">
        <v>0</v>
      </c>
      <c r="AX1607" s="516" t="s">
        <v>1904</v>
      </c>
      <c r="AY1607" s="75">
        <v>1</v>
      </c>
      <c r="AZ1607" s="77" t="s">
        <v>131</v>
      </c>
      <c r="BA1607" s="78" t="s">
        <v>131</v>
      </c>
      <c r="BB1607" s="78" t="s">
        <v>132</v>
      </c>
      <c r="BC1607" s="78" t="s">
        <v>131</v>
      </c>
      <c r="BD1607" s="78" t="s">
        <v>131</v>
      </c>
      <c r="BE1607" s="78" t="s">
        <v>131</v>
      </c>
      <c r="BF1607" s="78" t="s">
        <v>131</v>
      </c>
      <c r="BG1607" s="78" t="s">
        <v>131</v>
      </c>
      <c r="BH1607" s="75" t="s">
        <v>5970</v>
      </c>
      <c r="BI1607" s="295" t="s">
        <v>2227</v>
      </c>
      <c r="BJ1607" s="546">
        <v>1</v>
      </c>
      <c r="BK1607" s="294" t="s">
        <v>16</v>
      </c>
      <c r="BL1607" s="157" t="s">
        <v>16</v>
      </c>
      <c r="BM1607" s="548" t="s">
        <v>578</v>
      </c>
      <c r="BN1607" s="548" t="s">
        <v>4159</v>
      </c>
      <c r="BO1607" s="157" t="s">
        <v>4341</v>
      </c>
      <c r="BP1607" s="548" t="s">
        <v>4343</v>
      </c>
      <c r="BQ1607" s="157" t="s">
        <v>4309</v>
      </c>
      <c r="BR1607" s="157"/>
    </row>
    <row r="1608" spans="1:70" x14ac:dyDescent="0.25">
      <c r="A1608" s="19" t="s">
        <v>3686</v>
      </c>
      <c r="B1608" s="37" t="s">
        <v>1909</v>
      </c>
      <c r="C1608" s="90">
        <v>44704.762511574074</v>
      </c>
      <c r="D1608" s="114">
        <v>44704.512511574074</v>
      </c>
      <c r="E1608" s="38">
        <v>44704</v>
      </c>
      <c r="F1608" s="91">
        <v>2022</v>
      </c>
      <c r="G1608" s="93">
        <v>5</v>
      </c>
      <c r="H1608" s="37" t="s">
        <v>1491</v>
      </c>
      <c r="I1608" s="37"/>
      <c r="J1608" s="103">
        <v>-92.643936100000005</v>
      </c>
      <c r="K1608" s="40">
        <v>44.844212200000001</v>
      </c>
      <c r="L1608" s="74"/>
      <c r="M1608" s="272" t="s">
        <v>16</v>
      </c>
      <c r="N1608" s="74">
        <v>0</v>
      </c>
      <c r="O1608" s="94"/>
      <c r="P1608" s="118">
        <v>1</v>
      </c>
      <c r="Q1608" s="510">
        <v>80</v>
      </c>
      <c r="R1608" s="513">
        <v>120</v>
      </c>
      <c r="S1608" s="41"/>
      <c r="T1608" s="40"/>
      <c r="U1608" s="40">
        <v>7.5</v>
      </c>
      <c r="V1608" s="119">
        <v>1</v>
      </c>
      <c r="W1608" s="40">
        <v>0</v>
      </c>
      <c r="X1608" s="119">
        <v>1</v>
      </c>
      <c r="Y1608" s="40">
        <v>58</v>
      </c>
      <c r="Z1608" s="119">
        <v>1</v>
      </c>
      <c r="AA1608" s="368">
        <v>0</v>
      </c>
      <c r="AB1608" s="535">
        <v>2</v>
      </c>
      <c r="AC1608" s="39" t="s">
        <v>160</v>
      </c>
      <c r="AD1608" s="75" t="s">
        <v>9</v>
      </c>
      <c r="AE1608" s="95">
        <v>0</v>
      </c>
      <c r="AF1608" s="75">
        <v>0</v>
      </c>
      <c r="AG1608" s="75">
        <v>1</v>
      </c>
      <c r="AH1608" s="75">
        <v>0</v>
      </c>
      <c r="AI1608" s="75">
        <v>0</v>
      </c>
      <c r="AJ1608" s="75">
        <v>0</v>
      </c>
      <c r="AK1608" s="75">
        <v>0</v>
      </c>
      <c r="AL1608" s="95">
        <v>0</v>
      </c>
      <c r="AM1608" s="92">
        <v>0</v>
      </c>
      <c r="AN1608" s="79" t="s">
        <v>80</v>
      </c>
      <c r="AO1608" s="75">
        <v>1</v>
      </c>
      <c r="AP1608" s="75" t="s">
        <v>83</v>
      </c>
      <c r="AQ1608" s="122">
        <v>1</v>
      </c>
      <c r="AR1608" s="515" t="s">
        <v>10</v>
      </c>
      <c r="AS1608" s="95">
        <v>0</v>
      </c>
      <c r="AT1608" s="75">
        <v>0</v>
      </c>
      <c r="AU1608" s="75">
        <v>0</v>
      </c>
      <c r="AV1608" s="75">
        <v>0</v>
      </c>
      <c r="AW1608" s="123">
        <v>0</v>
      </c>
      <c r="AX1608" s="516" t="s">
        <v>1910</v>
      </c>
      <c r="AY1608" s="75">
        <v>1</v>
      </c>
      <c r="AZ1608" s="77" t="s">
        <v>131</v>
      </c>
      <c r="BA1608" s="78" t="s">
        <v>131</v>
      </c>
      <c r="BB1608" s="78" t="s">
        <v>132</v>
      </c>
      <c r="BC1608" s="78" t="s">
        <v>131</v>
      </c>
      <c r="BD1608" s="78" t="s">
        <v>131</v>
      </c>
      <c r="BE1608" s="78" t="s">
        <v>131</v>
      </c>
      <c r="BF1608" s="78" t="s">
        <v>131</v>
      </c>
      <c r="BG1608" s="78" t="s">
        <v>131</v>
      </c>
      <c r="BH1608" s="75" t="s">
        <v>5970</v>
      </c>
      <c r="BI1608" s="295" t="s">
        <v>2227</v>
      </c>
      <c r="BJ1608" s="546">
        <v>1</v>
      </c>
      <c r="BK1608" s="294" t="s">
        <v>16</v>
      </c>
      <c r="BL1608" s="157" t="s">
        <v>16</v>
      </c>
      <c r="BM1608" s="548" t="s">
        <v>578</v>
      </c>
      <c r="BN1608" s="548" t="s">
        <v>4159</v>
      </c>
      <c r="BO1608" s="157" t="s">
        <v>4341</v>
      </c>
      <c r="BP1608" s="548" t="s">
        <v>4343</v>
      </c>
      <c r="BQ1608" s="157" t="s">
        <v>4309</v>
      </c>
      <c r="BR1608" s="157"/>
    </row>
    <row r="1609" spans="1:70" x14ac:dyDescent="0.25">
      <c r="A1609" s="19" t="s">
        <v>3686</v>
      </c>
      <c r="B1609" s="37" t="s">
        <v>1911</v>
      </c>
      <c r="C1609" s="90">
        <v>44704.730069444442</v>
      </c>
      <c r="D1609" s="114">
        <v>44704.480069444442</v>
      </c>
      <c r="E1609" s="38">
        <v>44704</v>
      </c>
      <c r="F1609" s="91">
        <v>2022</v>
      </c>
      <c r="G1609" s="93">
        <v>5</v>
      </c>
      <c r="H1609" s="37" t="s">
        <v>1491</v>
      </c>
      <c r="I1609" s="37"/>
      <c r="J1609" s="103">
        <v>-92.637957599999993</v>
      </c>
      <c r="K1609" s="40">
        <v>44.8517449</v>
      </c>
      <c r="L1609" s="74"/>
      <c r="M1609" s="272" t="s">
        <v>16</v>
      </c>
      <c r="N1609" s="74">
        <v>0</v>
      </c>
      <c r="O1609" s="94"/>
      <c r="P1609" s="118">
        <v>1</v>
      </c>
      <c r="Q1609" s="510">
        <v>40</v>
      </c>
      <c r="R1609" s="513">
        <v>60</v>
      </c>
      <c r="S1609" s="41"/>
      <c r="T1609" s="40"/>
      <c r="U1609" s="40">
        <v>7.5</v>
      </c>
      <c r="V1609" s="119">
        <v>1</v>
      </c>
      <c r="W1609" s="40">
        <v>0</v>
      </c>
      <c r="X1609" s="119">
        <v>1</v>
      </c>
      <c r="Y1609" s="40">
        <v>54</v>
      </c>
      <c r="Z1609" s="119">
        <v>1</v>
      </c>
      <c r="AA1609" s="368">
        <v>0</v>
      </c>
      <c r="AB1609" s="535">
        <v>5</v>
      </c>
      <c r="AC1609" s="39" t="s">
        <v>160</v>
      </c>
      <c r="AD1609" s="75" t="s">
        <v>365</v>
      </c>
      <c r="AE1609" s="95">
        <v>0</v>
      </c>
      <c r="AF1609" s="75">
        <v>1</v>
      </c>
      <c r="AG1609" s="75">
        <v>1</v>
      </c>
      <c r="AH1609" s="75">
        <v>0</v>
      </c>
      <c r="AI1609" s="75">
        <v>0</v>
      </c>
      <c r="AJ1609" s="75">
        <v>0</v>
      </c>
      <c r="AK1609" s="75">
        <v>0</v>
      </c>
      <c r="AL1609" s="95">
        <v>0</v>
      </c>
      <c r="AM1609" s="92">
        <v>0</v>
      </c>
      <c r="AN1609" s="79" t="s">
        <v>80</v>
      </c>
      <c r="AO1609" s="75">
        <v>1</v>
      </c>
      <c r="AP1609" s="75" t="s">
        <v>83</v>
      </c>
      <c r="AQ1609" s="122">
        <v>1</v>
      </c>
      <c r="AR1609" s="515" t="s">
        <v>10</v>
      </c>
      <c r="AS1609" s="95">
        <v>0</v>
      </c>
      <c r="AT1609" s="75">
        <v>0</v>
      </c>
      <c r="AU1609" s="75">
        <v>0</v>
      </c>
      <c r="AV1609" s="75">
        <v>0</v>
      </c>
      <c r="AW1609" s="123">
        <v>0</v>
      </c>
      <c r="AX1609" s="516" t="s">
        <v>1912</v>
      </c>
      <c r="AY1609" s="75">
        <v>1</v>
      </c>
      <c r="AZ1609" s="77" t="s">
        <v>131</v>
      </c>
      <c r="BA1609" s="78" t="s">
        <v>132</v>
      </c>
      <c r="BB1609" s="78" t="s">
        <v>132</v>
      </c>
      <c r="BC1609" s="78" t="s">
        <v>131</v>
      </c>
      <c r="BD1609" s="78" t="s">
        <v>131</v>
      </c>
      <c r="BE1609" s="78" t="s">
        <v>131</v>
      </c>
      <c r="BF1609" s="78" t="s">
        <v>131</v>
      </c>
      <c r="BG1609" s="78" t="s">
        <v>131</v>
      </c>
      <c r="BH1609" s="75" t="s">
        <v>5970</v>
      </c>
      <c r="BI1609" s="295" t="s">
        <v>2227</v>
      </c>
      <c r="BJ1609" s="546">
        <v>1</v>
      </c>
      <c r="BK1609" s="294">
        <v>1</v>
      </c>
      <c r="BL1609" s="157">
        <v>1</v>
      </c>
      <c r="BM1609" s="548" t="s">
        <v>578</v>
      </c>
      <c r="BN1609" s="548" t="s">
        <v>4159</v>
      </c>
      <c r="BO1609" s="157" t="s">
        <v>4341</v>
      </c>
      <c r="BP1609" s="548" t="s">
        <v>4343</v>
      </c>
      <c r="BQ1609" s="157" t="s">
        <v>4309</v>
      </c>
      <c r="BR1609" s="157"/>
    </row>
    <row r="1610" spans="1:70" x14ac:dyDescent="0.25">
      <c r="A1610" s="19" t="s">
        <v>3686</v>
      </c>
      <c r="B1610" s="37" t="s">
        <v>1913</v>
      </c>
      <c r="C1610" s="90">
        <v>44704.728483796294</v>
      </c>
      <c r="D1610" s="114">
        <v>44704.478483796294</v>
      </c>
      <c r="E1610" s="38">
        <v>44704</v>
      </c>
      <c r="F1610" s="91">
        <v>2022</v>
      </c>
      <c r="G1610" s="93">
        <v>5</v>
      </c>
      <c r="H1610" s="37" t="s">
        <v>1425</v>
      </c>
      <c r="I1610" s="37"/>
      <c r="J1610" s="103">
        <v>-92.638026111895158</v>
      </c>
      <c r="K1610" s="40">
        <v>44.851769273320429</v>
      </c>
      <c r="L1610" s="74"/>
      <c r="M1610" s="272" t="s">
        <v>1914</v>
      </c>
      <c r="N1610" s="74">
        <v>1</v>
      </c>
      <c r="O1610" s="94"/>
      <c r="P1610" s="118">
        <v>1</v>
      </c>
      <c r="Q1610" s="510">
        <v>180</v>
      </c>
      <c r="R1610" s="513">
        <v>120</v>
      </c>
      <c r="S1610" s="41"/>
      <c r="T1610" s="40"/>
      <c r="U1610" s="40">
        <v>7.5</v>
      </c>
      <c r="V1610" s="119">
        <v>1</v>
      </c>
      <c r="W1610" s="40">
        <v>0</v>
      </c>
      <c r="X1610" s="119">
        <v>1</v>
      </c>
      <c r="Y1610" s="40">
        <v>53</v>
      </c>
      <c r="Z1610" s="119">
        <v>1</v>
      </c>
      <c r="AA1610" s="368">
        <v>0</v>
      </c>
      <c r="AB1610" s="535">
        <v>5</v>
      </c>
      <c r="AC1610" s="39" t="s">
        <v>160</v>
      </c>
      <c r="AD1610" s="75" t="s">
        <v>8</v>
      </c>
      <c r="AE1610" s="95">
        <v>0</v>
      </c>
      <c r="AF1610" s="75">
        <v>1</v>
      </c>
      <c r="AG1610" s="75">
        <v>0</v>
      </c>
      <c r="AH1610" s="75">
        <v>0</v>
      </c>
      <c r="AI1610" s="75">
        <v>0</v>
      </c>
      <c r="AJ1610" s="75">
        <v>0</v>
      </c>
      <c r="AK1610" s="75">
        <v>0</v>
      </c>
      <c r="AL1610" s="95">
        <v>0</v>
      </c>
      <c r="AM1610" s="92">
        <v>0</v>
      </c>
      <c r="AN1610" s="79" t="s">
        <v>80</v>
      </c>
      <c r="AO1610" s="75">
        <v>1</v>
      </c>
      <c r="AP1610" s="75" t="s">
        <v>83</v>
      </c>
      <c r="AQ1610" s="122">
        <v>1</v>
      </c>
      <c r="AR1610" s="515" t="s">
        <v>10</v>
      </c>
      <c r="AS1610" s="95">
        <v>0</v>
      </c>
      <c r="AT1610" s="75">
        <v>0</v>
      </c>
      <c r="AU1610" s="75">
        <v>0</v>
      </c>
      <c r="AV1610" s="75">
        <v>0</v>
      </c>
      <c r="AW1610" s="123">
        <v>0</v>
      </c>
      <c r="AX1610" s="516" t="s">
        <v>1915</v>
      </c>
      <c r="AY1610" s="75">
        <v>1</v>
      </c>
      <c r="AZ1610" s="77" t="s">
        <v>131</v>
      </c>
      <c r="BA1610" s="78" t="s">
        <v>132</v>
      </c>
      <c r="BB1610" s="78" t="s">
        <v>131</v>
      </c>
      <c r="BC1610" s="78" t="s">
        <v>131</v>
      </c>
      <c r="BD1610" s="78" t="s">
        <v>131</v>
      </c>
      <c r="BE1610" s="78" t="s">
        <v>131</v>
      </c>
      <c r="BF1610" s="78" t="s">
        <v>131</v>
      </c>
      <c r="BG1610" s="78" t="s">
        <v>131</v>
      </c>
      <c r="BH1610" s="75" t="s">
        <v>5970</v>
      </c>
      <c r="BI1610" s="295" t="s">
        <v>2227</v>
      </c>
      <c r="BJ1610" s="546">
        <v>1</v>
      </c>
      <c r="BK1610" s="294">
        <v>1</v>
      </c>
      <c r="BL1610" s="157">
        <v>1</v>
      </c>
      <c r="BM1610" s="548" t="s">
        <v>578</v>
      </c>
      <c r="BN1610" s="548" t="s">
        <v>4159</v>
      </c>
      <c r="BO1610" s="157" t="s">
        <v>4341</v>
      </c>
      <c r="BP1610" s="548" t="s">
        <v>4343</v>
      </c>
      <c r="BQ1610" s="157" t="s">
        <v>4309</v>
      </c>
      <c r="BR1610" s="157"/>
    </row>
    <row r="1611" spans="1:70" x14ac:dyDescent="0.25">
      <c r="A1611" s="19" t="s">
        <v>3686</v>
      </c>
      <c r="B1611" s="37" t="s">
        <v>1916</v>
      </c>
      <c r="C1611" s="90">
        <v>44704.713229166664</v>
      </c>
      <c r="D1611" s="114">
        <v>44704.463229166664</v>
      </c>
      <c r="E1611" s="38">
        <v>44704</v>
      </c>
      <c r="F1611" s="91">
        <v>2022</v>
      </c>
      <c r="G1611" s="93">
        <v>5</v>
      </c>
      <c r="H1611" s="37" t="s">
        <v>1425</v>
      </c>
      <c r="I1611" s="37"/>
      <c r="J1611" s="103">
        <v>-92.636428708258833</v>
      </c>
      <c r="K1611" s="40">
        <v>44.854623400580344</v>
      </c>
      <c r="L1611" s="74"/>
      <c r="M1611" s="272" t="s">
        <v>1917</v>
      </c>
      <c r="N1611" s="74">
        <v>1</v>
      </c>
      <c r="O1611" s="94"/>
      <c r="P1611" s="118">
        <v>1</v>
      </c>
      <c r="Q1611" s="510">
        <v>180</v>
      </c>
      <c r="R1611" s="513">
        <v>180</v>
      </c>
      <c r="S1611" s="41"/>
      <c r="T1611" s="40"/>
      <c r="U1611" s="40">
        <v>7.5</v>
      </c>
      <c r="V1611" s="119">
        <v>1</v>
      </c>
      <c r="W1611" s="40">
        <v>0</v>
      </c>
      <c r="X1611" s="119">
        <v>1</v>
      </c>
      <c r="Y1611" s="40">
        <v>52</v>
      </c>
      <c r="Z1611" s="119">
        <v>1</v>
      </c>
      <c r="AA1611" s="368">
        <v>0</v>
      </c>
      <c r="AB1611" s="535">
        <v>5</v>
      </c>
      <c r="AC1611" s="39" t="s">
        <v>160</v>
      </c>
      <c r="AD1611" s="75" t="s">
        <v>10</v>
      </c>
      <c r="AE1611" s="95">
        <v>0</v>
      </c>
      <c r="AF1611" s="75">
        <v>0</v>
      </c>
      <c r="AG1611" s="75">
        <v>0</v>
      </c>
      <c r="AH1611" s="75">
        <v>0</v>
      </c>
      <c r="AI1611" s="75">
        <v>0</v>
      </c>
      <c r="AJ1611" s="75">
        <v>0</v>
      </c>
      <c r="AK1611" s="75">
        <v>0</v>
      </c>
      <c r="AL1611" s="95">
        <v>1</v>
      </c>
      <c r="AM1611" s="92">
        <v>0</v>
      </c>
      <c r="AN1611" s="79" t="s">
        <v>80</v>
      </c>
      <c r="AO1611" s="75">
        <v>1</v>
      </c>
      <c r="AP1611" s="75" t="s">
        <v>83</v>
      </c>
      <c r="AQ1611" s="122">
        <v>1</v>
      </c>
      <c r="AR1611" s="515" t="s">
        <v>10</v>
      </c>
      <c r="AS1611" s="95">
        <v>0</v>
      </c>
      <c r="AT1611" s="75">
        <v>0</v>
      </c>
      <c r="AU1611" s="75">
        <v>0</v>
      </c>
      <c r="AV1611" s="75">
        <v>0</v>
      </c>
      <c r="AW1611" s="123">
        <v>0</v>
      </c>
      <c r="AX1611" s="516" t="s">
        <v>1918</v>
      </c>
      <c r="AY1611" s="75">
        <v>1</v>
      </c>
      <c r="AZ1611" s="77" t="s">
        <v>131</v>
      </c>
      <c r="BA1611" s="78" t="s">
        <v>131</v>
      </c>
      <c r="BB1611" s="78" t="s">
        <v>131</v>
      </c>
      <c r="BC1611" s="78" t="s">
        <v>131</v>
      </c>
      <c r="BD1611" s="78" t="s">
        <v>131</v>
      </c>
      <c r="BE1611" s="78" t="s">
        <v>131</v>
      </c>
      <c r="BF1611" s="78" t="s">
        <v>131</v>
      </c>
      <c r="BG1611" s="78" t="s">
        <v>132</v>
      </c>
      <c r="BH1611" s="75" t="s">
        <v>5970</v>
      </c>
      <c r="BI1611" s="295" t="s">
        <v>2227</v>
      </c>
      <c r="BJ1611" s="546">
        <v>1</v>
      </c>
      <c r="BK1611" s="294">
        <v>1</v>
      </c>
      <c r="BL1611" s="157">
        <v>1</v>
      </c>
      <c r="BM1611" s="548" t="s">
        <v>578</v>
      </c>
      <c r="BN1611" s="548" t="s">
        <v>4159</v>
      </c>
      <c r="BO1611" s="157" t="s">
        <v>4341</v>
      </c>
      <c r="BP1611" s="548" t="s">
        <v>4343</v>
      </c>
      <c r="BQ1611" s="157" t="s">
        <v>4309</v>
      </c>
      <c r="BR1611" s="157"/>
    </row>
    <row r="1612" spans="1:70" x14ac:dyDescent="0.25">
      <c r="A1612" s="19" t="s">
        <v>3686</v>
      </c>
      <c r="B1612" s="37" t="s">
        <v>1919</v>
      </c>
      <c r="C1612" s="90">
        <v>44704.713020833333</v>
      </c>
      <c r="D1612" s="114">
        <v>44704.463020833333</v>
      </c>
      <c r="E1612" s="38">
        <v>44704</v>
      </c>
      <c r="F1612" s="91">
        <v>2022</v>
      </c>
      <c r="G1612" s="93">
        <v>5</v>
      </c>
      <c r="H1612" s="37" t="s">
        <v>1491</v>
      </c>
      <c r="I1612" s="37"/>
      <c r="J1612" s="103">
        <v>-92.636429000000007</v>
      </c>
      <c r="K1612" s="40">
        <v>44.8546391</v>
      </c>
      <c r="L1612" s="74"/>
      <c r="M1612" s="272" t="s">
        <v>16</v>
      </c>
      <c r="N1612" s="74">
        <v>0</v>
      </c>
      <c r="O1612" s="94"/>
      <c r="P1612" s="118">
        <v>1</v>
      </c>
      <c r="Q1612" s="510">
        <v>80</v>
      </c>
      <c r="R1612" s="513">
        <v>120</v>
      </c>
      <c r="S1612" s="41"/>
      <c r="T1612" s="40"/>
      <c r="U1612" s="40">
        <v>7.5</v>
      </c>
      <c r="V1612" s="119">
        <v>1</v>
      </c>
      <c r="W1612" s="40">
        <v>0</v>
      </c>
      <c r="X1612" s="119">
        <v>1</v>
      </c>
      <c r="Y1612" s="40">
        <v>52</v>
      </c>
      <c r="Z1612" s="119">
        <v>1</v>
      </c>
      <c r="AA1612" s="368">
        <v>0</v>
      </c>
      <c r="AB1612" s="535">
        <v>2</v>
      </c>
      <c r="AC1612" s="39" t="s">
        <v>160</v>
      </c>
      <c r="AD1612" s="75" t="s">
        <v>9</v>
      </c>
      <c r="AE1612" s="95">
        <v>0</v>
      </c>
      <c r="AF1612" s="75">
        <v>0</v>
      </c>
      <c r="AG1612" s="75">
        <v>1</v>
      </c>
      <c r="AH1612" s="75">
        <v>0</v>
      </c>
      <c r="AI1612" s="75">
        <v>0</v>
      </c>
      <c r="AJ1612" s="75">
        <v>0</v>
      </c>
      <c r="AK1612" s="75">
        <v>0</v>
      </c>
      <c r="AL1612" s="95">
        <v>0</v>
      </c>
      <c r="AM1612" s="92">
        <v>0</v>
      </c>
      <c r="AN1612" s="79" t="s">
        <v>80</v>
      </c>
      <c r="AO1612" s="75">
        <v>1</v>
      </c>
      <c r="AP1612" s="75" t="s">
        <v>83</v>
      </c>
      <c r="AQ1612" s="122">
        <v>1</v>
      </c>
      <c r="AR1612" s="515" t="s">
        <v>10</v>
      </c>
      <c r="AS1612" s="95">
        <v>0</v>
      </c>
      <c r="AT1612" s="75">
        <v>0</v>
      </c>
      <c r="AU1612" s="75">
        <v>0</v>
      </c>
      <c r="AV1612" s="75">
        <v>0</v>
      </c>
      <c r="AW1612" s="123">
        <v>0</v>
      </c>
      <c r="AX1612" s="516" t="s">
        <v>1920</v>
      </c>
      <c r="AY1612" s="75">
        <v>1</v>
      </c>
      <c r="AZ1612" s="77" t="s">
        <v>131</v>
      </c>
      <c r="BA1612" s="78" t="s">
        <v>131</v>
      </c>
      <c r="BB1612" s="78" t="s">
        <v>132</v>
      </c>
      <c r="BC1612" s="78" t="s">
        <v>131</v>
      </c>
      <c r="BD1612" s="78" t="s">
        <v>131</v>
      </c>
      <c r="BE1612" s="78" t="s">
        <v>131</v>
      </c>
      <c r="BF1612" s="78" t="s">
        <v>131</v>
      </c>
      <c r="BG1612" s="78" t="s">
        <v>131</v>
      </c>
      <c r="BH1612" s="75" t="s">
        <v>5970</v>
      </c>
      <c r="BI1612" s="295" t="s">
        <v>2227</v>
      </c>
      <c r="BJ1612" s="546">
        <v>1</v>
      </c>
      <c r="BK1612" s="294">
        <v>1</v>
      </c>
      <c r="BL1612" s="157">
        <v>1</v>
      </c>
      <c r="BM1612" s="548" t="s">
        <v>578</v>
      </c>
      <c r="BN1612" s="548" t="s">
        <v>4159</v>
      </c>
      <c r="BO1612" s="157" t="s">
        <v>4341</v>
      </c>
      <c r="BP1612" s="548" t="s">
        <v>4343</v>
      </c>
      <c r="BQ1612" s="157" t="s">
        <v>4309</v>
      </c>
      <c r="BR1612" s="157"/>
    </row>
    <row r="1613" spans="1:70" x14ac:dyDescent="0.25">
      <c r="A1613" s="19" t="s">
        <v>3686</v>
      </c>
      <c r="B1613" s="37" t="s">
        <v>1921</v>
      </c>
      <c r="C1613" s="90">
        <v>44704.689618055556</v>
      </c>
      <c r="D1613" s="114">
        <v>44704.439618055556</v>
      </c>
      <c r="E1613" s="38">
        <v>44704</v>
      </c>
      <c r="F1613" s="91">
        <v>2022</v>
      </c>
      <c r="G1613" s="93">
        <v>5</v>
      </c>
      <c r="H1613" s="37" t="s">
        <v>1425</v>
      </c>
      <c r="I1613" s="37" t="s">
        <v>146</v>
      </c>
      <c r="J1613" s="103">
        <v>-92.631870376320606</v>
      </c>
      <c r="K1613" s="40">
        <v>44.855557490141187</v>
      </c>
      <c r="L1613" s="74"/>
      <c r="M1613" s="272" t="s">
        <v>1922</v>
      </c>
      <c r="N1613" s="74">
        <v>1</v>
      </c>
      <c r="O1613" s="94"/>
      <c r="P1613" s="118">
        <v>1</v>
      </c>
      <c r="Q1613" s="510">
        <v>120</v>
      </c>
      <c r="R1613" s="513">
        <v>180</v>
      </c>
      <c r="S1613" s="41"/>
      <c r="T1613" s="40"/>
      <c r="U1613" s="40">
        <v>7.5</v>
      </c>
      <c r="V1613" s="119">
        <v>1</v>
      </c>
      <c r="W1613" s="40">
        <v>0</v>
      </c>
      <c r="X1613" s="119">
        <v>1</v>
      </c>
      <c r="Y1613" s="40">
        <v>53</v>
      </c>
      <c r="Z1613" s="119">
        <v>1</v>
      </c>
      <c r="AA1613" s="368">
        <v>0</v>
      </c>
      <c r="AB1613" s="535">
        <v>5</v>
      </c>
      <c r="AC1613" s="39" t="s">
        <v>186</v>
      </c>
      <c r="AD1613" s="75" t="s">
        <v>10</v>
      </c>
      <c r="AE1613" s="95">
        <v>0</v>
      </c>
      <c r="AF1613" s="75">
        <v>0</v>
      </c>
      <c r="AG1613" s="75">
        <v>0</v>
      </c>
      <c r="AH1613" s="75">
        <v>0</v>
      </c>
      <c r="AI1613" s="75">
        <v>0</v>
      </c>
      <c r="AJ1613" s="75">
        <v>0</v>
      </c>
      <c r="AK1613" s="75">
        <v>0</v>
      </c>
      <c r="AL1613" s="95">
        <v>1</v>
      </c>
      <c r="AM1613" s="92">
        <v>0</v>
      </c>
      <c r="AN1613" s="79" t="s">
        <v>80</v>
      </c>
      <c r="AO1613" s="75">
        <v>1</v>
      </c>
      <c r="AP1613" s="75" t="s">
        <v>84</v>
      </c>
      <c r="AQ1613" s="122">
        <v>1</v>
      </c>
      <c r="AR1613" s="515" t="s">
        <v>10</v>
      </c>
      <c r="AS1613" s="95">
        <v>0</v>
      </c>
      <c r="AT1613" s="75">
        <v>0</v>
      </c>
      <c r="AU1613" s="75">
        <v>0</v>
      </c>
      <c r="AV1613" s="75">
        <v>0</v>
      </c>
      <c r="AW1613" s="123">
        <v>0</v>
      </c>
      <c r="AX1613" s="516"/>
      <c r="AY1613" s="75">
        <v>0</v>
      </c>
      <c r="AZ1613" s="77" t="s">
        <v>131</v>
      </c>
      <c r="BA1613" s="78" t="s">
        <v>131</v>
      </c>
      <c r="BB1613" s="78" t="s">
        <v>131</v>
      </c>
      <c r="BC1613" s="78" t="s">
        <v>131</v>
      </c>
      <c r="BD1613" s="78" t="s">
        <v>131</v>
      </c>
      <c r="BE1613" s="78" t="s">
        <v>131</v>
      </c>
      <c r="BF1613" s="78" t="s">
        <v>131</v>
      </c>
      <c r="BG1613" s="78" t="s">
        <v>132</v>
      </c>
      <c r="BH1613" s="75" t="s">
        <v>5970</v>
      </c>
      <c r="BI1613" s="295" t="s">
        <v>2227</v>
      </c>
      <c r="BJ1613" s="546">
        <v>1</v>
      </c>
      <c r="BK1613" s="294">
        <v>1</v>
      </c>
      <c r="BL1613" s="157">
        <v>1</v>
      </c>
      <c r="BM1613" s="548" t="s">
        <v>578</v>
      </c>
      <c r="BN1613" s="548" t="s">
        <v>4159</v>
      </c>
      <c r="BO1613" s="157" t="s">
        <v>4311</v>
      </c>
      <c r="BP1613" s="548" t="s">
        <v>4395</v>
      </c>
      <c r="BQ1613" s="157" t="s">
        <v>4309</v>
      </c>
      <c r="BR1613" s="157"/>
    </row>
    <row r="1614" spans="1:70" x14ac:dyDescent="0.25">
      <c r="A1614" s="19" t="s">
        <v>3686</v>
      </c>
      <c r="B1614" s="37" t="s">
        <v>1923</v>
      </c>
      <c r="C1614" s="90">
        <v>44704.63548611111</v>
      </c>
      <c r="D1614" s="114">
        <v>44704.38548611111</v>
      </c>
      <c r="E1614" s="38">
        <v>44704</v>
      </c>
      <c r="F1614" s="91">
        <v>2022</v>
      </c>
      <c r="G1614" s="93">
        <v>5</v>
      </c>
      <c r="H1614" s="37" t="s">
        <v>1425</v>
      </c>
      <c r="I1614" s="37"/>
      <c r="J1614" s="103">
        <v>-92.624326780718647</v>
      </c>
      <c r="K1614" s="40">
        <v>44.864068474555147</v>
      </c>
      <c r="L1614" s="74"/>
      <c r="M1614" s="272" t="s">
        <v>1924</v>
      </c>
      <c r="N1614" s="74">
        <v>1</v>
      </c>
      <c r="O1614" s="94"/>
      <c r="P1614" s="118">
        <v>1</v>
      </c>
      <c r="Q1614" s="510">
        <v>120</v>
      </c>
      <c r="R1614" s="513">
        <v>180</v>
      </c>
      <c r="S1614" s="41"/>
      <c r="T1614" s="40"/>
      <c r="U1614" s="40">
        <v>7</v>
      </c>
      <c r="V1614" s="119">
        <v>1</v>
      </c>
      <c r="W1614" s="40">
        <v>0</v>
      </c>
      <c r="X1614" s="119">
        <v>1</v>
      </c>
      <c r="Y1614" s="40">
        <v>50</v>
      </c>
      <c r="Z1614" s="119">
        <v>1</v>
      </c>
      <c r="AA1614" s="368">
        <v>0</v>
      </c>
      <c r="AB1614" s="535">
        <v>5</v>
      </c>
      <c r="AC1614" s="39" t="s">
        <v>160</v>
      </c>
      <c r="AD1614" s="75" t="s">
        <v>10</v>
      </c>
      <c r="AE1614" s="95">
        <v>0</v>
      </c>
      <c r="AF1614" s="75">
        <v>0</v>
      </c>
      <c r="AG1614" s="75">
        <v>0</v>
      </c>
      <c r="AH1614" s="75">
        <v>0</v>
      </c>
      <c r="AI1614" s="75">
        <v>0</v>
      </c>
      <c r="AJ1614" s="75">
        <v>0</v>
      </c>
      <c r="AK1614" s="75">
        <v>0</v>
      </c>
      <c r="AL1614" s="95">
        <v>1</v>
      </c>
      <c r="AM1614" s="92">
        <v>0</v>
      </c>
      <c r="AN1614" s="79" t="s">
        <v>80</v>
      </c>
      <c r="AO1614" s="75">
        <v>1</v>
      </c>
      <c r="AP1614" s="75" t="s">
        <v>83</v>
      </c>
      <c r="AQ1614" s="122">
        <v>1</v>
      </c>
      <c r="AR1614" s="515" t="s">
        <v>10</v>
      </c>
      <c r="AS1614" s="95">
        <v>0</v>
      </c>
      <c r="AT1614" s="75">
        <v>0</v>
      </c>
      <c r="AU1614" s="75">
        <v>0</v>
      </c>
      <c r="AV1614" s="75">
        <v>0</v>
      </c>
      <c r="AW1614" s="123">
        <v>0</v>
      </c>
      <c r="AX1614" s="516" t="s">
        <v>1925</v>
      </c>
      <c r="AY1614" s="75">
        <v>1</v>
      </c>
      <c r="AZ1614" s="77" t="s">
        <v>131</v>
      </c>
      <c r="BA1614" s="78" t="s">
        <v>131</v>
      </c>
      <c r="BB1614" s="78" t="s">
        <v>131</v>
      </c>
      <c r="BC1614" s="78" t="s">
        <v>131</v>
      </c>
      <c r="BD1614" s="78" t="s">
        <v>131</v>
      </c>
      <c r="BE1614" s="78" t="s">
        <v>131</v>
      </c>
      <c r="BF1614" s="78" t="s">
        <v>131</v>
      </c>
      <c r="BG1614" s="78" t="s">
        <v>132</v>
      </c>
      <c r="BH1614" s="75" t="s">
        <v>5970</v>
      </c>
      <c r="BI1614" s="295" t="s">
        <v>2227</v>
      </c>
      <c r="BJ1614" s="546">
        <v>1</v>
      </c>
      <c r="BK1614" s="294" t="s">
        <v>16</v>
      </c>
      <c r="BL1614" s="157" t="s">
        <v>16</v>
      </c>
      <c r="BM1614" s="548" t="s">
        <v>578</v>
      </c>
      <c r="BN1614" s="548" t="s">
        <v>4159</v>
      </c>
      <c r="BO1614" s="157" t="s">
        <v>4311</v>
      </c>
      <c r="BP1614" s="548" t="s">
        <v>4395</v>
      </c>
      <c r="BQ1614" s="157" t="s">
        <v>4309</v>
      </c>
      <c r="BR1614" s="157"/>
    </row>
    <row r="1615" spans="1:70" x14ac:dyDescent="0.25">
      <c r="A1615" s="19" t="s">
        <v>3686</v>
      </c>
      <c r="B1615" s="37" t="s">
        <v>1926</v>
      </c>
      <c r="C1615" s="90">
        <v>44704.585856481484</v>
      </c>
      <c r="D1615" s="114">
        <v>44704.335856481484</v>
      </c>
      <c r="E1615" s="38">
        <v>44704</v>
      </c>
      <c r="F1615" s="91">
        <v>2022</v>
      </c>
      <c r="G1615" s="93">
        <v>5</v>
      </c>
      <c r="H1615" s="37" t="s">
        <v>1425</v>
      </c>
      <c r="I1615" s="37" t="s">
        <v>16</v>
      </c>
      <c r="J1615" s="103">
        <v>-92.62130539147644</v>
      </c>
      <c r="K1615" s="40">
        <v>44.87503955465985</v>
      </c>
      <c r="L1615" s="74"/>
      <c r="M1615" s="272" t="s">
        <v>1927</v>
      </c>
      <c r="N1615" s="74">
        <v>1</v>
      </c>
      <c r="O1615" s="94"/>
      <c r="P1615" s="118">
        <v>1</v>
      </c>
      <c r="Q1615" s="510">
        <v>120</v>
      </c>
      <c r="R1615" s="513">
        <v>180</v>
      </c>
      <c r="S1615" s="41"/>
      <c r="T1615" s="40"/>
      <c r="U1615" s="40">
        <v>7</v>
      </c>
      <c r="V1615" s="119">
        <v>1</v>
      </c>
      <c r="W1615" s="40">
        <v>0</v>
      </c>
      <c r="X1615" s="119">
        <v>1</v>
      </c>
      <c r="Y1615" s="40">
        <v>49</v>
      </c>
      <c r="Z1615" s="119">
        <v>1</v>
      </c>
      <c r="AA1615" s="368">
        <v>0</v>
      </c>
      <c r="AB1615" s="535">
        <v>5</v>
      </c>
      <c r="AC1615" s="39" t="s">
        <v>160</v>
      </c>
      <c r="AD1615" s="75" t="s">
        <v>9</v>
      </c>
      <c r="AE1615" s="95">
        <v>0</v>
      </c>
      <c r="AF1615" s="75">
        <v>0</v>
      </c>
      <c r="AG1615" s="75">
        <v>1</v>
      </c>
      <c r="AH1615" s="75">
        <v>0</v>
      </c>
      <c r="AI1615" s="75">
        <v>0</v>
      </c>
      <c r="AJ1615" s="75">
        <v>0</v>
      </c>
      <c r="AK1615" s="75">
        <v>0</v>
      </c>
      <c r="AL1615" s="95">
        <v>0</v>
      </c>
      <c r="AM1615" s="92">
        <v>0</v>
      </c>
      <c r="AN1615" s="79" t="s">
        <v>80</v>
      </c>
      <c r="AO1615" s="75">
        <v>1</v>
      </c>
      <c r="AP1615" s="75" t="s">
        <v>83</v>
      </c>
      <c r="AQ1615" s="122">
        <v>1</v>
      </c>
      <c r="AR1615" s="515" t="s">
        <v>10</v>
      </c>
      <c r="AS1615" s="95">
        <v>0</v>
      </c>
      <c r="AT1615" s="75">
        <v>0</v>
      </c>
      <c r="AU1615" s="75">
        <v>0</v>
      </c>
      <c r="AV1615" s="75">
        <v>0</v>
      </c>
      <c r="AW1615" s="123">
        <v>0</v>
      </c>
      <c r="AX1615" s="516" t="s">
        <v>1904</v>
      </c>
      <c r="AY1615" s="75">
        <v>1</v>
      </c>
      <c r="AZ1615" s="77" t="s">
        <v>131</v>
      </c>
      <c r="BA1615" s="78" t="s">
        <v>131</v>
      </c>
      <c r="BB1615" s="78" t="s">
        <v>132</v>
      </c>
      <c r="BC1615" s="78" t="s">
        <v>131</v>
      </c>
      <c r="BD1615" s="78" t="s">
        <v>131</v>
      </c>
      <c r="BE1615" s="78" t="s">
        <v>131</v>
      </c>
      <c r="BF1615" s="78" t="s">
        <v>131</v>
      </c>
      <c r="BG1615" s="78" t="s">
        <v>131</v>
      </c>
      <c r="BH1615" s="75" t="s">
        <v>5970</v>
      </c>
      <c r="BI1615" s="295" t="s">
        <v>2227</v>
      </c>
      <c r="BJ1615" s="546">
        <v>1</v>
      </c>
      <c r="BK1615" s="294" t="s">
        <v>16</v>
      </c>
      <c r="BL1615" s="157" t="s">
        <v>16</v>
      </c>
      <c r="BM1615" s="548" t="s">
        <v>578</v>
      </c>
      <c r="BN1615" s="548" t="s">
        <v>4159</v>
      </c>
      <c r="BO1615" s="157" t="s">
        <v>4311</v>
      </c>
      <c r="BP1615" s="548" t="s">
        <v>4395</v>
      </c>
      <c r="BQ1615" s="157" t="s">
        <v>4309</v>
      </c>
      <c r="BR1615" s="157"/>
    </row>
    <row r="1616" spans="1:70" x14ac:dyDescent="0.25">
      <c r="A1616" s="19" t="s">
        <v>3686</v>
      </c>
      <c r="B1616" s="37" t="s">
        <v>1928</v>
      </c>
      <c r="C1616" s="90">
        <v>44704.58494212963</v>
      </c>
      <c r="D1616" s="114">
        <v>44704.33494212963</v>
      </c>
      <c r="E1616" s="38">
        <v>44704</v>
      </c>
      <c r="F1616" s="91">
        <v>2022</v>
      </c>
      <c r="G1616" s="93">
        <v>5</v>
      </c>
      <c r="H1616" s="37" t="s">
        <v>1491</v>
      </c>
      <c r="I1616" s="37" t="s">
        <v>16</v>
      </c>
      <c r="J1616" s="103">
        <v>-92.621452700000006</v>
      </c>
      <c r="K1616" s="40">
        <v>44.875190000000003</v>
      </c>
      <c r="L1616" s="74"/>
      <c r="M1616" s="272" t="s">
        <v>1929</v>
      </c>
      <c r="N1616" s="74">
        <v>1</v>
      </c>
      <c r="O1616" s="94"/>
      <c r="P1616" s="118">
        <v>1</v>
      </c>
      <c r="Q1616" s="510">
        <v>80</v>
      </c>
      <c r="R1616" s="513">
        <v>180</v>
      </c>
      <c r="S1616" s="41"/>
      <c r="T1616" s="40"/>
      <c r="U1616" s="40">
        <v>7</v>
      </c>
      <c r="V1616" s="119">
        <v>1</v>
      </c>
      <c r="W1616" s="40">
        <v>0</v>
      </c>
      <c r="X1616" s="119">
        <v>1</v>
      </c>
      <c r="Y1616" s="40">
        <v>49</v>
      </c>
      <c r="Z1616" s="119">
        <v>1</v>
      </c>
      <c r="AA1616" s="368">
        <v>0</v>
      </c>
      <c r="AB1616" s="535">
        <v>2</v>
      </c>
      <c r="AC1616" s="39" t="s">
        <v>160</v>
      </c>
      <c r="AD1616" s="75" t="s">
        <v>9</v>
      </c>
      <c r="AE1616" s="95">
        <v>0</v>
      </c>
      <c r="AF1616" s="75">
        <v>0</v>
      </c>
      <c r="AG1616" s="75">
        <v>1</v>
      </c>
      <c r="AH1616" s="75">
        <v>0</v>
      </c>
      <c r="AI1616" s="75">
        <v>0</v>
      </c>
      <c r="AJ1616" s="75">
        <v>0</v>
      </c>
      <c r="AK1616" s="75">
        <v>0</v>
      </c>
      <c r="AL1616" s="95">
        <v>0</v>
      </c>
      <c r="AM1616" s="92">
        <v>0</v>
      </c>
      <c r="AN1616" s="79" t="s">
        <v>80</v>
      </c>
      <c r="AO1616" s="75">
        <v>1</v>
      </c>
      <c r="AP1616" s="75" t="s">
        <v>83</v>
      </c>
      <c r="AQ1616" s="122">
        <v>1</v>
      </c>
      <c r="AR1616" s="515" t="s">
        <v>10</v>
      </c>
      <c r="AS1616" s="95">
        <v>0</v>
      </c>
      <c r="AT1616" s="75">
        <v>0</v>
      </c>
      <c r="AU1616" s="75">
        <v>0</v>
      </c>
      <c r="AV1616" s="75">
        <v>0</v>
      </c>
      <c r="AW1616" s="123">
        <v>0</v>
      </c>
      <c r="AX1616" s="516"/>
      <c r="AY1616" s="75">
        <v>0</v>
      </c>
      <c r="AZ1616" s="77" t="s">
        <v>131</v>
      </c>
      <c r="BA1616" s="78" t="s">
        <v>131</v>
      </c>
      <c r="BB1616" s="78" t="s">
        <v>132</v>
      </c>
      <c r="BC1616" s="78" t="s">
        <v>131</v>
      </c>
      <c r="BD1616" s="78" t="s">
        <v>131</v>
      </c>
      <c r="BE1616" s="78" t="s">
        <v>131</v>
      </c>
      <c r="BF1616" s="78" t="s">
        <v>131</v>
      </c>
      <c r="BG1616" s="78" t="s">
        <v>131</v>
      </c>
      <c r="BH1616" s="75" t="s">
        <v>5970</v>
      </c>
      <c r="BI1616" s="295" t="s">
        <v>2227</v>
      </c>
      <c r="BJ1616" s="546">
        <v>1</v>
      </c>
      <c r="BK1616" s="294" t="s">
        <v>16</v>
      </c>
      <c r="BL1616" s="157" t="s">
        <v>16</v>
      </c>
      <c r="BM1616" s="548" t="s">
        <v>578</v>
      </c>
      <c r="BN1616" s="548" t="s">
        <v>4159</v>
      </c>
      <c r="BO1616" s="157" t="s">
        <v>4311</v>
      </c>
      <c r="BP1616" s="548" t="s">
        <v>4395</v>
      </c>
      <c r="BQ1616" s="157" t="s">
        <v>4309</v>
      </c>
      <c r="BR1616" s="157"/>
    </row>
    <row r="1617" spans="1:70" x14ac:dyDescent="0.25">
      <c r="A1617" s="19" t="s">
        <v>3686</v>
      </c>
      <c r="B1617" s="37" t="s">
        <v>1930</v>
      </c>
      <c r="C1617" s="90">
        <v>44703.642881944441</v>
      </c>
      <c r="D1617" s="114">
        <v>44703.392881944441</v>
      </c>
      <c r="E1617" s="38">
        <v>44703</v>
      </c>
      <c r="F1617" s="91">
        <v>2022</v>
      </c>
      <c r="G1617" s="93">
        <v>5</v>
      </c>
      <c r="H1617" s="37" t="s">
        <v>1491</v>
      </c>
      <c r="I1617" s="37"/>
      <c r="J1617" s="103">
        <v>-92.621309400000001</v>
      </c>
      <c r="K1617" s="40">
        <v>44.875120899999999</v>
      </c>
      <c r="L1617" s="74"/>
      <c r="M1617" s="272" t="s">
        <v>16</v>
      </c>
      <c r="N1617" s="74">
        <v>0</v>
      </c>
      <c r="O1617" s="94"/>
      <c r="P1617" s="118">
        <v>1</v>
      </c>
      <c r="Q1617" s="510">
        <v>80</v>
      </c>
      <c r="R1617" s="513">
        <v>180</v>
      </c>
      <c r="S1617" s="41"/>
      <c r="T1617" s="40"/>
      <c r="U1617" s="40">
        <v>7</v>
      </c>
      <c r="V1617" s="119">
        <v>1</v>
      </c>
      <c r="W1617" s="40">
        <v>0</v>
      </c>
      <c r="X1617" s="119">
        <v>1</v>
      </c>
      <c r="Y1617" s="40">
        <v>48</v>
      </c>
      <c r="Z1617" s="119">
        <v>1</v>
      </c>
      <c r="AA1617" s="368">
        <v>0</v>
      </c>
      <c r="AB1617" s="535">
        <v>5</v>
      </c>
      <c r="AC1617" s="39" t="s">
        <v>160</v>
      </c>
      <c r="AD1617" s="75" t="s">
        <v>9</v>
      </c>
      <c r="AE1617" s="95">
        <v>0</v>
      </c>
      <c r="AF1617" s="75">
        <v>0</v>
      </c>
      <c r="AG1617" s="75">
        <v>1</v>
      </c>
      <c r="AH1617" s="75">
        <v>0</v>
      </c>
      <c r="AI1617" s="75">
        <v>0</v>
      </c>
      <c r="AJ1617" s="75">
        <v>0</v>
      </c>
      <c r="AK1617" s="75">
        <v>0</v>
      </c>
      <c r="AL1617" s="95">
        <v>0</v>
      </c>
      <c r="AM1617" s="92">
        <v>0</v>
      </c>
      <c r="AN1617" s="79" t="s">
        <v>80</v>
      </c>
      <c r="AO1617" s="75">
        <v>1</v>
      </c>
      <c r="AP1617" s="75" t="s">
        <v>83</v>
      </c>
      <c r="AQ1617" s="122">
        <v>1</v>
      </c>
      <c r="AR1617" s="515" t="s">
        <v>10</v>
      </c>
      <c r="AS1617" s="95">
        <v>0</v>
      </c>
      <c r="AT1617" s="75">
        <v>0</v>
      </c>
      <c r="AU1617" s="75">
        <v>0</v>
      </c>
      <c r="AV1617" s="75">
        <v>0</v>
      </c>
      <c r="AW1617" s="123">
        <v>0</v>
      </c>
      <c r="AX1617" s="516"/>
      <c r="AY1617" s="75">
        <v>0</v>
      </c>
      <c r="AZ1617" s="77" t="s">
        <v>131</v>
      </c>
      <c r="BA1617" s="78" t="s">
        <v>131</v>
      </c>
      <c r="BB1617" s="78" t="s">
        <v>132</v>
      </c>
      <c r="BC1617" s="78" t="s">
        <v>131</v>
      </c>
      <c r="BD1617" s="78" t="s">
        <v>131</v>
      </c>
      <c r="BE1617" s="78" t="s">
        <v>131</v>
      </c>
      <c r="BF1617" s="78" t="s">
        <v>131</v>
      </c>
      <c r="BG1617" s="78" t="s">
        <v>131</v>
      </c>
      <c r="BH1617" s="75" t="s">
        <v>5970</v>
      </c>
      <c r="BI1617" s="295" t="s">
        <v>2227</v>
      </c>
      <c r="BJ1617" s="546">
        <v>1</v>
      </c>
      <c r="BK1617" s="294" t="s">
        <v>16</v>
      </c>
      <c r="BL1617" s="157" t="s">
        <v>16</v>
      </c>
      <c r="BM1617" s="548" t="s">
        <v>578</v>
      </c>
      <c r="BN1617" s="548" t="s">
        <v>4159</v>
      </c>
      <c r="BO1617" s="157" t="s">
        <v>4311</v>
      </c>
      <c r="BP1617" s="548" t="s">
        <v>4395</v>
      </c>
      <c r="BQ1617" s="157" t="s">
        <v>4309</v>
      </c>
      <c r="BR1617" s="157"/>
    </row>
    <row r="1618" spans="1:70" x14ac:dyDescent="0.25">
      <c r="A1618" s="19" t="s">
        <v>3686</v>
      </c>
      <c r="B1618" s="37" t="s">
        <v>1931</v>
      </c>
      <c r="C1618" s="90">
        <v>44703.642511574071</v>
      </c>
      <c r="D1618" s="114">
        <v>44703.392511574071</v>
      </c>
      <c r="E1618" s="38">
        <v>44703</v>
      </c>
      <c r="F1618" s="91">
        <v>2022</v>
      </c>
      <c r="G1618" s="93">
        <v>5</v>
      </c>
      <c r="H1618" s="37" t="s">
        <v>1425</v>
      </c>
      <c r="I1618" s="37" t="s">
        <v>16</v>
      </c>
      <c r="J1618" s="103">
        <v>-92.6214171850106</v>
      </c>
      <c r="K1618" s="40">
        <v>44.87518366191383</v>
      </c>
      <c r="L1618" s="74"/>
      <c r="M1618" s="272" t="s">
        <v>1932</v>
      </c>
      <c r="N1618" s="74">
        <v>1</v>
      </c>
      <c r="O1618" s="94"/>
      <c r="P1618" s="118">
        <v>1</v>
      </c>
      <c r="Q1618" s="510">
        <v>120</v>
      </c>
      <c r="R1618" s="513">
        <v>180</v>
      </c>
      <c r="S1618" s="41"/>
      <c r="T1618" s="40"/>
      <c r="U1618" s="40">
        <v>7.5</v>
      </c>
      <c r="V1618" s="119">
        <v>1</v>
      </c>
      <c r="W1618" s="40">
        <v>100</v>
      </c>
      <c r="X1618" s="119">
        <v>1</v>
      </c>
      <c r="Y1618" s="40">
        <v>48</v>
      </c>
      <c r="Z1618" s="119">
        <v>1</v>
      </c>
      <c r="AA1618" s="368">
        <v>0</v>
      </c>
      <c r="AB1618" s="535">
        <v>5</v>
      </c>
      <c r="AC1618" s="39" t="s">
        <v>160</v>
      </c>
      <c r="AD1618" s="75" t="s">
        <v>9</v>
      </c>
      <c r="AE1618" s="95">
        <v>0</v>
      </c>
      <c r="AF1618" s="75">
        <v>0</v>
      </c>
      <c r="AG1618" s="75">
        <v>1</v>
      </c>
      <c r="AH1618" s="75">
        <v>0</v>
      </c>
      <c r="AI1618" s="75">
        <v>0</v>
      </c>
      <c r="AJ1618" s="75">
        <v>0</v>
      </c>
      <c r="AK1618" s="75">
        <v>0</v>
      </c>
      <c r="AL1618" s="95">
        <v>0</v>
      </c>
      <c r="AM1618" s="92">
        <v>0</v>
      </c>
      <c r="AN1618" s="79" t="s">
        <v>80</v>
      </c>
      <c r="AO1618" s="75">
        <v>1</v>
      </c>
      <c r="AP1618" s="75" t="s">
        <v>83</v>
      </c>
      <c r="AQ1618" s="122">
        <v>1</v>
      </c>
      <c r="AR1618" s="515" t="s">
        <v>10</v>
      </c>
      <c r="AS1618" s="95">
        <v>0</v>
      </c>
      <c r="AT1618" s="75">
        <v>0</v>
      </c>
      <c r="AU1618" s="75">
        <v>0</v>
      </c>
      <c r="AV1618" s="75">
        <v>0</v>
      </c>
      <c r="AW1618" s="123">
        <v>0</v>
      </c>
      <c r="AX1618" s="516" t="s">
        <v>1933</v>
      </c>
      <c r="AY1618" s="75">
        <v>1</v>
      </c>
      <c r="AZ1618" s="77" t="s">
        <v>131</v>
      </c>
      <c r="BA1618" s="78" t="s">
        <v>131</v>
      </c>
      <c r="BB1618" s="78" t="s">
        <v>132</v>
      </c>
      <c r="BC1618" s="78" t="s">
        <v>131</v>
      </c>
      <c r="BD1618" s="78" t="s">
        <v>131</v>
      </c>
      <c r="BE1618" s="78" t="s">
        <v>131</v>
      </c>
      <c r="BF1618" s="78" t="s">
        <v>131</v>
      </c>
      <c r="BG1618" s="78" t="s">
        <v>131</v>
      </c>
      <c r="BH1618" s="75" t="s">
        <v>5970</v>
      </c>
      <c r="BI1618" s="295" t="s">
        <v>2227</v>
      </c>
      <c r="BJ1618" s="546">
        <v>1</v>
      </c>
      <c r="BK1618" s="294" t="s">
        <v>16</v>
      </c>
      <c r="BL1618" s="157" t="s">
        <v>16</v>
      </c>
      <c r="BM1618" s="548" t="s">
        <v>578</v>
      </c>
      <c r="BN1618" s="548" t="s">
        <v>4159</v>
      </c>
      <c r="BO1618" s="157" t="s">
        <v>4311</v>
      </c>
      <c r="BP1618" s="548" t="s">
        <v>4395</v>
      </c>
      <c r="BQ1618" s="157" t="s">
        <v>4309</v>
      </c>
      <c r="BR1618" s="157"/>
    </row>
    <row r="1619" spans="1:70" x14ac:dyDescent="0.25">
      <c r="A1619" s="19" t="s">
        <v>3686</v>
      </c>
      <c r="B1619" s="37" t="s">
        <v>1934</v>
      </c>
      <c r="C1619" s="90">
        <v>44703.62190972222</v>
      </c>
      <c r="D1619" s="114">
        <v>44703.37190972222</v>
      </c>
      <c r="E1619" s="38">
        <v>44703</v>
      </c>
      <c r="F1619" s="91">
        <v>2022</v>
      </c>
      <c r="G1619" s="93">
        <v>5</v>
      </c>
      <c r="H1619" s="37" t="s">
        <v>201</v>
      </c>
      <c r="I1619" s="37"/>
      <c r="J1619" s="103">
        <v>-92.621397161939313</v>
      </c>
      <c r="K1619" s="40">
        <v>44.875227434342079</v>
      </c>
      <c r="L1619" s="74"/>
      <c r="M1619" s="272" t="s">
        <v>16</v>
      </c>
      <c r="N1619" s="74">
        <v>0</v>
      </c>
      <c r="O1619" s="94"/>
      <c r="P1619" s="118">
        <v>1</v>
      </c>
      <c r="Q1619" s="510">
        <v>180</v>
      </c>
      <c r="R1619" s="513">
        <v>180</v>
      </c>
      <c r="S1619" s="41"/>
      <c r="T1619" s="40"/>
      <c r="U1619" s="40">
        <v>7.5</v>
      </c>
      <c r="V1619" s="119">
        <v>1</v>
      </c>
      <c r="W1619" s="40">
        <v>0</v>
      </c>
      <c r="X1619" s="119">
        <v>1</v>
      </c>
      <c r="Y1619" s="40">
        <v>48</v>
      </c>
      <c r="Z1619" s="119">
        <v>1</v>
      </c>
      <c r="AA1619" s="368">
        <v>0</v>
      </c>
      <c r="AB1619" s="535">
        <v>5</v>
      </c>
      <c r="AC1619" s="39" t="s">
        <v>160</v>
      </c>
      <c r="AD1619" s="75" t="s">
        <v>9</v>
      </c>
      <c r="AE1619" s="95">
        <v>0</v>
      </c>
      <c r="AF1619" s="75">
        <v>0</v>
      </c>
      <c r="AG1619" s="75">
        <v>1</v>
      </c>
      <c r="AH1619" s="75">
        <v>0</v>
      </c>
      <c r="AI1619" s="75">
        <v>0</v>
      </c>
      <c r="AJ1619" s="75">
        <v>0</v>
      </c>
      <c r="AK1619" s="75">
        <v>0</v>
      </c>
      <c r="AL1619" s="95">
        <v>0</v>
      </c>
      <c r="AM1619" s="92">
        <v>0</v>
      </c>
      <c r="AN1619" s="79" t="s">
        <v>80</v>
      </c>
      <c r="AO1619" s="75">
        <v>1</v>
      </c>
      <c r="AP1619" s="75" t="s">
        <v>83</v>
      </c>
      <c r="AQ1619" s="122">
        <v>1</v>
      </c>
      <c r="AR1619" s="515" t="s">
        <v>10</v>
      </c>
      <c r="AS1619" s="95">
        <v>0</v>
      </c>
      <c r="AT1619" s="75">
        <v>0</v>
      </c>
      <c r="AU1619" s="75">
        <v>0</v>
      </c>
      <c r="AV1619" s="75">
        <v>0</v>
      </c>
      <c r="AW1619" s="123">
        <v>0</v>
      </c>
      <c r="AX1619" s="516" t="s">
        <v>1537</v>
      </c>
      <c r="AY1619" s="75">
        <v>1</v>
      </c>
      <c r="AZ1619" s="77" t="s">
        <v>131</v>
      </c>
      <c r="BA1619" s="78" t="s">
        <v>131</v>
      </c>
      <c r="BB1619" s="78" t="s">
        <v>132</v>
      </c>
      <c r="BC1619" s="78" t="s">
        <v>131</v>
      </c>
      <c r="BD1619" s="78" t="s">
        <v>131</v>
      </c>
      <c r="BE1619" s="78" t="s">
        <v>131</v>
      </c>
      <c r="BF1619" s="78" t="s">
        <v>131</v>
      </c>
      <c r="BG1619" s="78" t="s">
        <v>131</v>
      </c>
      <c r="BH1619" s="75" t="s">
        <v>5970</v>
      </c>
      <c r="BI1619" s="295" t="s">
        <v>2227</v>
      </c>
      <c r="BJ1619" s="546">
        <v>1</v>
      </c>
      <c r="BK1619" s="294" t="s">
        <v>16</v>
      </c>
      <c r="BL1619" s="157" t="s">
        <v>16</v>
      </c>
      <c r="BM1619" s="548" t="s">
        <v>578</v>
      </c>
      <c r="BN1619" s="548" t="s">
        <v>578</v>
      </c>
      <c r="BO1619" s="157" t="s">
        <v>4311</v>
      </c>
      <c r="BP1619" s="548" t="s">
        <v>4395</v>
      </c>
      <c r="BQ1619" s="157" t="s">
        <v>4309</v>
      </c>
      <c r="BR1619" s="157"/>
    </row>
    <row r="1620" spans="1:70" x14ac:dyDescent="0.25">
      <c r="A1620" s="19" t="s">
        <v>3686</v>
      </c>
      <c r="B1620" s="37" t="s">
        <v>1935</v>
      </c>
      <c r="C1620" s="90">
        <v>44703.587557870371</v>
      </c>
      <c r="D1620" s="114">
        <v>44703.337557870371</v>
      </c>
      <c r="E1620" s="38">
        <v>44703</v>
      </c>
      <c r="F1620" s="91">
        <v>2022</v>
      </c>
      <c r="G1620" s="93">
        <v>5</v>
      </c>
      <c r="H1620" s="37" t="s">
        <v>1491</v>
      </c>
      <c r="I1620" s="37"/>
      <c r="J1620" s="103">
        <v>-92.622389400000003</v>
      </c>
      <c r="K1620" s="40">
        <v>44.875567699999998</v>
      </c>
      <c r="L1620" s="74"/>
      <c r="M1620" s="272" t="s">
        <v>16</v>
      </c>
      <c r="N1620" s="74">
        <v>0</v>
      </c>
      <c r="O1620" s="94"/>
      <c r="P1620" s="118">
        <v>0</v>
      </c>
      <c r="Q1620" s="510"/>
      <c r="R1620" s="513"/>
      <c r="S1620" s="41"/>
      <c r="T1620" s="40"/>
      <c r="U1620" s="40"/>
      <c r="V1620" s="119">
        <v>0</v>
      </c>
      <c r="W1620" s="40"/>
      <c r="X1620" s="119">
        <v>0</v>
      </c>
      <c r="Y1620" s="40"/>
      <c r="Z1620" s="119">
        <v>0</v>
      </c>
      <c r="AA1620" s="368" t="s">
        <v>16</v>
      </c>
      <c r="AB1620" s="535" t="s">
        <v>16</v>
      </c>
      <c r="AC1620" s="39" t="s">
        <v>160</v>
      </c>
      <c r="AD1620" s="75" t="s">
        <v>16</v>
      </c>
      <c r="AE1620" s="95">
        <v>-1</v>
      </c>
      <c r="AF1620" s="75">
        <v>-1</v>
      </c>
      <c r="AG1620" s="75">
        <v>-1</v>
      </c>
      <c r="AH1620" s="75">
        <v>-1</v>
      </c>
      <c r="AI1620" s="75">
        <v>-1</v>
      </c>
      <c r="AJ1620" s="75">
        <v>-1</v>
      </c>
      <c r="AK1620" s="75">
        <v>-1</v>
      </c>
      <c r="AL1620" s="95">
        <v>-1</v>
      </c>
      <c r="AM1620" s="92">
        <v>1</v>
      </c>
      <c r="AN1620" s="79"/>
      <c r="AO1620" s="75">
        <v>0</v>
      </c>
      <c r="AP1620" s="75"/>
      <c r="AQ1620" s="122">
        <v>0</v>
      </c>
      <c r="AR1620" s="515" t="s">
        <v>16</v>
      </c>
      <c r="AS1620" s="95">
        <v>-1</v>
      </c>
      <c r="AT1620" s="75">
        <v>-1</v>
      </c>
      <c r="AU1620" s="75">
        <v>-1</v>
      </c>
      <c r="AV1620" s="75">
        <v>-1</v>
      </c>
      <c r="AW1620" s="123">
        <v>1</v>
      </c>
      <c r="AX1620" s="516"/>
      <c r="AY1620" s="75">
        <v>0</v>
      </c>
      <c r="AZ1620" s="77" t="s">
        <v>5971</v>
      </c>
      <c r="BA1620" s="78" t="s">
        <v>5971</v>
      </c>
      <c r="BB1620" s="78" t="s">
        <v>5971</v>
      </c>
      <c r="BC1620" s="78" t="s">
        <v>5971</v>
      </c>
      <c r="BD1620" s="78" t="s">
        <v>5971</v>
      </c>
      <c r="BE1620" s="78" t="s">
        <v>5971</v>
      </c>
      <c r="BF1620" s="78" t="s">
        <v>5971</v>
      </c>
      <c r="BG1620" s="78" t="s">
        <v>5971</v>
      </c>
      <c r="BH1620" s="75" t="s">
        <v>5971</v>
      </c>
      <c r="BI1620" s="295" t="s">
        <v>2227</v>
      </c>
      <c r="BJ1620" s="546">
        <v>1</v>
      </c>
      <c r="BK1620" s="294" t="s">
        <v>16</v>
      </c>
      <c r="BL1620" s="157" t="s">
        <v>16</v>
      </c>
      <c r="BM1620" s="548" t="s">
        <v>578</v>
      </c>
      <c r="BN1620" s="548" t="s">
        <v>4159</v>
      </c>
      <c r="BO1620" s="157" t="s">
        <v>4311</v>
      </c>
      <c r="BP1620" s="548" t="s">
        <v>4395</v>
      </c>
      <c r="BQ1620" s="157" t="s">
        <v>4309</v>
      </c>
      <c r="BR1620" s="157"/>
    </row>
    <row r="1621" spans="1:70" x14ac:dyDescent="0.25">
      <c r="A1621" s="19" t="s">
        <v>3686</v>
      </c>
      <c r="B1621" s="37" t="s">
        <v>1936</v>
      </c>
      <c r="C1621" s="90">
        <v>44702.803738425922</v>
      </c>
      <c r="D1621" s="114">
        <v>44702.553738425922</v>
      </c>
      <c r="E1621" s="38">
        <v>44702</v>
      </c>
      <c r="F1621" s="91">
        <v>2022</v>
      </c>
      <c r="G1621" s="93">
        <v>5</v>
      </c>
      <c r="H1621" s="37" t="s">
        <v>1937</v>
      </c>
      <c r="I1621" s="37"/>
      <c r="J1621" s="103">
        <v>-93.008983928397043</v>
      </c>
      <c r="K1621" s="40">
        <v>44.65728423946792</v>
      </c>
      <c r="L1621" s="74"/>
      <c r="M1621" s="272" t="s">
        <v>16</v>
      </c>
      <c r="N1621" s="74">
        <v>0</v>
      </c>
      <c r="O1621" s="94"/>
      <c r="P1621" s="118">
        <v>1</v>
      </c>
      <c r="Q1621" s="510">
        <v>0</v>
      </c>
      <c r="R1621" s="513">
        <v>30</v>
      </c>
      <c r="S1621" s="41"/>
      <c r="T1621" s="40"/>
      <c r="U1621" s="40">
        <v>7</v>
      </c>
      <c r="V1621" s="119">
        <v>1</v>
      </c>
      <c r="W1621" s="40">
        <v>200</v>
      </c>
      <c r="X1621" s="119">
        <v>1</v>
      </c>
      <c r="Y1621" s="40">
        <v>59</v>
      </c>
      <c r="Z1621" s="119">
        <v>1</v>
      </c>
      <c r="AA1621" s="368">
        <v>0</v>
      </c>
      <c r="AB1621" s="535">
        <v>5</v>
      </c>
      <c r="AC1621" s="39" t="s">
        <v>160</v>
      </c>
      <c r="AD1621" s="75" t="s">
        <v>16</v>
      </c>
      <c r="AE1621" s="95">
        <v>-1</v>
      </c>
      <c r="AF1621" s="75">
        <v>-1</v>
      </c>
      <c r="AG1621" s="75">
        <v>-1</v>
      </c>
      <c r="AH1621" s="75">
        <v>-1</v>
      </c>
      <c r="AI1621" s="75">
        <v>-1</v>
      </c>
      <c r="AJ1621" s="75">
        <v>-1</v>
      </c>
      <c r="AK1621" s="75">
        <v>-1</v>
      </c>
      <c r="AL1621" s="95">
        <v>-1</v>
      </c>
      <c r="AM1621" s="92">
        <v>1</v>
      </c>
      <c r="AN1621" s="79" t="s">
        <v>195</v>
      </c>
      <c r="AO1621" s="75">
        <v>1</v>
      </c>
      <c r="AP1621" s="75" t="s">
        <v>83</v>
      </c>
      <c r="AQ1621" s="122">
        <v>1</v>
      </c>
      <c r="AR1621" s="515" t="s">
        <v>10</v>
      </c>
      <c r="AS1621" s="95">
        <v>0</v>
      </c>
      <c r="AT1621" s="75">
        <v>0</v>
      </c>
      <c r="AU1621" s="75">
        <v>0</v>
      </c>
      <c r="AV1621" s="75">
        <v>0</v>
      </c>
      <c r="AW1621" s="123">
        <v>0</v>
      </c>
      <c r="AX1621" s="516"/>
      <c r="AY1621" s="75">
        <v>0</v>
      </c>
      <c r="AZ1621" s="77" t="s">
        <v>5971</v>
      </c>
      <c r="BA1621" s="78" t="s">
        <v>5971</v>
      </c>
      <c r="BB1621" s="78" t="s">
        <v>5971</v>
      </c>
      <c r="BC1621" s="78" t="s">
        <v>5971</v>
      </c>
      <c r="BD1621" s="78" t="s">
        <v>5971</v>
      </c>
      <c r="BE1621" s="78" t="s">
        <v>5971</v>
      </c>
      <c r="BF1621" s="78" t="s">
        <v>5971</v>
      </c>
      <c r="BG1621" s="78" t="s">
        <v>5971</v>
      </c>
      <c r="BH1621" s="75" t="s">
        <v>5971</v>
      </c>
      <c r="BI1621" s="295" t="s">
        <v>16</v>
      </c>
      <c r="BJ1621" s="546">
        <v>1</v>
      </c>
      <c r="BK1621" s="294" t="s">
        <v>16</v>
      </c>
      <c r="BL1621" s="157" t="s">
        <v>16</v>
      </c>
      <c r="BM1621" s="548" t="s">
        <v>2343</v>
      </c>
      <c r="BN1621" s="548" t="s">
        <v>4161</v>
      </c>
      <c r="BO1621" s="157" t="s">
        <v>4293</v>
      </c>
      <c r="BP1621" s="548" t="s">
        <v>2225</v>
      </c>
      <c r="BQ1621" s="157" t="s">
        <v>4292</v>
      </c>
      <c r="BR1621" s="157"/>
    </row>
    <row r="1622" spans="1:70" x14ac:dyDescent="0.25">
      <c r="A1622" s="19" t="s">
        <v>3686</v>
      </c>
      <c r="B1622" s="37" t="s">
        <v>1938</v>
      </c>
      <c r="C1622" s="90">
        <v>44702.797500000001</v>
      </c>
      <c r="D1622" s="114">
        <v>44702.547500000001</v>
      </c>
      <c r="E1622" s="38">
        <v>44702</v>
      </c>
      <c r="F1622" s="91">
        <v>2022</v>
      </c>
      <c r="G1622" s="93">
        <v>5</v>
      </c>
      <c r="H1622" s="37" t="s">
        <v>1937</v>
      </c>
      <c r="I1622" s="37"/>
      <c r="J1622" s="103">
        <v>-93.009006129022566</v>
      </c>
      <c r="K1622" s="40">
        <v>44.657272239770577</v>
      </c>
      <c r="L1622" s="74"/>
      <c r="M1622" s="272" t="s">
        <v>16</v>
      </c>
      <c r="N1622" s="74">
        <v>0</v>
      </c>
      <c r="O1622" s="94"/>
      <c r="P1622" s="118">
        <v>1</v>
      </c>
      <c r="Q1622" s="510">
        <v>0</v>
      </c>
      <c r="R1622" s="513">
        <v>30</v>
      </c>
      <c r="S1622" s="41"/>
      <c r="T1622" s="40"/>
      <c r="U1622" s="40">
        <v>7</v>
      </c>
      <c r="V1622" s="119">
        <v>0</v>
      </c>
      <c r="W1622" s="40"/>
      <c r="X1622" s="119">
        <v>0</v>
      </c>
      <c r="Y1622" s="40"/>
      <c r="Z1622" s="119">
        <v>0</v>
      </c>
      <c r="AA1622" s="368" t="s">
        <v>16</v>
      </c>
      <c r="AB1622" s="535" t="s">
        <v>16</v>
      </c>
      <c r="AC1622" s="39" t="s">
        <v>160</v>
      </c>
      <c r="AD1622" s="75" t="s">
        <v>16</v>
      </c>
      <c r="AE1622" s="95">
        <v>-1</v>
      </c>
      <c r="AF1622" s="75">
        <v>-1</v>
      </c>
      <c r="AG1622" s="75">
        <v>-1</v>
      </c>
      <c r="AH1622" s="75">
        <v>-1</v>
      </c>
      <c r="AI1622" s="75">
        <v>-1</v>
      </c>
      <c r="AJ1622" s="75">
        <v>-1</v>
      </c>
      <c r="AK1622" s="75">
        <v>-1</v>
      </c>
      <c r="AL1622" s="95">
        <v>-1</v>
      </c>
      <c r="AM1622" s="92">
        <v>1</v>
      </c>
      <c r="AN1622" s="79"/>
      <c r="AO1622" s="75">
        <v>0</v>
      </c>
      <c r="AP1622" s="75"/>
      <c r="AQ1622" s="122">
        <v>0</v>
      </c>
      <c r="AR1622" s="515" t="s">
        <v>16</v>
      </c>
      <c r="AS1622" s="95">
        <v>-1</v>
      </c>
      <c r="AT1622" s="75">
        <v>-1</v>
      </c>
      <c r="AU1622" s="75">
        <v>-1</v>
      </c>
      <c r="AV1622" s="75">
        <v>-1</v>
      </c>
      <c r="AW1622" s="123">
        <v>1</v>
      </c>
      <c r="AX1622" s="516"/>
      <c r="AY1622" s="75">
        <v>0</v>
      </c>
      <c r="AZ1622" s="77" t="s">
        <v>5971</v>
      </c>
      <c r="BA1622" s="78" t="s">
        <v>5971</v>
      </c>
      <c r="BB1622" s="78" t="s">
        <v>5971</v>
      </c>
      <c r="BC1622" s="78" t="s">
        <v>5971</v>
      </c>
      <c r="BD1622" s="78" t="s">
        <v>5971</v>
      </c>
      <c r="BE1622" s="78" t="s">
        <v>5971</v>
      </c>
      <c r="BF1622" s="78" t="s">
        <v>5971</v>
      </c>
      <c r="BG1622" s="78" t="s">
        <v>5971</v>
      </c>
      <c r="BH1622" s="75" t="s">
        <v>5971</v>
      </c>
      <c r="BI1622" s="295" t="s">
        <v>2225</v>
      </c>
      <c r="BJ1622" s="546">
        <v>1</v>
      </c>
      <c r="BK1622" s="294" t="s">
        <v>16</v>
      </c>
      <c r="BL1622" s="157" t="s">
        <v>16</v>
      </c>
      <c r="BM1622" s="548" t="s">
        <v>2343</v>
      </c>
      <c r="BN1622" s="548" t="s">
        <v>4161</v>
      </c>
      <c r="BO1622" s="157" t="s">
        <v>4293</v>
      </c>
      <c r="BP1622" s="548" t="s">
        <v>2225</v>
      </c>
      <c r="BQ1622" s="157" t="s">
        <v>4292</v>
      </c>
      <c r="BR1622" s="157"/>
    </row>
    <row r="1623" spans="1:70" x14ac:dyDescent="0.25">
      <c r="A1623" s="19" t="s">
        <v>3686</v>
      </c>
      <c r="B1623" s="37" t="s">
        <v>1939</v>
      </c>
      <c r="C1623" s="90">
        <v>44702.721099537041</v>
      </c>
      <c r="D1623" s="114">
        <v>44702.471099537041</v>
      </c>
      <c r="E1623" s="38">
        <v>44702</v>
      </c>
      <c r="F1623" s="91">
        <v>2022</v>
      </c>
      <c r="G1623" s="93">
        <v>5</v>
      </c>
      <c r="H1623" s="37" t="s">
        <v>1364</v>
      </c>
      <c r="I1623" s="37"/>
      <c r="J1623" s="103">
        <v>-92.597263299999995</v>
      </c>
      <c r="K1623" s="40">
        <v>44.472521700000001</v>
      </c>
      <c r="L1623" s="74"/>
      <c r="M1623" s="272" t="s">
        <v>16</v>
      </c>
      <c r="N1623" s="74">
        <v>0</v>
      </c>
      <c r="O1623" s="94"/>
      <c r="P1623" s="118">
        <v>1</v>
      </c>
      <c r="Q1623" s="510">
        <v>80</v>
      </c>
      <c r="R1623" s="513">
        <v>180</v>
      </c>
      <c r="S1623" s="41"/>
      <c r="T1623" s="40"/>
      <c r="U1623" s="40">
        <v>7.5</v>
      </c>
      <c r="V1623" s="119">
        <v>1</v>
      </c>
      <c r="W1623" s="40">
        <v>200</v>
      </c>
      <c r="X1623" s="119">
        <v>1</v>
      </c>
      <c r="Y1623" s="40">
        <v>50</v>
      </c>
      <c r="Z1623" s="119">
        <v>1</v>
      </c>
      <c r="AA1623" s="368">
        <v>0</v>
      </c>
      <c r="AB1623" s="535">
        <v>5</v>
      </c>
      <c r="AC1623" s="39" t="s">
        <v>160</v>
      </c>
      <c r="AD1623" s="75" t="s">
        <v>10</v>
      </c>
      <c r="AE1623" s="95">
        <v>0</v>
      </c>
      <c r="AF1623" s="75">
        <v>0</v>
      </c>
      <c r="AG1623" s="75">
        <v>0</v>
      </c>
      <c r="AH1623" s="75">
        <v>0</v>
      </c>
      <c r="AI1623" s="75">
        <v>0</v>
      </c>
      <c r="AJ1623" s="75">
        <v>0</v>
      </c>
      <c r="AK1623" s="75">
        <v>0</v>
      </c>
      <c r="AL1623" s="95">
        <v>1</v>
      </c>
      <c r="AM1623" s="92">
        <v>0</v>
      </c>
      <c r="AN1623" s="79" t="s">
        <v>81</v>
      </c>
      <c r="AO1623" s="75">
        <v>1</v>
      </c>
      <c r="AP1623" s="75" t="s">
        <v>83</v>
      </c>
      <c r="AQ1623" s="122">
        <v>1</v>
      </c>
      <c r="AR1623" s="515" t="s">
        <v>10</v>
      </c>
      <c r="AS1623" s="95">
        <v>0</v>
      </c>
      <c r="AT1623" s="75">
        <v>0</v>
      </c>
      <c r="AU1623" s="75">
        <v>0</v>
      </c>
      <c r="AV1623" s="75">
        <v>0</v>
      </c>
      <c r="AW1623" s="123">
        <v>0</v>
      </c>
      <c r="AX1623" s="516"/>
      <c r="AY1623" s="75">
        <v>0</v>
      </c>
      <c r="AZ1623" s="77" t="s">
        <v>131</v>
      </c>
      <c r="BA1623" s="78" t="s">
        <v>131</v>
      </c>
      <c r="BB1623" s="78" t="s">
        <v>131</v>
      </c>
      <c r="BC1623" s="78" t="s">
        <v>131</v>
      </c>
      <c r="BD1623" s="78" t="s">
        <v>131</v>
      </c>
      <c r="BE1623" s="78" t="s">
        <v>131</v>
      </c>
      <c r="BF1623" s="78" t="s">
        <v>131</v>
      </c>
      <c r="BG1623" s="78" t="s">
        <v>132</v>
      </c>
      <c r="BH1623" s="75" t="s">
        <v>5970</v>
      </c>
      <c r="BI1623" s="295" t="s">
        <v>2238</v>
      </c>
      <c r="BJ1623" s="546">
        <v>1</v>
      </c>
      <c r="BK1623" s="294" t="s">
        <v>16</v>
      </c>
      <c r="BL1623" s="157" t="s">
        <v>16</v>
      </c>
      <c r="BM1623" s="548" t="s">
        <v>2343</v>
      </c>
      <c r="BN1623" s="548" t="s">
        <v>4161</v>
      </c>
      <c r="BO1623" s="157" t="s">
        <v>4308</v>
      </c>
      <c r="BP1623" s="548" t="s">
        <v>2238</v>
      </c>
      <c r="BQ1623" s="157" t="s">
        <v>4307</v>
      </c>
      <c r="BR1623" s="157"/>
    </row>
    <row r="1624" spans="1:70" x14ac:dyDescent="0.25">
      <c r="A1624" s="19" t="s">
        <v>3686</v>
      </c>
      <c r="B1624" s="37" t="s">
        <v>1940</v>
      </c>
      <c r="C1624" s="90">
        <v>44701.683993055558</v>
      </c>
      <c r="D1624" s="114">
        <v>44701.433993055558</v>
      </c>
      <c r="E1624" s="38">
        <v>44701</v>
      </c>
      <c r="F1624" s="91">
        <v>2022</v>
      </c>
      <c r="G1624" s="93">
        <v>5</v>
      </c>
      <c r="H1624" s="37" t="s">
        <v>1401</v>
      </c>
      <c r="I1624" s="37" t="s">
        <v>16</v>
      </c>
      <c r="J1624" s="103">
        <v>-92.725838499999995</v>
      </c>
      <c r="K1624" s="40">
        <v>44.547069700000002</v>
      </c>
      <c r="L1624" s="74"/>
      <c r="M1624" s="272" t="s">
        <v>16</v>
      </c>
      <c r="N1624" s="74">
        <v>0</v>
      </c>
      <c r="O1624" s="94"/>
      <c r="P1624" s="118">
        <v>1</v>
      </c>
      <c r="Q1624" s="510">
        <v>0</v>
      </c>
      <c r="R1624" s="513">
        <v>60</v>
      </c>
      <c r="S1624" s="41"/>
      <c r="T1624" s="40"/>
      <c r="U1624" s="40">
        <v>7</v>
      </c>
      <c r="V1624" s="119">
        <v>1</v>
      </c>
      <c r="W1624" s="40">
        <v>200</v>
      </c>
      <c r="X1624" s="119">
        <v>1</v>
      </c>
      <c r="Y1624" s="40">
        <v>55</v>
      </c>
      <c r="Z1624" s="119">
        <v>1</v>
      </c>
      <c r="AA1624" s="368">
        <v>0</v>
      </c>
      <c r="AB1624" s="535">
        <v>10</v>
      </c>
      <c r="AC1624" s="39" t="s">
        <v>160</v>
      </c>
      <c r="AD1624" s="75" t="s">
        <v>10</v>
      </c>
      <c r="AE1624" s="95">
        <v>0</v>
      </c>
      <c r="AF1624" s="75">
        <v>0</v>
      </c>
      <c r="AG1624" s="75">
        <v>0</v>
      </c>
      <c r="AH1624" s="75">
        <v>0</v>
      </c>
      <c r="AI1624" s="75">
        <v>0</v>
      </c>
      <c r="AJ1624" s="75">
        <v>0</v>
      </c>
      <c r="AK1624" s="75">
        <v>0</v>
      </c>
      <c r="AL1624" s="95">
        <v>1</v>
      </c>
      <c r="AM1624" s="92">
        <v>0</v>
      </c>
      <c r="AN1624" s="79" t="s">
        <v>81</v>
      </c>
      <c r="AO1624" s="75">
        <v>1</v>
      </c>
      <c r="AP1624" s="75" t="s">
        <v>84</v>
      </c>
      <c r="AQ1624" s="122">
        <v>1</v>
      </c>
      <c r="AR1624" s="515" t="s">
        <v>10</v>
      </c>
      <c r="AS1624" s="95">
        <v>0</v>
      </c>
      <c r="AT1624" s="75">
        <v>0</v>
      </c>
      <c r="AU1624" s="75">
        <v>0</v>
      </c>
      <c r="AV1624" s="75">
        <v>0</v>
      </c>
      <c r="AW1624" s="123">
        <v>0</v>
      </c>
      <c r="AX1624" s="516"/>
      <c r="AY1624" s="75">
        <v>0</v>
      </c>
      <c r="AZ1624" s="77" t="s">
        <v>131</v>
      </c>
      <c r="BA1624" s="78" t="s">
        <v>131</v>
      </c>
      <c r="BB1624" s="78" t="s">
        <v>131</v>
      </c>
      <c r="BC1624" s="78" t="s">
        <v>131</v>
      </c>
      <c r="BD1624" s="78" t="s">
        <v>131</v>
      </c>
      <c r="BE1624" s="78" t="s">
        <v>131</v>
      </c>
      <c r="BF1624" s="78" t="s">
        <v>131</v>
      </c>
      <c r="BG1624" s="78" t="s">
        <v>132</v>
      </c>
      <c r="BH1624" s="75" t="s">
        <v>5970</v>
      </c>
      <c r="BI1624" s="295" t="s">
        <v>1402</v>
      </c>
      <c r="BJ1624" s="546" t="s">
        <v>16</v>
      </c>
      <c r="BK1624" s="294" t="s">
        <v>16</v>
      </c>
      <c r="BL1624" s="157" t="s">
        <v>16</v>
      </c>
      <c r="BM1624" s="548" t="s">
        <v>2343</v>
      </c>
      <c r="BN1624" s="548" t="s">
        <v>4161</v>
      </c>
      <c r="BO1624" s="157" t="s">
        <v>4290</v>
      </c>
      <c r="BP1624" s="548" t="s">
        <v>4291</v>
      </c>
      <c r="BQ1624" s="157" t="s">
        <v>4289</v>
      </c>
      <c r="BR1624" s="157"/>
    </row>
    <row r="1625" spans="1:70" x14ac:dyDescent="0.25">
      <c r="A1625" s="19" t="s">
        <v>3686</v>
      </c>
      <c r="B1625" s="37" t="s">
        <v>1941</v>
      </c>
      <c r="C1625" s="90">
        <v>44701.60900462963</v>
      </c>
      <c r="D1625" s="114">
        <v>44701.35900462963</v>
      </c>
      <c r="E1625" s="38">
        <v>44701</v>
      </c>
      <c r="F1625" s="91">
        <v>2022</v>
      </c>
      <c r="G1625" s="93">
        <v>5</v>
      </c>
      <c r="H1625" s="37" t="s">
        <v>302</v>
      </c>
      <c r="I1625" s="37"/>
      <c r="J1625" s="103">
        <v>-91.800708479336535</v>
      </c>
      <c r="K1625" s="40">
        <v>44.010154660800751</v>
      </c>
      <c r="L1625" s="74"/>
      <c r="M1625" s="272" t="s">
        <v>16</v>
      </c>
      <c r="N1625" s="74">
        <v>0</v>
      </c>
      <c r="O1625" s="94"/>
      <c r="P1625" s="118">
        <v>1</v>
      </c>
      <c r="Q1625" s="510">
        <v>0</v>
      </c>
      <c r="R1625" s="513">
        <v>120</v>
      </c>
      <c r="S1625" s="41"/>
      <c r="T1625" s="40"/>
      <c r="U1625" s="40">
        <v>8</v>
      </c>
      <c r="V1625" s="119">
        <v>1</v>
      </c>
      <c r="W1625" s="40">
        <v>500</v>
      </c>
      <c r="X1625" s="119">
        <v>0</v>
      </c>
      <c r="Y1625" s="40"/>
      <c r="Z1625" s="119">
        <v>1</v>
      </c>
      <c r="AA1625" s="368">
        <v>0</v>
      </c>
      <c r="AB1625" s="535">
        <v>5</v>
      </c>
      <c r="AC1625" s="39" t="s">
        <v>160</v>
      </c>
      <c r="AD1625" s="75" t="s">
        <v>8</v>
      </c>
      <c r="AE1625" s="95">
        <v>0</v>
      </c>
      <c r="AF1625" s="75">
        <v>1</v>
      </c>
      <c r="AG1625" s="75">
        <v>0</v>
      </c>
      <c r="AH1625" s="75">
        <v>0</v>
      </c>
      <c r="AI1625" s="75">
        <v>0</v>
      </c>
      <c r="AJ1625" s="75">
        <v>0</v>
      </c>
      <c r="AK1625" s="75">
        <v>0</v>
      </c>
      <c r="AL1625" s="95">
        <v>0</v>
      </c>
      <c r="AM1625" s="92">
        <v>0</v>
      </c>
      <c r="AN1625" s="79" t="s">
        <v>81</v>
      </c>
      <c r="AO1625" s="75">
        <v>1</v>
      </c>
      <c r="AP1625" s="75" t="s">
        <v>85</v>
      </c>
      <c r="AQ1625" s="122">
        <v>1</v>
      </c>
      <c r="AR1625" s="515" t="s">
        <v>35</v>
      </c>
      <c r="AS1625" s="95">
        <v>0</v>
      </c>
      <c r="AT1625" s="75">
        <v>1</v>
      </c>
      <c r="AU1625" s="75">
        <v>0</v>
      </c>
      <c r="AV1625" s="75">
        <v>0</v>
      </c>
      <c r="AW1625" s="123">
        <v>0</v>
      </c>
      <c r="AX1625" s="516" t="s">
        <v>1942</v>
      </c>
      <c r="AY1625" s="75">
        <v>1</v>
      </c>
      <c r="AZ1625" s="77" t="s">
        <v>131</v>
      </c>
      <c r="BA1625" s="78" t="s">
        <v>132</v>
      </c>
      <c r="BB1625" s="78" t="s">
        <v>131</v>
      </c>
      <c r="BC1625" s="78" t="s">
        <v>131</v>
      </c>
      <c r="BD1625" s="78" t="s">
        <v>131</v>
      </c>
      <c r="BE1625" s="78" t="s">
        <v>131</v>
      </c>
      <c r="BF1625" s="78" t="s">
        <v>131</v>
      </c>
      <c r="BG1625" s="78" t="s">
        <v>131</v>
      </c>
      <c r="BH1625" s="75" t="s">
        <v>5970</v>
      </c>
      <c r="BI1625" s="295" t="s">
        <v>16</v>
      </c>
      <c r="BJ1625" s="546">
        <v>1</v>
      </c>
      <c r="BK1625" s="294">
        <v>1</v>
      </c>
      <c r="BL1625" s="157">
        <v>1</v>
      </c>
      <c r="BM1625" s="548" t="s">
        <v>1341</v>
      </c>
      <c r="BN1625" s="548" t="s">
        <v>4160</v>
      </c>
      <c r="BO1625" s="157" t="s">
        <v>4360</v>
      </c>
      <c r="BP1625" s="548" t="s">
        <v>313</v>
      </c>
      <c r="BQ1625" s="157" t="s">
        <v>4359</v>
      </c>
      <c r="BR1625" s="157"/>
    </row>
    <row r="1626" spans="1:70" x14ac:dyDescent="0.25">
      <c r="A1626" s="19" t="s">
        <v>3686</v>
      </c>
      <c r="B1626" s="37" t="s">
        <v>1943</v>
      </c>
      <c r="C1626" s="90">
        <v>44699.84746527778</v>
      </c>
      <c r="D1626" s="114">
        <v>44699.59746527778</v>
      </c>
      <c r="E1626" s="38">
        <v>44699</v>
      </c>
      <c r="F1626" s="91">
        <v>2022</v>
      </c>
      <c r="G1626" s="93">
        <v>5</v>
      </c>
      <c r="H1626" s="37" t="s">
        <v>622</v>
      </c>
      <c r="I1626" s="37"/>
      <c r="J1626" s="103">
        <v>-92.276507970031602</v>
      </c>
      <c r="K1626" s="40">
        <v>44.430733784143278</v>
      </c>
      <c r="L1626" s="74"/>
      <c r="M1626" s="272" t="s">
        <v>16</v>
      </c>
      <c r="N1626" s="74">
        <v>0</v>
      </c>
      <c r="O1626" s="94"/>
      <c r="P1626" s="118">
        <v>1</v>
      </c>
      <c r="Q1626" s="510">
        <v>0</v>
      </c>
      <c r="R1626" s="513">
        <v>30</v>
      </c>
      <c r="S1626" s="41"/>
      <c r="T1626" s="40"/>
      <c r="U1626" s="40">
        <v>7</v>
      </c>
      <c r="V1626" s="119">
        <v>1</v>
      </c>
      <c r="W1626" s="40">
        <v>100</v>
      </c>
      <c r="X1626" s="119">
        <v>1</v>
      </c>
      <c r="Y1626" s="40">
        <v>64</v>
      </c>
      <c r="Z1626" s="119">
        <v>0</v>
      </c>
      <c r="AA1626" s="368" t="s">
        <v>16</v>
      </c>
      <c r="AB1626" s="535" t="s">
        <v>16</v>
      </c>
      <c r="AC1626" s="39" t="s">
        <v>160</v>
      </c>
      <c r="AD1626" s="75" t="s">
        <v>16</v>
      </c>
      <c r="AE1626" s="95">
        <v>-1</v>
      </c>
      <c r="AF1626" s="75">
        <v>-1</v>
      </c>
      <c r="AG1626" s="75">
        <v>-1</v>
      </c>
      <c r="AH1626" s="75">
        <v>-1</v>
      </c>
      <c r="AI1626" s="75">
        <v>-1</v>
      </c>
      <c r="AJ1626" s="75">
        <v>-1</v>
      </c>
      <c r="AK1626" s="75">
        <v>-1</v>
      </c>
      <c r="AL1626" s="95">
        <v>-1</v>
      </c>
      <c r="AM1626" s="92">
        <v>1</v>
      </c>
      <c r="AN1626" s="79"/>
      <c r="AO1626" s="75">
        <v>0</v>
      </c>
      <c r="AP1626" s="75"/>
      <c r="AQ1626" s="122">
        <v>0</v>
      </c>
      <c r="AR1626" s="515" t="s">
        <v>16</v>
      </c>
      <c r="AS1626" s="95">
        <v>-1</v>
      </c>
      <c r="AT1626" s="75">
        <v>-1</v>
      </c>
      <c r="AU1626" s="75">
        <v>-1</v>
      </c>
      <c r="AV1626" s="75">
        <v>-1</v>
      </c>
      <c r="AW1626" s="123">
        <v>1</v>
      </c>
      <c r="AX1626" s="516"/>
      <c r="AY1626" s="75">
        <v>0</v>
      </c>
      <c r="AZ1626" s="77" t="s">
        <v>5971</v>
      </c>
      <c r="BA1626" s="78" t="s">
        <v>5971</v>
      </c>
      <c r="BB1626" s="78" t="s">
        <v>5971</v>
      </c>
      <c r="BC1626" s="78" t="s">
        <v>5971</v>
      </c>
      <c r="BD1626" s="78" t="s">
        <v>5971</v>
      </c>
      <c r="BE1626" s="78" t="s">
        <v>5971</v>
      </c>
      <c r="BF1626" s="78" t="s">
        <v>5971</v>
      </c>
      <c r="BG1626" s="78" t="s">
        <v>5971</v>
      </c>
      <c r="BH1626" s="75" t="s">
        <v>5971</v>
      </c>
      <c r="BI1626" s="295" t="s">
        <v>2228</v>
      </c>
      <c r="BJ1626" s="546">
        <v>1</v>
      </c>
      <c r="BK1626" s="294" t="s">
        <v>16</v>
      </c>
      <c r="BL1626" s="157" t="s">
        <v>16</v>
      </c>
      <c r="BM1626" s="548" t="s">
        <v>1339</v>
      </c>
      <c r="BN1626" s="548" t="s">
        <v>1339</v>
      </c>
      <c r="BO1626" s="157" t="s">
        <v>4614</v>
      </c>
      <c r="BP1626" s="548" t="s">
        <v>2228</v>
      </c>
      <c r="BQ1626" s="157" t="s">
        <v>4214</v>
      </c>
      <c r="BR1626" s="157"/>
    </row>
    <row r="1627" spans="1:70" x14ac:dyDescent="0.25">
      <c r="A1627" s="19" t="s">
        <v>3686</v>
      </c>
      <c r="B1627" s="37" t="s">
        <v>1944</v>
      </c>
      <c r="C1627" s="90">
        <v>44699.791134259256</v>
      </c>
      <c r="D1627" s="114">
        <v>44699.541134259256</v>
      </c>
      <c r="E1627" s="38">
        <v>44699</v>
      </c>
      <c r="F1627" s="91">
        <v>2022</v>
      </c>
      <c r="G1627" s="93">
        <v>5</v>
      </c>
      <c r="H1627" s="37" t="s">
        <v>1386</v>
      </c>
      <c r="I1627" s="37"/>
      <c r="J1627" s="103">
        <v>-92.345323699999994</v>
      </c>
      <c r="K1627" s="40">
        <v>43.601063699999997</v>
      </c>
      <c r="L1627" s="74"/>
      <c r="M1627" s="272" t="s">
        <v>1945</v>
      </c>
      <c r="N1627" s="74">
        <v>1</v>
      </c>
      <c r="O1627" s="94"/>
      <c r="P1627" s="118">
        <v>1</v>
      </c>
      <c r="Q1627" s="510">
        <v>0</v>
      </c>
      <c r="R1627" s="513">
        <v>0</v>
      </c>
      <c r="S1627" s="41"/>
      <c r="T1627" s="40"/>
      <c r="U1627" s="40">
        <v>8</v>
      </c>
      <c r="V1627" s="119">
        <v>1</v>
      </c>
      <c r="W1627" s="40">
        <v>0</v>
      </c>
      <c r="X1627" s="119">
        <v>1</v>
      </c>
      <c r="Y1627" s="40">
        <v>56</v>
      </c>
      <c r="Z1627" s="119">
        <v>1</v>
      </c>
      <c r="AA1627" s="368">
        <v>0</v>
      </c>
      <c r="AB1627" s="535">
        <v>10</v>
      </c>
      <c r="AC1627" s="39" t="s">
        <v>160</v>
      </c>
      <c r="AD1627" s="75" t="s">
        <v>10</v>
      </c>
      <c r="AE1627" s="95">
        <v>0</v>
      </c>
      <c r="AF1627" s="75">
        <v>0</v>
      </c>
      <c r="AG1627" s="75">
        <v>0</v>
      </c>
      <c r="AH1627" s="75">
        <v>0</v>
      </c>
      <c r="AI1627" s="75">
        <v>0</v>
      </c>
      <c r="AJ1627" s="75">
        <v>0</v>
      </c>
      <c r="AK1627" s="75">
        <v>0</v>
      </c>
      <c r="AL1627" s="95">
        <v>1</v>
      </c>
      <c r="AM1627" s="92">
        <v>0</v>
      </c>
      <c r="AN1627" s="79" t="s">
        <v>80</v>
      </c>
      <c r="AO1627" s="75">
        <v>1</v>
      </c>
      <c r="AP1627" s="75" t="s">
        <v>83</v>
      </c>
      <c r="AQ1627" s="122">
        <v>1</v>
      </c>
      <c r="AR1627" s="515" t="s">
        <v>10</v>
      </c>
      <c r="AS1627" s="95">
        <v>0</v>
      </c>
      <c r="AT1627" s="75">
        <v>0</v>
      </c>
      <c r="AU1627" s="75">
        <v>0</v>
      </c>
      <c r="AV1627" s="75">
        <v>0</v>
      </c>
      <c r="AW1627" s="123">
        <v>0</v>
      </c>
      <c r="AX1627" s="516"/>
      <c r="AY1627" s="75">
        <v>0</v>
      </c>
      <c r="AZ1627" s="77" t="s">
        <v>131</v>
      </c>
      <c r="BA1627" s="78" t="s">
        <v>131</v>
      </c>
      <c r="BB1627" s="78" t="s">
        <v>131</v>
      </c>
      <c r="BC1627" s="78" t="s">
        <v>131</v>
      </c>
      <c r="BD1627" s="78" t="s">
        <v>131</v>
      </c>
      <c r="BE1627" s="78" t="s">
        <v>131</v>
      </c>
      <c r="BF1627" s="78" t="s">
        <v>131</v>
      </c>
      <c r="BG1627" s="78" t="s">
        <v>132</v>
      </c>
      <c r="BH1627" s="75" t="s">
        <v>5970</v>
      </c>
      <c r="BI1627" s="295" t="s">
        <v>2294</v>
      </c>
      <c r="BJ1627" s="546">
        <v>1</v>
      </c>
      <c r="BK1627" s="294" t="s">
        <v>16</v>
      </c>
      <c r="BL1627" s="157" t="s">
        <v>16</v>
      </c>
      <c r="BM1627" s="548" t="s">
        <v>1339</v>
      </c>
      <c r="BN1627" s="548" t="s">
        <v>1339</v>
      </c>
      <c r="BO1627" s="157" t="s">
        <v>4230</v>
      </c>
      <c r="BP1627" s="548" t="s">
        <v>4231</v>
      </c>
      <c r="BQ1627" s="157" t="s">
        <v>4229</v>
      </c>
      <c r="BR1627" s="157"/>
    </row>
    <row r="1628" spans="1:70" x14ac:dyDescent="0.25">
      <c r="A1628" s="19" t="s">
        <v>3686</v>
      </c>
      <c r="B1628" s="37" t="s">
        <v>1946</v>
      </c>
      <c r="C1628" s="90">
        <v>44699.721238425926</v>
      </c>
      <c r="D1628" s="114">
        <v>44699.471238425926</v>
      </c>
      <c r="E1628" s="38">
        <v>44699</v>
      </c>
      <c r="F1628" s="91">
        <v>2022</v>
      </c>
      <c r="G1628" s="93">
        <v>5</v>
      </c>
      <c r="H1628" s="37" t="s">
        <v>624</v>
      </c>
      <c r="I1628" s="37" t="s">
        <v>16</v>
      </c>
      <c r="J1628" s="103">
        <v>-92.844285353248878</v>
      </c>
      <c r="K1628" s="40">
        <v>45.070615667009591</v>
      </c>
      <c r="L1628" s="74"/>
      <c r="M1628" s="272" t="s">
        <v>16</v>
      </c>
      <c r="N1628" s="74">
        <v>0</v>
      </c>
      <c r="O1628" s="94"/>
      <c r="P1628" s="118">
        <v>1</v>
      </c>
      <c r="Q1628" s="510">
        <v>180</v>
      </c>
      <c r="R1628" s="513">
        <v>120</v>
      </c>
      <c r="S1628" s="41"/>
      <c r="T1628" s="40"/>
      <c r="U1628" s="40">
        <v>7</v>
      </c>
      <c r="V1628" s="119">
        <v>1</v>
      </c>
      <c r="W1628" s="40">
        <v>0</v>
      </c>
      <c r="X1628" s="119">
        <v>0</v>
      </c>
      <c r="Y1628" s="40"/>
      <c r="Z1628" s="119">
        <v>1</v>
      </c>
      <c r="AA1628" s="368">
        <v>0</v>
      </c>
      <c r="AB1628" s="535">
        <v>0</v>
      </c>
      <c r="AC1628" s="39" t="s">
        <v>160</v>
      </c>
      <c r="AD1628" s="75" t="s">
        <v>10</v>
      </c>
      <c r="AE1628" s="95">
        <v>0</v>
      </c>
      <c r="AF1628" s="75">
        <v>0</v>
      </c>
      <c r="AG1628" s="75">
        <v>0</v>
      </c>
      <c r="AH1628" s="75">
        <v>0</v>
      </c>
      <c r="AI1628" s="75">
        <v>0</v>
      </c>
      <c r="AJ1628" s="75">
        <v>0</v>
      </c>
      <c r="AK1628" s="75">
        <v>0</v>
      </c>
      <c r="AL1628" s="95">
        <v>1</v>
      </c>
      <c r="AM1628" s="92">
        <v>0</v>
      </c>
      <c r="AN1628" s="79" t="s">
        <v>81</v>
      </c>
      <c r="AO1628" s="75">
        <v>1</v>
      </c>
      <c r="AP1628" s="75" t="s">
        <v>83</v>
      </c>
      <c r="AQ1628" s="122">
        <v>1</v>
      </c>
      <c r="AR1628" s="515" t="s">
        <v>10</v>
      </c>
      <c r="AS1628" s="95">
        <v>0</v>
      </c>
      <c r="AT1628" s="75">
        <v>0</v>
      </c>
      <c r="AU1628" s="75">
        <v>0</v>
      </c>
      <c r="AV1628" s="75">
        <v>0</v>
      </c>
      <c r="AW1628" s="123">
        <v>0</v>
      </c>
      <c r="AX1628" s="516"/>
      <c r="AY1628" s="75">
        <v>0</v>
      </c>
      <c r="AZ1628" s="77" t="s">
        <v>131</v>
      </c>
      <c r="BA1628" s="78" t="s">
        <v>131</v>
      </c>
      <c r="BB1628" s="78" t="s">
        <v>131</v>
      </c>
      <c r="BC1628" s="78" t="s">
        <v>131</v>
      </c>
      <c r="BD1628" s="78" t="s">
        <v>131</v>
      </c>
      <c r="BE1628" s="78" t="s">
        <v>131</v>
      </c>
      <c r="BF1628" s="78" t="s">
        <v>131</v>
      </c>
      <c r="BG1628" s="78" t="s">
        <v>132</v>
      </c>
      <c r="BH1628" s="75" t="s">
        <v>5970</v>
      </c>
      <c r="BI1628" s="295" t="s">
        <v>2273</v>
      </c>
      <c r="BJ1628" s="546">
        <v>1</v>
      </c>
      <c r="BK1628" s="294" t="s">
        <v>16</v>
      </c>
      <c r="BL1628" s="157" t="s">
        <v>16</v>
      </c>
      <c r="BM1628" s="548" t="s">
        <v>2343</v>
      </c>
      <c r="BN1628" s="548" t="s">
        <v>4161</v>
      </c>
      <c r="BO1628" s="157" t="s">
        <v>4286</v>
      </c>
      <c r="BP1628" s="548" t="s">
        <v>2273</v>
      </c>
      <c r="BQ1628" s="157" t="s">
        <v>4285</v>
      </c>
      <c r="BR1628" s="157"/>
    </row>
    <row r="1629" spans="1:70" x14ac:dyDescent="0.25">
      <c r="A1629" s="19" t="s">
        <v>3686</v>
      </c>
      <c r="B1629" s="37" t="s">
        <v>1947</v>
      </c>
      <c r="C1629" s="90">
        <v>44698.854803240742</v>
      </c>
      <c r="D1629" s="114">
        <v>44698.604803240742</v>
      </c>
      <c r="E1629" s="38">
        <v>44698</v>
      </c>
      <c r="F1629" s="91">
        <v>2022</v>
      </c>
      <c r="G1629" s="93">
        <v>5</v>
      </c>
      <c r="H1629" s="37" t="s">
        <v>201</v>
      </c>
      <c r="I1629" s="37"/>
      <c r="J1629" s="103">
        <v>-92.732095161850737</v>
      </c>
      <c r="K1629" s="40">
        <v>44.831175934969309</v>
      </c>
      <c r="L1629" s="74"/>
      <c r="M1629" s="272" t="s">
        <v>16</v>
      </c>
      <c r="N1629" s="74">
        <v>0</v>
      </c>
      <c r="O1629" s="94"/>
      <c r="P1629" s="118">
        <v>1</v>
      </c>
      <c r="Q1629" s="510">
        <v>180</v>
      </c>
      <c r="R1629" s="513">
        <v>120</v>
      </c>
      <c r="S1629" s="41"/>
      <c r="T1629" s="40"/>
      <c r="U1629" s="40">
        <v>7.5</v>
      </c>
      <c r="V1629" s="119">
        <v>1</v>
      </c>
      <c r="W1629" s="40">
        <v>0</v>
      </c>
      <c r="X1629" s="119">
        <v>1</v>
      </c>
      <c r="Y1629" s="40">
        <v>63</v>
      </c>
      <c r="Z1629" s="119">
        <v>1</v>
      </c>
      <c r="AA1629" s="368">
        <v>0</v>
      </c>
      <c r="AB1629" s="535">
        <v>5</v>
      </c>
      <c r="AC1629" s="39" t="s">
        <v>160</v>
      </c>
      <c r="AD1629" s="75" t="s">
        <v>365</v>
      </c>
      <c r="AE1629" s="95">
        <v>0</v>
      </c>
      <c r="AF1629" s="75">
        <v>1</v>
      </c>
      <c r="AG1629" s="75">
        <v>1</v>
      </c>
      <c r="AH1629" s="75">
        <v>0</v>
      </c>
      <c r="AI1629" s="75">
        <v>0</v>
      </c>
      <c r="AJ1629" s="75">
        <v>0</v>
      </c>
      <c r="AK1629" s="75">
        <v>0</v>
      </c>
      <c r="AL1629" s="95">
        <v>0</v>
      </c>
      <c r="AM1629" s="92">
        <v>0</v>
      </c>
      <c r="AN1629" s="79" t="s">
        <v>80</v>
      </c>
      <c r="AO1629" s="75">
        <v>1</v>
      </c>
      <c r="AP1629" s="75" t="s">
        <v>83</v>
      </c>
      <c r="AQ1629" s="122">
        <v>1</v>
      </c>
      <c r="AR1629" s="515" t="s">
        <v>10</v>
      </c>
      <c r="AS1629" s="95">
        <v>0</v>
      </c>
      <c r="AT1629" s="75">
        <v>0</v>
      </c>
      <c r="AU1629" s="75">
        <v>0</v>
      </c>
      <c r="AV1629" s="75">
        <v>0</v>
      </c>
      <c r="AW1629" s="123">
        <v>0</v>
      </c>
      <c r="AX1629" s="516" t="s">
        <v>1948</v>
      </c>
      <c r="AY1629" s="75">
        <v>1</v>
      </c>
      <c r="AZ1629" s="77" t="s">
        <v>131</v>
      </c>
      <c r="BA1629" s="78" t="s">
        <v>132</v>
      </c>
      <c r="BB1629" s="78" t="s">
        <v>132</v>
      </c>
      <c r="BC1629" s="78" t="s">
        <v>131</v>
      </c>
      <c r="BD1629" s="78" t="s">
        <v>131</v>
      </c>
      <c r="BE1629" s="78" t="s">
        <v>131</v>
      </c>
      <c r="BF1629" s="78" t="s">
        <v>131</v>
      </c>
      <c r="BG1629" s="78" t="s">
        <v>131</v>
      </c>
      <c r="BH1629" s="75" t="s">
        <v>5970</v>
      </c>
      <c r="BI1629" s="295" t="s">
        <v>2227</v>
      </c>
      <c r="BJ1629" s="546">
        <v>1</v>
      </c>
      <c r="BK1629" s="294" t="s">
        <v>16</v>
      </c>
      <c r="BL1629" s="157" t="s">
        <v>16</v>
      </c>
      <c r="BM1629" s="548" t="s">
        <v>578</v>
      </c>
      <c r="BN1629" s="548" t="s">
        <v>578</v>
      </c>
      <c r="BO1629" s="157" t="s">
        <v>4341</v>
      </c>
      <c r="BP1629" s="548" t="s">
        <v>4343</v>
      </c>
      <c r="BQ1629" s="157" t="s">
        <v>4309</v>
      </c>
      <c r="BR1629" s="157"/>
    </row>
    <row r="1630" spans="1:70" x14ac:dyDescent="0.25">
      <c r="A1630" s="19" t="s">
        <v>3686</v>
      </c>
      <c r="B1630" s="37" t="s">
        <v>1949</v>
      </c>
      <c r="C1630" s="90">
        <v>44697.701481481483</v>
      </c>
      <c r="D1630" s="114">
        <v>44697.451481481483</v>
      </c>
      <c r="E1630" s="38">
        <v>44697</v>
      </c>
      <c r="F1630" s="91">
        <v>2022</v>
      </c>
      <c r="G1630" s="93">
        <v>5</v>
      </c>
      <c r="H1630" s="37" t="s">
        <v>475</v>
      </c>
      <c r="I1630" s="37"/>
      <c r="J1630" s="103">
        <v>-92.224498763766363</v>
      </c>
      <c r="K1630" s="40">
        <v>43.622243190224857</v>
      </c>
      <c r="L1630" s="74"/>
      <c r="M1630" s="272" t="s">
        <v>1950</v>
      </c>
      <c r="N1630" s="74">
        <v>1</v>
      </c>
      <c r="O1630" s="94"/>
      <c r="P1630" s="118">
        <v>1</v>
      </c>
      <c r="Q1630" s="510">
        <v>180</v>
      </c>
      <c r="R1630" s="513">
        <v>180</v>
      </c>
      <c r="S1630" s="41"/>
      <c r="T1630" s="40"/>
      <c r="U1630" s="40">
        <v>8</v>
      </c>
      <c r="V1630" s="119">
        <v>1</v>
      </c>
      <c r="W1630" s="40">
        <v>0</v>
      </c>
      <c r="X1630" s="119">
        <v>0</v>
      </c>
      <c r="Y1630" s="40"/>
      <c r="Z1630" s="119">
        <v>1</v>
      </c>
      <c r="AA1630" s="368">
        <v>0</v>
      </c>
      <c r="AB1630" s="535">
        <v>5</v>
      </c>
      <c r="AC1630" s="39" t="s">
        <v>160</v>
      </c>
      <c r="AD1630" s="75" t="s">
        <v>10</v>
      </c>
      <c r="AE1630" s="95">
        <v>0</v>
      </c>
      <c r="AF1630" s="75">
        <v>0</v>
      </c>
      <c r="AG1630" s="75">
        <v>0</v>
      </c>
      <c r="AH1630" s="75">
        <v>0</v>
      </c>
      <c r="AI1630" s="75">
        <v>0</v>
      </c>
      <c r="AJ1630" s="75">
        <v>0</v>
      </c>
      <c r="AK1630" s="75">
        <v>0</v>
      </c>
      <c r="AL1630" s="95">
        <v>1</v>
      </c>
      <c r="AM1630" s="92">
        <v>0</v>
      </c>
      <c r="AN1630" s="79" t="s">
        <v>80</v>
      </c>
      <c r="AO1630" s="75">
        <v>1</v>
      </c>
      <c r="AP1630" s="75" t="s">
        <v>83</v>
      </c>
      <c r="AQ1630" s="122">
        <v>1</v>
      </c>
      <c r="AR1630" s="515" t="s">
        <v>10</v>
      </c>
      <c r="AS1630" s="95">
        <v>0</v>
      </c>
      <c r="AT1630" s="75">
        <v>0</v>
      </c>
      <c r="AU1630" s="75">
        <v>0</v>
      </c>
      <c r="AV1630" s="75">
        <v>0</v>
      </c>
      <c r="AW1630" s="123">
        <v>0</v>
      </c>
      <c r="AX1630" s="516" t="s">
        <v>1951</v>
      </c>
      <c r="AY1630" s="75">
        <v>1</v>
      </c>
      <c r="AZ1630" s="77" t="s">
        <v>131</v>
      </c>
      <c r="BA1630" s="78" t="s">
        <v>131</v>
      </c>
      <c r="BB1630" s="78" t="s">
        <v>131</v>
      </c>
      <c r="BC1630" s="78" t="s">
        <v>131</v>
      </c>
      <c r="BD1630" s="78" t="s">
        <v>131</v>
      </c>
      <c r="BE1630" s="78" t="s">
        <v>131</v>
      </c>
      <c r="BF1630" s="78" t="s">
        <v>131</v>
      </c>
      <c r="BG1630" s="78" t="s">
        <v>132</v>
      </c>
      <c r="BH1630" s="75" t="s">
        <v>5970</v>
      </c>
      <c r="BI1630" s="295" t="s">
        <v>2232</v>
      </c>
      <c r="BJ1630" s="546">
        <v>1</v>
      </c>
      <c r="BK1630" s="294" t="s">
        <v>16</v>
      </c>
      <c r="BL1630" s="157" t="s">
        <v>16</v>
      </c>
      <c r="BM1630" s="548" t="s">
        <v>1339</v>
      </c>
      <c r="BN1630" s="548" t="s">
        <v>1339</v>
      </c>
      <c r="BO1630" s="157" t="s">
        <v>4332</v>
      </c>
      <c r="BP1630" s="548" t="s">
        <v>4333</v>
      </c>
      <c r="BQ1630" s="157" t="s">
        <v>4229</v>
      </c>
      <c r="BR1630" s="157"/>
    </row>
    <row r="1631" spans="1:70" x14ac:dyDescent="0.25">
      <c r="A1631" s="19" t="s">
        <v>3686</v>
      </c>
      <c r="B1631" s="37" t="s">
        <v>1952</v>
      </c>
      <c r="C1631" s="90">
        <v>44697.611759259256</v>
      </c>
      <c r="D1631" s="114">
        <v>44697.361759259256</v>
      </c>
      <c r="E1631" s="38">
        <v>44697</v>
      </c>
      <c r="F1631" s="91">
        <v>2022</v>
      </c>
      <c r="G1631" s="93">
        <v>5</v>
      </c>
      <c r="H1631" s="37" t="s">
        <v>603</v>
      </c>
      <c r="I1631" s="37" t="s">
        <v>753</v>
      </c>
      <c r="J1631" s="103">
        <v>-92.802808200000001</v>
      </c>
      <c r="K1631" s="40">
        <v>44.543086600000002</v>
      </c>
      <c r="L1631" s="74"/>
      <c r="M1631" s="272" t="s">
        <v>1953</v>
      </c>
      <c r="N1631" s="74">
        <v>1</v>
      </c>
      <c r="O1631" s="94"/>
      <c r="P1631" s="118">
        <v>1</v>
      </c>
      <c r="Q1631" s="510">
        <v>120</v>
      </c>
      <c r="R1631" s="513">
        <v>120</v>
      </c>
      <c r="S1631" s="41"/>
      <c r="T1631" s="40"/>
      <c r="U1631" s="40">
        <v>8</v>
      </c>
      <c r="V1631" s="119">
        <v>1</v>
      </c>
      <c r="W1631" s="40">
        <v>0</v>
      </c>
      <c r="X1631" s="119">
        <v>1</v>
      </c>
      <c r="Y1631" s="40">
        <v>48</v>
      </c>
      <c r="Z1631" s="119">
        <v>1</v>
      </c>
      <c r="AA1631" s="368">
        <v>0</v>
      </c>
      <c r="AB1631" s="535">
        <v>10</v>
      </c>
      <c r="AC1631" s="39" t="s">
        <v>160</v>
      </c>
      <c r="AD1631" s="75" t="s">
        <v>10</v>
      </c>
      <c r="AE1631" s="95">
        <v>0</v>
      </c>
      <c r="AF1631" s="75">
        <v>0</v>
      </c>
      <c r="AG1631" s="75">
        <v>0</v>
      </c>
      <c r="AH1631" s="75">
        <v>0</v>
      </c>
      <c r="AI1631" s="75">
        <v>0</v>
      </c>
      <c r="AJ1631" s="75">
        <v>0</v>
      </c>
      <c r="AK1631" s="75">
        <v>0</v>
      </c>
      <c r="AL1631" s="95">
        <v>1</v>
      </c>
      <c r="AM1631" s="92">
        <v>0</v>
      </c>
      <c r="AN1631" s="79" t="s">
        <v>81</v>
      </c>
      <c r="AO1631" s="75">
        <v>1</v>
      </c>
      <c r="AP1631" s="75" t="s">
        <v>83</v>
      </c>
      <c r="AQ1631" s="122">
        <v>1</v>
      </c>
      <c r="AR1631" s="515" t="s">
        <v>10</v>
      </c>
      <c r="AS1631" s="95">
        <v>0</v>
      </c>
      <c r="AT1631" s="75">
        <v>0</v>
      </c>
      <c r="AU1631" s="75">
        <v>0</v>
      </c>
      <c r="AV1631" s="75">
        <v>0</v>
      </c>
      <c r="AW1631" s="123">
        <v>0</v>
      </c>
      <c r="AX1631" s="516"/>
      <c r="AY1631" s="75">
        <v>0</v>
      </c>
      <c r="AZ1631" s="77" t="s">
        <v>131</v>
      </c>
      <c r="BA1631" s="78" t="s">
        <v>131</v>
      </c>
      <c r="BB1631" s="78" t="s">
        <v>131</v>
      </c>
      <c r="BC1631" s="78" t="s">
        <v>131</v>
      </c>
      <c r="BD1631" s="78" t="s">
        <v>131</v>
      </c>
      <c r="BE1631" s="78" t="s">
        <v>131</v>
      </c>
      <c r="BF1631" s="78" t="s">
        <v>131</v>
      </c>
      <c r="BG1631" s="78" t="s">
        <v>132</v>
      </c>
      <c r="BH1631" s="75" t="s">
        <v>5970</v>
      </c>
      <c r="BI1631" s="295" t="s">
        <v>2224</v>
      </c>
      <c r="BJ1631" s="546">
        <v>1</v>
      </c>
      <c r="BK1631" s="294">
        <v>1</v>
      </c>
      <c r="BL1631" s="157">
        <v>1</v>
      </c>
      <c r="BM1631" s="548" t="s">
        <v>2343</v>
      </c>
      <c r="BN1631" s="548" t="s">
        <v>4161</v>
      </c>
      <c r="BO1631" s="157" t="s">
        <v>4510</v>
      </c>
      <c r="BP1631" s="548" t="s">
        <v>753</v>
      </c>
      <c r="BQ1631" s="157" t="s">
        <v>4389</v>
      </c>
      <c r="BR1631" s="157"/>
    </row>
    <row r="1632" spans="1:70" x14ac:dyDescent="0.25">
      <c r="A1632" s="19" t="s">
        <v>3686</v>
      </c>
      <c r="B1632" s="37" t="s">
        <v>1954</v>
      </c>
      <c r="C1632" s="90">
        <v>44695.939652777779</v>
      </c>
      <c r="D1632" s="114">
        <v>44695.689652777779</v>
      </c>
      <c r="E1632" s="38">
        <v>44695</v>
      </c>
      <c r="F1632" s="91">
        <v>2022</v>
      </c>
      <c r="G1632" s="93">
        <v>5</v>
      </c>
      <c r="H1632" s="37" t="s">
        <v>1616</v>
      </c>
      <c r="I1632" s="37" t="s">
        <v>1212</v>
      </c>
      <c r="J1632" s="103">
        <v>-92.236439500000003</v>
      </c>
      <c r="K1632" s="40">
        <v>44.840137599999998</v>
      </c>
      <c r="L1632" s="74"/>
      <c r="M1632" s="272" t="s">
        <v>16</v>
      </c>
      <c r="N1632" s="74">
        <v>0</v>
      </c>
      <c r="O1632" s="94"/>
      <c r="P1632" s="118">
        <v>1</v>
      </c>
      <c r="Q1632" s="510">
        <v>40</v>
      </c>
      <c r="R1632" s="513">
        <v>60</v>
      </c>
      <c r="S1632" s="41"/>
      <c r="T1632" s="40"/>
      <c r="U1632" s="40">
        <v>7</v>
      </c>
      <c r="V1632" s="119">
        <v>1</v>
      </c>
      <c r="W1632" s="40">
        <v>100</v>
      </c>
      <c r="X1632" s="119">
        <v>1</v>
      </c>
      <c r="Y1632" s="40">
        <v>66</v>
      </c>
      <c r="Z1632" s="119">
        <v>1</v>
      </c>
      <c r="AA1632" s="368">
        <v>0</v>
      </c>
      <c r="AB1632" s="535">
        <v>1</v>
      </c>
      <c r="AC1632" s="39" t="s">
        <v>160</v>
      </c>
      <c r="AD1632" s="75" t="s">
        <v>16</v>
      </c>
      <c r="AE1632" s="95">
        <v>-1</v>
      </c>
      <c r="AF1632" s="75">
        <v>-1</v>
      </c>
      <c r="AG1632" s="75">
        <v>-1</v>
      </c>
      <c r="AH1632" s="75">
        <v>-1</v>
      </c>
      <c r="AI1632" s="75">
        <v>-1</v>
      </c>
      <c r="AJ1632" s="75">
        <v>-1</v>
      </c>
      <c r="AK1632" s="75">
        <v>-1</v>
      </c>
      <c r="AL1632" s="95">
        <v>-1</v>
      </c>
      <c r="AM1632" s="92">
        <v>1</v>
      </c>
      <c r="AN1632" s="79" t="s">
        <v>195</v>
      </c>
      <c r="AO1632" s="75">
        <v>1</v>
      </c>
      <c r="AP1632" s="75" t="s">
        <v>85</v>
      </c>
      <c r="AQ1632" s="122">
        <v>1</v>
      </c>
      <c r="AR1632" s="515" t="s">
        <v>13</v>
      </c>
      <c r="AS1632" s="95">
        <v>1</v>
      </c>
      <c r="AT1632" s="75">
        <v>0</v>
      </c>
      <c r="AU1632" s="75">
        <v>0</v>
      </c>
      <c r="AV1632" s="75">
        <v>0</v>
      </c>
      <c r="AW1632" s="123">
        <v>0</v>
      </c>
      <c r="AX1632" s="516"/>
      <c r="AY1632" s="75">
        <v>0</v>
      </c>
      <c r="AZ1632" s="77" t="s">
        <v>5971</v>
      </c>
      <c r="BA1632" s="78" t="s">
        <v>5971</v>
      </c>
      <c r="BB1632" s="78" t="s">
        <v>5971</v>
      </c>
      <c r="BC1632" s="78" t="s">
        <v>5971</v>
      </c>
      <c r="BD1632" s="78" t="s">
        <v>5971</v>
      </c>
      <c r="BE1632" s="78" t="s">
        <v>5971</v>
      </c>
      <c r="BF1632" s="78" t="s">
        <v>5971</v>
      </c>
      <c r="BG1632" s="78" t="s">
        <v>5971</v>
      </c>
      <c r="BH1632" s="75" t="s">
        <v>5971</v>
      </c>
      <c r="BI1632" s="295" t="s">
        <v>2247</v>
      </c>
      <c r="BJ1632" s="546">
        <v>1</v>
      </c>
      <c r="BK1632" s="294">
        <v>1</v>
      </c>
      <c r="BL1632" s="157">
        <v>1</v>
      </c>
      <c r="BM1632" s="548" t="s">
        <v>578</v>
      </c>
      <c r="BN1632" s="548" t="s">
        <v>578</v>
      </c>
      <c r="BO1632" s="157" t="s">
        <v>4318</v>
      </c>
      <c r="BP1632" s="548" t="s">
        <v>4439</v>
      </c>
      <c r="BQ1632" s="157" t="s">
        <v>4316</v>
      </c>
      <c r="BR1632" s="157"/>
    </row>
    <row r="1633" spans="1:70" x14ac:dyDescent="0.25">
      <c r="A1633" s="19" t="s">
        <v>3686</v>
      </c>
      <c r="B1633" s="37" t="s">
        <v>1955</v>
      </c>
      <c r="C1633" s="90">
        <v>44695.731909722221</v>
      </c>
      <c r="D1633" s="114">
        <v>44695.481909722221</v>
      </c>
      <c r="E1633" s="38">
        <v>44695</v>
      </c>
      <c r="F1633" s="91">
        <v>2022</v>
      </c>
      <c r="G1633" s="93">
        <v>5</v>
      </c>
      <c r="H1633" s="37" t="s">
        <v>596</v>
      </c>
      <c r="I1633" s="37" t="s">
        <v>360</v>
      </c>
      <c r="J1633" s="103">
        <v>-92.643319099999999</v>
      </c>
      <c r="K1633" s="40">
        <v>44.8429109</v>
      </c>
      <c r="L1633" s="74"/>
      <c r="M1633" s="272" t="s">
        <v>16</v>
      </c>
      <c r="N1633" s="74">
        <v>0</v>
      </c>
      <c r="O1633" s="94"/>
      <c r="P1633" s="118">
        <v>1</v>
      </c>
      <c r="Q1633" s="510">
        <v>120</v>
      </c>
      <c r="R1633" s="513">
        <v>60</v>
      </c>
      <c r="S1633" s="41"/>
      <c r="T1633" s="40"/>
      <c r="U1633" s="40">
        <v>7.5</v>
      </c>
      <c r="V1633" s="119">
        <v>1</v>
      </c>
      <c r="W1633" s="40">
        <v>100</v>
      </c>
      <c r="X1633" s="119">
        <v>1</v>
      </c>
      <c r="Y1633" s="40">
        <v>59</v>
      </c>
      <c r="Z1633" s="119">
        <v>0</v>
      </c>
      <c r="AA1633" s="368" t="s">
        <v>16</v>
      </c>
      <c r="AB1633" s="535" t="s">
        <v>16</v>
      </c>
      <c r="AC1633" s="39" t="s">
        <v>160</v>
      </c>
      <c r="AD1633" s="75" t="s">
        <v>10</v>
      </c>
      <c r="AE1633" s="95">
        <v>0</v>
      </c>
      <c r="AF1633" s="75">
        <v>0</v>
      </c>
      <c r="AG1633" s="75">
        <v>0</v>
      </c>
      <c r="AH1633" s="75">
        <v>0</v>
      </c>
      <c r="AI1633" s="75">
        <v>0</v>
      </c>
      <c r="AJ1633" s="75">
        <v>0</v>
      </c>
      <c r="AK1633" s="75">
        <v>0</v>
      </c>
      <c r="AL1633" s="95">
        <v>1</v>
      </c>
      <c r="AM1633" s="92">
        <v>0</v>
      </c>
      <c r="AN1633" s="79" t="s">
        <v>80</v>
      </c>
      <c r="AO1633" s="75">
        <v>1</v>
      </c>
      <c r="AP1633" s="75" t="s">
        <v>83</v>
      </c>
      <c r="AQ1633" s="122">
        <v>1</v>
      </c>
      <c r="AR1633" s="515" t="s">
        <v>10</v>
      </c>
      <c r="AS1633" s="95">
        <v>0</v>
      </c>
      <c r="AT1633" s="75">
        <v>0</v>
      </c>
      <c r="AU1633" s="75">
        <v>0</v>
      </c>
      <c r="AV1633" s="75">
        <v>0</v>
      </c>
      <c r="AW1633" s="123">
        <v>0</v>
      </c>
      <c r="AX1633" s="516"/>
      <c r="AY1633" s="75">
        <v>0</v>
      </c>
      <c r="AZ1633" s="77" t="s">
        <v>131</v>
      </c>
      <c r="BA1633" s="78" t="s">
        <v>131</v>
      </c>
      <c r="BB1633" s="78" t="s">
        <v>131</v>
      </c>
      <c r="BC1633" s="78" t="s">
        <v>131</v>
      </c>
      <c r="BD1633" s="78" t="s">
        <v>131</v>
      </c>
      <c r="BE1633" s="78" t="s">
        <v>131</v>
      </c>
      <c r="BF1633" s="78" t="s">
        <v>131</v>
      </c>
      <c r="BG1633" s="78" t="s">
        <v>132</v>
      </c>
      <c r="BH1633" s="75" t="s">
        <v>5970</v>
      </c>
      <c r="BI1633" s="295" t="s">
        <v>2227</v>
      </c>
      <c r="BJ1633" s="546">
        <v>1</v>
      </c>
      <c r="BK1633" s="294" t="s">
        <v>16</v>
      </c>
      <c r="BL1633" s="157" t="s">
        <v>16</v>
      </c>
      <c r="BM1633" s="548" t="s">
        <v>578</v>
      </c>
      <c r="BN1633" s="548" t="s">
        <v>578</v>
      </c>
      <c r="BO1633" s="157" t="s">
        <v>4341</v>
      </c>
      <c r="BP1633" s="548" t="s">
        <v>4343</v>
      </c>
      <c r="BQ1633" s="157" t="s">
        <v>4309</v>
      </c>
      <c r="BR1633" s="157"/>
    </row>
    <row r="1634" spans="1:70" x14ac:dyDescent="0.25">
      <c r="A1634" s="19" t="s">
        <v>3686</v>
      </c>
      <c r="B1634" s="37" t="s">
        <v>1956</v>
      </c>
      <c r="C1634" s="90">
        <v>44693.97861111111</v>
      </c>
      <c r="D1634" s="114">
        <v>44693.72861111111</v>
      </c>
      <c r="E1634" s="38">
        <v>44693</v>
      </c>
      <c r="F1634" s="91">
        <v>2022</v>
      </c>
      <c r="G1634" s="93">
        <v>5</v>
      </c>
      <c r="H1634" s="37" t="s">
        <v>1613</v>
      </c>
      <c r="I1634" s="37" t="s">
        <v>16</v>
      </c>
      <c r="J1634" s="103">
        <v>-92.929871197684662</v>
      </c>
      <c r="K1634" s="40">
        <v>44.370327538763064</v>
      </c>
      <c r="L1634" s="74"/>
      <c r="M1634" s="272" t="s">
        <v>1957</v>
      </c>
      <c r="N1634" s="74">
        <v>1</v>
      </c>
      <c r="O1634" s="94"/>
      <c r="P1634" s="118">
        <v>1</v>
      </c>
      <c r="Q1634" s="510">
        <v>180</v>
      </c>
      <c r="R1634" s="513">
        <v>120</v>
      </c>
      <c r="S1634" s="41"/>
      <c r="T1634" s="40"/>
      <c r="U1634" s="40">
        <v>8</v>
      </c>
      <c r="V1634" s="119">
        <v>1</v>
      </c>
      <c r="W1634" s="40">
        <v>200</v>
      </c>
      <c r="X1634" s="119">
        <v>1</v>
      </c>
      <c r="Y1634" s="40">
        <v>66</v>
      </c>
      <c r="Z1634" s="119">
        <v>1</v>
      </c>
      <c r="AA1634" s="368">
        <v>0</v>
      </c>
      <c r="AB1634" s="535">
        <v>10</v>
      </c>
      <c r="AC1634" s="39" t="s">
        <v>160</v>
      </c>
      <c r="AD1634" s="75" t="s">
        <v>8</v>
      </c>
      <c r="AE1634" s="95">
        <v>0</v>
      </c>
      <c r="AF1634" s="75">
        <v>1</v>
      </c>
      <c r="AG1634" s="75">
        <v>0</v>
      </c>
      <c r="AH1634" s="75">
        <v>0</v>
      </c>
      <c r="AI1634" s="75">
        <v>0</v>
      </c>
      <c r="AJ1634" s="75">
        <v>0</v>
      </c>
      <c r="AK1634" s="75">
        <v>0</v>
      </c>
      <c r="AL1634" s="95">
        <v>0</v>
      </c>
      <c r="AM1634" s="92">
        <v>0</v>
      </c>
      <c r="AN1634" s="79" t="s">
        <v>195</v>
      </c>
      <c r="AO1634" s="75">
        <v>1</v>
      </c>
      <c r="AP1634" s="75" t="s">
        <v>85</v>
      </c>
      <c r="AQ1634" s="122">
        <v>1</v>
      </c>
      <c r="AR1634" s="515" t="s">
        <v>10</v>
      </c>
      <c r="AS1634" s="95">
        <v>0</v>
      </c>
      <c r="AT1634" s="75">
        <v>0</v>
      </c>
      <c r="AU1634" s="75">
        <v>0</v>
      </c>
      <c r="AV1634" s="75">
        <v>0</v>
      </c>
      <c r="AW1634" s="123">
        <v>0</v>
      </c>
      <c r="AX1634" s="516" t="s">
        <v>1958</v>
      </c>
      <c r="AY1634" s="75">
        <v>1</v>
      </c>
      <c r="AZ1634" s="77" t="s">
        <v>131</v>
      </c>
      <c r="BA1634" s="78" t="s">
        <v>132</v>
      </c>
      <c r="BB1634" s="78" t="s">
        <v>131</v>
      </c>
      <c r="BC1634" s="78" t="s">
        <v>131</v>
      </c>
      <c r="BD1634" s="78" t="s">
        <v>131</v>
      </c>
      <c r="BE1634" s="78" t="s">
        <v>131</v>
      </c>
      <c r="BF1634" s="78" t="s">
        <v>131</v>
      </c>
      <c r="BG1634" s="78" t="s">
        <v>131</v>
      </c>
      <c r="BH1634" s="75" t="s">
        <v>5970</v>
      </c>
      <c r="BI1634" s="295" t="s">
        <v>2253</v>
      </c>
      <c r="BJ1634" s="546">
        <v>1</v>
      </c>
      <c r="BK1634" s="294" t="s">
        <v>16</v>
      </c>
      <c r="BL1634" s="157" t="s">
        <v>16</v>
      </c>
      <c r="BM1634" s="548" t="s">
        <v>1339</v>
      </c>
      <c r="BN1634" s="548" t="s">
        <v>4161</v>
      </c>
      <c r="BO1634" s="157" t="s">
        <v>4295</v>
      </c>
      <c r="BP1634" s="548" t="s">
        <v>4296</v>
      </c>
      <c r="BQ1634" s="157" t="s">
        <v>4294</v>
      </c>
      <c r="BR1634" s="157"/>
    </row>
    <row r="1635" spans="1:70" x14ac:dyDescent="0.25">
      <c r="A1635" s="19" t="s">
        <v>3686</v>
      </c>
      <c r="B1635" s="37" t="s">
        <v>1959</v>
      </c>
      <c r="C1635" s="90">
        <v>44693.875231481485</v>
      </c>
      <c r="D1635" s="114">
        <v>44693.625231481485</v>
      </c>
      <c r="E1635" s="38">
        <v>44693</v>
      </c>
      <c r="F1635" s="91">
        <v>2022</v>
      </c>
      <c r="G1635" s="93">
        <v>5</v>
      </c>
      <c r="H1635" s="37" t="s">
        <v>1391</v>
      </c>
      <c r="I1635" s="37" t="s">
        <v>960</v>
      </c>
      <c r="J1635" s="103">
        <v>-93.008937612262557</v>
      </c>
      <c r="K1635" s="40">
        <v>44.657287951600416</v>
      </c>
      <c r="L1635" s="74"/>
      <c r="M1635" s="272" t="s">
        <v>1960</v>
      </c>
      <c r="N1635" s="74">
        <v>1</v>
      </c>
      <c r="O1635" s="94"/>
      <c r="P1635" s="118">
        <v>1</v>
      </c>
      <c r="Q1635" s="510">
        <v>0</v>
      </c>
      <c r="R1635" s="513">
        <v>60</v>
      </c>
      <c r="S1635" s="41"/>
      <c r="T1635" s="40"/>
      <c r="U1635" s="40">
        <v>7</v>
      </c>
      <c r="V1635" s="119">
        <v>1</v>
      </c>
      <c r="W1635" s="40">
        <v>500</v>
      </c>
      <c r="X1635" s="119">
        <v>1</v>
      </c>
      <c r="Y1635" s="40">
        <v>65</v>
      </c>
      <c r="Z1635" s="119">
        <v>1</v>
      </c>
      <c r="AA1635" s="368">
        <v>0</v>
      </c>
      <c r="AB1635" s="535">
        <v>5</v>
      </c>
      <c r="AC1635" s="39" t="s">
        <v>160</v>
      </c>
      <c r="AD1635" s="75" t="s">
        <v>10</v>
      </c>
      <c r="AE1635" s="95">
        <v>0</v>
      </c>
      <c r="AF1635" s="75">
        <v>0</v>
      </c>
      <c r="AG1635" s="75">
        <v>0</v>
      </c>
      <c r="AH1635" s="75">
        <v>0</v>
      </c>
      <c r="AI1635" s="75">
        <v>0</v>
      </c>
      <c r="AJ1635" s="75">
        <v>0</v>
      </c>
      <c r="AK1635" s="75">
        <v>0</v>
      </c>
      <c r="AL1635" s="95">
        <v>1</v>
      </c>
      <c r="AM1635" s="92">
        <v>0</v>
      </c>
      <c r="AN1635" s="79" t="s">
        <v>86</v>
      </c>
      <c r="AO1635" s="75">
        <v>1</v>
      </c>
      <c r="AP1635" s="75" t="s">
        <v>84</v>
      </c>
      <c r="AQ1635" s="122">
        <v>1</v>
      </c>
      <c r="AR1635" s="515" t="s">
        <v>35</v>
      </c>
      <c r="AS1635" s="95">
        <v>0</v>
      </c>
      <c r="AT1635" s="75">
        <v>1</v>
      </c>
      <c r="AU1635" s="75">
        <v>0</v>
      </c>
      <c r="AV1635" s="75">
        <v>0</v>
      </c>
      <c r="AW1635" s="123">
        <v>0</v>
      </c>
      <c r="AX1635" s="516"/>
      <c r="AY1635" s="75">
        <v>0</v>
      </c>
      <c r="AZ1635" s="77" t="s">
        <v>131</v>
      </c>
      <c r="BA1635" s="78" t="s">
        <v>131</v>
      </c>
      <c r="BB1635" s="78" t="s">
        <v>131</v>
      </c>
      <c r="BC1635" s="78" t="s">
        <v>131</v>
      </c>
      <c r="BD1635" s="78" t="s">
        <v>131</v>
      </c>
      <c r="BE1635" s="78" t="s">
        <v>131</v>
      </c>
      <c r="BF1635" s="78" t="s">
        <v>131</v>
      </c>
      <c r="BG1635" s="78" t="s">
        <v>132</v>
      </c>
      <c r="BH1635" s="75" t="s">
        <v>5970</v>
      </c>
      <c r="BI1635" s="295" t="s">
        <v>2225</v>
      </c>
      <c r="BJ1635" s="546">
        <v>1</v>
      </c>
      <c r="BK1635" s="294" t="s">
        <v>16</v>
      </c>
      <c r="BL1635" s="157" t="s">
        <v>16</v>
      </c>
      <c r="BM1635" s="548" t="s">
        <v>2343</v>
      </c>
      <c r="BN1635" s="548" t="s">
        <v>4161</v>
      </c>
      <c r="BO1635" s="157" t="s">
        <v>4293</v>
      </c>
      <c r="BP1635" s="548" t="s">
        <v>2225</v>
      </c>
      <c r="BQ1635" s="157" t="s">
        <v>4292</v>
      </c>
      <c r="BR1635" s="157"/>
    </row>
    <row r="1636" spans="1:70" x14ac:dyDescent="0.25">
      <c r="A1636" s="19" t="s">
        <v>3686</v>
      </c>
      <c r="B1636" s="37" t="s">
        <v>1961</v>
      </c>
      <c r="C1636" s="90">
        <v>44693.705763888887</v>
      </c>
      <c r="D1636" s="114">
        <v>44693.455763888887</v>
      </c>
      <c r="E1636" s="38">
        <v>44693</v>
      </c>
      <c r="F1636" s="91">
        <v>2022</v>
      </c>
      <c r="G1636" s="93">
        <v>5</v>
      </c>
      <c r="H1636" s="37" t="s">
        <v>625</v>
      </c>
      <c r="I1636" s="37" t="s">
        <v>753</v>
      </c>
      <c r="J1636" s="103">
        <v>-92.801956700000005</v>
      </c>
      <c r="K1636" s="40">
        <v>44.543129999999998</v>
      </c>
      <c r="L1636" s="74"/>
      <c r="M1636" s="272" t="s">
        <v>16</v>
      </c>
      <c r="N1636" s="74">
        <v>0</v>
      </c>
      <c r="O1636" s="94"/>
      <c r="P1636" s="118">
        <v>1</v>
      </c>
      <c r="Q1636" s="510">
        <v>80</v>
      </c>
      <c r="R1636" s="513">
        <v>60</v>
      </c>
      <c r="S1636" s="41"/>
      <c r="T1636" s="40"/>
      <c r="U1636" s="40">
        <v>7.5</v>
      </c>
      <c r="V1636" s="119">
        <v>1</v>
      </c>
      <c r="W1636" s="40">
        <v>0</v>
      </c>
      <c r="X1636" s="119">
        <v>1</v>
      </c>
      <c r="Y1636" s="40">
        <v>57</v>
      </c>
      <c r="Z1636" s="119">
        <v>1</v>
      </c>
      <c r="AA1636" s="368">
        <v>0</v>
      </c>
      <c r="AB1636" s="535">
        <v>10</v>
      </c>
      <c r="AC1636" s="39" t="s">
        <v>160</v>
      </c>
      <c r="AD1636" s="75" t="s">
        <v>10</v>
      </c>
      <c r="AE1636" s="95">
        <v>0</v>
      </c>
      <c r="AF1636" s="75">
        <v>0</v>
      </c>
      <c r="AG1636" s="75">
        <v>0</v>
      </c>
      <c r="AH1636" s="75">
        <v>0</v>
      </c>
      <c r="AI1636" s="75">
        <v>0</v>
      </c>
      <c r="AJ1636" s="75">
        <v>0</v>
      </c>
      <c r="AK1636" s="75">
        <v>0</v>
      </c>
      <c r="AL1636" s="95">
        <v>1</v>
      </c>
      <c r="AM1636" s="92">
        <v>0</v>
      </c>
      <c r="AN1636" s="79" t="s">
        <v>195</v>
      </c>
      <c r="AO1636" s="75">
        <v>1</v>
      </c>
      <c r="AP1636" s="75" t="s">
        <v>84</v>
      </c>
      <c r="AQ1636" s="122">
        <v>1</v>
      </c>
      <c r="AR1636" s="515" t="s">
        <v>35</v>
      </c>
      <c r="AS1636" s="95">
        <v>0</v>
      </c>
      <c r="AT1636" s="75">
        <v>1</v>
      </c>
      <c r="AU1636" s="75">
        <v>0</v>
      </c>
      <c r="AV1636" s="75">
        <v>0</v>
      </c>
      <c r="AW1636" s="123">
        <v>0</v>
      </c>
      <c r="AX1636" s="516"/>
      <c r="AY1636" s="75">
        <v>0</v>
      </c>
      <c r="AZ1636" s="77" t="s">
        <v>131</v>
      </c>
      <c r="BA1636" s="78" t="s">
        <v>131</v>
      </c>
      <c r="BB1636" s="78" t="s">
        <v>131</v>
      </c>
      <c r="BC1636" s="78" t="s">
        <v>131</v>
      </c>
      <c r="BD1636" s="78" t="s">
        <v>131</v>
      </c>
      <c r="BE1636" s="78" t="s">
        <v>131</v>
      </c>
      <c r="BF1636" s="78" t="s">
        <v>131</v>
      </c>
      <c r="BG1636" s="78" t="s">
        <v>132</v>
      </c>
      <c r="BH1636" s="75" t="s">
        <v>5970</v>
      </c>
      <c r="BI1636" s="295" t="s">
        <v>16</v>
      </c>
      <c r="BJ1636" s="546">
        <v>1</v>
      </c>
      <c r="BK1636" s="294">
        <v>1</v>
      </c>
      <c r="BL1636" s="157">
        <v>1</v>
      </c>
      <c r="BM1636" s="548" t="s">
        <v>2343</v>
      </c>
      <c r="BN1636" s="548" t="s">
        <v>4161</v>
      </c>
      <c r="BO1636" s="157" t="s">
        <v>4510</v>
      </c>
      <c r="BP1636" s="548" t="s">
        <v>753</v>
      </c>
      <c r="BQ1636" s="157" t="s">
        <v>4389</v>
      </c>
      <c r="BR1636" s="157"/>
    </row>
    <row r="1637" spans="1:70" x14ac:dyDescent="0.25">
      <c r="A1637" s="19" t="s">
        <v>3686</v>
      </c>
      <c r="B1637" s="37" t="s">
        <v>1962</v>
      </c>
      <c r="C1637" s="90">
        <v>44692.936030092591</v>
      </c>
      <c r="D1637" s="114">
        <v>44692.686030092591</v>
      </c>
      <c r="E1637" s="38">
        <v>44692</v>
      </c>
      <c r="F1637" s="91">
        <v>2022</v>
      </c>
      <c r="G1637" s="93">
        <v>5</v>
      </c>
      <c r="H1637" s="37" t="s">
        <v>475</v>
      </c>
      <c r="I1637" s="37"/>
      <c r="J1637" s="103">
        <v>-92.342476397838766</v>
      </c>
      <c r="K1637" s="40">
        <v>43.773660468909675</v>
      </c>
      <c r="L1637" s="74"/>
      <c r="M1637" s="272" t="s">
        <v>1963</v>
      </c>
      <c r="N1637" s="74">
        <v>1</v>
      </c>
      <c r="O1637" s="94"/>
      <c r="P1637" s="118">
        <v>1</v>
      </c>
      <c r="Q1637" s="510">
        <v>180</v>
      </c>
      <c r="R1637" s="513">
        <v>120</v>
      </c>
      <c r="S1637" s="41"/>
      <c r="T1637" s="40"/>
      <c r="U1637" s="40">
        <v>7.5</v>
      </c>
      <c r="V1637" s="119">
        <v>1</v>
      </c>
      <c r="W1637" s="40">
        <v>100</v>
      </c>
      <c r="X1637" s="119">
        <v>1</v>
      </c>
      <c r="Y1637" s="40">
        <v>0</v>
      </c>
      <c r="Z1637" s="119">
        <v>1</v>
      </c>
      <c r="AA1637" s="368">
        <v>0</v>
      </c>
      <c r="AB1637" s="535">
        <v>5</v>
      </c>
      <c r="AC1637" s="39" t="s">
        <v>160</v>
      </c>
      <c r="AD1637" s="75" t="s">
        <v>10</v>
      </c>
      <c r="AE1637" s="95">
        <v>0</v>
      </c>
      <c r="AF1637" s="75">
        <v>0</v>
      </c>
      <c r="AG1637" s="75">
        <v>0</v>
      </c>
      <c r="AH1637" s="75">
        <v>0</v>
      </c>
      <c r="AI1637" s="75">
        <v>0</v>
      </c>
      <c r="AJ1637" s="75">
        <v>0</v>
      </c>
      <c r="AK1637" s="75">
        <v>0</v>
      </c>
      <c r="AL1637" s="95">
        <v>1</v>
      </c>
      <c r="AM1637" s="92">
        <v>0</v>
      </c>
      <c r="AN1637" s="79" t="s">
        <v>80</v>
      </c>
      <c r="AO1637" s="75">
        <v>1</v>
      </c>
      <c r="AP1637" s="75" t="s">
        <v>83</v>
      </c>
      <c r="AQ1637" s="122">
        <v>1</v>
      </c>
      <c r="AR1637" s="515" t="s">
        <v>10</v>
      </c>
      <c r="AS1637" s="95">
        <v>0</v>
      </c>
      <c r="AT1637" s="75">
        <v>0</v>
      </c>
      <c r="AU1637" s="75">
        <v>0</v>
      </c>
      <c r="AV1637" s="75">
        <v>0</v>
      </c>
      <c r="AW1637" s="123">
        <v>0</v>
      </c>
      <c r="AX1637" s="516" t="s">
        <v>1964</v>
      </c>
      <c r="AY1637" s="75">
        <v>1</v>
      </c>
      <c r="AZ1637" s="77" t="s">
        <v>131</v>
      </c>
      <c r="BA1637" s="78" t="s">
        <v>131</v>
      </c>
      <c r="BB1637" s="78" t="s">
        <v>131</v>
      </c>
      <c r="BC1637" s="78" t="s">
        <v>131</v>
      </c>
      <c r="BD1637" s="78" t="s">
        <v>131</v>
      </c>
      <c r="BE1637" s="78" t="s">
        <v>131</v>
      </c>
      <c r="BF1637" s="78" t="s">
        <v>131</v>
      </c>
      <c r="BG1637" s="78" t="s">
        <v>132</v>
      </c>
      <c r="BH1637" s="75" t="s">
        <v>5970</v>
      </c>
      <c r="BI1637" s="295" t="s">
        <v>2260</v>
      </c>
      <c r="BJ1637" s="546">
        <v>1</v>
      </c>
      <c r="BK1637" s="294" t="s">
        <v>16</v>
      </c>
      <c r="BL1637" s="157" t="s">
        <v>16</v>
      </c>
      <c r="BM1637" s="548" t="s">
        <v>1339</v>
      </c>
      <c r="BN1637" s="548" t="s">
        <v>1339</v>
      </c>
      <c r="BO1637" s="157" t="s">
        <v>4328</v>
      </c>
      <c r="BP1637" s="548" t="s">
        <v>2222</v>
      </c>
      <c r="BQ1637" s="157" t="s">
        <v>4226</v>
      </c>
      <c r="BR1637" s="157"/>
    </row>
    <row r="1638" spans="1:70" x14ac:dyDescent="0.25">
      <c r="A1638" s="19" t="s">
        <v>3686</v>
      </c>
      <c r="B1638" s="37" t="s">
        <v>1965</v>
      </c>
      <c r="C1638" s="90">
        <v>44692.911053240743</v>
      </c>
      <c r="D1638" s="114">
        <v>44692.661053240743</v>
      </c>
      <c r="E1638" s="38">
        <v>44692</v>
      </c>
      <c r="F1638" s="91">
        <v>2022</v>
      </c>
      <c r="G1638" s="93">
        <v>5</v>
      </c>
      <c r="H1638" s="37" t="s">
        <v>475</v>
      </c>
      <c r="I1638" s="37" t="s">
        <v>16</v>
      </c>
      <c r="J1638" s="103">
        <v>-92.278072619896633</v>
      </c>
      <c r="K1638" s="40">
        <v>43.793249395716742</v>
      </c>
      <c r="L1638" s="74"/>
      <c r="M1638" s="272" t="s">
        <v>1966</v>
      </c>
      <c r="N1638" s="74">
        <v>1</v>
      </c>
      <c r="O1638" s="94"/>
      <c r="P1638" s="118">
        <v>1</v>
      </c>
      <c r="Q1638" s="510">
        <v>180</v>
      </c>
      <c r="R1638" s="513">
        <v>180</v>
      </c>
      <c r="S1638" s="41"/>
      <c r="T1638" s="40"/>
      <c r="U1638" s="40">
        <v>8</v>
      </c>
      <c r="V1638" s="119">
        <v>1</v>
      </c>
      <c r="W1638" s="40">
        <v>500</v>
      </c>
      <c r="X1638" s="119">
        <v>1</v>
      </c>
      <c r="Y1638" s="40">
        <v>0</v>
      </c>
      <c r="Z1638" s="119">
        <v>1</v>
      </c>
      <c r="AA1638" s="368">
        <v>0</v>
      </c>
      <c r="AB1638" s="535">
        <v>5</v>
      </c>
      <c r="AC1638" s="39" t="s">
        <v>160</v>
      </c>
      <c r="AD1638" s="75" t="s">
        <v>10</v>
      </c>
      <c r="AE1638" s="95">
        <v>0</v>
      </c>
      <c r="AF1638" s="75">
        <v>0</v>
      </c>
      <c r="AG1638" s="75">
        <v>0</v>
      </c>
      <c r="AH1638" s="75">
        <v>0</v>
      </c>
      <c r="AI1638" s="75">
        <v>0</v>
      </c>
      <c r="AJ1638" s="75">
        <v>0</v>
      </c>
      <c r="AK1638" s="75">
        <v>0</v>
      </c>
      <c r="AL1638" s="95">
        <v>1</v>
      </c>
      <c r="AM1638" s="92">
        <v>0</v>
      </c>
      <c r="AN1638" s="79"/>
      <c r="AO1638" s="75">
        <v>0</v>
      </c>
      <c r="AP1638" s="75"/>
      <c r="AQ1638" s="122">
        <v>0</v>
      </c>
      <c r="AR1638" s="515" t="s">
        <v>16</v>
      </c>
      <c r="AS1638" s="95">
        <v>-1</v>
      </c>
      <c r="AT1638" s="75">
        <v>-1</v>
      </c>
      <c r="AU1638" s="75">
        <v>-1</v>
      </c>
      <c r="AV1638" s="75">
        <v>-1</v>
      </c>
      <c r="AW1638" s="123">
        <v>1</v>
      </c>
      <c r="AX1638" s="516" t="s">
        <v>1967</v>
      </c>
      <c r="AY1638" s="75">
        <v>1</v>
      </c>
      <c r="AZ1638" s="77" t="s">
        <v>131</v>
      </c>
      <c r="BA1638" s="78" t="s">
        <v>131</v>
      </c>
      <c r="BB1638" s="78" t="s">
        <v>131</v>
      </c>
      <c r="BC1638" s="78" t="s">
        <v>131</v>
      </c>
      <c r="BD1638" s="78" t="s">
        <v>131</v>
      </c>
      <c r="BE1638" s="78" t="s">
        <v>131</v>
      </c>
      <c r="BF1638" s="78" t="s">
        <v>131</v>
      </c>
      <c r="BG1638" s="78" t="s">
        <v>132</v>
      </c>
      <c r="BH1638" s="75" t="s">
        <v>5970</v>
      </c>
      <c r="BI1638" s="295" t="s">
        <v>2251</v>
      </c>
      <c r="BJ1638" s="546">
        <v>1</v>
      </c>
      <c r="BK1638" s="294">
        <v>1</v>
      </c>
      <c r="BL1638" s="157">
        <v>1</v>
      </c>
      <c r="BM1638" s="548" t="s">
        <v>1339</v>
      </c>
      <c r="BN1638" s="548" t="s">
        <v>1339</v>
      </c>
      <c r="BO1638" s="157" t="s">
        <v>4329</v>
      </c>
      <c r="BP1638" s="548" t="s">
        <v>4228</v>
      </c>
      <c r="BQ1638" s="157" t="s">
        <v>4226</v>
      </c>
      <c r="BR1638" s="157"/>
    </row>
    <row r="1639" spans="1:70" x14ac:dyDescent="0.25">
      <c r="A1639" s="19" t="s">
        <v>3686</v>
      </c>
      <c r="B1639" s="37" t="s">
        <v>1968</v>
      </c>
      <c r="C1639" s="90">
        <v>44691.804120370369</v>
      </c>
      <c r="D1639" s="114">
        <v>44691.554120370369</v>
      </c>
      <c r="E1639" s="38">
        <v>44691</v>
      </c>
      <c r="F1639" s="91">
        <v>2022</v>
      </c>
      <c r="G1639" s="93">
        <v>5</v>
      </c>
      <c r="H1639" s="37" t="s">
        <v>1133</v>
      </c>
      <c r="I1639" s="37" t="s">
        <v>16</v>
      </c>
      <c r="J1639" s="103">
        <v>-92.236163810092222</v>
      </c>
      <c r="K1639" s="40">
        <v>43.637036296959408</v>
      </c>
      <c r="L1639" s="74"/>
      <c r="M1639" s="272" t="s">
        <v>1969</v>
      </c>
      <c r="N1639" s="74">
        <v>1</v>
      </c>
      <c r="O1639" s="94"/>
      <c r="P1639" s="118">
        <v>1</v>
      </c>
      <c r="Q1639" s="510">
        <v>120</v>
      </c>
      <c r="R1639" s="513">
        <v>180</v>
      </c>
      <c r="S1639" s="41"/>
      <c r="T1639" s="40"/>
      <c r="U1639" s="40">
        <v>8</v>
      </c>
      <c r="V1639" s="119">
        <v>0</v>
      </c>
      <c r="W1639" s="40"/>
      <c r="X1639" s="119">
        <v>1</v>
      </c>
      <c r="Y1639" s="40">
        <v>53</v>
      </c>
      <c r="Z1639" s="119">
        <v>1</v>
      </c>
      <c r="AA1639" s="368">
        <v>0</v>
      </c>
      <c r="AB1639" s="535">
        <v>10</v>
      </c>
      <c r="AC1639" s="39" t="s">
        <v>160</v>
      </c>
      <c r="AD1639" s="75" t="s">
        <v>10</v>
      </c>
      <c r="AE1639" s="95">
        <v>0</v>
      </c>
      <c r="AF1639" s="75">
        <v>0</v>
      </c>
      <c r="AG1639" s="75">
        <v>0</v>
      </c>
      <c r="AH1639" s="75">
        <v>0</v>
      </c>
      <c r="AI1639" s="75">
        <v>0</v>
      </c>
      <c r="AJ1639" s="75">
        <v>0</v>
      </c>
      <c r="AK1639" s="75">
        <v>0</v>
      </c>
      <c r="AL1639" s="95">
        <v>1</v>
      </c>
      <c r="AM1639" s="92">
        <v>0</v>
      </c>
      <c r="AN1639" s="79" t="s">
        <v>81</v>
      </c>
      <c r="AO1639" s="75">
        <v>1</v>
      </c>
      <c r="AP1639" s="75" t="s">
        <v>83</v>
      </c>
      <c r="AQ1639" s="122">
        <v>1</v>
      </c>
      <c r="AR1639" s="515" t="s">
        <v>10</v>
      </c>
      <c r="AS1639" s="95">
        <v>0</v>
      </c>
      <c r="AT1639" s="75">
        <v>0</v>
      </c>
      <c r="AU1639" s="75">
        <v>0</v>
      </c>
      <c r="AV1639" s="75">
        <v>0</v>
      </c>
      <c r="AW1639" s="123">
        <v>0</v>
      </c>
      <c r="AX1639" s="516" t="s">
        <v>1970</v>
      </c>
      <c r="AY1639" s="75">
        <v>1</v>
      </c>
      <c r="AZ1639" s="77" t="s">
        <v>131</v>
      </c>
      <c r="BA1639" s="78" t="s">
        <v>131</v>
      </c>
      <c r="BB1639" s="78" t="s">
        <v>131</v>
      </c>
      <c r="BC1639" s="78" t="s">
        <v>131</v>
      </c>
      <c r="BD1639" s="78" t="s">
        <v>131</v>
      </c>
      <c r="BE1639" s="78" t="s">
        <v>131</v>
      </c>
      <c r="BF1639" s="78" t="s">
        <v>131</v>
      </c>
      <c r="BG1639" s="78" t="s">
        <v>132</v>
      </c>
      <c r="BH1639" s="75" t="s">
        <v>5970</v>
      </c>
      <c r="BI1639" s="295" t="s">
        <v>2263</v>
      </c>
      <c r="BJ1639" s="546">
        <v>1</v>
      </c>
      <c r="BK1639" s="294" t="s">
        <v>16</v>
      </c>
      <c r="BL1639" s="157" t="s">
        <v>16</v>
      </c>
      <c r="BM1639" s="548" t="s">
        <v>1339</v>
      </c>
      <c r="BN1639" s="548" t="s">
        <v>4161</v>
      </c>
      <c r="BO1639" s="157" t="s">
        <v>4694</v>
      </c>
      <c r="BP1639" s="548" t="s">
        <v>2263</v>
      </c>
      <c r="BQ1639" s="157" t="s">
        <v>4229</v>
      </c>
      <c r="BR1639" s="157"/>
    </row>
    <row r="1640" spans="1:70" x14ac:dyDescent="0.25">
      <c r="A1640" s="19" t="s">
        <v>3686</v>
      </c>
      <c r="B1640" s="37" t="s">
        <v>1971</v>
      </c>
      <c r="C1640" s="90">
        <v>44691.797592592593</v>
      </c>
      <c r="D1640" s="114">
        <v>44691.547592592593</v>
      </c>
      <c r="E1640" s="38">
        <v>44691</v>
      </c>
      <c r="F1640" s="91">
        <v>2022</v>
      </c>
      <c r="G1640" s="93">
        <v>5</v>
      </c>
      <c r="H1640" s="37" t="s">
        <v>611</v>
      </c>
      <c r="I1640" s="37"/>
      <c r="J1640" s="103">
        <v>-92.425115700000006</v>
      </c>
      <c r="K1640" s="40">
        <v>44.295449599999998</v>
      </c>
      <c r="L1640" s="74"/>
      <c r="M1640" s="272" t="s">
        <v>16</v>
      </c>
      <c r="N1640" s="74">
        <v>0</v>
      </c>
      <c r="O1640" s="94"/>
      <c r="P1640" s="118">
        <v>1</v>
      </c>
      <c r="Q1640" s="510">
        <v>240</v>
      </c>
      <c r="R1640" s="513">
        <v>180</v>
      </c>
      <c r="S1640" s="41"/>
      <c r="T1640" s="40"/>
      <c r="U1640" s="40">
        <v>7</v>
      </c>
      <c r="V1640" s="119">
        <v>1</v>
      </c>
      <c r="W1640" s="40">
        <v>100</v>
      </c>
      <c r="X1640" s="119">
        <v>1</v>
      </c>
      <c r="Y1640" s="40">
        <v>55</v>
      </c>
      <c r="Z1640" s="119">
        <v>1</v>
      </c>
      <c r="AA1640" s="368">
        <v>0</v>
      </c>
      <c r="AB1640" s="535">
        <v>5</v>
      </c>
      <c r="AC1640" s="39" t="s">
        <v>160</v>
      </c>
      <c r="AD1640" s="75" t="s">
        <v>10</v>
      </c>
      <c r="AE1640" s="95">
        <v>0</v>
      </c>
      <c r="AF1640" s="75">
        <v>0</v>
      </c>
      <c r="AG1640" s="75">
        <v>0</v>
      </c>
      <c r="AH1640" s="75">
        <v>0</v>
      </c>
      <c r="AI1640" s="75">
        <v>0</v>
      </c>
      <c r="AJ1640" s="75">
        <v>0</v>
      </c>
      <c r="AK1640" s="75">
        <v>0</v>
      </c>
      <c r="AL1640" s="95">
        <v>1</v>
      </c>
      <c r="AM1640" s="92">
        <v>0</v>
      </c>
      <c r="AN1640" s="79" t="s">
        <v>80</v>
      </c>
      <c r="AO1640" s="75">
        <v>1</v>
      </c>
      <c r="AP1640" s="75" t="s">
        <v>83</v>
      </c>
      <c r="AQ1640" s="122">
        <v>1</v>
      </c>
      <c r="AR1640" s="515" t="s">
        <v>10</v>
      </c>
      <c r="AS1640" s="95">
        <v>0</v>
      </c>
      <c r="AT1640" s="75">
        <v>0</v>
      </c>
      <c r="AU1640" s="75">
        <v>0</v>
      </c>
      <c r="AV1640" s="75">
        <v>0</v>
      </c>
      <c r="AW1640" s="123">
        <v>0</v>
      </c>
      <c r="AX1640" s="516" t="s">
        <v>1972</v>
      </c>
      <c r="AY1640" s="75">
        <v>1</v>
      </c>
      <c r="AZ1640" s="77" t="s">
        <v>131</v>
      </c>
      <c r="BA1640" s="78" t="s">
        <v>131</v>
      </c>
      <c r="BB1640" s="78" t="s">
        <v>131</v>
      </c>
      <c r="BC1640" s="78" t="s">
        <v>131</v>
      </c>
      <c r="BD1640" s="78" t="s">
        <v>131</v>
      </c>
      <c r="BE1640" s="78" t="s">
        <v>131</v>
      </c>
      <c r="BF1640" s="78" t="s">
        <v>131</v>
      </c>
      <c r="BG1640" s="78" t="s">
        <v>132</v>
      </c>
      <c r="BH1640" s="75" t="s">
        <v>5970</v>
      </c>
      <c r="BI1640" s="295" t="s">
        <v>2234</v>
      </c>
      <c r="BJ1640" s="546">
        <v>1</v>
      </c>
      <c r="BK1640" s="294">
        <v>1</v>
      </c>
      <c r="BL1640" s="157">
        <v>1</v>
      </c>
      <c r="BM1640" s="548" t="s">
        <v>1339</v>
      </c>
      <c r="BN1640" s="548" t="s">
        <v>1339</v>
      </c>
      <c r="BO1640" s="157" t="s">
        <v>4331</v>
      </c>
      <c r="BP1640" s="548" t="s">
        <v>2234</v>
      </c>
      <c r="BQ1640" s="157" t="s">
        <v>4330</v>
      </c>
      <c r="BR1640" s="157"/>
    </row>
    <row r="1641" spans="1:70" x14ac:dyDescent="0.25">
      <c r="A1641" s="19" t="s">
        <v>3686</v>
      </c>
      <c r="B1641" s="37" t="s">
        <v>1973</v>
      </c>
      <c r="C1641" s="90">
        <v>44691.665821759256</v>
      </c>
      <c r="D1641" s="114">
        <v>44691.415821759256</v>
      </c>
      <c r="E1641" s="38">
        <v>44691</v>
      </c>
      <c r="F1641" s="91">
        <v>2022</v>
      </c>
      <c r="G1641" s="93">
        <v>5</v>
      </c>
      <c r="H1641" s="37" t="s">
        <v>1386</v>
      </c>
      <c r="I1641" s="37" t="s">
        <v>16</v>
      </c>
      <c r="J1641" s="103">
        <v>-92.296646199999998</v>
      </c>
      <c r="K1641" s="40">
        <v>43.7155238</v>
      </c>
      <c r="L1641" s="74"/>
      <c r="M1641" s="272" t="s">
        <v>1974</v>
      </c>
      <c r="N1641" s="74">
        <v>1</v>
      </c>
      <c r="O1641" s="94"/>
      <c r="P1641" s="118">
        <v>1</v>
      </c>
      <c r="Q1641" s="510">
        <v>80</v>
      </c>
      <c r="R1641" s="513">
        <v>180</v>
      </c>
      <c r="S1641" s="41"/>
      <c r="T1641" s="40"/>
      <c r="U1641" s="40">
        <v>8</v>
      </c>
      <c r="V1641" s="119">
        <v>1</v>
      </c>
      <c r="W1641" s="40">
        <v>0</v>
      </c>
      <c r="X1641" s="119">
        <v>1</v>
      </c>
      <c r="Y1641" s="40">
        <v>60</v>
      </c>
      <c r="Z1641" s="119">
        <v>1</v>
      </c>
      <c r="AA1641" s="368">
        <v>0</v>
      </c>
      <c r="AB1641" s="535">
        <v>5</v>
      </c>
      <c r="AC1641" s="39" t="s">
        <v>160</v>
      </c>
      <c r="AD1641" s="75" t="s">
        <v>10</v>
      </c>
      <c r="AE1641" s="95">
        <v>0</v>
      </c>
      <c r="AF1641" s="75">
        <v>0</v>
      </c>
      <c r="AG1641" s="75">
        <v>0</v>
      </c>
      <c r="AH1641" s="75">
        <v>0</v>
      </c>
      <c r="AI1641" s="75">
        <v>0</v>
      </c>
      <c r="AJ1641" s="75">
        <v>0</v>
      </c>
      <c r="AK1641" s="75">
        <v>0</v>
      </c>
      <c r="AL1641" s="95">
        <v>1</v>
      </c>
      <c r="AM1641" s="92">
        <v>0</v>
      </c>
      <c r="AN1641" s="79" t="s">
        <v>80</v>
      </c>
      <c r="AO1641" s="75">
        <v>1</v>
      </c>
      <c r="AP1641" s="75" t="s">
        <v>83</v>
      </c>
      <c r="AQ1641" s="122">
        <v>1</v>
      </c>
      <c r="AR1641" s="515" t="s">
        <v>10</v>
      </c>
      <c r="AS1641" s="95">
        <v>0</v>
      </c>
      <c r="AT1641" s="75">
        <v>0</v>
      </c>
      <c r="AU1641" s="75">
        <v>0</v>
      </c>
      <c r="AV1641" s="75">
        <v>0</v>
      </c>
      <c r="AW1641" s="123">
        <v>0</v>
      </c>
      <c r="AX1641" s="516"/>
      <c r="AY1641" s="75">
        <v>0</v>
      </c>
      <c r="AZ1641" s="77" t="s">
        <v>131</v>
      </c>
      <c r="BA1641" s="78" t="s">
        <v>131</v>
      </c>
      <c r="BB1641" s="78" t="s">
        <v>131</v>
      </c>
      <c r="BC1641" s="78" t="s">
        <v>131</v>
      </c>
      <c r="BD1641" s="78" t="s">
        <v>131</v>
      </c>
      <c r="BE1641" s="78" t="s">
        <v>131</v>
      </c>
      <c r="BF1641" s="78" t="s">
        <v>131</v>
      </c>
      <c r="BG1641" s="78" t="s">
        <v>132</v>
      </c>
      <c r="BH1641" s="75" t="s">
        <v>5970</v>
      </c>
      <c r="BI1641" s="295" t="s">
        <v>2230</v>
      </c>
      <c r="BJ1641" s="546">
        <v>1</v>
      </c>
      <c r="BK1641" s="294" t="s">
        <v>16</v>
      </c>
      <c r="BL1641" s="157" t="s">
        <v>16</v>
      </c>
      <c r="BM1641" s="548" t="s">
        <v>1339</v>
      </c>
      <c r="BN1641" s="548" t="s">
        <v>1339</v>
      </c>
      <c r="BO1641" s="157" t="s">
        <v>4227</v>
      </c>
      <c r="BP1641" s="548" t="s">
        <v>2230</v>
      </c>
      <c r="BQ1641" s="157" t="s">
        <v>4226</v>
      </c>
      <c r="BR1641" s="157"/>
    </row>
    <row r="1642" spans="1:70" x14ac:dyDescent="0.25">
      <c r="A1642" s="19" t="s">
        <v>3686</v>
      </c>
      <c r="B1642" s="37" t="s">
        <v>1975</v>
      </c>
      <c r="C1642" s="90">
        <v>44691.625925925924</v>
      </c>
      <c r="D1642" s="114">
        <v>44691.375925925924</v>
      </c>
      <c r="E1642" s="38">
        <v>44691</v>
      </c>
      <c r="F1642" s="91">
        <v>2022</v>
      </c>
      <c r="G1642" s="93">
        <v>5</v>
      </c>
      <c r="H1642" s="37" t="s">
        <v>260</v>
      </c>
      <c r="I1642" s="37" t="s">
        <v>337</v>
      </c>
      <c r="J1642" s="103">
        <v>-92.645002113985527</v>
      </c>
      <c r="K1642" s="40">
        <v>44.843619725204483</v>
      </c>
      <c r="L1642" s="74"/>
      <c r="M1642" s="272" t="s">
        <v>1976</v>
      </c>
      <c r="N1642" s="74">
        <v>1</v>
      </c>
      <c r="O1642" s="94"/>
      <c r="P1642" s="118">
        <v>1</v>
      </c>
      <c r="Q1642" s="510">
        <v>120</v>
      </c>
      <c r="R1642" s="513">
        <v>120</v>
      </c>
      <c r="S1642" s="41"/>
      <c r="T1642" s="40"/>
      <c r="U1642" s="40">
        <v>7.5</v>
      </c>
      <c r="V1642" s="119">
        <v>1</v>
      </c>
      <c r="W1642" s="40">
        <v>0</v>
      </c>
      <c r="X1642" s="119">
        <v>1</v>
      </c>
      <c r="Y1642" s="40">
        <v>55</v>
      </c>
      <c r="Z1642" s="119">
        <v>1</v>
      </c>
      <c r="AA1642" s="368">
        <v>0</v>
      </c>
      <c r="AB1642" s="535">
        <v>5</v>
      </c>
      <c r="AC1642" s="39" t="s">
        <v>160</v>
      </c>
      <c r="AD1642" s="75" t="s">
        <v>10</v>
      </c>
      <c r="AE1642" s="95">
        <v>0</v>
      </c>
      <c r="AF1642" s="75">
        <v>0</v>
      </c>
      <c r="AG1642" s="75">
        <v>0</v>
      </c>
      <c r="AH1642" s="75">
        <v>0</v>
      </c>
      <c r="AI1642" s="75">
        <v>0</v>
      </c>
      <c r="AJ1642" s="75">
        <v>0</v>
      </c>
      <c r="AK1642" s="75">
        <v>0</v>
      </c>
      <c r="AL1642" s="95">
        <v>1</v>
      </c>
      <c r="AM1642" s="92">
        <v>0</v>
      </c>
      <c r="AN1642" s="79" t="s">
        <v>195</v>
      </c>
      <c r="AO1642" s="75">
        <v>1</v>
      </c>
      <c r="AP1642" s="75" t="s">
        <v>84</v>
      </c>
      <c r="AQ1642" s="122">
        <v>1</v>
      </c>
      <c r="AR1642" s="515" t="s">
        <v>13</v>
      </c>
      <c r="AS1642" s="95">
        <v>1</v>
      </c>
      <c r="AT1642" s="75">
        <v>0</v>
      </c>
      <c r="AU1642" s="75">
        <v>0</v>
      </c>
      <c r="AV1642" s="75">
        <v>0</v>
      </c>
      <c r="AW1642" s="123">
        <v>0</v>
      </c>
      <c r="AX1642" s="516" t="s">
        <v>1977</v>
      </c>
      <c r="AY1642" s="75">
        <v>1</v>
      </c>
      <c r="AZ1642" s="77" t="s">
        <v>131</v>
      </c>
      <c r="BA1642" s="78" t="s">
        <v>131</v>
      </c>
      <c r="BB1642" s="78" t="s">
        <v>131</v>
      </c>
      <c r="BC1642" s="78" t="s">
        <v>131</v>
      </c>
      <c r="BD1642" s="78" t="s">
        <v>131</v>
      </c>
      <c r="BE1642" s="78" t="s">
        <v>131</v>
      </c>
      <c r="BF1642" s="78" t="s">
        <v>131</v>
      </c>
      <c r="BG1642" s="78" t="s">
        <v>132</v>
      </c>
      <c r="BH1642" s="75" t="s">
        <v>5970</v>
      </c>
      <c r="BI1642" s="295" t="s">
        <v>2227</v>
      </c>
      <c r="BJ1642" s="546">
        <v>1</v>
      </c>
      <c r="BK1642" s="294" t="s">
        <v>16</v>
      </c>
      <c r="BL1642" s="157" t="s">
        <v>16</v>
      </c>
      <c r="BM1642" s="548" t="s">
        <v>578</v>
      </c>
      <c r="BN1642" s="548" t="s">
        <v>578</v>
      </c>
      <c r="BO1642" s="157" t="s">
        <v>4341</v>
      </c>
      <c r="BP1642" s="548" t="s">
        <v>4343</v>
      </c>
      <c r="BQ1642" s="157" t="s">
        <v>4309</v>
      </c>
      <c r="BR1642" s="157"/>
    </row>
    <row r="1643" spans="1:70" x14ac:dyDescent="0.25">
      <c r="A1643" s="19" t="s">
        <v>3686</v>
      </c>
      <c r="B1643" s="37" t="s">
        <v>1978</v>
      </c>
      <c r="C1643" s="90">
        <v>44690.905729166669</v>
      </c>
      <c r="D1643" s="114">
        <v>44690.655729166669</v>
      </c>
      <c r="E1643" s="38">
        <v>44690</v>
      </c>
      <c r="F1643" s="91">
        <v>2022</v>
      </c>
      <c r="G1643" s="93">
        <v>5</v>
      </c>
      <c r="H1643" s="37" t="s">
        <v>615</v>
      </c>
      <c r="I1643" s="37"/>
      <c r="J1643" s="103">
        <v>-92.563690199999996</v>
      </c>
      <c r="K1643" s="40">
        <v>44.502650299999999</v>
      </c>
      <c r="L1643" s="74"/>
      <c r="M1643" s="272" t="s">
        <v>16</v>
      </c>
      <c r="N1643" s="74">
        <v>0</v>
      </c>
      <c r="O1643" s="94"/>
      <c r="P1643" s="118">
        <v>1</v>
      </c>
      <c r="Q1643" s="510">
        <v>120</v>
      </c>
      <c r="R1643" s="513">
        <v>180</v>
      </c>
      <c r="S1643" s="41"/>
      <c r="T1643" s="40"/>
      <c r="U1643" s="40">
        <v>7.5</v>
      </c>
      <c r="V1643" s="119">
        <v>1</v>
      </c>
      <c r="W1643" s="40">
        <v>0</v>
      </c>
      <c r="X1643" s="119">
        <v>1</v>
      </c>
      <c r="Y1643" s="40">
        <v>59</v>
      </c>
      <c r="Z1643" s="119">
        <v>1</v>
      </c>
      <c r="AA1643" s="368">
        <v>0</v>
      </c>
      <c r="AB1643" s="535">
        <v>2</v>
      </c>
      <c r="AC1643" s="39" t="s">
        <v>160</v>
      </c>
      <c r="AD1643" s="75" t="s">
        <v>10</v>
      </c>
      <c r="AE1643" s="95">
        <v>0</v>
      </c>
      <c r="AF1643" s="75">
        <v>0</v>
      </c>
      <c r="AG1643" s="75">
        <v>0</v>
      </c>
      <c r="AH1643" s="75">
        <v>0</v>
      </c>
      <c r="AI1643" s="75">
        <v>0</v>
      </c>
      <c r="AJ1643" s="75">
        <v>0</v>
      </c>
      <c r="AK1643" s="75">
        <v>0</v>
      </c>
      <c r="AL1643" s="95">
        <v>1</v>
      </c>
      <c r="AM1643" s="92">
        <v>0</v>
      </c>
      <c r="AN1643" s="79" t="s">
        <v>80</v>
      </c>
      <c r="AO1643" s="75">
        <v>1</v>
      </c>
      <c r="AP1643" s="75" t="s">
        <v>83</v>
      </c>
      <c r="AQ1643" s="122">
        <v>1</v>
      </c>
      <c r="AR1643" s="515" t="s">
        <v>10</v>
      </c>
      <c r="AS1643" s="95">
        <v>0</v>
      </c>
      <c r="AT1643" s="75">
        <v>0</v>
      </c>
      <c r="AU1643" s="75">
        <v>0</v>
      </c>
      <c r="AV1643" s="75">
        <v>0</v>
      </c>
      <c r="AW1643" s="123">
        <v>0</v>
      </c>
      <c r="AX1643" s="516" t="s">
        <v>1979</v>
      </c>
      <c r="AY1643" s="75">
        <v>1</v>
      </c>
      <c r="AZ1643" s="77" t="s">
        <v>131</v>
      </c>
      <c r="BA1643" s="78" t="s">
        <v>131</v>
      </c>
      <c r="BB1643" s="78" t="s">
        <v>131</v>
      </c>
      <c r="BC1643" s="78" t="s">
        <v>131</v>
      </c>
      <c r="BD1643" s="78" t="s">
        <v>131</v>
      </c>
      <c r="BE1643" s="78" t="s">
        <v>131</v>
      </c>
      <c r="BF1643" s="78" t="s">
        <v>131</v>
      </c>
      <c r="BG1643" s="78" t="s">
        <v>132</v>
      </c>
      <c r="BH1643" s="75" t="s">
        <v>5970</v>
      </c>
      <c r="BI1643" s="295" t="s">
        <v>2238</v>
      </c>
      <c r="BJ1643" s="546">
        <v>1</v>
      </c>
      <c r="BK1643" s="294" t="s">
        <v>16</v>
      </c>
      <c r="BL1643" s="157" t="s">
        <v>16</v>
      </c>
      <c r="BM1643" s="548" t="s">
        <v>2343</v>
      </c>
      <c r="BN1643" s="548" t="s">
        <v>4161</v>
      </c>
      <c r="BO1643" s="157" t="s">
        <v>4308</v>
      </c>
      <c r="BP1643" s="548" t="s">
        <v>2238</v>
      </c>
      <c r="BQ1643" s="157" t="s">
        <v>4307</v>
      </c>
      <c r="BR1643" s="157"/>
    </row>
    <row r="1644" spans="1:70" x14ac:dyDescent="0.25">
      <c r="A1644" s="19" t="s">
        <v>3686</v>
      </c>
      <c r="B1644" s="37" t="s">
        <v>1980</v>
      </c>
      <c r="C1644" s="90">
        <v>44690.894942129627</v>
      </c>
      <c r="D1644" s="114">
        <v>44690.644942129627</v>
      </c>
      <c r="E1644" s="38">
        <v>44690</v>
      </c>
      <c r="F1644" s="91">
        <v>2022</v>
      </c>
      <c r="G1644" s="93">
        <v>5</v>
      </c>
      <c r="H1644" s="37" t="s">
        <v>615</v>
      </c>
      <c r="I1644" s="37" t="s">
        <v>16</v>
      </c>
      <c r="J1644" s="103">
        <v>-92.575617699999995</v>
      </c>
      <c r="K1644" s="40">
        <v>44.4883533</v>
      </c>
      <c r="L1644" s="74"/>
      <c r="M1644" s="272" t="s">
        <v>16</v>
      </c>
      <c r="N1644" s="74">
        <v>0</v>
      </c>
      <c r="O1644" s="94"/>
      <c r="P1644" s="118">
        <v>1</v>
      </c>
      <c r="Q1644" s="510">
        <v>80</v>
      </c>
      <c r="R1644" s="513">
        <v>180</v>
      </c>
      <c r="S1644" s="41"/>
      <c r="T1644" s="40"/>
      <c r="U1644" s="40">
        <v>7.5</v>
      </c>
      <c r="V1644" s="119">
        <v>1</v>
      </c>
      <c r="W1644" s="40">
        <v>0</v>
      </c>
      <c r="X1644" s="119">
        <v>1</v>
      </c>
      <c r="Y1644" s="40">
        <v>59</v>
      </c>
      <c r="Z1644" s="119">
        <v>1</v>
      </c>
      <c r="AA1644" s="368">
        <v>0</v>
      </c>
      <c r="AB1644" s="535">
        <v>2</v>
      </c>
      <c r="AC1644" s="39" t="s">
        <v>160</v>
      </c>
      <c r="AD1644" s="75" t="s">
        <v>10</v>
      </c>
      <c r="AE1644" s="95">
        <v>0</v>
      </c>
      <c r="AF1644" s="75">
        <v>0</v>
      </c>
      <c r="AG1644" s="75">
        <v>0</v>
      </c>
      <c r="AH1644" s="75">
        <v>0</v>
      </c>
      <c r="AI1644" s="75">
        <v>0</v>
      </c>
      <c r="AJ1644" s="75">
        <v>0</v>
      </c>
      <c r="AK1644" s="75">
        <v>0</v>
      </c>
      <c r="AL1644" s="95">
        <v>1</v>
      </c>
      <c r="AM1644" s="92">
        <v>0</v>
      </c>
      <c r="AN1644" s="79" t="s">
        <v>80</v>
      </c>
      <c r="AO1644" s="75">
        <v>1</v>
      </c>
      <c r="AP1644" s="75" t="s">
        <v>83</v>
      </c>
      <c r="AQ1644" s="122">
        <v>1</v>
      </c>
      <c r="AR1644" s="515" t="s">
        <v>10</v>
      </c>
      <c r="AS1644" s="95">
        <v>0</v>
      </c>
      <c r="AT1644" s="75">
        <v>0</v>
      </c>
      <c r="AU1644" s="75">
        <v>0</v>
      </c>
      <c r="AV1644" s="75">
        <v>0</v>
      </c>
      <c r="AW1644" s="123">
        <v>0</v>
      </c>
      <c r="AX1644" s="516" t="s">
        <v>1981</v>
      </c>
      <c r="AY1644" s="75">
        <v>1</v>
      </c>
      <c r="AZ1644" s="77" t="s">
        <v>131</v>
      </c>
      <c r="BA1644" s="78" t="s">
        <v>131</v>
      </c>
      <c r="BB1644" s="78" t="s">
        <v>131</v>
      </c>
      <c r="BC1644" s="78" t="s">
        <v>131</v>
      </c>
      <c r="BD1644" s="78" t="s">
        <v>131</v>
      </c>
      <c r="BE1644" s="78" t="s">
        <v>131</v>
      </c>
      <c r="BF1644" s="78" t="s">
        <v>131</v>
      </c>
      <c r="BG1644" s="78" t="s">
        <v>132</v>
      </c>
      <c r="BH1644" s="75" t="s">
        <v>5970</v>
      </c>
      <c r="BI1644" s="295" t="s">
        <v>16</v>
      </c>
      <c r="BJ1644" s="546">
        <v>1</v>
      </c>
      <c r="BK1644" s="294" t="s">
        <v>16</v>
      </c>
      <c r="BL1644" s="157" t="s">
        <v>16</v>
      </c>
      <c r="BM1644" s="548" t="s">
        <v>2343</v>
      </c>
      <c r="BN1644" s="548" t="s">
        <v>4161</v>
      </c>
      <c r="BO1644" s="157" t="s">
        <v>4308</v>
      </c>
      <c r="BP1644" s="548" t="s">
        <v>2238</v>
      </c>
      <c r="BQ1644" s="157" t="s">
        <v>4307</v>
      </c>
      <c r="BR1644" s="157"/>
    </row>
    <row r="1645" spans="1:70" x14ac:dyDescent="0.25">
      <c r="A1645" s="19" t="s">
        <v>3686</v>
      </c>
      <c r="B1645" s="37" t="s">
        <v>1982</v>
      </c>
      <c r="C1645" s="90">
        <v>44690.880208333336</v>
      </c>
      <c r="D1645" s="114">
        <v>44690.630208333336</v>
      </c>
      <c r="E1645" s="38">
        <v>44690</v>
      </c>
      <c r="F1645" s="91">
        <v>2022</v>
      </c>
      <c r="G1645" s="93">
        <v>5</v>
      </c>
      <c r="H1645" s="37" t="s">
        <v>615</v>
      </c>
      <c r="I1645" s="37"/>
      <c r="J1645" s="103">
        <v>-92.597278799999998</v>
      </c>
      <c r="K1645" s="40">
        <v>44.472507200000003</v>
      </c>
      <c r="L1645" s="74"/>
      <c r="M1645" s="272" t="s">
        <v>16</v>
      </c>
      <c r="N1645" s="74">
        <v>0</v>
      </c>
      <c r="O1645" s="94"/>
      <c r="P1645" s="118">
        <v>1</v>
      </c>
      <c r="Q1645" s="510">
        <v>80</v>
      </c>
      <c r="R1645" s="513">
        <v>180</v>
      </c>
      <c r="S1645" s="41"/>
      <c r="T1645" s="40"/>
      <c r="U1645" s="40">
        <v>8</v>
      </c>
      <c r="V1645" s="119">
        <v>1</v>
      </c>
      <c r="W1645" s="40">
        <v>0</v>
      </c>
      <c r="X1645" s="119">
        <v>1</v>
      </c>
      <c r="Y1645" s="40">
        <v>56</v>
      </c>
      <c r="Z1645" s="119">
        <v>1</v>
      </c>
      <c r="AA1645" s="368">
        <v>0</v>
      </c>
      <c r="AB1645" s="535">
        <v>2</v>
      </c>
      <c r="AC1645" s="39" t="s">
        <v>160</v>
      </c>
      <c r="AD1645" s="75" t="s">
        <v>10</v>
      </c>
      <c r="AE1645" s="95">
        <v>0</v>
      </c>
      <c r="AF1645" s="75">
        <v>0</v>
      </c>
      <c r="AG1645" s="75">
        <v>0</v>
      </c>
      <c r="AH1645" s="75">
        <v>0</v>
      </c>
      <c r="AI1645" s="75">
        <v>0</v>
      </c>
      <c r="AJ1645" s="75">
        <v>0</v>
      </c>
      <c r="AK1645" s="75">
        <v>0</v>
      </c>
      <c r="AL1645" s="95">
        <v>1</v>
      </c>
      <c r="AM1645" s="92">
        <v>0</v>
      </c>
      <c r="AN1645" s="79" t="s">
        <v>80</v>
      </c>
      <c r="AO1645" s="75">
        <v>1</v>
      </c>
      <c r="AP1645" s="75" t="s">
        <v>83</v>
      </c>
      <c r="AQ1645" s="122">
        <v>1</v>
      </c>
      <c r="AR1645" s="515" t="s">
        <v>10</v>
      </c>
      <c r="AS1645" s="95">
        <v>0</v>
      </c>
      <c r="AT1645" s="75">
        <v>0</v>
      </c>
      <c r="AU1645" s="75">
        <v>0</v>
      </c>
      <c r="AV1645" s="75">
        <v>0</v>
      </c>
      <c r="AW1645" s="123">
        <v>0</v>
      </c>
      <c r="AX1645" s="516" t="s">
        <v>1983</v>
      </c>
      <c r="AY1645" s="75">
        <v>1</v>
      </c>
      <c r="AZ1645" s="77" t="s">
        <v>131</v>
      </c>
      <c r="BA1645" s="78" t="s">
        <v>131</v>
      </c>
      <c r="BB1645" s="78" t="s">
        <v>131</v>
      </c>
      <c r="BC1645" s="78" t="s">
        <v>131</v>
      </c>
      <c r="BD1645" s="78" t="s">
        <v>131</v>
      </c>
      <c r="BE1645" s="78" t="s">
        <v>131</v>
      </c>
      <c r="BF1645" s="78" t="s">
        <v>131</v>
      </c>
      <c r="BG1645" s="78" t="s">
        <v>132</v>
      </c>
      <c r="BH1645" s="75" t="s">
        <v>5970</v>
      </c>
      <c r="BI1645" s="295" t="s">
        <v>2238</v>
      </c>
      <c r="BJ1645" s="546">
        <v>1</v>
      </c>
      <c r="BK1645" s="294" t="s">
        <v>16</v>
      </c>
      <c r="BL1645" s="157" t="s">
        <v>16</v>
      </c>
      <c r="BM1645" s="548" t="s">
        <v>2343</v>
      </c>
      <c r="BN1645" s="548" t="s">
        <v>4161</v>
      </c>
      <c r="BO1645" s="157" t="s">
        <v>4308</v>
      </c>
      <c r="BP1645" s="548" t="s">
        <v>2238</v>
      </c>
      <c r="BQ1645" s="157" t="s">
        <v>4307</v>
      </c>
      <c r="BR1645" s="157"/>
    </row>
    <row r="1646" spans="1:70" x14ac:dyDescent="0.25">
      <c r="A1646" s="19" t="s">
        <v>3686</v>
      </c>
      <c r="B1646" s="37" t="s">
        <v>1984</v>
      </c>
      <c r="C1646" s="90">
        <v>44687.84002314815</v>
      </c>
      <c r="D1646" s="114">
        <v>44687.59002314815</v>
      </c>
      <c r="E1646" s="38">
        <v>44687</v>
      </c>
      <c r="F1646" s="91">
        <v>2022</v>
      </c>
      <c r="G1646" s="93">
        <v>5</v>
      </c>
      <c r="H1646" s="37" t="s">
        <v>1985</v>
      </c>
      <c r="I1646" s="37" t="s">
        <v>146</v>
      </c>
      <c r="J1646" s="103">
        <v>-91.721166699999998</v>
      </c>
      <c r="K1646" s="40">
        <v>42.8244361</v>
      </c>
      <c r="L1646" s="74"/>
      <c r="M1646" s="272" t="s">
        <v>16</v>
      </c>
      <c r="N1646" s="74">
        <v>0</v>
      </c>
      <c r="O1646" s="94"/>
      <c r="P1646" s="118">
        <v>1</v>
      </c>
      <c r="Q1646" s="510">
        <v>80</v>
      </c>
      <c r="R1646" s="513">
        <v>120</v>
      </c>
      <c r="S1646" s="41"/>
      <c r="T1646" s="40"/>
      <c r="U1646" s="40">
        <v>7.5</v>
      </c>
      <c r="V1646" s="119">
        <v>0</v>
      </c>
      <c r="W1646" s="40"/>
      <c r="X1646" s="119">
        <v>0</v>
      </c>
      <c r="Y1646" s="40"/>
      <c r="Z1646" s="119">
        <v>0</v>
      </c>
      <c r="AA1646" s="368" t="s">
        <v>16</v>
      </c>
      <c r="AB1646" s="535" t="s">
        <v>16</v>
      </c>
      <c r="AC1646" s="39" t="s">
        <v>160</v>
      </c>
      <c r="AD1646" s="75" t="s">
        <v>10</v>
      </c>
      <c r="AE1646" s="95">
        <v>0</v>
      </c>
      <c r="AF1646" s="75">
        <v>0</v>
      </c>
      <c r="AG1646" s="75">
        <v>0</v>
      </c>
      <c r="AH1646" s="75">
        <v>0</v>
      </c>
      <c r="AI1646" s="75">
        <v>0</v>
      </c>
      <c r="AJ1646" s="75">
        <v>0</v>
      </c>
      <c r="AK1646" s="75">
        <v>0</v>
      </c>
      <c r="AL1646" s="95">
        <v>1</v>
      </c>
      <c r="AM1646" s="92">
        <v>0</v>
      </c>
      <c r="AN1646" s="79" t="s">
        <v>80</v>
      </c>
      <c r="AO1646" s="75">
        <v>1</v>
      </c>
      <c r="AP1646" s="75" t="s">
        <v>83</v>
      </c>
      <c r="AQ1646" s="122">
        <v>1</v>
      </c>
      <c r="AR1646" s="515" t="s">
        <v>10</v>
      </c>
      <c r="AS1646" s="95">
        <v>0</v>
      </c>
      <c r="AT1646" s="75">
        <v>0</v>
      </c>
      <c r="AU1646" s="75">
        <v>0</v>
      </c>
      <c r="AV1646" s="75">
        <v>0</v>
      </c>
      <c r="AW1646" s="123">
        <v>0</v>
      </c>
      <c r="AX1646" s="516"/>
      <c r="AY1646" s="75">
        <v>0</v>
      </c>
      <c r="AZ1646" s="77" t="s">
        <v>131</v>
      </c>
      <c r="BA1646" s="78" t="s">
        <v>131</v>
      </c>
      <c r="BB1646" s="78" t="s">
        <v>131</v>
      </c>
      <c r="BC1646" s="78" t="s">
        <v>131</v>
      </c>
      <c r="BD1646" s="78" t="s">
        <v>131</v>
      </c>
      <c r="BE1646" s="78" t="s">
        <v>131</v>
      </c>
      <c r="BF1646" s="78" t="s">
        <v>131</v>
      </c>
      <c r="BG1646" s="78" t="s">
        <v>132</v>
      </c>
      <c r="BH1646" s="75" t="s">
        <v>5970</v>
      </c>
      <c r="BI1646" s="295" t="s">
        <v>2288</v>
      </c>
      <c r="BJ1646" s="546">
        <v>1</v>
      </c>
      <c r="BK1646" s="294" t="s">
        <v>16</v>
      </c>
      <c r="BL1646" s="157" t="s">
        <v>16</v>
      </c>
      <c r="BM1646" s="548" t="s">
        <v>1344</v>
      </c>
      <c r="BN1646" s="548" t="s">
        <v>1347</v>
      </c>
      <c r="BO1646" s="157" t="s">
        <v>4572</v>
      </c>
      <c r="BP1646" s="548" t="s">
        <v>4574</v>
      </c>
      <c r="BQ1646" s="157" t="s">
        <v>4571</v>
      </c>
      <c r="BR1646" s="157"/>
    </row>
    <row r="1647" spans="1:70" x14ac:dyDescent="0.25">
      <c r="A1647" s="19" t="s">
        <v>3686</v>
      </c>
      <c r="B1647" s="37" t="s">
        <v>1986</v>
      </c>
      <c r="C1647" s="90">
        <v>44687.759479166663</v>
      </c>
      <c r="D1647" s="114">
        <v>44687.509479166663</v>
      </c>
      <c r="E1647" s="38">
        <v>44687</v>
      </c>
      <c r="F1647" s="91">
        <v>2022</v>
      </c>
      <c r="G1647" s="93">
        <v>5</v>
      </c>
      <c r="H1647" s="37" t="s">
        <v>1985</v>
      </c>
      <c r="I1647" s="37" t="s">
        <v>16</v>
      </c>
      <c r="J1647" s="103">
        <v>-91.651274700000002</v>
      </c>
      <c r="K1647" s="40">
        <v>42.869554100000002</v>
      </c>
      <c r="L1647" s="74"/>
      <c r="M1647" s="272" t="s">
        <v>16</v>
      </c>
      <c r="N1647" s="74">
        <v>0</v>
      </c>
      <c r="O1647" s="94"/>
      <c r="P1647" s="118">
        <v>1</v>
      </c>
      <c r="Q1647" s="510">
        <v>120</v>
      </c>
      <c r="R1647" s="513">
        <v>0</v>
      </c>
      <c r="S1647" s="41"/>
      <c r="T1647" s="40"/>
      <c r="U1647" s="40">
        <v>7.5</v>
      </c>
      <c r="V1647" s="119">
        <v>0</v>
      </c>
      <c r="W1647" s="40"/>
      <c r="X1647" s="119">
        <v>0</v>
      </c>
      <c r="Y1647" s="40"/>
      <c r="Z1647" s="119">
        <v>0</v>
      </c>
      <c r="AA1647" s="368" t="s">
        <v>16</v>
      </c>
      <c r="AB1647" s="535" t="s">
        <v>16</v>
      </c>
      <c r="AC1647" s="39" t="s">
        <v>160</v>
      </c>
      <c r="AD1647" s="75" t="s">
        <v>8</v>
      </c>
      <c r="AE1647" s="95">
        <v>0</v>
      </c>
      <c r="AF1647" s="75">
        <v>1</v>
      </c>
      <c r="AG1647" s="75">
        <v>0</v>
      </c>
      <c r="AH1647" s="75">
        <v>0</v>
      </c>
      <c r="AI1647" s="75">
        <v>0</v>
      </c>
      <c r="AJ1647" s="75">
        <v>0</v>
      </c>
      <c r="AK1647" s="75">
        <v>0</v>
      </c>
      <c r="AL1647" s="95">
        <v>0</v>
      </c>
      <c r="AM1647" s="92">
        <v>0</v>
      </c>
      <c r="AN1647" s="79" t="s">
        <v>80</v>
      </c>
      <c r="AO1647" s="75">
        <v>1</v>
      </c>
      <c r="AP1647" s="75" t="s">
        <v>83</v>
      </c>
      <c r="AQ1647" s="122">
        <v>1</v>
      </c>
      <c r="AR1647" s="515" t="s">
        <v>10</v>
      </c>
      <c r="AS1647" s="95">
        <v>0</v>
      </c>
      <c r="AT1647" s="75">
        <v>0</v>
      </c>
      <c r="AU1647" s="75">
        <v>0</v>
      </c>
      <c r="AV1647" s="75">
        <v>0</v>
      </c>
      <c r="AW1647" s="123">
        <v>0</v>
      </c>
      <c r="AX1647" s="516"/>
      <c r="AY1647" s="75">
        <v>0</v>
      </c>
      <c r="AZ1647" s="77" t="s">
        <v>131</v>
      </c>
      <c r="BA1647" s="78" t="s">
        <v>132</v>
      </c>
      <c r="BB1647" s="78" t="s">
        <v>131</v>
      </c>
      <c r="BC1647" s="78" t="s">
        <v>131</v>
      </c>
      <c r="BD1647" s="78" t="s">
        <v>131</v>
      </c>
      <c r="BE1647" s="78" t="s">
        <v>131</v>
      </c>
      <c r="BF1647" s="78" t="s">
        <v>131</v>
      </c>
      <c r="BG1647" s="78" t="s">
        <v>131</v>
      </c>
      <c r="BH1647" s="75" t="s">
        <v>5970</v>
      </c>
      <c r="BI1647" s="295" t="s">
        <v>16</v>
      </c>
      <c r="BJ1647" s="546">
        <v>1</v>
      </c>
      <c r="BK1647" s="294" t="s">
        <v>16</v>
      </c>
      <c r="BL1647" s="157" t="s">
        <v>16</v>
      </c>
      <c r="BM1647" s="548" t="s">
        <v>1347</v>
      </c>
      <c r="BN1647" s="548" t="s">
        <v>1347</v>
      </c>
      <c r="BO1647" s="157" t="s">
        <v>4564</v>
      </c>
      <c r="BP1647" s="548" t="s">
        <v>2283</v>
      </c>
      <c r="BQ1647" s="157" t="s">
        <v>4563</v>
      </c>
      <c r="BR1647" s="157"/>
    </row>
    <row r="1648" spans="1:70" x14ac:dyDescent="0.25">
      <c r="A1648" s="19" t="s">
        <v>3686</v>
      </c>
      <c r="B1648" s="37" t="s">
        <v>1987</v>
      </c>
      <c r="C1648" s="90">
        <v>44687.600451388891</v>
      </c>
      <c r="D1648" s="114">
        <v>44687.350451388891</v>
      </c>
      <c r="E1648" s="38">
        <v>44687</v>
      </c>
      <c r="F1648" s="91">
        <v>2022</v>
      </c>
      <c r="G1648" s="93">
        <v>5</v>
      </c>
      <c r="H1648" s="37" t="s">
        <v>1985</v>
      </c>
      <c r="I1648" s="37"/>
      <c r="J1648" s="103">
        <v>-91.758851199999995</v>
      </c>
      <c r="K1648" s="40">
        <v>43.291024899999996</v>
      </c>
      <c r="L1648" s="74"/>
      <c r="M1648" s="272" t="s">
        <v>16</v>
      </c>
      <c r="N1648" s="74">
        <v>0</v>
      </c>
      <c r="O1648" s="94"/>
      <c r="P1648" s="118">
        <v>1</v>
      </c>
      <c r="Q1648" s="510">
        <v>80</v>
      </c>
      <c r="R1648" s="513">
        <v>180</v>
      </c>
      <c r="S1648" s="41"/>
      <c r="T1648" s="40"/>
      <c r="U1648" s="40">
        <v>8</v>
      </c>
      <c r="V1648" s="119">
        <v>0</v>
      </c>
      <c r="W1648" s="40"/>
      <c r="X1648" s="119">
        <v>0</v>
      </c>
      <c r="Y1648" s="40"/>
      <c r="Z1648" s="119">
        <v>0</v>
      </c>
      <c r="AA1648" s="368" t="s">
        <v>16</v>
      </c>
      <c r="AB1648" s="535" t="s">
        <v>16</v>
      </c>
      <c r="AC1648" s="39" t="s">
        <v>160</v>
      </c>
      <c r="AD1648" s="75" t="s">
        <v>16</v>
      </c>
      <c r="AE1648" s="95">
        <v>-1</v>
      </c>
      <c r="AF1648" s="75">
        <v>-1</v>
      </c>
      <c r="AG1648" s="75">
        <v>-1</v>
      </c>
      <c r="AH1648" s="75">
        <v>-1</v>
      </c>
      <c r="AI1648" s="75">
        <v>-1</v>
      </c>
      <c r="AJ1648" s="75">
        <v>-1</v>
      </c>
      <c r="AK1648" s="75">
        <v>-1</v>
      </c>
      <c r="AL1648" s="95">
        <v>-1</v>
      </c>
      <c r="AM1648" s="92">
        <v>1</v>
      </c>
      <c r="AN1648" s="79" t="s">
        <v>81</v>
      </c>
      <c r="AO1648" s="75">
        <v>1</v>
      </c>
      <c r="AP1648" s="75" t="s">
        <v>83</v>
      </c>
      <c r="AQ1648" s="122">
        <v>1</v>
      </c>
      <c r="AR1648" s="515" t="s">
        <v>10</v>
      </c>
      <c r="AS1648" s="95">
        <v>0</v>
      </c>
      <c r="AT1648" s="75">
        <v>0</v>
      </c>
      <c r="AU1648" s="75">
        <v>0</v>
      </c>
      <c r="AV1648" s="75">
        <v>0</v>
      </c>
      <c r="AW1648" s="123">
        <v>0</v>
      </c>
      <c r="AX1648" s="516"/>
      <c r="AY1648" s="75">
        <v>0</v>
      </c>
      <c r="AZ1648" s="77" t="s">
        <v>5971</v>
      </c>
      <c r="BA1648" s="78" t="s">
        <v>5971</v>
      </c>
      <c r="BB1648" s="78" t="s">
        <v>5971</v>
      </c>
      <c r="BC1648" s="78" t="s">
        <v>5971</v>
      </c>
      <c r="BD1648" s="78" t="s">
        <v>5971</v>
      </c>
      <c r="BE1648" s="78" t="s">
        <v>5971</v>
      </c>
      <c r="BF1648" s="78" t="s">
        <v>5971</v>
      </c>
      <c r="BG1648" s="78" t="s">
        <v>5971</v>
      </c>
      <c r="BH1648" s="75" t="s">
        <v>5971</v>
      </c>
      <c r="BI1648" s="295" t="s">
        <v>2235</v>
      </c>
      <c r="BJ1648" s="546">
        <v>1</v>
      </c>
      <c r="BK1648" s="294" t="s">
        <v>16</v>
      </c>
      <c r="BL1648" s="157" t="s">
        <v>16</v>
      </c>
      <c r="BM1648" s="548" t="s">
        <v>1344</v>
      </c>
      <c r="BN1648" s="548" t="s">
        <v>1347</v>
      </c>
      <c r="BO1648" s="157" t="s">
        <v>4378</v>
      </c>
      <c r="BP1648" s="548" t="s">
        <v>4618</v>
      </c>
      <c r="BQ1648" s="157" t="s">
        <v>4377</v>
      </c>
      <c r="BR1648" s="157"/>
    </row>
    <row r="1649" spans="1:70" x14ac:dyDescent="0.25">
      <c r="A1649" s="19" t="s">
        <v>3686</v>
      </c>
      <c r="B1649" s="37" t="s">
        <v>1988</v>
      </c>
      <c r="C1649" s="90">
        <v>44686.762129629627</v>
      </c>
      <c r="D1649" s="114">
        <v>44686.512129629627</v>
      </c>
      <c r="E1649" s="38">
        <v>44686</v>
      </c>
      <c r="F1649" s="91">
        <v>2022</v>
      </c>
      <c r="G1649" s="93">
        <v>5</v>
      </c>
      <c r="H1649" s="37" t="s">
        <v>1985</v>
      </c>
      <c r="I1649" s="37" t="s">
        <v>16</v>
      </c>
      <c r="J1649" s="103">
        <v>-91.398786099999995</v>
      </c>
      <c r="K1649" s="40">
        <v>43.407924100000002</v>
      </c>
      <c r="L1649" s="74"/>
      <c r="M1649" s="272" t="s">
        <v>1989</v>
      </c>
      <c r="N1649" s="74">
        <v>1</v>
      </c>
      <c r="O1649" s="94"/>
      <c r="P1649" s="118">
        <v>1</v>
      </c>
      <c r="Q1649" s="510">
        <v>80</v>
      </c>
      <c r="R1649" s="513">
        <v>180</v>
      </c>
      <c r="S1649" s="41"/>
      <c r="T1649" s="40"/>
      <c r="U1649" s="40">
        <v>8</v>
      </c>
      <c r="V1649" s="119">
        <v>0</v>
      </c>
      <c r="W1649" s="40"/>
      <c r="X1649" s="119">
        <v>0</v>
      </c>
      <c r="Y1649" s="40"/>
      <c r="Z1649" s="119">
        <v>0</v>
      </c>
      <c r="AA1649" s="368" t="s">
        <v>16</v>
      </c>
      <c r="AB1649" s="535" t="s">
        <v>16</v>
      </c>
      <c r="AC1649" s="39" t="s">
        <v>160</v>
      </c>
      <c r="AD1649" s="75" t="s">
        <v>16</v>
      </c>
      <c r="AE1649" s="95">
        <v>-1</v>
      </c>
      <c r="AF1649" s="75">
        <v>-1</v>
      </c>
      <c r="AG1649" s="75">
        <v>-1</v>
      </c>
      <c r="AH1649" s="75">
        <v>-1</v>
      </c>
      <c r="AI1649" s="75">
        <v>-1</v>
      </c>
      <c r="AJ1649" s="75">
        <v>-1</v>
      </c>
      <c r="AK1649" s="75">
        <v>-1</v>
      </c>
      <c r="AL1649" s="95">
        <v>-1</v>
      </c>
      <c r="AM1649" s="92">
        <v>1</v>
      </c>
      <c r="AN1649" s="79" t="s">
        <v>80</v>
      </c>
      <c r="AO1649" s="75">
        <v>1</v>
      </c>
      <c r="AP1649" s="75" t="s">
        <v>83</v>
      </c>
      <c r="AQ1649" s="122">
        <v>1</v>
      </c>
      <c r="AR1649" s="515" t="s">
        <v>10</v>
      </c>
      <c r="AS1649" s="95">
        <v>0</v>
      </c>
      <c r="AT1649" s="75">
        <v>0</v>
      </c>
      <c r="AU1649" s="75">
        <v>0</v>
      </c>
      <c r="AV1649" s="75">
        <v>0</v>
      </c>
      <c r="AW1649" s="123">
        <v>0</v>
      </c>
      <c r="AX1649" s="516" t="s">
        <v>1990</v>
      </c>
      <c r="AY1649" s="75">
        <v>1</v>
      </c>
      <c r="AZ1649" s="77" t="s">
        <v>5971</v>
      </c>
      <c r="BA1649" s="78" t="s">
        <v>5971</v>
      </c>
      <c r="BB1649" s="78" t="s">
        <v>5971</v>
      </c>
      <c r="BC1649" s="78" t="s">
        <v>5971</v>
      </c>
      <c r="BD1649" s="78" t="s">
        <v>5971</v>
      </c>
      <c r="BE1649" s="78" t="s">
        <v>5971</v>
      </c>
      <c r="BF1649" s="78" t="s">
        <v>5971</v>
      </c>
      <c r="BG1649" s="78" t="s">
        <v>5971</v>
      </c>
      <c r="BH1649" s="75" t="s">
        <v>5971</v>
      </c>
      <c r="BI1649" s="295" t="s">
        <v>16</v>
      </c>
      <c r="BJ1649" s="546">
        <v>1</v>
      </c>
      <c r="BK1649" s="294" t="s">
        <v>16</v>
      </c>
      <c r="BL1649" s="157" t="s">
        <v>16</v>
      </c>
      <c r="BM1649" s="548" t="s">
        <v>1344</v>
      </c>
      <c r="BN1649" s="548" t="s">
        <v>1347</v>
      </c>
      <c r="BO1649" s="157" t="s">
        <v>4696</v>
      </c>
      <c r="BP1649" s="548" t="s">
        <v>2321</v>
      </c>
      <c r="BQ1649" s="157" t="s">
        <v>4243</v>
      </c>
      <c r="BR1649" s="157"/>
    </row>
    <row r="1650" spans="1:70" x14ac:dyDescent="0.25">
      <c r="A1650" s="19" t="s">
        <v>3686</v>
      </c>
      <c r="B1650" s="37" t="s">
        <v>1991</v>
      </c>
      <c r="C1650" s="90">
        <v>44686.741712962961</v>
      </c>
      <c r="D1650" s="114">
        <v>44686.491712962961</v>
      </c>
      <c r="E1650" s="38">
        <v>44686</v>
      </c>
      <c r="F1650" s="91">
        <v>2022</v>
      </c>
      <c r="G1650" s="93">
        <v>5</v>
      </c>
      <c r="H1650" s="37" t="s">
        <v>604</v>
      </c>
      <c r="I1650" s="37"/>
      <c r="J1650" s="103">
        <v>-93.151624929246637</v>
      </c>
      <c r="K1650" s="40">
        <v>44.640653729480348</v>
      </c>
      <c r="L1650" s="74"/>
      <c r="M1650" s="272" t="s">
        <v>16</v>
      </c>
      <c r="N1650" s="74">
        <v>0</v>
      </c>
      <c r="O1650" s="94"/>
      <c r="P1650" s="118">
        <v>1</v>
      </c>
      <c r="Q1650" s="510">
        <v>180</v>
      </c>
      <c r="R1650" s="513">
        <v>180</v>
      </c>
      <c r="S1650" s="41"/>
      <c r="T1650" s="40"/>
      <c r="U1650" s="40">
        <v>7</v>
      </c>
      <c r="V1650" s="119">
        <v>1</v>
      </c>
      <c r="W1650" s="40">
        <v>0</v>
      </c>
      <c r="X1650" s="119">
        <v>1</v>
      </c>
      <c r="Y1650" s="40">
        <v>50</v>
      </c>
      <c r="Z1650" s="119">
        <v>1</v>
      </c>
      <c r="AA1650" s="368">
        <v>0</v>
      </c>
      <c r="AB1650" s="535">
        <v>2</v>
      </c>
      <c r="AC1650" s="39" t="s">
        <v>160</v>
      </c>
      <c r="AD1650" s="75" t="s">
        <v>10</v>
      </c>
      <c r="AE1650" s="95">
        <v>0</v>
      </c>
      <c r="AF1650" s="75">
        <v>0</v>
      </c>
      <c r="AG1650" s="75">
        <v>0</v>
      </c>
      <c r="AH1650" s="75">
        <v>0</v>
      </c>
      <c r="AI1650" s="75">
        <v>0</v>
      </c>
      <c r="AJ1650" s="75">
        <v>0</v>
      </c>
      <c r="AK1650" s="75">
        <v>0</v>
      </c>
      <c r="AL1650" s="95">
        <v>1</v>
      </c>
      <c r="AM1650" s="92">
        <v>0</v>
      </c>
      <c r="AN1650" s="79" t="s">
        <v>81</v>
      </c>
      <c r="AO1650" s="75">
        <v>1</v>
      </c>
      <c r="AP1650" s="75" t="s">
        <v>84</v>
      </c>
      <c r="AQ1650" s="122">
        <v>1</v>
      </c>
      <c r="AR1650" s="515" t="s">
        <v>10</v>
      </c>
      <c r="AS1650" s="95">
        <v>0</v>
      </c>
      <c r="AT1650" s="75">
        <v>0</v>
      </c>
      <c r="AU1650" s="75">
        <v>0</v>
      </c>
      <c r="AV1650" s="75">
        <v>0</v>
      </c>
      <c r="AW1650" s="123">
        <v>0</v>
      </c>
      <c r="AX1650" s="516"/>
      <c r="AY1650" s="75">
        <v>0</v>
      </c>
      <c r="AZ1650" s="77" t="s">
        <v>131</v>
      </c>
      <c r="BA1650" s="78" t="s">
        <v>131</v>
      </c>
      <c r="BB1650" s="78" t="s">
        <v>131</v>
      </c>
      <c r="BC1650" s="78" t="s">
        <v>131</v>
      </c>
      <c r="BD1650" s="78" t="s">
        <v>131</v>
      </c>
      <c r="BE1650" s="78" t="s">
        <v>131</v>
      </c>
      <c r="BF1650" s="78" t="s">
        <v>131</v>
      </c>
      <c r="BG1650" s="78" t="s">
        <v>132</v>
      </c>
      <c r="BH1650" s="75" t="s">
        <v>5970</v>
      </c>
      <c r="BI1650" s="295" t="s">
        <v>2233</v>
      </c>
      <c r="BJ1650" s="546">
        <v>1</v>
      </c>
      <c r="BK1650" s="294" t="s">
        <v>16</v>
      </c>
      <c r="BL1650" s="157" t="s">
        <v>16</v>
      </c>
      <c r="BM1650" s="548" t="s">
        <v>2343</v>
      </c>
      <c r="BN1650" s="548" t="s">
        <v>4161</v>
      </c>
      <c r="BO1650" s="157" t="s">
        <v>4685</v>
      </c>
      <c r="BP1650" s="548" t="s">
        <v>4686</v>
      </c>
      <c r="BQ1650" s="157" t="s">
        <v>4292</v>
      </c>
      <c r="BR1650" s="157"/>
    </row>
    <row r="1651" spans="1:70" x14ac:dyDescent="0.25">
      <c r="A1651" s="19" t="s">
        <v>3686</v>
      </c>
      <c r="B1651" s="37" t="s">
        <v>1992</v>
      </c>
      <c r="C1651" s="90">
        <v>44686.741018518522</v>
      </c>
      <c r="D1651" s="114">
        <v>44686.491018518522</v>
      </c>
      <c r="E1651" s="38">
        <v>44686</v>
      </c>
      <c r="F1651" s="91">
        <v>2022</v>
      </c>
      <c r="G1651" s="93">
        <v>5</v>
      </c>
      <c r="H1651" s="37" t="s">
        <v>624</v>
      </c>
      <c r="I1651" s="37"/>
      <c r="J1651" s="103">
        <v>-93.151602138541662</v>
      </c>
      <c r="K1651" s="40">
        <v>44.64069590465818</v>
      </c>
      <c r="L1651" s="74"/>
      <c r="M1651" s="272" t="s">
        <v>16</v>
      </c>
      <c r="N1651" s="74">
        <v>0</v>
      </c>
      <c r="O1651" s="94"/>
      <c r="P1651" s="118">
        <v>1</v>
      </c>
      <c r="Q1651" s="510">
        <v>180</v>
      </c>
      <c r="R1651" s="513">
        <v>180</v>
      </c>
      <c r="S1651" s="41"/>
      <c r="T1651" s="40"/>
      <c r="U1651" s="40">
        <v>7.5</v>
      </c>
      <c r="V1651" s="119">
        <v>0</v>
      </c>
      <c r="W1651" s="40"/>
      <c r="X1651" s="119">
        <v>1</v>
      </c>
      <c r="Y1651" s="40">
        <v>51</v>
      </c>
      <c r="Z1651" s="119">
        <v>0</v>
      </c>
      <c r="AA1651" s="368" t="s">
        <v>16</v>
      </c>
      <c r="AB1651" s="535" t="s">
        <v>16</v>
      </c>
      <c r="AC1651" s="39" t="s">
        <v>160</v>
      </c>
      <c r="AD1651" s="75" t="s">
        <v>9</v>
      </c>
      <c r="AE1651" s="95">
        <v>0</v>
      </c>
      <c r="AF1651" s="75">
        <v>0</v>
      </c>
      <c r="AG1651" s="75">
        <v>1</v>
      </c>
      <c r="AH1651" s="75">
        <v>0</v>
      </c>
      <c r="AI1651" s="75">
        <v>0</v>
      </c>
      <c r="AJ1651" s="75">
        <v>0</v>
      </c>
      <c r="AK1651" s="75">
        <v>0</v>
      </c>
      <c r="AL1651" s="95">
        <v>0</v>
      </c>
      <c r="AM1651" s="92">
        <v>0</v>
      </c>
      <c r="AN1651" s="79" t="s">
        <v>81</v>
      </c>
      <c r="AO1651" s="75">
        <v>1</v>
      </c>
      <c r="AP1651" s="75" t="s">
        <v>83</v>
      </c>
      <c r="AQ1651" s="122">
        <v>1</v>
      </c>
      <c r="AR1651" s="515" t="s">
        <v>10</v>
      </c>
      <c r="AS1651" s="95">
        <v>0</v>
      </c>
      <c r="AT1651" s="75">
        <v>0</v>
      </c>
      <c r="AU1651" s="75">
        <v>0</v>
      </c>
      <c r="AV1651" s="75">
        <v>0</v>
      </c>
      <c r="AW1651" s="123">
        <v>0</v>
      </c>
      <c r="AX1651" s="516"/>
      <c r="AY1651" s="75">
        <v>0</v>
      </c>
      <c r="AZ1651" s="77" t="s">
        <v>131</v>
      </c>
      <c r="BA1651" s="78" t="s">
        <v>131</v>
      </c>
      <c r="BB1651" s="78" t="s">
        <v>132</v>
      </c>
      <c r="BC1651" s="78" t="s">
        <v>131</v>
      </c>
      <c r="BD1651" s="78" t="s">
        <v>131</v>
      </c>
      <c r="BE1651" s="78" t="s">
        <v>131</v>
      </c>
      <c r="BF1651" s="78" t="s">
        <v>131</v>
      </c>
      <c r="BG1651" s="78" t="s">
        <v>131</v>
      </c>
      <c r="BH1651" s="75" t="s">
        <v>5970</v>
      </c>
      <c r="BI1651" s="295" t="s">
        <v>2233</v>
      </c>
      <c r="BJ1651" s="546">
        <v>1</v>
      </c>
      <c r="BK1651" s="294" t="s">
        <v>16</v>
      </c>
      <c r="BL1651" s="157" t="s">
        <v>16</v>
      </c>
      <c r="BM1651" s="548" t="s">
        <v>2343</v>
      </c>
      <c r="BN1651" s="548" t="s">
        <v>4161</v>
      </c>
      <c r="BO1651" s="157" t="s">
        <v>4685</v>
      </c>
      <c r="BP1651" s="548" t="s">
        <v>4686</v>
      </c>
      <c r="BQ1651" s="157" t="s">
        <v>4292</v>
      </c>
      <c r="BR1651" s="157"/>
    </row>
    <row r="1652" spans="1:70" x14ac:dyDescent="0.25">
      <c r="A1652" s="19" t="s">
        <v>3686</v>
      </c>
      <c r="B1652" s="37" t="s">
        <v>1993</v>
      </c>
      <c r="C1652" s="90">
        <v>44686.724305555559</v>
      </c>
      <c r="D1652" s="114">
        <v>44686.474305555559</v>
      </c>
      <c r="E1652" s="38">
        <v>44686</v>
      </c>
      <c r="F1652" s="91">
        <v>2022</v>
      </c>
      <c r="G1652" s="93">
        <v>5</v>
      </c>
      <c r="H1652" s="37" t="s">
        <v>624</v>
      </c>
      <c r="I1652" s="37"/>
      <c r="J1652" s="103">
        <v>-93.151589473796221</v>
      </c>
      <c r="K1652" s="40">
        <v>44.640680174384862</v>
      </c>
      <c r="L1652" s="74"/>
      <c r="M1652" s="272" t="s">
        <v>16</v>
      </c>
      <c r="N1652" s="74">
        <v>0</v>
      </c>
      <c r="O1652" s="94"/>
      <c r="P1652" s="118">
        <v>1</v>
      </c>
      <c r="Q1652" s="510">
        <v>180</v>
      </c>
      <c r="R1652" s="513">
        <v>180</v>
      </c>
      <c r="S1652" s="41"/>
      <c r="T1652" s="40"/>
      <c r="U1652" s="40">
        <v>7</v>
      </c>
      <c r="V1652" s="119">
        <v>0</v>
      </c>
      <c r="W1652" s="40"/>
      <c r="X1652" s="119">
        <v>1</v>
      </c>
      <c r="Y1652" s="40">
        <v>50</v>
      </c>
      <c r="Z1652" s="119">
        <v>0</v>
      </c>
      <c r="AA1652" s="368" t="s">
        <v>16</v>
      </c>
      <c r="AB1652" s="535" t="s">
        <v>16</v>
      </c>
      <c r="AC1652" s="39" t="s">
        <v>160</v>
      </c>
      <c r="AD1652" s="75" t="s">
        <v>9</v>
      </c>
      <c r="AE1652" s="95">
        <v>0</v>
      </c>
      <c r="AF1652" s="75">
        <v>0</v>
      </c>
      <c r="AG1652" s="75">
        <v>1</v>
      </c>
      <c r="AH1652" s="75">
        <v>0</v>
      </c>
      <c r="AI1652" s="75">
        <v>0</v>
      </c>
      <c r="AJ1652" s="75">
        <v>0</v>
      </c>
      <c r="AK1652" s="75">
        <v>0</v>
      </c>
      <c r="AL1652" s="95">
        <v>0</v>
      </c>
      <c r="AM1652" s="92">
        <v>0</v>
      </c>
      <c r="AN1652" s="79" t="s">
        <v>81</v>
      </c>
      <c r="AO1652" s="75">
        <v>1</v>
      </c>
      <c r="AP1652" s="75"/>
      <c r="AQ1652" s="122">
        <v>0</v>
      </c>
      <c r="AR1652" s="515" t="s">
        <v>16</v>
      </c>
      <c r="AS1652" s="95">
        <v>-1</v>
      </c>
      <c r="AT1652" s="75">
        <v>-1</v>
      </c>
      <c r="AU1652" s="75">
        <v>-1</v>
      </c>
      <c r="AV1652" s="75">
        <v>-1</v>
      </c>
      <c r="AW1652" s="123">
        <v>1</v>
      </c>
      <c r="AX1652" s="516"/>
      <c r="AY1652" s="75">
        <v>0</v>
      </c>
      <c r="AZ1652" s="77" t="s">
        <v>131</v>
      </c>
      <c r="BA1652" s="78" t="s">
        <v>131</v>
      </c>
      <c r="BB1652" s="78" t="s">
        <v>132</v>
      </c>
      <c r="BC1652" s="78" t="s">
        <v>131</v>
      </c>
      <c r="BD1652" s="78" t="s">
        <v>131</v>
      </c>
      <c r="BE1652" s="78" t="s">
        <v>131</v>
      </c>
      <c r="BF1652" s="78" t="s">
        <v>131</v>
      </c>
      <c r="BG1652" s="78" t="s">
        <v>131</v>
      </c>
      <c r="BH1652" s="75" t="s">
        <v>5970</v>
      </c>
      <c r="BI1652" s="295" t="s">
        <v>2233</v>
      </c>
      <c r="BJ1652" s="546">
        <v>1</v>
      </c>
      <c r="BK1652" s="294" t="s">
        <v>16</v>
      </c>
      <c r="BL1652" s="157" t="s">
        <v>16</v>
      </c>
      <c r="BM1652" s="548" t="s">
        <v>2343</v>
      </c>
      <c r="BN1652" s="548" t="s">
        <v>4161</v>
      </c>
      <c r="BO1652" s="157" t="s">
        <v>4685</v>
      </c>
      <c r="BP1652" s="548" t="s">
        <v>4686</v>
      </c>
      <c r="BQ1652" s="157" t="s">
        <v>4292</v>
      </c>
      <c r="BR1652" s="157"/>
    </row>
    <row r="1653" spans="1:70" x14ac:dyDescent="0.25">
      <c r="A1653" s="19" t="s">
        <v>3686</v>
      </c>
      <c r="B1653" s="37" t="s">
        <v>1994</v>
      </c>
      <c r="C1653" s="90">
        <v>44686.719224537039</v>
      </c>
      <c r="D1653" s="114">
        <v>44686.469224537039</v>
      </c>
      <c r="E1653" s="38">
        <v>44686</v>
      </c>
      <c r="F1653" s="91">
        <v>2022</v>
      </c>
      <c r="G1653" s="93">
        <v>5</v>
      </c>
      <c r="H1653" s="37" t="s">
        <v>604</v>
      </c>
      <c r="I1653" s="37"/>
      <c r="J1653" s="103">
        <v>-93.151568351400243</v>
      </c>
      <c r="K1653" s="40">
        <v>44.640590613749474</v>
      </c>
      <c r="L1653" s="74"/>
      <c r="M1653" s="272" t="s">
        <v>1995</v>
      </c>
      <c r="N1653" s="74">
        <v>1</v>
      </c>
      <c r="O1653" s="94"/>
      <c r="P1653" s="118">
        <v>1</v>
      </c>
      <c r="Q1653" s="510">
        <v>180</v>
      </c>
      <c r="R1653" s="513">
        <v>180</v>
      </c>
      <c r="S1653" s="41"/>
      <c r="T1653" s="40"/>
      <c r="U1653" s="40">
        <v>8</v>
      </c>
      <c r="V1653" s="119">
        <v>0</v>
      </c>
      <c r="W1653" s="40"/>
      <c r="X1653" s="119">
        <v>1</v>
      </c>
      <c r="Y1653" s="40">
        <v>50</v>
      </c>
      <c r="Z1653" s="119">
        <v>1</v>
      </c>
      <c r="AA1653" s="368">
        <v>0</v>
      </c>
      <c r="AB1653" s="535">
        <v>0</v>
      </c>
      <c r="AC1653" s="39" t="s">
        <v>160</v>
      </c>
      <c r="AD1653" s="75" t="s">
        <v>10</v>
      </c>
      <c r="AE1653" s="95">
        <v>0</v>
      </c>
      <c r="AF1653" s="75">
        <v>0</v>
      </c>
      <c r="AG1653" s="75">
        <v>0</v>
      </c>
      <c r="AH1653" s="75">
        <v>0</v>
      </c>
      <c r="AI1653" s="75">
        <v>0</v>
      </c>
      <c r="AJ1653" s="75">
        <v>0</v>
      </c>
      <c r="AK1653" s="75">
        <v>0</v>
      </c>
      <c r="AL1653" s="95">
        <v>1</v>
      </c>
      <c r="AM1653" s="92">
        <v>0</v>
      </c>
      <c r="AN1653" s="79" t="s">
        <v>81</v>
      </c>
      <c r="AO1653" s="75">
        <v>1</v>
      </c>
      <c r="AP1653" s="75" t="s">
        <v>84</v>
      </c>
      <c r="AQ1653" s="122">
        <v>1</v>
      </c>
      <c r="AR1653" s="515" t="s">
        <v>10</v>
      </c>
      <c r="AS1653" s="95">
        <v>0</v>
      </c>
      <c r="AT1653" s="75">
        <v>0</v>
      </c>
      <c r="AU1653" s="75">
        <v>0</v>
      </c>
      <c r="AV1653" s="75">
        <v>0</v>
      </c>
      <c r="AW1653" s="123">
        <v>0</v>
      </c>
      <c r="AX1653" s="516"/>
      <c r="AY1653" s="75">
        <v>0</v>
      </c>
      <c r="AZ1653" s="77" t="s">
        <v>131</v>
      </c>
      <c r="BA1653" s="78" t="s">
        <v>131</v>
      </c>
      <c r="BB1653" s="78" t="s">
        <v>131</v>
      </c>
      <c r="BC1653" s="78" t="s">
        <v>131</v>
      </c>
      <c r="BD1653" s="78" t="s">
        <v>131</v>
      </c>
      <c r="BE1653" s="78" t="s">
        <v>131</v>
      </c>
      <c r="BF1653" s="78" t="s">
        <v>131</v>
      </c>
      <c r="BG1653" s="78" t="s">
        <v>132</v>
      </c>
      <c r="BH1653" s="75" t="s">
        <v>5970</v>
      </c>
      <c r="BI1653" s="295" t="s">
        <v>2233</v>
      </c>
      <c r="BJ1653" s="546">
        <v>1</v>
      </c>
      <c r="BK1653" s="294" t="s">
        <v>16</v>
      </c>
      <c r="BL1653" s="157" t="s">
        <v>16</v>
      </c>
      <c r="BM1653" s="548" t="s">
        <v>2343</v>
      </c>
      <c r="BN1653" s="548" t="s">
        <v>4161</v>
      </c>
      <c r="BO1653" s="157" t="s">
        <v>4685</v>
      </c>
      <c r="BP1653" s="548" t="s">
        <v>4686</v>
      </c>
      <c r="BQ1653" s="157" t="s">
        <v>4292</v>
      </c>
      <c r="BR1653" s="157"/>
    </row>
    <row r="1654" spans="1:70" x14ac:dyDescent="0.25">
      <c r="A1654" s="19" t="s">
        <v>3686</v>
      </c>
      <c r="B1654" s="37" t="s">
        <v>1996</v>
      </c>
      <c r="C1654" s="90">
        <v>44686.689664351848</v>
      </c>
      <c r="D1654" s="114">
        <v>44686.439664351848</v>
      </c>
      <c r="E1654" s="38">
        <v>44686</v>
      </c>
      <c r="F1654" s="91">
        <v>2022</v>
      </c>
      <c r="G1654" s="93">
        <v>5</v>
      </c>
      <c r="H1654" s="37" t="s">
        <v>624</v>
      </c>
      <c r="I1654" s="37" t="s">
        <v>16</v>
      </c>
      <c r="J1654" s="103">
        <v>-93.151616920749404</v>
      </c>
      <c r="K1654" s="40">
        <v>44.640700753174237</v>
      </c>
      <c r="L1654" s="74"/>
      <c r="M1654" s="272" t="s">
        <v>16</v>
      </c>
      <c r="N1654" s="74">
        <v>0</v>
      </c>
      <c r="O1654" s="94"/>
      <c r="P1654" s="118">
        <v>1</v>
      </c>
      <c r="Q1654" s="510">
        <v>180</v>
      </c>
      <c r="R1654" s="513">
        <v>120</v>
      </c>
      <c r="S1654" s="41"/>
      <c r="T1654" s="40"/>
      <c r="U1654" s="40">
        <v>8</v>
      </c>
      <c r="V1654" s="119">
        <v>1</v>
      </c>
      <c r="W1654" s="40">
        <v>0</v>
      </c>
      <c r="X1654" s="119">
        <v>1</v>
      </c>
      <c r="Y1654" s="40">
        <v>51</v>
      </c>
      <c r="Z1654" s="119">
        <v>1</v>
      </c>
      <c r="AA1654" s="368">
        <v>0</v>
      </c>
      <c r="AB1654" s="535">
        <v>2</v>
      </c>
      <c r="AC1654" s="39" t="s">
        <v>160</v>
      </c>
      <c r="AD1654" s="75" t="s">
        <v>10</v>
      </c>
      <c r="AE1654" s="95">
        <v>0</v>
      </c>
      <c r="AF1654" s="75">
        <v>0</v>
      </c>
      <c r="AG1654" s="75">
        <v>0</v>
      </c>
      <c r="AH1654" s="75">
        <v>0</v>
      </c>
      <c r="AI1654" s="75">
        <v>0</v>
      </c>
      <c r="AJ1654" s="75">
        <v>0</v>
      </c>
      <c r="AK1654" s="75">
        <v>0</v>
      </c>
      <c r="AL1654" s="95">
        <v>1</v>
      </c>
      <c r="AM1654" s="92">
        <v>0</v>
      </c>
      <c r="AN1654" s="79" t="s">
        <v>80</v>
      </c>
      <c r="AO1654" s="75">
        <v>1</v>
      </c>
      <c r="AP1654" s="75" t="s">
        <v>84</v>
      </c>
      <c r="AQ1654" s="122">
        <v>1</v>
      </c>
      <c r="AR1654" s="515" t="s">
        <v>10</v>
      </c>
      <c r="AS1654" s="95">
        <v>0</v>
      </c>
      <c r="AT1654" s="75">
        <v>0</v>
      </c>
      <c r="AU1654" s="75">
        <v>0</v>
      </c>
      <c r="AV1654" s="75">
        <v>0</v>
      </c>
      <c r="AW1654" s="123">
        <v>0</v>
      </c>
      <c r="AX1654" s="516"/>
      <c r="AY1654" s="75">
        <v>0</v>
      </c>
      <c r="AZ1654" s="77" t="s">
        <v>131</v>
      </c>
      <c r="BA1654" s="78" t="s">
        <v>131</v>
      </c>
      <c r="BB1654" s="78" t="s">
        <v>131</v>
      </c>
      <c r="BC1654" s="78" t="s">
        <v>131</v>
      </c>
      <c r="BD1654" s="78" t="s">
        <v>131</v>
      </c>
      <c r="BE1654" s="78" t="s">
        <v>131</v>
      </c>
      <c r="BF1654" s="78" t="s">
        <v>131</v>
      </c>
      <c r="BG1654" s="78" t="s">
        <v>132</v>
      </c>
      <c r="BH1654" s="75" t="s">
        <v>5970</v>
      </c>
      <c r="BI1654" s="295" t="s">
        <v>2233</v>
      </c>
      <c r="BJ1654" s="546">
        <v>1</v>
      </c>
      <c r="BK1654" s="294" t="s">
        <v>16</v>
      </c>
      <c r="BL1654" s="157" t="s">
        <v>16</v>
      </c>
      <c r="BM1654" s="548" t="s">
        <v>2343</v>
      </c>
      <c r="BN1654" s="548" t="s">
        <v>4161</v>
      </c>
      <c r="BO1654" s="157" t="s">
        <v>4685</v>
      </c>
      <c r="BP1654" s="548" t="s">
        <v>4686</v>
      </c>
      <c r="BQ1654" s="157" t="s">
        <v>4292</v>
      </c>
      <c r="BR1654" s="157"/>
    </row>
    <row r="1655" spans="1:70" x14ac:dyDescent="0.25">
      <c r="A1655" s="19" t="s">
        <v>3686</v>
      </c>
      <c r="B1655" s="37" t="s">
        <v>1997</v>
      </c>
      <c r="C1655" s="90">
        <v>44686.685810185183</v>
      </c>
      <c r="D1655" s="114">
        <v>44686.435810185183</v>
      </c>
      <c r="E1655" s="38">
        <v>44686</v>
      </c>
      <c r="F1655" s="91">
        <v>2022</v>
      </c>
      <c r="G1655" s="93">
        <v>5</v>
      </c>
      <c r="H1655" s="37" t="s">
        <v>604</v>
      </c>
      <c r="I1655" s="37"/>
      <c r="J1655" s="103">
        <v>-93.15156399281058</v>
      </c>
      <c r="K1655" s="40">
        <v>44.640646521043628</v>
      </c>
      <c r="L1655" s="74"/>
      <c r="M1655" s="272" t="s">
        <v>1998</v>
      </c>
      <c r="N1655" s="74">
        <v>1</v>
      </c>
      <c r="O1655" s="94"/>
      <c r="P1655" s="118">
        <v>1</v>
      </c>
      <c r="Q1655" s="510">
        <v>180</v>
      </c>
      <c r="R1655" s="513">
        <v>180</v>
      </c>
      <c r="S1655" s="41"/>
      <c r="T1655" s="40"/>
      <c r="U1655" s="40">
        <v>7</v>
      </c>
      <c r="V1655" s="119">
        <v>1</v>
      </c>
      <c r="W1655" s="40">
        <v>0</v>
      </c>
      <c r="X1655" s="119">
        <v>1</v>
      </c>
      <c r="Y1655" s="40">
        <v>50</v>
      </c>
      <c r="Z1655" s="119">
        <v>1</v>
      </c>
      <c r="AA1655" s="368">
        <v>0</v>
      </c>
      <c r="AB1655" s="535">
        <v>1</v>
      </c>
      <c r="AC1655" s="39"/>
      <c r="AD1655" s="75" t="s">
        <v>16</v>
      </c>
      <c r="AE1655" s="95">
        <v>-1</v>
      </c>
      <c r="AF1655" s="75">
        <v>-1</v>
      </c>
      <c r="AG1655" s="75">
        <v>-1</v>
      </c>
      <c r="AH1655" s="75">
        <v>-1</v>
      </c>
      <c r="AI1655" s="75">
        <v>-1</v>
      </c>
      <c r="AJ1655" s="75">
        <v>-1</v>
      </c>
      <c r="AK1655" s="75">
        <v>-1</v>
      </c>
      <c r="AL1655" s="95">
        <v>-1</v>
      </c>
      <c r="AM1655" s="92">
        <v>1</v>
      </c>
      <c r="AN1655" s="79" t="s">
        <v>81</v>
      </c>
      <c r="AO1655" s="75">
        <v>1</v>
      </c>
      <c r="AP1655" s="75" t="s">
        <v>83</v>
      </c>
      <c r="AQ1655" s="122">
        <v>1</v>
      </c>
      <c r="AR1655" s="515" t="s">
        <v>10</v>
      </c>
      <c r="AS1655" s="95">
        <v>0</v>
      </c>
      <c r="AT1655" s="75">
        <v>0</v>
      </c>
      <c r="AU1655" s="75">
        <v>0</v>
      </c>
      <c r="AV1655" s="75">
        <v>0</v>
      </c>
      <c r="AW1655" s="123">
        <v>0</v>
      </c>
      <c r="AX1655" s="516"/>
      <c r="AY1655" s="75">
        <v>0</v>
      </c>
      <c r="AZ1655" s="77" t="s">
        <v>5971</v>
      </c>
      <c r="BA1655" s="78" t="s">
        <v>5971</v>
      </c>
      <c r="BB1655" s="78" t="s">
        <v>5971</v>
      </c>
      <c r="BC1655" s="78" t="s">
        <v>5971</v>
      </c>
      <c r="BD1655" s="78" t="s">
        <v>5971</v>
      </c>
      <c r="BE1655" s="78" t="s">
        <v>5971</v>
      </c>
      <c r="BF1655" s="78" t="s">
        <v>5971</v>
      </c>
      <c r="BG1655" s="78" t="s">
        <v>5971</v>
      </c>
      <c r="BH1655" s="75" t="s">
        <v>5971</v>
      </c>
      <c r="BI1655" s="295" t="s">
        <v>2233</v>
      </c>
      <c r="BJ1655" s="546">
        <v>1</v>
      </c>
      <c r="BK1655" s="294" t="s">
        <v>16</v>
      </c>
      <c r="BL1655" s="157" t="s">
        <v>16</v>
      </c>
      <c r="BM1655" s="548" t="s">
        <v>2343</v>
      </c>
      <c r="BN1655" s="548" t="s">
        <v>4161</v>
      </c>
      <c r="BO1655" s="157" t="s">
        <v>4685</v>
      </c>
      <c r="BP1655" s="548" t="s">
        <v>4686</v>
      </c>
      <c r="BQ1655" s="157" t="s">
        <v>4292</v>
      </c>
      <c r="BR1655" s="157"/>
    </row>
    <row r="1656" spans="1:70" x14ac:dyDescent="0.25">
      <c r="A1656" s="19" t="s">
        <v>3686</v>
      </c>
      <c r="B1656" s="37" t="s">
        <v>1999</v>
      </c>
      <c r="C1656" s="90">
        <v>44686.685057870367</v>
      </c>
      <c r="D1656" s="114">
        <v>44686.435057870367</v>
      </c>
      <c r="E1656" s="38">
        <v>44686</v>
      </c>
      <c r="F1656" s="91">
        <v>2022</v>
      </c>
      <c r="G1656" s="93">
        <v>5</v>
      </c>
      <c r="H1656" s="37" t="s">
        <v>624</v>
      </c>
      <c r="I1656" s="37" t="s">
        <v>16</v>
      </c>
      <c r="J1656" s="103">
        <v>-93.151595748946164</v>
      </c>
      <c r="K1656" s="40">
        <v>44.640690299588883</v>
      </c>
      <c r="L1656" s="74"/>
      <c r="M1656" s="272" t="s">
        <v>16</v>
      </c>
      <c r="N1656" s="74">
        <v>0</v>
      </c>
      <c r="O1656" s="94"/>
      <c r="P1656" s="118">
        <v>1</v>
      </c>
      <c r="Q1656" s="510">
        <v>80</v>
      </c>
      <c r="R1656" s="513">
        <v>180</v>
      </c>
      <c r="S1656" s="41"/>
      <c r="T1656" s="40"/>
      <c r="U1656" s="40">
        <v>7</v>
      </c>
      <c r="V1656" s="119">
        <v>1</v>
      </c>
      <c r="W1656" s="40">
        <v>0</v>
      </c>
      <c r="X1656" s="119">
        <v>1</v>
      </c>
      <c r="Y1656" s="40">
        <v>49</v>
      </c>
      <c r="Z1656" s="119">
        <v>0</v>
      </c>
      <c r="AA1656" s="368" t="s">
        <v>16</v>
      </c>
      <c r="AB1656" s="535" t="s">
        <v>16</v>
      </c>
      <c r="AC1656" s="39" t="s">
        <v>16</v>
      </c>
      <c r="AD1656" s="75" t="s">
        <v>10</v>
      </c>
      <c r="AE1656" s="95">
        <v>0</v>
      </c>
      <c r="AF1656" s="75">
        <v>0</v>
      </c>
      <c r="AG1656" s="75">
        <v>0</v>
      </c>
      <c r="AH1656" s="75">
        <v>0</v>
      </c>
      <c r="AI1656" s="75">
        <v>0</v>
      </c>
      <c r="AJ1656" s="75">
        <v>0</v>
      </c>
      <c r="AK1656" s="75">
        <v>0</v>
      </c>
      <c r="AL1656" s="95">
        <v>1</v>
      </c>
      <c r="AM1656" s="92">
        <v>0</v>
      </c>
      <c r="AN1656" s="79" t="s">
        <v>80</v>
      </c>
      <c r="AO1656" s="75">
        <v>1</v>
      </c>
      <c r="AP1656" s="75" t="s">
        <v>84</v>
      </c>
      <c r="AQ1656" s="122">
        <v>1</v>
      </c>
      <c r="AR1656" s="515" t="s">
        <v>10</v>
      </c>
      <c r="AS1656" s="95">
        <v>0</v>
      </c>
      <c r="AT1656" s="75">
        <v>0</v>
      </c>
      <c r="AU1656" s="75">
        <v>0</v>
      </c>
      <c r="AV1656" s="75">
        <v>0</v>
      </c>
      <c r="AW1656" s="123">
        <v>0</v>
      </c>
      <c r="AX1656" s="516"/>
      <c r="AY1656" s="75">
        <v>0</v>
      </c>
      <c r="AZ1656" s="77" t="s">
        <v>131</v>
      </c>
      <c r="BA1656" s="78" t="s">
        <v>131</v>
      </c>
      <c r="BB1656" s="78" t="s">
        <v>131</v>
      </c>
      <c r="BC1656" s="78" t="s">
        <v>131</v>
      </c>
      <c r="BD1656" s="78" t="s">
        <v>131</v>
      </c>
      <c r="BE1656" s="78" t="s">
        <v>131</v>
      </c>
      <c r="BF1656" s="78" t="s">
        <v>131</v>
      </c>
      <c r="BG1656" s="78" t="s">
        <v>132</v>
      </c>
      <c r="BH1656" s="75" t="s">
        <v>5970</v>
      </c>
      <c r="BI1656" s="295" t="s">
        <v>2233</v>
      </c>
      <c r="BJ1656" s="546">
        <v>1</v>
      </c>
      <c r="BK1656" s="294" t="s">
        <v>16</v>
      </c>
      <c r="BL1656" s="157" t="s">
        <v>16</v>
      </c>
      <c r="BM1656" s="548" t="s">
        <v>2343</v>
      </c>
      <c r="BN1656" s="548" t="s">
        <v>4161</v>
      </c>
      <c r="BO1656" s="157" t="s">
        <v>4685</v>
      </c>
      <c r="BP1656" s="548" t="s">
        <v>4686</v>
      </c>
      <c r="BQ1656" s="157" t="s">
        <v>4292</v>
      </c>
      <c r="BR1656" s="157"/>
    </row>
    <row r="1657" spans="1:70" x14ac:dyDescent="0.25">
      <c r="A1657" s="19" t="s">
        <v>3686</v>
      </c>
      <c r="B1657" s="37" t="s">
        <v>2000</v>
      </c>
      <c r="C1657" s="90">
        <v>44686.671469907407</v>
      </c>
      <c r="D1657" s="114">
        <v>44686.421469907407</v>
      </c>
      <c r="E1657" s="38">
        <v>44686</v>
      </c>
      <c r="F1657" s="91">
        <v>2022</v>
      </c>
      <c r="G1657" s="93">
        <v>5</v>
      </c>
      <c r="H1657" s="37" t="s">
        <v>604</v>
      </c>
      <c r="I1657" s="37"/>
      <c r="J1657" s="103">
        <v>-93.151415884581539</v>
      </c>
      <c r="K1657" s="40">
        <v>44.641000027809888</v>
      </c>
      <c r="L1657" s="74"/>
      <c r="M1657" s="272" t="s">
        <v>16</v>
      </c>
      <c r="N1657" s="74">
        <v>0</v>
      </c>
      <c r="O1657" s="94"/>
      <c r="P1657" s="118">
        <v>1</v>
      </c>
      <c r="Q1657" s="510">
        <v>180</v>
      </c>
      <c r="R1657" s="513">
        <v>180</v>
      </c>
      <c r="S1657" s="41"/>
      <c r="T1657" s="40"/>
      <c r="U1657" s="40">
        <v>7</v>
      </c>
      <c r="V1657" s="119">
        <v>1</v>
      </c>
      <c r="W1657" s="40">
        <v>0</v>
      </c>
      <c r="X1657" s="119">
        <v>1</v>
      </c>
      <c r="Y1657" s="40">
        <v>50</v>
      </c>
      <c r="Z1657" s="119">
        <v>1</v>
      </c>
      <c r="AA1657" s="368">
        <v>0</v>
      </c>
      <c r="AB1657" s="535">
        <v>2</v>
      </c>
      <c r="AC1657" s="39" t="s">
        <v>16</v>
      </c>
      <c r="AD1657" s="75" t="s">
        <v>16</v>
      </c>
      <c r="AE1657" s="95">
        <v>-1</v>
      </c>
      <c r="AF1657" s="75">
        <v>-1</v>
      </c>
      <c r="AG1657" s="75">
        <v>-1</v>
      </c>
      <c r="AH1657" s="75">
        <v>-1</v>
      </c>
      <c r="AI1657" s="75">
        <v>-1</v>
      </c>
      <c r="AJ1657" s="75">
        <v>-1</v>
      </c>
      <c r="AK1657" s="75">
        <v>-1</v>
      </c>
      <c r="AL1657" s="95">
        <v>-1</v>
      </c>
      <c r="AM1657" s="92">
        <v>1</v>
      </c>
      <c r="AN1657" s="79"/>
      <c r="AO1657" s="75">
        <v>0</v>
      </c>
      <c r="AP1657" s="75"/>
      <c r="AQ1657" s="122">
        <v>0</v>
      </c>
      <c r="AR1657" s="515" t="s">
        <v>16</v>
      </c>
      <c r="AS1657" s="95">
        <v>-1</v>
      </c>
      <c r="AT1657" s="75">
        <v>-1</v>
      </c>
      <c r="AU1657" s="75">
        <v>-1</v>
      </c>
      <c r="AV1657" s="75">
        <v>-1</v>
      </c>
      <c r="AW1657" s="123">
        <v>1</v>
      </c>
      <c r="AX1657" s="516"/>
      <c r="AY1657" s="75">
        <v>0</v>
      </c>
      <c r="AZ1657" s="77" t="s">
        <v>5971</v>
      </c>
      <c r="BA1657" s="78" t="s">
        <v>5971</v>
      </c>
      <c r="BB1657" s="78" t="s">
        <v>5971</v>
      </c>
      <c r="BC1657" s="78" t="s">
        <v>5971</v>
      </c>
      <c r="BD1657" s="78" t="s">
        <v>5971</v>
      </c>
      <c r="BE1657" s="78" t="s">
        <v>5971</v>
      </c>
      <c r="BF1657" s="78" t="s">
        <v>5971</v>
      </c>
      <c r="BG1657" s="78" t="s">
        <v>5971</v>
      </c>
      <c r="BH1657" s="75" t="s">
        <v>5971</v>
      </c>
      <c r="BI1657" s="295" t="s">
        <v>16</v>
      </c>
      <c r="BJ1657" s="546">
        <v>1</v>
      </c>
      <c r="BK1657" s="294" t="s">
        <v>16</v>
      </c>
      <c r="BL1657" s="157" t="s">
        <v>16</v>
      </c>
      <c r="BM1657" s="548" t="s">
        <v>2343</v>
      </c>
      <c r="BN1657" s="548" t="s">
        <v>4161</v>
      </c>
      <c r="BO1657" s="157" t="s">
        <v>4685</v>
      </c>
      <c r="BP1657" s="548" t="s">
        <v>4686</v>
      </c>
      <c r="BQ1657" s="157" t="s">
        <v>4292</v>
      </c>
      <c r="BR1657" s="157"/>
    </row>
    <row r="1658" spans="1:70" x14ac:dyDescent="0.25">
      <c r="A1658" s="19" t="s">
        <v>3686</v>
      </c>
      <c r="B1658" s="37" t="s">
        <v>2001</v>
      </c>
      <c r="C1658" s="90">
        <v>44686.597592592596</v>
      </c>
      <c r="D1658" s="114">
        <v>44686.347592592596</v>
      </c>
      <c r="E1658" s="38">
        <v>44686</v>
      </c>
      <c r="F1658" s="91">
        <v>2022</v>
      </c>
      <c r="G1658" s="93">
        <v>5</v>
      </c>
      <c r="H1658" s="37" t="s">
        <v>1985</v>
      </c>
      <c r="I1658" s="37"/>
      <c r="J1658" s="103">
        <v>-91.653958200000005</v>
      </c>
      <c r="K1658" s="40">
        <v>43.439170400000002</v>
      </c>
      <c r="L1658" s="74"/>
      <c r="M1658" s="272" t="s">
        <v>2002</v>
      </c>
      <c r="N1658" s="74">
        <v>1</v>
      </c>
      <c r="O1658" s="94"/>
      <c r="P1658" s="118">
        <v>1</v>
      </c>
      <c r="Q1658" s="510">
        <v>0</v>
      </c>
      <c r="R1658" s="513">
        <v>0</v>
      </c>
      <c r="S1658" s="41"/>
      <c r="T1658" s="40"/>
      <c r="U1658" s="40">
        <v>7</v>
      </c>
      <c r="V1658" s="119">
        <v>0</v>
      </c>
      <c r="W1658" s="40"/>
      <c r="X1658" s="119">
        <v>0</v>
      </c>
      <c r="Y1658" s="40"/>
      <c r="Z1658" s="119">
        <v>0</v>
      </c>
      <c r="AA1658" s="368" t="s">
        <v>16</v>
      </c>
      <c r="AB1658" s="535" t="s">
        <v>16</v>
      </c>
      <c r="AC1658" s="39" t="s">
        <v>160</v>
      </c>
      <c r="AD1658" s="75" t="s">
        <v>8</v>
      </c>
      <c r="AE1658" s="95">
        <v>0</v>
      </c>
      <c r="AF1658" s="75">
        <v>1</v>
      </c>
      <c r="AG1658" s="75">
        <v>0</v>
      </c>
      <c r="AH1658" s="75">
        <v>0</v>
      </c>
      <c r="AI1658" s="75">
        <v>0</v>
      </c>
      <c r="AJ1658" s="75">
        <v>0</v>
      </c>
      <c r="AK1658" s="75">
        <v>0</v>
      </c>
      <c r="AL1658" s="95">
        <v>0</v>
      </c>
      <c r="AM1658" s="92">
        <v>0</v>
      </c>
      <c r="AN1658" s="79" t="s">
        <v>80</v>
      </c>
      <c r="AO1658" s="75">
        <v>1</v>
      </c>
      <c r="AP1658" s="75" t="s">
        <v>83</v>
      </c>
      <c r="AQ1658" s="122">
        <v>1</v>
      </c>
      <c r="AR1658" s="515" t="s">
        <v>13</v>
      </c>
      <c r="AS1658" s="95">
        <v>1</v>
      </c>
      <c r="AT1658" s="75">
        <v>0</v>
      </c>
      <c r="AU1658" s="75">
        <v>0</v>
      </c>
      <c r="AV1658" s="75">
        <v>0</v>
      </c>
      <c r="AW1658" s="123">
        <v>0</v>
      </c>
      <c r="AX1658" s="516"/>
      <c r="AY1658" s="75">
        <v>0</v>
      </c>
      <c r="AZ1658" s="77" t="s">
        <v>131</v>
      </c>
      <c r="BA1658" s="78" t="s">
        <v>132</v>
      </c>
      <c r="BB1658" s="78" t="s">
        <v>131</v>
      </c>
      <c r="BC1658" s="78" t="s">
        <v>131</v>
      </c>
      <c r="BD1658" s="78" t="s">
        <v>131</v>
      </c>
      <c r="BE1658" s="78" t="s">
        <v>131</v>
      </c>
      <c r="BF1658" s="78" t="s">
        <v>131</v>
      </c>
      <c r="BG1658" s="78" t="s">
        <v>131</v>
      </c>
      <c r="BH1658" s="75" t="s">
        <v>5970</v>
      </c>
      <c r="BI1658" s="295" t="s">
        <v>2316</v>
      </c>
      <c r="BJ1658" s="546">
        <v>1</v>
      </c>
      <c r="BK1658" s="294" t="s">
        <v>16</v>
      </c>
      <c r="BL1658" s="157" t="s">
        <v>16</v>
      </c>
      <c r="BM1658" s="548" t="s">
        <v>1344</v>
      </c>
      <c r="BN1658" s="548" t="s">
        <v>1347</v>
      </c>
      <c r="BO1658" s="157" t="s">
        <v>4244</v>
      </c>
      <c r="BP1658" s="548" t="s">
        <v>2260</v>
      </c>
      <c r="BQ1658" s="157" t="s">
        <v>4241</v>
      </c>
      <c r="BR1658" s="157"/>
    </row>
    <row r="1659" spans="1:70" x14ac:dyDescent="0.25">
      <c r="A1659" s="19" t="s">
        <v>3686</v>
      </c>
      <c r="B1659" s="37" t="s">
        <v>2003</v>
      </c>
      <c r="C1659" s="90">
        <v>44686.595266203702</v>
      </c>
      <c r="D1659" s="114">
        <v>44686.345266203702</v>
      </c>
      <c r="E1659" s="38">
        <v>44686</v>
      </c>
      <c r="F1659" s="91">
        <v>2022</v>
      </c>
      <c r="G1659" s="93">
        <v>5</v>
      </c>
      <c r="H1659" s="37" t="s">
        <v>1748</v>
      </c>
      <c r="I1659" s="37" t="s">
        <v>958</v>
      </c>
      <c r="J1659" s="103">
        <v>-92.574945999999997</v>
      </c>
      <c r="K1659" s="40">
        <v>44.488709200000002</v>
      </c>
      <c r="L1659" s="74"/>
      <c r="M1659" s="272" t="s">
        <v>16</v>
      </c>
      <c r="N1659" s="74">
        <v>0</v>
      </c>
      <c r="O1659" s="94"/>
      <c r="P1659" s="118">
        <v>1</v>
      </c>
      <c r="Q1659" s="510">
        <v>80</v>
      </c>
      <c r="R1659" s="513">
        <v>0</v>
      </c>
      <c r="S1659" s="41"/>
      <c r="T1659" s="40"/>
      <c r="U1659" s="40">
        <v>7</v>
      </c>
      <c r="V1659" s="119">
        <v>1</v>
      </c>
      <c r="W1659" s="40">
        <v>0</v>
      </c>
      <c r="X1659" s="119">
        <v>1</v>
      </c>
      <c r="Y1659" s="40">
        <v>48</v>
      </c>
      <c r="Z1659" s="119">
        <v>1</v>
      </c>
      <c r="AA1659" s="368">
        <v>0</v>
      </c>
      <c r="AB1659" s="535">
        <v>2</v>
      </c>
      <c r="AC1659" s="39" t="s">
        <v>160</v>
      </c>
      <c r="AD1659" s="75" t="s">
        <v>10</v>
      </c>
      <c r="AE1659" s="95">
        <v>0</v>
      </c>
      <c r="AF1659" s="75">
        <v>0</v>
      </c>
      <c r="AG1659" s="75">
        <v>0</v>
      </c>
      <c r="AH1659" s="75">
        <v>0</v>
      </c>
      <c r="AI1659" s="75">
        <v>0</v>
      </c>
      <c r="AJ1659" s="75">
        <v>0</v>
      </c>
      <c r="AK1659" s="75">
        <v>0</v>
      </c>
      <c r="AL1659" s="95">
        <v>1</v>
      </c>
      <c r="AM1659" s="92">
        <v>0</v>
      </c>
      <c r="AN1659" s="79" t="s">
        <v>80</v>
      </c>
      <c r="AO1659" s="75">
        <v>1</v>
      </c>
      <c r="AP1659" s="75" t="s">
        <v>83</v>
      </c>
      <c r="AQ1659" s="122">
        <v>1</v>
      </c>
      <c r="AR1659" s="515" t="s">
        <v>10</v>
      </c>
      <c r="AS1659" s="95">
        <v>0</v>
      </c>
      <c r="AT1659" s="75">
        <v>0</v>
      </c>
      <c r="AU1659" s="75">
        <v>0</v>
      </c>
      <c r="AV1659" s="75">
        <v>0</v>
      </c>
      <c r="AW1659" s="123">
        <v>0</v>
      </c>
      <c r="AX1659" s="516"/>
      <c r="AY1659" s="75">
        <v>0</v>
      </c>
      <c r="AZ1659" s="77" t="s">
        <v>131</v>
      </c>
      <c r="BA1659" s="78" t="s">
        <v>131</v>
      </c>
      <c r="BB1659" s="78" t="s">
        <v>131</v>
      </c>
      <c r="BC1659" s="78" t="s">
        <v>131</v>
      </c>
      <c r="BD1659" s="78" t="s">
        <v>131</v>
      </c>
      <c r="BE1659" s="78" t="s">
        <v>131</v>
      </c>
      <c r="BF1659" s="78" t="s">
        <v>131</v>
      </c>
      <c r="BG1659" s="78" t="s">
        <v>132</v>
      </c>
      <c r="BH1659" s="75" t="s">
        <v>5970</v>
      </c>
      <c r="BI1659" s="295" t="s">
        <v>2238</v>
      </c>
      <c r="BJ1659" s="546">
        <v>1</v>
      </c>
      <c r="BK1659" s="294" t="s">
        <v>16</v>
      </c>
      <c r="BL1659" s="157" t="s">
        <v>16</v>
      </c>
      <c r="BM1659" s="548" t="s">
        <v>2343</v>
      </c>
      <c r="BN1659" s="548" t="s">
        <v>4161</v>
      </c>
      <c r="BO1659" s="157" t="s">
        <v>4308</v>
      </c>
      <c r="BP1659" s="548" t="s">
        <v>2238</v>
      </c>
      <c r="BQ1659" s="157" t="s">
        <v>4307</v>
      </c>
      <c r="BR1659" s="157"/>
    </row>
    <row r="1660" spans="1:70" x14ac:dyDescent="0.25">
      <c r="A1660" s="19" t="s">
        <v>3686</v>
      </c>
      <c r="B1660" s="37" t="s">
        <v>2004</v>
      </c>
      <c r="C1660" s="90">
        <v>44686.541377314818</v>
      </c>
      <c r="D1660" s="114">
        <v>44686.291377314818</v>
      </c>
      <c r="E1660" s="38">
        <v>44686</v>
      </c>
      <c r="F1660" s="91">
        <v>2022</v>
      </c>
      <c r="G1660" s="93">
        <v>5</v>
      </c>
      <c r="H1660" s="37" t="s">
        <v>1748</v>
      </c>
      <c r="I1660" s="37" t="s">
        <v>958</v>
      </c>
      <c r="J1660" s="103">
        <v>-92.575496999999999</v>
      </c>
      <c r="K1660" s="40">
        <v>44.488370099999997</v>
      </c>
      <c r="L1660" s="74"/>
      <c r="M1660" s="272" t="s">
        <v>16</v>
      </c>
      <c r="N1660" s="74">
        <v>0</v>
      </c>
      <c r="O1660" s="94"/>
      <c r="P1660" s="118">
        <v>0</v>
      </c>
      <c r="Q1660" s="510"/>
      <c r="R1660" s="513"/>
      <c r="S1660" s="41"/>
      <c r="T1660" s="40"/>
      <c r="U1660" s="40"/>
      <c r="V1660" s="119">
        <v>1</v>
      </c>
      <c r="W1660" s="40">
        <v>0</v>
      </c>
      <c r="X1660" s="119">
        <v>1</v>
      </c>
      <c r="Y1660" s="40">
        <v>48</v>
      </c>
      <c r="Z1660" s="119">
        <v>0</v>
      </c>
      <c r="AA1660" s="368" t="s">
        <v>16</v>
      </c>
      <c r="AB1660" s="535" t="s">
        <v>16</v>
      </c>
      <c r="AC1660" s="39"/>
      <c r="AD1660" s="75" t="s">
        <v>10</v>
      </c>
      <c r="AE1660" s="95">
        <v>0</v>
      </c>
      <c r="AF1660" s="75">
        <v>0</v>
      </c>
      <c r="AG1660" s="75">
        <v>0</v>
      </c>
      <c r="AH1660" s="75">
        <v>0</v>
      </c>
      <c r="AI1660" s="75">
        <v>0</v>
      </c>
      <c r="AJ1660" s="75">
        <v>0</v>
      </c>
      <c r="AK1660" s="75">
        <v>0</v>
      </c>
      <c r="AL1660" s="95">
        <v>1</v>
      </c>
      <c r="AM1660" s="92">
        <v>0</v>
      </c>
      <c r="AN1660" s="79" t="s">
        <v>81</v>
      </c>
      <c r="AO1660" s="75">
        <v>1</v>
      </c>
      <c r="AP1660" s="75" t="s">
        <v>83</v>
      </c>
      <c r="AQ1660" s="122">
        <v>1</v>
      </c>
      <c r="AR1660" s="515" t="s">
        <v>10</v>
      </c>
      <c r="AS1660" s="95">
        <v>0</v>
      </c>
      <c r="AT1660" s="75">
        <v>0</v>
      </c>
      <c r="AU1660" s="75">
        <v>0</v>
      </c>
      <c r="AV1660" s="75">
        <v>0</v>
      </c>
      <c r="AW1660" s="123">
        <v>0</v>
      </c>
      <c r="AX1660" s="516"/>
      <c r="AY1660" s="75">
        <v>0</v>
      </c>
      <c r="AZ1660" s="77" t="s">
        <v>131</v>
      </c>
      <c r="BA1660" s="78" t="s">
        <v>131</v>
      </c>
      <c r="BB1660" s="78" t="s">
        <v>131</v>
      </c>
      <c r="BC1660" s="78" t="s">
        <v>131</v>
      </c>
      <c r="BD1660" s="78" t="s">
        <v>131</v>
      </c>
      <c r="BE1660" s="78" t="s">
        <v>131</v>
      </c>
      <c r="BF1660" s="78" t="s">
        <v>131</v>
      </c>
      <c r="BG1660" s="78" t="s">
        <v>132</v>
      </c>
      <c r="BH1660" s="75" t="s">
        <v>5970</v>
      </c>
      <c r="BI1660" s="295" t="s">
        <v>16</v>
      </c>
      <c r="BJ1660" s="546">
        <v>1</v>
      </c>
      <c r="BK1660" s="294" t="s">
        <v>16</v>
      </c>
      <c r="BL1660" s="157" t="s">
        <v>16</v>
      </c>
      <c r="BM1660" s="548" t="s">
        <v>2343</v>
      </c>
      <c r="BN1660" s="548" t="s">
        <v>4161</v>
      </c>
      <c r="BO1660" s="157" t="s">
        <v>4308</v>
      </c>
      <c r="BP1660" s="548" t="s">
        <v>2238</v>
      </c>
      <c r="BQ1660" s="157" t="s">
        <v>4307</v>
      </c>
      <c r="BR1660" s="157"/>
    </row>
    <row r="1661" spans="1:70" x14ac:dyDescent="0.25">
      <c r="A1661" s="19" t="s">
        <v>3686</v>
      </c>
      <c r="B1661" s="37" t="s">
        <v>2005</v>
      </c>
      <c r="C1661" s="90">
        <v>44684.811076388891</v>
      </c>
      <c r="D1661" s="114">
        <v>44684.561076388891</v>
      </c>
      <c r="E1661" s="38">
        <v>44684</v>
      </c>
      <c r="F1661" s="91">
        <v>2022</v>
      </c>
      <c r="G1661" s="93">
        <v>5</v>
      </c>
      <c r="H1661" s="37" t="s">
        <v>201</v>
      </c>
      <c r="I1661" s="37"/>
      <c r="J1661" s="103">
        <v>-92.732009657066143</v>
      </c>
      <c r="K1661" s="40">
        <v>44.83118689798966</v>
      </c>
      <c r="L1661" s="74"/>
      <c r="M1661" s="272" t="s">
        <v>16</v>
      </c>
      <c r="N1661" s="74">
        <v>0</v>
      </c>
      <c r="O1661" s="94"/>
      <c r="P1661" s="118">
        <v>1</v>
      </c>
      <c r="Q1661" s="510">
        <v>180</v>
      </c>
      <c r="R1661" s="513">
        <v>120</v>
      </c>
      <c r="S1661" s="41"/>
      <c r="T1661" s="40"/>
      <c r="U1661" s="40">
        <v>7.5</v>
      </c>
      <c r="V1661" s="119">
        <v>1</v>
      </c>
      <c r="W1661" s="40">
        <v>0</v>
      </c>
      <c r="X1661" s="119">
        <v>1</v>
      </c>
      <c r="Y1661" s="40">
        <v>52</v>
      </c>
      <c r="Z1661" s="119">
        <v>1</v>
      </c>
      <c r="AA1661" s="368">
        <v>0</v>
      </c>
      <c r="AB1661" s="535">
        <v>5</v>
      </c>
      <c r="AC1661" s="39" t="s">
        <v>160</v>
      </c>
      <c r="AD1661" s="75" t="s">
        <v>8</v>
      </c>
      <c r="AE1661" s="95">
        <v>0</v>
      </c>
      <c r="AF1661" s="75">
        <v>1</v>
      </c>
      <c r="AG1661" s="75">
        <v>0</v>
      </c>
      <c r="AH1661" s="75">
        <v>0</v>
      </c>
      <c r="AI1661" s="75">
        <v>0</v>
      </c>
      <c r="AJ1661" s="75">
        <v>0</v>
      </c>
      <c r="AK1661" s="75">
        <v>0</v>
      </c>
      <c r="AL1661" s="95">
        <v>0</v>
      </c>
      <c r="AM1661" s="92">
        <v>0</v>
      </c>
      <c r="AN1661" s="79" t="s">
        <v>80</v>
      </c>
      <c r="AO1661" s="75">
        <v>1</v>
      </c>
      <c r="AP1661" s="75" t="s">
        <v>83</v>
      </c>
      <c r="AQ1661" s="122">
        <v>1</v>
      </c>
      <c r="AR1661" s="515" t="s">
        <v>10</v>
      </c>
      <c r="AS1661" s="95">
        <v>0</v>
      </c>
      <c r="AT1661" s="75">
        <v>0</v>
      </c>
      <c r="AU1661" s="75">
        <v>0</v>
      </c>
      <c r="AV1661" s="75">
        <v>0</v>
      </c>
      <c r="AW1661" s="123">
        <v>0</v>
      </c>
      <c r="AX1661" s="516" t="s">
        <v>1537</v>
      </c>
      <c r="AY1661" s="75">
        <v>1</v>
      </c>
      <c r="AZ1661" s="77" t="s">
        <v>131</v>
      </c>
      <c r="BA1661" s="78" t="s">
        <v>132</v>
      </c>
      <c r="BB1661" s="78" t="s">
        <v>131</v>
      </c>
      <c r="BC1661" s="78" t="s">
        <v>131</v>
      </c>
      <c r="BD1661" s="78" t="s">
        <v>131</v>
      </c>
      <c r="BE1661" s="78" t="s">
        <v>131</v>
      </c>
      <c r="BF1661" s="78" t="s">
        <v>131</v>
      </c>
      <c r="BG1661" s="78" t="s">
        <v>131</v>
      </c>
      <c r="BH1661" s="75" t="s">
        <v>5970</v>
      </c>
      <c r="BI1661" s="295" t="s">
        <v>2227</v>
      </c>
      <c r="BJ1661" s="546">
        <v>1</v>
      </c>
      <c r="BK1661" s="294" t="s">
        <v>16</v>
      </c>
      <c r="BL1661" s="157" t="s">
        <v>16</v>
      </c>
      <c r="BM1661" s="548" t="s">
        <v>578</v>
      </c>
      <c r="BN1661" s="548" t="s">
        <v>578</v>
      </c>
      <c r="BO1661" s="157" t="s">
        <v>4341</v>
      </c>
      <c r="BP1661" s="548" t="s">
        <v>4343</v>
      </c>
      <c r="BQ1661" s="157" t="s">
        <v>4309</v>
      </c>
      <c r="BR1661" s="157"/>
    </row>
    <row r="1662" spans="1:70" x14ac:dyDescent="0.25">
      <c r="A1662" s="19" t="s">
        <v>3686</v>
      </c>
      <c r="B1662" s="37" t="s">
        <v>2006</v>
      </c>
      <c r="C1662" s="90">
        <v>44683.838969907411</v>
      </c>
      <c r="D1662" s="114">
        <v>44683.588969907411</v>
      </c>
      <c r="E1662" s="38">
        <v>44683</v>
      </c>
      <c r="F1662" s="91">
        <v>2022</v>
      </c>
      <c r="G1662" s="93">
        <v>5</v>
      </c>
      <c r="H1662" s="37" t="s">
        <v>260</v>
      </c>
      <c r="I1662" s="37" t="s">
        <v>337</v>
      </c>
      <c r="J1662" s="103">
        <v>-92.645068284249717</v>
      </c>
      <c r="K1662" s="40">
        <v>44.84357423619538</v>
      </c>
      <c r="L1662" s="74"/>
      <c r="M1662" s="272" t="s">
        <v>2007</v>
      </c>
      <c r="N1662" s="74">
        <v>1</v>
      </c>
      <c r="O1662" s="94"/>
      <c r="P1662" s="118">
        <v>1</v>
      </c>
      <c r="Q1662" s="510">
        <v>180</v>
      </c>
      <c r="R1662" s="513">
        <v>120</v>
      </c>
      <c r="S1662" s="41"/>
      <c r="T1662" s="40"/>
      <c r="U1662" s="40">
        <v>7</v>
      </c>
      <c r="V1662" s="119">
        <v>1</v>
      </c>
      <c r="W1662" s="40">
        <v>100</v>
      </c>
      <c r="X1662" s="119">
        <v>1</v>
      </c>
      <c r="Y1662" s="40">
        <v>47</v>
      </c>
      <c r="Z1662" s="119">
        <v>1</v>
      </c>
      <c r="AA1662" s="368">
        <v>0</v>
      </c>
      <c r="AB1662" s="535">
        <v>2</v>
      </c>
      <c r="AC1662" s="39" t="s">
        <v>160</v>
      </c>
      <c r="AD1662" s="75" t="s">
        <v>10</v>
      </c>
      <c r="AE1662" s="95">
        <v>0</v>
      </c>
      <c r="AF1662" s="75">
        <v>0</v>
      </c>
      <c r="AG1662" s="75">
        <v>0</v>
      </c>
      <c r="AH1662" s="75">
        <v>0</v>
      </c>
      <c r="AI1662" s="75">
        <v>0</v>
      </c>
      <c r="AJ1662" s="75">
        <v>0</v>
      </c>
      <c r="AK1662" s="75">
        <v>0</v>
      </c>
      <c r="AL1662" s="95">
        <v>1</v>
      </c>
      <c r="AM1662" s="92">
        <v>0</v>
      </c>
      <c r="AN1662" s="79" t="s">
        <v>195</v>
      </c>
      <c r="AO1662" s="75">
        <v>1</v>
      </c>
      <c r="AP1662" s="75" t="s">
        <v>84</v>
      </c>
      <c r="AQ1662" s="122">
        <v>1</v>
      </c>
      <c r="AR1662" s="515" t="s">
        <v>13</v>
      </c>
      <c r="AS1662" s="95">
        <v>1</v>
      </c>
      <c r="AT1662" s="75">
        <v>0</v>
      </c>
      <c r="AU1662" s="75">
        <v>0</v>
      </c>
      <c r="AV1662" s="75">
        <v>0</v>
      </c>
      <c r="AW1662" s="123">
        <v>0</v>
      </c>
      <c r="AX1662" s="516" t="s">
        <v>2008</v>
      </c>
      <c r="AY1662" s="75">
        <v>1</v>
      </c>
      <c r="AZ1662" s="77" t="s">
        <v>131</v>
      </c>
      <c r="BA1662" s="78" t="s">
        <v>131</v>
      </c>
      <c r="BB1662" s="78" t="s">
        <v>131</v>
      </c>
      <c r="BC1662" s="78" t="s">
        <v>131</v>
      </c>
      <c r="BD1662" s="78" t="s">
        <v>131</v>
      </c>
      <c r="BE1662" s="78" t="s">
        <v>131</v>
      </c>
      <c r="BF1662" s="78" t="s">
        <v>131</v>
      </c>
      <c r="BG1662" s="78" t="s">
        <v>132</v>
      </c>
      <c r="BH1662" s="75" t="s">
        <v>5970</v>
      </c>
      <c r="BI1662" s="295" t="s">
        <v>2227</v>
      </c>
      <c r="BJ1662" s="546">
        <v>1</v>
      </c>
      <c r="BK1662" s="294" t="s">
        <v>16</v>
      </c>
      <c r="BL1662" s="157" t="s">
        <v>16</v>
      </c>
      <c r="BM1662" s="548" t="s">
        <v>578</v>
      </c>
      <c r="BN1662" s="548" t="s">
        <v>578</v>
      </c>
      <c r="BO1662" s="157" t="s">
        <v>4341</v>
      </c>
      <c r="BP1662" s="548" t="s">
        <v>4343</v>
      </c>
      <c r="BQ1662" s="157" t="s">
        <v>4309</v>
      </c>
      <c r="BR1662" s="157"/>
    </row>
    <row r="1663" spans="1:70" x14ac:dyDescent="0.25">
      <c r="A1663" s="19" t="s">
        <v>3686</v>
      </c>
      <c r="B1663" s="37" t="s">
        <v>2009</v>
      </c>
      <c r="C1663" s="90">
        <v>44683.61078703704</v>
      </c>
      <c r="D1663" s="114">
        <v>44683.36078703704</v>
      </c>
      <c r="E1663" s="38">
        <v>44683</v>
      </c>
      <c r="F1663" s="91">
        <v>2022</v>
      </c>
      <c r="G1663" s="93">
        <v>5</v>
      </c>
      <c r="H1663" s="37" t="s">
        <v>625</v>
      </c>
      <c r="I1663" s="37" t="s">
        <v>753</v>
      </c>
      <c r="J1663" s="103">
        <v>-92.802152000000007</v>
      </c>
      <c r="K1663" s="40">
        <v>44.5429922</v>
      </c>
      <c r="L1663" s="74"/>
      <c r="M1663" s="272" t="s">
        <v>16</v>
      </c>
      <c r="N1663" s="74">
        <v>0</v>
      </c>
      <c r="O1663" s="94"/>
      <c r="P1663" s="118">
        <v>1</v>
      </c>
      <c r="Q1663" s="510">
        <v>80</v>
      </c>
      <c r="R1663" s="513">
        <v>180</v>
      </c>
      <c r="S1663" s="41"/>
      <c r="T1663" s="40"/>
      <c r="U1663" s="40">
        <v>7</v>
      </c>
      <c r="V1663" s="119">
        <v>1</v>
      </c>
      <c r="W1663" s="40">
        <v>0</v>
      </c>
      <c r="X1663" s="119">
        <v>1</v>
      </c>
      <c r="Y1663" s="40">
        <v>45</v>
      </c>
      <c r="Z1663" s="119">
        <v>1</v>
      </c>
      <c r="AA1663" s="368">
        <v>0</v>
      </c>
      <c r="AB1663" s="535">
        <v>5</v>
      </c>
      <c r="AC1663" s="39" t="s">
        <v>160</v>
      </c>
      <c r="AD1663" s="75" t="s">
        <v>10</v>
      </c>
      <c r="AE1663" s="95">
        <v>0</v>
      </c>
      <c r="AF1663" s="75">
        <v>0</v>
      </c>
      <c r="AG1663" s="75">
        <v>0</v>
      </c>
      <c r="AH1663" s="75">
        <v>0</v>
      </c>
      <c r="AI1663" s="75">
        <v>0</v>
      </c>
      <c r="AJ1663" s="75">
        <v>0</v>
      </c>
      <c r="AK1663" s="75">
        <v>0</v>
      </c>
      <c r="AL1663" s="95">
        <v>1</v>
      </c>
      <c r="AM1663" s="92">
        <v>0</v>
      </c>
      <c r="AN1663" s="79" t="s">
        <v>81</v>
      </c>
      <c r="AO1663" s="75">
        <v>1</v>
      </c>
      <c r="AP1663" s="75" t="s">
        <v>83</v>
      </c>
      <c r="AQ1663" s="122">
        <v>1</v>
      </c>
      <c r="AR1663" s="515" t="s">
        <v>13</v>
      </c>
      <c r="AS1663" s="95">
        <v>1</v>
      </c>
      <c r="AT1663" s="75">
        <v>0</v>
      </c>
      <c r="AU1663" s="75">
        <v>0</v>
      </c>
      <c r="AV1663" s="75">
        <v>0</v>
      </c>
      <c r="AW1663" s="123">
        <v>0</v>
      </c>
      <c r="AX1663" s="516"/>
      <c r="AY1663" s="75">
        <v>0</v>
      </c>
      <c r="AZ1663" s="77" t="s">
        <v>131</v>
      </c>
      <c r="BA1663" s="78" t="s">
        <v>131</v>
      </c>
      <c r="BB1663" s="78" t="s">
        <v>131</v>
      </c>
      <c r="BC1663" s="78" t="s">
        <v>131</v>
      </c>
      <c r="BD1663" s="78" t="s">
        <v>131</v>
      </c>
      <c r="BE1663" s="78" t="s">
        <v>131</v>
      </c>
      <c r="BF1663" s="78" t="s">
        <v>131</v>
      </c>
      <c r="BG1663" s="78" t="s">
        <v>132</v>
      </c>
      <c r="BH1663" s="75" t="s">
        <v>5970</v>
      </c>
      <c r="BI1663" s="295" t="s">
        <v>2224</v>
      </c>
      <c r="BJ1663" s="546">
        <v>1</v>
      </c>
      <c r="BK1663" s="294">
        <v>1</v>
      </c>
      <c r="BL1663" s="157">
        <v>1</v>
      </c>
      <c r="BM1663" s="548" t="s">
        <v>2343</v>
      </c>
      <c r="BN1663" s="548" t="s">
        <v>4161</v>
      </c>
      <c r="BO1663" s="157" t="s">
        <v>4510</v>
      </c>
      <c r="BP1663" s="548" t="s">
        <v>753</v>
      </c>
      <c r="BQ1663" s="157" t="s">
        <v>4389</v>
      </c>
      <c r="BR1663" s="157"/>
    </row>
    <row r="1664" spans="1:70" x14ac:dyDescent="0.25">
      <c r="A1664" s="19" t="s">
        <v>3686</v>
      </c>
      <c r="B1664" s="37" t="s">
        <v>2010</v>
      </c>
      <c r="C1664" s="90">
        <v>44682.662719907406</v>
      </c>
      <c r="D1664" s="114">
        <v>44682.412719907406</v>
      </c>
      <c r="E1664" s="38">
        <v>44682</v>
      </c>
      <c r="F1664" s="91">
        <v>2022</v>
      </c>
      <c r="G1664" s="93">
        <v>5</v>
      </c>
      <c r="H1664" s="37" t="s">
        <v>604</v>
      </c>
      <c r="I1664" s="37"/>
      <c r="J1664" s="103">
        <v>-93.384340340358563</v>
      </c>
      <c r="K1664" s="40">
        <v>44.779432481196501</v>
      </c>
      <c r="L1664" s="74"/>
      <c r="M1664" s="272" t="s">
        <v>2011</v>
      </c>
      <c r="N1664" s="74">
        <v>1</v>
      </c>
      <c r="O1664" s="94"/>
      <c r="P1664" s="118">
        <v>1</v>
      </c>
      <c r="Q1664" s="510">
        <v>120</v>
      </c>
      <c r="R1664" s="513">
        <v>180</v>
      </c>
      <c r="S1664" s="41"/>
      <c r="T1664" s="40"/>
      <c r="U1664" s="40">
        <v>7</v>
      </c>
      <c r="V1664" s="119">
        <v>1</v>
      </c>
      <c r="W1664" s="40">
        <v>0</v>
      </c>
      <c r="X1664" s="119">
        <v>1</v>
      </c>
      <c r="Y1664" s="40">
        <v>49</v>
      </c>
      <c r="Z1664" s="119">
        <v>1</v>
      </c>
      <c r="AA1664" s="368">
        <v>0</v>
      </c>
      <c r="AB1664" s="535">
        <v>0</v>
      </c>
      <c r="AC1664" s="39" t="s">
        <v>160</v>
      </c>
      <c r="AD1664" s="75" t="s">
        <v>10</v>
      </c>
      <c r="AE1664" s="95">
        <v>0</v>
      </c>
      <c r="AF1664" s="75">
        <v>0</v>
      </c>
      <c r="AG1664" s="75">
        <v>0</v>
      </c>
      <c r="AH1664" s="75">
        <v>0</v>
      </c>
      <c r="AI1664" s="75">
        <v>0</v>
      </c>
      <c r="AJ1664" s="75">
        <v>0</v>
      </c>
      <c r="AK1664" s="75">
        <v>0</v>
      </c>
      <c r="AL1664" s="95">
        <v>1</v>
      </c>
      <c r="AM1664" s="92">
        <v>0</v>
      </c>
      <c r="AN1664" s="79" t="s">
        <v>81</v>
      </c>
      <c r="AO1664" s="75">
        <v>1</v>
      </c>
      <c r="AP1664" s="75" t="s">
        <v>83</v>
      </c>
      <c r="AQ1664" s="122">
        <v>1</v>
      </c>
      <c r="AR1664" s="515" t="s">
        <v>13</v>
      </c>
      <c r="AS1664" s="95">
        <v>1</v>
      </c>
      <c r="AT1664" s="75">
        <v>0</v>
      </c>
      <c r="AU1664" s="75">
        <v>0</v>
      </c>
      <c r="AV1664" s="75">
        <v>0</v>
      </c>
      <c r="AW1664" s="123">
        <v>0</v>
      </c>
      <c r="AX1664" s="516"/>
      <c r="AY1664" s="75">
        <v>0</v>
      </c>
      <c r="AZ1664" s="77" t="s">
        <v>131</v>
      </c>
      <c r="BA1664" s="78" t="s">
        <v>131</v>
      </c>
      <c r="BB1664" s="78" t="s">
        <v>131</v>
      </c>
      <c r="BC1664" s="78" t="s">
        <v>131</v>
      </c>
      <c r="BD1664" s="78" t="s">
        <v>131</v>
      </c>
      <c r="BE1664" s="78" t="s">
        <v>131</v>
      </c>
      <c r="BF1664" s="78" t="s">
        <v>131</v>
      </c>
      <c r="BG1664" s="78" t="s">
        <v>132</v>
      </c>
      <c r="BH1664" s="75" t="s">
        <v>5970</v>
      </c>
      <c r="BI1664" s="295" t="s">
        <v>2277</v>
      </c>
      <c r="BJ1664" s="546">
        <v>1</v>
      </c>
      <c r="BK1664" s="294" t="s">
        <v>16</v>
      </c>
      <c r="BL1664" s="157" t="s">
        <v>16</v>
      </c>
      <c r="BM1664" s="548" t="s">
        <v>2343</v>
      </c>
      <c r="BN1664" s="548" t="s">
        <v>4161</v>
      </c>
      <c r="BO1664" s="157" t="s">
        <v>4313</v>
      </c>
      <c r="BP1664" s="548" t="s">
        <v>4315</v>
      </c>
      <c r="BQ1664" s="157" t="s">
        <v>4312</v>
      </c>
      <c r="BR1664" s="157"/>
    </row>
    <row r="1665" spans="1:70" x14ac:dyDescent="0.25">
      <c r="A1665" s="19" t="s">
        <v>3686</v>
      </c>
      <c r="B1665" s="37" t="s">
        <v>2012</v>
      </c>
      <c r="C1665" s="90">
        <v>44682.582766203705</v>
      </c>
      <c r="D1665" s="114">
        <v>44682.332766203705</v>
      </c>
      <c r="E1665" s="38">
        <v>44682</v>
      </c>
      <c r="F1665" s="91">
        <v>2022</v>
      </c>
      <c r="G1665" s="93">
        <v>5</v>
      </c>
      <c r="H1665" s="37" t="s">
        <v>604</v>
      </c>
      <c r="I1665" s="37" t="s">
        <v>16</v>
      </c>
      <c r="J1665" s="103">
        <v>-92.725447481584482</v>
      </c>
      <c r="K1665" s="40">
        <v>44.547035079490904</v>
      </c>
      <c r="L1665" s="74"/>
      <c r="M1665" s="272" t="s">
        <v>2013</v>
      </c>
      <c r="N1665" s="74">
        <v>1</v>
      </c>
      <c r="O1665" s="94"/>
      <c r="P1665" s="118">
        <v>1</v>
      </c>
      <c r="Q1665" s="510">
        <v>180</v>
      </c>
      <c r="R1665" s="513">
        <v>180</v>
      </c>
      <c r="S1665" s="41"/>
      <c r="T1665" s="40"/>
      <c r="U1665" s="40">
        <v>7.5</v>
      </c>
      <c r="V1665" s="119">
        <v>1</v>
      </c>
      <c r="W1665" s="40">
        <v>0</v>
      </c>
      <c r="X1665" s="119">
        <v>1</v>
      </c>
      <c r="Y1665" s="40">
        <v>48</v>
      </c>
      <c r="Z1665" s="119">
        <v>1</v>
      </c>
      <c r="AA1665" s="368">
        <v>0</v>
      </c>
      <c r="AB1665" s="535">
        <v>2</v>
      </c>
      <c r="AC1665" s="39" t="s">
        <v>160</v>
      </c>
      <c r="AD1665" s="75" t="s">
        <v>10</v>
      </c>
      <c r="AE1665" s="95">
        <v>0</v>
      </c>
      <c r="AF1665" s="75">
        <v>0</v>
      </c>
      <c r="AG1665" s="75">
        <v>0</v>
      </c>
      <c r="AH1665" s="75">
        <v>0</v>
      </c>
      <c r="AI1665" s="75">
        <v>0</v>
      </c>
      <c r="AJ1665" s="75">
        <v>0</v>
      </c>
      <c r="AK1665" s="75">
        <v>0</v>
      </c>
      <c r="AL1665" s="95">
        <v>1</v>
      </c>
      <c r="AM1665" s="92">
        <v>0</v>
      </c>
      <c r="AN1665" s="79" t="s">
        <v>81</v>
      </c>
      <c r="AO1665" s="75">
        <v>1</v>
      </c>
      <c r="AP1665" s="75" t="s">
        <v>83</v>
      </c>
      <c r="AQ1665" s="122">
        <v>1</v>
      </c>
      <c r="AR1665" s="515" t="s">
        <v>13</v>
      </c>
      <c r="AS1665" s="95">
        <v>1</v>
      </c>
      <c r="AT1665" s="75">
        <v>0</v>
      </c>
      <c r="AU1665" s="75">
        <v>0</v>
      </c>
      <c r="AV1665" s="75">
        <v>0</v>
      </c>
      <c r="AW1665" s="123">
        <v>0</v>
      </c>
      <c r="AX1665" s="516"/>
      <c r="AY1665" s="75">
        <v>0</v>
      </c>
      <c r="AZ1665" s="77" t="s">
        <v>131</v>
      </c>
      <c r="BA1665" s="78" t="s">
        <v>131</v>
      </c>
      <c r="BB1665" s="78" t="s">
        <v>131</v>
      </c>
      <c r="BC1665" s="78" t="s">
        <v>131</v>
      </c>
      <c r="BD1665" s="78" t="s">
        <v>131</v>
      </c>
      <c r="BE1665" s="78" t="s">
        <v>131</v>
      </c>
      <c r="BF1665" s="78" t="s">
        <v>131</v>
      </c>
      <c r="BG1665" s="78" t="s">
        <v>132</v>
      </c>
      <c r="BH1665" s="75" t="s">
        <v>5970</v>
      </c>
      <c r="BI1665" s="295" t="s">
        <v>1402</v>
      </c>
      <c r="BJ1665" s="546" t="s">
        <v>16</v>
      </c>
      <c r="BK1665" s="294" t="s">
        <v>16</v>
      </c>
      <c r="BL1665" s="157" t="s">
        <v>16</v>
      </c>
      <c r="BM1665" s="548" t="s">
        <v>2343</v>
      </c>
      <c r="BN1665" s="548" t="s">
        <v>4161</v>
      </c>
      <c r="BO1665" s="157" t="s">
        <v>4290</v>
      </c>
      <c r="BP1665" s="548" t="s">
        <v>4291</v>
      </c>
      <c r="BQ1665" s="157" t="s">
        <v>4289</v>
      </c>
      <c r="BR1665" s="157"/>
    </row>
    <row r="1666" spans="1:70" x14ac:dyDescent="0.25">
      <c r="A1666" s="19" t="s">
        <v>3686</v>
      </c>
      <c r="B1666" s="37" t="s">
        <v>2014</v>
      </c>
      <c r="C1666" s="90">
        <v>44681.683715277781</v>
      </c>
      <c r="D1666" s="114">
        <v>44681.433715277781</v>
      </c>
      <c r="E1666" s="38">
        <v>44681</v>
      </c>
      <c r="F1666" s="91">
        <v>2022</v>
      </c>
      <c r="G1666" s="93">
        <v>4</v>
      </c>
      <c r="H1666" s="37" t="s">
        <v>379</v>
      </c>
      <c r="I1666" s="37" t="s">
        <v>16</v>
      </c>
      <c r="J1666" s="103">
        <v>-92.639258969661441</v>
      </c>
      <c r="K1666" s="40">
        <v>44.839262883220648</v>
      </c>
      <c r="L1666" s="74"/>
      <c r="M1666" s="272" t="s">
        <v>16</v>
      </c>
      <c r="N1666" s="74">
        <v>0</v>
      </c>
      <c r="O1666" s="94"/>
      <c r="P1666" s="118">
        <v>1</v>
      </c>
      <c r="Q1666" s="510">
        <v>120</v>
      </c>
      <c r="R1666" s="513">
        <v>120</v>
      </c>
      <c r="S1666" s="41"/>
      <c r="T1666" s="40"/>
      <c r="U1666" s="40">
        <v>7</v>
      </c>
      <c r="V1666" s="119">
        <v>1</v>
      </c>
      <c r="W1666" s="40">
        <v>0</v>
      </c>
      <c r="X1666" s="119">
        <v>1</v>
      </c>
      <c r="Y1666" s="40">
        <v>47</v>
      </c>
      <c r="Z1666" s="119">
        <v>1</v>
      </c>
      <c r="AA1666" s="368">
        <v>0</v>
      </c>
      <c r="AB1666" s="535">
        <v>2</v>
      </c>
      <c r="AC1666" s="39" t="s">
        <v>160</v>
      </c>
      <c r="AD1666" s="75" t="s">
        <v>16</v>
      </c>
      <c r="AE1666" s="95">
        <v>-1</v>
      </c>
      <c r="AF1666" s="75">
        <v>-1</v>
      </c>
      <c r="AG1666" s="75">
        <v>-1</v>
      </c>
      <c r="AH1666" s="75">
        <v>-1</v>
      </c>
      <c r="AI1666" s="75">
        <v>-1</v>
      </c>
      <c r="AJ1666" s="75">
        <v>-1</v>
      </c>
      <c r="AK1666" s="75">
        <v>-1</v>
      </c>
      <c r="AL1666" s="95">
        <v>-1</v>
      </c>
      <c r="AM1666" s="92">
        <v>1</v>
      </c>
      <c r="AN1666" s="79" t="s">
        <v>81</v>
      </c>
      <c r="AO1666" s="75">
        <v>1</v>
      </c>
      <c r="AP1666" s="75" t="s">
        <v>84</v>
      </c>
      <c r="AQ1666" s="122">
        <v>1</v>
      </c>
      <c r="AR1666" s="515" t="s">
        <v>13</v>
      </c>
      <c r="AS1666" s="95">
        <v>1</v>
      </c>
      <c r="AT1666" s="75">
        <v>0</v>
      </c>
      <c r="AU1666" s="75">
        <v>0</v>
      </c>
      <c r="AV1666" s="75">
        <v>0</v>
      </c>
      <c r="AW1666" s="123">
        <v>0</v>
      </c>
      <c r="AX1666" s="516"/>
      <c r="AY1666" s="75">
        <v>0</v>
      </c>
      <c r="AZ1666" s="77" t="s">
        <v>5971</v>
      </c>
      <c r="BA1666" s="78" t="s">
        <v>5971</v>
      </c>
      <c r="BB1666" s="78" t="s">
        <v>5971</v>
      </c>
      <c r="BC1666" s="78" t="s">
        <v>5971</v>
      </c>
      <c r="BD1666" s="78" t="s">
        <v>5971</v>
      </c>
      <c r="BE1666" s="78" t="s">
        <v>5971</v>
      </c>
      <c r="BF1666" s="78" t="s">
        <v>5971</v>
      </c>
      <c r="BG1666" s="78" t="s">
        <v>5971</v>
      </c>
      <c r="BH1666" s="75" t="s">
        <v>5971</v>
      </c>
      <c r="BI1666" s="295">
        <v>0</v>
      </c>
      <c r="BJ1666" s="546">
        <v>1</v>
      </c>
      <c r="BK1666" s="294" t="s">
        <v>16</v>
      </c>
      <c r="BL1666" s="157" t="s">
        <v>16</v>
      </c>
      <c r="BM1666" s="548" t="s">
        <v>578</v>
      </c>
      <c r="BN1666" s="548" t="s">
        <v>578</v>
      </c>
      <c r="BO1666" s="157" t="s">
        <v>4341</v>
      </c>
      <c r="BP1666" s="548" t="s">
        <v>4343</v>
      </c>
      <c r="BQ1666" s="157" t="s">
        <v>4309</v>
      </c>
      <c r="BR1666" s="157"/>
    </row>
    <row r="1667" spans="1:70" x14ac:dyDescent="0.25">
      <c r="A1667" s="19" t="s">
        <v>3686</v>
      </c>
      <c r="B1667" s="37" t="s">
        <v>2015</v>
      </c>
      <c r="C1667" s="90">
        <v>44681.022847222222</v>
      </c>
      <c r="D1667" s="114">
        <v>44680.772847222222</v>
      </c>
      <c r="E1667" s="38">
        <v>44680</v>
      </c>
      <c r="F1667" s="91">
        <v>2022</v>
      </c>
      <c r="G1667" s="93">
        <v>4</v>
      </c>
      <c r="H1667" s="37" t="s">
        <v>379</v>
      </c>
      <c r="I1667" s="37" t="s">
        <v>642</v>
      </c>
      <c r="J1667" s="103">
        <v>-92.583554182287841</v>
      </c>
      <c r="K1667" s="40">
        <v>44.848833046895308</v>
      </c>
      <c r="L1667" s="74"/>
      <c r="M1667" s="272" t="s">
        <v>16</v>
      </c>
      <c r="N1667" s="74">
        <v>0</v>
      </c>
      <c r="O1667" s="94"/>
      <c r="P1667" s="118">
        <v>0</v>
      </c>
      <c r="Q1667" s="510"/>
      <c r="R1667" s="513"/>
      <c r="S1667" s="41"/>
      <c r="T1667" s="40"/>
      <c r="U1667" s="40"/>
      <c r="V1667" s="119">
        <v>1</v>
      </c>
      <c r="W1667" s="40">
        <v>0</v>
      </c>
      <c r="X1667" s="119">
        <v>1</v>
      </c>
      <c r="Y1667" s="40">
        <v>47</v>
      </c>
      <c r="Z1667" s="119">
        <v>1</v>
      </c>
      <c r="AA1667" s="368">
        <v>0</v>
      </c>
      <c r="AB1667" s="535">
        <v>2</v>
      </c>
      <c r="AC1667" s="39" t="s">
        <v>160</v>
      </c>
      <c r="AD1667" s="75" t="s">
        <v>16</v>
      </c>
      <c r="AE1667" s="95">
        <v>-1</v>
      </c>
      <c r="AF1667" s="75">
        <v>-1</v>
      </c>
      <c r="AG1667" s="75">
        <v>-1</v>
      </c>
      <c r="AH1667" s="75">
        <v>-1</v>
      </c>
      <c r="AI1667" s="75">
        <v>-1</v>
      </c>
      <c r="AJ1667" s="75">
        <v>-1</v>
      </c>
      <c r="AK1667" s="75">
        <v>-1</v>
      </c>
      <c r="AL1667" s="95">
        <v>-1</v>
      </c>
      <c r="AM1667" s="92">
        <v>1</v>
      </c>
      <c r="AN1667" s="79" t="s">
        <v>80</v>
      </c>
      <c r="AO1667" s="75">
        <v>1</v>
      </c>
      <c r="AP1667" s="75" t="s">
        <v>84</v>
      </c>
      <c r="AQ1667" s="122">
        <v>1</v>
      </c>
      <c r="AR1667" s="515" t="s">
        <v>13</v>
      </c>
      <c r="AS1667" s="95">
        <v>1</v>
      </c>
      <c r="AT1667" s="75">
        <v>0</v>
      </c>
      <c r="AU1667" s="75">
        <v>0</v>
      </c>
      <c r="AV1667" s="75">
        <v>0</v>
      </c>
      <c r="AW1667" s="123">
        <v>0</v>
      </c>
      <c r="AX1667" s="516"/>
      <c r="AY1667" s="75">
        <v>0</v>
      </c>
      <c r="AZ1667" s="77" t="s">
        <v>5971</v>
      </c>
      <c r="BA1667" s="78" t="s">
        <v>5971</v>
      </c>
      <c r="BB1667" s="78" t="s">
        <v>5971</v>
      </c>
      <c r="BC1667" s="78" t="s">
        <v>5971</v>
      </c>
      <c r="BD1667" s="78" t="s">
        <v>5971</v>
      </c>
      <c r="BE1667" s="78" t="s">
        <v>5971</v>
      </c>
      <c r="BF1667" s="78" t="s">
        <v>5971</v>
      </c>
      <c r="BG1667" s="78" t="s">
        <v>5971</v>
      </c>
      <c r="BH1667" s="75" t="s">
        <v>5971</v>
      </c>
      <c r="BI1667" s="295" t="s">
        <v>2226</v>
      </c>
      <c r="BJ1667" s="546">
        <v>1</v>
      </c>
      <c r="BK1667" s="294">
        <v>1</v>
      </c>
      <c r="BL1667" s="157">
        <v>1</v>
      </c>
      <c r="BM1667" s="548" t="s">
        <v>578</v>
      </c>
      <c r="BN1667" s="548" t="s">
        <v>578</v>
      </c>
      <c r="BO1667" s="157" t="s">
        <v>4310</v>
      </c>
      <c r="BP1667" s="548" t="s">
        <v>2226</v>
      </c>
      <c r="BQ1667" s="157" t="s">
        <v>4309</v>
      </c>
      <c r="BR1667" s="157"/>
    </row>
    <row r="1668" spans="1:70" x14ac:dyDescent="0.25">
      <c r="A1668" s="19" t="s">
        <v>3686</v>
      </c>
      <c r="B1668" s="37" t="s">
        <v>2016</v>
      </c>
      <c r="C1668" s="90">
        <v>44680.711099537039</v>
      </c>
      <c r="D1668" s="114">
        <v>44680.461099537039</v>
      </c>
      <c r="E1668" s="38">
        <v>44680</v>
      </c>
      <c r="F1668" s="91">
        <v>2022</v>
      </c>
      <c r="G1668" s="93">
        <v>4</v>
      </c>
      <c r="H1668" s="37" t="s">
        <v>621</v>
      </c>
      <c r="I1668" s="37" t="s">
        <v>960</v>
      </c>
      <c r="J1668" s="103">
        <v>-93.009018497628162</v>
      </c>
      <c r="K1668" s="40">
        <v>44.657207066234811</v>
      </c>
      <c r="L1668" s="74"/>
      <c r="M1668" s="272" t="s">
        <v>16</v>
      </c>
      <c r="N1668" s="74">
        <v>0</v>
      </c>
      <c r="O1668" s="94"/>
      <c r="P1668" s="118">
        <v>1</v>
      </c>
      <c r="Q1668" s="510">
        <v>180</v>
      </c>
      <c r="R1668" s="513">
        <v>180</v>
      </c>
      <c r="S1668" s="41"/>
      <c r="T1668" s="40"/>
      <c r="U1668" s="40">
        <v>7</v>
      </c>
      <c r="V1668" s="119">
        <v>1</v>
      </c>
      <c r="W1668" s="40">
        <v>0</v>
      </c>
      <c r="X1668" s="119">
        <v>1</v>
      </c>
      <c r="Y1668" s="40">
        <v>47</v>
      </c>
      <c r="Z1668" s="119">
        <v>1</v>
      </c>
      <c r="AA1668" s="368">
        <v>0</v>
      </c>
      <c r="AB1668" s="535">
        <v>5</v>
      </c>
      <c r="AC1668" s="39" t="s">
        <v>160</v>
      </c>
      <c r="AD1668" s="75" t="s">
        <v>10</v>
      </c>
      <c r="AE1668" s="95">
        <v>0</v>
      </c>
      <c r="AF1668" s="75">
        <v>0</v>
      </c>
      <c r="AG1668" s="75">
        <v>0</v>
      </c>
      <c r="AH1668" s="75">
        <v>0</v>
      </c>
      <c r="AI1668" s="75">
        <v>0</v>
      </c>
      <c r="AJ1668" s="75">
        <v>0</v>
      </c>
      <c r="AK1668" s="75">
        <v>0</v>
      </c>
      <c r="AL1668" s="95">
        <v>1</v>
      </c>
      <c r="AM1668" s="92">
        <v>0</v>
      </c>
      <c r="AN1668" s="79" t="s">
        <v>81</v>
      </c>
      <c r="AO1668" s="75">
        <v>1</v>
      </c>
      <c r="AP1668" s="75" t="s">
        <v>83</v>
      </c>
      <c r="AQ1668" s="122">
        <v>1</v>
      </c>
      <c r="AR1668" s="515" t="s">
        <v>10</v>
      </c>
      <c r="AS1668" s="95">
        <v>0</v>
      </c>
      <c r="AT1668" s="75">
        <v>0</v>
      </c>
      <c r="AU1668" s="75">
        <v>0</v>
      </c>
      <c r="AV1668" s="75">
        <v>0</v>
      </c>
      <c r="AW1668" s="123">
        <v>0</v>
      </c>
      <c r="AX1668" s="516"/>
      <c r="AY1668" s="75">
        <v>0</v>
      </c>
      <c r="AZ1668" s="77" t="s">
        <v>131</v>
      </c>
      <c r="BA1668" s="78" t="s">
        <v>131</v>
      </c>
      <c r="BB1668" s="78" t="s">
        <v>131</v>
      </c>
      <c r="BC1668" s="78" t="s">
        <v>131</v>
      </c>
      <c r="BD1668" s="78" t="s">
        <v>131</v>
      </c>
      <c r="BE1668" s="78" t="s">
        <v>131</v>
      </c>
      <c r="BF1668" s="78" t="s">
        <v>131</v>
      </c>
      <c r="BG1668" s="78" t="s">
        <v>132</v>
      </c>
      <c r="BH1668" s="75" t="s">
        <v>5970</v>
      </c>
      <c r="BI1668" s="295" t="s">
        <v>2225</v>
      </c>
      <c r="BJ1668" s="546">
        <v>1</v>
      </c>
      <c r="BK1668" s="294" t="s">
        <v>16</v>
      </c>
      <c r="BL1668" s="157" t="s">
        <v>16</v>
      </c>
      <c r="BM1668" s="548" t="s">
        <v>2343</v>
      </c>
      <c r="BN1668" s="548" t="s">
        <v>4161</v>
      </c>
      <c r="BO1668" s="157" t="s">
        <v>4293</v>
      </c>
      <c r="BP1668" s="548" t="s">
        <v>2225</v>
      </c>
      <c r="BQ1668" s="157" t="s">
        <v>4292</v>
      </c>
      <c r="BR1668" s="157"/>
    </row>
    <row r="1669" spans="1:70" x14ac:dyDescent="0.25">
      <c r="A1669" s="19" t="s">
        <v>3686</v>
      </c>
      <c r="B1669" s="37" t="s">
        <v>2017</v>
      </c>
      <c r="C1669" s="90">
        <v>44680.687997685185</v>
      </c>
      <c r="D1669" s="114">
        <v>44680.437997685185</v>
      </c>
      <c r="E1669" s="38">
        <v>44680</v>
      </c>
      <c r="F1669" s="91">
        <v>2022</v>
      </c>
      <c r="G1669" s="93">
        <v>4</v>
      </c>
      <c r="H1669" s="37" t="s">
        <v>617</v>
      </c>
      <c r="I1669" s="37" t="s">
        <v>2362</v>
      </c>
      <c r="J1669" s="103">
        <v>-92.284219636847496</v>
      </c>
      <c r="K1669" s="40">
        <v>44.542245427465708</v>
      </c>
      <c r="L1669" s="74"/>
      <c r="M1669" s="272" t="s">
        <v>16</v>
      </c>
      <c r="N1669" s="74">
        <v>0</v>
      </c>
      <c r="O1669" s="94"/>
      <c r="P1669" s="118">
        <v>1</v>
      </c>
      <c r="Q1669" s="510">
        <v>180</v>
      </c>
      <c r="R1669" s="513">
        <v>120</v>
      </c>
      <c r="S1669" s="41"/>
      <c r="T1669" s="40"/>
      <c r="U1669" s="40">
        <v>7</v>
      </c>
      <c r="V1669" s="119">
        <v>1</v>
      </c>
      <c r="W1669" s="40">
        <v>0</v>
      </c>
      <c r="X1669" s="119">
        <v>1</v>
      </c>
      <c r="Y1669" s="40">
        <v>53</v>
      </c>
      <c r="Z1669" s="119">
        <v>0</v>
      </c>
      <c r="AA1669" s="368" t="s">
        <v>16</v>
      </c>
      <c r="AB1669" s="535" t="s">
        <v>16</v>
      </c>
      <c r="AC1669" s="39" t="s">
        <v>160</v>
      </c>
      <c r="AD1669" s="75" t="s">
        <v>16</v>
      </c>
      <c r="AE1669" s="95">
        <v>-1</v>
      </c>
      <c r="AF1669" s="75">
        <v>-1</v>
      </c>
      <c r="AG1669" s="75">
        <v>-1</v>
      </c>
      <c r="AH1669" s="75">
        <v>-1</v>
      </c>
      <c r="AI1669" s="75">
        <v>-1</v>
      </c>
      <c r="AJ1669" s="75">
        <v>-1</v>
      </c>
      <c r="AK1669" s="75">
        <v>-1</v>
      </c>
      <c r="AL1669" s="95">
        <v>-1</v>
      </c>
      <c r="AM1669" s="92">
        <v>1</v>
      </c>
      <c r="AN1669" s="79" t="s">
        <v>80</v>
      </c>
      <c r="AO1669" s="75">
        <v>1</v>
      </c>
      <c r="AP1669" s="75" t="s">
        <v>83</v>
      </c>
      <c r="AQ1669" s="122">
        <v>1</v>
      </c>
      <c r="AR1669" s="515" t="s">
        <v>10</v>
      </c>
      <c r="AS1669" s="95">
        <v>0</v>
      </c>
      <c r="AT1669" s="75">
        <v>0</v>
      </c>
      <c r="AU1669" s="75">
        <v>0</v>
      </c>
      <c r="AV1669" s="75">
        <v>0</v>
      </c>
      <c r="AW1669" s="123">
        <v>0</v>
      </c>
      <c r="AX1669" s="516"/>
      <c r="AY1669" s="75">
        <v>0</v>
      </c>
      <c r="AZ1669" s="77" t="s">
        <v>5971</v>
      </c>
      <c r="BA1669" s="78" t="s">
        <v>5971</v>
      </c>
      <c r="BB1669" s="78" t="s">
        <v>5971</v>
      </c>
      <c r="BC1669" s="78" t="s">
        <v>5971</v>
      </c>
      <c r="BD1669" s="78" t="s">
        <v>5971</v>
      </c>
      <c r="BE1669" s="78" t="s">
        <v>5971</v>
      </c>
      <c r="BF1669" s="78" t="s">
        <v>5971</v>
      </c>
      <c r="BG1669" s="78" t="s">
        <v>5971</v>
      </c>
      <c r="BH1669" s="75" t="s">
        <v>5971</v>
      </c>
      <c r="BI1669" s="295" t="s">
        <v>2261</v>
      </c>
      <c r="BJ1669" s="546">
        <v>1</v>
      </c>
      <c r="BK1669" s="294">
        <v>1</v>
      </c>
      <c r="BL1669" s="157">
        <v>1</v>
      </c>
      <c r="BM1669" s="548" t="s">
        <v>1340</v>
      </c>
      <c r="BN1669" s="548" t="s">
        <v>578</v>
      </c>
      <c r="BO1669" s="157" t="s">
        <v>4268</v>
      </c>
      <c r="BP1669" s="548" t="s">
        <v>2261</v>
      </c>
      <c r="BQ1669" s="157" t="s">
        <v>4214</v>
      </c>
      <c r="BR1669" s="157"/>
    </row>
    <row r="1670" spans="1:70" x14ac:dyDescent="0.25">
      <c r="A1670" s="19" t="s">
        <v>3686</v>
      </c>
      <c r="B1670" s="37" t="s">
        <v>2018</v>
      </c>
      <c r="C1670" s="90">
        <v>44679.718159722222</v>
      </c>
      <c r="D1670" s="114">
        <v>44679.468159722222</v>
      </c>
      <c r="E1670" s="38">
        <v>44679</v>
      </c>
      <c r="F1670" s="91">
        <v>2022</v>
      </c>
      <c r="G1670" s="93">
        <v>4</v>
      </c>
      <c r="H1670" s="37" t="s">
        <v>1837</v>
      </c>
      <c r="I1670" s="37"/>
      <c r="J1670" s="103">
        <v>-91.814493888038285</v>
      </c>
      <c r="K1670" s="40">
        <v>43.879371393146343</v>
      </c>
      <c r="L1670" s="74"/>
      <c r="M1670" s="272" t="s">
        <v>16</v>
      </c>
      <c r="N1670" s="74">
        <v>0</v>
      </c>
      <c r="O1670" s="94"/>
      <c r="P1670" s="118">
        <v>0</v>
      </c>
      <c r="Q1670" s="510"/>
      <c r="R1670" s="513"/>
      <c r="S1670" s="41"/>
      <c r="T1670" s="40"/>
      <c r="U1670" s="40"/>
      <c r="V1670" s="119">
        <v>1</v>
      </c>
      <c r="W1670" s="40">
        <v>0</v>
      </c>
      <c r="X1670" s="119">
        <v>1</v>
      </c>
      <c r="Y1670" s="40">
        <v>46</v>
      </c>
      <c r="Z1670" s="119">
        <v>1</v>
      </c>
      <c r="AA1670" s="368">
        <v>0</v>
      </c>
      <c r="AB1670" s="535">
        <v>1</v>
      </c>
      <c r="AC1670" s="39"/>
      <c r="AD1670" s="75" t="s">
        <v>16</v>
      </c>
      <c r="AE1670" s="95">
        <v>-1</v>
      </c>
      <c r="AF1670" s="75">
        <v>-1</v>
      </c>
      <c r="AG1670" s="75">
        <v>-1</v>
      </c>
      <c r="AH1670" s="75">
        <v>-1</v>
      </c>
      <c r="AI1670" s="75">
        <v>-1</v>
      </c>
      <c r="AJ1670" s="75">
        <v>-1</v>
      </c>
      <c r="AK1670" s="75">
        <v>-1</v>
      </c>
      <c r="AL1670" s="95">
        <v>-1</v>
      </c>
      <c r="AM1670" s="92">
        <v>1</v>
      </c>
      <c r="AN1670" s="79"/>
      <c r="AO1670" s="75">
        <v>0</v>
      </c>
      <c r="AP1670" s="75"/>
      <c r="AQ1670" s="122">
        <v>0</v>
      </c>
      <c r="AR1670" s="515" t="s">
        <v>16</v>
      </c>
      <c r="AS1670" s="95">
        <v>-1</v>
      </c>
      <c r="AT1670" s="75">
        <v>-1</v>
      </c>
      <c r="AU1670" s="75">
        <v>-1</v>
      </c>
      <c r="AV1670" s="75">
        <v>-1</v>
      </c>
      <c r="AW1670" s="123">
        <v>1</v>
      </c>
      <c r="AX1670" s="516"/>
      <c r="AY1670" s="75">
        <v>0</v>
      </c>
      <c r="AZ1670" s="77" t="s">
        <v>5971</v>
      </c>
      <c r="BA1670" s="78" t="s">
        <v>5971</v>
      </c>
      <c r="BB1670" s="78" t="s">
        <v>5971</v>
      </c>
      <c r="BC1670" s="78" t="s">
        <v>5971</v>
      </c>
      <c r="BD1670" s="78" t="s">
        <v>5971</v>
      </c>
      <c r="BE1670" s="78" t="s">
        <v>5971</v>
      </c>
      <c r="BF1670" s="78" t="s">
        <v>5971</v>
      </c>
      <c r="BG1670" s="78" t="s">
        <v>5971</v>
      </c>
      <c r="BH1670" s="75" t="s">
        <v>5971</v>
      </c>
      <c r="BI1670" s="295" t="s">
        <v>16</v>
      </c>
      <c r="BJ1670" s="546">
        <v>1</v>
      </c>
      <c r="BK1670" s="294" t="s">
        <v>16</v>
      </c>
      <c r="BL1670" s="157" t="s">
        <v>16</v>
      </c>
      <c r="BM1670" s="548" t="s">
        <v>1341</v>
      </c>
      <c r="BN1670" s="548" t="s">
        <v>1339</v>
      </c>
      <c r="BO1670" s="157" t="s">
        <v>4636</v>
      </c>
      <c r="BP1670" s="548" t="s">
        <v>4637</v>
      </c>
      <c r="BQ1670" s="157" t="s">
        <v>4635</v>
      </c>
      <c r="BR1670" s="157"/>
    </row>
    <row r="1671" spans="1:70" x14ac:dyDescent="0.25">
      <c r="A1671" s="19" t="s">
        <v>3686</v>
      </c>
      <c r="B1671" s="37" t="s">
        <v>2019</v>
      </c>
      <c r="C1671" s="90">
        <v>44679.709490740737</v>
      </c>
      <c r="D1671" s="114">
        <v>44679.459490740737</v>
      </c>
      <c r="E1671" s="38">
        <v>44679</v>
      </c>
      <c r="F1671" s="91">
        <v>2022</v>
      </c>
      <c r="G1671" s="93">
        <v>4</v>
      </c>
      <c r="H1671" s="37" t="s">
        <v>1837</v>
      </c>
      <c r="I1671" s="37"/>
      <c r="J1671" s="103">
        <v>-91.81456748378524</v>
      </c>
      <c r="K1671" s="40">
        <v>43.879435328560206</v>
      </c>
      <c r="L1671" s="74"/>
      <c r="M1671" s="272" t="s">
        <v>16</v>
      </c>
      <c r="N1671" s="74">
        <v>0</v>
      </c>
      <c r="O1671" s="94"/>
      <c r="P1671" s="118">
        <v>0</v>
      </c>
      <c r="Q1671" s="510"/>
      <c r="R1671" s="513"/>
      <c r="S1671" s="41"/>
      <c r="T1671" s="40"/>
      <c r="U1671" s="40"/>
      <c r="V1671" s="119">
        <v>0</v>
      </c>
      <c r="W1671" s="40"/>
      <c r="X1671" s="119">
        <v>0</v>
      </c>
      <c r="Y1671" s="40"/>
      <c r="Z1671" s="119">
        <v>0</v>
      </c>
      <c r="AA1671" s="368" t="s">
        <v>16</v>
      </c>
      <c r="AB1671" s="535" t="s">
        <v>16</v>
      </c>
      <c r="AC1671" s="39"/>
      <c r="AD1671" s="75" t="s">
        <v>16</v>
      </c>
      <c r="AE1671" s="95">
        <v>-1</v>
      </c>
      <c r="AF1671" s="75">
        <v>-1</v>
      </c>
      <c r="AG1671" s="75">
        <v>-1</v>
      </c>
      <c r="AH1671" s="75">
        <v>-1</v>
      </c>
      <c r="AI1671" s="75">
        <v>-1</v>
      </c>
      <c r="AJ1671" s="75">
        <v>-1</v>
      </c>
      <c r="AK1671" s="75">
        <v>-1</v>
      </c>
      <c r="AL1671" s="95">
        <v>-1</v>
      </c>
      <c r="AM1671" s="92">
        <v>1</v>
      </c>
      <c r="AN1671" s="79"/>
      <c r="AO1671" s="75">
        <v>0</v>
      </c>
      <c r="AP1671" s="75"/>
      <c r="AQ1671" s="122">
        <v>0</v>
      </c>
      <c r="AR1671" s="515" t="s">
        <v>16</v>
      </c>
      <c r="AS1671" s="95">
        <v>-1</v>
      </c>
      <c r="AT1671" s="75">
        <v>-1</v>
      </c>
      <c r="AU1671" s="75">
        <v>-1</v>
      </c>
      <c r="AV1671" s="75">
        <v>-1</v>
      </c>
      <c r="AW1671" s="123">
        <v>1</v>
      </c>
      <c r="AX1671" s="516"/>
      <c r="AY1671" s="75">
        <v>0</v>
      </c>
      <c r="AZ1671" s="77" t="s">
        <v>5971</v>
      </c>
      <c r="BA1671" s="78" t="s">
        <v>5971</v>
      </c>
      <c r="BB1671" s="78" t="s">
        <v>5971</v>
      </c>
      <c r="BC1671" s="78" t="s">
        <v>5971</v>
      </c>
      <c r="BD1671" s="78" t="s">
        <v>5971</v>
      </c>
      <c r="BE1671" s="78" t="s">
        <v>5971</v>
      </c>
      <c r="BF1671" s="78" t="s">
        <v>5971</v>
      </c>
      <c r="BG1671" s="78" t="s">
        <v>5971</v>
      </c>
      <c r="BH1671" s="75" t="s">
        <v>5971</v>
      </c>
      <c r="BI1671" s="295" t="s">
        <v>2250</v>
      </c>
      <c r="BJ1671" s="546">
        <v>1</v>
      </c>
      <c r="BK1671" s="294" t="s">
        <v>16</v>
      </c>
      <c r="BL1671" s="157" t="s">
        <v>16</v>
      </c>
      <c r="BM1671" s="548" t="s">
        <v>1341</v>
      </c>
      <c r="BN1671" s="548" t="s">
        <v>1339</v>
      </c>
      <c r="BO1671" s="157" t="s">
        <v>4636</v>
      </c>
      <c r="BP1671" s="548" t="s">
        <v>4637</v>
      </c>
      <c r="BQ1671" s="157" t="s">
        <v>4635</v>
      </c>
      <c r="BR1671" s="157"/>
    </row>
    <row r="1672" spans="1:70" x14ac:dyDescent="0.25">
      <c r="A1672" s="19" t="s">
        <v>3686</v>
      </c>
      <c r="B1672" s="37" t="s">
        <v>2020</v>
      </c>
      <c r="C1672" s="90">
        <v>44679.709201388891</v>
      </c>
      <c r="D1672" s="114">
        <v>44679.459201388891</v>
      </c>
      <c r="E1672" s="38">
        <v>44679</v>
      </c>
      <c r="F1672" s="91">
        <v>2022</v>
      </c>
      <c r="G1672" s="93">
        <v>4</v>
      </c>
      <c r="H1672" s="37" t="s">
        <v>1837</v>
      </c>
      <c r="I1672" s="37" t="s">
        <v>16</v>
      </c>
      <c r="J1672" s="103">
        <v>-91.814542244939645</v>
      </c>
      <c r="K1672" s="40">
        <v>43.879512442349508</v>
      </c>
      <c r="L1672" s="74"/>
      <c r="M1672" s="272" t="s">
        <v>16</v>
      </c>
      <c r="N1672" s="74">
        <v>0</v>
      </c>
      <c r="O1672" s="94"/>
      <c r="P1672" s="118">
        <v>1</v>
      </c>
      <c r="Q1672" s="510">
        <v>0</v>
      </c>
      <c r="R1672" s="513">
        <v>30</v>
      </c>
      <c r="S1672" s="41"/>
      <c r="T1672" s="40"/>
      <c r="U1672" s="40">
        <v>7</v>
      </c>
      <c r="V1672" s="119">
        <v>0</v>
      </c>
      <c r="W1672" s="40"/>
      <c r="X1672" s="119">
        <v>0</v>
      </c>
      <c r="Y1672" s="40"/>
      <c r="Z1672" s="119">
        <v>0</v>
      </c>
      <c r="AA1672" s="368" t="s">
        <v>16</v>
      </c>
      <c r="AB1672" s="535" t="s">
        <v>16</v>
      </c>
      <c r="AC1672" s="39" t="s">
        <v>160</v>
      </c>
      <c r="AD1672" s="75" t="s">
        <v>10</v>
      </c>
      <c r="AE1672" s="95">
        <v>0</v>
      </c>
      <c r="AF1672" s="75">
        <v>0</v>
      </c>
      <c r="AG1672" s="75">
        <v>0</v>
      </c>
      <c r="AH1672" s="75">
        <v>0</v>
      </c>
      <c r="AI1672" s="75">
        <v>0</v>
      </c>
      <c r="AJ1672" s="75">
        <v>0</v>
      </c>
      <c r="AK1672" s="75">
        <v>0</v>
      </c>
      <c r="AL1672" s="95">
        <v>1</v>
      </c>
      <c r="AM1672" s="92">
        <v>0</v>
      </c>
      <c r="AN1672" s="79" t="s">
        <v>80</v>
      </c>
      <c r="AO1672" s="75">
        <v>1</v>
      </c>
      <c r="AP1672" s="75" t="s">
        <v>83</v>
      </c>
      <c r="AQ1672" s="122">
        <v>1</v>
      </c>
      <c r="AR1672" s="515" t="s">
        <v>10</v>
      </c>
      <c r="AS1672" s="95">
        <v>0</v>
      </c>
      <c r="AT1672" s="75">
        <v>0</v>
      </c>
      <c r="AU1672" s="75">
        <v>0</v>
      </c>
      <c r="AV1672" s="75">
        <v>0</v>
      </c>
      <c r="AW1672" s="123">
        <v>0</v>
      </c>
      <c r="AX1672" s="516"/>
      <c r="AY1672" s="75">
        <v>0</v>
      </c>
      <c r="AZ1672" s="77" t="s">
        <v>131</v>
      </c>
      <c r="BA1672" s="78" t="s">
        <v>131</v>
      </c>
      <c r="BB1672" s="78" t="s">
        <v>131</v>
      </c>
      <c r="BC1672" s="78" t="s">
        <v>131</v>
      </c>
      <c r="BD1672" s="78" t="s">
        <v>131</v>
      </c>
      <c r="BE1672" s="78" t="s">
        <v>131</v>
      </c>
      <c r="BF1672" s="78" t="s">
        <v>131</v>
      </c>
      <c r="BG1672" s="78" t="s">
        <v>132</v>
      </c>
      <c r="BH1672" s="75" t="s">
        <v>5970</v>
      </c>
      <c r="BI1672" s="295" t="s">
        <v>2250</v>
      </c>
      <c r="BJ1672" s="546">
        <v>1</v>
      </c>
      <c r="BK1672" s="294" t="s">
        <v>16</v>
      </c>
      <c r="BL1672" s="157" t="s">
        <v>16</v>
      </c>
      <c r="BM1672" s="548" t="s">
        <v>1341</v>
      </c>
      <c r="BN1672" s="548" t="s">
        <v>1339</v>
      </c>
      <c r="BO1672" s="157" t="s">
        <v>4636</v>
      </c>
      <c r="BP1672" s="548" t="s">
        <v>4637</v>
      </c>
      <c r="BQ1672" s="157" t="s">
        <v>4635</v>
      </c>
      <c r="BR1672" s="157"/>
    </row>
    <row r="1673" spans="1:70" x14ac:dyDescent="0.25">
      <c r="A1673" s="19" t="s">
        <v>3686</v>
      </c>
      <c r="B1673" s="37" t="s">
        <v>2021</v>
      </c>
      <c r="C1673" s="90">
        <v>44678.810532407406</v>
      </c>
      <c r="D1673" s="114">
        <v>44678.560532407406</v>
      </c>
      <c r="E1673" s="38">
        <v>44678</v>
      </c>
      <c r="F1673" s="91">
        <v>2022</v>
      </c>
      <c r="G1673" s="93">
        <v>4</v>
      </c>
      <c r="H1673" s="37" t="s">
        <v>201</v>
      </c>
      <c r="I1673" s="37"/>
      <c r="J1673" s="103">
        <v>-92.732083183138073</v>
      </c>
      <c r="K1673" s="40">
        <v>44.831109125258877</v>
      </c>
      <c r="L1673" s="74"/>
      <c r="M1673" s="272" t="s">
        <v>16</v>
      </c>
      <c r="N1673" s="74">
        <v>0</v>
      </c>
      <c r="O1673" s="94"/>
      <c r="P1673" s="118">
        <v>1</v>
      </c>
      <c r="Q1673" s="510">
        <v>180</v>
      </c>
      <c r="R1673" s="513">
        <v>120</v>
      </c>
      <c r="S1673" s="41"/>
      <c r="T1673" s="40"/>
      <c r="U1673" s="40">
        <v>7.5</v>
      </c>
      <c r="V1673" s="119">
        <v>1</v>
      </c>
      <c r="W1673" s="40">
        <v>0</v>
      </c>
      <c r="X1673" s="119">
        <v>1</v>
      </c>
      <c r="Y1673" s="40">
        <v>49</v>
      </c>
      <c r="Z1673" s="119">
        <v>1</v>
      </c>
      <c r="AA1673" s="368">
        <v>0</v>
      </c>
      <c r="AB1673" s="535">
        <v>5</v>
      </c>
      <c r="AC1673" s="39" t="s">
        <v>160</v>
      </c>
      <c r="AD1673" s="75" t="s">
        <v>8</v>
      </c>
      <c r="AE1673" s="95">
        <v>0</v>
      </c>
      <c r="AF1673" s="75">
        <v>1</v>
      </c>
      <c r="AG1673" s="75">
        <v>0</v>
      </c>
      <c r="AH1673" s="75">
        <v>0</v>
      </c>
      <c r="AI1673" s="75">
        <v>0</v>
      </c>
      <c r="AJ1673" s="75">
        <v>0</v>
      </c>
      <c r="AK1673" s="75">
        <v>0</v>
      </c>
      <c r="AL1673" s="95">
        <v>0</v>
      </c>
      <c r="AM1673" s="92">
        <v>0</v>
      </c>
      <c r="AN1673" s="79" t="s">
        <v>80</v>
      </c>
      <c r="AO1673" s="75">
        <v>1</v>
      </c>
      <c r="AP1673" s="75" t="s">
        <v>83</v>
      </c>
      <c r="AQ1673" s="122">
        <v>1</v>
      </c>
      <c r="AR1673" s="515" t="s">
        <v>10</v>
      </c>
      <c r="AS1673" s="95">
        <v>0</v>
      </c>
      <c r="AT1673" s="75">
        <v>0</v>
      </c>
      <c r="AU1673" s="75">
        <v>0</v>
      </c>
      <c r="AV1673" s="75">
        <v>0</v>
      </c>
      <c r="AW1673" s="123">
        <v>0</v>
      </c>
      <c r="AX1673" s="516" t="s">
        <v>1356</v>
      </c>
      <c r="AY1673" s="75">
        <v>1</v>
      </c>
      <c r="AZ1673" s="77" t="s">
        <v>131</v>
      </c>
      <c r="BA1673" s="78" t="s">
        <v>132</v>
      </c>
      <c r="BB1673" s="78" t="s">
        <v>131</v>
      </c>
      <c r="BC1673" s="78" t="s">
        <v>131</v>
      </c>
      <c r="BD1673" s="78" t="s">
        <v>131</v>
      </c>
      <c r="BE1673" s="78" t="s">
        <v>131</v>
      </c>
      <c r="BF1673" s="78" t="s">
        <v>131</v>
      </c>
      <c r="BG1673" s="78" t="s">
        <v>131</v>
      </c>
      <c r="BH1673" s="75" t="s">
        <v>5970</v>
      </c>
      <c r="BI1673" s="295" t="s">
        <v>2227</v>
      </c>
      <c r="BJ1673" s="546">
        <v>1</v>
      </c>
      <c r="BK1673" s="294" t="s">
        <v>16</v>
      </c>
      <c r="BL1673" s="157" t="s">
        <v>16</v>
      </c>
      <c r="BM1673" s="548" t="s">
        <v>578</v>
      </c>
      <c r="BN1673" s="548" t="s">
        <v>578</v>
      </c>
      <c r="BO1673" s="157" t="s">
        <v>4341</v>
      </c>
      <c r="BP1673" s="548" t="s">
        <v>4343</v>
      </c>
      <c r="BQ1673" s="157" t="s">
        <v>4309</v>
      </c>
      <c r="BR1673" s="157"/>
    </row>
    <row r="1674" spans="1:70" x14ac:dyDescent="0.25">
      <c r="A1674" s="19" t="s">
        <v>3686</v>
      </c>
      <c r="B1674" s="37" t="s">
        <v>2022</v>
      </c>
      <c r="C1674" s="90">
        <v>44678.627222222225</v>
      </c>
      <c r="D1674" s="114">
        <v>44678.377222222225</v>
      </c>
      <c r="E1674" s="38">
        <v>44678</v>
      </c>
      <c r="F1674" s="91">
        <v>2022</v>
      </c>
      <c r="G1674" s="93">
        <v>4</v>
      </c>
      <c r="H1674" s="37" t="s">
        <v>606</v>
      </c>
      <c r="I1674" s="37" t="s">
        <v>16</v>
      </c>
      <c r="J1674" s="103">
        <v>-92.144008191712203</v>
      </c>
      <c r="K1674" s="40">
        <v>44.236935058546166</v>
      </c>
      <c r="L1674" s="74"/>
      <c r="M1674" s="272" t="s">
        <v>2023</v>
      </c>
      <c r="N1674" s="74">
        <v>1</v>
      </c>
      <c r="O1674" s="94"/>
      <c r="P1674" s="118">
        <v>1</v>
      </c>
      <c r="Q1674" s="510">
        <v>180</v>
      </c>
      <c r="R1674" s="513">
        <v>180</v>
      </c>
      <c r="S1674" s="41"/>
      <c r="T1674" s="40"/>
      <c r="U1674" s="40">
        <v>7</v>
      </c>
      <c r="V1674" s="119">
        <v>1</v>
      </c>
      <c r="W1674" s="40">
        <v>100</v>
      </c>
      <c r="X1674" s="119">
        <v>1</v>
      </c>
      <c r="Y1674" s="40">
        <v>46</v>
      </c>
      <c r="Z1674" s="119">
        <v>1</v>
      </c>
      <c r="AA1674" s="368">
        <v>0</v>
      </c>
      <c r="AB1674" s="535">
        <v>2</v>
      </c>
      <c r="AC1674" s="39" t="s">
        <v>160</v>
      </c>
      <c r="AD1674" s="75" t="s">
        <v>10</v>
      </c>
      <c r="AE1674" s="95">
        <v>0</v>
      </c>
      <c r="AF1674" s="75">
        <v>0</v>
      </c>
      <c r="AG1674" s="75">
        <v>0</v>
      </c>
      <c r="AH1674" s="75">
        <v>0</v>
      </c>
      <c r="AI1674" s="75">
        <v>0</v>
      </c>
      <c r="AJ1674" s="75">
        <v>0</v>
      </c>
      <c r="AK1674" s="75">
        <v>0</v>
      </c>
      <c r="AL1674" s="95">
        <v>1</v>
      </c>
      <c r="AM1674" s="92">
        <v>0</v>
      </c>
      <c r="AN1674" s="79" t="s">
        <v>80</v>
      </c>
      <c r="AO1674" s="75">
        <v>1</v>
      </c>
      <c r="AP1674" s="75" t="s">
        <v>83</v>
      </c>
      <c r="AQ1674" s="122">
        <v>1</v>
      </c>
      <c r="AR1674" s="515" t="s">
        <v>10</v>
      </c>
      <c r="AS1674" s="95">
        <v>0</v>
      </c>
      <c r="AT1674" s="75">
        <v>0</v>
      </c>
      <c r="AU1674" s="75">
        <v>0</v>
      </c>
      <c r="AV1674" s="75">
        <v>0</v>
      </c>
      <c r="AW1674" s="123">
        <v>0</v>
      </c>
      <c r="AX1674" s="516" t="s">
        <v>2024</v>
      </c>
      <c r="AY1674" s="75">
        <v>1</v>
      </c>
      <c r="AZ1674" s="77" t="s">
        <v>131</v>
      </c>
      <c r="BA1674" s="78" t="s">
        <v>131</v>
      </c>
      <c r="BB1674" s="78" t="s">
        <v>131</v>
      </c>
      <c r="BC1674" s="78" t="s">
        <v>131</v>
      </c>
      <c r="BD1674" s="78" t="s">
        <v>131</v>
      </c>
      <c r="BE1674" s="78" t="s">
        <v>131</v>
      </c>
      <c r="BF1674" s="78" t="s">
        <v>131</v>
      </c>
      <c r="BG1674" s="78" t="s">
        <v>132</v>
      </c>
      <c r="BH1674" s="75" t="s">
        <v>5970</v>
      </c>
      <c r="BI1674" s="295" t="s">
        <v>317</v>
      </c>
      <c r="BJ1674" s="546">
        <v>1</v>
      </c>
      <c r="BK1674" s="294">
        <v>1</v>
      </c>
      <c r="BL1674" s="157">
        <v>1</v>
      </c>
      <c r="BM1674" s="548" t="s">
        <v>1339</v>
      </c>
      <c r="BN1674" s="548" t="s">
        <v>1339</v>
      </c>
      <c r="BO1674" s="157" t="s">
        <v>4358</v>
      </c>
      <c r="BP1674" s="548" t="s">
        <v>317</v>
      </c>
      <c r="BQ1674" s="157" t="s">
        <v>4330</v>
      </c>
      <c r="BR1674" s="157"/>
    </row>
    <row r="1675" spans="1:70" x14ac:dyDescent="0.25">
      <c r="A1675" s="19" t="s">
        <v>3686</v>
      </c>
      <c r="B1675" s="37" t="s">
        <v>2025</v>
      </c>
      <c r="C1675" s="90">
        <v>44677.836400462962</v>
      </c>
      <c r="D1675" s="114">
        <v>44677.586400462962</v>
      </c>
      <c r="E1675" s="38">
        <v>44677</v>
      </c>
      <c r="F1675" s="91">
        <v>2022</v>
      </c>
      <c r="G1675" s="93">
        <v>4</v>
      </c>
      <c r="H1675" s="37" t="s">
        <v>260</v>
      </c>
      <c r="I1675" s="37" t="s">
        <v>337</v>
      </c>
      <c r="J1675" s="103">
        <v>-92.64502103372638</v>
      </c>
      <c r="K1675" s="40">
        <v>44.843631242017445</v>
      </c>
      <c r="L1675" s="74"/>
      <c r="M1675" s="272" t="s">
        <v>2026</v>
      </c>
      <c r="N1675" s="74">
        <v>1</v>
      </c>
      <c r="O1675" s="94"/>
      <c r="P1675" s="118">
        <v>1</v>
      </c>
      <c r="Q1675" s="510">
        <v>180</v>
      </c>
      <c r="R1675" s="513">
        <v>120</v>
      </c>
      <c r="S1675" s="41"/>
      <c r="T1675" s="40"/>
      <c r="U1675" s="40">
        <v>7</v>
      </c>
      <c r="V1675" s="119">
        <v>1</v>
      </c>
      <c r="W1675" s="40">
        <v>100</v>
      </c>
      <c r="X1675" s="119">
        <v>1</v>
      </c>
      <c r="Y1675" s="40">
        <v>45</v>
      </c>
      <c r="Z1675" s="119">
        <v>1</v>
      </c>
      <c r="AA1675" s="368">
        <v>0</v>
      </c>
      <c r="AB1675" s="535">
        <v>5</v>
      </c>
      <c r="AC1675" s="39" t="s">
        <v>160</v>
      </c>
      <c r="AD1675" s="75" t="s">
        <v>16</v>
      </c>
      <c r="AE1675" s="95">
        <v>-1</v>
      </c>
      <c r="AF1675" s="75">
        <v>-1</v>
      </c>
      <c r="AG1675" s="75">
        <v>-1</v>
      </c>
      <c r="AH1675" s="75">
        <v>-1</v>
      </c>
      <c r="AI1675" s="75">
        <v>-1</v>
      </c>
      <c r="AJ1675" s="75">
        <v>-1</v>
      </c>
      <c r="AK1675" s="75">
        <v>-1</v>
      </c>
      <c r="AL1675" s="95">
        <v>-1</v>
      </c>
      <c r="AM1675" s="92">
        <v>1</v>
      </c>
      <c r="AN1675" s="79" t="s">
        <v>80</v>
      </c>
      <c r="AO1675" s="75">
        <v>1</v>
      </c>
      <c r="AP1675" s="75" t="s">
        <v>83</v>
      </c>
      <c r="AQ1675" s="122">
        <v>1</v>
      </c>
      <c r="AR1675" s="515" t="s">
        <v>10</v>
      </c>
      <c r="AS1675" s="95">
        <v>0</v>
      </c>
      <c r="AT1675" s="75">
        <v>0</v>
      </c>
      <c r="AU1675" s="75">
        <v>0</v>
      </c>
      <c r="AV1675" s="75">
        <v>0</v>
      </c>
      <c r="AW1675" s="123">
        <v>0</v>
      </c>
      <c r="AX1675" s="516"/>
      <c r="AY1675" s="75">
        <v>0</v>
      </c>
      <c r="AZ1675" s="77" t="s">
        <v>5971</v>
      </c>
      <c r="BA1675" s="78" t="s">
        <v>5971</v>
      </c>
      <c r="BB1675" s="78" t="s">
        <v>5971</v>
      </c>
      <c r="BC1675" s="78" t="s">
        <v>5971</v>
      </c>
      <c r="BD1675" s="78" t="s">
        <v>5971</v>
      </c>
      <c r="BE1675" s="78" t="s">
        <v>5971</v>
      </c>
      <c r="BF1675" s="78" t="s">
        <v>5971</v>
      </c>
      <c r="BG1675" s="78" t="s">
        <v>5971</v>
      </c>
      <c r="BH1675" s="75" t="s">
        <v>5971</v>
      </c>
      <c r="BI1675" s="295" t="s">
        <v>2227</v>
      </c>
      <c r="BJ1675" s="546">
        <v>1</v>
      </c>
      <c r="BK1675" s="294" t="s">
        <v>16</v>
      </c>
      <c r="BL1675" s="157" t="s">
        <v>16</v>
      </c>
      <c r="BM1675" s="548" t="s">
        <v>578</v>
      </c>
      <c r="BN1675" s="548" t="s">
        <v>578</v>
      </c>
      <c r="BO1675" s="157" t="s">
        <v>4341</v>
      </c>
      <c r="BP1675" s="548" t="s">
        <v>4343</v>
      </c>
      <c r="BQ1675" s="157" t="s">
        <v>4309</v>
      </c>
      <c r="BR1675" s="157"/>
    </row>
    <row r="1676" spans="1:70" x14ac:dyDescent="0.25">
      <c r="A1676" s="19" t="s">
        <v>3686</v>
      </c>
      <c r="B1676" s="37" t="s">
        <v>2027</v>
      </c>
      <c r="C1676" s="90">
        <v>44676.669398148151</v>
      </c>
      <c r="D1676" s="114">
        <v>44676.419398148151</v>
      </c>
      <c r="E1676" s="38">
        <v>44676</v>
      </c>
      <c r="F1676" s="91">
        <v>2022</v>
      </c>
      <c r="G1676" s="93">
        <v>4</v>
      </c>
      <c r="H1676" s="37" t="s">
        <v>1514</v>
      </c>
      <c r="I1676" s="37"/>
      <c r="J1676" s="103">
        <v>-92.331355003290597</v>
      </c>
      <c r="K1676" s="40">
        <v>44.746182112903313</v>
      </c>
      <c r="L1676" s="74"/>
      <c r="M1676" s="272" t="s">
        <v>16</v>
      </c>
      <c r="N1676" s="74">
        <v>0</v>
      </c>
      <c r="O1676" s="94"/>
      <c r="P1676" s="118">
        <v>0</v>
      </c>
      <c r="Q1676" s="510"/>
      <c r="R1676" s="513"/>
      <c r="S1676" s="41"/>
      <c r="T1676" s="40"/>
      <c r="U1676" s="40"/>
      <c r="V1676" s="119">
        <v>1</v>
      </c>
      <c r="W1676" s="40">
        <v>0</v>
      </c>
      <c r="X1676" s="119">
        <v>1</v>
      </c>
      <c r="Y1676" s="40">
        <v>43</v>
      </c>
      <c r="Z1676" s="119">
        <v>0</v>
      </c>
      <c r="AA1676" s="368" t="s">
        <v>16</v>
      </c>
      <c r="AB1676" s="535" t="s">
        <v>16</v>
      </c>
      <c r="AC1676" s="39" t="s">
        <v>160</v>
      </c>
      <c r="AD1676" s="75" t="s">
        <v>16</v>
      </c>
      <c r="AE1676" s="95">
        <v>-1</v>
      </c>
      <c r="AF1676" s="75">
        <v>-1</v>
      </c>
      <c r="AG1676" s="75">
        <v>-1</v>
      </c>
      <c r="AH1676" s="75">
        <v>-1</v>
      </c>
      <c r="AI1676" s="75">
        <v>-1</v>
      </c>
      <c r="AJ1676" s="75">
        <v>-1</v>
      </c>
      <c r="AK1676" s="75">
        <v>-1</v>
      </c>
      <c r="AL1676" s="95">
        <v>-1</v>
      </c>
      <c r="AM1676" s="92">
        <v>1</v>
      </c>
      <c r="AN1676" s="79"/>
      <c r="AO1676" s="75">
        <v>0</v>
      </c>
      <c r="AP1676" s="75"/>
      <c r="AQ1676" s="122">
        <v>0</v>
      </c>
      <c r="AR1676" s="515" t="s">
        <v>16</v>
      </c>
      <c r="AS1676" s="95">
        <v>-1</v>
      </c>
      <c r="AT1676" s="75">
        <v>-1</v>
      </c>
      <c r="AU1676" s="75">
        <v>-1</v>
      </c>
      <c r="AV1676" s="75">
        <v>-1</v>
      </c>
      <c r="AW1676" s="123">
        <v>1</v>
      </c>
      <c r="AX1676" s="516"/>
      <c r="AY1676" s="75">
        <v>0</v>
      </c>
      <c r="AZ1676" s="77" t="s">
        <v>5971</v>
      </c>
      <c r="BA1676" s="78" t="s">
        <v>5971</v>
      </c>
      <c r="BB1676" s="78" t="s">
        <v>5971</v>
      </c>
      <c r="BC1676" s="78" t="s">
        <v>5971</v>
      </c>
      <c r="BD1676" s="78" t="s">
        <v>5971</v>
      </c>
      <c r="BE1676" s="78" t="s">
        <v>5971</v>
      </c>
      <c r="BF1676" s="78" t="s">
        <v>5971</v>
      </c>
      <c r="BG1676" s="78" t="s">
        <v>5971</v>
      </c>
      <c r="BH1676" s="75" t="s">
        <v>5971</v>
      </c>
      <c r="BI1676" s="295" t="s">
        <v>2231</v>
      </c>
      <c r="BJ1676" s="546">
        <v>1</v>
      </c>
      <c r="BK1676" s="294">
        <v>1</v>
      </c>
      <c r="BL1676" s="157">
        <v>1</v>
      </c>
      <c r="BM1676" s="548" t="s">
        <v>578</v>
      </c>
      <c r="BN1676" s="548" t="s">
        <v>578</v>
      </c>
      <c r="BO1676" s="157" t="s">
        <v>4213</v>
      </c>
      <c r="BP1676" s="548" t="s">
        <v>4216</v>
      </c>
      <c r="BQ1676" s="157" t="s">
        <v>4212</v>
      </c>
      <c r="BR1676" s="157"/>
    </row>
    <row r="1677" spans="1:70" x14ac:dyDescent="0.25">
      <c r="A1677" s="19" t="s">
        <v>3686</v>
      </c>
      <c r="B1677" s="37" t="s">
        <v>2028</v>
      </c>
      <c r="C1677" s="90">
        <v>44675.564710648148</v>
      </c>
      <c r="D1677" s="114">
        <v>44675.314710648148</v>
      </c>
      <c r="E1677" s="38">
        <v>44675</v>
      </c>
      <c r="F1677" s="91">
        <v>2022</v>
      </c>
      <c r="G1677" s="93">
        <v>4</v>
      </c>
      <c r="H1677" s="37" t="s">
        <v>2029</v>
      </c>
      <c r="I1677" s="37" t="s">
        <v>960</v>
      </c>
      <c r="J1677" s="103">
        <v>-93.025106916247793</v>
      </c>
      <c r="K1677" s="40">
        <v>44.639907981986411</v>
      </c>
      <c r="L1677" s="74"/>
      <c r="M1677" s="272" t="s">
        <v>2030</v>
      </c>
      <c r="N1677" s="74">
        <v>1</v>
      </c>
      <c r="O1677" s="94"/>
      <c r="P1677" s="118">
        <v>1</v>
      </c>
      <c r="Q1677" s="510">
        <v>80</v>
      </c>
      <c r="R1677" s="513">
        <v>180</v>
      </c>
      <c r="S1677" s="41"/>
      <c r="T1677" s="40"/>
      <c r="U1677" s="40">
        <v>7</v>
      </c>
      <c r="V1677" s="119">
        <v>1</v>
      </c>
      <c r="W1677" s="40">
        <v>100</v>
      </c>
      <c r="X1677" s="119">
        <v>1</v>
      </c>
      <c r="Y1677" s="40">
        <v>47</v>
      </c>
      <c r="Z1677" s="119">
        <v>1</v>
      </c>
      <c r="AA1677" s="368">
        <v>0</v>
      </c>
      <c r="AB1677" s="535">
        <v>0</v>
      </c>
      <c r="AC1677" s="39" t="s">
        <v>160</v>
      </c>
      <c r="AD1677" s="75" t="s">
        <v>10</v>
      </c>
      <c r="AE1677" s="95">
        <v>0</v>
      </c>
      <c r="AF1677" s="75">
        <v>0</v>
      </c>
      <c r="AG1677" s="75">
        <v>0</v>
      </c>
      <c r="AH1677" s="75">
        <v>0</v>
      </c>
      <c r="AI1677" s="75">
        <v>0</v>
      </c>
      <c r="AJ1677" s="75">
        <v>0</v>
      </c>
      <c r="AK1677" s="75">
        <v>0</v>
      </c>
      <c r="AL1677" s="95">
        <v>1</v>
      </c>
      <c r="AM1677" s="92">
        <v>0</v>
      </c>
      <c r="AN1677" s="79" t="s">
        <v>195</v>
      </c>
      <c r="AO1677" s="75">
        <v>1</v>
      </c>
      <c r="AP1677" s="75" t="s">
        <v>84</v>
      </c>
      <c r="AQ1677" s="122">
        <v>1</v>
      </c>
      <c r="AR1677" s="515" t="s">
        <v>10</v>
      </c>
      <c r="AS1677" s="95">
        <v>0</v>
      </c>
      <c r="AT1677" s="75">
        <v>0</v>
      </c>
      <c r="AU1677" s="75">
        <v>0</v>
      </c>
      <c r="AV1677" s="75">
        <v>0</v>
      </c>
      <c r="AW1677" s="123">
        <v>0</v>
      </c>
      <c r="AX1677" s="516" t="s">
        <v>2031</v>
      </c>
      <c r="AY1677" s="75">
        <v>1</v>
      </c>
      <c r="AZ1677" s="77" t="s">
        <v>131</v>
      </c>
      <c r="BA1677" s="78" t="s">
        <v>131</v>
      </c>
      <c r="BB1677" s="78" t="s">
        <v>131</v>
      </c>
      <c r="BC1677" s="78" t="s">
        <v>131</v>
      </c>
      <c r="BD1677" s="78" t="s">
        <v>131</v>
      </c>
      <c r="BE1677" s="78" t="s">
        <v>131</v>
      </c>
      <c r="BF1677" s="78" t="s">
        <v>131</v>
      </c>
      <c r="BG1677" s="78" t="s">
        <v>132</v>
      </c>
      <c r="BH1677" s="75" t="s">
        <v>5970</v>
      </c>
      <c r="BI1677" s="295" t="s">
        <v>2225</v>
      </c>
      <c r="BJ1677" s="546" t="s">
        <v>16</v>
      </c>
      <c r="BK1677" s="294" t="s">
        <v>16</v>
      </c>
      <c r="BL1677" s="157" t="s">
        <v>16</v>
      </c>
      <c r="BM1677" s="548" t="s">
        <v>2343</v>
      </c>
      <c r="BN1677" s="548" t="s">
        <v>2341</v>
      </c>
      <c r="BO1677" s="157" t="s">
        <v>4293</v>
      </c>
      <c r="BP1677" s="548" t="s">
        <v>2225</v>
      </c>
      <c r="BQ1677" s="157" t="s">
        <v>4292</v>
      </c>
      <c r="BR1677" s="157"/>
    </row>
    <row r="1678" spans="1:70" x14ac:dyDescent="0.25">
      <c r="A1678" s="19" t="s">
        <v>3686</v>
      </c>
      <c r="B1678" s="37" t="s">
        <v>2032</v>
      </c>
      <c r="C1678" s="90">
        <v>44674.991736111115</v>
      </c>
      <c r="D1678" s="114">
        <v>44674.741736111115</v>
      </c>
      <c r="E1678" s="38">
        <v>44674</v>
      </c>
      <c r="F1678" s="91">
        <v>2022</v>
      </c>
      <c r="G1678" s="93">
        <v>4</v>
      </c>
      <c r="H1678" s="37" t="s">
        <v>1937</v>
      </c>
      <c r="I1678" s="37"/>
      <c r="J1678" s="103">
        <v>-93.298493583940086</v>
      </c>
      <c r="K1678" s="40">
        <v>44.689385786217869</v>
      </c>
      <c r="L1678" s="74"/>
      <c r="M1678" s="272" t="s">
        <v>16</v>
      </c>
      <c r="N1678" s="74">
        <v>0</v>
      </c>
      <c r="O1678" s="94"/>
      <c r="P1678" s="118">
        <v>0</v>
      </c>
      <c r="Q1678" s="510"/>
      <c r="R1678" s="513"/>
      <c r="S1678" s="41"/>
      <c r="T1678" s="40"/>
      <c r="U1678" s="40"/>
      <c r="V1678" s="119">
        <v>0</v>
      </c>
      <c r="W1678" s="40"/>
      <c r="X1678" s="119">
        <v>0</v>
      </c>
      <c r="Y1678" s="40"/>
      <c r="Z1678" s="119">
        <v>0</v>
      </c>
      <c r="AA1678" s="368" t="s">
        <v>16</v>
      </c>
      <c r="AB1678" s="535" t="s">
        <v>16</v>
      </c>
      <c r="AC1678" s="39"/>
      <c r="AD1678" s="75" t="s">
        <v>16</v>
      </c>
      <c r="AE1678" s="95">
        <v>-1</v>
      </c>
      <c r="AF1678" s="75">
        <v>-1</v>
      </c>
      <c r="AG1678" s="75">
        <v>-1</v>
      </c>
      <c r="AH1678" s="75">
        <v>-1</v>
      </c>
      <c r="AI1678" s="75">
        <v>-1</v>
      </c>
      <c r="AJ1678" s="75">
        <v>-1</v>
      </c>
      <c r="AK1678" s="75">
        <v>-1</v>
      </c>
      <c r="AL1678" s="95">
        <v>-1</v>
      </c>
      <c r="AM1678" s="92">
        <v>1</v>
      </c>
      <c r="AN1678" s="79"/>
      <c r="AO1678" s="75">
        <v>0</v>
      </c>
      <c r="AP1678" s="75"/>
      <c r="AQ1678" s="122">
        <v>0</v>
      </c>
      <c r="AR1678" s="515" t="s">
        <v>16</v>
      </c>
      <c r="AS1678" s="95">
        <v>-1</v>
      </c>
      <c r="AT1678" s="75">
        <v>-1</v>
      </c>
      <c r="AU1678" s="75">
        <v>-1</v>
      </c>
      <c r="AV1678" s="75">
        <v>-1</v>
      </c>
      <c r="AW1678" s="123">
        <v>1</v>
      </c>
      <c r="AX1678" s="516"/>
      <c r="AY1678" s="75">
        <v>0</v>
      </c>
      <c r="AZ1678" s="77" t="s">
        <v>5971</v>
      </c>
      <c r="BA1678" s="78" t="s">
        <v>5971</v>
      </c>
      <c r="BB1678" s="78" t="s">
        <v>5971</v>
      </c>
      <c r="BC1678" s="78" t="s">
        <v>5971</v>
      </c>
      <c r="BD1678" s="78" t="s">
        <v>5971</v>
      </c>
      <c r="BE1678" s="78" t="s">
        <v>5971</v>
      </c>
      <c r="BF1678" s="78" t="s">
        <v>5971</v>
      </c>
      <c r="BG1678" s="78" t="s">
        <v>5971</v>
      </c>
      <c r="BH1678" s="75" t="s">
        <v>5971</v>
      </c>
      <c r="BI1678" s="295">
        <v>0</v>
      </c>
      <c r="BJ1678" s="546" t="s">
        <v>16</v>
      </c>
      <c r="BK1678" s="294" t="s">
        <v>16</v>
      </c>
      <c r="BL1678" s="157" t="s">
        <v>16</v>
      </c>
      <c r="BM1678" s="548" t="s">
        <v>2343</v>
      </c>
      <c r="BN1678" s="548" t="s">
        <v>4161</v>
      </c>
      <c r="BO1678" s="157" t="s">
        <v>4676</v>
      </c>
      <c r="BP1678" s="548" t="s">
        <v>4677</v>
      </c>
      <c r="BQ1678" s="157" t="s">
        <v>4292</v>
      </c>
      <c r="BR1678" s="157"/>
    </row>
    <row r="1679" spans="1:70" x14ac:dyDescent="0.25">
      <c r="A1679" s="19" t="s">
        <v>3686</v>
      </c>
      <c r="B1679" s="37" t="s">
        <v>2033</v>
      </c>
      <c r="C1679" s="90">
        <v>44674.729560185187</v>
      </c>
      <c r="D1679" s="114">
        <v>44674.479560185187</v>
      </c>
      <c r="E1679" s="38">
        <v>44674</v>
      </c>
      <c r="F1679" s="91">
        <v>2022</v>
      </c>
      <c r="G1679" s="93">
        <v>4</v>
      </c>
      <c r="H1679" s="37" t="s">
        <v>1937</v>
      </c>
      <c r="I1679" s="37" t="s">
        <v>960</v>
      </c>
      <c r="J1679" s="103">
        <v>-93.008994773268086</v>
      </c>
      <c r="K1679" s="40">
        <v>44.657240272486753</v>
      </c>
      <c r="L1679" s="74"/>
      <c r="M1679" s="272" t="s">
        <v>16</v>
      </c>
      <c r="N1679" s="74">
        <v>0</v>
      </c>
      <c r="O1679" s="94"/>
      <c r="P1679" s="118">
        <v>1</v>
      </c>
      <c r="Q1679" s="510">
        <v>80</v>
      </c>
      <c r="R1679" s="513">
        <v>120</v>
      </c>
      <c r="S1679" s="41"/>
      <c r="T1679" s="40"/>
      <c r="U1679" s="40">
        <v>7.5</v>
      </c>
      <c r="V1679" s="119">
        <v>1</v>
      </c>
      <c r="W1679" s="40">
        <v>200</v>
      </c>
      <c r="X1679" s="119">
        <v>1</v>
      </c>
      <c r="Y1679" s="40">
        <v>50</v>
      </c>
      <c r="Z1679" s="119">
        <v>1</v>
      </c>
      <c r="AA1679" s="368">
        <v>0</v>
      </c>
      <c r="AB1679" s="535">
        <v>5</v>
      </c>
      <c r="AC1679" s="39" t="s">
        <v>160</v>
      </c>
      <c r="AD1679" s="75" t="s">
        <v>16</v>
      </c>
      <c r="AE1679" s="95">
        <v>-1</v>
      </c>
      <c r="AF1679" s="75">
        <v>-1</v>
      </c>
      <c r="AG1679" s="75">
        <v>-1</v>
      </c>
      <c r="AH1679" s="75">
        <v>-1</v>
      </c>
      <c r="AI1679" s="75">
        <v>-1</v>
      </c>
      <c r="AJ1679" s="75">
        <v>-1</v>
      </c>
      <c r="AK1679" s="75">
        <v>-1</v>
      </c>
      <c r="AL1679" s="95">
        <v>-1</v>
      </c>
      <c r="AM1679" s="92">
        <v>1</v>
      </c>
      <c r="AN1679" s="79" t="s">
        <v>195</v>
      </c>
      <c r="AO1679" s="75">
        <v>1</v>
      </c>
      <c r="AP1679" s="75" t="s">
        <v>83</v>
      </c>
      <c r="AQ1679" s="122">
        <v>1</v>
      </c>
      <c r="AR1679" s="515" t="s">
        <v>13</v>
      </c>
      <c r="AS1679" s="95">
        <v>1</v>
      </c>
      <c r="AT1679" s="75">
        <v>0</v>
      </c>
      <c r="AU1679" s="75">
        <v>0</v>
      </c>
      <c r="AV1679" s="75">
        <v>0</v>
      </c>
      <c r="AW1679" s="123">
        <v>0</v>
      </c>
      <c r="AX1679" s="516"/>
      <c r="AY1679" s="75">
        <v>0</v>
      </c>
      <c r="AZ1679" s="77" t="s">
        <v>5971</v>
      </c>
      <c r="BA1679" s="78" t="s">
        <v>5971</v>
      </c>
      <c r="BB1679" s="78" t="s">
        <v>5971</v>
      </c>
      <c r="BC1679" s="78" t="s">
        <v>5971</v>
      </c>
      <c r="BD1679" s="78" t="s">
        <v>5971</v>
      </c>
      <c r="BE1679" s="78" t="s">
        <v>5971</v>
      </c>
      <c r="BF1679" s="78" t="s">
        <v>5971</v>
      </c>
      <c r="BG1679" s="78" t="s">
        <v>5971</v>
      </c>
      <c r="BH1679" s="75" t="s">
        <v>5971</v>
      </c>
      <c r="BI1679" s="295" t="s">
        <v>2225</v>
      </c>
      <c r="BJ1679" s="546">
        <v>1</v>
      </c>
      <c r="BK1679" s="294" t="s">
        <v>16</v>
      </c>
      <c r="BL1679" s="157" t="s">
        <v>16</v>
      </c>
      <c r="BM1679" s="548" t="s">
        <v>2343</v>
      </c>
      <c r="BN1679" s="548" t="s">
        <v>4161</v>
      </c>
      <c r="BO1679" s="157" t="s">
        <v>4293</v>
      </c>
      <c r="BP1679" s="548" t="s">
        <v>2225</v>
      </c>
      <c r="BQ1679" s="157" t="s">
        <v>4292</v>
      </c>
      <c r="BR1679" s="157"/>
    </row>
    <row r="1680" spans="1:70" x14ac:dyDescent="0.25">
      <c r="A1680" s="19" t="s">
        <v>3686</v>
      </c>
      <c r="B1680" s="37" t="s">
        <v>2034</v>
      </c>
      <c r="C1680" s="90">
        <v>44674.568391203706</v>
      </c>
      <c r="D1680" s="114">
        <v>44674.318391203706</v>
      </c>
      <c r="E1680" s="38">
        <v>44674</v>
      </c>
      <c r="F1680" s="91">
        <v>2022</v>
      </c>
      <c r="G1680" s="93">
        <v>4</v>
      </c>
      <c r="H1680" s="37" t="s">
        <v>619</v>
      </c>
      <c r="I1680" s="37" t="s">
        <v>16</v>
      </c>
      <c r="J1680" s="103">
        <v>-92.2256541</v>
      </c>
      <c r="K1680" s="40">
        <v>43.8872012</v>
      </c>
      <c r="L1680" s="74"/>
      <c r="M1680" s="272" t="s">
        <v>2035</v>
      </c>
      <c r="N1680" s="74">
        <v>1</v>
      </c>
      <c r="O1680" s="94"/>
      <c r="P1680" s="118">
        <v>1</v>
      </c>
      <c r="Q1680" s="510">
        <v>80</v>
      </c>
      <c r="R1680" s="513">
        <v>60</v>
      </c>
      <c r="S1680" s="41"/>
      <c r="T1680" s="40"/>
      <c r="U1680" s="40">
        <v>7.5</v>
      </c>
      <c r="V1680" s="119">
        <v>1</v>
      </c>
      <c r="W1680" s="40">
        <v>100</v>
      </c>
      <c r="X1680" s="119">
        <v>1</v>
      </c>
      <c r="Y1680" s="40">
        <v>49</v>
      </c>
      <c r="Z1680" s="119">
        <v>1</v>
      </c>
      <c r="AA1680" s="368">
        <v>0</v>
      </c>
      <c r="AB1680" s="535">
        <v>5</v>
      </c>
      <c r="AC1680" s="39" t="s">
        <v>160</v>
      </c>
      <c r="AD1680" s="75" t="s">
        <v>10</v>
      </c>
      <c r="AE1680" s="95">
        <v>0</v>
      </c>
      <c r="AF1680" s="75">
        <v>0</v>
      </c>
      <c r="AG1680" s="75">
        <v>0</v>
      </c>
      <c r="AH1680" s="75">
        <v>0</v>
      </c>
      <c r="AI1680" s="75">
        <v>0</v>
      </c>
      <c r="AJ1680" s="75">
        <v>0</v>
      </c>
      <c r="AK1680" s="75">
        <v>0</v>
      </c>
      <c r="AL1680" s="95">
        <v>1</v>
      </c>
      <c r="AM1680" s="92">
        <v>0</v>
      </c>
      <c r="AN1680" s="79" t="s">
        <v>81</v>
      </c>
      <c r="AO1680" s="75">
        <v>1</v>
      </c>
      <c r="AP1680" s="75" t="s">
        <v>85</v>
      </c>
      <c r="AQ1680" s="122">
        <v>1</v>
      </c>
      <c r="AR1680" s="515" t="s">
        <v>35</v>
      </c>
      <c r="AS1680" s="95">
        <v>0</v>
      </c>
      <c r="AT1680" s="75">
        <v>1</v>
      </c>
      <c r="AU1680" s="75">
        <v>0</v>
      </c>
      <c r="AV1680" s="75">
        <v>0</v>
      </c>
      <c r="AW1680" s="123">
        <v>0</v>
      </c>
      <c r="AX1680" s="516"/>
      <c r="AY1680" s="75">
        <v>0</v>
      </c>
      <c r="AZ1680" s="77" t="s">
        <v>131</v>
      </c>
      <c r="BA1680" s="78" t="s">
        <v>131</v>
      </c>
      <c r="BB1680" s="78" t="s">
        <v>131</v>
      </c>
      <c r="BC1680" s="78" t="s">
        <v>131</v>
      </c>
      <c r="BD1680" s="78" t="s">
        <v>131</v>
      </c>
      <c r="BE1680" s="78" t="s">
        <v>131</v>
      </c>
      <c r="BF1680" s="78" t="s">
        <v>131</v>
      </c>
      <c r="BG1680" s="78" t="s">
        <v>132</v>
      </c>
      <c r="BH1680" s="75" t="s">
        <v>5970</v>
      </c>
      <c r="BI1680" s="295" t="s">
        <v>16</v>
      </c>
      <c r="BJ1680" s="546">
        <v>1</v>
      </c>
      <c r="BK1680" s="294" t="s">
        <v>16</v>
      </c>
      <c r="BL1680" s="157" t="s">
        <v>16</v>
      </c>
      <c r="BM1680" s="548" t="s">
        <v>1339</v>
      </c>
      <c r="BN1680" s="548" t="s">
        <v>1339</v>
      </c>
      <c r="BO1680" s="157" t="s">
        <v>4697</v>
      </c>
      <c r="BP1680" s="548" t="s">
        <v>2243</v>
      </c>
      <c r="BQ1680" s="157" t="s">
        <v>4673</v>
      </c>
      <c r="BR1680" s="157"/>
    </row>
    <row r="1681" spans="1:70" x14ac:dyDescent="0.25">
      <c r="A1681" s="19" t="s">
        <v>3686</v>
      </c>
      <c r="B1681" s="37" t="s">
        <v>2036</v>
      </c>
      <c r="C1681" s="90">
        <v>44673.963796296295</v>
      </c>
      <c r="D1681" s="114">
        <v>44673.713796296295</v>
      </c>
      <c r="E1681" s="38">
        <v>44673</v>
      </c>
      <c r="F1681" s="91">
        <v>2022</v>
      </c>
      <c r="G1681" s="93">
        <v>4</v>
      </c>
      <c r="H1681" s="37" t="s">
        <v>600</v>
      </c>
      <c r="I1681" s="37"/>
      <c r="J1681" s="103">
        <v>-92.434227066198616</v>
      </c>
      <c r="K1681" s="40">
        <v>44.289703300972157</v>
      </c>
      <c r="L1681" s="74"/>
      <c r="M1681" s="272" t="s">
        <v>16</v>
      </c>
      <c r="N1681" s="74">
        <v>0</v>
      </c>
      <c r="O1681" s="94"/>
      <c r="P1681" s="118">
        <v>1</v>
      </c>
      <c r="Q1681" s="510">
        <v>180</v>
      </c>
      <c r="R1681" s="513">
        <v>120</v>
      </c>
      <c r="S1681" s="41"/>
      <c r="T1681" s="40"/>
      <c r="U1681" s="40">
        <v>7.5</v>
      </c>
      <c r="V1681" s="119">
        <v>1</v>
      </c>
      <c r="W1681" s="40">
        <v>0</v>
      </c>
      <c r="X1681" s="119">
        <v>0</v>
      </c>
      <c r="Y1681" s="40"/>
      <c r="Z1681" s="119">
        <v>1</v>
      </c>
      <c r="AA1681" s="368">
        <v>0</v>
      </c>
      <c r="AB1681" s="535">
        <v>5</v>
      </c>
      <c r="AC1681" s="39" t="s">
        <v>160</v>
      </c>
      <c r="AD1681" s="75" t="s">
        <v>10</v>
      </c>
      <c r="AE1681" s="95">
        <v>0</v>
      </c>
      <c r="AF1681" s="75">
        <v>0</v>
      </c>
      <c r="AG1681" s="75">
        <v>0</v>
      </c>
      <c r="AH1681" s="75">
        <v>0</v>
      </c>
      <c r="AI1681" s="75">
        <v>0</v>
      </c>
      <c r="AJ1681" s="75">
        <v>0</v>
      </c>
      <c r="AK1681" s="75">
        <v>0</v>
      </c>
      <c r="AL1681" s="95">
        <v>1</v>
      </c>
      <c r="AM1681" s="92">
        <v>0</v>
      </c>
      <c r="AN1681" s="79" t="s">
        <v>81</v>
      </c>
      <c r="AO1681" s="75">
        <v>1</v>
      </c>
      <c r="AP1681" s="75" t="s">
        <v>83</v>
      </c>
      <c r="AQ1681" s="122">
        <v>1</v>
      </c>
      <c r="AR1681" s="515" t="s">
        <v>13</v>
      </c>
      <c r="AS1681" s="95">
        <v>1</v>
      </c>
      <c r="AT1681" s="75">
        <v>0</v>
      </c>
      <c r="AU1681" s="75">
        <v>0</v>
      </c>
      <c r="AV1681" s="75">
        <v>0</v>
      </c>
      <c r="AW1681" s="123">
        <v>0</v>
      </c>
      <c r="AX1681" s="516"/>
      <c r="AY1681" s="75">
        <v>0</v>
      </c>
      <c r="AZ1681" s="77" t="s">
        <v>131</v>
      </c>
      <c r="BA1681" s="78" t="s">
        <v>131</v>
      </c>
      <c r="BB1681" s="78" t="s">
        <v>131</v>
      </c>
      <c r="BC1681" s="78" t="s">
        <v>131</v>
      </c>
      <c r="BD1681" s="78" t="s">
        <v>131</v>
      </c>
      <c r="BE1681" s="78" t="s">
        <v>131</v>
      </c>
      <c r="BF1681" s="78" t="s">
        <v>131</v>
      </c>
      <c r="BG1681" s="78" t="s">
        <v>132</v>
      </c>
      <c r="BH1681" s="75" t="s">
        <v>5970</v>
      </c>
      <c r="BI1681" s="295" t="s">
        <v>2234</v>
      </c>
      <c r="BJ1681" s="546">
        <v>1</v>
      </c>
      <c r="BK1681" s="294">
        <v>1</v>
      </c>
      <c r="BL1681" s="157">
        <v>1</v>
      </c>
      <c r="BM1681" s="548" t="s">
        <v>1339</v>
      </c>
      <c r="BN1681" s="548" t="s">
        <v>1339</v>
      </c>
      <c r="BO1681" s="157" t="s">
        <v>4331</v>
      </c>
      <c r="BP1681" s="548" t="s">
        <v>2234</v>
      </c>
      <c r="BQ1681" s="157" t="s">
        <v>4330</v>
      </c>
      <c r="BR1681" s="157"/>
    </row>
    <row r="1682" spans="1:70" x14ac:dyDescent="0.25">
      <c r="A1682" s="19" t="s">
        <v>3686</v>
      </c>
      <c r="B1682" s="37" t="s">
        <v>2037</v>
      </c>
      <c r="C1682" s="90">
        <v>44672.96329861111</v>
      </c>
      <c r="D1682" s="114">
        <v>44672.71329861111</v>
      </c>
      <c r="E1682" s="38">
        <v>44672</v>
      </c>
      <c r="F1682" s="91">
        <v>2022</v>
      </c>
      <c r="G1682" s="93">
        <v>4</v>
      </c>
      <c r="H1682" s="37" t="s">
        <v>461</v>
      </c>
      <c r="I1682" s="37" t="s">
        <v>154</v>
      </c>
      <c r="J1682" s="103">
        <v>-92.146888915464842</v>
      </c>
      <c r="K1682" s="40">
        <v>44.793208276176053</v>
      </c>
      <c r="L1682" s="74"/>
      <c r="M1682" s="272" t="s">
        <v>2038</v>
      </c>
      <c r="N1682" s="74">
        <v>1</v>
      </c>
      <c r="O1682" s="94"/>
      <c r="P1682" s="118">
        <v>0</v>
      </c>
      <c r="Q1682" s="510"/>
      <c r="R1682" s="513"/>
      <c r="S1682" s="41"/>
      <c r="T1682" s="40"/>
      <c r="U1682" s="40"/>
      <c r="V1682" s="119">
        <v>0</v>
      </c>
      <c r="W1682" s="40"/>
      <c r="X1682" s="119">
        <v>0</v>
      </c>
      <c r="Y1682" s="40"/>
      <c r="Z1682" s="119">
        <v>0</v>
      </c>
      <c r="AA1682" s="368" t="s">
        <v>16</v>
      </c>
      <c r="AB1682" s="535" t="s">
        <v>16</v>
      </c>
      <c r="AC1682" s="39"/>
      <c r="AD1682" s="75" t="s">
        <v>10</v>
      </c>
      <c r="AE1682" s="95">
        <v>0</v>
      </c>
      <c r="AF1682" s="75">
        <v>0</v>
      </c>
      <c r="AG1682" s="75">
        <v>0</v>
      </c>
      <c r="AH1682" s="75">
        <v>0</v>
      </c>
      <c r="AI1682" s="75">
        <v>0</v>
      </c>
      <c r="AJ1682" s="75">
        <v>0</v>
      </c>
      <c r="AK1682" s="75">
        <v>0</v>
      </c>
      <c r="AL1682" s="95">
        <v>1</v>
      </c>
      <c r="AM1682" s="92">
        <v>0</v>
      </c>
      <c r="AN1682" s="79" t="s">
        <v>80</v>
      </c>
      <c r="AO1682" s="75">
        <v>1</v>
      </c>
      <c r="AP1682" s="75" t="s">
        <v>83</v>
      </c>
      <c r="AQ1682" s="122">
        <v>1</v>
      </c>
      <c r="AR1682" s="515" t="s">
        <v>10</v>
      </c>
      <c r="AS1682" s="95">
        <v>0</v>
      </c>
      <c r="AT1682" s="75">
        <v>0</v>
      </c>
      <c r="AU1682" s="75">
        <v>0</v>
      </c>
      <c r="AV1682" s="75">
        <v>0</v>
      </c>
      <c r="AW1682" s="123">
        <v>0</v>
      </c>
      <c r="AX1682" s="516"/>
      <c r="AY1682" s="75">
        <v>0</v>
      </c>
      <c r="AZ1682" s="77" t="s">
        <v>131</v>
      </c>
      <c r="BA1682" s="78" t="s">
        <v>131</v>
      </c>
      <c r="BB1682" s="78" t="s">
        <v>131</v>
      </c>
      <c r="BC1682" s="78" t="s">
        <v>131</v>
      </c>
      <c r="BD1682" s="78" t="s">
        <v>131</v>
      </c>
      <c r="BE1682" s="78" t="s">
        <v>131</v>
      </c>
      <c r="BF1682" s="78" t="s">
        <v>131</v>
      </c>
      <c r="BG1682" s="78" t="s">
        <v>132</v>
      </c>
      <c r="BH1682" s="75" t="s">
        <v>5970</v>
      </c>
      <c r="BI1682" s="295" t="s">
        <v>2270</v>
      </c>
      <c r="BJ1682" s="546">
        <v>1</v>
      </c>
      <c r="BK1682" s="294">
        <v>1</v>
      </c>
      <c r="BL1682" s="157">
        <v>1</v>
      </c>
      <c r="BM1682" s="548" t="s">
        <v>578</v>
      </c>
      <c r="BN1682" s="548" t="s">
        <v>578</v>
      </c>
      <c r="BO1682" s="157" t="s">
        <v>4317</v>
      </c>
      <c r="BP1682" s="548" t="s">
        <v>2270</v>
      </c>
      <c r="BQ1682" s="157" t="s">
        <v>4316</v>
      </c>
      <c r="BR1682" s="157"/>
    </row>
    <row r="1683" spans="1:70" x14ac:dyDescent="0.25">
      <c r="A1683" s="19" t="s">
        <v>3686</v>
      </c>
      <c r="B1683" s="37" t="s">
        <v>2039</v>
      </c>
      <c r="C1683" s="90">
        <v>44672.962627314817</v>
      </c>
      <c r="D1683" s="114">
        <v>44672.712627314817</v>
      </c>
      <c r="E1683" s="38">
        <v>44672</v>
      </c>
      <c r="F1683" s="91">
        <v>2022</v>
      </c>
      <c r="G1683" s="93">
        <v>4</v>
      </c>
      <c r="H1683" s="37" t="s">
        <v>461</v>
      </c>
      <c r="I1683" s="37"/>
      <c r="J1683" s="103">
        <v>-92.146844400276876</v>
      </c>
      <c r="K1683" s="40">
        <v>44.793257408037981</v>
      </c>
      <c r="L1683" s="74"/>
      <c r="M1683" s="272" t="s">
        <v>16</v>
      </c>
      <c r="N1683" s="74">
        <v>0</v>
      </c>
      <c r="O1683" s="94"/>
      <c r="P1683" s="118">
        <v>1</v>
      </c>
      <c r="Q1683" s="510">
        <v>180</v>
      </c>
      <c r="R1683" s="513">
        <v>180</v>
      </c>
      <c r="S1683" s="41"/>
      <c r="T1683" s="40"/>
      <c r="U1683" s="40">
        <v>7.5</v>
      </c>
      <c r="V1683" s="119">
        <v>1</v>
      </c>
      <c r="W1683" s="40">
        <v>0</v>
      </c>
      <c r="X1683" s="119">
        <v>1</v>
      </c>
      <c r="Y1683" s="40">
        <v>52</v>
      </c>
      <c r="Z1683" s="119">
        <v>1</v>
      </c>
      <c r="AA1683" s="368">
        <v>0</v>
      </c>
      <c r="AB1683" s="535">
        <v>2</v>
      </c>
      <c r="AC1683" s="39" t="s">
        <v>160</v>
      </c>
      <c r="AD1683" s="75" t="s">
        <v>16</v>
      </c>
      <c r="AE1683" s="95">
        <v>-1</v>
      </c>
      <c r="AF1683" s="75">
        <v>-1</v>
      </c>
      <c r="AG1683" s="75">
        <v>-1</v>
      </c>
      <c r="AH1683" s="75">
        <v>-1</v>
      </c>
      <c r="AI1683" s="75">
        <v>-1</v>
      </c>
      <c r="AJ1683" s="75">
        <v>-1</v>
      </c>
      <c r="AK1683" s="75">
        <v>-1</v>
      </c>
      <c r="AL1683" s="95">
        <v>-1</v>
      </c>
      <c r="AM1683" s="92">
        <v>1</v>
      </c>
      <c r="AN1683" s="79"/>
      <c r="AO1683" s="75">
        <v>0</v>
      </c>
      <c r="AP1683" s="75"/>
      <c r="AQ1683" s="122">
        <v>0</v>
      </c>
      <c r="AR1683" s="515" t="s">
        <v>16</v>
      </c>
      <c r="AS1683" s="95">
        <v>-1</v>
      </c>
      <c r="AT1683" s="75">
        <v>-1</v>
      </c>
      <c r="AU1683" s="75">
        <v>-1</v>
      </c>
      <c r="AV1683" s="75">
        <v>-1</v>
      </c>
      <c r="AW1683" s="123">
        <v>1</v>
      </c>
      <c r="AX1683" s="516"/>
      <c r="AY1683" s="75">
        <v>0</v>
      </c>
      <c r="AZ1683" s="77" t="s">
        <v>5971</v>
      </c>
      <c r="BA1683" s="78" t="s">
        <v>5971</v>
      </c>
      <c r="BB1683" s="78" t="s">
        <v>5971</v>
      </c>
      <c r="BC1683" s="78" t="s">
        <v>5971</v>
      </c>
      <c r="BD1683" s="78" t="s">
        <v>5971</v>
      </c>
      <c r="BE1683" s="78" t="s">
        <v>5971</v>
      </c>
      <c r="BF1683" s="78" t="s">
        <v>5971</v>
      </c>
      <c r="BG1683" s="78" t="s">
        <v>5971</v>
      </c>
      <c r="BH1683" s="75" t="s">
        <v>5971</v>
      </c>
      <c r="BI1683" s="295" t="s">
        <v>2270</v>
      </c>
      <c r="BJ1683" s="546">
        <v>1</v>
      </c>
      <c r="BK1683" s="294">
        <v>1</v>
      </c>
      <c r="BL1683" s="157">
        <v>1</v>
      </c>
      <c r="BM1683" s="548" t="s">
        <v>578</v>
      </c>
      <c r="BN1683" s="548" t="s">
        <v>578</v>
      </c>
      <c r="BO1683" s="157" t="s">
        <v>4317</v>
      </c>
      <c r="BP1683" s="548" t="s">
        <v>2270</v>
      </c>
      <c r="BQ1683" s="157" t="s">
        <v>4316</v>
      </c>
      <c r="BR1683" s="157"/>
    </row>
    <row r="1684" spans="1:70" x14ac:dyDescent="0.25">
      <c r="A1684" s="19" t="s">
        <v>3686</v>
      </c>
      <c r="B1684" s="37" t="s">
        <v>2040</v>
      </c>
      <c r="C1684" s="90">
        <v>44672.828946759262</v>
      </c>
      <c r="D1684" s="114">
        <v>44672.578946759262</v>
      </c>
      <c r="E1684" s="38">
        <v>44672</v>
      </c>
      <c r="F1684" s="91">
        <v>2022</v>
      </c>
      <c r="G1684" s="93">
        <v>4</v>
      </c>
      <c r="H1684" s="37" t="s">
        <v>598</v>
      </c>
      <c r="I1684" s="37" t="s">
        <v>16</v>
      </c>
      <c r="J1684" s="103">
        <v>-91.823866852957394</v>
      </c>
      <c r="K1684" s="40">
        <v>43.642499803068226</v>
      </c>
      <c r="L1684" s="74"/>
      <c r="M1684" s="272" t="s">
        <v>2041</v>
      </c>
      <c r="N1684" s="74">
        <v>1</v>
      </c>
      <c r="O1684" s="94"/>
      <c r="P1684" s="118">
        <v>1</v>
      </c>
      <c r="Q1684" s="510">
        <v>40</v>
      </c>
      <c r="R1684" s="513">
        <v>120</v>
      </c>
      <c r="S1684" s="41"/>
      <c r="T1684" s="40"/>
      <c r="U1684" s="40">
        <v>8</v>
      </c>
      <c r="V1684" s="119">
        <v>1</v>
      </c>
      <c r="W1684" s="40">
        <v>100</v>
      </c>
      <c r="X1684" s="119">
        <v>1</v>
      </c>
      <c r="Y1684" s="40">
        <v>53</v>
      </c>
      <c r="Z1684" s="119">
        <v>1</v>
      </c>
      <c r="AA1684" s="368">
        <v>0</v>
      </c>
      <c r="AB1684" s="535">
        <v>5</v>
      </c>
      <c r="AC1684" s="39" t="s">
        <v>160</v>
      </c>
      <c r="AD1684" s="75" t="s">
        <v>10</v>
      </c>
      <c r="AE1684" s="95">
        <v>0</v>
      </c>
      <c r="AF1684" s="75">
        <v>0</v>
      </c>
      <c r="AG1684" s="75">
        <v>0</v>
      </c>
      <c r="AH1684" s="75">
        <v>0</v>
      </c>
      <c r="AI1684" s="75">
        <v>0</v>
      </c>
      <c r="AJ1684" s="75">
        <v>0</v>
      </c>
      <c r="AK1684" s="75">
        <v>0</v>
      </c>
      <c r="AL1684" s="95">
        <v>1</v>
      </c>
      <c r="AM1684" s="92">
        <v>0</v>
      </c>
      <c r="AN1684" s="79" t="s">
        <v>80</v>
      </c>
      <c r="AO1684" s="75">
        <v>1</v>
      </c>
      <c r="AP1684" s="75" t="s">
        <v>83</v>
      </c>
      <c r="AQ1684" s="122">
        <v>1</v>
      </c>
      <c r="AR1684" s="515" t="s">
        <v>10</v>
      </c>
      <c r="AS1684" s="95">
        <v>0</v>
      </c>
      <c r="AT1684" s="75">
        <v>0</v>
      </c>
      <c r="AU1684" s="75">
        <v>0</v>
      </c>
      <c r="AV1684" s="75">
        <v>0</v>
      </c>
      <c r="AW1684" s="123">
        <v>0</v>
      </c>
      <c r="AX1684" s="516" t="s">
        <v>2042</v>
      </c>
      <c r="AY1684" s="75">
        <v>1</v>
      </c>
      <c r="AZ1684" s="77" t="s">
        <v>131</v>
      </c>
      <c r="BA1684" s="78" t="s">
        <v>131</v>
      </c>
      <c r="BB1684" s="78" t="s">
        <v>131</v>
      </c>
      <c r="BC1684" s="78" t="s">
        <v>131</v>
      </c>
      <c r="BD1684" s="78" t="s">
        <v>131</v>
      </c>
      <c r="BE1684" s="78" t="s">
        <v>131</v>
      </c>
      <c r="BF1684" s="78" t="s">
        <v>131</v>
      </c>
      <c r="BG1684" s="78" t="s">
        <v>132</v>
      </c>
      <c r="BH1684" s="75" t="s">
        <v>5970</v>
      </c>
      <c r="BI1684" s="295" t="s">
        <v>2249</v>
      </c>
      <c r="BJ1684" s="546">
        <v>1</v>
      </c>
      <c r="BK1684" s="294">
        <v>1</v>
      </c>
      <c r="BL1684" s="157">
        <v>1</v>
      </c>
      <c r="BM1684" s="548" t="s">
        <v>1341</v>
      </c>
      <c r="BN1684" s="548" t="s">
        <v>1339</v>
      </c>
      <c r="BO1684" s="157" t="s">
        <v>4418</v>
      </c>
      <c r="BP1684" s="548" t="s">
        <v>4419</v>
      </c>
      <c r="BQ1684" s="157" t="s">
        <v>4232</v>
      </c>
      <c r="BR1684" s="157"/>
    </row>
    <row r="1685" spans="1:70" x14ac:dyDescent="0.25">
      <c r="A1685" s="19" t="s">
        <v>3686</v>
      </c>
      <c r="B1685" s="37" t="s">
        <v>2043</v>
      </c>
      <c r="C1685" s="90">
        <v>44670.955995370372</v>
      </c>
      <c r="D1685" s="114">
        <v>44670.705995370372</v>
      </c>
      <c r="E1685" s="38">
        <v>44670</v>
      </c>
      <c r="F1685" s="91">
        <v>2022</v>
      </c>
      <c r="G1685" s="93">
        <v>4</v>
      </c>
      <c r="H1685" s="37" t="s">
        <v>625</v>
      </c>
      <c r="I1685" s="37" t="s">
        <v>753</v>
      </c>
      <c r="J1685" s="103">
        <v>-92.802074300000001</v>
      </c>
      <c r="K1685" s="40">
        <v>44.5430426</v>
      </c>
      <c r="L1685" s="74"/>
      <c r="M1685" s="272" t="s">
        <v>16</v>
      </c>
      <c r="N1685" s="74">
        <v>0</v>
      </c>
      <c r="O1685" s="94"/>
      <c r="P1685" s="118">
        <v>1</v>
      </c>
      <c r="Q1685" s="510">
        <v>80</v>
      </c>
      <c r="R1685" s="513">
        <v>120</v>
      </c>
      <c r="S1685" s="41"/>
      <c r="T1685" s="40"/>
      <c r="U1685" s="40">
        <v>7.5</v>
      </c>
      <c r="V1685" s="119">
        <v>1</v>
      </c>
      <c r="W1685" s="40">
        <v>0</v>
      </c>
      <c r="X1685" s="119">
        <v>1</v>
      </c>
      <c r="Y1685" s="40">
        <v>51</v>
      </c>
      <c r="Z1685" s="119">
        <v>1</v>
      </c>
      <c r="AA1685" s="368">
        <v>0</v>
      </c>
      <c r="AB1685" s="535">
        <v>5</v>
      </c>
      <c r="AC1685" s="39" t="s">
        <v>160</v>
      </c>
      <c r="AD1685" s="75" t="s">
        <v>10</v>
      </c>
      <c r="AE1685" s="95">
        <v>0</v>
      </c>
      <c r="AF1685" s="75">
        <v>0</v>
      </c>
      <c r="AG1685" s="75">
        <v>0</v>
      </c>
      <c r="AH1685" s="75">
        <v>0</v>
      </c>
      <c r="AI1685" s="75">
        <v>0</v>
      </c>
      <c r="AJ1685" s="75">
        <v>0</v>
      </c>
      <c r="AK1685" s="75">
        <v>0</v>
      </c>
      <c r="AL1685" s="95">
        <v>1</v>
      </c>
      <c r="AM1685" s="92">
        <v>0</v>
      </c>
      <c r="AN1685" s="79" t="s">
        <v>80</v>
      </c>
      <c r="AO1685" s="75">
        <v>1</v>
      </c>
      <c r="AP1685" s="75" t="s">
        <v>83</v>
      </c>
      <c r="AQ1685" s="122">
        <v>1</v>
      </c>
      <c r="AR1685" s="515" t="s">
        <v>10</v>
      </c>
      <c r="AS1685" s="95">
        <v>0</v>
      </c>
      <c r="AT1685" s="75">
        <v>0</v>
      </c>
      <c r="AU1685" s="75">
        <v>0</v>
      </c>
      <c r="AV1685" s="75">
        <v>0</v>
      </c>
      <c r="AW1685" s="123">
        <v>0</v>
      </c>
      <c r="AX1685" s="516"/>
      <c r="AY1685" s="75">
        <v>0</v>
      </c>
      <c r="AZ1685" s="77" t="s">
        <v>131</v>
      </c>
      <c r="BA1685" s="78" t="s">
        <v>131</v>
      </c>
      <c r="BB1685" s="78" t="s">
        <v>131</v>
      </c>
      <c r="BC1685" s="78" t="s">
        <v>131</v>
      </c>
      <c r="BD1685" s="78" t="s">
        <v>131</v>
      </c>
      <c r="BE1685" s="78" t="s">
        <v>131</v>
      </c>
      <c r="BF1685" s="78" t="s">
        <v>131</v>
      </c>
      <c r="BG1685" s="78" t="s">
        <v>132</v>
      </c>
      <c r="BH1685" s="75" t="s">
        <v>5970</v>
      </c>
      <c r="BI1685" s="295" t="s">
        <v>2224</v>
      </c>
      <c r="BJ1685" s="546">
        <v>1</v>
      </c>
      <c r="BK1685" s="294">
        <v>1</v>
      </c>
      <c r="BL1685" s="157">
        <v>1</v>
      </c>
      <c r="BM1685" s="548" t="s">
        <v>2343</v>
      </c>
      <c r="BN1685" s="548" t="s">
        <v>4161</v>
      </c>
      <c r="BO1685" s="157" t="s">
        <v>4510</v>
      </c>
      <c r="BP1685" s="548" t="s">
        <v>753</v>
      </c>
      <c r="BQ1685" s="157" t="s">
        <v>4389</v>
      </c>
      <c r="BR1685" s="157"/>
    </row>
    <row r="1686" spans="1:70" x14ac:dyDescent="0.25">
      <c r="A1686" s="19" t="s">
        <v>3686</v>
      </c>
      <c r="B1686" s="37" t="s">
        <v>2044</v>
      </c>
      <c r="C1686" s="90">
        <v>44670.809305555558</v>
      </c>
      <c r="D1686" s="114">
        <v>44670.559305555558</v>
      </c>
      <c r="E1686" s="38">
        <v>44670</v>
      </c>
      <c r="F1686" s="91">
        <v>2022</v>
      </c>
      <c r="G1686" s="93">
        <v>4</v>
      </c>
      <c r="H1686" s="37" t="s">
        <v>201</v>
      </c>
      <c r="I1686" s="37"/>
      <c r="J1686" s="103">
        <v>-92.732090583637685</v>
      </c>
      <c r="K1686" s="40">
        <v>44.831196485104911</v>
      </c>
      <c r="L1686" s="74"/>
      <c r="M1686" s="272" t="s">
        <v>16</v>
      </c>
      <c r="N1686" s="74">
        <v>0</v>
      </c>
      <c r="O1686" s="94"/>
      <c r="P1686" s="118">
        <v>1</v>
      </c>
      <c r="Q1686" s="510">
        <v>180</v>
      </c>
      <c r="R1686" s="513">
        <v>120</v>
      </c>
      <c r="S1686" s="41"/>
      <c r="T1686" s="40"/>
      <c r="U1686" s="40">
        <v>7</v>
      </c>
      <c r="V1686" s="119">
        <v>1</v>
      </c>
      <c r="W1686" s="40">
        <v>0</v>
      </c>
      <c r="X1686" s="119">
        <v>1</v>
      </c>
      <c r="Y1686" s="40">
        <v>47</v>
      </c>
      <c r="Z1686" s="119">
        <v>1</v>
      </c>
      <c r="AA1686" s="368">
        <v>0</v>
      </c>
      <c r="AB1686" s="535">
        <v>5</v>
      </c>
      <c r="AC1686" s="39" t="s">
        <v>160</v>
      </c>
      <c r="AD1686" s="75" t="s">
        <v>365</v>
      </c>
      <c r="AE1686" s="95">
        <v>0</v>
      </c>
      <c r="AF1686" s="75">
        <v>1</v>
      </c>
      <c r="AG1686" s="75">
        <v>1</v>
      </c>
      <c r="AH1686" s="75">
        <v>0</v>
      </c>
      <c r="AI1686" s="75">
        <v>0</v>
      </c>
      <c r="AJ1686" s="75">
        <v>0</v>
      </c>
      <c r="AK1686" s="75">
        <v>0</v>
      </c>
      <c r="AL1686" s="95">
        <v>0</v>
      </c>
      <c r="AM1686" s="92">
        <v>0</v>
      </c>
      <c r="AN1686" s="79" t="s">
        <v>80</v>
      </c>
      <c r="AO1686" s="75">
        <v>1</v>
      </c>
      <c r="AP1686" s="75" t="s">
        <v>83</v>
      </c>
      <c r="AQ1686" s="122">
        <v>1</v>
      </c>
      <c r="AR1686" s="515" t="s">
        <v>10</v>
      </c>
      <c r="AS1686" s="95">
        <v>0</v>
      </c>
      <c r="AT1686" s="75">
        <v>0</v>
      </c>
      <c r="AU1686" s="75">
        <v>0</v>
      </c>
      <c r="AV1686" s="75">
        <v>0</v>
      </c>
      <c r="AW1686" s="123">
        <v>0</v>
      </c>
      <c r="AX1686" s="516" t="s">
        <v>1537</v>
      </c>
      <c r="AY1686" s="75">
        <v>1</v>
      </c>
      <c r="AZ1686" s="77" t="s">
        <v>131</v>
      </c>
      <c r="BA1686" s="78" t="s">
        <v>132</v>
      </c>
      <c r="BB1686" s="78" t="s">
        <v>132</v>
      </c>
      <c r="BC1686" s="78" t="s">
        <v>131</v>
      </c>
      <c r="BD1686" s="78" t="s">
        <v>131</v>
      </c>
      <c r="BE1686" s="78" t="s">
        <v>131</v>
      </c>
      <c r="BF1686" s="78" t="s">
        <v>131</v>
      </c>
      <c r="BG1686" s="78" t="s">
        <v>131</v>
      </c>
      <c r="BH1686" s="75" t="s">
        <v>5970</v>
      </c>
      <c r="BI1686" s="295" t="s">
        <v>2227</v>
      </c>
      <c r="BJ1686" s="546">
        <v>1</v>
      </c>
      <c r="BK1686" s="294" t="s">
        <v>16</v>
      </c>
      <c r="BL1686" s="157" t="s">
        <v>16</v>
      </c>
      <c r="BM1686" s="548" t="s">
        <v>578</v>
      </c>
      <c r="BN1686" s="548" t="s">
        <v>578</v>
      </c>
      <c r="BO1686" s="157" t="s">
        <v>4341</v>
      </c>
      <c r="BP1686" s="548" t="s">
        <v>4343</v>
      </c>
      <c r="BQ1686" s="157" t="s">
        <v>4309</v>
      </c>
      <c r="BR1686" s="157"/>
    </row>
    <row r="1687" spans="1:70" x14ac:dyDescent="0.25">
      <c r="A1687" s="19" t="s">
        <v>3686</v>
      </c>
      <c r="B1687" s="37" t="s">
        <v>2045</v>
      </c>
      <c r="C1687" s="90">
        <v>44668.875428240739</v>
      </c>
      <c r="D1687" s="114">
        <v>44668.625428240739</v>
      </c>
      <c r="E1687" s="38">
        <v>44668</v>
      </c>
      <c r="F1687" s="91">
        <v>2022</v>
      </c>
      <c r="G1687" s="93">
        <v>4</v>
      </c>
      <c r="H1687" s="37" t="s">
        <v>599</v>
      </c>
      <c r="I1687" s="37" t="s">
        <v>2361</v>
      </c>
      <c r="J1687" s="103">
        <v>-92.442864402712402</v>
      </c>
      <c r="K1687" s="40">
        <v>44.621345724544085</v>
      </c>
      <c r="L1687" s="74"/>
      <c r="M1687" s="272" t="s">
        <v>16</v>
      </c>
      <c r="N1687" s="74">
        <v>0</v>
      </c>
      <c r="O1687" s="94"/>
      <c r="P1687" s="118">
        <v>1</v>
      </c>
      <c r="Q1687" s="510">
        <v>120</v>
      </c>
      <c r="R1687" s="513">
        <v>120</v>
      </c>
      <c r="S1687" s="41"/>
      <c r="T1687" s="40"/>
      <c r="U1687" s="40">
        <v>7.5</v>
      </c>
      <c r="V1687" s="119">
        <v>1</v>
      </c>
      <c r="W1687" s="40">
        <v>0</v>
      </c>
      <c r="X1687" s="119">
        <v>1</v>
      </c>
      <c r="Y1687" s="40">
        <v>46</v>
      </c>
      <c r="Z1687" s="119">
        <v>1</v>
      </c>
      <c r="AA1687" s="368">
        <v>0</v>
      </c>
      <c r="AB1687" s="535">
        <v>2</v>
      </c>
      <c r="AC1687" s="39" t="s">
        <v>160</v>
      </c>
      <c r="AD1687" s="75" t="s">
        <v>10</v>
      </c>
      <c r="AE1687" s="95">
        <v>0</v>
      </c>
      <c r="AF1687" s="75">
        <v>0</v>
      </c>
      <c r="AG1687" s="75">
        <v>0</v>
      </c>
      <c r="AH1687" s="75">
        <v>0</v>
      </c>
      <c r="AI1687" s="75">
        <v>0</v>
      </c>
      <c r="AJ1687" s="75">
        <v>0</v>
      </c>
      <c r="AK1687" s="75">
        <v>0</v>
      </c>
      <c r="AL1687" s="95">
        <v>1</v>
      </c>
      <c r="AM1687" s="92">
        <v>0</v>
      </c>
      <c r="AN1687" s="79" t="s">
        <v>80</v>
      </c>
      <c r="AO1687" s="75">
        <v>1</v>
      </c>
      <c r="AP1687" s="75" t="s">
        <v>83</v>
      </c>
      <c r="AQ1687" s="122">
        <v>1</v>
      </c>
      <c r="AR1687" s="515" t="s">
        <v>10</v>
      </c>
      <c r="AS1687" s="95">
        <v>0</v>
      </c>
      <c r="AT1687" s="75">
        <v>0</v>
      </c>
      <c r="AU1687" s="75">
        <v>0</v>
      </c>
      <c r="AV1687" s="75">
        <v>0</v>
      </c>
      <c r="AW1687" s="123">
        <v>0</v>
      </c>
      <c r="AX1687" s="516"/>
      <c r="AY1687" s="75">
        <v>0</v>
      </c>
      <c r="AZ1687" s="77" t="s">
        <v>131</v>
      </c>
      <c r="BA1687" s="78" t="s">
        <v>131</v>
      </c>
      <c r="BB1687" s="78" t="s">
        <v>131</v>
      </c>
      <c r="BC1687" s="78" t="s">
        <v>131</v>
      </c>
      <c r="BD1687" s="78" t="s">
        <v>131</v>
      </c>
      <c r="BE1687" s="78" t="s">
        <v>131</v>
      </c>
      <c r="BF1687" s="78" t="s">
        <v>131</v>
      </c>
      <c r="BG1687" s="78" t="s">
        <v>132</v>
      </c>
      <c r="BH1687" s="75" t="s">
        <v>5970</v>
      </c>
      <c r="BI1687" s="295" t="s">
        <v>2289</v>
      </c>
      <c r="BJ1687" s="546">
        <v>1</v>
      </c>
      <c r="BK1687" s="294" t="s">
        <v>16</v>
      </c>
      <c r="BL1687" s="157" t="s">
        <v>16</v>
      </c>
      <c r="BM1687" s="548" t="s">
        <v>578</v>
      </c>
      <c r="BN1687" s="548" t="s">
        <v>544</v>
      </c>
      <c r="BO1687" s="157" t="s">
        <v>4283</v>
      </c>
      <c r="BP1687" s="548" t="s">
        <v>2289</v>
      </c>
      <c r="BQ1687" s="157" t="s">
        <v>4214</v>
      </c>
      <c r="BR1687" s="157"/>
    </row>
    <row r="1688" spans="1:70" x14ac:dyDescent="0.25">
      <c r="A1688" s="19" t="s">
        <v>3686</v>
      </c>
      <c r="B1688" s="37" t="s">
        <v>2046</v>
      </c>
      <c r="C1688" s="90">
        <v>44667.861319444448</v>
      </c>
      <c r="D1688" s="114">
        <v>44667.611319444448</v>
      </c>
      <c r="E1688" s="38">
        <v>44667</v>
      </c>
      <c r="F1688" s="91">
        <v>2022</v>
      </c>
      <c r="G1688" s="93">
        <v>4</v>
      </c>
      <c r="H1688" s="37" t="s">
        <v>1837</v>
      </c>
      <c r="I1688" s="37" t="s">
        <v>16</v>
      </c>
      <c r="J1688" s="103">
        <v>-92.44079087891204</v>
      </c>
      <c r="K1688" s="40">
        <v>44.035097722935276</v>
      </c>
      <c r="L1688" s="74"/>
      <c r="M1688" s="272" t="s">
        <v>2047</v>
      </c>
      <c r="N1688" s="74">
        <v>1</v>
      </c>
      <c r="O1688" s="94"/>
      <c r="P1688" s="118">
        <v>1</v>
      </c>
      <c r="Q1688" s="510">
        <v>180</v>
      </c>
      <c r="R1688" s="513">
        <v>180</v>
      </c>
      <c r="S1688" s="41"/>
      <c r="T1688" s="40"/>
      <c r="U1688" s="40">
        <v>8</v>
      </c>
      <c r="V1688" s="119">
        <v>1</v>
      </c>
      <c r="W1688" s="40">
        <v>0</v>
      </c>
      <c r="X1688" s="119">
        <v>1</v>
      </c>
      <c r="Y1688" s="40">
        <v>44</v>
      </c>
      <c r="Z1688" s="119">
        <v>1</v>
      </c>
      <c r="AA1688" s="368">
        <v>0</v>
      </c>
      <c r="AB1688" s="535">
        <v>1</v>
      </c>
      <c r="AC1688" s="39" t="s">
        <v>160</v>
      </c>
      <c r="AD1688" s="75" t="s">
        <v>16</v>
      </c>
      <c r="AE1688" s="95">
        <v>-1</v>
      </c>
      <c r="AF1688" s="75">
        <v>-1</v>
      </c>
      <c r="AG1688" s="75">
        <v>-1</v>
      </c>
      <c r="AH1688" s="75">
        <v>-1</v>
      </c>
      <c r="AI1688" s="75">
        <v>-1</v>
      </c>
      <c r="AJ1688" s="75">
        <v>-1</v>
      </c>
      <c r="AK1688" s="75">
        <v>-1</v>
      </c>
      <c r="AL1688" s="95">
        <v>-1</v>
      </c>
      <c r="AM1688" s="92">
        <v>1</v>
      </c>
      <c r="AN1688" s="79" t="s">
        <v>80</v>
      </c>
      <c r="AO1688" s="75">
        <v>1</v>
      </c>
      <c r="AP1688" s="75" t="s">
        <v>83</v>
      </c>
      <c r="AQ1688" s="122">
        <v>1</v>
      </c>
      <c r="AR1688" s="515" t="s">
        <v>10</v>
      </c>
      <c r="AS1688" s="95">
        <v>0</v>
      </c>
      <c r="AT1688" s="75">
        <v>0</v>
      </c>
      <c r="AU1688" s="75">
        <v>0</v>
      </c>
      <c r="AV1688" s="75">
        <v>0</v>
      </c>
      <c r="AW1688" s="123">
        <v>0</v>
      </c>
      <c r="AX1688" s="516" t="s">
        <v>2048</v>
      </c>
      <c r="AY1688" s="75">
        <v>1</v>
      </c>
      <c r="AZ1688" s="77" t="s">
        <v>5971</v>
      </c>
      <c r="BA1688" s="78" t="s">
        <v>5971</v>
      </c>
      <c r="BB1688" s="78" t="s">
        <v>5971</v>
      </c>
      <c r="BC1688" s="78" t="s">
        <v>5971</v>
      </c>
      <c r="BD1688" s="78" t="s">
        <v>5971</v>
      </c>
      <c r="BE1688" s="78" t="s">
        <v>5971</v>
      </c>
      <c r="BF1688" s="78" t="s">
        <v>5971</v>
      </c>
      <c r="BG1688" s="78" t="s">
        <v>5971</v>
      </c>
      <c r="BH1688" s="75" t="s">
        <v>5971</v>
      </c>
      <c r="BI1688" s="295" t="s">
        <v>16</v>
      </c>
      <c r="BJ1688" s="546" t="s">
        <v>16</v>
      </c>
      <c r="BK1688" s="294" t="s">
        <v>16</v>
      </c>
      <c r="BL1688" s="157" t="s">
        <v>16</v>
      </c>
      <c r="BM1688" s="548" t="s">
        <v>1339</v>
      </c>
      <c r="BN1688" s="548" t="s">
        <v>1339</v>
      </c>
      <c r="BO1688" s="157" t="s">
        <v>4698</v>
      </c>
      <c r="BP1688" s="548" t="s">
        <v>4699</v>
      </c>
      <c r="BQ1688" s="157" t="s">
        <v>4380</v>
      </c>
      <c r="BR1688" s="157"/>
    </row>
    <row r="1689" spans="1:70" x14ac:dyDescent="0.25">
      <c r="A1689" s="19" t="s">
        <v>3686</v>
      </c>
      <c r="B1689" s="37" t="s">
        <v>2049</v>
      </c>
      <c r="C1689" s="90">
        <v>44666.990393518521</v>
      </c>
      <c r="D1689" s="114">
        <v>44666.740393518521</v>
      </c>
      <c r="E1689" s="38">
        <v>44666</v>
      </c>
      <c r="F1689" s="91">
        <v>2022</v>
      </c>
      <c r="G1689" s="93">
        <v>4</v>
      </c>
      <c r="H1689" s="37" t="s">
        <v>2050</v>
      </c>
      <c r="I1689" s="37" t="s">
        <v>16</v>
      </c>
      <c r="J1689" s="103">
        <v>-91.791810253720513</v>
      </c>
      <c r="K1689" s="40">
        <v>43.309224369044699</v>
      </c>
      <c r="L1689" s="74"/>
      <c r="M1689" s="272" t="s">
        <v>2051</v>
      </c>
      <c r="N1689" s="74">
        <v>1</v>
      </c>
      <c r="O1689" s="94"/>
      <c r="P1689" s="118">
        <v>1</v>
      </c>
      <c r="Q1689" s="510">
        <v>40</v>
      </c>
      <c r="R1689" s="513">
        <v>0</v>
      </c>
      <c r="S1689" s="41"/>
      <c r="T1689" s="40"/>
      <c r="U1689" s="40">
        <v>7</v>
      </c>
      <c r="V1689" s="119">
        <v>0</v>
      </c>
      <c r="W1689" s="40"/>
      <c r="X1689" s="119">
        <v>1</v>
      </c>
      <c r="Y1689" s="40">
        <v>42</v>
      </c>
      <c r="Z1689" s="119">
        <v>1</v>
      </c>
      <c r="AA1689" s="368">
        <v>0</v>
      </c>
      <c r="AB1689" s="535">
        <v>0</v>
      </c>
      <c r="AC1689" s="39" t="s">
        <v>160</v>
      </c>
      <c r="AD1689" s="75" t="s">
        <v>16</v>
      </c>
      <c r="AE1689" s="95">
        <v>-1</v>
      </c>
      <c r="AF1689" s="75">
        <v>-1</v>
      </c>
      <c r="AG1689" s="75">
        <v>-1</v>
      </c>
      <c r="AH1689" s="75">
        <v>-1</v>
      </c>
      <c r="AI1689" s="75">
        <v>-1</v>
      </c>
      <c r="AJ1689" s="75">
        <v>-1</v>
      </c>
      <c r="AK1689" s="75">
        <v>-1</v>
      </c>
      <c r="AL1689" s="95">
        <v>-1</v>
      </c>
      <c r="AM1689" s="92">
        <v>1</v>
      </c>
      <c r="AN1689" s="79"/>
      <c r="AO1689" s="75">
        <v>0</v>
      </c>
      <c r="AP1689" s="75"/>
      <c r="AQ1689" s="122">
        <v>0</v>
      </c>
      <c r="AR1689" s="515" t="s">
        <v>16</v>
      </c>
      <c r="AS1689" s="95">
        <v>-1</v>
      </c>
      <c r="AT1689" s="75">
        <v>-1</v>
      </c>
      <c r="AU1689" s="75">
        <v>-1</v>
      </c>
      <c r="AV1689" s="75">
        <v>-1</v>
      </c>
      <c r="AW1689" s="123">
        <v>1</v>
      </c>
      <c r="AX1689" s="516" t="s">
        <v>2052</v>
      </c>
      <c r="AY1689" s="75">
        <v>1</v>
      </c>
      <c r="AZ1689" s="77" t="s">
        <v>5971</v>
      </c>
      <c r="BA1689" s="78" t="s">
        <v>5971</v>
      </c>
      <c r="BB1689" s="78" t="s">
        <v>5971</v>
      </c>
      <c r="BC1689" s="78" t="s">
        <v>5971</v>
      </c>
      <c r="BD1689" s="78" t="s">
        <v>5971</v>
      </c>
      <c r="BE1689" s="78" t="s">
        <v>5971</v>
      </c>
      <c r="BF1689" s="78" t="s">
        <v>5971</v>
      </c>
      <c r="BG1689" s="78" t="s">
        <v>5971</v>
      </c>
      <c r="BH1689" s="75" t="s">
        <v>5971</v>
      </c>
      <c r="BI1689" s="295" t="s">
        <v>16</v>
      </c>
      <c r="BJ1689" s="546">
        <v>1</v>
      </c>
      <c r="BK1689" s="294" t="s">
        <v>16</v>
      </c>
      <c r="BL1689" s="157" t="s">
        <v>16</v>
      </c>
      <c r="BM1689" s="548" t="s">
        <v>1344</v>
      </c>
      <c r="BN1689" s="548" t="s">
        <v>544</v>
      </c>
      <c r="BO1689" s="157" t="s">
        <v>4378</v>
      </c>
      <c r="BP1689" s="548" t="s">
        <v>4618</v>
      </c>
      <c r="BQ1689" s="157" t="s">
        <v>4377</v>
      </c>
      <c r="BR1689" s="157"/>
    </row>
    <row r="1690" spans="1:70" x14ac:dyDescent="0.25">
      <c r="A1690" s="19" t="s">
        <v>3686</v>
      </c>
      <c r="B1690" s="37" t="s">
        <v>2053</v>
      </c>
      <c r="C1690" s="90">
        <v>44662.901909722219</v>
      </c>
      <c r="D1690" s="114">
        <v>44662.651909722219</v>
      </c>
      <c r="E1690" s="38">
        <v>44662</v>
      </c>
      <c r="F1690" s="91">
        <v>2022</v>
      </c>
      <c r="G1690" s="93">
        <v>4</v>
      </c>
      <c r="H1690" s="37" t="s">
        <v>2054</v>
      </c>
      <c r="I1690" s="37"/>
      <c r="J1690" s="103">
        <v>-93.009042905280481</v>
      </c>
      <c r="K1690" s="40">
        <v>44.657237382225432</v>
      </c>
      <c r="L1690" s="74"/>
      <c r="M1690" s="272" t="s">
        <v>2055</v>
      </c>
      <c r="N1690" s="74">
        <v>1</v>
      </c>
      <c r="O1690" s="94"/>
      <c r="P1690" s="118">
        <v>1</v>
      </c>
      <c r="Q1690" s="510">
        <v>120</v>
      </c>
      <c r="R1690" s="513">
        <v>30</v>
      </c>
      <c r="S1690" s="41"/>
      <c r="T1690" s="40"/>
      <c r="U1690" s="40">
        <v>7</v>
      </c>
      <c r="V1690" s="119">
        <v>1</v>
      </c>
      <c r="W1690" s="40">
        <v>0</v>
      </c>
      <c r="X1690" s="119">
        <v>1</v>
      </c>
      <c r="Y1690" s="40">
        <v>52</v>
      </c>
      <c r="Z1690" s="119">
        <v>1</v>
      </c>
      <c r="AA1690" s="368">
        <v>0</v>
      </c>
      <c r="AB1690" s="535">
        <v>5</v>
      </c>
      <c r="AC1690" s="39" t="s">
        <v>160</v>
      </c>
      <c r="AD1690" s="75" t="s">
        <v>10</v>
      </c>
      <c r="AE1690" s="95">
        <v>0</v>
      </c>
      <c r="AF1690" s="75">
        <v>0</v>
      </c>
      <c r="AG1690" s="75">
        <v>0</v>
      </c>
      <c r="AH1690" s="75">
        <v>0</v>
      </c>
      <c r="AI1690" s="75">
        <v>0</v>
      </c>
      <c r="AJ1690" s="75">
        <v>0</v>
      </c>
      <c r="AK1690" s="75">
        <v>0</v>
      </c>
      <c r="AL1690" s="95">
        <v>1</v>
      </c>
      <c r="AM1690" s="92">
        <v>0</v>
      </c>
      <c r="AN1690" s="79" t="s">
        <v>80</v>
      </c>
      <c r="AO1690" s="75">
        <v>1</v>
      </c>
      <c r="AP1690" s="75"/>
      <c r="AQ1690" s="122">
        <v>0</v>
      </c>
      <c r="AR1690" s="515" t="s">
        <v>10</v>
      </c>
      <c r="AS1690" s="95">
        <v>0</v>
      </c>
      <c r="AT1690" s="75">
        <v>0</v>
      </c>
      <c r="AU1690" s="75">
        <v>0</v>
      </c>
      <c r="AV1690" s="75">
        <v>0</v>
      </c>
      <c r="AW1690" s="123">
        <v>0</v>
      </c>
      <c r="AX1690" s="516"/>
      <c r="AY1690" s="75">
        <v>0</v>
      </c>
      <c r="AZ1690" s="77" t="s">
        <v>131</v>
      </c>
      <c r="BA1690" s="78" t="s">
        <v>131</v>
      </c>
      <c r="BB1690" s="78" t="s">
        <v>131</v>
      </c>
      <c r="BC1690" s="78" t="s">
        <v>131</v>
      </c>
      <c r="BD1690" s="78" t="s">
        <v>131</v>
      </c>
      <c r="BE1690" s="78" t="s">
        <v>131</v>
      </c>
      <c r="BF1690" s="78" t="s">
        <v>131</v>
      </c>
      <c r="BG1690" s="78" t="s">
        <v>132</v>
      </c>
      <c r="BH1690" s="75" t="s">
        <v>5970</v>
      </c>
      <c r="BI1690" s="295" t="s">
        <v>2225</v>
      </c>
      <c r="BJ1690" s="546">
        <v>1</v>
      </c>
      <c r="BK1690" s="294" t="s">
        <v>16</v>
      </c>
      <c r="BL1690" s="157" t="s">
        <v>16</v>
      </c>
      <c r="BM1690" s="548" t="s">
        <v>2343</v>
      </c>
      <c r="BN1690" s="548" t="s">
        <v>544</v>
      </c>
      <c r="BO1690" s="157" t="s">
        <v>4293</v>
      </c>
      <c r="BP1690" s="548" t="s">
        <v>2225</v>
      </c>
      <c r="BQ1690" s="157" t="s">
        <v>4292</v>
      </c>
      <c r="BR1690" s="157"/>
    </row>
    <row r="1691" spans="1:70" x14ac:dyDescent="0.25">
      <c r="A1691" s="19" t="s">
        <v>3686</v>
      </c>
      <c r="B1691" s="37" t="s">
        <v>2056</v>
      </c>
      <c r="C1691" s="90">
        <v>44661.867951388886</v>
      </c>
      <c r="D1691" s="114">
        <v>44661.617951388886</v>
      </c>
      <c r="E1691" s="38">
        <v>44661</v>
      </c>
      <c r="F1691" s="91">
        <v>2022</v>
      </c>
      <c r="G1691" s="93">
        <v>4</v>
      </c>
      <c r="H1691" s="37" t="s">
        <v>622</v>
      </c>
      <c r="I1691" s="37"/>
      <c r="J1691" s="103">
        <v>-92.268079295840366</v>
      </c>
      <c r="K1691" s="40">
        <v>44.428683822084615</v>
      </c>
      <c r="L1691" s="74"/>
      <c r="M1691" s="272" t="s">
        <v>16</v>
      </c>
      <c r="N1691" s="74">
        <v>0</v>
      </c>
      <c r="O1691" s="94"/>
      <c r="P1691" s="118">
        <v>1</v>
      </c>
      <c r="Q1691" s="510">
        <v>0</v>
      </c>
      <c r="R1691" s="513">
        <v>30</v>
      </c>
      <c r="S1691" s="41"/>
      <c r="T1691" s="40"/>
      <c r="U1691" s="40">
        <v>7</v>
      </c>
      <c r="V1691" s="119">
        <v>1</v>
      </c>
      <c r="W1691" s="40">
        <v>0</v>
      </c>
      <c r="X1691" s="119">
        <v>1</v>
      </c>
      <c r="Y1691" s="40">
        <v>57</v>
      </c>
      <c r="Z1691" s="119">
        <v>0</v>
      </c>
      <c r="AA1691" s="368" t="s">
        <v>16</v>
      </c>
      <c r="AB1691" s="535" t="s">
        <v>16</v>
      </c>
      <c r="AC1691" s="39" t="s">
        <v>160</v>
      </c>
      <c r="AD1691" s="75" t="s">
        <v>16</v>
      </c>
      <c r="AE1691" s="95">
        <v>-1</v>
      </c>
      <c r="AF1691" s="75">
        <v>-1</v>
      </c>
      <c r="AG1691" s="75">
        <v>-1</v>
      </c>
      <c r="AH1691" s="75">
        <v>-1</v>
      </c>
      <c r="AI1691" s="75">
        <v>-1</v>
      </c>
      <c r="AJ1691" s="75">
        <v>-1</v>
      </c>
      <c r="AK1691" s="75">
        <v>-1</v>
      </c>
      <c r="AL1691" s="95">
        <v>-1</v>
      </c>
      <c r="AM1691" s="92">
        <v>1</v>
      </c>
      <c r="AN1691" s="79"/>
      <c r="AO1691" s="75">
        <v>0</v>
      </c>
      <c r="AP1691" s="75"/>
      <c r="AQ1691" s="122">
        <v>0</v>
      </c>
      <c r="AR1691" s="515" t="s">
        <v>16</v>
      </c>
      <c r="AS1691" s="95">
        <v>-1</v>
      </c>
      <c r="AT1691" s="75">
        <v>-1</v>
      </c>
      <c r="AU1691" s="75">
        <v>-1</v>
      </c>
      <c r="AV1691" s="75">
        <v>-1</v>
      </c>
      <c r="AW1691" s="123">
        <v>1</v>
      </c>
      <c r="AX1691" s="516"/>
      <c r="AY1691" s="75">
        <v>0</v>
      </c>
      <c r="AZ1691" s="77" t="s">
        <v>5971</v>
      </c>
      <c r="BA1691" s="78" t="s">
        <v>5971</v>
      </c>
      <c r="BB1691" s="78" t="s">
        <v>5971</v>
      </c>
      <c r="BC1691" s="78" t="s">
        <v>5971</v>
      </c>
      <c r="BD1691" s="78" t="s">
        <v>5971</v>
      </c>
      <c r="BE1691" s="78" t="s">
        <v>5971</v>
      </c>
      <c r="BF1691" s="78" t="s">
        <v>5971</v>
      </c>
      <c r="BG1691" s="78" t="s">
        <v>5971</v>
      </c>
      <c r="BH1691" s="75" t="s">
        <v>5971</v>
      </c>
      <c r="BI1691" s="295" t="s">
        <v>2228</v>
      </c>
      <c r="BJ1691" s="546">
        <v>1</v>
      </c>
      <c r="BK1691" s="294" t="s">
        <v>16</v>
      </c>
      <c r="BL1691" s="157" t="s">
        <v>16</v>
      </c>
      <c r="BM1691" s="548" t="s">
        <v>1339</v>
      </c>
      <c r="BN1691" s="548" t="s">
        <v>1339</v>
      </c>
      <c r="BO1691" s="157" t="s">
        <v>4614</v>
      </c>
      <c r="BP1691" s="548" t="s">
        <v>2228</v>
      </c>
      <c r="BQ1691" s="157" t="s">
        <v>4214</v>
      </c>
      <c r="BR1691" s="157"/>
    </row>
    <row r="1692" spans="1:70" x14ac:dyDescent="0.25">
      <c r="A1692" s="19" t="s">
        <v>3686</v>
      </c>
      <c r="B1692" s="37" t="s">
        <v>2057</v>
      </c>
      <c r="C1692" s="90">
        <v>44661.814166666663</v>
      </c>
      <c r="D1692" s="114">
        <v>44661.564166666663</v>
      </c>
      <c r="E1692" s="38">
        <v>44661</v>
      </c>
      <c r="F1692" s="91">
        <v>2022</v>
      </c>
      <c r="G1692" s="93">
        <v>4</v>
      </c>
      <c r="H1692" s="37" t="s">
        <v>201</v>
      </c>
      <c r="I1692" s="37"/>
      <c r="J1692" s="103">
        <v>-92.732093989506438</v>
      </c>
      <c r="K1692" s="40">
        <v>44.831208176246157</v>
      </c>
      <c r="L1692" s="74"/>
      <c r="M1692" s="272" t="s">
        <v>16</v>
      </c>
      <c r="N1692" s="74">
        <v>0</v>
      </c>
      <c r="O1692" s="94"/>
      <c r="P1692" s="118">
        <v>1</v>
      </c>
      <c r="Q1692" s="510">
        <v>180</v>
      </c>
      <c r="R1692" s="513">
        <v>180</v>
      </c>
      <c r="S1692" s="41"/>
      <c r="T1692" s="40"/>
      <c r="U1692" s="40">
        <v>8</v>
      </c>
      <c r="V1692" s="119">
        <v>1</v>
      </c>
      <c r="W1692" s="40">
        <v>0</v>
      </c>
      <c r="X1692" s="119">
        <v>1</v>
      </c>
      <c r="Y1692" s="40">
        <v>49</v>
      </c>
      <c r="Z1692" s="119">
        <v>1</v>
      </c>
      <c r="AA1692" s="368">
        <v>0</v>
      </c>
      <c r="AB1692" s="535">
        <v>5</v>
      </c>
      <c r="AC1692" s="39" t="s">
        <v>160</v>
      </c>
      <c r="AD1692" s="75" t="s">
        <v>365</v>
      </c>
      <c r="AE1692" s="95">
        <v>0</v>
      </c>
      <c r="AF1692" s="75">
        <v>1</v>
      </c>
      <c r="AG1692" s="75">
        <v>1</v>
      </c>
      <c r="AH1692" s="75">
        <v>0</v>
      </c>
      <c r="AI1692" s="75">
        <v>0</v>
      </c>
      <c r="AJ1692" s="75">
        <v>0</v>
      </c>
      <c r="AK1692" s="75">
        <v>0</v>
      </c>
      <c r="AL1692" s="95">
        <v>0</v>
      </c>
      <c r="AM1692" s="92">
        <v>0</v>
      </c>
      <c r="AN1692" s="79" t="s">
        <v>80</v>
      </c>
      <c r="AO1692" s="75">
        <v>1</v>
      </c>
      <c r="AP1692" s="75" t="s">
        <v>83</v>
      </c>
      <c r="AQ1692" s="122">
        <v>1</v>
      </c>
      <c r="AR1692" s="515" t="s">
        <v>10</v>
      </c>
      <c r="AS1692" s="95">
        <v>0</v>
      </c>
      <c r="AT1692" s="75">
        <v>0</v>
      </c>
      <c r="AU1692" s="75">
        <v>0</v>
      </c>
      <c r="AV1692" s="75">
        <v>0</v>
      </c>
      <c r="AW1692" s="123">
        <v>0</v>
      </c>
      <c r="AX1692" s="516" t="s">
        <v>1537</v>
      </c>
      <c r="AY1692" s="75">
        <v>1</v>
      </c>
      <c r="AZ1692" s="77" t="s">
        <v>131</v>
      </c>
      <c r="BA1692" s="78" t="s">
        <v>132</v>
      </c>
      <c r="BB1692" s="78" t="s">
        <v>132</v>
      </c>
      <c r="BC1692" s="78" t="s">
        <v>131</v>
      </c>
      <c r="BD1692" s="78" t="s">
        <v>131</v>
      </c>
      <c r="BE1692" s="78" t="s">
        <v>131</v>
      </c>
      <c r="BF1692" s="78" t="s">
        <v>131</v>
      </c>
      <c r="BG1692" s="78" t="s">
        <v>131</v>
      </c>
      <c r="BH1692" s="75" t="s">
        <v>5970</v>
      </c>
      <c r="BI1692" s="295" t="s">
        <v>16</v>
      </c>
      <c r="BJ1692" s="546">
        <v>1</v>
      </c>
      <c r="BK1692" s="294" t="s">
        <v>16</v>
      </c>
      <c r="BL1692" s="157" t="s">
        <v>16</v>
      </c>
      <c r="BM1692" s="548" t="s">
        <v>578</v>
      </c>
      <c r="BN1692" s="548" t="s">
        <v>578</v>
      </c>
      <c r="BO1692" s="157" t="s">
        <v>4341</v>
      </c>
      <c r="BP1692" s="548" t="s">
        <v>4343</v>
      </c>
      <c r="BQ1692" s="157" t="s">
        <v>4309</v>
      </c>
      <c r="BR1692" s="157"/>
    </row>
    <row r="1693" spans="1:70" x14ac:dyDescent="0.25">
      <c r="A1693" s="19" t="s">
        <v>3686</v>
      </c>
      <c r="B1693" s="37" t="s">
        <v>2058</v>
      </c>
      <c r="C1693" s="90">
        <v>44660.70103009259</v>
      </c>
      <c r="D1693" s="114">
        <v>44660.45103009259</v>
      </c>
      <c r="E1693" s="38">
        <v>44660</v>
      </c>
      <c r="F1693" s="91">
        <v>2022</v>
      </c>
      <c r="G1693" s="93">
        <v>4</v>
      </c>
      <c r="H1693" s="37" t="s">
        <v>379</v>
      </c>
      <c r="I1693" s="37" t="s">
        <v>642</v>
      </c>
      <c r="J1693" s="103">
        <v>-92.583483103748961</v>
      </c>
      <c r="K1693" s="40">
        <v>44.848829526495976</v>
      </c>
      <c r="L1693" s="74"/>
      <c r="M1693" s="272" t="s">
        <v>16</v>
      </c>
      <c r="N1693" s="74">
        <v>0</v>
      </c>
      <c r="O1693" s="94"/>
      <c r="P1693" s="118">
        <v>1</v>
      </c>
      <c r="Q1693" s="510">
        <v>180</v>
      </c>
      <c r="R1693" s="513">
        <v>180</v>
      </c>
      <c r="S1693" s="41"/>
      <c r="T1693" s="40"/>
      <c r="U1693" s="40">
        <v>8</v>
      </c>
      <c r="V1693" s="119">
        <v>1</v>
      </c>
      <c r="W1693" s="40">
        <v>0</v>
      </c>
      <c r="X1693" s="119">
        <v>1</v>
      </c>
      <c r="Y1693" s="40">
        <v>44</v>
      </c>
      <c r="Z1693" s="119">
        <v>1</v>
      </c>
      <c r="AA1693" s="368">
        <v>0</v>
      </c>
      <c r="AB1693" s="535">
        <v>5</v>
      </c>
      <c r="AC1693" s="39" t="s">
        <v>16</v>
      </c>
      <c r="AD1693" s="75" t="s">
        <v>16</v>
      </c>
      <c r="AE1693" s="95">
        <v>-1</v>
      </c>
      <c r="AF1693" s="75">
        <v>-1</v>
      </c>
      <c r="AG1693" s="75">
        <v>-1</v>
      </c>
      <c r="AH1693" s="75">
        <v>-1</v>
      </c>
      <c r="AI1693" s="75">
        <v>-1</v>
      </c>
      <c r="AJ1693" s="75">
        <v>-1</v>
      </c>
      <c r="AK1693" s="75">
        <v>-1</v>
      </c>
      <c r="AL1693" s="95">
        <v>-1</v>
      </c>
      <c r="AM1693" s="92">
        <v>1</v>
      </c>
      <c r="AN1693" s="79" t="s">
        <v>80</v>
      </c>
      <c r="AO1693" s="75">
        <v>1</v>
      </c>
      <c r="AP1693" s="75" t="s">
        <v>83</v>
      </c>
      <c r="AQ1693" s="122">
        <v>1</v>
      </c>
      <c r="AR1693" s="515" t="s">
        <v>10</v>
      </c>
      <c r="AS1693" s="95">
        <v>0</v>
      </c>
      <c r="AT1693" s="75">
        <v>0</v>
      </c>
      <c r="AU1693" s="75">
        <v>0</v>
      </c>
      <c r="AV1693" s="75">
        <v>0</v>
      </c>
      <c r="AW1693" s="123">
        <v>0</v>
      </c>
      <c r="AX1693" s="516"/>
      <c r="AY1693" s="75">
        <v>0</v>
      </c>
      <c r="AZ1693" s="77" t="s">
        <v>5971</v>
      </c>
      <c r="BA1693" s="78" t="s">
        <v>5971</v>
      </c>
      <c r="BB1693" s="78" t="s">
        <v>5971</v>
      </c>
      <c r="BC1693" s="78" t="s">
        <v>5971</v>
      </c>
      <c r="BD1693" s="78" t="s">
        <v>5971</v>
      </c>
      <c r="BE1693" s="78" t="s">
        <v>5971</v>
      </c>
      <c r="BF1693" s="78" t="s">
        <v>5971</v>
      </c>
      <c r="BG1693" s="78" t="s">
        <v>5971</v>
      </c>
      <c r="BH1693" s="75" t="s">
        <v>5971</v>
      </c>
      <c r="BI1693" s="295" t="s">
        <v>2226</v>
      </c>
      <c r="BJ1693" s="546">
        <v>1</v>
      </c>
      <c r="BK1693" s="294">
        <v>1</v>
      </c>
      <c r="BL1693" s="157">
        <v>1</v>
      </c>
      <c r="BM1693" s="548" t="s">
        <v>578</v>
      </c>
      <c r="BN1693" s="548" t="s">
        <v>578</v>
      </c>
      <c r="BO1693" s="157" t="s">
        <v>4310</v>
      </c>
      <c r="BP1693" s="548" t="s">
        <v>2226</v>
      </c>
      <c r="BQ1693" s="157" t="s">
        <v>4309</v>
      </c>
      <c r="BR1693" s="157"/>
    </row>
    <row r="1694" spans="1:70" x14ac:dyDescent="0.25">
      <c r="A1694" s="19" t="s">
        <v>3686</v>
      </c>
      <c r="B1694" s="37" t="s">
        <v>2059</v>
      </c>
      <c r="C1694" s="90">
        <v>44660.685648148145</v>
      </c>
      <c r="D1694" s="114">
        <v>44660.435648148145</v>
      </c>
      <c r="E1694" s="38">
        <v>44660</v>
      </c>
      <c r="F1694" s="91">
        <v>2022</v>
      </c>
      <c r="G1694" s="93">
        <v>4</v>
      </c>
      <c r="H1694" s="37" t="s">
        <v>1364</v>
      </c>
      <c r="I1694" s="37" t="s">
        <v>958</v>
      </c>
      <c r="J1694" s="103">
        <v>-92.575524999999999</v>
      </c>
      <c r="K1694" s="40">
        <v>44.488413299999998</v>
      </c>
      <c r="L1694" s="74"/>
      <c r="M1694" s="272" t="s">
        <v>16</v>
      </c>
      <c r="N1694" s="74">
        <v>0</v>
      </c>
      <c r="O1694" s="94"/>
      <c r="P1694" s="118">
        <v>1</v>
      </c>
      <c r="Q1694" s="510">
        <v>0</v>
      </c>
      <c r="R1694" s="513">
        <v>60</v>
      </c>
      <c r="S1694" s="41"/>
      <c r="T1694" s="40"/>
      <c r="U1694" s="40">
        <v>7</v>
      </c>
      <c r="V1694" s="119">
        <v>1</v>
      </c>
      <c r="W1694" s="40">
        <v>0</v>
      </c>
      <c r="X1694" s="119">
        <v>1</v>
      </c>
      <c r="Y1694" s="40">
        <v>45</v>
      </c>
      <c r="Z1694" s="119">
        <v>1</v>
      </c>
      <c r="AA1694" s="368">
        <v>0</v>
      </c>
      <c r="AB1694" s="535">
        <v>5</v>
      </c>
      <c r="AC1694" s="39" t="s">
        <v>160</v>
      </c>
      <c r="AD1694" s="75" t="s">
        <v>10</v>
      </c>
      <c r="AE1694" s="95">
        <v>0</v>
      </c>
      <c r="AF1694" s="75">
        <v>0</v>
      </c>
      <c r="AG1694" s="75">
        <v>0</v>
      </c>
      <c r="AH1694" s="75">
        <v>0</v>
      </c>
      <c r="AI1694" s="75">
        <v>0</v>
      </c>
      <c r="AJ1694" s="75">
        <v>0</v>
      </c>
      <c r="AK1694" s="75">
        <v>0</v>
      </c>
      <c r="AL1694" s="95">
        <v>1</v>
      </c>
      <c r="AM1694" s="92">
        <v>0</v>
      </c>
      <c r="AN1694" s="79" t="s">
        <v>81</v>
      </c>
      <c r="AO1694" s="75">
        <v>1</v>
      </c>
      <c r="AP1694" s="75" t="s">
        <v>83</v>
      </c>
      <c r="AQ1694" s="122">
        <v>1</v>
      </c>
      <c r="AR1694" s="515" t="s">
        <v>10</v>
      </c>
      <c r="AS1694" s="95">
        <v>0</v>
      </c>
      <c r="AT1694" s="75">
        <v>0</v>
      </c>
      <c r="AU1694" s="75">
        <v>0</v>
      </c>
      <c r="AV1694" s="75">
        <v>0</v>
      </c>
      <c r="AW1694" s="123">
        <v>0</v>
      </c>
      <c r="AX1694" s="516"/>
      <c r="AY1694" s="75">
        <v>0</v>
      </c>
      <c r="AZ1694" s="77" t="s">
        <v>131</v>
      </c>
      <c r="BA1694" s="78" t="s">
        <v>131</v>
      </c>
      <c r="BB1694" s="78" t="s">
        <v>131</v>
      </c>
      <c r="BC1694" s="78" t="s">
        <v>131</v>
      </c>
      <c r="BD1694" s="78" t="s">
        <v>131</v>
      </c>
      <c r="BE1694" s="78" t="s">
        <v>131</v>
      </c>
      <c r="BF1694" s="78" t="s">
        <v>131</v>
      </c>
      <c r="BG1694" s="78" t="s">
        <v>132</v>
      </c>
      <c r="BH1694" s="75" t="s">
        <v>5970</v>
      </c>
      <c r="BI1694" s="295" t="s">
        <v>2238</v>
      </c>
      <c r="BJ1694" s="546">
        <v>1</v>
      </c>
      <c r="BK1694" s="294" t="s">
        <v>16</v>
      </c>
      <c r="BL1694" s="157" t="s">
        <v>16</v>
      </c>
      <c r="BM1694" s="548" t="s">
        <v>2343</v>
      </c>
      <c r="BN1694" s="548" t="s">
        <v>4161</v>
      </c>
      <c r="BO1694" s="157" t="s">
        <v>4308</v>
      </c>
      <c r="BP1694" s="548" t="s">
        <v>2238</v>
      </c>
      <c r="BQ1694" s="157" t="s">
        <v>4307</v>
      </c>
      <c r="BR1694" s="157"/>
    </row>
    <row r="1695" spans="1:70" x14ac:dyDescent="0.25">
      <c r="A1695" s="19" t="s">
        <v>3686</v>
      </c>
      <c r="B1695" s="37" t="s">
        <v>2060</v>
      </c>
      <c r="C1695" s="90">
        <v>44658.875914351855</v>
      </c>
      <c r="D1695" s="114">
        <v>44658.625914351855</v>
      </c>
      <c r="E1695" s="38">
        <v>44658</v>
      </c>
      <c r="F1695" s="91">
        <v>2022</v>
      </c>
      <c r="G1695" s="93">
        <v>4</v>
      </c>
      <c r="H1695" s="37" t="s">
        <v>1391</v>
      </c>
      <c r="I1695" s="37" t="s">
        <v>960</v>
      </c>
      <c r="J1695" s="103">
        <v>-93.008962506514976</v>
      </c>
      <c r="K1695" s="40">
        <v>44.657183680724962</v>
      </c>
      <c r="L1695" s="74"/>
      <c r="M1695" s="272" t="s">
        <v>2061</v>
      </c>
      <c r="N1695" s="74">
        <v>1</v>
      </c>
      <c r="O1695" s="94"/>
      <c r="P1695" s="118">
        <v>1</v>
      </c>
      <c r="Q1695" s="510">
        <v>120</v>
      </c>
      <c r="R1695" s="513">
        <v>180</v>
      </c>
      <c r="S1695" s="41"/>
      <c r="T1695" s="40"/>
      <c r="U1695" s="40">
        <v>7.5</v>
      </c>
      <c r="V1695" s="119">
        <v>1</v>
      </c>
      <c r="W1695" s="40">
        <v>0</v>
      </c>
      <c r="X1695" s="119">
        <v>1</v>
      </c>
      <c r="Y1695" s="40">
        <v>40</v>
      </c>
      <c r="Z1695" s="119">
        <v>1</v>
      </c>
      <c r="AA1695" s="368">
        <v>0</v>
      </c>
      <c r="AB1695" s="535">
        <v>2</v>
      </c>
      <c r="AC1695" s="39" t="s">
        <v>160</v>
      </c>
      <c r="AD1695" s="75" t="s">
        <v>10</v>
      </c>
      <c r="AE1695" s="95">
        <v>0</v>
      </c>
      <c r="AF1695" s="75">
        <v>0</v>
      </c>
      <c r="AG1695" s="75">
        <v>0</v>
      </c>
      <c r="AH1695" s="75">
        <v>0</v>
      </c>
      <c r="AI1695" s="75">
        <v>0</v>
      </c>
      <c r="AJ1695" s="75">
        <v>0</v>
      </c>
      <c r="AK1695" s="75">
        <v>0</v>
      </c>
      <c r="AL1695" s="95">
        <v>1</v>
      </c>
      <c r="AM1695" s="92">
        <v>0</v>
      </c>
      <c r="AN1695" s="79" t="s">
        <v>195</v>
      </c>
      <c r="AO1695" s="75">
        <v>1</v>
      </c>
      <c r="AP1695" s="75" t="s">
        <v>83</v>
      </c>
      <c r="AQ1695" s="122">
        <v>1</v>
      </c>
      <c r="AR1695" s="515" t="s">
        <v>13</v>
      </c>
      <c r="AS1695" s="95">
        <v>1</v>
      </c>
      <c r="AT1695" s="75">
        <v>0</v>
      </c>
      <c r="AU1695" s="75">
        <v>0</v>
      </c>
      <c r="AV1695" s="75">
        <v>0</v>
      </c>
      <c r="AW1695" s="123">
        <v>0</v>
      </c>
      <c r="AX1695" s="516"/>
      <c r="AY1695" s="75">
        <v>0</v>
      </c>
      <c r="AZ1695" s="77" t="s">
        <v>131</v>
      </c>
      <c r="BA1695" s="78" t="s">
        <v>131</v>
      </c>
      <c r="BB1695" s="78" t="s">
        <v>131</v>
      </c>
      <c r="BC1695" s="78" t="s">
        <v>131</v>
      </c>
      <c r="BD1695" s="78" t="s">
        <v>131</v>
      </c>
      <c r="BE1695" s="78" t="s">
        <v>131</v>
      </c>
      <c r="BF1695" s="78" t="s">
        <v>131</v>
      </c>
      <c r="BG1695" s="78" t="s">
        <v>132</v>
      </c>
      <c r="BH1695" s="75" t="s">
        <v>5970</v>
      </c>
      <c r="BI1695" s="295" t="s">
        <v>2225</v>
      </c>
      <c r="BJ1695" s="546">
        <v>1</v>
      </c>
      <c r="BK1695" s="294" t="s">
        <v>16</v>
      </c>
      <c r="BL1695" s="157" t="s">
        <v>16</v>
      </c>
      <c r="BM1695" s="548" t="s">
        <v>2343</v>
      </c>
      <c r="BN1695" s="548" t="s">
        <v>4161</v>
      </c>
      <c r="BO1695" s="157" t="s">
        <v>4293</v>
      </c>
      <c r="BP1695" s="548" t="s">
        <v>2225</v>
      </c>
      <c r="BQ1695" s="157" t="s">
        <v>4292</v>
      </c>
      <c r="BR1695" s="157"/>
    </row>
    <row r="1696" spans="1:70" x14ac:dyDescent="0.25">
      <c r="A1696" s="19" t="s">
        <v>3686</v>
      </c>
      <c r="B1696" s="37" t="s">
        <v>2062</v>
      </c>
      <c r="C1696" s="90">
        <v>44658.794699074075</v>
      </c>
      <c r="D1696" s="114">
        <v>44658.544699074075</v>
      </c>
      <c r="E1696" s="38">
        <v>44658</v>
      </c>
      <c r="F1696" s="91">
        <v>2022</v>
      </c>
      <c r="G1696" s="93">
        <v>4</v>
      </c>
      <c r="H1696" s="37" t="s">
        <v>604</v>
      </c>
      <c r="I1696" s="37"/>
      <c r="J1696" s="103">
        <v>-93.386071790096722</v>
      </c>
      <c r="K1696" s="40">
        <v>44.775865059387662</v>
      </c>
      <c r="L1696" s="74"/>
      <c r="M1696" s="272" t="s">
        <v>2063</v>
      </c>
      <c r="N1696" s="74">
        <v>1</v>
      </c>
      <c r="O1696" s="94"/>
      <c r="P1696" s="118">
        <v>1</v>
      </c>
      <c r="Q1696" s="510">
        <v>180</v>
      </c>
      <c r="R1696" s="513">
        <v>180</v>
      </c>
      <c r="S1696" s="41"/>
      <c r="T1696" s="40"/>
      <c r="U1696" s="40">
        <v>7</v>
      </c>
      <c r="V1696" s="119">
        <v>1</v>
      </c>
      <c r="W1696" s="40">
        <v>0</v>
      </c>
      <c r="X1696" s="119">
        <v>1</v>
      </c>
      <c r="Y1696" s="40">
        <v>48</v>
      </c>
      <c r="Z1696" s="119">
        <v>1</v>
      </c>
      <c r="AA1696" s="368">
        <v>0</v>
      </c>
      <c r="AB1696" s="535">
        <v>0</v>
      </c>
      <c r="AC1696" s="39" t="s">
        <v>160</v>
      </c>
      <c r="AD1696" s="75" t="s">
        <v>10</v>
      </c>
      <c r="AE1696" s="95">
        <v>0</v>
      </c>
      <c r="AF1696" s="75">
        <v>0</v>
      </c>
      <c r="AG1696" s="75">
        <v>0</v>
      </c>
      <c r="AH1696" s="75">
        <v>0</v>
      </c>
      <c r="AI1696" s="75">
        <v>0</v>
      </c>
      <c r="AJ1696" s="75">
        <v>0</v>
      </c>
      <c r="AK1696" s="75">
        <v>0</v>
      </c>
      <c r="AL1696" s="95">
        <v>1</v>
      </c>
      <c r="AM1696" s="92">
        <v>0</v>
      </c>
      <c r="AN1696" s="79" t="s">
        <v>81</v>
      </c>
      <c r="AO1696" s="75">
        <v>1</v>
      </c>
      <c r="AP1696" s="75" t="s">
        <v>83</v>
      </c>
      <c r="AQ1696" s="122">
        <v>1</v>
      </c>
      <c r="AR1696" s="515" t="s">
        <v>10</v>
      </c>
      <c r="AS1696" s="95">
        <v>0</v>
      </c>
      <c r="AT1696" s="75">
        <v>0</v>
      </c>
      <c r="AU1696" s="75">
        <v>0</v>
      </c>
      <c r="AV1696" s="75">
        <v>0</v>
      </c>
      <c r="AW1696" s="123">
        <v>0</v>
      </c>
      <c r="AX1696" s="516"/>
      <c r="AY1696" s="75">
        <v>0</v>
      </c>
      <c r="AZ1696" s="77" t="s">
        <v>131</v>
      </c>
      <c r="BA1696" s="78" t="s">
        <v>131</v>
      </c>
      <c r="BB1696" s="78" t="s">
        <v>131</v>
      </c>
      <c r="BC1696" s="78" t="s">
        <v>131</v>
      </c>
      <c r="BD1696" s="78" t="s">
        <v>131</v>
      </c>
      <c r="BE1696" s="78" t="s">
        <v>131</v>
      </c>
      <c r="BF1696" s="78" t="s">
        <v>131</v>
      </c>
      <c r="BG1696" s="78" t="s">
        <v>132</v>
      </c>
      <c r="BH1696" s="75" t="s">
        <v>5970</v>
      </c>
      <c r="BI1696" s="295" t="s">
        <v>2277</v>
      </c>
      <c r="BJ1696" s="546">
        <v>1</v>
      </c>
      <c r="BK1696" s="294" t="s">
        <v>16</v>
      </c>
      <c r="BL1696" s="157" t="s">
        <v>16</v>
      </c>
      <c r="BM1696" s="548" t="s">
        <v>2343</v>
      </c>
      <c r="BN1696" s="548" t="s">
        <v>4161</v>
      </c>
      <c r="BO1696" s="157" t="s">
        <v>4313</v>
      </c>
      <c r="BP1696" s="548" t="s">
        <v>4315</v>
      </c>
      <c r="BQ1696" s="157" t="s">
        <v>4312</v>
      </c>
      <c r="BR1696" s="157"/>
    </row>
    <row r="1697" spans="1:70" x14ac:dyDescent="0.25">
      <c r="A1697" s="19" t="s">
        <v>3686</v>
      </c>
      <c r="B1697" s="37" t="s">
        <v>2064</v>
      </c>
      <c r="C1697" s="90">
        <v>44658.723310185182</v>
      </c>
      <c r="D1697" s="114">
        <v>44658.473310185182</v>
      </c>
      <c r="E1697" s="38">
        <v>44658</v>
      </c>
      <c r="F1697" s="91">
        <v>2022</v>
      </c>
      <c r="G1697" s="93">
        <v>4</v>
      </c>
      <c r="H1697" s="37" t="s">
        <v>604</v>
      </c>
      <c r="I1697" s="37"/>
      <c r="J1697" s="103">
        <v>-92.73255843677812</v>
      </c>
      <c r="K1697" s="40">
        <v>44.534495961893846</v>
      </c>
      <c r="L1697" s="74"/>
      <c r="M1697" s="272" t="s">
        <v>2065</v>
      </c>
      <c r="N1697" s="74">
        <v>1</v>
      </c>
      <c r="O1697" s="94"/>
      <c r="P1697" s="118">
        <v>1</v>
      </c>
      <c r="Q1697" s="510">
        <v>180</v>
      </c>
      <c r="R1697" s="513">
        <v>180</v>
      </c>
      <c r="S1697" s="41"/>
      <c r="T1697" s="40"/>
      <c r="U1697" s="40">
        <v>7</v>
      </c>
      <c r="V1697" s="119">
        <v>1</v>
      </c>
      <c r="W1697" s="40">
        <v>0</v>
      </c>
      <c r="X1697" s="119">
        <v>1</v>
      </c>
      <c r="Y1697" s="40">
        <v>40</v>
      </c>
      <c r="Z1697" s="119">
        <v>1</v>
      </c>
      <c r="AA1697" s="368">
        <v>0</v>
      </c>
      <c r="AB1697" s="535">
        <v>2</v>
      </c>
      <c r="AC1697" s="39" t="s">
        <v>160</v>
      </c>
      <c r="AD1697" s="75" t="s">
        <v>10</v>
      </c>
      <c r="AE1697" s="95">
        <v>0</v>
      </c>
      <c r="AF1697" s="75">
        <v>0</v>
      </c>
      <c r="AG1697" s="75">
        <v>0</v>
      </c>
      <c r="AH1697" s="75">
        <v>0</v>
      </c>
      <c r="AI1697" s="75">
        <v>0</v>
      </c>
      <c r="AJ1697" s="75">
        <v>0</v>
      </c>
      <c r="AK1697" s="75">
        <v>0</v>
      </c>
      <c r="AL1697" s="95">
        <v>1</v>
      </c>
      <c r="AM1697" s="92">
        <v>0</v>
      </c>
      <c r="AN1697" s="79" t="s">
        <v>81</v>
      </c>
      <c r="AO1697" s="75">
        <v>1</v>
      </c>
      <c r="AP1697" s="75" t="s">
        <v>84</v>
      </c>
      <c r="AQ1697" s="122">
        <v>1</v>
      </c>
      <c r="AR1697" s="515" t="s">
        <v>10</v>
      </c>
      <c r="AS1697" s="95">
        <v>0</v>
      </c>
      <c r="AT1697" s="75">
        <v>0</v>
      </c>
      <c r="AU1697" s="75">
        <v>0</v>
      </c>
      <c r="AV1697" s="75">
        <v>0</v>
      </c>
      <c r="AW1697" s="123">
        <v>0</v>
      </c>
      <c r="AX1697" s="516"/>
      <c r="AY1697" s="75">
        <v>0</v>
      </c>
      <c r="AZ1697" s="77" t="s">
        <v>131</v>
      </c>
      <c r="BA1697" s="78" t="s">
        <v>131</v>
      </c>
      <c r="BB1697" s="78" t="s">
        <v>131</v>
      </c>
      <c r="BC1697" s="78" t="s">
        <v>131</v>
      </c>
      <c r="BD1697" s="78" t="s">
        <v>131</v>
      </c>
      <c r="BE1697" s="78" t="s">
        <v>131</v>
      </c>
      <c r="BF1697" s="78" t="s">
        <v>131</v>
      </c>
      <c r="BG1697" s="78" t="s">
        <v>132</v>
      </c>
      <c r="BH1697" s="75" t="s">
        <v>5970</v>
      </c>
      <c r="BI1697" s="295" t="s">
        <v>1402</v>
      </c>
      <c r="BJ1697" s="546" t="s">
        <v>16</v>
      </c>
      <c r="BK1697" s="294" t="s">
        <v>16</v>
      </c>
      <c r="BL1697" s="157" t="s">
        <v>16</v>
      </c>
      <c r="BM1697" s="548" t="s">
        <v>2343</v>
      </c>
      <c r="BN1697" s="548" t="s">
        <v>4161</v>
      </c>
      <c r="BO1697" s="157" t="s">
        <v>4290</v>
      </c>
      <c r="BP1697" s="548" t="s">
        <v>4291</v>
      </c>
      <c r="BQ1697" s="157" t="s">
        <v>4289</v>
      </c>
      <c r="BR1697" s="157"/>
    </row>
    <row r="1698" spans="1:70" x14ac:dyDescent="0.25">
      <c r="A1698" s="19" t="s">
        <v>3686</v>
      </c>
      <c r="B1698" s="37" t="s">
        <v>2066</v>
      </c>
      <c r="C1698" s="90">
        <v>44658.696180555555</v>
      </c>
      <c r="D1698" s="114">
        <v>44658.446180555555</v>
      </c>
      <c r="E1698" s="38">
        <v>44658</v>
      </c>
      <c r="F1698" s="91">
        <v>2022</v>
      </c>
      <c r="G1698" s="93">
        <v>4</v>
      </c>
      <c r="H1698" s="37" t="s">
        <v>604</v>
      </c>
      <c r="I1698" s="37" t="s">
        <v>16</v>
      </c>
      <c r="J1698" s="103">
        <v>-92.765544997614583</v>
      </c>
      <c r="K1698" s="40">
        <v>44.407183444168794</v>
      </c>
      <c r="L1698" s="74"/>
      <c r="M1698" s="272" t="s">
        <v>16</v>
      </c>
      <c r="N1698" s="74">
        <v>0</v>
      </c>
      <c r="O1698" s="94"/>
      <c r="P1698" s="118">
        <v>1</v>
      </c>
      <c r="Q1698" s="510">
        <v>180</v>
      </c>
      <c r="R1698" s="513">
        <v>180</v>
      </c>
      <c r="S1698" s="41"/>
      <c r="T1698" s="40"/>
      <c r="U1698" s="40">
        <v>7</v>
      </c>
      <c r="V1698" s="119">
        <v>1</v>
      </c>
      <c r="W1698" s="40">
        <v>0</v>
      </c>
      <c r="X1698" s="119">
        <v>1</v>
      </c>
      <c r="Y1698" s="40">
        <v>37</v>
      </c>
      <c r="Z1698" s="119">
        <v>1</v>
      </c>
      <c r="AA1698" s="368">
        <v>0</v>
      </c>
      <c r="AB1698" s="535">
        <v>1</v>
      </c>
      <c r="AC1698" s="39" t="s">
        <v>160</v>
      </c>
      <c r="AD1698" s="75" t="s">
        <v>10</v>
      </c>
      <c r="AE1698" s="95">
        <v>0</v>
      </c>
      <c r="AF1698" s="75">
        <v>0</v>
      </c>
      <c r="AG1698" s="75">
        <v>0</v>
      </c>
      <c r="AH1698" s="75">
        <v>0</v>
      </c>
      <c r="AI1698" s="75">
        <v>0</v>
      </c>
      <c r="AJ1698" s="75">
        <v>0</v>
      </c>
      <c r="AK1698" s="75">
        <v>0</v>
      </c>
      <c r="AL1698" s="95">
        <v>1</v>
      </c>
      <c r="AM1698" s="92">
        <v>0</v>
      </c>
      <c r="AN1698" s="79" t="s">
        <v>81</v>
      </c>
      <c r="AO1698" s="75">
        <v>1</v>
      </c>
      <c r="AP1698" s="75" t="s">
        <v>83</v>
      </c>
      <c r="AQ1698" s="122">
        <v>1</v>
      </c>
      <c r="AR1698" s="515" t="s">
        <v>10</v>
      </c>
      <c r="AS1698" s="95">
        <v>0</v>
      </c>
      <c r="AT1698" s="75">
        <v>0</v>
      </c>
      <c r="AU1698" s="75">
        <v>0</v>
      </c>
      <c r="AV1698" s="75">
        <v>0</v>
      </c>
      <c r="AW1698" s="123">
        <v>0</v>
      </c>
      <c r="AX1698" s="516"/>
      <c r="AY1698" s="75">
        <v>0</v>
      </c>
      <c r="AZ1698" s="77" t="s">
        <v>131</v>
      </c>
      <c r="BA1698" s="78" t="s">
        <v>131</v>
      </c>
      <c r="BB1698" s="78" t="s">
        <v>131</v>
      </c>
      <c r="BC1698" s="78" t="s">
        <v>131</v>
      </c>
      <c r="BD1698" s="78" t="s">
        <v>131</v>
      </c>
      <c r="BE1698" s="78" t="s">
        <v>131</v>
      </c>
      <c r="BF1698" s="78" t="s">
        <v>131</v>
      </c>
      <c r="BG1698" s="78" t="s">
        <v>132</v>
      </c>
      <c r="BH1698" s="75" t="s">
        <v>5970</v>
      </c>
      <c r="BI1698" s="295" t="s">
        <v>1402</v>
      </c>
      <c r="BJ1698" s="546" t="s">
        <v>16</v>
      </c>
      <c r="BK1698" s="294" t="s">
        <v>16</v>
      </c>
      <c r="BL1698" s="157" t="s">
        <v>16</v>
      </c>
      <c r="BM1698" s="548" t="s">
        <v>1339</v>
      </c>
      <c r="BN1698" s="548" t="s">
        <v>4161</v>
      </c>
      <c r="BO1698" s="157" t="s">
        <v>4700</v>
      </c>
      <c r="BP1698" s="548" t="s">
        <v>4701</v>
      </c>
      <c r="BQ1698" s="157" t="s">
        <v>4289</v>
      </c>
      <c r="BR1698" s="157"/>
    </row>
    <row r="1699" spans="1:70" x14ac:dyDescent="0.25">
      <c r="A1699" s="19" t="s">
        <v>3686</v>
      </c>
      <c r="B1699" s="37" t="s">
        <v>2067</v>
      </c>
      <c r="C1699" s="90">
        <v>44658.680625000001</v>
      </c>
      <c r="D1699" s="114">
        <v>44658.430625000001</v>
      </c>
      <c r="E1699" s="38">
        <v>44658</v>
      </c>
      <c r="F1699" s="91">
        <v>2022</v>
      </c>
      <c r="G1699" s="93">
        <v>4</v>
      </c>
      <c r="H1699" s="37" t="s">
        <v>604</v>
      </c>
      <c r="I1699" s="37"/>
      <c r="J1699" s="103">
        <v>-92.810485912573341</v>
      </c>
      <c r="K1699" s="40">
        <v>44.378971760202553</v>
      </c>
      <c r="L1699" s="74"/>
      <c r="M1699" s="272" t="s">
        <v>16</v>
      </c>
      <c r="N1699" s="74">
        <v>0</v>
      </c>
      <c r="O1699" s="94"/>
      <c r="P1699" s="118">
        <v>1</v>
      </c>
      <c r="Q1699" s="510">
        <v>120</v>
      </c>
      <c r="R1699" s="513">
        <v>180</v>
      </c>
      <c r="S1699" s="41"/>
      <c r="T1699" s="40"/>
      <c r="U1699" s="40">
        <v>6.5</v>
      </c>
      <c r="V1699" s="119">
        <v>1</v>
      </c>
      <c r="W1699" s="40">
        <v>0</v>
      </c>
      <c r="X1699" s="119">
        <v>1</v>
      </c>
      <c r="Y1699" s="40">
        <v>40</v>
      </c>
      <c r="Z1699" s="119">
        <v>1</v>
      </c>
      <c r="AA1699" s="368">
        <v>0</v>
      </c>
      <c r="AB1699" s="535">
        <v>5</v>
      </c>
      <c r="AC1699" s="39" t="s">
        <v>160</v>
      </c>
      <c r="AD1699" s="75" t="s">
        <v>355</v>
      </c>
      <c r="AE1699" s="95">
        <v>0</v>
      </c>
      <c r="AF1699" s="75">
        <v>0</v>
      </c>
      <c r="AG1699" s="75">
        <v>0</v>
      </c>
      <c r="AH1699" s="75">
        <v>1</v>
      </c>
      <c r="AI1699" s="75">
        <v>0</v>
      </c>
      <c r="AJ1699" s="75">
        <v>0</v>
      </c>
      <c r="AK1699" s="75">
        <v>0</v>
      </c>
      <c r="AL1699" s="95">
        <v>0</v>
      </c>
      <c r="AM1699" s="92">
        <v>0</v>
      </c>
      <c r="AN1699" s="79" t="s">
        <v>80</v>
      </c>
      <c r="AO1699" s="75">
        <v>1</v>
      </c>
      <c r="AP1699" s="75" t="s">
        <v>83</v>
      </c>
      <c r="AQ1699" s="122">
        <v>1</v>
      </c>
      <c r="AR1699" s="515" t="s">
        <v>10</v>
      </c>
      <c r="AS1699" s="95">
        <v>0</v>
      </c>
      <c r="AT1699" s="75">
        <v>0</v>
      </c>
      <c r="AU1699" s="75">
        <v>0</v>
      </c>
      <c r="AV1699" s="75">
        <v>0</v>
      </c>
      <c r="AW1699" s="123">
        <v>0</v>
      </c>
      <c r="AX1699" s="516"/>
      <c r="AY1699" s="75">
        <v>0</v>
      </c>
      <c r="AZ1699" s="77" t="s">
        <v>131</v>
      </c>
      <c r="BA1699" s="78" t="s">
        <v>131</v>
      </c>
      <c r="BB1699" s="78" t="s">
        <v>131</v>
      </c>
      <c r="BC1699" s="78" t="s">
        <v>132</v>
      </c>
      <c r="BD1699" s="78" t="s">
        <v>131</v>
      </c>
      <c r="BE1699" s="78" t="s">
        <v>131</v>
      </c>
      <c r="BF1699" s="78" t="s">
        <v>131</v>
      </c>
      <c r="BG1699" s="78" t="s">
        <v>131</v>
      </c>
      <c r="BH1699" s="75" t="s">
        <v>5970</v>
      </c>
      <c r="BI1699" s="295" t="s">
        <v>1402</v>
      </c>
      <c r="BJ1699" s="546" t="s">
        <v>16</v>
      </c>
      <c r="BK1699" s="294" t="s">
        <v>16</v>
      </c>
      <c r="BL1699" s="157" t="s">
        <v>16</v>
      </c>
      <c r="BM1699" s="548" t="s">
        <v>2343</v>
      </c>
      <c r="BN1699" s="548" t="s">
        <v>4161</v>
      </c>
      <c r="BO1699" s="157" t="s">
        <v>4700</v>
      </c>
      <c r="BP1699" s="548" t="s">
        <v>4701</v>
      </c>
      <c r="BQ1699" s="157" t="s">
        <v>4289</v>
      </c>
      <c r="BR1699" s="157"/>
    </row>
    <row r="1700" spans="1:70" x14ac:dyDescent="0.25">
      <c r="A1700" s="19" t="s">
        <v>3686</v>
      </c>
      <c r="B1700" s="37" t="s">
        <v>2068</v>
      </c>
      <c r="C1700" s="90">
        <v>44658.675416666665</v>
      </c>
      <c r="D1700" s="114">
        <v>44658.425416666665</v>
      </c>
      <c r="E1700" s="38">
        <v>44658</v>
      </c>
      <c r="F1700" s="91">
        <v>2022</v>
      </c>
      <c r="G1700" s="93">
        <v>4</v>
      </c>
      <c r="H1700" s="37" t="s">
        <v>604</v>
      </c>
      <c r="I1700" s="37"/>
      <c r="J1700" s="103">
        <v>-92.810442075219754</v>
      </c>
      <c r="K1700" s="40">
        <v>44.378986093256977</v>
      </c>
      <c r="L1700" s="74"/>
      <c r="M1700" s="272" t="s">
        <v>16</v>
      </c>
      <c r="N1700" s="74">
        <v>0</v>
      </c>
      <c r="O1700" s="94"/>
      <c r="P1700" s="118">
        <v>0</v>
      </c>
      <c r="Q1700" s="510"/>
      <c r="R1700" s="513"/>
      <c r="S1700" s="41"/>
      <c r="T1700" s="40"/>
      <c r="U1700" s="40"/>
      <c r="V1700" s="119">
        <v>0</v>
      </c>
      <c r="W1700" s="40"/>
      <c r="X1700" s="119">
        <v>0</v>
      </c>
      <c r="Y1700" s="40"/>
      <c r="Z1700" s="119">
        <v>0</v>
      </c>
      <c r="AA1700" s="368" t="s">
        <v>16</v>
      </c>
      <c r="AB1700" s="535" t="s">
        <v>16</v>
      </c>
      <c r="AC1700" s="39" t="s">
        <v>160</v>
      </c>
      <c r="AD1700" s="75" t="s">
        <v>16</v>
      </c>
      <c r="AE1700" s="95">
        <v>-1</v>
      </c>
      <c r="AF1700" s="75">
        <v>-1</v>
      </c>
      <c r="AG1700" s="75">
        <v>-1</v>
      </c>
      <c r="AH1700" s="75">
        <v>-1</v>
      </c>
      <c r="AI1700" s="75">
        <v>-1</v>
      </c>
      <c r="AJ1700" s="75">
        <v>-1</v>
      </c>
      <c r="AK1700" s="75">
        <v>-1</v>
      </c>
      <c r="AL1700" s="95">
        <v>-1</v>
      </c>
      <c r="AM1700" s="92">
        <v>1</v>
      </c>
      <c r="AN1700" s="79"/>
      <c r="AO1700" s="75">
        <v>0</v>
      </c>
      <c r="AP1700" s="75"/>
      <c r="AQ1700" s="122">
        <v>0</v>
      </c>
      <c r="AR1700" s="515" t="s">
        <v>16</v>
      </c>
      <c r="AS1700" s="95">
        <v>-1</v>
      </c>
      <c r="AT1700" s="75">
        <v>-1</v>
      </c>
      <c r="AU1700" s="75">
        <v>-1</v>
      </c>
      <c r="AV1700" s="75">
        <v>-1</v>
      </c>
      <c r="AW1700" s="123">
        <v>1</v>
      </c>
      <c r="AX1700" s="516"/>
      <c r="AY1700" s="75">
        <v>0</v>
      </c>
      <c r="AZ1700" s="77" t="s">
        <v>5971</v>
      </c>
      <c r="BA1700" s="78" t="s">
        <v>5971</v>
      </c>
      <c r="BB1700" s="78" t="s">
        <v>5971</v>
      </c>
      <c r="BC1700" s="78" t="s">
        <v>5971</v>
      </c>
      <c r="BD1700" s="78" t="s">
        <v>5971</v>
      </c>
      <c r="BE1700" s="78" t="s">
        <v>5971</v>
      </c>
      <c r="BF1700" s="78" t="s">
        <v>5971</v>
      </c>
      <c r="BG1700" s="78" t="s">
        <v>5971</v>
      </c>
      <c r="BH1700" s="75" t="s">
        <v>5971</v>
      </c>
      <c r="BI1700" s="295" t="s">
        <v>1402</v>
      </c>
      <c r="BJ1700" s="546" t="s">
        <v>16</v>
      </c>
      <c r="BK1700" s="294" t="s">
        <v>16</v>
      </c>
      <c r="BL1700" s="157" t="s">
        <v>16</v>
      </c>
      <c r="BM1700" s="548" t="s">
        <v>2343</v>
      </c>
      <c r="BN1700" s="548" t="s">
        <v>4161</v>
      </c>
      <c r="BO1700" s="157" t="s">
        <v>4700</v>
      </c>
      <c r="BP1700" s="548" t="s">
        <v>4701</v>
      </c>
      <c r="BQ1700" s="157" t="s">
        <v>4289</v>
      </c>
      <c r="BR1700" s="157"/>
    </row>
    <row r="1701" spans="1:70" x14ac:dyDescent="0.25">
      <c r="A1701" s="19" t="s">
        <v>3686</v>
      </c>
      <c r="B1701" s="37" t="s">
        <v>2069</v>
      </c>
      <c r="C1701" s="90">
        <v>44657.832395833335</v>
      </c>
      <c r="D1701" s="114">
        <v>44657.582395833335</v>
      </c>
      <c r="E1701" s="38">
        <v>44657</v>
      </c>
      <c r="F1701" s="91">
        <v>2022</v>
      </c>
      <c r="G1701" s="93">
        <v>4</v>
      </c>
      <c r="H1701" s="37" t="s">
        <v>461</v>
      </c>
      <c r="I1701" s="37" t="s">
        <v>154</v>
      </c>
      <c r="J1701" s="103">
        <v>-92.146820523722397</v>
      </c>
      <c r="K1701" s="40">
        <v>44.793220857983286</v>
      </c>
      <c r="L1701" s="74"/>
      <c r="M1701" s="272" t="s">
        <v>2070</v>
      </c>
      <c r="N1701" s="74">
        <v>1</v>
      </c>
      <c r="O1701" s="94"/>
      <c r="P1701" s="118">
        <v>1</v>
      </c>
      <c r="Q1701" s="510">
        <v>80</v>
      </c>
      <c r="R1701" s="513">
        <v>120</v>
      </c>
      <c r="S1701" s="41"/>
      <c r="T1701" s="40"/>
      <c r="U1701" s="40">
        <v>6</v>
      </c>
      <c r="V1701" s="119">
        <v>1</v>
      </c>
      <c r="W1701" s="40">
        <v>200</v>
      </c>
      <c r="X1701" s="119">
        <v>1</v>
      </c>
      <c r="Y1701" s="40">
        <v>40</v>
      </c>
      <c r="Z1701" s="119">
        <v>1</v>
      </c>
      <c r="AA1701" s="368">
        <v>0</v>
      </c>
      <c r="AB1701" s="535">
        <v>2</v>
      </c>
      <c r="AC1701" s="39" t="s">
        <v>160</v>
      </c>
      <c r="AD1701" s="75" t="s">
        <v>16</v>
      </c>
      <c r="AE1701" s="95">
        <v>-1</v>
      </c>
      <c r="AF1701" s="75">
        <v>-1</v>
      </c>
      <c r="AG1701" s="75">
        <v>-1</v>
      </c>
      <c r="AH1701" s="75">
        <v>-1</v>
      </c>
      <c r="AI1701" s="75">
        <v>-1</v>
      </c>
      <c r="AJ1701" s="75">
        <v>-1</v>
      </c>
      <c r="AK1701" s="75">
        <v>-1</v>
      </c>
      <c r="AL1701" s="95">
        <v>-1</v>
      </c>
      <c r="AM1701" s="92">
        <v>1</v>
      </c>
      <c r="AN1701" s="79" t="s">
        <v>195</v>
      </c>
      <c r="AO1701" s="75">
        <v>1</v>
      </c>
      <c r="AP1701" s="75" t="s">
        <v>84</v>
      </c>
      <c r="AQ1701" s="122">
        <v>1</v>
      </c>
      <c r="AR1701" s="515" t="s">
        <v>13</v>
      </c>
      <c r="AS1701" s="95">
        <v>1</v>
      </c>
      <c r="AT1701" s="75">
        <v>0</v>
      </c>
      <c r="AU1701" s="75">
        <v>0</v>
      </c>
      <c r="AV1701" s="75">
        <v>0</v>
      </c>
      <c r="AW1701" s="123">
        <v>0</v>
      </c>
      <c r="AX1701" s="516" t="s">
        <v>2071</v>
      </c>
      <c r="AY1701" s="75">
        <v>1</v>
      </c>
      <c r="AZ1701" s="77" t="s">
        <v>5971</v>
      </c>
      <c r="BA1701" s="78" t="s">
        <v>5971</v>
      </c>
      <c r="BB1701" s="78" t="s">
        <v>5971</v>
      </c>
      <c r="BC1701" s="78" t="s">
        <v>5971</v>
      </c>
      <c r="BD1701" s="78" t="s">
        <v>5971</v>
      </c>
      <c r="BE1701" s="78" t="s">
        <v>5971</v>
      </c>
      <c r="BF1701" s="78" t="s">
        <v>5971</v>
      </c>
      <c r="BG1701" s="78" t="s">
        <v>5971</v>
      </c>
      <c r="BH1701" s="75" t="s">
        <v>5971</v>
      </c>
      <c r="BI1701" s="295" t="s">
        <v>2270</v>
      </c>
      <c r="BJ1701" s="546">
        <v>1</v>
      </c>
      <c r="BK1701" s="294">
        <v>1</v>
      </c>
      <c r="BL1701" s="157">
        <v>1</v>
      </c>
      <c r="BM1701" s="548" t="s">
        <v>578</v>
      </c>
      <c r="BN1701" s="548" t="s">
        <v>578</v>
      </c>
      <c r="BO1701" s="157" t="s">
        <v>4317</v>
      </c>
      <c r="BP1701" s="548" t="s">
        <v>2270</v>
      </c>
      <c r="BQ1701" s="157" t="s">
        <v>4316</v>
      </c>
      <c r="BR1701" s="157"/>
    </row>
    <row r="1702" spans="1:70" x14ac:dyDescent="0.25">
      <c r="A1702" s="19" t="s">
        <v>3686</v>
      </c>
      <c r="B1702" s="37" t="s">
        <v>2072</v>
      </c>
      <c r="C1702" s="90">
        <v>44655.784490740742</v>
      </c>
      <c r="D1702" s="114">
        <v>44655.534490740742</v>
      </c>
      <c r="E1702" s="38">
        <v>44655</v>
      </c>
      <c r="F1702" s="91">
        <v>2022</v>
      </c>
      <c r="G1702" s="93">
        <v>4</v>
      </c>
      <c r="H1702" s="37" t="s">
        <v>1401</v>
      </c>
      <c r="I1702" s="37"/>
      <c r="J1702" s="103">
        <v>-92.735883999999999</v>
      </c>
      <c r="K1702" s="40">
        <v>44.533550200000001</v>
      </c>
      <c r="L1702" s="74"/>
      <c r="M1702" s="272" t="s">
        <v>2073</v>
      </c>
      <c r="N1702" s="74">
        <v>1</v>
      </c>
      <c r="O1702" s="94"/>
      <c r="P1702" s="118">
        <v>1</v>
      </c>
      <c r="Q1702" s="510">
        <v>0</v>
      </c>
      <c r="R1702" s="513">
        <v>60</v>
      </c>
      <c r="S1702" s="41"/>
      <c r="T1702" s="40"/>
      <c r="U1702" s="40">
        <v>8</v>
      </c>
      <c r="V1702" s="119">
        <v>1</v>
      </c>
      <c r="W1702" s="40">
        <v>100</v>
      </c>
      <c r="X1702" s="119">
        <v>1</v>
      </c>
      <c r="Y1702" s="40">
        <v>42</v>
      </c>
      <c r="Z1702" s="119">
        <v>1</v>
      </c>
      <c r="AA1702" s="368">
        <v>0</v>
      </c>
      <c r="AB1702" s="535">
        <v>0</v>
      </c>
      <c r="AC1702" s="39" t="s">
        <v>160</v>
      </c>
      <c r="AD1702" s="75" t="s">
        <v>10</v>
      </c>
      <c r="AE1702" s="95">
        <v>0</v>
      </c>
      <c r="AF1702" s="75">
        <v>0</v>
      </c>
      <c r="AG1702" s="75">
        <v>0</v>
      </c>
      <c r="AH1702" s="75">
        <v>0</v>
      </c>
      <c r="AI1702" s="75">
        <v>0</v>
      </c>
      <c r="AJ1702" s="75">
        <v>0</v>
      </c>
      <c r="AK1702" s="75">
        <v>0</v>
      </c>
      <c r="AL1702" s="95">
        <v>1</v>
      </c>
      <c r="AM1702" s="92">
        <v>0</v>
      </c>
      <c r="AN1702" s="79" t="s">
        <v>80</v>
      </c>
      <c r="AO1702" s="75">
        <v>1</v>
      </c>
      <c r="AP1702" s="75" t="s">
        <v>84</v>
      </c>
      <c r="AQ1702" s="122">
        <v>1</v>
      </c>
      <c r="AR1702" s="515" t="s">
        <v>13</v>
      </c>
      <c r="AS1702" s="95">
        <v>1</v>
      </c>
      <c r="AT1702" s="75">
        <v>0</v>
      </c>
      <c r="AU1702" s="75">
        <v>0</v>
      </c>
      <c r="AV1702" s="75">
        <v>0</v>
      </c>
      <c r="AW1702" s="123">
        <v>0</v>
      </c>
      <c r="AX1702" s="516"/>
      <c r="AY1702" s="75">
        <v>0</v>
      </c>
      <c r="AZ1702" s="77" t="s">
        <v>131</v>
      </c>
      <c r="BA1702" s="78" t="s">
        <v>131</v>
      </c>
      <c r="BB1702" s="78" t="s">
        <v>131</v>
      </c>
      <c r="BC1702" s="78" t="s">
        <v>131</v>
      </c>
      <c r="BD1702" s="78" t="s">
        <v>131</v>
      </c>
      <c r="BE1702" s="78" t="s">
        <v>131</v>
      </c>
      <c r="BF1702" s="78" t="s">
        <v>131</v>
      </c>
      <c r="BG1702" s="78" t="s">
        <v>132</v>
      </c>
      <c r="BH1702" s="75" t="s">
        <v>5970</v>
      </c>
      <c r="BI1702" s="295" t="s">
        <v>1402</v>
      </c>
      <c r="BJ1702" s="546" t="s">
        <v>16</v>
      </c>
      <c r="BK1702" s="294" t="s">
        <v>16</v>
      </c>
      <c r="BL1702" s="157" t="s">
        <v>16</v>
      </c>
      <c r="BM1702" s="548" t="s">
        <v>2343</v>
      </c>
      <c r="BN1702" s="548" t="s">
        <v>4161</v>
      </c>
      <c r="BO1702" s="157" t="s">
        <v>4290</v>
      </c>
      <c r="BP1702" s="548" t="s">
        <v>4291</v>
      </c>
      <c r="BQ1702" s="157" t="s">
        <v>4289</v>
      </c>
      <c r="BR1702" s="157"/>
    </row>
    <row r="1703" spans="1:70" x14ac:dyDescent="0.25">
      <c r="A1703" s="19" t="s">
        <v>3686</v>
      </c>
      <c r="B1703" s="37" t="s">
        <v>2074</v>
      </c>
      <c r="C1703" s="90">
        <v>44655.766006944446</v>
      </c>
      <c r="D1703" s="114">
        <v>44655.516006944446</v>
      </c>
      <c r="E1703" s="38">
        <v>44655</v>
      </c>
      <c r="F1703" s="91">
        <v>2022</v>
      </c>
      <c r="G1703" s="93">
        <v>4</v>
      </c>
      <c r="H1703" s="37" t="s">
        <v>618</v>
      </c>
      <c r="I1703" s="37" t="s">
        <v>753</v>
      </c>
      <c r="J1703" s="103">
        <v>-92.802095610777343</v>
      </c>
      <c r="K1703" s="40">
        <v>44.543060275037554</v>
      </c>
      <c r="L1703" s="74"/>
      <c r="M1703" s="272" t="s">
        <v>16</v>
      </c>
      <c r="N1703" s="74">
        <v>0</v>
      </c>
      <c r="O1703" s="94"/>
      <c r="P1703" s="118">
        <v>1</v>
      </c>
      <c r="Q1703" s="510">
        <v>180</v>
      </c>
      <c r="R1703" s="513">
        <v>180</v>
      </c>
      <c r="S1703" s="41"/>
      <c r="T1703" s="40"/>
      <c r="U1703" s="40">
        <v>7</v>
      </c>
      <c r="V1703" s="119">
        <v>1</v>
      </c>
      <c r="W1703" s="40">
        <v>100</v>
      </c>
      <c r="X1703" s="119">
        <v>1</v>
      </c>
      <c r="Y1703" s="40">
        <v>45</v>
      </c>
      <c r="Z1703" s="119">
        <v>1</v>
      </c>
      <c r="AA1703" s="368">
        <v>0</v>
      </c>
      <c r="AB1703" s="535">
        <v>10</v>
      </c>
      <c r="AC1703" s="39"/>
      <c r="AD1703" s="75" t="s">
        <v>16</v>
      </c>
      <c r="AE1703" s="95">
        <v>-1</v>
      </c>
      <c r="AF1703" s="75">
        <v>-1</v>
      </c>
      <c r="AG1703" s="75">
        <v>-1</v>
      </c>
      <c r="AH1703" s="75">
        <v>-1</v>
      </c>
      <c r="AI1703" s="75">
        <v>-1</v>
      </c>
      <c r="AJ1703" s="75">
        <v>-1</v>
      </c>
      <c r="AK1703" s="75">
        <v>-1</v>
      </c>
      <c r="AL1703" s="95">
        <v>-1</v>
      </c>
      <c r="AM1703" s="92">
        <v>1</v>
      </c>
      <c r="AN1703" s="79"/>
      <c r="AO1703" s="75">
        <v>0</v>
      </c>
      <c r="AP1703" s="75"/>
      <c r="AQ1703" s="122">
        <v>0</v>
      </c>
      <c r="AR1703" s="515" t="s">
        <v>16</v>
      </c>
      <c r="AS1703" s="95">
        <v>-1</v>
      </c>
      <c r="AT1703" s="75">
        <v>-1</v>
      </c>
      <c r="AU1703" s="75">
        <v>-1</v>
      </c>
      <c r="AV1703" s="75">
        <v>-1</v>
      </c>
      <c r="AW1703" s="123">
        <v>1</v>
      </c>
      <c r="AX1703" s="516"/>
      <c r="AY1703" s="75">
        <v>0</v>
      </c>
      <c r="AZ1703" s="77" t="s">
        <v>5971</v>
      </c>
      <c r="BA1703" s="78" t="s">
        <v>5971</v>
      </c>
      <c r="BB1703" s="78" t="s">
        <v>5971</v>
      </c>
      <c r="BC1703" s="78" t="s">
        <v>5971</v>
      </c>
      <c r="BD1703" s="78" t="s">
        <v>5971</v>
      </c>
      <c r="BE1703" s="78" t="s">
        <v>5971</v>
      </c>
      <c r="BF1703" s="78" t="s">
        <v>5971</v>
      </c>
      <c r="BG1703" s="78" t="s">
        <v>5971</v>
      </c>
      <c r="BH1703" s="75" t="s">
        <v>5971</v>
      </c>
      <c r="BI1703" s="295" t="s">
        <v>2224</v>
      </c>
      <c r="BJ1703" s="546">
        <v>1</v>
      </c>
      <c r="BK1703" s="294">
        <v>1</v>
      </c>
      <c r="BL1703" s="157">
        <v>1</v>
      </c>
      <c r="BM1703" s="548" t="s">
        <v>2343</v>
      </c>
      <c r="BN1703" s="548" t="s">
        <v>4161</v>
      </c>
      <c r="BO1703" s="157" t="s">
        <v>4510</v>
      </c>
      <c r="BP1703" s="548" t="s">
        <v>753</v>
      </c>
      <c r="BQ1703" s="157" t="s">
        <v>4389</v>
      </c>
      <c r="BR1703" s="157"/>
    </row>
    <row r="1704" spans="1:70" x14ac:dyDescent="0.25">
      <c r="A1704" s="19" t="s">
        <v>3686</v>
      </c>
      <c r="B1704" s="37" t="s">
        <v>2075</v>
      </c>
      <c r="C1704" s="90">
        <v>44654.677453703705</v>
      </c>
      <c r="D1704" s="114">
        <v>44654.427453703705</v>
      </c>
      <c r="E1704" s="38">
        <v>44654</v>
      </c>
      <c r="F1704" s="91">
        <v>2022</v>
      </c>
      <c r="G1704" s="93">
        <v>4</v>
      </c>
      <c r="H1704" s="37" t="s">
        <v>1364</v>
      </c>
      <c r="I1704" s="37" t="s">
        <v>959</v>
      </c>
      <c r="J1704" s="103">
        <v>-92.597055100000006</v>
      </c>
      <c r="K1704" s="40">
        <v>44.472670299999997</v>
      </c>
      <c r="L1704" s="74"/>
      <c r="M1704" s="272" t="s">
        <v>16</v>
      </c>
      <c r="N1704" s="74">
        <v>0</v>
      </c>
      <c r="O1704" s="94"/>
      <c r="P1704" s="118">
        <v>1</v>
      </c>
      <c r="Q1704" s="510">
        <v>40</v>
      </c>
      <c r="R1704" s="513">
        <v>0</v>
      </c>
      <c r="S1704" s="41"/>
      <c r="T1704" s="40"/>
      <c r="U1704" s="40">
        <v>7</v>
      </c>
      <c r="V1704" s="119">
        <v>1</v>
      </c>
      <c r="W1704" s="40">
        <v>100</v>
      </c>
      <c r="X1704" s="119">
        <v>1</v>
      </c>
      <c r="Y1704" s="40">
        <v>44</v>
      </c>
      <c r="Z1704" s="119">
        <v>1</v>
      </c>
      <c r="AA1704" s="368">
        <v>0</v>
      </c>
      <c r="AB1704" s="535">
        <v>5</v>
      </c>
      <c r="AC1704" s="39" t="s">
        <v>160</v>
      </c>
      <c r="AD1704" s="75" t="s">
        <v>10</v>
      </c>
      <c r="AE1704" s="95">
        <v>0</v>
      </c>
      <c r="AF1704" s="75">
        <v>0</v>
      </c>
      <c r="AG1704" s="75">
        <v>0</v>
      </c>
      <c r="AH1704" s="75">
        <v>0</v>
      </c>
      <c r="AI1704" s="75">
        <v>0</v>
      </c>
      <c r="AJ1704" s="75">
        <v>0</v>
      </c>
      <c r="AK1704" s="75">
        <v>0</v>
      </c>
      <c r="AL1704" s="95">
        <v>1</v>
      </c>
      <c r="AM1704" s="92">
        <v>0</v>
      </c>
      <c r="AN1704" s="79" t="s">
        <v>81</v>
      </c>
      <c r="AO1704" s="75">
        <v>1</v>
      </c>
      <c r="AP1704" s="75" t="s">
        <v>83</v>
      </c>
      <c r="AQ1704" s="122">
        <v>1</v>
      </c>
      <c r="AR1704" s="515" t="s">
        <v>10</v>
      </c>
      <c r="AS1704" s="95">
        <v>0</v>
      </c>
      <c r="AT1704" s="75">
        <v>0</v>
      </c>
      <c r="AU1704" s="75">
        <v>0</v>
      </c>
      <c r="AV1704" s="75">
        <v>0</v>
      </c>
      <c r="AW1704" s="123">
        <v>0</v>
      </c>
      <c r="AX1704" s="516"/>
      <c r="AY1704" s="75">
        <v>0</v>
      </c>
      <c r="AZ1704" s="77" t="s">
        <v>131</v>
      </c>
      <c r="BA1704" s="78" t="s">
        <v>131</v>
      </c>
      <c r="BB1704" s="78" t="s">
        <v>131</v>
      </c>
      <c r="BC1704" s="78" t="s">
        <v>131</v>
      </c>
      <c r="BD1704" s="78" t="s">
        <v>131</v>
      </c>
      <c r="BE1704" s="78" t="s">
        <v>131</v>
      </c>
      <c r="BF1704" s="78" t="s">
        <v>131</v>
      </c>
      <c r="BG1704" s="78" t="s">
        <v>132</v>
      </c>
      <c r="BH1704" s="75" t="s">
        <v>5970</v>
      </c>
      <c r="BI1704" s="295" t="s">
        <v>2238</v>
      </c>
      <c r="BJ1704" s="546">
        <v>1</v>
      </c>
      <c r="BK1704" s="294" t="s">
        <v>16</v>
      </c>
      <c r="BL1704" s="157" t="s">
        <v>16</v>
      </c>
      <c r="BM1704" s="548" t="s">
        <v>2343</v>
      </c>
      <c r="BN1704" s="548" t="s">
        <v>4161</v>
      </c>
      <c r="BO1704" s="157" t="s">
        <v>4308</v>
      </c>
      <c r="BP1704" s="548" t="s">
        <v>2238</v>
      </c>
      <c r="BQ1704" s="157" t="s">
        <v>4307</v>
      </c>
      <c r="BR1704" s="157"/>
    </row>
    <row r="1705" spans="1:70" x14ac:dyDescent="0.25">
      <c r="A1705" s="19" t="s">
        <v>3686</v>
      </c>
      <c r="B1705" s="37" t="s">
        <v>2076</v>
      </c>
      <c r="C1705" s="90">
        <v>44653.667303240742</v>
      </c>
      <c r="D1705" s="114">
        <v>44653.417303240742</v>
      </c>
      <c r="E1705" s="38">
        <v>44653</v>
      </c>
      <c r="F1705" s="91">
        <v>2022</v>
      </c>
      <c r="G1705" s="93">
        <v>4</v>
      </c>
      <c r="H1705" s="37" t="s">
        <v>2077</v>
      </c>
      <c r="I1705" s="37"/>
      <c r="J1705" s="103">
        <v>-93.008977799999997</v>
      </c>
      <c r="K1705" s="40">
        <v>44.657282000000002</v>
      </c>
      <c r="L1705" s="74"/>
      <c r="M1705" s="272" t="s">
        <v>16</v>
      </c>
      <c r="N1705" s="74">
        <v>0</v>
      </c>
      <c r="O1705" s="94"/>
      <c r="P1705" s="118">
        <v>1</v>
      </c>
      <c r="Q1705" s="510">
        <v>40</v>
      </c>
      <c r="R1705" s="513">
        <v>0</v>
      </c>
      <c r="S1705" s="41"/>
      <c r="T1705" s="40"/>
      <c r="U1705" s="40">
        <v>7.5</v>
      </c>
      <c r="V1705" s="119">
        <v>1</v>
      </c>
      <c r="W1705" s="40">
        <v>0</v>
      </c>
      <c r="X1705" s="119">
        <v>0</v>
      </c>
      <c r="Y1705" s="40"/>
      <c r="Z1705" s="119">
        <v>1</v>
      </c>
      <c r="AA1705" s="368">
        <v>0</v>
      </c>
      <c r="AB1705" s="535">
        <v>5</v>
      </c>
      <c r="AC1705" s="39" t="s">
        <v>160</v>
      </c>
      <c r="AD1705" s="75" t="s">
        <v>16</v>
      </c>
      <c r="AE1705" s="95">
        <v>-1</v>
      </c>
      <c r="AF1705" s="75">
        <v>-1</v>
      </c>
      <c r="AG1705" s="75">
        <v>-1</v>
      </c>
      <c r="AH1705" s="75">
        <v>-1</v>
      </c>
      <c r="AI1705" s="75">
        <v>-1</v>
      </c>
      <c r="AJ1705" s="75">
        <v>-1</v>
      </c>
      <c r="AK1705" s="75">
        <v>-1</v>
      </c>
      <c r="AL1705" s="95">
        <v>-1</v>
      </c>
      <c r="AM1705" s="92">
        <v>1</v>
      </c>
      <c r="AN1705" s="79"/>
      <c r="AO1705" s="75">
        <v>0</v>
      </c>
      <c r="AP1705" s="75"/>
      <c r="AQ1705" s="122">
        <v>0</v>
      </c>
      <c r="AR1705" s="515" t="s">
        <v>16</v>
      </c>
      <c r="AS1705" s="95">
        <v>-1</v>
      </c>
      <c r="AT1705" s="75">
        <v>-1</v>
      </c>
      <c r="AU1705" s="75">
        <v>-1</v>
      </c>
      <c r="AV1705" s="75">
        <v>-1</v>
      </c>
      <c r="AW1705" s="123">
        <v>1</v>
      </c>
      <c r="AX1705" s="516"/>
      <c r="AY1705" s="75">
        <v>0</v>
      </c>
      <c r="AZ1705" s="77" t="s">
        <v>5971</v>
      </c>
      <c r="BA1705" s="78" t="s">
        <v>5971</v>
      </c>
      <c r="BB1705" s="78" t="s">
        <v>5971</v>
      </c>
      <c r="BC1705" s="78" t="s">
        <v>5971</v>
      </c>
      <c r="BD1705" s="78" t="s">
        <v>5971</v>
      </c>
      <c r="BE1705" s="78" t="s">
        <v>5971</v>
      </c>
      <c r="BF1705" s="78" t="s">
        <v>5971</v>
      </c>
      <c r="BG1705" s="78" t="s">
        <v>5971</v>
      </c>
      <c r="BH1705" s="75" t="s">
        <v>5971</v>
      </c>
      <c r="BI1705" s="295" t="s">
        <v>2225</v>
      </c>
      <c r="BJ1705" s="546">
        <v>1</v>
      </c>
      <c r="BK1705" s="294" t="s">
        <v>16</v>
      </c>
      <c r="BL1705" s="157" t="s">
        <v>16</v>
      </c>
      <c r="BM1705" s="548" t="s">
        <v>2343</v>
      </c>
      <c r="BN1705" s="548" t="s">
        <v>4161</v>
      </c>
      <c r="BO1705" s="157" t="s">
        <v>4293</v>
      </c>
      <c r="BP1705" s="548" t="s">
        <v>2225</v>
      </c>
      <c r="BQ1705" s="157" t="s">
        <v>4292</v>
      </c>
      <c r="BR1705" s="157"/>
    </row>
    <row r="1706" spans="1:70" x14ac:dyDescent="0.25">
      <c r="A1706" s="19" t="s">
        <v>3686</v>
      </c>
      <c r="B1706" s="37" t="s">
        <v>2078</v>
      </c>
      <c r="C1706" s="90">
        <v>44653.666273148148</v>
      </c>
      <c r="D1706" s="114">
        <v>44653.416273148148</v>
      </c>
      <c r="E1706" s="38">
        <v>44653</v>
      </c>
      <c r="F1706" s="91">
        <v>2022</v>
      </c>
      <c r="G1706" s="93">
        <v>4</v>
      </c>
      <c r="H1706" s="37" t="s">
        <v>1613</v>
      </c>
      <c r="I1706" s="37" t="s">
        <v>960</v>
      </c>
      <c r="J1706" s="103">
        <v>-93.008962645499494</v>
      </c>
      <c r="K1706" s="40">
        <v>44.657211843801306</v>
      </c>
      <c r="L1706" s="74"/>
      <c r="M1706" s="272" t="s">
        <v>2079</v>
      </c>
      <c r="N1706" s="74">
        <v>1</v>
      </c>
      <c r="O1706" s="94"/>
      <c r="P1706" s="118">
        <v>1</v>
      </c>
      <c r="Q1706" s="510">
        <v>80</v>
      </c>
      <c r="R1706" s="513">
        <v>180</v>
      </c>
      <c r="S1706" s="41"/>
      <c r="T1706" s="40"/>
      <c r="U1706" s="40">
        <v>7</v>
      </c>
      <c r="V1706" s="119">
        <v>1</v>
      </c>
      <c r="W1706" s="40">
        <v>0</v>
      </c>
      <c r="X1706" s="119">
        <v>1</v>
      </c>
      <c r="Y1706" s="40">
        <v>43</v>
      </c>
      <c r="Z1706" s="119">
        <v>1</v>
      </c>
      <c r="AA1706" s="368">
        <v>0</v>
      </c>
      <c r="AB1706" s="535">
        <v>5</v>
      </c>
      <c r="AC1706" s="39" t="s">
        <v>160</v>
      </c>
      <c r="AD1706" s="75" t="s">
        <v>10</v>
      </c>
      <c r="AE1706" s="95">
        <v>0</v>
      </c>
      <c r="AF1706" s="75">
        <v>0</v>
      </c>
      <c r="AG1706" s="75">
        <v>0</v>
      </c>
      <c r="AH1706" s="75">
        <v>0</v>
      </c>
      <c r="AI1706" s="75">
        <v>0</v>
      </c>
      <c r="AJ1706" s="75">
        <v>0</v>
      </c>
      <c r="AK1706" s="75">
        <v>0</v>
      </c>
      <c r="AL1706" s="95">
        <v>1</v>
      </c>
      <c r="AM1706" s="92">
        <v>0</v>
      </c>
      <c r="AN1706" s="79" t="s">
        <v>81</v>
      </c>
      <c r="AO1706" s="75">
        <v>1</v>
      </c>
      <c r="AP1706" s="75" t="s">
        <v>83</v>
      </c>
      <c r="AQ1706" s="122">
        <v>1</v>
      </c>
      <c r="AR1706" s="515" t="s">
        <v>10</v>
      </c>
      <c r="AS1706" s="95">
        <v>0</v>
      </c>
      <c r="AT1706" s="75">
        <v>0</v>
      </c>
      <c r="AU1706" s="75">
        <v>0</v>
      </c>
      <c r="AV1706" s="75">
        <v>0</v>
      </c>
      <c r="AW1706" s="123">
        <v>0</v>
      </c>
      <c r="AX1706" s="516"/>
      <c r="AY1706" s="75">
        <v>0</v>
      </c>
      <c r="AZ1706" s="77" t="s">
        <v>131</v>
      </c>
      <c r="BA1706" s="78" t="s">
        <v>131</v>
      </c>
      <c r="BB1706" s="78" t="s">
        <v>131</v>
      </c>
      <c r="BC1706" s="78" t="s">
        <v>131</v>
      </c>
      <c r="BD1706" s="78" t="s">
        <v>131</v>
      </c>
      <c r="BE1706" s="78" t="s">
        <v>131</v>
      </c>
      <c r="BF1706" s="78" t="s">
        <v>131</v>
      </c>
      <c r="BG1706" s="78" t="s">
        <v>132</v>
      </c>
      <c r="BH1706" s="75" t="s">
        <v>5970</v>
      </c>
      <c r="BI1706" s="295" t="s">
        <v>2225</v>
      </c>
      <c r="BJ1706" s="546">
        <v>1</v>
      </c>
      <c r="BK1706" s="294" t="s">
        <v>16</v>
      </c>
      <c r="BL1706" s="157" t="s">
        <v>16</v>
      </c>
      <c r="BM1706" s="548" t="s">
        <v>2343</v>
      </c>
      <c r="BN1706" s="548" t="s">
        <v>4161</v>
      </c>
      <c r="BO1706" s="157" t="s">
        <v>4293</v>
      </c>
      <c r="BP1706" s="548" t="s">
        <v>2225</v>
      </c>
      <c r="BQ1706" s="157" t="s">
        <v>4292</v>
      </c>
      <c r="BR1706" s="157"/>
    </row>
    <row r="1707" spans="1:70" x14ac:dyDescent="0.25">
      <c r="A1707" s="19" t="s">
        <v>3686</v>
      </c>
      <c r="B1707" s="37" t="s">
        <v>2080</v>
      </c>
      <c r="C1707" s="90">
        <v>44653.663414351853</v>
      </c>
      <c r="D1707" s="114">
        <v>44653.413414351853</v>
      </c>
      <c r="E1707" s="38">
        <v>44653</v>
      </c>
      <c r="F1707" s="91">
        <v>2022</v>
      </c>
      <c r="G1707" s="93">
        <v>4</v>
      </c>
      <c r="H1707" s="37" t="s">
        <v>2029</v>
      </c>
      <c r="I1707" s="37" t="s">
        <v>960</v>
      </c>
      <c r="J1707" s="103">
        <v>-93.0090395919174</v>
      </c>
      <c r="K1707" s="40">
        <v>44.657246256703623</v>
      </c>
      <c r="L1707" s="74"/>
      <c r="M1707" s="272" t="s">
        <v>2081</v>
      </c>
      <c r="N1707" s="74">
        <v>1</v>
      </c>
      <c r="O1707" s="94"/>
      <c r="P1707" s="118">
        <v>1</v>
      </c>
      <c r="Q1707" s="510">
        <v>80</v>
      </c>
      <c r="R1707" s="513">
        <v>120</v>
      </c>
      <c r="S1707" s="41"/>
      <c r="T1707" s="40"/>
      <c r="U1707" s="40">
        <v>7</v>
      </c>
      <c r="V1707" s="119">
        <v>1</v>
      </c>
      <c r="W1707" s="40">
        <v>0</v>
      </c>
      <c r="X1707" s="119">
        <v>1</v>
      </c>
      <c r="Y1707" s="40">
        <v>43</v>
      </c>
      <c r="Z1707" s="119">
        <v>1</v>
      </c>
      <c r="AA1707" s="368">
        <v>0</v>
      </c>
      <c r="AB1707" s="535">
        <v>2</v>
      </c>
      <c r="AC1707" s="39" t="s">
        <v>160</v>
      </c>
      <c r="AD1707" s="75" t="s">
        <v>10</v>
      </c>
      <c r="AE1707" s="95">
        <v>0</v>
      </c>
      <c r="AF1707" s="75">
        <v>0</v>
      </c>
      <c r="AG1707" s="75">
        <v>0</v>
      </c>
      <c r="AH1707" s="75">
        <v>0</v>
      </c>
      <c r="AI1707" s="75">
        <v>0</v>
      </c>
      <c r="AJ1707" s="75">
        <v>0</v>
      </c>
      <c r="AK1707" s="75">
        <v>0</v>
      </c>
      <c r="AL1707" s="95">
        <v>1</v>
      </c>
      <c r="AM1707" s="92">
        <v>0</v>
      </c>
      <c r="AN1707" s="79" t="s">
        <v>81</v>
      </c>
      <c r="AO1707" s="75">
        <v>1</v>
      </c>
      <c r="AP1707" s="75" t="s">
        <v>83</v>
      </c>
      <c r="AQ1707" s="122">
        <v>1</v>
      </c>
      <c r="AR1707" s="515" t="s">
        <v>10</v>
      </c>
      <c r="AS1707" s="95">
        <v>0</v>
      </c>
      <c r="AT1707" s="75">
        <v>0</v>
      </c>
      <c r="AU1707" s="75">
        <v>0</v>
      </c>
      <c r="AV1707" s="75">
        <v>0</v>
      </c>
      <c r="AW1707" s="123">
        <v>0</v>
      </c>
      <c r="AX1707" s="516"/>
      <c r="AY1707" s="75">
        <v>0</v>
      </c>
      <c r="AZ1707" s="77" t="s">
        <v>131</v>
      </c>
      <c r="BA1707" s="78" t="s">
        <v>131</v>
      </c>
      <c r="BB1707" s="78" t="s">
        <v>131</v>
      </c>
      <c r="BC1707" s="78" t="s">
        <v>131</v>
      </c>
      <c r="BD1707" s="78" t="s">
        <v>131</v>
      </c>
      <c r="BE1707" s="78" t="s">
        <v>131</v>
      </c>
      <c r="BF1707" s="78" t="s">
        <v>131</v>
      </c>
      <c r="BG1707" s="78" t="s">
        <v>132</v>
      </c>
      <c r="BH1707" s="75" t="s">
        <v>5970</v>
      </c>
      <c r="BI1707" s="295" t="s">
        <v>2225</v>
      </c>
      <c r="BJ1707" s="546">
        <v>1</v>
      </c>
      <c r="BK1707" s="294" t="s">
        <v>16</v>
      </c>
      <c r="BL1707" s="157" t="s">
        <v>16</v>
      </c>
      <c r="BM1707" s="548" t="s">
        <v>2343</v>
      </c>
      <c r="BN1707" s="548" t="s">
        <v>2341</v>
      </c>
      <c r="BO1707" s="157" t="s">
        <v>4293</v>
      </c>
      <c r="BP1707" s="548" t="s">
        <v>2225</v>
      </c>
      <c r="BQ1707" s="157" t="s">
        <v>4292</v>
      </c>
      <c r="BR1707" s="157"/>
    </row>
    <row r="1708" spans="1:70" x14ac:dyDescent="0.25">
      <c r="A1708" s="19" t="s">
        <v>3686</v>
      </c>
      <c r="B1708" s="37" t="s">
        <v>2082</v>
      </c>
      <c r="C1708" s="90">
        <v>44653.66128472222</v>
      </c>
      <c r="D1708" s="114">
        <v>44653.41128472222</v>
      </c>
      <c r="E1708" s="38">
        <v>44653</v>
      </c>
      <c r="F1708" s="91">
        <v>2022</v>
      </c>
      <c r="G1708" s="93">
        <v>4</v>
      </c>
      <c r="H1708" s="37" t="s">
        <v>1391</v>
      </c>
      <c r="I1708" s="37"/>
      <c r="J1708" s="103">
        <v>-93.008906766858885</v>
      </c>
      <c r="K1708" s="40">
        <v>44.657247006003423</v>
      </c>
      <c r="L1708" s="74"/>
      <c r="M1708" s="272" t="s">
        <v>16</v>
      </c>
      <c r="N1708" s="74">
        <v>0</v>
      </c>
      <c r="O1708" s="94"/>
      <c r="P1708" s="118">
        <v>0</v>
      </c>
      <c r="Q1708" s="510"/>
      <c r="R1708" s="513"/>
      <c r="S1708" s="41"/>
      <c r="T1708" s="40"/>
      <c r="U1708" s="40"/>
      <c r="V1708" s="119">
        <v>1</v>
      </c>
      <c r="W1708" s="40">
        <v>0</v>
      </c>
      <c r="X1708" s="119">
        <v>1</v>
      </c>
      <c r="Y1708" s="40">
        <v>45</v>
      </c>
      <c r="Z1708" s="119">
        <v>1</v>
      </c>
      <c r="AA1708" s="368">
        <v>0</v>
      </c>
      <c r="AB1708" s="535">
        <v>5</v>
      </c>
      <c r="AC1708" s="39" t="s">
        <v>160</v>
      </c>
      <c r="AD1708" s="75" t="s">
        <v>16</v>
      </c>
      <c r="AE1708" s="95">
        <v>-1</v>
      </c>
      <c r="AF1708" s="75">
        <v>-1</v>
      </c>
      <c r="AG1708" s="75">
        <v>-1</v>
      </c>
      <c r="AH1708" s="75">
        <v>-1</v>
      </c>
      <c r="AI1708" s="75">
        <v>-1</v>
      </c>
      <c r="AJ1708" s="75">
        <v>-1</v>
      </c>
      <c r="AK1708" s="75">
        <v>-1</v>
      </c>
      <c r="AL1708" s="95">
        <v>-1</v>
      </c>
      <c r="AM1708" s="92">
        <v>1</v>
      </c>
      <c r="AN1708" s="79"/>
      <c r="AO1708" s="75">
        <v>0</v>
      </c>
      <c r="AP1708" s="75"/>
      <c r="AQ1708" s="122">
        <v>0</v>
      </c>
      <c r="AR1708" s="515" t="s">
        <v>16</v>
      </c>
      <c r="AS1708" s="95">
        <v>-1</v>
      </c>
      <c r="AT1708" s="75">
        <v>-1</v>
      </c>
      <c r="AU1708" s="75">
        <v>-1</v>
      </c>
      <c r="AV1708" s="75">
        <v>-1</v>
      </c>
      <c r="AW1708" s="123">
        <v>1</v>
      </c>
      <c r="AX1708" s="516"/>
      <c r="AY1708" s="75">
        <v>0</v>
      </c>
      <c r="AZ1708" s="77" t="s">
        <v>5971</v>
      </c>
      <c r="BA1708" s="78" t="s">
        <v>5971</v>
      </c>
      <c r="BB1708" s="78" t="s">
        <v>5971</v>
      </c>
      <c r="BC1708" s="78" t="s">
        <v>5971</v>
      </c>
      <c r="BD1708" s="78" t="s">
        <v>5971</v>
      </c>
      <c r="BE1708" s="78" t="s">
        <v>5971</v>
      </c>
      <c r="BF1708" s="78" t="s">
        <v>5971</v>
      </c>
      <c r="BG1708" s="78" t="s">
        <v>5971</v>
      </c>
      <c r="BH1708" s="75" t="s">
        <v>5971</v>
      </c>
      <c r="BI1708" s="295" t="s">
        <v>2225</v>
      </c>
      <c r="BJ1708" s="546">
        <v>1</v>
      </c>
      <c r="BK1708" s="294" t="s">
        <v>16</v>
      </c>
      <c r="BL1708" s="157" t="s">
        <v>16</v>
      </c>
      <c r="BM1708" s="548" t="s">
        <v>2343</v>
      </c>
      <c r="BN1708" s="548" t="s">
        <v>4161</v>
      </c>
      <c r="BO1708" s="157" t="s">
        <v>4293</v>
      </c>
      <c r="BP1708" s="548" t="s">
        <v>2225</v>
      </c>
      <c r="BQ1708" s="157" t="s">
        <v>4292</v>
      </c>
      <c r="BR1708" s="157"/>
    </row>
    <row r="1709" spans="1:70" x14ac:dyDescent="0.25">
      <c r="A1709" s="19" t="s">
        <v>3686</v>
      </c>
      <c r="B1709" s="37" t="s">
        <v>2083</v>
      </c>
      <c r="C1709" s="90">
        <v>44653.654722222222</v>
      </c>
      <c r="D1709" s="114">
        <v>44653.404722222222</v>
      </c>
      <c r="E1709" s="38">
        <v>44653</v>
      </c>
      <c r="F1709" s="91">
        <v>2022</v>
      </c>
      <c r="G1709" s="93">
        <v>4</v>
      </c>
      <c r="H1709" s="37" t="s">
        <v>604</v>
      </c>
      <c r="I1709" s="37"/>
      <c r="J1709" s="103">
        <v>-93.008986814034159</v>
      </c>
      <c r="K1709" s="40">
        <v>44.657305385959013</v>
      </c>
      <c r="L1709" s="74"/>
      <c r="M1709" s="272" t="s">
        <v>16</v>
      </c>
      <c r="N1709" s="74">
        <v>0</v>
      </c>
      <c r="O1709" s="94"/>
      <c r="P1709" s="118">
        <v>0</v>
      </c>
      <c r="Q1709" s="510"/>
      <c r="R1709" s="513"/>
      <c r="S1709" s="41"/>
      <c r="T1709" s="40"/>
      <c r="U1709" s="40"/>
      <c r="V1709" s="119">
        <v>1</v>
      </c>
      <c r="W1709" s="40">
        <v>0</v>
      </c>
      <c r="X1709" s="119">
        <v>0</v>
      </c>
      <c r="Y1709" s="40"/>
      <c r="Z1709" s="119">
        <v>1</v>
      </c>
      <c r="AA1709" s="368">
        <v>0</v>
      </c>
      <c r="AB1709" s="535">
        <v>10</v>
      </c>
      <c r="AC1709" s="39" t="s">
        <v>160</v>
      </c>
      <c r="AD1709" s="75" t="s">
        <v>10</v>
      </c>
      <c r="AE1709" s="95">
        <v>0</v>
      </c>
      <c r="AF1709" s="75">
        <v>0</v>
      </c>
      <c r="AG1709" s="75">
        <v>0</v>
      </c>
      <c r="AH1709" s="75">
        <v>0</v>
      </c>
      <c r="AI1709" s="75">
        <v>0</v>
      </c>
      <c r="AJ1709" s="75">
        <v>0</v>
      </c>
      <c r="AK1709" s="75">
        <v>0</v>
      </c>
      <c r="AL1709" s="95">
        <v>1</v>
      </c>
      <c r="AM1709" s="92">
        <v>0</v>
      </c>
      <c r="AN1709" s="79" t="s">
        <v>81</v>
      </c>
      <c r="AO1709" s="75">
        <v>1</v>
      </c>
      <c r="AP1709" s="75" t="s">
        <v>83</v>
      </c>
      <c r="AQ1709" s="122">
        <v>1</v>
      </c>
      <c r="AR1709" s="515" t="s">
        <v>10</v>
      </c>
      <c r="AS1709" s="95">
        <v>0</v>
      </c>
      <c r="AT1709" s="75">
        <v>0</v>
      </c>
      <c r="AU1709" s="75">
        <v>0</v>
      </c>
      <c r="AV1709" s="75">
        <v>0</v>
      </c>
      <c r="AW1709" s="123">
        <v>0</v>
      </c>
      <c r="AX1709" s="516"/>
      <c r="AY1709" s="75">
        <v>0</v>
      </c>
      <c r="AZ1709" s="77" t="s">
        <v>131</v>
      </c>
      <c r="BA1709" s="78" t="s">
        <v>131</v>
      </c>
      <c r="BB1709" s="78" t="s">
        <v>131</v>
      </c>
      <c r="BC1709" s="78" t="s">
        <v>131</v>
      </c>
      <c r="BD1709" s="78" t="s">
        <v>131</v>
      </c>
      <c r="BE1709" s="78" t="s">
        <v>131</v>
      </c>
      <c r="BF1709" s="78" t="s">
        <v>131</v>
      </c>
      <c r="BG1709" s="78" t="s">
        <v>132</v>
      </c>
      <c r="BH1709" s="75" t="s">
        <v>5970</v>
      </c>
      <c r="BI1709" s="295" t="s">
        <v>2225</v>
      </c>
      <c r="BJ1709" s="546">
        <v>1</v>
      </c>
      <c r="BK1709" s="294" t="s">
        <v>16</v>
      </c>
      <c r="BL1709" s="157" t="s">
        <v>16</v>
      </c>
      <c r="BM1709" s="548" t="s">
        <v>2343</v>
      </c>
      <c r="BN1709" s="548" t="s">
        <v>4161</v>
      </c>
      <c r="BO1709" s="157" t="s">
        <v>4293</v>
      </c>
      <c r="BP1709" s="548" t="s">
        <v>2225</v>
      </c>
      <c r="BQ1709" s="157" t="s">
        <v>4292</v>
      </c>
      <c r="BR1709" s="157"/>
    </row>
    <row r="1710" spans="1:70" x14ac:dyDescent="0.25">
      <c r="A1710" s="19" t="s">
        <v>3686</v>
      </c>
      <c r="B1710" s="37" t="s">
        <v>2084</v>
      </c>
      <c r="C1710" s="90">
        <v>44653.653946759259</v>
      </c>
      <c r="D1710" s="114">
        <v>44653.403946759259</v>
      </c>
      <c r="E1710" s="38">
        <v>44653</v>
      </c>
      <c r="F1710" s="91">
        <v>2022</v>
      </c>
      <c r="G1710" s="93">
        <v>4</v>
      </c>
      <c r="H1710" s="37" t="s">
        <v>1391</v>
      </c>
      <c r="I1710" s="37" t="s">
        <v>960</v>
      </c>
      <c r="J1710" s="103">
        <v>-93.008914226752722</v>
      </c>
      <c r="K1710" s="40">
        <v>44.657281497534974</v>
      </c>
      <c r="L1710" s="74"/>
      <c r="M1710" s="272" t="s">
        <v>16</v>
      </c>
      <c r="N1710" s="74">
        <v>0</v>
      </c>
      <c r="O1710" s="94"/>
      <c r="P1710" s="118">
        <v>0</v>
      </c>
      <c r="Q1710" s="510"/>
      <c r="R1710" s="513"/>
      <c r="S1710" s="41"/>
      <c r="T1710" s="40"/>
      <c r="U1710" s="40"/>
      <c r="V1710" s="119">
        <v>0</v>
      </c>
      <c r="W1710" s="40"/>
      <c r="X1710" s="119">
        <v>0</v>
      </c>
      <c r="Y1710" s="40"/>
      <c r="Z1710" s="119">
        <v>0</v>
      </c>
      <c r="AA1710" s="368" t="s">
        <v>16</v>
      </c>
      <c r="AB1710" s="535" t="s">
        <v>16</v>
      </c>
      <c r="AC1710" s="39"/>
      <c r="AD1710" s="75" t="s">
        <v>10</v>
      </c>
      <c r="AE1710" s="95">
        <v>0</v>
      </c>
      <c r="AF1710" s="75">
        <v>0</v>
      </c>
      <c r="AG1710" s="75">
        <v>0</v>
      </c>
      <c r="AH1710" s="75">
        <v>0</v>
      </c>
      <c r="AI1710" s="75">
        <v>0</v>
      </c>
      <c r="AJ1710" s="75">
        <v>0</v>
      </c>
      <c r="AK1710" s="75">
        <v>0</v>
      </c>
      <c r="AL1710" s="95">
        <v>1</v>
      </c>
      <c r="AM1710" s="92">
        <v>0</v>
      </c>
      <c r="AN1710" s="79" t="s">
        <v>81</v>
      </c>
      <c r="AO1710" s="75">
        <v>1</v>
      </c>
      <c r="AP1710" s="75" t="s">
        <v>83</v>
      </c>
      <c r="AQ1710" s="122">
        <v>1</v>
      </c>
      <c r="AR1710" s="515" t="s">
        <v>10</v>
      </c>
      <c r="AS1710" s="95">
        <v>0</v>
      </c>
      <c r="AT1710" s="75">
        <v>0</v>
      </c>
      <c r="AU1710" s="75">
        <v>0</v>
      </c>
      <c r="AV1710" s="75">
        <v>0</v>
      </c>
      <c r="AW1710" s="123">
        <v>0</v>
      </c>
      <c r="AX1710" s="516"/>
      <c r="AY1710" s="75">
        <v>0</v>
      </c>
      <c r="AZ1710" s="77" t="s">
        <v>131</v>
      </c>
      <c r="BA1710" s="78" t="s">
        <v>131</v>
      </c>
      <c r="BB1710" s="78" t="s">
        <v>131</v>
      </c>
      <c r="BC1710" s="78" t="s">
        <v>131</v>
      </c>
      <c r="BD1710" s="78" t="s">
        <v>131</v>
      </c>
      <c r="BE1710" s="78" t="s">
        <v>131</v>
      </c>
      <c r="BF1710" s="78" t="s">
        <v>131</v>
      </c>
      <c r="BG1710" s="78" t="s">
        <v>132</v>
      </c>
      <c r="BH1710" s="75" t="s">
        <v>5970</v>
      </c>
      <c r="BI1710" s="295" t="s">
        <v>2225</v>
      </c>
      <c r="BJ1710" s="546">
        <v>1</v>
      </c>
      <c r="BK1710" s="294" t="s">
        <v>16</v>
      </c>
      <c r="BL1710" s="157" t="s">
        <v>16</v>
      </c>
      <c r="BM1710" s="548" t="s">
        <v>2343</v>
      </c>
      <c r="BN1710" s="548" t="s">
        <v>4161</v>
      </c>
      <c r="BO1710" s="157" t="s">
        <v>4293</v>
      </c>
      <c r="BP1710" s="548" t="s">
        <v>2225</v>
      </c>
      <c r="BQ1710" s="157" t="s">
        <v>4292</v>
      </c>
      <c r="BR1710" s="157"/>
    </row>
    <row r="1711" spans="1:70" x14ac:dyDescent="0.25">
      <c r="A1711" s="19" t="s">
        <v>3686</v>
      </c>
      <c r="B1711" s="37" t="s">
        <v>2085</v>
      </c>
      <c r="C1711" s="90">
        <v>44653.651018518518</v>
      </c>
      <c r="D1711" s="114">
        <v>44653.401018518518</v>
      </c>
      <c r="E1711" s="38">
        <v>44653</v>
      </c>
      <c r="F1711" s="91">
        <v>2022</v>
      </c>
      <c r="G1711" s="93">
        <v>4</v>
      </c>
      <c r="H1711" s="37" t="s">
        <v>1391</v>
      </c>
      <c r="I1711" s="37"/>
      <c r="J1711" s="103">
        <v>-93.008983293634842</v>
      </c>
      <c r="K1711" s="40">
        <v>44.657248347107931</v>
      </c>
      <c r="L1711" s="74"/>
      <c r="M1711" s="272" t="s">
        <v>16</v>
      </c>
      <c r="N1711" s="74">
        <v>0</v>
      </c>
      <c r="O1711" s="94"/>
      <c r="P1711" s="118">
        <v>0</v>
      </c>
      <c r="Q1711" s="510"/>
      <c r="R1711" s="513"/>
      <c r="S1711" s="41"/>
      <c r="T1711" s="40"/>
      <c r="U1711" s="40"/>
      <c r="V1711" s="119">
        <v>0</v>
      </c>
      <c r="W1711" s="40"/>
      <c r="X1711" s="119">
        <v>1</v>
      </c>
      <c r="Y1711" s="40">
        <v>44</v>
      </c>
      <c r="Z1711" s="119">
        <v>0</v>
      </c>
      <c r="AA1711" s="368" t="s">
        <v>16</v>
      </c>
      <c r="AB1711" s="535" t="s">
        <v>16</v>
      </c>
      <c r="AC1711" s="39"/>
      <c r="AD1711" s="75" t="s">
        <v>16</v>
      </c>
      <c r="AE1711" s="95">
        <v>-1</v>
      </c>
      <c r="AF1711" s="75">
        <v>-1</v>
      </c>
      <c r="AG1711" s="75">
        <v>-1</v>
      </c>
      <c r="AH1711" s="75">
        <v>-1</v>
      </c>
      <c r="AI1711" s="75">
        <v>-1</v>
      </c>
      <c r="AJ1711" s="75">
        <v>-1</v>
      </c>
      <c r="AK1711" s="75">
        <v>-1</v>
      </c>
      <c r="AL1711" s="95">
        <v>-1</v>
      </c>
      <c r="AM1711" s="92">
        <v>1</v>
      </c>
      <c r="AN1711" s="79"/>
      <c r="AO1711" s="75">
        <v>0</v>
      </c>
      <c r="AP1711" s="75"/>
      <c r="AQ1711" s="122">
        <v>0</v>
      </c>
      <c r="AR1711" s="515" t="s">
        <v>16</v>
      </c>
      <c r="AS1711" s="95">
        <v>-1</v>
      </c>
      <c r="AT1711" s="75">
        <v>-1</v>
      </c>
      <c r="AU1711" s="75">
        <v>-1</v>
      </c>
      <c r="AV1711" s="75">
        <v>-1</v>
      </c>
      <c r="AW1711" s="123">
        <v>1</v>
      </c>
      <c r="AX1711" s="516"/>
      <c r="AY1711" s="75">
        <v>0</v>
      </c>
      <c r="AZ1711" s="77" t="s">
        <v>5971</v>
      </c>
      <c r="BA1711" s="78" t="s">
        <v>5971</v>
      </c>
      <c r="BB1711" s="78" t="s">
        <v>5971</v>
      </c>
      <c r="BC1711" s="78" t="s">
        <v>5971</v>
      </c>
      <c r="BD1711" s="78" t="s">
        <v>5971</v>
      </c>
      <c r="BE1711" s="78" t="s">
        <v>5971</v>
      </c>
      <c r="BF1711" s="78" t="s">
        <v>5971</v>
      </c>
      <c r="BG1711" s="78" t="s">
        <v>5971</v>
      </c>
      <c r="BH1711" s="75" t="s">
        <v>5971</v>
      </c>
      <c r="BI1711" s="295" t="s">
        <v>2225</v>
      </c>
      <c r="BJ1711" s="546">
        <v>1</v>
      </c>
      <c r="BK1711" s="294" t="s">
        <v>16</v>
      </c>
      <c r="BL1711" s="157" t="s">
        <v>16</v>
      </c>
      <c r="BM1711" s="548" t="s">
        <v>2343</v>
      </c>
      <c r="BN1711" s="548" t="s">
        <v>4161</v>
      </c>
      <c r="BO1711" s="157" t="s">
        <v>4293</v>
      </c>
      <c r="BP1711" s="548" t="s">
        <v>2225</v>
      </c>
      <c r="BQ1711" s="157" t="s">
        <v>4292</v>
      </c>
      <c r="BR1711" s="157"/>
    </row>
    <row r="1712" spans="1:70" x14ac:dyDescent="0.25">
      <c r="A1712" s="19" t="s">
        <v>3686</v>
      </c>
      <c r="B1712" s="37" t="s">
        <v>2086</v>
      </c>
      <c r="C1712" s="90">
        <v>44653.650729166664</v>
      </c>
      <c r="D1712" s="114">
        <v>44653.400729166664</v>
      </c>
      <c r="E1712" s="38">
        <v>44653</v>
      </c>
      <c r="F1712" s="91">
        <v>2022</v>
      </c>
      <c r="G1712" s="93">
        <v>4</v>
      </c>
      <c r="H1712" s="37" t="s">
        <v>2029</v>
      </c>
      <c r="I1712" s="37" t="s">
        <v>16</v>
      </c>
      <c r="J1712" s="103">
        <v>-93.008973235351036</v>
      </c>
      <c r="K1712" s="40">
        <v>44.657266493928546</v>
      </c>
      <c r="L1712" s="74"/>
      <c r="M1712" s="272" t="s">
        <v>2087</v>
      </c>
      <c r="N1712" s="74">
        <v>1</v>
      </c>
      <c r="O1712" s="94"/>
      <c r="P1712" s="118">
        <v>0</v>
      </c>
      <c r="Q1712" s="510"/>
      <c r="R1712" s="513"/>
      <c r="S1712" s="41"/>
      <c r="T1712" s="40"/>
      <c r="U1712" s="40"/>
      <c r="V1712" s="119">
        <v>1</v>
      </c>
      <c r="W1712" s="40">
        <v>0</v>
      </c>
      <c r="X1712" s="119">
        <v>1</v>
      </c>
      <c r="Y1712" s="40">
        <v>44</v>
      </c>
      <c r="Z1712" s="119">
        <v>0</v>
      </c>
      <c r="AA1712" s="368" t="s">
        <v>16</v>
      </c>
      <c r="AB1712" s="535" t="s">
        <v>16</v>
      </c>
      <c r="AC1712" s="39" t="s">
        <v>160</v>
      </c>
      <c r="AD1712" s="75" t="s">
        <v>10</v>
      </c>
      <c r="AE1712" s="95">
        <v>0</v>
      </c>
      <c r="AF1712" s="75">
        <v>0</v>
      </c>
      <c r="AG1712" s="75">
        <v>0</v>
      </c>
      <c r="AH1712" s="75">
        <v>0</v>
      </c>
      <c r="AI1712" s="75">
        <v>0</v>
      </c>
      <c r="AJ1712" s="75">
        <v>0</v>
      </c>
      <c r="AK1712" s="75">
        <v>0</v>
      </c>
      <c r="AL1712" s="95">
        <v>1</v>
      </c>
      <c r="AM1712" s="92">
        <v>0</v>
      </c>
      <c r="AN1712" s="79" t="s">
        <v>80</v>
      </c>
      <c r="AO1712" s="75">
        <v>1</v>
      </c>
      <c r="AP1712" s="75" t="s">
        <v>83</v>
      </c>
      <c r="AQ1712" s="122">
        <v>1</v>
      </c>
      <c r="AR1712" s="515" t="s">
        <v>58</v>
      </c>
      <c r="AS1712" s="95">
        <v>0</v>
      </c>
      <c r="AT1712" s="75">
        <v>0</v>
      </c>
      <c r="AU1712" s="75">
        <v>1</v>
      </c>
      <c r="AV1712" s="75">
        <v>0</v>
      </c>
      <c r="AW1712" s="123">
        <v>0</v>
      </c>
      <c r="AX1712" s="516"/>
      <c r="AY1712" s="75">
        <v>0</v>
      </c>
      <c r="AZ1712" s="77" t="s">
        <v>131</v>
      </c>
      <c r="BA1712" s="78" t="s">
        <v>131</v>
      </c>
      <c r="BB1712" s="78" t="s">
        <v>131</v>
      </c>
      <c r="BC1712" s="78" t="s">
        <v>131</v>
      </c>
      <c r="BD1712" s="78" t="s">
        <v>131</v>
      </c>
      <c r="BE1712" s="78" t="s">
        <v>131</v>
      </c>
      <c r="BF1712" s="78" t="s">
        <v>131</v>
      </c>
      <c r="BG1712" s="78" t="s">
        <v>132</v>
      </c>
      <c r="BH1712" s="75" t="s">
        <v>5970</v>
      </c>
      <c r="BI1712" s="295" t="s">
        <v>16</v>
      </c>
      <c r="BJ1712" s="546">
        <v>1</v>
      </c>
      <c r="BK1712" s="294" t="s">
        <v>16</v>
      </c>
      <c r="BL1712" s="157" t="s">
        <v>16</v>
      </c>
      <c r="BM1712" s="548" t="s">
        <v>2343</v>
      </c>
      <c r="BN1712" s="548" t="s">
        <v>2341</v>
      </c>
      <c r="BO1712" s="157" t="s">
        <v>4293</v>
      </c>
      <c r="BP1712" s="548" t="s">
        <v>2225</v>
      </c>
      <c r="BQ1712" s="157" t="s">
        <v>4292</v>
      </c>
      <c r="BR1712" s="157"/>
    </row>
    <row r="1713" spans="1:70" x14ac:dyDescent="0.25">
      <c r="A1713" s="19" t="s">
        <v>3686</v>
      </c>
      <c r="B1713" s="37" t="s">
        <v>2088</v>
      </c>
      <c r="C1713" s="90">
        <v>44653.641527777778</v>
      </c>
      <c r="D1713" s="114">
        <v>44653.391527777778</v>
      </c>
      <c r="E1713" s="38">
        <v>44653</v>
      </c>
      <c r="F1713" s="91">
        <v>2022</v>
      </c>
      <c r="G1713" s="93">
        <v>4</v>
      </c>
      <c r="H1713" s="37" t="s">
        <v>1391</v>
      </c>
      <c r="I1713" s="37"/>
      <c r="J1713" s="103">
        <v>-93.00893610352</v>
      </c>
      <c r="K1713" s="40">
        <v>44.657243695151671</v>
      </c>
      <c r="L1713" s="74"/>
      <c r="M1713" s="272" t="s">
        <v>16</v>
      </c>
      <c r="N1713" s="74">
        <v>0</v>
      </c>
      <c r="O1713" s="94"/>
      <c r="P1713" s="118">
        <v>0</v>
      </c>
      <c r="Q1713" s="510"/>
      <c r="R1713" s="513"/>
      <c r="S1713" s="41"/>
      <c r="T1713" s="40"/>
      <c r="U1713" s="40"/>
      <c r="V1713" s="119">
        <v>0</v>
      </c>
      <c r="W1713" s="40"/>
      <c r="X1713" s="119">
        <v>0</v>
      </c>
      <c r="Y1713" s="40"/>
      <c r="Z1713" s="119">
        <v>0</v>
      </c>
      <c r="AA1713" s="368" t="s">
        <v>16</v>
      </c>
      <c r="AB1713" s="535" t="s">
        <v>16</v>
      </c>
      <c r="AC1713" s="39" t="s">
        <v>160</v>
      </c>
      <c r="AD1713" s="75" t="s">
        <v>16</v>
      </c>
      <c r="AE1713" s="95">
        <v>-1</v>
      </c>
      <c r="AF1713" s="75">
        <v>-1</v>
      </c>
      <c r="AG1713" s="75">
        <v>-1</v>
      </c>
      <c r="AH1713" s="75">
        <v>-1</v>
      </c>
      <c r="AI1713" s="75">
        <v>-1</v>
      </c>
      <c r="AJ1713" s="75">
        <v>-1</v>
      </c>
      <c r="AK1713" s="75">
        <v>-1</v>
      </c>
      <c r="AL1713" s="95">
        <v>-1</v>
      </c>
      <c r="AM1713" s="92">
        <v>1</v>
      </c>
      <c r="AN1713" s="79"/>
      <c r="AO1713" s="75">
        <v>0</v>
      </c>
      <c r="AP1713" s="75"/>
      <c r="AQ1713" s="122">
        <v>0</v>
      </c>
      <c r="AR1713" s="515" t="s">
        <v>16</v>
      </c>
      <c r="AS1713" s="95">
        <v>-1</v>
      </c>
      <c r="AT1713" s="75">
        <v>-1</v>
      </c>
      <c r="AU1713" s="75">
        <v>-1</v>
      </c>
      <c r="AV1713" s="75">
        <v>-1</v>
      </c>
      <c r="AW1713" s="123">
        <v>1</v>
      </c>
      <c r="AX1713" s="516"/>
      <c r="AY1713" s="75">
        <v>0</v>
      </c>
      <c r="AZ1713" s="77" t="s">
        <v>5971</v>
      </c>
      <c r="BA1713" s="78" t="s">
        <v>5971</v>
      </c>
      <c r="BB1713" s="78" t="s">
        <v>5971</v>
      </c>
      <c r="BC1713" s="78" t="s">
        <v>5971</v>
      </c>
      <c r="BD1713" s="78" t="s">
        <v>5971</v>
      </c>
      <c r="BE1713" s="78" t="s">
        <v>5971</v>
      </c>
      <c r="BF1713" s="78" t="s">
        <v>5971</v>
      </c>
      <c r="BG1713" s="78" t="s">
        <v>5971</v>
      </c>
      <c r="BH1713" s="75" t="s">
        <v>5971</v>
      </c>
      <c r="BI1713" s="295" t="s">
        <v>16</v>
      </c>
      <c r="BJ1713" s="546">
        <v>1</v>
      </c>
      <c r="BK1713" s="294" t="s">
        <v>16</v>
      </c>
      <c r="BL1713" s="157" t="s">
        <v>16</v>
      </c>
      <c r="BM1713" s="548" t="s">
        <v>2343</v>
      </c>
      <c r="BN1713" s="548" t="s">
        <v>4161</v>
      </c>
      <c r="BO1713" s="157" t="s">
        <v>4293</v>
      </c>
      <c r="BP1713" s="548" t="s">
        <v>2225</v>
      </c>
      <c r="BQ1713" s="157" t="s">
        <v>4292</v>
      </c>
      <c r="BR1713" s="157"/>
    </row>
    <row r="1714" spans="1:70" x14ac:dyDescent="0.25">
      <c r="A1714" s="19" t="s">
        <v>3686</v>
      </c>
      <c r="B1714" s="37" t="s">
        <v>2089</v>
      </c>
      <c r="C1714" s="90">
        <v>44649.790011574078</v>
      </c>
      <c r="D1714" s="114">
        <v>44649.540011574078</v>
      </c>
      <c r="E1714" s="38">
        <v>44649</v>
      </c>
      <c r="F1714" s="91">
        <v>2022</v>
      </c>
      <c r="G1714" s="93">
        <v>3</v>
      </c>
      <c r="H1714" s="37" t="s">
        <v>260</v>
      </c>
      <c r="I1714" s="37" t="s">
        <v>337</v>
      </c>
      <c r="J1714" s="103">
        <v>-92.645045989233594</v>
      </c>
      <c r="K1714" s="40">
        <v>44.84368853475803</v>
      </c>
      <c r="L1714" s="74"/>
      <c r="M1714" s="272" t="s">
        <v>2090</v>
      </c>
      <c r="N1714" s="74">
        <v>1</v>
      </c>
      <c r="O1714" s="94"/>
      <c r="P1714" s="118">
        <v>1</v>
      </c>
      <c r="Q1714" s="510">
        <v>180</v>
      </c>
      <c r="R1714" s="513">
        <v>180</v>
      </c>
      <c r="S1714" s="41"/>
      <c r="T1714" s="40"/>
      <c r="U1714" s="40">
        <v>7.5</v>
      </c>
      <c r="V1714" s="119">
        <v>1</v>
      </c>
      <c r="W1714" s="40">
        <v>0</v>
      </c>
      <c r="X1714" s="119">
        <v>1</v>
      </c>
      <c r="Y1714" s="40">
        <v>41</v>
      </c>
      <c r="Z1714" s="119">
        <v>1</v>
      </c>
      <c r="AA1714" s="368">
        <v>0</v>
      </c>
      <c r="AB1714" s="535">
        <v>5</v>
      </c>
      <c r="AC1714" s="39" t="s">
        <v>160</v>
      </c>
      <c r="AD1714" s="75" t="s">
        <v>10</v>
      </c>
      <c r="AE1714" s="95">
        <v>0</v>
      </c>
      <c r="AF1714" s="75">
        <v>0</v>
      </c>
      <c r="AG1714" s="75">
        <v>0</v>
      </c>
      <c r="AH1714" s="75">
        <v>0</v>
      </c>
      <c r="AI1714" s="75">
        <v>0</v>
      </c>
      <c r="AJ1714" s="75">
        <v>0</v>
      </c>
      <c r="AK1714" s="75">
        <v>0</v>
      </c>
      <c r="AL1714" s="95">
        <v>1</v>
      </c>
      <c r="AM1714" s="92">
        <v>0</v>
      </c>
      <c r="AN1714" s="79" t="s">
        <v>80</v>
      </c>
      <c r="AO1714" s="75">
        <v>1</v>
      </c>
      <c r="AP1714" s="75" t="s">
        <v>83</v>
      </c>
      <c r="AQ1714" s="122">
        <v>1</v>
      </c>
      <c r="AR1714" s="515" t="s">
        <v>10</v>
      </c>
      <c r="AS1714" s="95">
        <v>0</v>
      </c>
      <c r="AT1714" s="75">
        <v>0</v>
      </c>
      <c r="AU1714" s="75">
        <v>0</v>
      </c>
      <c r="AV1714" s="75">
        <v>0</v>
      </c>
      <c r="AW1714" s="123">
        <v>0</v>
      </c>
      <c r="AX1714" s="516" t="s">
        <v>2091</v>
      </c>
      <c r="AY1714" s="75">
        <v>1</v>
      </c>
      <c r="AZ1714" s="77" t="s">
        <v>131</v>
      </c>
      <c r="BA1714" s="78" t="s">
        <v>131</v>
      </c>
      <c r="BB1714" s="78" t="s">
        <v>131</v>
      </c>
      <c r="BC1714" s="78" t="s">
        <v>131</v>
      </c>
      <c r="BD1714" s="78" t="s">
        <v>131</v>
      </c>
      <c r="BE1714" s="78" t="s">
        <v>131</v>
      </c>
      <c r="BF1714" s="78" t="s">
        <v>131</v>
      </c>
      <c r="BG1714" s="78" t="s">
        <v>132</v>
      </c>
      <c r="BH1714" s="75" t="s">
        <v>5970</v>
      </c>
      <c r="BI1714" s="295" t="s">
        <v>2227</v>
      </c>
      <c r="BJ1714" s="546">
        <v>1</v>
      </c>
      <c r="BK1714" s="294" t="s">
        <v>16</v>
      </c>
      <c r="BL1714" s="157" t="s">
        <v>16</v>
      </c>
      <c r="BM1714" s="548" t="s">
        <v>578</v>
      </c>
      <c r="BN1714" s="548" t="s">
        <v>578</v>
      </c>
      <c r="BO1714" s="157" t="s">
        <v>4341</v>
      </c>
      <c r="BP1714" s="548" t="s">
        <v>4343</v>
      </c>
      <c r="BQ1714" s="157" t="s">
        <v>4309</v>
      </c>
      <c r="BR1714" s="157"/>
    </row>
    <row r="1715" spans="1:70" x14ac:dyDescent="0.25">
      <c r="A1715" s="19" t="s">
        <v>3686</v>
      </c>
      <c r="B1715" s="37" t="s">
        <v>2092</v>
      </c>
      <c r="C1715" s="90">
        <v>44613.770439814813</v>
      </c>
      <c r="D1715" s="114">
        <v>44613.520439814813</v>
      </c>
      <c r="E1715" s="38">
        <v>44613</v>
      </c>
      <c r="F1715" s="91">
        <v>2022</v>
      </c>
      <c r="G1715" s="93">
        <v>2</v>
      </c>
      <c r="H1715" s="37" t="s">
        <v>1141</v>
      </c>
      <c r="I1715" s="37" t="s">
        <v>16</v>
      </c>
      <c r="J1715" s="103">
        <v>-91.780841899999999</v>
      </c>
      <c r="K1715" s="40">
        <v>43.272556399999999</v>
      </c>
      <c r="L1715" s="74"/>
      <c r="M1715" s="272" t="s">
        <v>2093</v>
      </c>
      <c r="N1715" s="74">
        <v>1</v>
      </c>
      <c r="O1715" s="94"/>
      <c r="P1715" s="118">
        <v>1</v>
      </c>
      <c r="Q1715" s="510">
        <v>180</v>
      </c>
      <c r="R1715" s="513">
        <v>180</v>
      </c>
      <c r="S1715" s="41"/>
      <c r="T1715" s="40"/>
      <c r="U1715" s="40">
        <v>7</v>
      </c>
      <c r="V1715" s="119">
        <v>1</v>
      </c>
      <c r="W1715" s="40">
        <v>200</v>
      </c>
      <c r="X1715" s="119">
        <v>1</v>
      </c>
      <c r="Y1715" s="40">
        <v>44</v>
      </c>
      <c r="Z1715" s="119">
        <v>1</v>
      </c>
      <c r="AA1715" s="368">
        <v>0</v>
      </c>
      <c r="AB1715" s="535">
        <v>2</v>
      </c>
      <c r="AC1715" s="39" t="s">
        <v>162</v>
      </c>
      <c r="AD1715" s="75" t="s">
        <v>10</v>
      </c>
      <c r="AE1715" s="95">
        <v>0</v>
      </c>
      <c r="AF1715" s="75">
        <v>0</v>
      </c>
      <c r="AG1715" s="75">
        <v>0</v>
      </c>
      <c r="AH1715" s="75">
        <v>0</v>
      </c>
      <c r="AI1715" s="75">
        <v>0</v>
      </c>
      <c r="AJ1715" s="75">
        <v>0</v>
      </c>
      <c r="AK1715" s="75">
        <v>0</v>
      </c>
      <c r="AL1715" s="95">
        <v>1</v>
      </c>
      <c r="AM1715" s="92">
        <v>0</v>
      </c>
      <c r="AN1715" s="79" t="s">
        <v>81</v>
      </c>
      <c r="AO1715" s="75">
        <v>1</v>
      </c>
      <c r="AP1715" s="75" t="s">
        <v>84</v>
      </c>
      <c r="AQ1715" s="122">
        <v>1</v>
      </c>
      <c r="AR1715" s="515" t="s">
        <v>58</v>
      </c>
      <c r="AS1715" s="95">
        <v>0</v>
      </c>
      <c r="AT1715" s="75">
        <v>0</v>
      </c>
      <c r="AU1715" s="75">
        <v>1</v>
      </c>
      <c r="AV1715" s="75">
        <v>0</v>
      </c>
      <c r="AW1715" s="123">
        <v>0</v>
      </c>
      <c r="AX1715" s="516" t="s">
        <v>2094</v>
      </c>
      <c r="AY1715" s="75">
        <v>1</v>
      </c>
      <c r="AZ1715" s="77" t="s">
        <v>131</v>
      </c>
      <c r="BA1715" s="78" t="s">
        <v>131</v>
      </c>
      <c r="BB1715" s="78" t="s">
        <v>131</v>
      </c>
      <c r="BC1715" s="78" t="s">
        <v>131</v>
      </c>
      <c r="BD1715" s="78" t="s">
        <v>131</v>
      </c>
      <c r="BE1715" s="78" t="s">
        <v>131</v>
      </c>
      <c r="BF1715" s="78" t="s">
        <v>131</v>
      </c>
      <c r="BG1715" s="78" t="s">
        <v>132</v>
      </c>
      <c r="BH1715" s="75" t="s">
        <v>5970</v>
      </c>
      <c r="BI1715" s="295" t="s">
        <v>2254</v>
      </c>
      <c r="BJ1715" s="546">
        <v>1</v>
      </c>
      <c r="BK1715" s="294" t="s">
        <v>16</v>
      </c>
      <c r="BL1715" s="157" t="s">
        <v>16</v>
      </c>
      <c r="BM1715" s="548" t="s">
        <v>1344</v>
      </c>
      <c r="BN1715" s="548" t="s">
        <v>1344</v>
      </c>
      <c r="BO1715" s="157" t="s">
        <v>4491</v>
      </c>
      <c r="BP1715" s="548" t="s">
        <v>2254</v>
      </c>
      <c r="BQ1715" s="157" t="s">
        <v>4377</v>
      </c>
      <c r="BR1715" s="157"/>
    </row>
    <row r="1716" spans="1:70" x14ac:dyDescent="0.25">
      <c r="A1716" s="19" t="s">
        <v>3686</v>
      </c>
      <c r="B1716" s="37" t="s">
        <v>1284</v>
      </c>
      <c r="C1716" s="90">
        <v>44543.870312500003</v>
      </c>
      <c r="D1716" s="114">
        <v>44543.620312500003</v>
      </c>
      <c r="E1716" s="38">
        <v>44543</v>
      </c>
      <c r="F1716" s="91">
        <v>2021</v>
      </c>
      <c r="G1716" s="93">
        <v>12</v>
      </c>
      <c r="H1716" s="37" t="s">
        <v>619</v>
      </c>
      <c r="I1716" s="37"/>
      <c r="J1716" s="103">
        <v>-92.195595999999995</v>
      </c>
      <c r="K1716" s="40">
        <v>43.847769999999997</v>
      </c>
      <c r="L1716" s="74"/>
      <c r="M1716" s="272" t="s">
        <v>1285</v>
      </c>
      <c r="N1716" s="74">
        <v>1</v>
      </c>
      <c r="O1716" s="94"/>
      <c r="P1716" s="118">
        <v>1</v>
      </c>
      <c r="Q1716" s="510">
        <v>0</v>
      </c>
      <c r="R1716" s="513">
        <v>60</v>
      </c>
      <c r="S1716" s="41"/>
      <c r="T1716" s="40"/>
      <c r="U1716" s="40">
        <v>7.5</v>
      </c>
      <c r="V1716" s="119">
        <v>1</v>
      </c>
      <c r="W1716" s="40">
        <v>0</v>
      </c>
      <c r="X1716" s="119">
        <v>1</v>
      </c>
      <c r="Y1716" s="40">
        <v>42</v>
      </c>
      <c r="Z1716" s="119">
        <v>1</v>
      </c>
      <c r="AA1716" s="368">
        <v>0</v>
      </c>
      <c r="AB1716" s="535">
        <v>2</v>
      </c>
      <c r="AC1716" s="39" t="s">
        <v>160</v>
      </c>
      <c r="AD1716" s="75" t="s">
        <v>10</v>
      </c>
      <c r="AE1716" s="95">
        <v>0</v>
      </c>
      <c r="AF1716" s="75">
        <v>0</v>
      </c>
      <c r="AG1716" s="75">
        <v>0</v>
      </c>
      <c r="AH1716" s="75">
        <v>0</v>
      </c>
      <c r="AI1716" s="75">
        <v>0</v>
      </c>
      <c r="AJ1716" s="75">
        <v>0</v>
      </c>
      <c r="AK1716" s="75">
        <v>0</v>
      </c>
      <c r="AL1716" s="95">
        <v>1</v>
      </c>
      <c r="AM1716" s="92">
        <v>0</v>
      </c>
      <c r="AN1716" s="79" t="s">
        <v>80</v>
      </c>
      <c r="AO1716" s="75">
        <v>1</v>
      </c>
      <c r="AP1716" s="75" t="s">
        <v>83</v>
      </c>
      <c r="AQ1716" s="122">
        <v>1</v>
      </c>
      <c r="AR1716" s="515" t="s">
        <v>58</v>
      </c>
      <c r="AS1716" s="95">
        <v>0</v>
      </c>
      <c r="AT1716" s="75">
        <v>0</v>
      </c>
      <c r="AU1716" s="75">
        <v>1</v>
      </c>
      <c r="AV1716" s="75">
        <v>0</v>
      </c>
      <c r="AW1716" s="123">
        <v>0</v>
      </c>
      <c r="AX1716" s="516"/>
      <c r="AY1716" s="75">
        <v>0</v>
      </c>
      <c r="AZ1716" s="77" t="s">
        <v>131</v>
      </c>
      <c r="BA1716" s="78" t="s">
        <v>131</v>
      </c>
      <c r="BB1716" s="78" t="s">
        <v>131</v>
      </c>
      <c r="BC1716" s="78" t="s">
        <v>131</v>
      </c>
      <c r="BD1716" s="78" t="s">
        <v>131</v>
      </c>
      <c r="BE1716" s="78" t="s">
        <v>131</v>
      </c>
      <c r="BF1716" s="78" t="s">
        <v>131</v>
      </c>
      <c r="BG1716" s="78" t="s">
        <v>132</v>
      </c>
      <c r="BH1716" s="75" t="s">
        <v>5970</v>
      </c>
      <c r="BI1716" s="295" t="s">
        <v>2243</v>
      </c>
      <c r="BJ1716" s="546">
        <v>1</v>
      </c>
      <c r="BK1716" s="294" t="s">
        <v>16</v>
      </c>
      <c r="BL1716" s="157" t="s">
        <v>16</v>
      </c>
      <c r="BM1716" s="548" t="s">
        <v>1339</v>
      </c>
      <c r="BN1716" s="548" t="s">
        <v>1339</v>
      </c>
      <c r="BO1716" s="157" t="s">
        <v>4697</v>
      </c>
      <c r="BP1716" s="548" t="s">
        <v>2243</v>
      </c>
      <c r="BQ1716" s="157" t="s">
        <v>4673</v>
      </c>
      <c r="BR1716" s="157"/>
    </row>
    <row r="1717" spans="1:70" x14ac:dyDescent="0.25">
      <c r="A1717" s="19" t="s">
        <v>3686</v>
      </c>
      <c r="B1717" s="37" t="s">
        <v>2095</v>
      </c>
      <c r="C1717" s="90">
        <v>44509.761550925927</v>
      </c>
      <c r="D1717" s="114">
        <v>44509.511550925927</v>
      </c>
      <c r="E1717" s="38">
        <v>44509</v>
      </c>
      <c r="F1717" s="91">
        <v>2021</v>
      </c>
      <c r="G1717" s="93">
        <v>11</v>
      </c>
      <c r="H1717" s="37" t="s">
        <v>218</v>
      </c>
      <c r="I1717" s="37"/>
      <c r="J1717" s="103">
        <v>-92.268565673849807</v>
      </c>
      <c r="K1717" s="40">
        <v>44.542813178997399</v>
      </c>
      <c r="L1717" s="74"/>
      <c r="M1717" s="272" t="s">
        <v>16</v>
      </c>
      <c r="N1717" s="74">
        <v>0</v>
      </c>
      <c r="O1717" s="94"/>
      <c r="P1717" s="118">
        <v>1</v>
      </c>
      <c r="Q1717" s="510">
        <v>180</v>
      </c>
      <c r="R1717" s="513">
        <v>120</v>
      </c>
      <c r="S1717" s="41"/>
      <c r="T1717" s="40"/>
      <c r="U1717" s="40">
        <v>7</v>
      </c>
      <c r="V1717" s="119">
        <v>1</v>
      </c>
      <c r="W1717" s="40">
        <v>0</v>
      </c>
      <c r="X1717" s="119">
        <v>1</v>
      </c>
      <c r="Y1717" s="40">
        <v>48</v>
      </c>
      <c r="Z1717" s="119">
        <v>1</v>
      </c>
      <c r="AA1717" s="368">
        <v>0</v>
      </c>
      <c r="AB1717" s="535">
        <v>2</v>
      </c>
      <c r="AC1717" s="39" t="s">
        <v>162</v>
      </c>
      <c r="AD1717" s="75" t="s">
        <v>10</v>
      </c>
      <c r="AE1717" s="95">
        <v>0</v>
      </c>
      <c r="AF1717" s="75">
        <v>0</v>
      </c>
      <c r="AG1717" s="75">
        <v>0</v>
      </c>
      <c r="AH1717" s="75">
        <v>0</v>
      </c>
      <c r="AI1717" s="75">
        <v>0</v>
      </c>
      <c r="AJ1717" s="75">
        <v>0</v>
      </c>
      <c r="AK1717" s="75">
        <v>0</v>
      </c>
      <c r="AL1717" s="95">
        <v>1</v>
      </c>
      <c r="AM1717" s="92">
        <v>0</v>
      </c>
      <c r="AN1717" s="79" t="s">
        <v>80</v>
      </c>
      <c r="AO1717" s="75">
        <v>1</v>
      </c>
      <c r="AP1717" s="75" t="s">
        <v>83</v>
      </c>
      <c r="AQ1717" s="122">
        <v>1</v>
      </c>
      <c r="AR1717" s="515" t="s">
        <v>10</v>
      </c>
      <c r="AS1717" s="95">
        <v>0</v>
      </c>
      <c r="AT1717" s="75">
        <v>0</v>
      </c>
      <c r="AU1717" s="75">
        <v>0</v>
      </c>
      <c r="AV1717" s="75">
        <v>0</v>
      </c>
      <c r="AW1717" s="123">
        <v>0</v>
      </c>
      <c r="AX1717" s="516"/>
      <c r="AY1717" s="75">
        <v>0</v>
      </c>
      <c r="AZ1717" s="77" t="s">
        <v>131</v>
      </c>
      <c r="BA1717" s="78" t="s">
        <v>131</v>
      </c>
      <c r="BB1717" s="78" t="s">
        <v>131</v>
      </c>
      <c r="BC1717" s="78" t="s">
        <v>131</v>
      </c>
      <c r="BD1717" s="78" t="s">
        <v>131</v>
      </c>
      <c r="BE1717" s="78" t="s">
        <v>131</v>
      </c>
      <c r="BF1717" s="78" t="s">
        <v>131</v>
      </c>
      <c r="BG1717" s="78" t="s">
        <v>132</v>
      </c>
      <c r="BH1717" s="75" t="s">
        <v>5970</v>
      </c>
      <c r="BI1717" s="295">
        <v>0</v>
      </c>
      <c r="BJ1717" s="546">
        <v>1</v>
      </c>
      <c r="BK1717" s="294">
        <v>1</v>
      </c>
      <c r="BL1717" s="157">
        <v>1</v>
      </c>
      <c r="BM1717" s="548" t="s">
        <v>1340</v>
      </c>
      <c r="BN1717" s="548" t="s">
        <v>578</v>
      </c>
      <c r="BO1717" s="157" t="s">
        <v>4268</v>
      </c>
      <c r="BP1717" s="548" t="s">
        <v>2261</v>
      </c>
      <c r="BQ1717" s="157" t="s">
        <v>4214</v>
      </c>
      <c r="BR1717" s="157"/>
    </row>
    <row r="1718" spans="1:70" x14ac:dyDescent="0.25">
      <c r="A1718" s="19" t="s">
        <v>3686</v>
      </c>
      <c r="B1718" s="37" t="s">
        <v>1286</v>
      </c>
      <c r="C1718" s="90">
        <v>44509.726481481484</v>
      </c>
      <c r="D1718" s="114">
        <v>44509.476481481484</v>
      </c>
      <c r="E1718" s="38">
        <v>44509</v>
      </c>
      <c r="F1718" s="91">
        <v>2021</v>
      </c>
      <c r="G1718" s="93">
        <v>11</v>
      </c>
      <c r="H1718" s="37" t="s">
        <v>218</v>
      </c>
      <c r="I1718" s="37"/>
      <c r="J1718" s="103">
        <v>-92.271445032662726</v>
      </c>
      <c r="K1718" s="40">
        <v>44.544364893167561</v>
      </c>
      <c r="L1718" s="74"/>
      <c r="M1718" s="272" t="s">
        <v>16</v>
      </c>
      <c r="N1718" s="74">
        <v>0</v>
      </c>
      <c r="O1718" s="94"/>
      <c r="P1718" s="118">
        <v>1</v>
      </c>
      <c r="Q1718" s="510">
        <v>180</v>
      </c>
      <c r="R1718" s="513">
        <v>180</v>
      </c>
      <c r="S1718" s="41"/>
      <c r="T1718" s="40"/>
      <c r="U1718" s="40">
        <v>7.5</v>
      </c>
      <c r="V1718" s="119">
        <v>1</v>
      </c>
      <c r="W1718" s="40">
        <v>0</v>
      </c>
      <c r="X1718" s="119">
        <v>1</v>
      </c>
      <c r="Y1718" s="40">
        <v>46</v>
      </c>
      <c r="Z1718" s="119">
        <v>1</v>
      </c>
      <c r="AA1718" s="368">
        <v>0</v>
      </c>
      <c r="AB1718" s="535">
        <v>2</v>
      </c>
      <c r="AC1718" s="39" t="s">
        <v>160</v>
      </c>
      <c r="AD1718" s="75" t="s">
        <v>10</v>
      </c>
      <c r="AE1718" s="95">
        <v>0</v>
      </c>
      <c r="AF1718" s="75">
        <v>0</v>
      </c>
      <c r="AG1718" s="75">
        <v>0</v>
      </c>
      <c r="AH1718" s="75">
        <v>0</v>
      </c>
      <c r="AI1718" s="75">
        <v>0</v>
      </c>
      <c r="AJ1718" s="75">
        <v>0</v>
      </c>
      <c r="AK1718" s="75">
        <v>0</v>
      </c>
      <c r="AL1718" s="95">
        <v>1</v>
      </c>
      <c r="AM1718" s="92">
        <v>0</v>
      </c>
      <c r="AN1718" s="79" t="s">
        <v>80</v>
      </c>
      <c r="AO1718" s="75">
        <v>1</v>
      </c>
      <c r="AP1718" s="75" t="s">
        <v>83</v>
      </c>
      <c r="AQ1718" s="122">
        <v>1</v>
      </c>
      <c r="AR1718" s="515" t="s">
        <v>10</v>
      </c>
      <c r="AS1718" s="95">
        <v>0</v>
      </c>
      <c r="AT1718" s="75">
        <v>0</v>
      </c>
      <c r="AU1718" s="75">
        <v>0</v>
      </c>
      <c r="AV1718" s="75">
        <v>0</v>
      </c>
      <c r="AW1718" s="123">
        <v>0</v>
      </c>
      <c r="AX1718" s="516"/>
      <c r="AY1718" s="75">
        <v>0</v>
      </c>
      <c r="AZ1718" s="77" t="s">
        <v>131</v>
      </c>
      <c r="BA1718" s="78" t="s">
        <v>131</v>
      </c>
      <c r="BB1718" s="78" t="s">
        <v>131</v>
      </c>
      <c r="BC1718" s="78" t="s">
        <v>131</v>
      </c>
      <c r="BD1718" s="78" t="s">
        <v>131</v>
      </c>
      <c r="BE1718" s="78" t="s">
        <v>131</v>
      </c>
      <c r="BF1718" s="78" t="s">
        <v>131</v>
      </c>
      <c r="BG1718" s="78" t="s">
        <v>132</v>
      </c>
      <c r="BH1718" s="75" t="s">
        <v>5970</v>
      </c>
      <c r="BI1718" s="295" t="s">
        <v>16</v>
      </c>
      <c r="BJ1718" s="546">
        <v>1</v>
      </c>
      <c r="BK1718" s="294">
        <v>1</v>
      </c>
      <c r="BL1718" s="157">
        <v>1</v>
      </c>
      <c r="BM1718" s="548" t="s">
        <v>1340</v>
      </c>
      <c r="BN1718" s="548" t="s">
        <v>578</v>
      </c>
      <c r="BO1718" s="157" t="s">
        <v>4268</v>
      </c>
      <c r="BP1718" s="548" t="s">
        <v>2261</v>
      </c>
      <c r="BQ1718" s="157" t="s">
        <v>4214</v>
      </c>
      <c r="BR1718" s="157"/>
    </row>
    <row r="1719" spans="1:70" x14ac:dyDescent="0.25">
      <c r="A1719" s="19" t="s">
        <v>3686</v>
      </c>
      <c r="B1719" s="37" t="s">
        <v>1287</v>
      </c>
      <c r="C1719" s="90">
        <v>44509.694398148145</v>
      </c>
      <c r="D1719" s="114">
        <v>44509.444398148145</v>
      </c>
      <c r="E1719" s="38">
        <v>44509</v>
      </c>
      <c r="F1719" s="91">
        <v>2021</v>
      </c>
      <c r="G1719" s="93">
        <v>11</v>
      </c>
      <c r="H1719" s="37" t="s">
        <v>218</v>
      </c>
      <c r="I1719" s="37" t="s">
        <v>2362</v>
      </c>
      <c r="J1719" s="103">
        <v>-92.284343478937501</v>
      </c>
      <c r="K1719" s="40">
        <v>44.542136904868471</v>
      </c>
      <c r="L1719" s="74"/>
      <c r="M1719" s="272" t="s">
        <v>16</v>
      </c>
      <c r="N1719" s="74">
        <v>0</v>
      </c>
      <c r="O1719" s="94"/>
      <c r="P1719" s="118">
        <v>1</v>
      </c>
      <c r="Q1719" s="510">
        <v>180</v>
      </c>
      <c r="R1719" s="513">
        <v>180</v>
      </c>
      <c r="S1719" s="41"/>
      <c r="T1719" s="40"/>
      <c r="U1719" s="40">
        <v>7.5</v>
      </c>
      <c r="V1719" s="119">
        <v>1</v>
      </c>
      <c r="W1719" s="40">
        <v>0</v>
      </c>
      <c r="X1719" s="119">
        <v>1</v>
      </c>
      <c r="Y1719" s="40">
        <v>46</v>
      </c>
      <c r="Z1719" s="119">
        <v>1</v>
      </c>
      <c r="AA1719" s="368">
        <v>0</v>
      </c>
      <c r="AB1719" s="535">
        <v>2</v>
      </c>
      <c r="AC1719" s="39" t="s">
        <v>160</v>
      </c>
      <c r="AD1719" s="75" t="s">
        <v>10</v>
      </c>
      <c r="AE1719" s="95">
        <v>0</v>
      </c>
      <c r="AF1719" s="75">
        <v>0</v>
      </c>
      <c r="AG1719" s="75">
        <v>0</v>
      </c>
      <c r="AH1719" s="75">
        <v>0</v>
      </c>
      <c r="AI1719" s="75">
        <v>0</v>
      </c>
      <c r="AJ1719" s="75">
        <v>0</v>
      </c>
      <c r="AK1719" s="75">
        <v>0</v>
      </c>
      <c r="AL1719" s="95">
        <v>1</v>
      </c>
      <c r="AM1719" s="92">
        <v>0</v>
      </c>
      <c r="AN1719" s="79" t="s">
        <v>80</v>
      </c>
      <c r="AO1719" s="75">
        <v>1</v>
      </c>
      <c r="AP1719" s="75" t="s">
        <v>83</v>
      </c>
      <c r="AQ1719" s="122">
        <v>1</v>
      </c>
      <c r="AR1719" s="515" t="s">
        <v>10</v>
      </c>
      <c r="AS1719" s="95">
        <v>0</v>
      </c>
      <c r="AT1719" s="75">
        <v>0</v>
      </c>
      <c r="AU1719" s="75">
        <v>0</v>
      </c>
      <c r="AV1719" s="75">
        <v>0</v>
      </c>
      <c r="AW1719" s="123">
        <v>0</v>
      </c>
      <c r="AX1719" s="516"/>
      <c r="AY1719" s="75">
        <v>0</v>
      </c>
      <c r="AZ1719" s="77" t="s">
        <v>131</v>
      </c>
      <c r="BA1719" s="78" t="s">
        <v>131</v>
      </c>
      <c r="BB1719" s="78" t="s">
        <v>131</v>
      </c>
      <c r="BC1719" s="78" t="s">
        <v>131</v>
      </c>
      <c r="BD1719" s="78" t="s">
        <v>131</v>
      </c>
      <c r="BE1719" s="78" t="s">
        <v>131</v>
      </c>
      <c r="BF1719" s="78" t="s">
        <v>131</v>
      </c>
      <c r="BG1719" s="78" t="s">
        <v>132</v>
      </c>
      <c r="BH1719" s="75" t="s">
        <v>5970</v>
      </c>
      <c r="BI1719" s="295" t="s">
        <v>2261</v>
      </c>
      <c r="BJ1719" s="546">
        <v>1</v>
      </c>
      <c r="BK1719" s="294">
        <v>1</v>
      </c>
      <c r="BL1719" s="157">
        <v>1</v>
      </c>
      <c r="BM1719" s="548" t="s">
        <v>1340</v>
      </c>
      <c r="BN1719" s="548" t="s">
        <v>578</v>
      </c>
      <c r="BO1719" s="157" t="s">
        <v>4268</v>
      </c>
      <c r="BP1719" s="548" t="s">
        <v>2261</v>
      </c>
      <c r="BQ1719" s="157" t="s">
        <v>4214</v>
      </c>
      <c r="BR1719" s="157"/>
    </row>
    <row r="1720" spans="1:70" x14ac:dyDescent="0.25">
      <c r="A1720" s="19" t="s">
        <v>3686</v>
      </c>
      <c r="B1720" s="37" t="s">
        <v>1288</v>
      </c>
      <c r="C1720" s="90">
        <v>44508.814212962963</v>
      </c>
      <c r="D1720" s="114">
        <v>44508.564212962963</v>
      </c>
      <c r="E1720" s="38">
        <v>44508</v>
      </c>
      <c r="F1720" s="91">
        <v>2021</v>
      </c>
      <c r="G1720" s="93">
        <v>11</v>
      </c>
      <c r="H1720" s="37" t="s">
        <v>201</v>
      </c>
      <c r="I1720" s="37"/>
      <c r="J1720" s="103">
        <v>-92.732118247864079</v>
      </c>
      <c r="K1720" s="40">
        <v>44.831283543071535</v>
      </c>
      <c r="L1720" s="74"/>
      <c r="M1720" s="272" t="s">
        <v>16</v>
      </c>
      <c r="N1720" s="74">
        <v>0</v>
      </c>
      <c r="O1720" s="94"/>
      <c r="P1720" s="118">
        <v>1</v>
      </c>
      <c r="Q1720" s="510">
        <v>180</v>
      </c>
      <c r="R1720" s="513">
        <v>120</v>
      </c>
      <c r="S1720" s="41"/>
      <c r="T1720" s="40"/>
      <c r="U1720" s="40">
        <v>7</v>
      </c>
      <c r="V1720" s="119">
        <v>1</v>
      </c>
      <c r="W1720" s="40">
        <v>0</v>
      </c>
      <c r="X1720" s="119">
        <v>1</v>
      </c>
      <c r="Y1720" s="40">
        <v>48</v>
      </c>
      <c r="Z1720" s="119">
        <v>1</v>
      </c>
      <c r="AA1720" s="368">
        <v>0</v>
      </c>
      <c r="AB1720" s="535">
        <v>2</v>
      </c>
      <c r="AC1720" s="39" t="s">
        <v>160</v>
      </c>
      <c r="AD1720" s="75" t="s">
        <v>8</v>
      </c>
      <c r="AE1720" s="95">
        <v>0</v>
      </c>
      <c r="AF1720" s="75">
        <v>1</v>
      </c>
      <c r="AG1720" s="75">
        <v>0</v>
      </c>
      <c r="AH1720" s="75">
        <v>0</v>
      </c>
      <c r="AI1720" s="75">
        <v>0</v>
      </c>
      <c r="AJ1720" s="75">
        <v>0</v>
      </c>
      <c r="AK1720" s="75">
        <v>0</v>
      </c>
      <c r="AL1720" s="95">
        <v>0</v>
      </c>
      <c r="AM1720" s="92">
        <v>0</v>
      </c>
      <c r="AN1720" s="79" t="s">
        <v>80</v>
      </c>
      <c r="AO1720" s="75">
        <v>1</v>
      </c>
      <c r="AP1720" s="75" t="s">
        <v>83</v>
      </c>
      <c r="AQ1720" s="122">
        <v>1</v>
      </c>
      <c r="AR1720" s="515" t="s">
        <v>10</v>
      </c>
      <c r="AS1720" s="95">
        <v>0</v>
      </c>
      <c r="AT1720" s="75">
        <v>0</v>
      </c>
      <c r="AU1720" s="75">
        <v>0</v>
      </c>
      <c r="AV1720" s="75">
        <v>0</v>
      </c>
      <c r="AW1720" s="123">
        <v>0</v>
      </c>
      <c r="AX1720" s="516" t="s">
        <v>1241</v>
      </c>
      <c r="AY1720" s="75">
        <v>1</v>
      </c>
      <c r="AZ1720" s="77" t="s">
        <v>131</v>
      </c>
      <c r="BA1720" s="78" t="s">
        <v>132</v>
      </c>
      <c r="BB1720" s="78" t="s">
        <v>131</v>
      </c>
      <c r="BC1720" s="78" t="s">
        <v>131</v>
      </c>
      <c r="BD1720" s="78" t="s">
        <v>131</v>
      </c>
      <c r="BE1720" s="78" t="s">
        <v>131</v>
      </c>
      <c r="BF1720" s="78" t="s">
        <v>131</v>
      </c>
      <c r="BG1720" s="78" t="s">
        <v>131</v>
      </c>
      <c r="BH1720" s="75" t="s">
        <v>5970</v>
      </c>
      <c r="BI1720" s="295" t="s">
        <v>2227</v>
      </c>
      <c r="BJ1720" s="546">
        <v>1</v>
      </c>
      <c r="BK1720" s="294" t="s">
        <v>16</v>
      </c>
      <c r="BL1720" s="157" t="s">
        <v>16</v>
      </c>
      <c r="BM1720" s="548" t="s">
        <v>578</v>
      </c>
      <c r="BN1720" s="548" t="s">
        <v>578</v>
      </c>
      <c r="BO1720" s="157" t="s">
        <v>4341</v>
      </c>
      <c r="BP1720" s="548" t="s">
        <v>4343</v>
      </c>
      <c r="BQ1720" s="157" t="s">
        <v>4309</v>
      </c>
      <c r="BR1720" s="157"/>
    </row>
    <row r="1721" spans="1:70" x14ac:dyDescent="0.25">
      <c r="A1721" s="19" t="s">
        <v>3686</v>
      </c>
      <c r="B1721" s="37" t="s">
        <v>1289</v>
      </c>
      <c r="C1721" s="90">
        <v>44507.875057870369</v>
      </c>
      <c r="D1721" s="114">
        <v>44507.625057870369</v>
      </c>
      <c r="E1721" s="38">
        <v>44507</v>
      </c>
      <c r="F1721" s="91">
        <v>2021</v>
      </c>
      <c r="G1721" s="93">
        <v>11</v>
      </c>
      <c r="H1721" s="37" t="s">
        <v>1290</v>
      </c>
      <c r="I1721" s="37"/>
      <c r="J1721" s="103">
        <v>-92.940590819430483</v>
      </c>
      <c r="K1721" s="40">
        <v>44.513513795141606</v>
      </c>
      <c r="L1721" s="74"/>
      <c r="M1721" s="272" t="s">
        <v>1291</v>
      </c>
      <c r="N1721" s="74">
        <v>1</v>
      </c>
      <c r="O1721" s="94"/>
      <c r="P1721" s="118">
        <v>1</v>
      </c>
      <c r="Q1721" s="510">
        <v>180</v>
      </c>
      <c r="R1721" s="513">
        <v>180</v>
      </c>
      <c r="S1721" s="41"/>
      <c r="T1721" s="40"/>
      <c r="U1721" s="40">
        <v>7</v>
      </c>
      <c r="V1721" s="119">
        <v>1</v>
      </c>
      <c r="W1721" s="40">
        <v>100</v>
      </c>
      <c r="X1721" s="119">
        <v>0</v>
      </c>
      <c r="Y1721" s="40"/>
      <c r="Z1721" s="119">
        <v>1</v>
      </c>
      <c r="AA1721" s="368">
        <v>0</v>
      </c>
      <c r="AB1721" s="535">
        <v>1</v>
      </c>
      <c r="AC1721" s="39" t="s">
        <v>186</v>
      </c>
      <c r="AD1721" s="75" t="s">
        <v>10</v>
      </c>
      <c r="AE1721" s="95">
        <v>0</v>
      </c>
      <c r="AF1721" s="75">
        <v>0</v>
      </c>
      <c r="AG1721" s="75">
        <v>0</v>
      </c>
      <c r="AH1721" s="75">
        <v>0</v>
      </c>
      <c r="AI1721" s="75">
        <v>0</v>
      </c>
      <c r="AJ1721" s="75">
        <v>0</v>
      </c>
      <c r="AK1721" s="75">
        <v>0</v>
      </c>
      <c r="AL1721" s="95">
        <v>1</v>
      </c>
      <c r="AM1721" s="92">
        <v>0</v>
      </c>
      <c r="AN1721" s="79" t="s">
        <v>80</v>
      </c>
      <c r="AO1721" s="75">
        <v>1</v>
      </c>
      <c r="AP1721" s="75" t="s">
        <v>84</v>
      </c>
      <c r="AQ1721" s="122">
        <v>1</v>
      </c>
      <c r="AR1721" s="515" t="s">
        <v>10</v>
      </c>
      <c r="AS1721" s="95">
        <v>0</v>
      </c>
      <c r="AT1721" s="75">
        <v>0</v>
      </c>
      <c r="AU1721" s="75">
        <v>0</v>
      </c>
      <c r="AV1721" s="75">
        <v>0</v>
      </c>
      <c r="AW1721" s="123">
        <v>0</v>
      </c>
      <c r="AX1721" s="516" t="s">
        <v>1292</v>
      </c>
      <c r="AY1721" s="75">
        <v>1</v>
      </c>
      <c r="AZ1721" s="77" t="s">
        <v>131</v>
      </c>
      <c r="BA1721" s="78" t="s">
        <v>131</v>
      </c>
      <c r="BB1721" s="78" t="s">
        <v>131</v>
      </c>
      <c r="BC1721" s="78" t="s">
        <v>131</v>
      </c>
      <c r="BD1721" s="78" t="s">
        <v>131</v>
      </c>
      <c r="BE1721" s="78" t="s">
        <v>131</v>
      </c>
      <c r="BF1721" s="78" t="s">
        <v>131</v>
      </c>
      <c r="BG1721" s="78" t="s">
        <v>132</v>
      </c>
      <c r="BH1721" s="75" t="s">
        <v>5970</v>
      </c>
      <c r="BI1721" s="295" t="s">
        <v>2224</v>
      </c>
      <c r="BJ1721" s="546" t="s">
        <v>16</v>
      </c>
      <c r="BK1721" s="294" t="s">
        <v>16</v>
      </c>
      <c r="BL1721" s="157" t="s">
        <v>16</v>
      </c>
      <c r="BM1721" s="548" t="s">
        <v>2343</v>
      </c>
      <c r="BN1721" s="548" t="s">
        <v>544</v>
      </c>
      <c r="BO1721" s="157" t="s">
        <v>4703</v>
      </c>
      <c r="BP1721" s="548" t="s">
        <v>4704</v>
      </c>
      <c r="BQ1721" s="157" t="s">
        <v>4702</v>
      </c>
      <c r="BR1721" s="157"/>
    </row>
    <row r="1722" spans="1:70" x14ac:dyDescent="0.25">
      <c r="A1722" s="19" t="s">
        <v>3686</v>
      </c>
      <c r="B1722" s="37" t="s">
        <v>1293</v>
      </c>
      <c r="C1722" s="90">
        <v>44507.865706018521</v>
      </c>
      <c r="D1722" s="114">
        <v>44507.615706018521</v>
      </c>
      <c r="E1722" s="38">
        <v>44507</v>
      </c>
      <c r="F1722" s="91">
        <v>2021</v>
      </c>
      <c r="G1722" s="93">
        <v>11</v>
      </c>
      <c r="H1722" s="37" t="s">
        <v>1290</v>
      </c>
      <c r="I1722" s="37"/>
      <c r="J1722" s="103">
        <v>-92.950199749407304</v>
      </c>
      <c r="K1722" s="40">
        <v>44.51446681753221</v>
      </c>
      <c r="L1722" s="74"/>
      <c r="M1722" s="272" t="s">
        <v>1294</v>
      </c>
      <c r="N1722" s="74">
        <v>1</v>
      </c>
      <c r="O1722" s="94"/>
      <c r="P1722" s="118">
        <v>1</v>
      </c>
      <c r="Q1722" s="510">
        <v>80</v>
      </c>
      <c r="R1722" s="513">
        <v>0</v>
      </c>
      <c r="S1722" s="41"/>
      <c r="T1722" s="40"/>
      <c r="U1722" s="40">
        <v>7</v>
      </c>
      <c r="V1722" s="119">
        <v>1</v>
      </c>
      <c r="W1722" s="40">
        <v>100</v>
      </c>
      <c r="X1722" s="119">
        <v>0</v>
      </c>
      <c r="Y1722" s="40"/>
      <c r="Z1722" s="119">
        <v>1</v>
      </c>
      <c r="AA1722" s="368">
        <v>0</v>
      </c>
      <c r="AB1722" s="535">
        <v>1</v>
      </c>
      <c r="AC1722" s="39" t="s">
        <v>186</v>
      </c>
      <c r="AD1722" s="75" t="s">
        <v>10</v>
      </c>
      <c r="AE1722" s="95">
        <v>0</v>
      </c>
      <c r="AF1722" s="75">
        <v>0</v>
      </c>
      <c r="AG1722" s="75">
        <v>0</v>
      </c>
      <c r="AH1722" s="75">
        <v>0</v>
      </c>
      <c r="AI1722" s="75">
        <v>0</v>
      </c>
      <c r="AJ1722" s="75">
        <v>0</v>
      </c>
      <c r="AK1722" s="75">
        <v>0</v>
      </c>
      <c r="AL1722" s="95">
        <v>1</v>
      </c>
      <c r="AM1722" s="92">
        <v>0</v>
      </c>
      <c r="AN1722" s="79" t="s">
        <v>80</v>
      </c>
      <c r="AO1722" s="75">
        <v>1</v>
      </c>
      <c r="AP1722" s="75" t="s">
        <v>83</v>
      </c>
      <c r="AQ1722" s="122">
        <v>1</v>
      </c>
      <c r="AR1722" s="515" t="s">
        <v>10</v>
      </c>
      <c r="AS1722" s="95">
        <v>0</v>
      </c>
      <c r="AT1722" s="75">
        <v>0</v>
      </c>
      <c r="AU1722" s="75">
        <v>0</v>
      </c>
      <c r="AV1722" s="75">
        <v>0</v>
      </c>
      <c r="AW1722" s="123">
        <v>0</v>
      </c>
      <c r="AX1722" s="516" t="s">
        <v>1295</v>
      </c>
      <c r="AY1722" s="75">
        <v>1</v>
      </c>
      <c r="AZ1722" s="77" t="s">
        <v>131</v>
      </c>
      <c r="BA1722" s="78" t="s">
        <v>131</v>
      </c>
      <c r="BB1722" s="78" t="s">
        <v>131</v>
      </c>
      <c r="BC1722" s="78" t="s">
        <v>131</v>
      </c>
      <c r="BD1722" s="78" t="s">
        <v>131</v>
      </c>
      <c r="BE1722" s="78" t="s">
        <v>131</v>
      </c>
      <c r="BF1722" s="78" t="s">
        <v>131</v>
      </c>
      <c r="BG1722" s="78" t="s">
        <v>132</v>
      </c>
      <c r="BH1722" s="75" t="s">
        <v>5970</v>
      </c>
      <c r="BI1722" s="295" t="s">
        <v>16</v>
      </c>
      <c r="BJ1722" s="546" t="s">
        <v>16</v>
      </c>
      <c r="BK1722" s="294" t="s">
        <v>16</v>
      </c>
      <c r="BL1722" s="157" t="s">
        <v>16</v>
      </c>
      <c r="BM1722" s="548" t="s">
        <v>2343</v>
      </c>
      <c r="BN1722" s="548" t="s">
        <v>544</v>
      </c>
      <c r="BO1722" s="157" t="s">
        <v>4703</v>
      </c>
      <c r="BP1722" s="548" t="s">
        <v>4704</v>
      </c>
      <c r="BQ1722" s="157" t="s">
        <v>4702</v>
      </c>
      <c r="BR1722" s="157"/>
    </row>
    <row r="1723" spans="1:70" x14ac:dyDescent="0.25">
      <c r="A1723" s="19" t="s">
        <v>3686</v>
      </c>
      <c r="B1723" s="37" t="s">
        <v>1296</v>
      </c>
      <c r="C1723" s="90">
        <v>44507.857824074075</v>
      </c>
      <c r="D1723" s="114">
        <v>44507.607824074075</v>
      </c>
      <c r="E1723" s="38">
        <v>44507</v>
      </c>
      <c r="F1723" s="91">
        <v>2021</v>
      </c>
      <c r="G1723" s="93">
        <v>11</v>
      </c>
      <c r="H1723" s="37" t="s">
        <v>1290</v>
      </c>
      <c r="I1723" s="37"/>
      <c r="J1723" s="103">
        <v>-92.950161695566905</v>
      </c>
      <c r="K1723" s="40">
        <v>44.514441126998989</v>
      </c>
      <c r="L1723" s="74"/>
      <c r="M1723" s="272" t="s">
        <v>1297</v>
      </c>
      <c r="N1723" s="74">
        <v>1</v>
      </c>
      <c r="O1723" s="94"/>
      <c r="P1723" s="118">
        <v>1</v>
      </c>
      <c r="Q1723" s="510">
        <v>180</v>
      </c>
      <c r="R1723" s="513">
        <v>180</v>
      </c>
      <c r="S1723" s="41"/>
      <c r="T1723" s="40"/>
      <c r="U1723" s="40">
        <v>7</v>
      </c>
      <c r="V1723" s="119">
        <v>1</v>
      </c>
      <c r="W1723" s="40">
        <v>100</v>
      </c>
      <c r="X1723" s="119">
        <v>0</v>
      </c>
      <c r="Y1723" s="40"/>
      <c r="Z1723" s="119">
        <v>1</v>
      </c>
      <c r="AA1723" s="368">
        <v>0</v>
      </c>
      <c r="AB1723" s="535">
        <v>0</v>
      </c>
      <c r="AC1723" s="39" t="s">
        <v>186</v>
      </c>
      <c r="AD1723" s="75" t="s">
        <v>10</v>
      </c>
      <c r="AE1723" s="95">
        <v>0</v>
      </c>
      <c r="AF1723" s="75">
        <v>0</v>
      </c>
      <c r="AG1723" s="75">
        <v>0</v>
      </c>
      <c r="AH1723" s="75">
        <v>0</v>
      </c>
      <c r="AI1723" s="75">
        <v>0</v>
      </c>
      <c r="AJ1723" s="75">
        <v>0</v>
      </c>
      <c r="AK1723" s="75">
        <v>0</v>
      </c>
      <c r="AL1723" s="95">
        <v>1</v>
      </c>
      <c r="AM1723" s="92">
        <v>0</v>
      </c>
      <c r="AN1723" s="79" t="s">
        <v>80</v>
      </c>
      <c r="AO1723" s="75">
        <v>1</v>
      </c>
      <c r="AP1723" s="75" t="s">
        <v>83</v>
      </c>
      <c r="AQ1723" s="122">
        <v>1</v>
      </c>
      <c r="AR1723" s="515" t="s">
        <v>10</v>
      </c>
      <c r="AS1723" s="95">
        <v>0</v>
      </c>
      <c r="AT1723" s="75">
        <v>0</v>
      </c>
      <c r="AU1723" s="75">
        <v>0</v>
      </c>
      <c r="AV1723" s="75">
        <v>0</v>
      </c>
      <c r="AW1723" s="123">
        <v>0</v>
      </c>
      <c r="AX1723" s="516" t="s">
        <v>1298</v>
      </c>
      <c r="AY1723" s="75">
        <v>1</v>
      </c>
      <c r="AZ1723" s="77" t="s">
        <v>131</v>
      </c>
      <c r="BA1723" s="78" t="s">
        <v>131</v>
      </c>
      <c r="BB1723" s="78" t="s">
        <v>131</v>
      </c>
      <c r="BC1723" s="78" t="s">
        <v>131</v>
      </c>
      <c r="BD1723" s="78" t="s">
        <v>131</v>
      </c>
      <c r="BE1723" s="78" t="s">
        <v>131</v>
      </c>
      <c r="BF1723" s="78" t="s">
        <v>131</v>
      </c>
      <c r="BG1723" s="78" t="s">
        <v>132</v>
      </c>
      <c r="BH1723" s="75" t="s">
        <v>5970</v>
      </c>
      <c r="BI1723" s="295" t="s">
        <v>2224</v>
      </c>
      <c r="BJ1723" s="546" t="s">
        <v>16</v>
      </c>
      <c r="BK1723" s="294" t="s">
        <v>16</v>
      </c>
      <c r="BL1723" s="157" t="s">
        <v>16</v>
      </c>
      <c r="BM1723" s="548" t="s">
        <v>2343</v>
      </c>
      <c r="BN1723" s="548" t="s">
        <v>544</v>
      </c>
      <c r="BO1723" s="157" t="s">
        <v>4703</v>
      </c>
      <c r="BP1723" s="548" t="s">
        <v>4704</v>
      </c>
      <c r="BQ1723" s="157" t="s">
        <v>4702</v>
      </c>
      <c r="BR1723" s="157"/>
    </row>
    <row r="1724" spans="1:70" x14ac:dyDescent="0.25">
      <c r="A1724" s="19" t="s">
        <v>3686</v>
      </c>
      <c r="B1724" s="37" t="s">
        <v>1299</v>
      </c>
      <c r="C1724" s="90">
        <v>44502.74527777778</v>
      </c>
      <c r="D1724" s="114">
        <v>44502.49527777778</v>
      </c>
      <c r="E1724" s="38">
        <v>44502</v>
      </c>
      <c r="F1724" s="91">
        <v>2021</v>
      </c>
      <c r="G1724" s="93">
        <v>11</v>
      </c>
      <c r="H1724" s="37" t="s">
        <v>218</v>
      </c>
      <c r="I1724" s="37" t="s">
        <v>349</v>
      </c>
      <c r="J1724" s="103">
        <v>-92.529995971390122</v>
      </c>
      <c r="K1724" s="40">
        <v>44.793615419150122</v>
      </c>
      <c r="L1724" s="74"/>
      <c r="M1724" s="272" t="s">
        <v>16</v>
      </c>
      <c r="N1724" s="74">
        <v>0</v>
      </c>
      <c r="O1724" s="94"/>
      <c r="P1724" s="118">
        <v>1</v>
      </c>
      <c r="Q1724" s="510">
        <v>180</v>
      </c>
      <c r="R1724" s="513">
        <v>180</v>
      </c>
      <c r="S1724" s="41"/>
      <c r="T1724" s="40"/>
      <c r="U1724" s="40">
        <v>7</v>
      </c>
      <c r="V1724" s="119">
        <v>1</v>
      </c>
      <c r="W1724" s="40">
        <v>0</v>
      </c>
      <c r="X1724" s="119">
        <v>1</v>
      </c>
      <c r="Y1724" s="40">
        <v>45</v>
      </c>
      <c r="Z1724" s="119">
        <v>1</v>
      </c>
      <c r="AA1724" s="368">
        <v>0</v>
      </c>
      <c r="AB1724" s="535">
        <v>0</v>
      </c>
      <c r="AC1724" s="39" t="s">
        <v>160</v>
      </c>
      <c r="AD1724" s="75" t="s">
        <v>10</v>
      </c>
      <c r="AE1724" s="95">
        <v>0</v>
      </c>
      <c r="AF1724" s="75">
        <v>0</v>
      </c>
      <c r="AG1724" s="75">
        <v>0</v>
      </c>
      <c r="AH1724" s="75">
        <v>0</v>
      </c>
      <c r="AI1724" s="75">
        <v>0</v>
      </c>
      <c r="AJ1724" s="75">
        <v>0</v>
      </c>
      <c r="AK1724" s="75">
        <v>0</v>
      </c>
      <c r="AL1724" s="95">
        <v>1</v>
      </c>
      <c r="AM1724" s="92">
        <v>0</v>
      </c>
      <c r="AN1724" s="79" t="s">
        <v>80</v>
      </c>
      <c r="AO1724" s="75">
        <v>1</v>
      </c>
      <c r="AP1724" s="75" t="s">
        <v>83</v>
      </c>
      <c r="AQ1724" s="122">
        <v>1</v>
      </c>
      <c r="AR1724" s="515" t="s">
        <v>10</v>
      </c>
      <c r="AS1724" s="95">
        <v>0</v>
      </c>
      <c r="AT1724" s="75">
        <v>0</v>
      </c>
      <c r="AU1724" s="75">
        <v>0</v>
      </c>
      <c r="AV1724" s="75">
        <v>0</v>
      </c>
      <c r="AW1724" s="123">
        <v>0</v>
      </c>
      <c r="AX1724" s="516"/>
      <c r="AY1724" s="75">
        <v>0</v>
      </c>
      <c r="AZ1724" s="77" t="s">
        <v>131</v>
      </c>
      <c r="BA1724" s="78" t="s">
        <v>131</v>
      </c>
      <c r="BB1724" s="78" t="s">
        <v>131</v>
      </c>
      <c r="BC1724" s="78" t="s">
        <v>131</v>
      </c>
      <c r="BD1724" s="78" t="s">
        <v>131</v>
      </c>
      <c r="BE1724" s="78" t="s">
        <v>131</v>
      </c>
      <c r="BF1724" s="78" t="s">
        <v>131</v>
      </c>
      <c r="BG1724" s="78" t="s">
        <v>132</v>
      </c>
      <c r="BH1724" s="75" t="s">
        <v>5970</v>
      </c>
      <c r="BI1724" s="295" t="s">
        <v>2236</v>
      </c>
      <c r="BJ1724" s="546">
        <v>1</v>
      </c>
      <c r="BK1724" s="294" t="s">
        <v>16</v>
      </c>
      <c r="BL1724" s="157" t="s">
        <v>16</v>
      </c>
      <c r="BM1724" s="548" t="s">
        <v>578</v>
      </c>
      <c r="BN1724" s="548" t="s">
        <v>578</v>
      </c>
      <c r="BO1724" s="157" t="s">
        <v>4658</v>
      </c>
      <c r="BP1724" s="548" t="s">
        <v>4660</v>
      </c>
      <c r="BQ1724" s="157" t="s">
        <v>4657</v>
      </c>
      <c r="BR1724" s="157"/>
    </row>
    <row r="1725" spans="1:70" x14ac:dyDescent="0.25">
      <c r="A1725" s="19" t="s">
        <v>3686</v>
      </c>
      <c r="B1725" s="37" t="s">
        <v>1300</v>
      </c>
      <c r="C1725" s="90">
        <v>44502.718946759262</v>
      </c>
      <c r="D1725" s="114">
        <v>44502.468946759262</v>
      </c>
      <c r="E1725" s="38">
        <v>44502</v>
      </c>
      <c r="F1725" s="91">
        <v>2021</v>
      </c>
      <c r="G1725" s="93">
        <v>11</v>
      </c>
      <c r="H1725" s="37" t="s">
        <v>218</v>
      </c>
      <c r="I1725" s="37"/>
      <c r="J1725" s="103">
        <v>-92.529691230072658</v>
      </c>
      <c r="K1725" s="40">
        <v>44.789743892594963</v>
      </c>
      <c r="L1725" s="74"/>
      <c r="M1725" s="272" t="s">
        <v>16</v>
      </c>
      <c r="N1725" s="74">
        <v>0</v>
      </c>
      <c r="O1725" s="94"/>
      <c r="P1725" s="118">
        <v>1</v>
      </c>
      <c r="Q1725" s="510">
        <v>180</v>
      </c>
      <c r="R1725" s="513">
        <v>180</v>
      </c>
      <c r="S1725" s="41"/>
      <c r="T1725" s="40"/>
      <c r="U1725" s="40">
        <v>7</v>
      </c>
      <c r="V1725" s="119">
        <v>1</v>
      </c>
      <c r="W1725" s="40">
        <v>0</v>
      </c>
      <c r="X1725" s="119">
        <v>1</v>
      </c>
      <c r="Y1725" s="40">
        <v>49</v>
      </c>
      <c r="Z1725" s="119">
        <v>1</v>
      </c>
      <c r="AA1725" s="368">
        <v>0</v>
      </c>
      <c r="AB1725" s="535">
        <v>2</v>
      </c>
      <c r="AC1725" s="39" t="s">
        <v>162</v>
      </c>
      <c r="AD1725" s="75" t="s">
        <v>10</v>
      </c>
      <c r="AE1725" s="95">
        <v>0</v>
      </c>
      <c r="AF1725" s="75">
        <v>0</v>
      </c>
      <c r="AG1725" s="75">
        <v>0</v>
      </c>
      <c r="AH1725" s="75">
        <v>0</v>
      </c>
      <c r="AI1725" s="75">
        <v>0</v>
      </c>
      <c r="AJ1725" s="75">
        <v>0</v>
      </c>
      <c r="AK1725" s="75">
        <v>0</v>
      </c>
      <c r="AL1725" s="95">
        <v>1</v>
      </c>
      <c r="AM1725" s="92">
        <v>0</v>
      </c>
      <c r="AN1725" s="79" t="s">
        <v>80</v>
      </c>
      <c r="AO1725" s="75">
        <v>1</v>
      </c>
      <c r="AP1725" s="75" t="s">
        <v>83</v>
      </c>
      <c r="AQ1725" s="122">
        <v>1</v>
      </c>
      <c r="AR1725" s="515" t="s">
        <v>10</v>
      </c>
      <c r="AS1725" s="95">
        <v>0</v>
      </c>
      <c r="AT1725" s="75">
        <v>0</v>
      </c>
      <c r="AU1725" s="75">
        <v>0</v>
      </c>
      <c r="AV1725" s="75">
        <v>0</v>
      </c>
      <c r="AW1725" s="123">
        <v>0</v>
      </c>
      <c r="AX1725" s="516"/>
      <c r="AY1725" s="75">
        <v>0</v>
      </c>
      <c r="AZ1725" s="77" t="s">
        <v>131</v>
      </c>
      <c r="BA1725" s="78" t="s">
        <v>131</v>
      </c>
      <c r="BB1725" s="78" t="s">
        <v>131</v>
      </c>
      <c r="BC1725" s="78" t="s">
        <v>131</v>
      </c>
      <c r="BD1725" s="78" t="s">
        <v>131</v>
      </c>
      <c r="BE1725" s="78" t="s">
        <v>131</v>
      </c>
      <c r="BF1725" s="78" t="s">
        <v>131</v>
      </c>
      <c r="BG1725" s="78" t="s">
        <v>132</v>
      </c>
      <c r="BH1725" s="75" t="s">
        <v>5970</v>
      </c>
      <c r="BI1725" s="295" t="s">
        <v>2236</v>
      </c>
      <c r="BJ1725" s="546">
        <v>1</v>
      </c>
      <c r="BK1725" s="294" t="s">
        <v>16</v>
      </c>
      <c r="BL1725" s="157" t="s">
        <v>16</v>
      </c>
      <c r="BM1725" s="548" t="s">
        <v>578</v>
      </c>
      <c r="BN1725" s="548" t="s">
        <v>578</v>
      </c>
      <c r="BO1725" s="157" t="s">
        <v>4658</v>
      </c>
      <c r="BP1725" s="548" t="s">
        <v>4660</v>
      </c>
      <c r="BQ1725" s="157" t="s">
        <v>4657</v>
      </c>
      <c r="BR1725" s="157"/>
    </row>
    <row r="1726" spans="1:70" x14ac:dyDescent="0.25">
      <c r="A1726" s="19" t="s">
        <v>3686</v>
      </c>
      <c r="B1726" s="37" t="s">
        <v>1301</v>
      </c>
      <c r="C1726" s="90">
        <v>44502.698888888888</v>
      </c>
      <c r="D1726" s="114">
        <v>44502.448888888888</v>
      </c>
      <c r="E1726" s="38">
        <v>44502</v>
      </c>
      <c r="F1726" s="91">
        <v>2021</v>
      </c>
      <c r="G1726" s="93">
        <v>11</v>
      </c>
      <c r="H1726" s="37" t="s">
        <v>218</v>
      </c>
      <c r="I1726" s="37"/>
      <c r="J1726" s="103">
        <v>-92.531856413954856</v>
      </c>
      <c r="K1726" s="40">
        <v>44.787391446079489</v>
      </c>
      <c r="L1726" s="74"/>
      <c r="M1726" s="272" t="s">
        <v>16</v>
      </c>
      <c r="N1726" s="74">
        <v>0</v>
      </c>
      <c r="O1726" s="94"/>
      <c r="P1726" s="118">
        <v>0</v>
      </c>
      <c r="Q1726" s="510"/>
      <c r="R1726" s="513"/>
      <c r="S1726" s="41"/>
      <c r="T1726" s="40"/>
      <c r="U1726" s="40"/>
      <c r="V1726" s="119">
        <v>1</v>
      </c>
      <c r="W1726" s="40">
        <v>0</v>
      </c>
      <c r="X1726" s="119">
        <v>1</v>
      </c>
      <c r="Y1726" s="40">
        <v>44</v>
      </c>
      <c r="Z1726" s="119">
        <v>1</v>
      </c>
      <c r="AA1726" s="368">
        <v>0</v>
      </c>
      <c r="AB1726" s="535">
        <v>2</v>
      </c>
      <c r="AC1726" s="39" t="s">
        <v>160</v>
      </c>
      <c r="AD1726" s="75" t="s">
        <v>10</v>
      </c>
      <c r="AE1726" s="95">
        <v>0</v>
      </c>
      <c r="AF1726" s="75">
        <v>0</v>
      </c>
      <c r="AG1726" s="75">
        <v>0</v>
      </c>
      <c r="AH1726" s="75">
        <v>0</v>
      </c>
      <c r="AI1726" s="75">
        <v>0</v>
      </c>
      <c r="AJ1726" s="75">
        <v>0</v>
      </c>
      <c r="AK1726" s="75">
        <v>0</v>
      </c>
      <c r="AL1726" s="95">
        <v>1</v>
      </c>
      <c r="AM1726" s="92">
        <v>0</v>
      </c>
      <c r="AN1726" s="79" t="s">
        <v>80</v>
      </c>
      <c r="AO1726" s="75">
        <v>1</v>
      </c>
      <c r="AP1726" s="75" t="s">
        <v>83</v>
      </c>
      <c r="AQ1726" s="122">
        <v>1</v>
      </c>
      <c r="AR1726" s="515" t="s">
        <v>10</v>
      </c>
      <c r="AS1726" s="95">
        <v>0</v>
      </c>
      <c r="AT1726" s="75">
        <v>0</v>
      </c>
      <c r="AU1726" s="75">
        <v>0</v>
      </c>
      <c r="AV1726" s="75">
        <v>0</v>
      </c>
      <c r="AW1726" s="123">
        <v>0</v>
      </c>
      <c r="AX1726" s="516"/>
      <c r="AY1726" s="75">
        <v>0</v>
      </c>
      <c r="AZ1726" s="77" t="s">
        <v>131</v>
      </c>
      <c r="BA1726" s="78" t="s">
        <v>131</v>
      </c>
      <c r="BB1726" s="78" t="s">
        <v>131</v>
      </c>
      <c r="BC1726" s="78" t="s">
        <v>131</v>
      </c>
      <c r="BD1726" s="78" t="s">
        <v>131</v>
      </c>
      <c r="BE1726" s="78" t="s">
        <v>131</v>
      </c>
      <c r="BF1726" s="78" t="s">
        <v>131</v>
      </c>
      <c r="BG1726" s="78" t="s">
        <v>132</v>
      </c>
      <c r="BH1726" s="75" t="s">
        <v>5970</v>
      </c>
      <c r="BI1726" s="295" t="s">
        <v>2236</v>
      </c>
      <c r="BJ1726" s="546">
        <v>1</v>
      </c>
      <c r="BK1726" s="294" t="s">
        <v>16</v>
      </c>
      <c r="BL1726" s="157" t="s">
        <v>16</v>
      </c>
      <c r="BM1726" s="548" t="s">
        <v>578</v>
      </c>
      <c r="BN1726" s="548" t="s">
        <v>578</v>
      </c>
      <c r="BO1726" s="157" t="s">
        <v>4658</v>
      </c>
      <c r="BP1726" s="548" t="s">
        <v>4660</v>
      </c>
      <c r="BQ1726" s="157" t="s">
        <v>4657</v>
      </c>
      <c r="BR1726" s="157"/>
    </row>
    <row r="1727" spans="1:70" x14ac:dyDescent="0.25">
      <c r="A1727" s="19" t="s">
        <v>3686</v>
      </c>
      <c r="B1727" s="37" t="s">
        <v>1302</v>
      </c>
      <c r="C1727" s="90">
        <v>44499.822175925925</v>
      </c>
      <c r="D1727" s="114">
        <v>44499.572175925925</v>
      </c>
      <c r="E1727" s="38">
        <v>44499</v>
      </c>
      <c r="F1727" s="91">
        <v>2021</v>
      </c>
      <c r="G1727" s="93">
        <v>10</v>
      </c>
      <c r="H1727" s="37" t="s">
        <v>609</v>
      </c>
      <c r="I1727" s="37"/>
      <c r="J1727" s="103">
        <v>-93.0089976239896</v>
      </c>
      <c r="K1727" s="40">
        <v>44.657288595905356</v>
      </c>
      <c r="L1727" s="74"/>
      <c r="M1727" s="272" t="s">
        <v>16</v>
      </c>
      <c r="N1727" s="74">
        <v>0</v>
      </c>
      <c r="O1727" s="94"/>
      <c r="P1727" s="118">
        <v>0</v>
      </c>
      <c r="Q1727" s="510"/>
      <c r="R1727" s="513"/>
      <c r="S1727" s="41"/>
      <c r="T1727" s="40"/>
      <c r="U1727" s="40"/>
      <c r="V1727" s="119">
        <v>1</v>
      </c>
      <c r="W1727" s="40">
        <v>0</v>
      </c>
      <c r="X1727" s="119">
        <v>1</v>
      </c>
      <c r="Y1727" s="40">
        <v>49</v>
      </c>
      <c r="Z1727" s="119">
        <v>0</v>
      </c>
      <c r="AA1727" s="368" t="s">
        <v>16</v>
      </c>
      <c r="AB1727" s="535" t="s">
        <v>16</v>
      </c>
      <c r="AC1727" s="39" t="s">
        <v>160</v>
      </c>
      <c r="AD1727" s="75" t="s">
        <v>16</v>
      </c>
      <c r="AE1727" s="95">
        <v>-1</v>
      </c>
      <c r="AF1727" s="75">
        <v>-1</v>
      </c>
      <c r="AG1727" s="75">
        <v>-1</v>
      </c>
      <c r="AH1727" s="75">
        <v>-1</v>
      </c>
      <c r="AI1727" s="75">
        <v>-1</v>
      </c>
      <c r="AJ1727" s="75">
        <v>-1</v>
      </c>
      <c r="AK1727" s="75">
        <v>-1</v>
      </c>
      <c r="AL1727" s="95">
        <v>-1</v>
      </c>
      <c r="AM1727" s="92">
        <v>1</v>
      </c>
      <c r="AN1727" s="79" t="s">
        <v>80</v>
      </c>
      <c r="AO1727" s="75">
        <v>1</v>
      </c>
      <c r="AP1727" s="75" t="s">
        <v>83</v>
      </c>
      <c r="AQ1727" s="122">
        <v>1</v>
      </c>
      <c r="AR1727" s="515" t="s">
        <v>10</v>
      </c>
      <c r="AS1727" s="95">
        <v>0</v>
      </c>
      <c r="AT1727" s="75">
        <v>0</v>
      </c>
      <c r="AU1727" s="75">
        <v>0</v>
      </c>
      <c r="AV1727" s="75">
        <v>0</v>
      </c>
      <c r="AW1727" s="123">
        <v>0</v>
      </c>
      <c r="AX1727" s="516"/>
      <c r="AY1727" s="75">
        <v>0</v>
      </c>
      <c r="AZ1727" s="77" t="s">
        <v>5971</v>
      </c>
      <c r="BA1727" s="78" t="s">
        <v>5971</v>
      </c>
      <c r="BB1727" s="78" t="s">
        <v>5971</v>
      </c>
      <c r="BC1727" s="78" t="s">
        <v>5971</v>
      </c>
      <c r="BD1727" s="78" t="s">
        <v>5971</v>
      </c>
      <c r="BE1727" s="78" t="s">
        <v>5971</v>
      </c>
      <c r="BF1727" s="78" t="s">
        <v>5971</v>
      </c>
      <c r="BG1727" s="78" t="s">
        <v>5971</v>
      </c>
      <c r="BH1727" s="75" t="s">
        <v>5971</v>
      </c>
      <c r="BI1727" s="295" t="s">
        <v>2225</v>
      </c>
      <c r="BJ1727" s="546">
        <v>1</v>
      </c>
      <c r="BK1727" s="294" t="s">
        <v>16</v>
      </c>
      <c r="BL1727" s="157" t="s">
        <v>16</v>
      </c>
      <c r="BM1727" s="548" t="s">
        <v>2343</v>
      </c>
      <c r="BN1727" s="548" t="s">
        <v>4161</v>
      </c>
      <c r="BO1727" s="157" t="s">
        <v>4293</v>
      </c>
      <c r="BP1727" s="548" t="s">
        <v>2225</v>
      </c>
      <c r="BQ1727" s="157" t="s">
        <v>4292</v>
      </c>
      <c r="BR1727" s="157"/>
    </row>
    <row r="1728" spans="1:70" x14ac:dyDescent="0.25">
      <c r="A1728" s="19" t="s">
        <v>3686</v>
      </c>
      <c r="B1728" s="37" t="s">
        <v>1303</v>
      </c>
      <c r="C1728" s="90">
        <v>44498.654328703706</v>
      </c>
      <c r="D1728" s="114">
        <v>44498.404328703706</v>
      </c>
      <c r="E1728" s="38">
        <v>44498</v>
      </c>
      <c r="F1728" s="91">
        <v>2021</v>
      </c>
      <c r="G1728" s="93">
        <v>10</v>
      </c>
      <c r="H1728" s="37" t="s">
        <v>475</v>
      </c>
      <c r="I1728" s="37"/>
      <c r="J1728" s="103">
        <v>-92.224570009943307</v>
      </c>
      <c r="K1728" s="40">
        <v>43.622326087247224</v>
      </c>
      <c r="L1728" s="74"/>
      <c r="M1728" s="272" t="s">
        <v>1304</v>
      </c>
      <c r="N1728" s="74">
        <v>1</v>
      </c>
      <c r="O1728" s="94"/>
      <c r="P1728" s="118">
        <v>0</v>
      </c>
      <c r="Q1728" s="510"/>
      <c r="R1728" s="513"/>
      <c r="S1728" s="41"/>
      <c r="T1728" s="40"/>
      <c r="U1728" s="40"/>
      <c r="V1728" s="119">
        <v>1</v>
      </c>
      <c r="W1728" s="40">
        <v>0</v>
      </c>
      <c r="X1728" s="119">
        <v>0</v>
      </c>
      <c r="Y1728" s="40"/>
      <c r="Z1728" s="119">
        <v>1</v>
      </c>
      <c r="AA1728" s="368">
        <v>0</v>
      </c>
      <c r="AB1728" s="535">
        <v>2</v>
      </c>
      <c r="AC1728" s="39" t="s">
        <v>160</v>
      </c>
      <c r="AD1728" s="75" t="s">
        <v>16</v>
      </c>
      <c r="AE1728" s="95">
        <v>-1</v>
      </c>
      <c r="AF1728" s="75">
        <v>-1</v>
      </c>
      <c r="AG1728" s="75">
        <v>-1</v>
      </c>
      <c r="AH1728" s="75">
        <v>-1</v>
      </c>
      <c r="AI1728" s="75">
        <v>-1</v>
      </c>
      <c r="AJ1728" s="75">
        <v>-1</v>
      </c>
      <c r="AK1728" s="75">
        <v>-1</v>
      </c>
      <c r="AL1728" s="95">
        <v>-1</v>
      </c>
      <c r="AM1728" s="92">
        <v>1</v>
      </c>
      <c r="AN1728" s="79" t="s">
        <v>80</v>
      </c>
      <c r="AO1728" s="75">
        <v>1</v>
      </c>
      <c r="AP1728" s="75" t="s">
        <v>83</v>
      </c>
      <c r="AQ1728" s="122">
        <v>1</v>
      </c>
      <c r="AR1728" s="515" t="s">
        <v>10</v>
      </c>
      <c r="AS1728" s="95">
        <v>0</v>
      </c>
      <c r="AT1728" s="75">
        <v>0</v>
      </c>
      <c r="AU1728" s="75">
        <v>0</v>
      </c>
      <c r="AV1728" s="75">
        <v>0</v>
      </c>
      <c r="AW1728" s="123">
        <v>0</v>
      </c>
      <c r="AX1728" s="516" t="s">
        <v>1305</v>
      </c>
      <c r="AY1728" s="75">
        <v>1</v>
      </c>
      <c r="AZ1728" s="77" t="s">
        <v>5971</v>
      </c>
      <c r="BA1728" s="78" t="s">
        <v>5971</v>
      </c>
      <c r="BB1728" s="78" t="s">
        <v>5971</v>
      </c>
      <c r="BC1728" s="78" t="s">
        <v>5971</v>
      </c>
      <c r="BD1728" s="78" t="s">
        <v>5971</v>
      </c>
      <c r="BE1728" s="78" t="s">
        <v>5971</v>
      </c>
      <c r="BF1728" s="78" t="s">
        <v>5971</v>
      </c>
      <c r="BG1728" s="78" t="s">
        <v>5971</v>
      </c>
      <c r="BH1728" s="75" t="s">
        <v>5971</v>
      </c>
      <c r="BI1728" s="295" t="s">
        <v>2232</v>
      </c>
      <c r="BJ1728" s="546">
        <v>1</v>
      </c>
      <c r="BK1728" s="294" t="s">
        <v>16</v>
      </c>
      <c r="BL1728" s="157" t="s">
        <v>16</v>
      </c>
      <c r="BM1728" s="548" t="s">
        <v>1339</v>
      </c>
      <c r="BN1728" s="548" t="s">
        <v>1339</v>
      </c>
      <c r="BO1728" s="157" t="s">
        <v>4332</v>
      </c>
      <c r="BP1728" s="548" t="s">
        <v>4333</v>
      </c>
      <c r="BQ1728" s="157" t="s">
        <v>4229</v>
      </c>
      <c r="BR1728" s="157"/>
    </row>
    <row r="1729" spans="1:70" x14ac:dyDescent="0.25">
      <c r="A1729" s="19" t="s">
        <v>3686</v>
      </c>
      <c r="B1729" s="37" t="s">
        <v>1306</v>
      </c>
      <c r="C1729" s="90">
        <v>44498.615034722221</v>
      </c>
      <c r="D1729" s="114">
        <v>44498.365034722221</v>
      </c>
      <c r="E1729" s="38">
        <v>44498</v>
      </c>
      <c r="F1729" s="91">
        <v>2021</v>
      </c>
      <c r="G1729" s="93">
        <v>10</v>
      </c>
      <c r="H1729" s="37" t="s">
        <v>475</v>
      </c>
      <c r="I1729" s="37"/>
      <c r="J1729" s="103">
        <v>-92.278125258248565</v>
      </c>
      <c r="K1729" s="40">
        <v>43.793265740427927</v>
      </c>
      <c r="L1729" s="74"/>
      <c r="M1729" s="272" t="s">
        <v>1307</v>
      </c>
      <c r="N1729" s="74">
        <v>1</v>
      </c>
      <c r="O1729" s="94"/>
      <c r="P1729" s="118">
        <v>1</v>
      </c>
      <c r="Q1729" s="510">
        <v>180</v>
      </c>
      <c r="R1729" s="513">
        <v>180</v>
      </c>
      <c r="S1729" s="41"/>
      <c r="T1729" s="40"/>
      <c r="U1729" s="40">
        <v>7.5</v>
      </c>
      <c r="V1729" s="119">
        <v>1</v>
      </c>
      <c r="W1729" s="40">
        <v>0</v>
      </c>
      <c r="X1729" s="119">
        <v>0</v>
      </c>
      <c r="Y1729" s="40"/>
      <c r="Z1729" s="119">
        <v>1</v>
      </c>
      <c r="AA1729" s="368">
        <v>0</v>
      </c>
      <c r="AB1729" s="535">
        <v>2</v>
      </c>
      <c r="AC1729" s="39" t="s">
        <v>160</v>
      </c>
      <c r="AD1729" s="75" t="s">
        <v>10</v>
      </c>
      <c r="AE1729" s="95">
        <v>0</v>
      </c>
      <c r="AF1729" s="75">
        <v>0</v>
      </c>
      <c r="AG1729" s="75">
        <v>0</v>
      </c>
      <c r="AH1729" s="75">
        <v>0</v>
      </c>
      <c r="AI1729" s="75">
        <v>0</v>
      </c>
      <c r="AJ1729" s="75">
        <v>0</v>
      </c>
      <c r="AK1729" s="75">
        <v>0</v>
      </c>
      <c r="AL1729" s="95">
        <v>1</v>
      </c>
      <c r="AM1729" s="92">
        <v>0</v>
      </c>
      <c r="AN1729" s="79" t="s">
        <v>80</v>
      </c>
      <c r="AO1729" s="75">
        <v>1</v>
      </c>
      <c r="AP1729" s="75" t="s">
        <v>83</v>
      </c>
      <c r="AQ1729" s="122">
        <v>1</v>
      </c>
      <c r="AR1729" s="515" t="s">
        <v>10</v>
      </c>
      <c r="AS1729" s="95">
        <v>0</v>
      </c>
      <c r="AT1729" s="75">
        <v>0</v>
      </c>
      <c r="AU1729" s="75">
        <v>0</v>
      </c>
      <c r="AV1729" s="75">
        <v>0</v>
      </c>
      <c r="AW1729" s="123">
        <v>0</v>
      </c>
      <c r="AX1729" s="516" t="s">
        <v>1308</v>
      </c>
      <c r="AY1729" s="75">
        <v>1</v>
      </c>
      <c r="AZ1729" s="77" t="s">
        <v>131</v>
      </c>
      <c r="BA1729" s="78" t="s">
        <v>131</v>
      </c>
      <c r="BB1729" s="78" t="s">
        <v>131</v>
      </c>
      <c r="BC1729" s="78" t="s">
        <v>131</v>
      </c>
      <c r="BD1729" s="78" t="s">
        <v>131</v>
      </c>
      <c r="BE1729" s="78" t="s">
        <v>131</v>
      </c>
      <c r="BF1729" s="78" t="s">
        <v>131</v>
      </c>
      <c r="BG1729" s="78" t="s">
        <v>132</v>
      </c>
      <c r="BH1729" s="75" t="s">
        <v>5970</v>
      </c>
      <c r="BI1729" s="295" t="s">
        <v>2251</v>
      </c>
      <c r="BJ1729" s="546">
        <v>1</v>
      </c>
      <c r="BK1729" s="294">
        <v>1</v>
      </c>
      <c r="BL1729" s="157">
        <v>1</v>
      </c>
      <c r="BM1729" s="548" t="s">
        <v>1339</v>
      </c>
      <c r="BN1729" s="548" t="s">
        <v>1339</v>
      </c>
      <c r="BO1729" s="157" t="s">
        <v>4329</v>
      </c>
      <c r="BP1729" s="548" t="s">
        <v>4228</v>
      </c>
      <c r="BQ1729" s="157" t="s">
        <v>4226</v>
      </c>
      <c r="BR1729" s="157"/>
    </row>
    <row r="1730" spans="1:70" x14ac:dyDescent="0.25">
      <c r="A1730" s="19" t="s">
        <v>3686</v>
      </c>
      <c r="B1730" s="37" t="s">
        <v>1309</v>
      </c>
      <c r="C1730" s="90">
        <v>44498.591724537036</v>
      </c>
      <c r="D1730" s="114">
        <v>44498.341724537036</v>
      </c>
      <c r="E1730" s="38">
        <v>44498</v>
      </c>
      <c r="F1730" s="91">
        <v>2021</v>
      </c>
      <c r="G1730" s="93">
        <v>10</v>
      </c>
      <c r="H1730" s="37" t="s">
        <v>475</v>
      </c>
      <c r="I1730" s="37"/>
      <c r="J1730" s="103">
        <v>-92.34256063596564</v>
      </c>
      <c r="K1730" s="40">
        <v>43.773713568266267</v>
      </c>
      <c r="L1730" s="74"/>
      <c r="M1730" s="272" t="s">
        <v>1310</v>
      </c>
      <c r="N1730" s="74">
        <v>1</v>
      </c>
      <c r="O1730" s="94"/>
      <c r="P1730" s="118">
        <v>1</v>
      </c>
      <c r="Q1730" s="510">
        <v>180</v>
      </c>
      <c r="R1730" s="513">
        <v>120</v>
      </c>
      <c r="S1730" s="41"/>
      <c r="T1730" s="40"/>
      <c r="U1730" s="40">
        <v>7</v>
      </c>
      <c r="V1730" s="119">
        <v>1</v>
      </c>
      <c r="W1730" s="40">
        <v>0</v>
      </c>
      <c r="X1730" s="119">
        <v>1</v>
      </c>
      <c r="Y1730" s="40">
        <v>0</v>
      </c>
      <c r="Z1730" s="119">
        <v>1</v>
      </c>
      <c r="AA1730" s="368">
        <v>0</v>
      </c>
      <c r="AB1730" s="535">
        <v>5</v>
      </c>
      <c r="AC1730" s="39" t="s">
        <v>160</v>
      </c>
      <c r="AD1730" s="75" t="s">
        <v>10</v>
      </c>
      <c r="AE1730" s="95">
        <v>0</v>
      </c>
      <c r="AF1730" s="75">
        <v>0</v>
      </c>
      <c r="AG1730" s="75">
        <v>0</v>
      </c>
      <c r="AH1730" s="75">
        <v>0</v>
      </c>
      <c r="AI1730" s="75">
        <v>0</v>
      </c>
      <c r="AJ1730" s="75">
        <v>0</v>
      </c>
      <c r="AK1730" s="75">
        <v>0</v>
      </c>
      <c r="AL1730" s="95">
        <v>1</v>
      </c>
      <c r="AM1730" s="92">
        <v>0</v>
      </c>
      <c r="AN1730" s="79" t="s">
        <v>80</v>
      </c>
      <c r="AO1730" s="75">
        <v>1</v>
      </c>
      <c r="AP1730" s="75" t="s">
        <v>83</v>
      </c>
      <c r="AQ1730" s="122">
        <v>1</v>
      </c>
      <c r="AR1730" s="515" t="s">
        <v>10</v>
      </c>
      <c r="AS1730" s="95">
        <v>0</v>
      </c>
      <c r="AT1730" s="75">
        <v>0</v>
      </c>
      <c r="AU1730" s="75">
        <v>0</v>
      </c>
      <c r="AV1730" s="75">
        <v>0</v>
      </c>
      <c r="AW1730" s="123">
        <v>0</v>
      </c>
      <c r="AX1730" s="516" t="s">
        <v>1311</v>
      </c>
      <c r="AY1730" s="75">
        <v>1</v>
      </c>
      <c r="AZ1730" s="77" t="s">
        <v>131</v>
      </c>
      <c r="BA1730" s="78" t="s">
        <v>131</v>
      </c>
      <c r="BB1730" s="78" t="s">
        <v>131</v>
      </c>
      <c r="BC1730" s="78" t="s">
        <v>131</v>
      </c>
      <c r="BD1730" s="78" t="s">
        <v>131</v>
      </c>
      <c r="BE1730" s="78" t="s">
        <v>131</v>
      </c>
      <c r="BF1730" s="78" t="s">
        <v>131</v>
      </c>
      <c r="BG1730" s="78" t="s">
        <v>132</v>
      </c>
      <c r="BH1730" s="75" t="s">
        <v>5970</v>
      </c>
      <c r="BI1730" s="295" t="s">
        <v>2260</v>
      </c>
      <c r="BJ1730" s="546">
        <v>1</v>
      </c>
      <c r="BK1730" s="294" t="s">
        <v>16</v>
      </c>
      <c r="BL1730" s="157" t="s">
        <v>16</v>
      </c>
      <c r="BM1730" s="548" t="s">
        <v>1339</v>
      </c>
      <c r="BN1730" s="548" t="s">
        <v>1339</v>
      </c>
      <c r="BO1730" s="157" t="s">
        <v>4328</v>
      </c>
      <c r="BP1730" s="548" t="s">
        <v>2222</v>
      </c>
      <c r="BQ1730" s="157" t="s">
        <v>4226</v>
      </c>
      <c r="BR1730" s="157"/>
    </row>
    <row r="1731" spans="1:70" x14ac:dyDescent="0.25">
      <c r="A1731" s="19" t="s">
        <v>3686</v>
      </c>
      <c r="B1731" s="37" t="s">
        <v>1312</v>
      </c>
      <c r="C1731" s="90">
        <v>44496.805069444446</v>
      </c>
      <c r="D1731" s="114">
        <v>44496.555069444446</v>
      </c>
      <c r="E1731" s="38">
        <v>44496</v>
      </c>
      <c r="F1731" s="91">
        <v>2021</v>
      </c>
      <c r="G1731" s="93">
        <v>10</v>
      </c>
      <c r="H1731" s="37" t="s">
        <v>619</v>
      </c>
      <c r="I1731" s="37"/>
      <c r="J1731" s="103">
        <v>-92.195373599999996</v>
      </c>
      <c r="K1731" s="40">
        <v>43.847681100000003</v>
      </c>
      <c r="L1731" s="74"/>
      <c r="M1731" s="272" t="s">
        <v>1313</v>
      </c>
      <c r="N1731" s="74">
        <v>1</v>
      </c>
      <c r="O1731" s="94"/>
      <c r="P1731" s="118">
        <v>1</v>
      </c>
      <c r="Q1731" s="510">
        <v>80</v>
      </c>
      <c r="R1731" s="513">
        <v>180</v>
      </c>
      <c r="S1731" s="41"/>
      <c r="T1731" s="40"/>
      <c r="U1731" s="40">
        <v>7.5</v>
      </c>
      <c r="V1731" s="119">
        <v>1</v>
      </c>
      <c r="W1731" s="40">
        <v>0</v>
      </c>
      <c r="X1731" s="119">
        <v>1</v>
      </c>
      <c r="Y1731" s="40">
        <v>50</v>
      </c>
      <c r="Z1731" s="119">
        <v>1</v>
      </c>
      <c r="AA1731" s="368">
        <v>0</v>
      </c>
      <c r="AB1731" s="535">
        <v>2</v>
      </c>
      <c r="AC1731" s="39" t="s">
        <v>160</v>
      </c>
      <c r="AD1731" s="75" t="s">
        <v>10</v>
      </c>
      <c r="AE1731" s="95">
        <v>0</v>
      </c>
      <c r="AF1731" s="75">
        <v>0</v>
      </c>
      <c r="AG1731" s="75">
        <v>0</v>
      </c>
      <c r="AH1731" s="75">
        <v>0</v>
      </c>
      <c r="AI1731" s="75">
        <v>0</v>
      </c>
      <c r="AJ1731" s="75">
        <v>0</v>
      </c>
      <c r="AK1731" s="75">
        <v>0</v>
      </c>
      <c r="AL1731" s="95">
        <v>1</v>
      </c>
      <c r="AM1731" s="92">
        <v>0</v>
      </c>
      <c r="AN1731" s="79" t="s">
        <v>80</v>
      </c>
      <c r="AO1731" s="75">
        <v>1</v>
      </c>
      <c r="AP1731" s="75" t="s">
        <v>83</v>
      </c>
      <c r="AQ1731" s="122">
        <v>1</v>
      </c>
      <c r="AR1731" s="515" t="s">
        <v>10</v>
      </c>
      <c r="AS1731" s="95">
        <v>0</v>
      </c>
      <c r="AT1731" s="75">
        <v>0</v>
      </c>
      <c r="AU1731" s="75">
        <v>0</v>
      </c>
      <c r="AV1731" s="75">
        <v>0</v>
      </c>
      <c r="AW1731" s="123">
        <v>0</v>
      </c>
      <c r="AX1731" s="516"/>
      <c r="AY1731" s="75">
        <v>0</v>
      </c>
      <c r="AZ1731" s="77" t="s">
        <v>131</v>
      </c>
      <c r="BA1731" s="78" t="s">
        <v>131</v>
      </c>
      <c r="BB1731" s="78" t="s">
        <v>131</v>
      </c>
      <c r="BC1731" s="78" t="s">
        <v>131</v>
      </c>
      <c r="BD1731" s="78" t="s">
        <v>131</v>
      </c>
      <c r="BE1731" s="78" t="s">
        <v>131</v>
      </c>
      <c r="BF1731" s="78" t="s">
        <v>131</v>
      </c>
      <c r="BG1731" s="78" t="s">
        <v>132</v>
      </c>
      <c r="BH1731" s="75" t="s">
        <v>5970</v>
      </c>
      <c r="BI1731" s="295" t="s">
        <v>2243</v>
      </c>
      <c r="BJ1731" s="546">
        <v>1</v>
      </c>
      <c r="BK1731" s="294" t="s">
        <v>16</v>
      </c>
      <c r="BL1731" s="157" t="s">
        <v>16</v>
      </c>
      <c r="BM1731" s="548" t="s">
        <v>1339</v>
      </c>
      <c r="BN1731" s="548" t="s">
        <v>1339</v>
      </c>
      <c r="BO1731" s="157" t="s">
        <v>4697</v>
      </c>
      <c r="BP1731" s="548" t="s">
        <v>2243</v>
      </c>
      <c r="BQ1731" s="157" t="s">
        <v>4673</v>
      </c>
      <c r="BR1731" s="157"/>
    </row>
    <row r="1732" spans="1:70" x14ac:dyDescent="0.25">
      <c r="A1732" s="19" t="s">
        <v>3686</v>
      </c>
      <c r="B1732" s="37" t="s">
        <v>1314</v>
      </c>
      <c r="C1732" s="90">
        <v>44495.802303240744</v>
      </c>
      <c r="D1732" s="114">
        <v>44495.552303240744</v>
      </c>
      <c r="E1732" s="38">
        <v>44495</v>
      </c>
      <c r="F1732" s="91">
        <v>2021</v>
      </c>
      <c r="G1732" s="93">
        <v>10</v>
      </c>
      <c r="H1732" s="37" t="s">
        <v>625</v>
      </c>
      <c r="I1732" s="37" t="s">
        <v>753</v>
      </c>
      <c r="J1732" s="103">
        <v>-92.802101100000002</v>
      </c>
      <c r="K1732" s="40">
        <v>44.542972800000001</v>
      </c>
      <c r="L1732" s="74"/>
      <c r="M1732" s="272" t="s">
        <v>16</v>
      </c>
      <c r="N1732" s="74">
        <v>0</v>
      </c>
      <c r="O1732" s="94"/>
      <c r="P1732" s="118">
        <v>1</v>
      </c>
      <c r="Q1732" s="510">
        <v>80</v>
      </c>
      <c r="R1732" s="513">
        <v>120</v>
      </c>
      <c r="S1732" s="41"/>
      <c r="T1732" s="40"/>
      <c r="U1732" s="40">
        <v>7.5</v>
      </c>
      <c r="V1732" s="119">
        <v>1</v>
      </c>
      <c r="W1732" s="40">
        <v>0</v>
      </c>
      <c r="X1732" s="119">
        <v>1</v>
      </c>
      <c r="Y1732" s="40">
        <v>48</v>
      </c>
      <c r="Z1732" s="119">
        <v>1</v>
      </c>
      <c r="AA1732" s="368">
        <v>0</v>
      </c>
      <c r="AB1732" s="535">
        <v>5</v>
      </c>
      <c r="AC1732" s="39" t="s">
        <v>160</v>
      </c>
      <c r="AD1732" s="75" t="s">
        <v>10</v>
      </c>
      <c r="AE1732" s="95">
        <v>0</v>
      </c>
      <c r="AF1732" s="75">
        <v>0</v>
      </c>
      <c r="AG1732" s="75">
        <v>0</v>
      </c>
      <c r="AH1732" s="75">
        <v>0</v>
      </c>
      <c r="AI1732" s="75">
        <v>0</v>
      </c>
      <c r="AJ1732" s="75">
        <v>0</v>
      </c>
      <c r="AK1732" s="75">
        <v>0</v>
      </c>
      <c r="AL1732" s="95">
        <v>1</v>
      </c>
      <c r="AM1732" s="92">
        <v>0</v>
      </c>
      <c r="AN1732" s="79" t="s">
        <v>80</v>
      </c>
      <c r="AO1732" s="75">
        <v>1</v>
      </c>
      <c r="AP1732" s="75" t="s">
        <v>83</v>
      </c>
      <c r="AQ1732" s="122">
        <v>1</v>
      </c>
      <c r="AR1732" s="515" t="s">
        <v>10</v>
      </c>
      <c r="AS1732" s="95">
        <v>0</v>
      </c>
      <c r="AT1732" s="75">
        <v>0</v>
      </c>
      <c r="AU1732" s="75">
        <v>0</v>
      </c>
      <c r="AV1732" s="75">
        <v>0</v>
      </c>
      <c r="AW1732" s="123">
        <v>0</v>
      </c>
      <c r="AX1732" s="516"/>
      <c r="AY1732" s="75">
        <v>0</v>
      </c>
      <c r="AZ1732" s="77" t="s">
        <v>131</v>
      </c>
      <c r="BA1732" s="78" t="s">
        <v>131</v>
      </c>
      <c r="BB1732" s="78" t="s">
        <v>131</v>
      </c>
      <c r="BC1732" s="78" t="s">
        <v>131</v>
      </c>
      <c r="BD1732" s="78" t="s">
        <v>131</v>
      </c>
      <c r="BE1732" s="78" t="s">
        <v>131</v>
      </c>
      <c r="BF1732" s="78" t="s">
        <v>131</v>
      </c>
      <c r="BG1732" s="78" t="s">
        <v>132</v>
      </c>
      <c r="BH1732" s="75" t="s">
        <v>5970</v>
      </c>
      <c r="BI1732" s="295" t="s">
        <v>2224</v>
      </c>
      <c r="BJ1732" s="546">
        <v>1</v>
      </c>
      <c r="BK1732" s="294">
        <v>1</v>
      </c>
      <c r="BL1732" s="157">
        <v>1</v>
      </c>
      <c r="BM1732" s="548" t="s">
        <v>2343</v>
      </c>
      <c r="BN1732" s="548" t="s">
        <v>4161</v>
      </c>
      <c r="BO1732" s="157" t="s">
        <v>4510</v>
      </c>
      <c r="BP1732" s="548" t="s">
        <v>753</v>
      </c>
      <c r="BQ1732" s="157" t="s">
        <v>4389</v>
      </c>
      <c r="BR1732" s="157"/>
    </row>
    <row r="1733" spans="1:70" x14ac:dyDescent="0.25">
      <c r="A1733" s="19" t="s">
        <v>3686</v>
      </c>
      <c r="B1733" s="37" t="s">
        <v>1315</v>
      </c>
      <c r="C1733" s="90">
        <v>44495.714953703704</v>
      </c>
      <c r="D1733" s="114">
        <v>44495.464953703704</v>
      </c>
      <c r="E1733" s="38">
        <v>44495</v>
      </c>
      <c r="F1733" s="91">
        <v>2021</v>
      </c>
      <c r="G1733" s="93">
        <v>10</v>
      </c>
      <c r="H1733" s="37" t="s">
        <v>201</v>
      </c>
      <c r="I1733" s="37"/>
      <c r="J1733" s="103">
        <v>-92.732103278382155</v>
      </c>
      <c r="K1733" s="40">
        <v>44.831154896699005</v>
      </c>
      <c r="L1733" s="74"/>
      <c r="M1733" s="272" t="s">
        <v>16</v>
      </c>
      <c r="N1733" s="74">
        <v>0</v>
      </c>
      <c r="O1733" s="94"/>
      <c r="P1733" s="118">
        <v>1</v>
      </c>
      <c r="Q1733" s="510">
        <v>180</v>
      </c>
      <c r="R1733" s="513">
        <v>180</v>
      </c>
      <c r="S1733" s="41"/>
      <c r="T1733" s="40"/>
      <c r="U1733" s="40">
        <v>7</v>
      </c>
      <c r="V1733" s="119">
        <v>1</v>
      </c>
      <c r="W1733" s="40">
        <v>0</v>
      </c>
      <c r="X1733" s="119">
        <v>1</v>
      </c>
      <c r="Y1733" s="40">
        <v>45</v>
      </c>
      <c r="Z1733" s="119">
        <v>1</v>
      </c>
      <c r="AA1733" s="368">
        <v>0</v>
      </c>
      <c r="AB1733" s="535">
        <v>2</v>
      </c>
      <c r="AC1733" s="39" t="s">
        <v>160</v>
      </c>
      <c r="AD1733" s="75" t="s">
        <v>8</v>
      </c>
      <c r="AE1733" s="95">
        <v>0</v>
      </c>
      <c r="AF1733" s="75">
        <v>1</v>
      </c>
      <c r="AG1733" s="75">
        <v>0</v>
      </c>
      <c r="AH1733" s="75">
        <v>0</v>
      </c>
      <c r="AI1733" s="75">
        <v>0</v>
      </c>
      <c r="AJ1733" s="75">
        <v>0</v>
      </c>
      <c r="AK1733" s="75">
        <v>0</v>
      </c>
      <c r="AL1733" s="95">
        <v>0</v>
      </c>
      <c r="AM1733" s="92">
        <v>0</v>
      </c>
      <c r="AN1733" s="79" t="s">
        <v>80</v>
      </c>
      <c r="AO1733" s="75">
        <v>1</v>
      </c>
      <c r="AP1733" s="75" t="s">
        <v>83</v>
      </c>
      <c r="AQ1733" s="122">
        <v>1</v>
      </c>
      <c r="AR1733" s="515" t="s">
        <v>10</v>
      </c>
      <c r="AS1733" s="95">
        <v>0</v>
      </c>
      <c r="AT1733" s="75">
        <v>0</v>
      </c>
      <c r="AU1733" s="75">
        <v>0</v>
      </c>
      <c r="AV1733" s="75">
        <v>0</v>
      </c>
      <c r="AW1733" s="123">
        <v>0</v>
      </c>
      <c r="AX1733" s="516" t="s">
        <v>1241</v>
      </c>
      <c r="AY1733" s="75">
        <v>1</v>
      </c>
      <c r="AZ1733" s="77" t="s">
        <v>131</v>
      </c>
      <c r="BA1733" s="78" t="s">
        <v>132</v>
      </c>
      <c r="BB1733" s="78" t="s">
        <v>131</v>
      </c>
      <c r="BC1733" s="78" t="s">
        <v>131</v>
      </c>
      <c r="BD1733" s="78" t="s">
        <v>131</v>
      </c>
      <c r="BE1733" s="78" t="s">
        <v>131</v>
      </c>
      <c r="BF1733" s="78" t="s">
        <v>131</v>
      </c>
      <c r="BG1733" s="78" t="s">
        <v>131</v>
      </c>
      <c r="BH1733" s="75" t="s">
        <v>5970</v>
      </c>
      <c r="BI1733" s="295" t="s">
        <v>2227</v>
      </c>
      <c r="BJ1733" s="546">
        <v>1</v>
      </c>
      <c r="BK1733" s="294" t="s">
        <v>16</v>
      </c>
      <c r="BL1733" s="157" t="s">
        <v>16</v>
      </c>
      <c r="BM1733" s="548" t="s">
        <v>578</v>
      </c>
      <c r="BN1733" s="548" t="s">
        <v>578</v>
      </c>
      <c r="BO1733" s="157" t="s">
        <v>4341</v>
      </c>
      <c r="BP1733" s="548" t="s">
        <v>4343</v>
      </c>
      <c r="BQ1733" s="157" t="s">
        <v>4309</v>
      </c>
      <c r="BR1733" s="157"/>
    </row>
    <row r="1734" spans="1:70" x14ac:dyDescent="0.25">
      <c r="A1734" s="19" t="s">
        <v>3686</v>
      </c>
      <c r="B1734" s="37" t="s">
        <v>1316</v>
      </c>
      <c r="C1734" s="90">
        <v>44488.803298611114</v>
      </c>
      <c r="D1734" s="114">
        <v>44488.553298611114</v>
      </c>
      <c r="E1734" s="38">
        <v>44488</v>
      </c>
      <c r="F1734" s="91">
        <v>2021</v>
      </c>
      <c r="G1734" s="93">
        <v>10</v>
      </c>
      <c r="H1734" s="37" t="s">
        <v>201</v>
      </c>
      <c r="I1734" s="37"/>
      <c r="J1734" s="103">
        <v>-92.73211744956896</v>
      </c>
      <c r="K1734" s="40">
        <v>44.831089916246974</v>
      </c>
      <c r="L1734" s="74"/>
      <c r="M1734" s="272" t="s">
        <v>16</v>
      </c>
      <c r="N1734" s="74">
        <v>0</v>
      </c>
      <c r="O1734" s="94"/>
      <c r="P1734" s="118">
        <v>1</v>
      </c>
      <c r="Q1734" s="510">
        <v>180</v>
      </c>
      <c r="R1734" s="513">
        <v>120</v>
      </c>
      <c r="S1734" s="41"/>
      <c r="T1734" s="40"/>
      <c r="U1734" s="40">
        <v>7</v>
      </c>
      <c r="V1734" s="119">
        <v>1</v>
      </c>
      <c r="W1734" s="40">
        <v>0</v>
      </c>
      <c r="X1734" s="119">
        <v>1</v>
      </c>
      <c r="Y1734" s="40">
        <v>52</v>
      </c>
      <c r="Z1734" s="119">
        <v>1</v>
      </c>
      <c r="AA1734" s="368">
        <v>0</v>
      </c>
      <c r="AB1734" s="535">
        <v>2</v>
      </c>
      <c r="AC1734" s="39" t="s">
        <v>160</v>
      </c>
      <c r="AD1734" s="75" t="s">
        <v>8</v>
      </c>
      <c r="AE1734" s="95">
        <v>0</v>
      </c>
      <c r="AF1734" s="75">
        <v>1</v>
      </c>
      <c r="AG1734" s="75">
        <v>0</v>
      </c>
      <c r="AH1734" s="75">
        <v>0</v>
      </c>
      <c r="AI1734" s="75">
        <v>0</v>
      </c>
      <c r="AJ1734" s="75">
        <v>0</v>
      </c>
      <c r="AK1734" s="75">
        <v>0</v>
      </c>
      <c r="AL1734" s="95">
        <v>0</v>
      </c>
      <c r="AM1734" s="92">
        <v>0</v>
      </c>
      <c r="AN1734" s="79" t="s">
        <v>80</v>
      </c>
      <c r="AO1734" s="75">
        <v>1</v>
      </c>
      <c r="AP1734" s="75" t="s">
        <v>83</v>
      </c>
      <c r="AQ1734" s="122">
        <v>1</v>
      </c>
      <c r="AR1734" s="515" t="s">
        <v>10</v>
      </c>
      <c r="AS1734" s="95">
        <v>0</v>
      </c>
      <c r="AT1734" s="75">
        <v>0</v>
      </c>
      <c r="AU1734" s="75">
        <v>0</v>
      </c>
      <c r="AV1734" s="75">
        <v>0</v>
      </c>
      <c r="AW1734" s="123">
        <v>0</v>
      </c>
      <c r="AX1734" s="516" t="s">
        <v>1241</v>
      </c>
      <c r="AY1734" s="75">
        <v>1</v>
      </c>
      <c r="AZ1734" s="77" t="s">
        <v>131</v>
      </c>
      <c r="BA1734" s="78" t="s">
        <v>132</v>
      </c>
      <c r="BB1734" s="78" t="s">
        <v>131</v>
      </c>
      <c r="BC1734" s="78" t="s">
        <v>131</v>
      </c>
      <c r="BD1734" s="78" t="s">
        <v>131</v>
      </c>
      <c r="BE1734" s="78" t="s">
        <v>131</v>
      </c>
      <c r="BF1734" s="78" t="s">
        <v>131</v>
      </c>
      <c r="BG1734" s="78" t="s">
        <v>131</v>
      </c>
      <c r="BH1734" s="75" t="s">
        <v>5970</v>
      </c>
      <c r="BI1734" s="295" t="s">
        <v>2227</v>
      </c>
      <c r="BJ1734" s="546">
        <v>1</v>
      </c>
      <c r="BK1734" s="294" t="s">
        <v>16</v>
      </c>
      <c r="BL1734" s="157" t="s">
        <v>16</v>
      </c>
      <c r="BM1734" s="548" t="s">
        <v>578</v>
      </c>
      <c r="BN1734" s="548" t="s">
        <v>578</v>
      </c>
      <c r="BO1734" s="157" t="s">
        <v>4341</v>
      </c>
      <c r="BP1734" s="548" t="s">
        <v>4343</v>
      </c>
      <c r="BQ1734" s="157" t="s">
        <v>4309</v>
      </c>
      <c r="BR1734" s="157"/>
    </row>
    <row r="1735" spans="1:70" x14ac:dyDescent="0.25">
      <c r="A1735" s="19" t="s">
        <v>3686</v>
      </c>
      <c r="B1735" s="37" t="s">
        <v>1317</v>
      </c>
      <c r="C1735" s="90">
        <v>44485.615324074075</v>
      </c>
      <c r="D1735" s="114">
        <v>44485.365324074075</v>
      </c>
      <c r="E1735" s="38">
        <v>44485</v>
      </c>
      <c r="F1735" s="91">
        <v>2021</v>
      </c>
      <c r="G1735" s="93">
        <v>10</v>
      </c>
      <c r="H1735" s="37" t="s">
        <v>612</v>
      </c>
      <c r="I1735" s="37" t="s">
        <v>16</v>
      </c>
      <c r="J1735" s="103">
        <v>-93.008968803231056</v>
      </c>
      <c r="K1735" s="40">
        <v>44.657315687912551</v>
      </c>
      <c r="L1735" s="74"/>
      <c r="M1735" s="272" t="s">
        <v>16</v>
      </c>
      <c r="N1735" s="74">
        <v>0</v>
      </c>
      <c r="O1735" s="94"/>
      <c r="P1735" s="118">
        <v>1</v>
      </c>
      <c r="Q1735" s="510">
        <v>80</v>
      </c>
      <c r="R1735" s="513">
        <v>0</v>
      </c>
      <c r="S1735" s="41"/>
      <c r="T1735" s="40"/>
      <c r="U1735" s="40">
        <v>7.5</v>
      </c>
      <c r="V1735" s="119">
        <v>1</v>
      </c>
      <c r="W1735" s="40">
        <v>100</v>
      </c>
      <c r="X1735" s="119">
        <v>0</v>
      </c>
      <c r="Y1735" s="40"/>
      <c r="Z1735" s="119">
        <v>1</v>
      </c>
      <c r="AA1735" s="368">
        <v>0</v>
      </c>
      <c r="AB1735" s="535">
        <v>5</v>
      </c>
      <c r="AC1735" s="39" t="s">
        <v>160</v>
      </c>
      <c r="AD1735" s="75" t="s">
        <v>10</v>
      </c>
      <c r="AE1735" s="95">
        <v>0</v>
      </c>
      <c r="AF1735" s="75">
        <v>0</v>
      </c>
      <c r="AG1735" s="75">
        <v>0</v>
      </c>
      <c r="AH1735" s="75">
        <v>0</v>
      </c>
      <c r="AI1735" s="75">
        <v>0</v>
      </c>
      <c r="AJ1735" s="75">
        <v>0</v>
      </c>
      <c r="AK1735" s="75">
        <v>0</v>
      </c>
      <c r="AL1735" s="95">
        <v>1</v>
      </c>
      <c r="AM1735" s="92">
        <v>0</v>
      </c>
      <c r="AN1735" s="79" t="s">
        <v>81</v>
      </c>
      <c r="AO1735" s="75">
        <v>1</v>
      </c>
      <c r="AP1735" s="75" t="s">
        <v>83</v>
      </c>
      <c r="AQ1735" s="122">
        <v>1</v>
      </c>
      <c r="AR1735" s="515" t="s">
        <v>16</v>
      </c>
      <c r="AS1735" s="95">
        <v>-1</v>
      </c>
      <c r="AT1735" s="75">
        <v>-1</v>
      </c>
      <c r="AU1735" s="75">
        <v>-1</v>
      </c>
      <c r="AV1735" s="75">
        <v>-1</v>
      </c>
      <c r="AW1735" s="123">
        <v>1</v>
      </c>
      <c r="AX1735" s="516"/>
      <c r="AY1735" s="75">
        <v>0</v>
      </c>
      <c r="AZ1735" s="77" t="s">
        <v>131</v>
      </c>
      <c r="BA1735" s="78" t="s">
        <v>131</v>
      </c>
      <c r="BB1735" s="78" t="s">
        <v>131</v>
      </c>
      <c r="BC1735" s="78" t="s">
        <v>131</v>
      </c>
      <c r="BD1735" s="78" t="s">
        <v>131</v>
      </c>
      <c r="BE1735" s="78" t="s">
        <v>131</v>
      </c>
      <c r="BF1735" s="78" t="s">
        <v>131</v>
      </c>
      <c r="BG1735" s="78" t="s">
        <v>132</v>
      </c>
      <c r="BH1735" s="75" t="s">
        <v>5970</v>
      </c>
      <c r="BI1735" s="295" t="s">
        <v>2225</v>
      </c>
      <c r="BJ1735" s="546">
        <v>1</v>
      </c>
      <c r="BK1735" s="294" t="s">
        <v>16</v>
      </c>
      <c r="BL1735" s="157" t="s">
        <v>16</v>
      </c>
      <c r="BM1735" s="548" t="s">
        <v>2343</v>
      </c>
      <c r="BN1735" s="548" t="s">
        <v>4161</v>
      </c>
      <c r="BO1735" s="157" t="s">
        <v>4293</v>
      </c>
      <c r="BP1735" s="548" t="s">
        <v>2225</v>
      </c>
      <c r="BQ1735" s="157" t="s">
        <v>4292</v>
      </c>
      <c r="BR1735" s="157"/>
    </row>
    <row r="1736" spans="1:70" x14ac:dyDescent="0.25">
      <c r="A1736" s="19" t="s">
        <v>3686</v>
      </c>
      <c r="B1736" s="37" t="s">
        <v>1318</v>
      </c>
      <c r="C1736" s="90">
        <v>44484.846192129633</v>
      </c>
      <c r="D1736" s="114">
        <v>44484.596192129633</v>
      </c>
      <c r="E1736" s="38">
        <v>44484</v>
      </c>
      <c r="F1736" s="91">
        <v>2021</v>
      </c>
      <c r="G1736" s="93">
        <v>10</v>
      </c>
      <c r="H1736" s="37" t="s">
        <v>594</v>
      </c>
      <c r="I1736" s="37"/>
      <c r="J1736" s="103">
        <v>-91.104781660109083</v>
      </c>
      <c r="K1736" s="40">
        <v>43.67905674100728</v>
      </c>
      <c r="L1736" s="74"/>
      <c r="M1736" s="272" t="s">
        <v>16</v>
      </c>
      <c r="N1736" s="74">
        <v>0</v>
      </c>
      <c r="O1736" s="94"/>
      <c r="P1736" s="118">
        <v>1</v>
      </c>
      <c r="Q1736" s="510">
        <v>180</v>
      </c>
      <c r="R1736" s="513">
        <v>180</v>
      </c>
      <c r="S1736" s="41"/>
      <c r="T1736" s="40"/>
      <c r="U1736" s="40">
        <v>7</v>
      </c>
      <c r="V1736" s="119">
        <v>1</v>
      </c>
      <c r="W1736" s="40">
        <v>0</v>
      </c>
      <c r="X1736" s="119">
        <v>1</v>
      </c>
      <c r="Y1736" s="40">
        <v>54</v>
      </c>
      <c r="Z1736" s="119">
        <v>1</v>
      </c>
      <c r="AA1736" s="368">
        <v>0</v>
      </c>
      <c r="AB1736" s="535">
        <v>0</v>
      </c>
      <c r="AC1736" s="39" t="s">
        <v>160</v>
      </c>
      <c r="AD1736" s="75" t="s">
        <v>16</v>
      </c>
      <c r="AE1736" s="95">
        <v>-1</v>
      </c>
      <c r="AF1736" s="75">
        <v>-1</v>
      </c>
      <c r="AG1736" s="75">
        <v>-1</v>
      </c>
      <c r="AH1736" s="75">
        <v>-1</v>
      </c>
      <c r="AI1736" s="75">
        <v>-1</v>
      </c>
      <c r="AJ1736" s="75">
        <v>-1</v>
      </c>
      <c r="AK1736" s="75">
        <v>-1</v>
      </c>
      <c r="AL1736" s="95">
        <v>-1</v>
      </c>
      <c r="AM1736" s="92">
        <v>1</v>
      </c>
      <c r="AN1736" s="79"/>
      <c r="AO1736" s="75">
        <v>0</v>
      </c>
      <c r="AP1736" s="75"/>
      <c r="AQ1736" s="122">
        <v>0</v>
      </c>
      <c r="AR1736" s="515" t="s">
        <v>16</v>
      </c>
      <c r="AS1736" s="95">
        <v>-1</v>
      </c>
      <c r="AT1736" s="75">
        <v>-1</v>
      </c>
      <c r="AU1736" s="75">
        <v>-1</v>
      </c>
      <c r="AV1736" s="75">
        <v>-1</v>
      </c>
      <c r="AW1736" s="123">
        <v>1</v>
      </c>
      <c r="AX1736" s="516"/>
      <c r="AY1736" s="75">
        <v>0</v>
      </c>
      <c r="AZ1736" s="77" t="s">
        <v>5971</v>
      </c>
      <c r="BA1736" s="78" t="s">
        <v>5971</v>
      </c>
      <c r="BB1736" s="78" t="s">
        <v>5971</v>
      </c>
      <c r="BC1736" s="78" t="s">
        <v>5971</v>
      </c>
      <c r="BD1736" s="78" t="s">
        <v>5971</v>
      </c>
      <c r="BE1736" s="78" t="s">
        <v>5971</v>
      </c>
      <c r="BF1736" s="78" t="s">
        <v>5971</v>
      </c>
      <c r="BG1736" s="78" t="s">
        <v>5971</v>
      </c>
      <c r="BH1736" s="75" t="s">
        <v>5971</v>
      </c>
      <c r="BI1736" s="295">
        <v>0</v>
      </c>
      <c r="BJ1736" s="546">
        <v>1</v>
      </c>
      <c r="BK1736" s="294">
        <v>1</v>
      </c>
      <c r="BL1736" s="157">
        <v>1</v>
      </c>
      <c r="BM1736" s="548" t="s">
        <v>1342</v>
      </c>
      <c r="BN1736" s="548" t="s">
        <v>5969</v>
      </c>
      <c r="BO1736" s="157" t="s">
        <v>4413</v>
      </c>
      <c r="BP1736" s="548" t="s">
        <v>4705</v>
      </c>
      <c r="BQ1736" s="157" t="s">
        <v>4383</v>
      </c>
      <c r="BR1736" s="157"/>
    </row>
    <row r="1737" spans="1:70" x14ac:dyDescent="0.25">
      <c r="A1737" s="19" t="s">
        <v>3686</v>
      </c>
      <c r="B1737" s="37" t="s">
        <v>1319</v>
      </c>
      <c r="C1737" s="90">
        <v>44484.699618055558</v>
      </c>
      <c r="D1737" s="114">
        <v>44484.449618055558</v>
      </c>
      <c r="E1737" s="38">
        <v>44484</v>
      </c>
      <c r="F1737" s="91">
        <v>2021</v>
      </c>
      <c r="G1737" s="93">
        <v>10</v>
      </c>
      <c r="H1737" s="37" t="s">
        <v>594</v>
      </c>
      <c r="I1737" s="37"/>
      <c r="J1737" s="103">
        <v>-91.094951324398039</v>
      </c>
      <c r="K1737" s="40">
        <v>43.688906779714259</v>
      </c>
      <c r="L1737" s="74"/>
      <c r="M1737" s="272" t="s">
        <v>16</v>
      </c>
      <c r="N1737" s="74">
        <v>0</v>
      </c>
      <c r="O1737" s="94"/>
      <c r="P1737" s="118">
        <v>1</v>
      </c>
      <c r="Q1737" s="510">
        <v>180</v>
      </c>
      <c r="R1737" s="513">
        <v>120</v>
      </c>
      <c r="S1737" s="41"/>
      <c r="T1737" s="40"/>
      <c r="U1737" s="40">
        <v>8</v>
      </c>
      <c r="V1737" s="119">
        <v>1</v>
      </c>
      <c r="W1737" s="40">
        <v>100</v>
      </c>
      <c r="X1737" s="119">
        <v>0</v>
      </c>
      <c r="Y1737" s="40"/>
      <c r="Z1737" s="119">
        <v>0</v>
      </c>
      <c r="AA1737" s="368" t="s">
        <v>16</v>
      </c>
      <c r="AB1737" s="535" t="s">
        <v>16</v>
      </c>
      <c r="AC1737" s="39" t="s">
        <v>160</v>
      </c>
      <c r="AD1737" s="75" t="s">
        <v>16</v>
      </c>
      <c r="AE1737" s="95">
        <v>-1</v>
      </c>
      <c r="AF1737" s="75">
        <v>-1</v>
      </c>
      <c r="AG1737" s="75">
        <v>-1</v>
      </c>
      <c r="AH1737" s="75">
        <v>-1</v>
      </c>
      <c r="AI1737" s="75">
        <v>-1</v>
      </c>
      <c r="AJ1737" s="75">
        <v>-1</v>
      </c>
      <c r="AK1737" s="75">
        <v>-1</v>
      </c>
      <c r="AL1737" s="95">
        <v>-1</v>
      </c>
      <c r="AM1737" s="92">
        <v>1</v>
      </c>
      <c r="AN1737" s="79"/>
      <c r="AO1737" s="75">
        <v>0</v>
      </c>
      <c r="AP1737" s="75"/>
      <c r="AQ1737" s="122">
        <v>0</v>
      </c>
      <c r="AR1737" s="515" t="s">
        <v>16</v>
      </c>
      <c r="AS1737" s="95">
        <v>-1</v>
      </c>
      <c r="AT1737" s="75">
        <v>-1</v>
      </c>
      <c r="AU1737" s="75">
        <v>-1</v>
      </c>
      <c r="AV1737" s="75">
        <v>-1</v>
      </c>
      <c r="AW1737" s="123">
        <v>1</v>
      </c>
      <c r="AX1737" s="516"/>
      <c r="AY1737" s="75">
        <v>0</v>
      </c>
      <c r="AZ1737" s="77" t="s">
        <v>5971</v>
      </c>
      <c r="BA1737" s="78" t="s">
        <v>5971</v>
      </c>
      <c r="BB1737" s="78" t="s">
        <v>5971</v>
      </c>
      <c r="BC1737" s="78" t="s">
        <v>5971</v>
      </c>
      <c r="BD1737" s="78" t="s">
        <v>5971</v>
      </c>
      <c r="BE1737" s="78" t="s">
        <v>5971</v>
      </c>
      <c r="BF1737" s="78" t="s">
        <v>5971</v>
      </c>
      <c r="BG1737" s="78" t="s">
        <v>5971</v>
      </c>
      <c r="BH1737" s="75" t="s">
        <v>5971</v>
      </c>
      <c r="BI1737" s="295" t="s">
        <v>16</v>
      </c>
      <c r="BJ1737" s="546">
        <v>1</v>
      </c>
      <c r="BK1737" s="294">
        <v>1</v>
      </c>
      <c r="BL1737" s="157">
        <v>1</v>
      </c>
      <c r="BM1737" s="548" t="s">
        <v>1342</v>
      </c>
      <c r="BN1737" s="548" t="s">
        <v>5969</v>
      </c>
      <c r="BO1737" s="157" t="s">
        <v>4413</v>
      </c>
      <c r="BP1737" s="548" t="s">
        <v>4705</v>
      </c>
      <c r="BQ1737" s="157" t="s">
        <v>4383</v>
      </c>
      <c r="BR1737" s="157"/>
    </row>
    <row r="1738" spans="1:70" x14ac:dyDescent="0.25">
      <c r="A1738" s="19" t="s">
        <v>3686</v>
      </c>
      <c r="B1738" s="37" t="s">
        <v>1320</v>
      </c>
      <c r="C1738" s="90">
        <v>44484.6487037037</v>
      </c>
      <c r="D1738" s="114">
        <v>44484.3987037037</v>
      </c>
      <c r="E1738" s="38">
        <v>44484</v>
      </c>
      <c r="F1738" s="91">
        <v>2021</v>
      </c>
      <c r="G1738" s="93">
        <v>10</v>
      </c>
      <c r="H1738" s="37" t="s">
        <v>611</v>
      </c>
      <c r="I1738" s="37" t="s">
        <v>16</v>
      </c>
      <c r="J1738" s="103">
        <v>-92.433290600000007</v>
      </c>
      <c r="K1738" s="40">
        <v>44.291783000000002</v>
      </c>
      <c r="L1738" s="74"/>
      <c r="M1738" s="272" t="s">
        <v>1321</v>
      </c>
      <c r="N1738" s="74">
        <v>1</v>
      </c>
      <c r="O1738" s="94"/>
      <c r="P1738" s="118">
        <v>1</v>
      </c>
      <c r="Q1738" s="510">
        <v>240</v>
      </c>
      <c r="R1738" s="513">
        <v>120</v>
      </c>
      <c r="S1738" s="41"/>
      <c r="T1738" s="40"/>
      <c r="U1738" s="40">
        <v>7.5</v>
      </c>
      <c r="V1738" s="119">
        <v>1</v>
      </c>
      <c r="W1738" s="40">
        <v>0</v>
      </c>
      <c r="X1738" s="119">
        <v>1</v>
      </c>
      <c r="Y1738" s="40">
        <v>45</v>
      </c>
      <c r="Z1738" s="119">
        <v>1</v>
      </c>
      <c r="AA1738" s="368">
        <v>0</v>
      </c>
      <c r="AB1738" s="535">
        <v>5</v>
      </c>
      <c r="AC1738" s="39"/>
      <c r="AD1738" s="75" t="s">
        <v>10</v>
      </c>
      <c r="AE1738" s="95">
        <v>0</v>
      </c>
      <c r="AF1738" s="75">
        <v>0</v>
      </c>
      <c r="AG1738" s="75">
        <v>0</v>
      </c>
      <c r="AH1738" s="75">
        <v>0</v>
      </c>
      <c r="AI1738" s="75">
        <v>0</v>
      </c>
      <c r="AJ1738" s="75">
        <v>0</v>
      </c>
      <c r="AK1738" s="75">
        <v>0</v>
      </c>
      <c r="AL1738" s="95">
        <v>1</v>
      </c>
      <c r="AM1738" s="92">
        <v>0</v>
      </c>
      <c r="AN1738" s="79" t="s">
        <v>80</v>
      </c>
      <c r="AO1738" s="75">
        <v>1</v>
      </c>
      <c r="AP1738" s="75" t="s">
        <v>83</v>
      </c>
      <c r="AQ1738" s="122">
        <v>1</v>
      </c>
      <c r="AR1738" s="515" t="s">
        <v>10</v>
      </c>
      <c r="AS1738" s="95">
        <v>0</v>
      </c>
      <c r="AT1738" s="75">
        <v>0</v>
      </c>
      <c r="AU1738" s="75">
        <v>0</v>
      </c>
      <c r="AV1738" s="75">
        <v>0</v>
      </c>
      <c r="AW1738" s="123">
        <v>0</v>
      </c>
      <c r="AX1738" s="516" t="s">
        <v>1322</v>
      </c>
      <c r="AY1738" s="75">
        <v>1</v>
      </c>
      <c r="AZ1738" s="77" t="s">
        <v>131</v>
      </c>
      <c r="BA1738" s="78" t="s">
        <v>131</v>
      </c>
      <c r="BB1738" s="78" t="s">
        <v>131</v>
      </c>
      <c r="BC1738" s="78" t="s">
        <v>131</v>
      </c>
      <c r="BD1738" s="78" t="s">
        <v>131</v>
      </c>
      <c r="BE1738" s="78" t="s">
        <v>131</v>
      </c>
      <c r="BF1738" s="78" t="s">
        <v>131</v>
      </c>
      <c r="BG1738" s="78" t="s">
        <v>132</v>
      </c>
      <c r="BH1738" s="75" t="s">
        <v>5970</v>
      </c>
      <c r="BI1738" s="295" t="s">
        <v>2234</v>
      </c>
      <c r="BJ1738" s="546">
        <v>1</v>
      </c>
      <c r="BK1738" s="294">
        <v>1</v>
      </c>
      <c r="BL1738" s="157">
        <v>1</v>
      </c>
      <c r="BM1738" s="548" t="s">
        <v>1339</v>
      </c>
      <c r="BN1738" s="548" t="s">
        <v>1339</v>
      </c>
      <c r="BO1738" s="157" t="s">
        <v>4331</v>
      </c>
      <c r="BP1738" s="548" t="s">
        <v>2234</v>
      </c>
      <c r="BQ1738" s="157" t="s">
        <v>4330</v>
      </c>
      <c r="BR1738" s="157"/>
    </row>
    <row r="1739" spans="1:70" x14ac:dyDescent="0.25">
      <c r="A1739" s="19" t="s">
        <v>3686</v>
      </c>
      <c r="B1739" s="37" t="s">
        <v>1323</v>
      </c>
      <c r="C1739" s="90">
        <v>44480.707256944443</v>
      </c>
      <c r="D1739" s="114">
        <v>44480.457256944443</v>
      </c>
      <c r="E1739" s="38">
        <v>44480</v>
      </c>
      <c r="F1739" s="91">
        <v>2021</v>
      </c>
      <c r="G1739" s="93">
        <v>10</v>
      </c>
      <c r="H1739" s="37" t="s">
        <v>625</v>
      </c>
      <c r="I1739" s="37" t="s">
        <v>753</v>
      </c>
      <c r="J1739" s="103">
        <v>-92.802106899999998</v>
      </c>
      <c r="K1739" s="40">
        <v>44.543010000000002</v>
      </c>
      <c r="L1739" s="74"/>
      <c r="M1739" s="272" t="s">
        <v>16</v>
      </c>
      <c r="N1739" s="74">
        <v>0</v>
      </c>
      <c r="O1739" s="94"/>
      <c r="P1739" s="118">
        <v>1</v>
      </c>
      <c r="Q1739" s="510">
        <v>80</v>
      </c>
      <c r="R1739" s="513">
        <v>180</v>
      </c>
      <c r="S1739" s="41"/>
      <c r="T1739" s="40"/>
      <c r="U1739" s="40">
        <v>7.5</v>
      </c>
      <c r="V1739" s="119">
        <v>1</v>
      </c>
      <c r="W1739" s="40">
        <v>0</v>
      </c>
      <c r="X1739" s="119">
        <v>1</v>
      </c>
      <c r="Y1739" s="40">
        <v>51</v>
      </c>
      <c r="Z1739" s="119">
        <v>1</v>
      </c>
      <c r="AA1739" s="368">
        <v>0</v>
      </c>
      <c r="AB1739" s="535">
        <v>10</v>
      </c>
      <c r="AC1739" s="39" t="s">
        <v>160</v>
      </c>
      <c r="AD1739" s="75" t="s">
        <v>10</v>
      </c>
      <c r="AE1739" s="95">
        <v>0</v>
      </c>
      <c r="AF1739" s="75">
        <v>0</v>
      </c>
      <c r="AG1739" s="75">
        <v>0</v>
      </c>
      <c r="AH1739" s="75">
        <v>0</v>
      </c>
      <c r="AI1739" s="75">
        <v>0</v>
      </c>
      <c r="AJ1739" s="75">
        <v>0</v>
      </c>
      <c r="AK1739" s="75">
        <v>0</v>
      </c>
      <c r="AL1739" s="95">
        <v>1</v>
      </c>
      <c r="AM1739" s="92">
        <v>0</v>
      </c>
      <c r="AN1739" s="79" t="s">
        <v>80</v>
      </c>
      <c r="AO1739" s="75">
        <v>1</v>
      </c>
      <c r="AP1739" s="75" t="s">
        <v>83</v>
      </c>
      <c r="AQ1739" s="122">
        <v>1</v>
      </c>
      <c r="AR1739" s="515" t="s">
        <v>10</v>
      </c>
      <c r="AS1739" s="95">
        <v>0</v>
      </c>
      <c r="AT1739" s="75">
        <v>0</v>
      </c>
      <c r="AU1739" s="75">
        <v>0</v>
      </c>
      <c r="AV1739" s="75">
        <v>0</v>
      </c>
      <c r="AW1739" s="123">
        <v>0</v>
      </c>
      <c r="AX1739" s="516"/>
      <c r="AY1739" s="75">
        <v>0</v>
      </c>
      <c r="AZ1739" s="77" t="s">
        <v>131</v>
      </c>
      <c r="BA1739" s="78" t="s">
        <v>131</v>
      </c>
      <c r="BB1739" s="78" t="s">
        <v>131</v>
      </c>
      <c r="BC1739" s="78" t="s">
        <v>131</v>
      </c>
      <c r="BD1739" s="78" t="s">
        <v>131</v>
      </c>
      <c r="BE1739" s="78" t="s">
        <v>131</v>
      </c>
      <c r="BF1739" s="78" t="s">
        <v>131</v>
      </c>
      <c r="BG1739" s="78" t="s">
        <v>132</v>
      </c>
      <c r="BH1739" s="75" t="s">
        <v>5970</v>
      </c>
      <c r="BI1739" s="295" t="s">
        <v>2224</v>
      </c>
      <c r="BJ1739" s="546">
        <v>1</v>
      </c>
      <c r="BK1739" s="294">
        <v>1</v>
      </c>
      <c r="BL1739" s="157">
        <v>1</v>
      </c>
      <c r="BM1739" s="548" t="s">
        <v>2343</v>
      </c>
      <c r="BN1739" s="548" t="s">
        <v>4161</v>
      </c>
      <c r="BO1739" s="157" t="s">
        <v>4510</v>
      </c>
      <c r="BP1739" s="548" t="s">
        <v>753</v>
      </c>
      <c r="BQ1739" s="157" t="s">
        <v>4389</v>
      </c>
      <c r="BR1739" s="157"/>
    </row>
    <row r="1740" spans="1:70" x14ac:dyDescent="0.25">
      <c r="A1740" s="19" t="s">
        <v>3686</v>
      </c>
      <c r="B1740" s="37" t="s">
        <v>1324</v>
      </c>
      <c r="C1740" s="90">
        <v>44480.686111111114</v>
      </c>
      <c r="D1740" s="114">
        <v>44480.436111111114</v>
      </c>
      <c r="E1740" s="38">
        <v>44480</v>
      </c>
      <c r="F1740" s="91">
        <v>2021</v>
      </c>
      <c r="G1740" s="93">
        <v>10</v>
      </c>
      <c r="H1740" s="37" t="s">
        <v>201</v>
      </c>
      <c r="I1740" s="37"/>
      <c r="J1740" s="103">
        <v>-92.732159038709838</v>
      </c>
      <c r="K1740" s="40">
        <v>44.831066926540863</v>
      </c>
      <c r="L1740" s="74"/>
      <c r="M1740" s="272" t="s">
        <v>16</v>
      </c>
      <c r="N1740" s="74">
        <v>0</v>
      </c>
      <c r="O1740" s="94"/>
      <c r="P1740" s="118">
        <v>1</v>
      </c>
      <c r="Q1740" s="510">
        <v>180</v>
      </c>
      <c r="R1740" s="513">
        <v>120</v>
      </c>
      <c r="S1740" s="41"/>
      <c r="T1740" s="40"/>
      <c r="U1740" s="40">
        <v>7</v>
      </c>
      <c r="V1740" s="119">
        <v>1</v>
      </c>
      <c r="W1740" s="40">
        <v>0</v>
      </c>
      <c r="X1740" s="119">
        <v>1</v>
      </c>
      <c r="Y1740" s="40">
        <v>55</v>
      </c>
      <c r="Z1740" s="119">
        <v>0</v>
      </c>
      <c r="AA1740" s="368" t="s">
        <v>16</v>
      </c>
      <c r="AB1740" s="535" t="s">
        <v>16</v>
      </c>
      <c r="AC1740" s="39" t="s">
        <v>160</v>
      </c>
      <c r="AD1740" s="75" t="s">
        <v>8</v>
      </c>
      <c r="AE1740" s="95">
        <v>0</v>
      </c>
      <c r="AF1740" s="75">
        <v>1</v>
      </c>
      <c r="AG1740" s="75">
        <v>0</v>
      </c>
      <c r="AH1740" s="75">
        <v>0</v>
      </c>
      <c r="AI1740" s="75">
        <v>0</v>
      </c>
      <c r="AJ1740" s="75">
        <v>0</v>
      </c>
      <c r="AK1740" s="75">
        <v>0</v>
      </c>
      <c r="AL1740" s="95">
        <v>0</v>
      </c>
      <c r="AM1740" s="92">
        <v>0</v>
      </c>
      <c r="AN1740" s="79" t="s">
        <v>80</v>
      </c>
      <c r="AO1740" s="75">
        <v>1</v>
      </c>
      <c r="AP1740" s="75" t="s">
        <v>83</v>
      </c>
      <c r="AQ1740" s="122">
        <v>1</v>
      </c>
      <c r="AR1740" s="515" t="s">
        <v>10</v>
      </c>
      <c r="AS1740" s="95">
        <v>0</v>
      </c>
      <c r="AT1740" s="75">
        <v>0</v>
      </c>
      <c r="AU1740" s="75">
        <v>0</v>
      </c>
      <c r="AV1740" s="75">
        <v>0</v>
      </c>
      <c r="AW1740" s="123">
        <v>0</v>
      </c>
      <c r="AX1740" s="516" t="s">
        <v>1241</v>
      </c>
      <c r="AY1740" s="75">
        <v>1</v>
      </c>
      <c r="AZ1740" s="77" t="s">
        <v>131</v>
      </c>
      <c r="BA1740" s="78" t="s">
        <v>132</v>
      </c>
      <c r="BB1740" s="78" t="s">
        <v>131</v>
      </c>
      <c r="BC1740" s="78" t="s">
        <v>131</v>
      </c>
      <c r="BD1740" s="78" t="s">
        <v>131</v>
      </c>
      <c r="BE1740" s="78" t="s">
        <v>131</v>
      </c>
      <c r="BF1740" s="78" t="s">
        <v>131</v>
      </c>
      <c r="BG1740" s="78" t="s">
        <v>131</v>
      </c>
      <c r="BH1740" s="75" t="s">
        <v>5970</v>
      </c>
      <c r="BI1740" s="295" t="s">
        <v>2227</v>
      </c>
      <c r="BJ1740" s="546">
        <v>1</v>
      </c>
      <c r="BK1740" s="294" t="s">
        <v>16</v>
      </c>
      <c r="BL1740" s="157" t="s">
        <v>16</v>
      </c>
      <c r="BM1740" s="548" t="s">
        <v>578</v>
      </c>
      <c r="BN1740" s="548" t="s">
        <v>578</v>
      </c>
      <c r="BO1740" s="157" t="s">
        <v>4341</v>
      </c>
      <c r="BP1740" s="548" t="s">
        <v>4343</v>
      </c>
      <c r="BQ1740" s="157" t="s">
        <v>4309</v>
      </c>
      <c r="BR1740" s="157"/>
    </row>
    <row r="1741" spans="1:70" x14ac:dyDescent="0.25">
      <c r="A1741" s="19" t="s">
        <v>3686</v>
      </c>
      <c r="B1741" s="37" t="s">
        <v>2096</v>
      </c>
      <c r="C1741" s="90">
        <v>44478.691354166665</v>
      </c>
      <c r="D1741" s="114">
        <v>44478.441354166665</v>
      </c>
      <c r="E1741" s="38">
        <v>44478</v>
      </c>
      <c r="F1741" s="91">
        <v>2021</v>
      </c>
      <c r="G1741" s="93">
        <v>10</v>
      </c>
      <c r="H1741" s="37" t="s">
        <v>1401</v>
      </c>
      <c r="I1741" s="37" t="s">
        <v>16</v>
      </c>
      <c r="J1741" s="103">
        <v>-92.740700599999997</v>
      </c>
      <c r="K1741" s="40">
        <v>44.510963799999999</v>
      </c>
      <c r="L1741" s="74"/>
      <c r="M1741" s="272" t="s">
        <v>2097</v>
      </c>
      <c r="N1741" s="74">
        <v>1</v>
      </c>
      <c r="O1741" s="94"/>
      <c r="P1741" s="118">
        <v>1</v>
      </c>
      <c r="Q1741" s="510">
        <v>0</v>
      </c>
      <c r="R1741" s="513">
        <v>30</v>
      </c>
      <c r="S1741" s="41"/>
      <c r="T1741" s="40"/>
      <c r="U1741" s="40">
        <v>7</v>
      </c>
      <c r="V1741" s="119">
        <v>1</v>
      </c>
      <c r="W1741" s="40">
        <v>100</v>
      </c>
      <c r="X1741" s="119">
        <v>1</v>
      </c>
      <c r="Y1741" s="40">
        <v>58</v>
      </c>
      <c r="Z1741" s="119">
        <v>1</v>
      </c>
      <c r="AA1741" s="368">
        <v>0</v>
      </c>
      <c r="AB1741" s="535">
        <v>0</v>
      </c>
      <c r="AC1741" s="39" t="s">
        <v>160</v>
      </c>
      <c r="AD1741" s="75" t="s">
        <v>10</v>
      </c>
      <c r="AE1741" s="95">
        <v>0</v>
      </c>
      <c r="AF1741" s="75">
        <v>0</v>
      </c>
      <c r="AG1741" s="75">
        <v>0</v>
      </c>
      <c r="AH1741" s="75">
        <v>0</v>
      </c>
      <c r="AI1741" s="75">
        <v>0</v>
      </c>
      <c r="AJ1741" s="75">
        <v>0</v>
      </c>
      <c r="AK1741" s="75">
        <v>0</v>
      </c>
      <c r="AL1741" s="95">
        <v>1</v>
      </c>
      <c r="AM1741" s="92">
        <v>0</v>
      </c>
      <c r="AN1741" s="79" t="s">
        <v>81</v>
      </c>
      <c r="AO1741" s="75">
        <v>1</v>
      </c>
      <c r="AP1741" s="75" t="s">
        <v>83</v>
      </c>
      <c r="AQ1741" s="122">
        <v>1</v>
      </c>
      <c r="AR1741" s="515" t="s">
        <v>10</v>
      </c>
      <c r="AS1741" s="95">
        <v>0</v>
      </c>
      <c r="AT1741" s="75">
        <v>0</v>
      </c>
      <c r="AU1741" s="75">
        <v>0</v>
      </c>
      <c r="AV1741" s="75">
        <v>0</v>
      </c>
      <c r="AW1741" s="123">
        <v>0</v>
      </c>
      <c r="AX1741" s="516"/>
      <c r="AY1741" s="75">
        <v>0</v>
      </c>
      <c r="AZ1741" s="77" t="s">
        <v>131</v>
      </c>
      <c r="BA1741" s="78" t="s">
        <v>131</v>
      </c>
      <c r="BB1741" s="78" t="s">
        <v>131</v>
      </c>
      <c r="BC1741" s="78" t="s">
        <v>131</v>
      </c>
      <c r="BD1741" s="78" t="s">
        <v>131</v>
      </c>
      <c r="BE1741" s="78" t="s">
        <v>131</v>
      </c>
      <c r="BF1741" s="78" t="s">
        <v>131</v>
      </c>
      <c r="BG1741" s="78" t="s">
        <v>132</v>
      </c>
      <c r="BH1741" s="75" t="s">
        <v>5970</v>
      </c>
      <c r="BI1741" s="295" t="s">
        <v>1402</v>
      </c>
      <c r="BJ1741" s="546" t="s">
        <v>16</v>
      </c>
      <c r="BK1741" s="294" t="s">
        <v>16</v>
      </c>
      <c r="BL1741" s="157" t="s">
        <v>16</v>
      </c>
      <c r="BM1741" s="548" t="s">
        <v>2343</v>
      </c>
      <c r="BN1741" s="548" t="s">
        <v>4161</v>
      </c>
      <c r="BO1741" s="157" t="s">
        <v>4290</v>
      </c>
      <c r="BP1741" s="548" t="s">
        <v>4291</v>
      </c>
      <c r="BQ1741" s="157" t="s">
        <v>4289</v>
      </c>
      <c r="BR1741" s="157"/>
    </row>
    <row r="1742" spans="1:70" x14ac:dyDescent="0.25">
      <c r="A1742" s="19" t="s">
        <v>3686</v>
      </c>
      <c r="B1742" s="37" t="s">
        <v>1229</v>
      </c>
      <c r="C1742" s="90">
        <v>44476.82576388889</v>
      </c>
      <c r="D1742" s="114">
        <v>44476.57576388889</v>
      </c>
      <c r="E1742" s="38">
        <v>44476</v>
      </c>
      <c r="F1742" s="91">
        <v>2021</v>
      </c>
      <c r="G1742" s="93">
        <v>10</v>
      </c>
      <c r="H1742" s="37" t="s">
        <v>599</v>
      </c>
      <c r="I1742" s="37" t="s">
        <v>2361</v>
      </c>
      <c r="J1742" s="103">
        <v>-92.442799983632241</v>
      </c>
      <c r="K1742" s="40">
        <v>44.621353433509</v>
      </c>
      <c r="L1742" s="74"/>
      <c r="M1742" s="272" t="s">
        <v>16</v>
      </c>
      <c r="N1742" s="74">
        <v>0</v>
      </c>
      <c r="O1742" s="94"/>
      <c r="P1742" s="118">
        <v>1</v>
      </c>
      <c r="Q1742" s="510">
        <v>180</v>
      </c>
      <c r="R1742" s="513">
        <v>120</v>
      </c>
      <c r="S1742" s="41"/>
      <c r="T1742" s="40"/>
      <c r="U1742" s="40">
        <v>7.5</v>
      </c>
      <c r="V1742" s="119">
        <v>1</v>
      </c>
      <c r="W1742" s="40">
        <v>0</v>
      </c>
      <c r="X1742" s="119">
        <v>0</v>
      </c>
      <c r="Y1742" s="40"/>
      <c r="Z1742" s="119">
        <v>0</v>
      </c>
      <c r="AA1742" s="368" t="s">
        <v>16</v>
      </c>
      <c r="AB1742" s="535" t="s">
        <v>16</v>
      </c>
      <c r="AC1742" s="39" t="s">
        <v>160</v>
      </c>
      <c r="AD1742" s="75" t="s">
        <v>10</v>
      </c>
      <c r="AE1742" s="95">
        <v>0</v>
      </c>
      <c r="AF1742" s="75">
        <v>0</v>
      </c>
      <c r="AG1742" s="75">
        <v>0</v>
      </c>
      <c r="AH1742" s="75">
        <v>0</v>
      </c>
      <c r="AI1742" s="75">
        <v>0</v>
      </c>
      <c r="AJ1742" s="75">
        <v>0</v>
      </c>
      <c r="AK1742" s="75">
        <v>0</v>
      </c>
      <c r="AL1742" s="95">
        <v>1</v>
      </c>
      <c r="AM1742" s="92">
        <v>0</v>
      </c>
      <c r="AN1742" s="79"/>
      <c r="AO1742" s="75">
        <v>0</v>
      </c>
      <c r="AP1742" s="75"/>
      <c r="AQ1742" s="122">
        <v>0</v>
      </c>
      <c r="AR1742" s="515" t="s">
        <v>16</v>
      </c>
      <c r="AS1742" s="95">
        <v>-1</v>
      </c>
      <c r="AT1742" s="75">
        <v>-1</v>
      </c>
      <c r="AU1742" s="75">
        <v>-1</v>
      </c>
      <c r="AV1742" s="75">
        <v>-1</v>
      </c>
      <c r="AW1742" s="123">
        <v>1</v>
      </c>
      <c r="AX1742" s="516"/>
      <c r="AY1742" s="75">
        <v>0</v>
      </c>
      <c r="AZ1742" s="77" t="s">
        <v>131</v>
      </c>
      <c r="BA1742" s="78" t="s">
        <v>131</v>
      </c>
      <c r="BB1742" s="78" t="s">
        <v>131</v>
      </c>
      <c r="BC1742" s="78" t="s">
        <v>131</v>
      </c>
      <c r="BD1742" s="78" t="s">
        <v>131</v>
      </c>
      <c r="BE1742" s="78" t="s">
        <v>131</v>
      </c>
      <c r="BF1742" s="78" t="s">
        <v>131</v>
      </c>
      <c r="BG1742" s="78" t="s">
        <v>132</v>
      </c>
      <c r="BH1742" s="75" t="s">
        <v>5970</v>
      </c>
      <c r="BI1742" s="295" t="s">
        <v>2289</v>
      </c>
      <c r="BJ1742" s="546">
        <v>1</v>
      </c>
      <c r="BK1742" s="294" t="s">
        <v>16</v>
      </c>
      <c r="BL1742" s="157" t="s">
        <v>16</v>
      </c>
      <c r="BM1742" s="548" t="s">
        <v>578</v>
      </c>
      <c r="BN1742" s="548" t="s">
        <v>544</v>
      </c>
      <c r="BO1742" s="157" t="s">
        <v>4283</v>
      </c>
      <c r="BP1742" s="548" t="s">
        <v>2289</v>
      </c>
      <c r="BQ1742" s="157" t="s">
        <v>4214</v>
      </c>
      <c r="BR1742" s="157"/>
    </row>
    <row r="1743" spans="1:70" x14ac:dyDescent="0.25">
      <c r="A1743" s="19" t="s">
        <v>3686</v>
      </c>
      <c r="B1743" s="37" t="s">
        <v>1230</v>
      </c>
      <c r="C1743" s="90">
        <v>44476.708981481483</v>
      </c>
      <c r="D1743" s="114">
        <v>44476.458981481483</v>
      </c>
      <c r="E1743" s="38">
        <v>44476</v>
      </c>
      <c r="F1743" s="91">
        <v>2021</v>
      </c>
      <c r="G1743" s="93">
        <v>10</v>
      </c>
      <c r="H1743" s="37" t="s">
        <v>619</v>
      </c>
      <c r="I1743" s="37"/>
      <c r="J1743" s="103">
        <v>-92.149312199999997</v>
      </c>
      <c r="K1743" s="40">
        <v>44.248732400000002</v>
      </c>
      <c r="L1743" s="74"/>
      <c r="M1743" s="272" t="s">
        <v>1231</v>
      </c>
      <c r="N1743" s="74">
        <v>1</v>
      </c>
      <c r="O1743" s="94"/>
      <c r="P1743" s="118">
        <v>1</v>
      </c>
      <c r="Q1743" s="510">
        <v>80</v>
      </c>
      <c r="R1743" s="513">
        <v>120</v>
      </c>
      <c r="S1743" s="41"/>
      <c r="T1743" s="40"/>
      <c r="U1743" s="40">
        <v>7.5</v>
      </c>
      <c r="V1743" s="119">
        <v>1</v>
      </c>
      <c r="W1743" s="40">
        <v>0</v>
      </c>
      <c r="X1743" s="119">
        <v>1</v>
      </c>
      <c r="Y1743" s="40">
        <v>54</v>
      </c>
      <c r="Z1743" s="119">
        <v>1</v>
      </c>
      <c r="AA1743" s="368">
        <v>0</v>
      </c>
      <c r="AB1743" s="535">
        <v>5</v>
      </c>
      <c r="AC1743" s="39" t="s">
        <v>160</v>
      </c>
      <c r="AD1743" s="75" t="s">
        <v>16</v>
      </c>
      <c r="AE1743" s="95">
        <v>-1</v>
      </c>
      <c r="AF1743" s="75">
        <v>-1</v>
      </c>
      <c r="AG1743" s="75">
        <v>-1</v>
      </c>
      <c r="AH1743" s="75">
        <v>-1</v>
      </c>
      <c r="AI1743" s="75">
        <v>-1</v>
      </c>
      <c r="AJ1743" s="75">
        <v>-1</v>
      </c>
      <c r="AK1743" s="75">
        <v>-1</v>
      </c>
      <c r="AL1743" s="95">
        <v>-1</v>
      </c>
      <c r="AM1743" s="92">
        <v>1</v>
      </c>
      <c r="AN1743" s="79" t="s">
        <v>80</v>
      </c>
      <c r="AO1743" s="75">
        <v>1</v>
      </c>
      <c r="AP1743" s="75" t="s">
        <v>83</v>
      </c>
      <c r="AQ1743" s="122">
        <v>1</v>
      </c>
      <c r="AR1743" s="515" t="s">
        <v>10</v>
      </c>
      <c r="AS1743" s="95">
        <v>0</v>
      </c>
      <c r="AT1743" s="75">
        <v>0</v>
      </c>
      <c r="AU1743" s="75">
        <v>0</v>
      </c>
      <c r="AV1743" s="75">
        <v>0</v>
      </c>
      <c r="AW1743" s="123">
        <v>0</v>
      </c>
      <c r="AX1743" s="516"/>
      <c r="AY1743" s="75">
        <v>0</v>
      </c>
      <c r="AZ1743" s="77" t="s">
        <v>5971</v>
      </c>
      <c r="BA1743" s="78" t="s">
        <v>5971</v>
      </c>
      <c r="BB1743" s="78" t="s">
        <v>5971</v>
      </c>
      <c r="BC1743" s="78" t="s">
        <v>5971</v>
      </c>
      <c r="BD1743" s="78" t="s">
        <v>5971</v>
      </c>
      <c r="BE1743" s="78" t="s">
        <v>5971</v>
      </c>
      <c r="BF1743" s="78" t="s">
        <v>5971</v>
      </c>
      <c r="BG1743" s="78" t="s">
        <v>5971</v>
      </c>
      <c r="BH1743" s="75" t="s">
        <v>5971</v>
      </c>
      <c r="BI1743" s="295" t="s">
        <v>317</v>
      </c>
      <c r="BJ1743" s="546">
        <v>1</v>
      </c>
      <c r="BK1743" s="294">
        <v>1</v>
      </c>
      <c r="BL1743" s="157">
        <v>1</v>
      </c>
      <c r="BM1743" s="548" t="s">
        <v>1339</v>
      </c>
      <c r="BN1743" s="548" t="s">
        <v>1339</v>
      </c>
      <c r="BO1743" s="157" t="s">
        <v>4358</v>
      </c>
      <c r="BP1743" s="548" t="s">
        <v>317</v>
      </c>
      <c r="BQ1743" s="157" t="s">
        <v>4330</v>
      </c>
      <c r="BR1743" s="157"/>
    </row>
    <row r="1744" spans="1:70" x14ac:dyDescent="0.25">
      <c r="A1744" s="19" t="s">
        <v>3686</v>
      </c>
      <c r="B1744" s="37" t="s">
        <v>1232</v>
      </c>
      <c r="C1744" s="90">
        <v>44475.978680555556</v>
      </c>
      <c r="D1744" s="114">
        <v>44475.728680555556</v>
      </c>
      <c r="E1744" s="38">
        <v>44475</v>
      </c>
      <c r="F1744" s="91">
        <v>2021</v>
      </c>
      <c r="G1744" s="93">
        <v>10</v>
      </c>
      <c r="H1744" s="37" t="s">
        <v>606</v>
      </c>
      <c r="I1744" s="37"/>
      <c r="J1744" s="103">
        <v>-92.46278989124518</v>
      </c>
      <c r="K1744" s="40">
        <v>44.179163568754433</v>
      </c>
      <c r="L1744" s="74"/>
      <c r="M1744" s="272" t="s">
        <v>1233</v>
      </c>
      <c r="N1744" s="74">
        <v>1</v>
      </c>
      <c r="O1744" s="94"/>
      <c r="P1744" s="118">
        <v>1</v>
      </c>
      <c r="Q1744" s="510">
        <v>80</v>
      </c>
      <c r="R1744" s="513">
        <v>0</v>
      </c>
      <c r="S1744" s="41"/>
      <c r="T1744" s="40"/>
      <c r="U1744" s="40">
        <v>7</v>
      </c>
      <c r="V1744" s="119">
        <v>1</v>
      </c>
      <c r="W1744" s="40">
        <v>0</v>
      </c>
      <c r="X1744" s="119">
        <v>0</v>
      </c>
      <c r="Y1744" s="40"/>
      <c r="Z1744" s="119">
        <v>1</v>
      </c>
      <c r="AA1744" s="368">
        <v>0</v>
      </c>
      <c r="AB1744" s="535">
        <v>5</v>
      </c>
      <c r="AC1744" s="39" t="s">
        <v>186</v>
      </c>
      <c r="AD1744" s="75" t="s">
        <v>16</v>
      </c>
      <c r="AE1744" s="95">
        <v>-1</v>
      </c>
      <c r="AF1744" s="75">
        <v>-1</v>
      </c>
      <c r="AG1744" s="75">
        <v>-1</v>
      </c>
      <c r="AH1744" s="75">
        <v>-1</v>
      </c>
      <c r="AI1744" s="75">
        <v>-1</v>
      </c>
      <c r="AJ1744" s="75">
        <v>-1</v>
      </c>
      <c r="AK1744" s="75">
        <v>-1</v>
      </c>
      <c r="AL1744" s="95">
        <v>-1</v>
      </c>
      <c r="AM1744" s="92">
        <v>1</v>
      </c>
      <c r="AN1744" s="79" t="s">
        <v>80</v>
      </c>
      <c r="AO1744" s="75">
        <v>1</v>
      </c>
      <c r="AP1744" s="75" t="s">
        <v>83</v>
      </c>
      <c r="AQ1744" s="122">
        <v>1</v>
      </c>
      <c r="AR1744" s="515" t="s">
        <v>10</v>
      </c>
      <c r="AS1744" s="95">
        <v>0</v>
      </c>
      <c r="AT1744" s="75">
        <v>0</v>
      </c>
      <c r="AU1744" s="75">
        <v>0</v>
      </c>
      <c r="AV1744" s="75">
        <v>0</v>
      </c>
      <c r="AW1744" s="123">
        <v>0</v>
      </c>
      <c r="AX1744" s="516" t="s">
        <v>1234</v>
      </c>
      <c r="AY1744" s="75">
        <v>1</v>
      </c>
      <c r="AZ1744" s="77" t="s">
        <v>5971</v>
      </c>
      <c r="BA1744" s="78" t="s">
        <v>5971</v>
      </c>
      <c r="BB1744" s="78" t="s">
        <v>5971</v>
      </c>
      <c r="BC1744" s="78" t="s">
        <v>5971</v>
      </c>
      <c r="BD1744" s="78" t="s">
        <v>5971</v>
      </c>
      <c r="BE1744" s="78" t="s">
        <v>5971</v>
      </c>
      <c r="BF1744" s="78" t="s">
        <v>5971</v>
      </c>
      <c r="BG1744" s="78" t="s">
        <v>5971</v>
      </c>
      <c r="BH1744" s="75" t="s">
        <v>5971</v>
      </c>
      <c r="BI1744" s="295" t="s">
        <v>2279</v>
      </c>
      <c r="BJ1744" s="546" t="s">
        <v>16</v>
      </c>
      <c r="BK1744" s="294" t="s">
        <v>16</v>
      </c>
      <c r="BL1744" s="157" t="s">
        <v>16</v>
      </c>
      <c r="BM1744" s="548" t="s">
        <v>1339</v>
      </c>
      <c r="BN1744" s="548" t="s">
        <v>1339</v>
      </c>
      <c r="BO1744" s="157" t="s">
        <v>4706</v>
      </c>
      <c r="BP1744" s="548" t="s">
        <v>4707</v>
      </c>
      <c r="BQ1744" s="157" t="s">
        <v>4330</v>
      </c>
      <c r="BR1744" s="157"/>
    </row>
    <row r="1745" spans="1:70" x14ac:dyDescent="0.25">
      <c r="A1745" s="19" t="s">
        <v>3686</v>
      </c>
      <c r="B1745" s="37" t="s">
        <v>1235</v>
      </c>
      <c r="C1745" s="90">
        <v>44475.972881944443</v>
      </c>
      <c r="D1745" s="114">
        <v>44475.722881944443</v>
      </c>
      <c r="E1745" s="38">
        <v>44475</v>
      </c>
      <c r="F1745" s="91">
        <v>2021</v>
      </c>
      <c r="G1745" s="93">
        <v>10</v>
      </c>
      <c r="H1745" s="37" t="s">
        <v>606</v>
      </c>
      <c r="I1745" s="37"/>
      <c r="J1745" s="103">
        <v>-92.465223120341165</v>
      </c>
      <c r="K1745" s="40">
        <v>44.179399530870981</v>
      </c>
      <c r="L1745" s="74"/>
      <c r="M1745" s="272" t="s">
        <v>16</v>
      </c>
      <c r="N1745" s="74">
        <v>0</v>
      </c>
      <c r="O1745" s="94"/>
      <c r="P1745" s="118">
        <v>1</v>
      </c>
      <c r="Q1745" s="510">
        <v>180</v>
      </c>
      <c r="R1745" s="513">
        <v>0</v>
      </c>
      <c r="S1745" s="41"/>
      <c r="T1745" s="40"/>
      <c r="U1745" s="40">
        <v>7.5</v>
      </c>
      <c r="V1745" s="119">
        <v>1</v>
      </c>
      <c r="W1745" s="40">
        <v>100</v>
      </c>
      <c r="X1745" s="119">
        <v>0</v>
      </c>
      <c r="Y1745" s="40"/>
      <c r="Z1745" s="119">
        <v>1</v>
      </c>
      <c r="AA1745" s="368">
        <v>0</v>
      </c>
      <c r="AB1745" s="535">
        <v>5</v>
      </c>
      <c r="AC1745" s="39" t="s">
        <v>186</v>
      </c>
      <c r="AD1745" s="75" t="s">
        <v>16</v>
      </c>
      <c r="AE1745" s="95">
        <v>-1</v>
      </c>
      <c r="AF1745" s="75">
        <v>-1</v>
      </c>
      <c r="AG1745" s="75">
        <v>-1</v>
      </c>
      <c r="AH1745" s="75">
        <v>-1</v>
      </c>
      <c r="AI1745" s="75">
        <v>-1</v>
      </c>
      <c r="AJ1745" s="75">
        <v>-1</v>
      </c>
      <c r="AK1745" s="75">
        <v>-1</v>
      </c>
      <c r="AL1745" s="95">
        <v>-1</v>
      </c>
      <c r="AM1745" s="92">
        <v>1</v>
      </c>
      <c r="AN1745" s="79" t="s">
        <v>80</v>
      </c>
      <c r="AO1745" s="75">
        <v>1</v>
      </c>
      <c r="AP1745" s="75" t="s">
        <v>84</v>
      </c>
      <c r="AQ1745" s="122">
        <v>1</v>
      </c>
      <c r="AR1745" s="515" t="s">
        <v>10</v>
      </c>
      <c r="AS1745" s="95">
        <v>0</v>
      </c>
      <c r="AT1745" s="75">
        <v>0</v>
      </c>
      <c r="AU1745" s="75">
        <v>0</v>
      </c>
      <c r="AV1745" s="75">
        <v>0</v>
      </c>
      <c r="AW1745" s="123">
        <v>0</v>
      </c>
      <c r="AX1745" s="516" t="s">
        <v>1236</v>
      </c>
      <c r="AY1745" s="75">
        <v>1</v>
      </c>
      <c r="AZ1745" s="77" t="s">
        <v>5971</v>
      </c>
      <c r="BA1745" s="78" t="s">
        <v>5971</v>
      </c>
      <c r="BB1745" s="78" t="s">
        <v>5971</v>
      </c>
      <c r="BC1745" s="78" t="s">
        <v>5971</v>
      </c>
      <c r="BD1745" s="78" t="s">
        <v>5971</v>
      </c>
      <c r="BE1745" s="78" t="s">
        <v>5971</v>
      </c>
      <c r="BF1745" s="78" t="s">
        <v>5971</v>
      </c>
      <c r="BG1745" s="78" t="s">
        <v>5971</v>
      </c>
      <c r="BH1745" s="75" t="s">
        <v>5971</v>
      </c>
      <c r="BI1745" s="295" t="s">
        <v>2279</v>
      </c>
      <c r="BJ1745" s="546" t="s">
        <v>16</v>
      </c>
      <c r="BK1745" s="294" t="s">
        <v>16</v>
      </c>
      <c r="BL1745" s="157" t="s">
        <v>16</v>
      </c>
      <c r="BM1745" s="548" t="s">
        <v>1339</v>
      </c>
      <c r="BN1745" s="548" t="s">
        <v>1339</v>
      </c>
      <c r="BO1745" s="157" t="s">
        <v>4706</v>
      </c>
      <c r="BP1745" s="548" t="s">
        <v>4707</v>
      </c>
      <c r="BQ1745" s="157" t="s">
        <v>4330</v>
      </c>
      <c r="BR1745" s="157"/>
    </row>
    <row r="1746" spans="1:70" x14ac:dyDescent="0.25">
      <c r="A1746" s="19" t="s">
        <v>3686</v>
      </c>
      <c r="B1746" s="37" t="s">
        <v>1237</v>
      </c>
      <c r="C1746" s="90">
        <v>44473.756099537037</v>
      </c>
      <c r="D1746" s="114">
        <v>44473.506099537037</v>
      </c>
      <c r="E1746" s="38">
        <v>44473</v>
      </c>
      <c r="F1746" s="91">
        <v>2021</v>
      </c>
      <c r="G1746" s="93">
        <v>10</v>
      </c>
      <c r="H1746" s="37" t="s">
        <v>602</v>
      </c>
      <c r="I1746" s="37"/>
      <c r="J1746" s="103">
        <v>-91.979607299999998</v>
      </c>
      <c r="K1746" s="40">
        <v>44.070324999999997</v>
      </c>
      <c r="L1746" s="74"/>
      <c r="M1746" s="272" t="s">
        <v>1238</v>
      </c>
      <c r="N1746" s="74">
        <v>1</v>
      </c>
      <c r="O1746" s="94"/>
      <c r="P1746" s="118">
        <v>1</v>
      </c>
      <c r="Q1746" s="510">
        <v>180</v>
      </c>
      <c r="R1746" s="513">
        <v>120</v>
      </c>
      <c r="S1746" s="41"/>
      <c r="T1746" s="40"/>
      <c r="U1746" s="40">
        <v>8</v>
      </c>
      <c r="V1746" s="119">
        <v>1</v>
      </c>
      <c r="W1746" s="40">
        <v>200</v>
      </c>
      <c r="X1746" s="119">
        <v>1</v>
      </c>
      <c r="Y1746" s="40">
        <v>57</v>
      </c>
      <c r="Z1746" s="119">
        <v>1</v>
      </c>
      <c r="AA1746" s="368">
        <v>0</v>
      </c>
      <c r="AB1746" s="535">
        <v>5</v>
      </c>
      <c r="AC1746" s="39" t="s">
        <v>160</v>
      </c>
      <c r="AD1746" s="75" t="s">
        <v>10</v>
      </c>
      <c r="AE1746" s="95">
        <v>0</v>
      </c>
      <c r="AF1746" s="75">
        <v>0</v>
      </c>
      <c r="AG1746" s="75">
        <v>0</v>
      </c>
      <c r="AH1746" s="75">
        <v>0</v>
      </c>
      <c r="AI1746" s="75">
        <v>0</v>
      </c>
      <c r="AJ1746" s="75">
        <v>0</v>
      </c>
      <c r="AK1746" s="75">
        <v>0</v>
      </c>
      <c r="AL1746" s="95">
        <v>1</v>
      </c>
      <c r="AM1746" s="92">
        <v>0</v>
      </c>
      <c r="AN1746" s="79" t="s">
        <v>80</v>
      </c>
      <c r="AO1746" s="75">
        <v>1</v>
      </c>
      <c r="AP1746" s="75" t="s">
        <v>83</v>
      </c>
      <c r="AQ1746" s="122">
        <v>1</v>
      </c>
      <c r="AR1746" s="515" t="s">
        <v>10</v>
      </c>
      <c r="AS1746" s="95">
        <v>0</v>
      </c>
      <c r="AT1746" s="75">
        <v>0</v>
      </c>
      <c r="AU1746" s="75">
        <v>0</v>
      </c>
      <c r="AV1746" s="75">
        <v>0</v>
      </c>
      <c r="AW1746" s="123">
        <v>0</v>
      </c>
      <c r="AX1746" s="516" t="s">
        <v>16</v>
      </c>
      <c r="AY1746" s="75">
        <v>0</v>
      </c>
      <c r="AZ1746" s="77" t="s">
        <v>131</v>
      </c>
      <c r="BA1746" s="78" t="s">
        <v>131</v>
      </c>
      <c r="BB1746" s="78" t="s">
        <v>131</v>
      </c>
      <c r="BC1746" s="78" t="s">
        <v>131</v>
      </c>
      <c r="BD1746" s="78" t="s">
        <v>131</v>
      </c>
      <c r="BE1746" s="78" t="s">
        <v>131</v>
      </c>
      <c r="BF1746" s="78" t="s">
        <v>131</v>
      </c>
      <c r="BG1746" s="78" t="s">
        <v>132</v>
      </c>
      <c r="BH1746" s="75" t="s">
        <v>5970</v>
      </c>
      <c r="BI1746" s="295" t="s">
        <v>16</v>
      </c>
      <c r="BJ1746" s="546">
        <v>1</v>
      </c>
      <c r="BK1746" s="294" t="s">
        <v>16</v>
      </c>
      <c r="BL1746" s="157" t="s">
        <v>16</v>
      </c>
      <c r="BM1746" s="548" t="s">
        <v>1341</v>
      </c>
      <c r="BN1746" s="548" t="s">
        <v>1339</v>
      </c>
      <c r="BO1746" s="157" t="s">
        <v>4362</v>
      </c>
      <c r="BP1746" s="548" t="s">
        <v>4363</v>
      </c>
      <c r="BQ1746" s="157" t="s">
        <v>4361</v>
      </c>
      <c r="BR1746" s="157"/>
    </row>
    <row r="1747" spans="1:70" x14ac:dyDescent="0.25">
      <c r="A1747" s="19" t="s">
        <v>3686</v>
      </c>
      <c r="B1747" s="37" t="s">
        <v>1239</v>
      </c>
      <c r="C1747" s="90">
        <v>44472.811203703706</v>
      </c>
      <c r="D1747" s="114">
        <v>44472.561203703706</v>
      </c>
      <c r="E1747" s="38">
        <v>44472</v>
      </c>
      <c r="F1747" s="91">
        <v>2021</v>
      </c>
      <c r="G1747" s="93">
        <v>10</v>
      </c>
      <c r="H1747" s="37" t="s">
        <v>609</v>
      </c>
      <c r="I1747" s="37"/>
      <c r="J1747" s="103">
        <v>-93.00901707095592</v>
      </c>
      <c r="K1747" s="40">
        <v>44.657304240508083</v>
      </c>
      <c r="L1747" s="74"/>
      <c r="M1747" s="272" t="s">
        <v>16</v>
      </c>
      <c r="N1747" s="74">
        <v>0</v>
      </c>
      <c r="O1747" s="94"/>
      <c r="P1747" s="118">
        <v>0</v>
      </c>
      <c r="Q1747" s="510"/>
      <c r="R1747" s="513"/>
      <c r="S1747" s="41"/>
      <c r="T1747" s="40"/>
      <c r="U1747" s="40"/>
      <c r="V1747" s="119">
        <v>1</v>
      </c>
      <c r="W1747" s="40">
        <v>0</v>
      </c>
      <c r="X1747" s="119">
        <v>1</v>
      </c>
      <c r="Y1747" s="40">
        <v>61</v>
      </c>
      <c r="Z1747" s="119">
        <v>0</v>
      </c>
      <c r="AA1747" s="368" t="s">
        <v>16</v>
      </c>
      <c r="AB1747" s="535" t="s">
        <v>16</v>
      </c>
      <c r="AC1747" s="39"/>
      <c r="AD1747" s="75" t="s">
        <v>16</v>
      </c>
      <c r="AE1747" s="95">
        <v>-1</v>
      </c>
      <c r="AF1747" s="75">
        <v>-1</v>
      </c>
      <c r="AG1747" s="75">
        <v>-1</v>
      </c>
      <c r="AH1747" s="75">
        <v>-1</v>
      </c>
      <c r="AI1747" s="75">
        <v>-1</v>
      </c>
      <c r="AJ1747" s="75">
        <v>-1</v>
      </c>
      <c r="AK1747" s="75">
        <v>-1</v>
      </c>
      <c r="AL1747" s="95">
        <v>-1</v>
      </c>
      <c r="AM1747" s="92">
        <v>1</v>
      </c>
      <c r="AN1747" s="79"/>
      <c r="AO1747" s="75">
        <v>0</v>
      </c>
      <c r="AP1747" s="75"/>
      <c r="AQ1747" s="122">
        <v>0</v>
      </c>
      <c r="AR1747" s="515" t="s">
        <v>16</v>
      </c>
      <c r="AS1747" s="95">
        <v>-1</v>
      </c>
      <c r="AT1747" s="75">
        <v>-1</v>
      </c>
      <c r="AU1747" s="75">
        <v>-1</v>
      </c>
      <c r="AV1747" s="75">
        <v>-1</v>
      </c>
      <c r="AW1747" s="123">
        <v>1</v>
      </c>
      <c r="AX1747" s="516"/>
      <c r="AY1747" s="75">
        <v>0</v>
      </c>
      <c r="AZ1747" s="77" t="s">
        <v>5971</v>
      </c>
      <c r="BA1747" s="78" t="s">
        <v>5971</v>
      </c>
      <c r="BB1747" s="78" t="s">
        <v>5971</v>
      </c>
      <c r="BC1747" s="78" t="s">
        <v>5971</v>
      </c>
      <c r="BD1747" s="78" t="s">
        <v>5971</v>
      </c>
      <c r="BE1747" s="78" t="s">
        <v>5971</v>
      </c>
      <c r="BF1747" s="78" t="s">
        <v>5971</v>
      </c>
      <c r="BG1747" s="78" t="s">
        <v>5971</v>
      </c>
      <c r="BH1747" s="75" t="s">
        <v>5971</v>
      </c>
      <c r="BI1747" s="295" t="s">
        <v>2225</v>
      </c>
      <c r="BJ1747" s="546">
        <v>1</v>
      </c>
      <c r="BK1747" s="294" t="s">
        <v>16</v>
      </c>
      <c r="BL1747" s="157" t="s">
        <v>16</v>
      </c>
      <c r="BM1747" s="548" t="s">
        <v>2343</v>
      </c>
      <c r="BN1747" s="548" t="s">
        <v>4161</v>
      </c>
      <c r="BO1747" s="157" t="s">
        <v>4293</v>
      </c>
      <c r="BP1747" s="548" t="s">
        <v>2225</v>
      </c>
      <c r="BQ1747" s="157" t="s">
        <v>4292</v>
      </c>
      <c r="BR1747" s="157"/>
    </row>
    <row r="1748" spans="1:70" x14ac:dyDescent="0.25">
      <c r="A1748" s="19" t="s">
        <v>3686</v>
      </c>
      <c r="B1748" s="37" t="s">
        <v>1240</v>
      </c>
      <c r="C1748" s="90">
        <v>44472.713379629633</v>
      </c>
      <c r="D1748" s="114">
        <v>44472.463379629633</v>
      </c>
      <c r="E1748" s="38">
        <v>44472</v>
      </c>
      <c r="F1748" s="91">
        <v>2021</v>
      </c>
      <c r="G1748" s="93">
        <v>10</v>
      </c>
      <c r="H1748" s="37" t="s">
        <v>201</v>
      </c>
      <c r="I1748" s="37"/>
      <c r="J1748" s="103">
        <v>-92.732101372451766</v>
      </c>
      <c r="K1748" s="40">
        <v>44.831000771826439</v>
      </c>
      <c r="L1748" s="74"/>
      <c r="M1748" s="272" t="s">
        <v>16</v>
      </c>
      <c r="N1748" s="74">
        <v>0</v>
      </c>
      <c r="O1748" s="94"/>
      <c r="P1748" s="118">
        <v>1</v>
      </c>
      <c r="Q1748" s="510">
        <v>180</v>
      </c>
      <c r="R1748" s="513">
        <v>180</v>
      </c>
      <c r="S1748" s="41"/>
      <c r="T1748" s="40"/>
      <c r="U1748" s="40">
        <v>7.5</v>
      </c>
      <c r="V1748" s="119">
        <v>1</v>
      </c>
      <c r="W1748" s="40">
        <v>0</v>
      </c>
      <c r="X1748" s="119">
        <v>1</v>
      </c>
      <c r="Y1748" s="40">
        <v>59</v>
      </c>
      <c r="Z1748" s="119">
        <v>1</v>
      </c>
      <c r="AA1748" s="368">
        <v>0</v>
      </c>
      <c r="AB1748" s="535">
        <v>5</v>
      </c>
      <c r="AC1748" s="39" t="s">
        <v>160</v>
      </c>
      <c r="AD1748" s="75" t="s">
        <v>8</v>
      </c>
      <c r="AE1748" s="95">
        <v>0</v>
      </c>
      <c r="AF1748" s="75">
        <v>1</v>
      </c>
      <c r="AG1748" s="75">
        <v>0</v>
      </c>
      <c r="AH1748" s="75">
        <v>0</v>
      </c>
      <c r="AI1748" s="75">
        <v>0</v>
      </c>
      <c r="AJ1748" s="75">
        <v>0</v>
      </c>
      <c r="AK1748" s="75">
        <v>0</v>
      </c>
      <c r="AL1748" s="95">
        <v>0</v>
      </c>
      <c r="AM1748" s="92">
        <v>0</v>
      </c>
      <c r="AN1748" s="79" t="s">
        <v>80</v>
      </c>
      <c r="AO1748" s="75">
        <v>1</v>
      </c>
      <c r="AP1748" s="75" t="s">
        <v>83</v>
      </c>
      <c r="AQ1748" s="122">
        <v>1</v>
      </c>
      <c r="AR1748" s="515" t="s">
        <v>10</v>
      </c>
      <c r="AS1748" s="95">
        <v>0</v>
      </c>
      <c r="AT1748" s="75">
        <v>0</v>
      </c>
      <c r="AU1748" s="75">
        <v>0</v>
      </c>
      <c r="AV1748" s="75">
        <v>0</v>
      </c>
      <c r="AW1748" s="123">
        <v>0</v>
      </c>
      <c r="AX1748" s="516" t="s">
        <v>1241</v>
      </c>
      <c r="AY1748" s="75">
        <v>1</v>
      </c>
      <c r="AZ1748" s="77" t="s">
        <v>131</v>
      </c>
      <c r="BA1748" s="78" t="s">
        <v>132</v>
      </c>
      <c r="BB1748" s="78" t="s">
        <v>131</v>
      </c>
      <c r="BC1748" s="78" t="s">
        <v>131</v>
      </c>
      <c r="BD1748" s="78" t="s">
        <v>131</v>
      </c>
      <c r="BE1748" s="78" t="s">
        <v>131</v>
      </c>
      <c r="BF1748" s="78" t="s">
        <v>131</v>
      </c>
      <c r="BG1748" s="78" t="s">
        <v>131</v>
      </c>
      <c r="BH1748" s="75" t="s">
        <v>5970</v>
      </c>
      <c r="BI1748" s="295" t="s">
        <v>2227</v>
      </c>
      <c r="BJ1748" s="546">
        <v>1</v>
      </c>
      <c r="BK1748" s="294" t="s">
        <v>16</v>
      </c>
      <c r="BL1748" s="157" t="s">
        <v>16</v>
      </c>
      <c r="BM1748" s="548" t="s">
        <v>578</v>
      </c>
      <c r="BN1748" s="548" t="s">
        <v>578</v>
      </c>
      <c r="BO1748" s="157" t="s">
        <v>4341</v>
      </c>
      <c r="BP1748" s="548" t="s">
        <v>4343</v>
      </c>
      <c r="BQ1748" s="157" t="s">
        <v>4309</v>
      </c>
      <c r="BR1748" s="157"/>
    </row>
    <row r="1749" spans="1:70" x14ac:dyDescent="0.25">
      <c r="A1749" s="19" t="s">
        <v>3686</v>
      </c>
      <c r="B1749" s="37" t="s">
        <v>1242</v>
      </c>
      <c r="C1749" s="90">
        <v>44471.606666666667</v>
      </c>
      <c r="D1749" s="114">
        <v>44471.356666666667</v>
      </c>
      <c r="E1749" s="38">
        <v>44471</v>
      </c>
      <c r="F1749" s="91">
        <v>2021</v>
      </c>
      <c r="G1749" s="93">
        <v>10</v>
      </c>
      <c r="H1749" s="37" t="s">
        <v>594</v>
      </c>
      <c r="I1749" s="37"/>
      <c r="J1749" s="103">
        <v>-90.930184417730516</v>
      </c>
      <c r="K1749" s="40">
        <v>43.732109931698425</v>
      </c>
      <c r="L1749" s="74"/>
      <c r="M1749" s="272" t="s">
        <v>16</v>
      </c>
      <c r="N1749" s="74">
        <v>0</v>
      </c>
      <c r="O1749" s="94"/>
      <c r="P1749" s="118">
        <v>1</v>
      </c>
      <c r="Q1749" s="510">
        <v>80</v>
      </c>
      <c r="R1749" s="513">
        <v>0</v>
      </c>
      <c r="S1749" s="41"/>
      <c r="T1749" s="40"/>
      <c r="U1749" s="40">
        <v>7</v>
      </c>
      <c r="V1749" s="119">
        <v>1</v>
      </c>
      <c r="W1749" s="40">
        <v>0</v>
      </c>
      <c r="X1749" s="119">
        <v>1</v>
      </c>
      <c r="Y1749" s="40">
        <v>55</v>
      </c>
      <c r="Z1749" s="119">
        <v>1</v>
      </c>
      <c r="AA1749" s="368">
        <v>0</v>
      </c>
      <c r="AB1749" s="535">
        <v>0</v>
      </c>
      <c r="AC1749" s="39" t="s">
        <v>160</v>
      </c>
      <c r="AD1749" s="75" t="s">
        <v>16</v>
      </c>
      <c r="AE1749" s="95">
        <v>-1</v>
      </c>
      <c r="AF1749" s="75">
        <v>-1</v>
      </c>
      <c r="AG1749" s="75">
        <v>-1</v>
      </c>
      <c r="AH1749" s="75">
        <v>-1</v>
      </c>
      <c r="AI1749" s="75">
        <v>-1</v>
      </c>
      <c r="AJ1749" s="75">
        <v>-1</v>
      </c>
      <c r="AK1749" s="75">
        <v>-1</v>
      </c>
      <c r="AL1749" s="95">
        <v>-1</v>
      </c>
      <c r="AM1749" s="92">
        <v>1</v>
      </c>
      <c r="AN1749" s="79" t="s">
        <v>16</v>
      </c>
      <c r="AO1749" s="75">
        <v>0</v>
      </c>
      <c r="AP1749" s="75" t="s">
        <v>16</v>
      </c>
      <c r="AQ1749" s="122">
        <v>0</v>
      </c>
      <c r="AR1749" s="515" t="s">
        <v>16</v>
      </c>
      <c r="AS1749" s="95">
        <v>-1</v>
      </c>
      <c r="AT1749" s="75">
        <v>-1</v>
      </c>
      <c r="AU1749" s="75">
        <v>-1</v>
      </c>
      <c r="AV1749" s="75">
        <v>-1</v>
      </c>
      <c r="AW1749" s="123">
        <v>1</v>
      </c>
      <c r="AX1749" s="516"/>
      <c r="AY1749" s="75">
        <v>0</v>
      </c>
      <c r="AZ1749" s="77" t="s">
        <v>5971</v>
      </c>
      <c r="BA1749" s="78" t="s">
        <v>5971</v>
      </c>
      <c r="BB1749" s="78" t="s">
        <v>5971</v>
      </c>
      <c r="BC1749" s="78" t="s">
        <v>5971</v>
      </c>
      <c r="BD1749" s="78" t="s">
        <v>5971</v>
      </c>
      <c r="BE1749" s="78" t="s">
        <v>5971</v>
      </c>
      <c r="BF1749" s="78" t="s">
        <v>5971</v>
      </c>
      <c r="BG1749" s="78" t="s">
        <v>5971</v>
      </c>
      <c r="BH1749" s="75" t="s">
        <v>5971</v>
      </c>
      <c r="BI1749" s="295">
        <v>0</v>
      </c>
      <c r="BJ1749" s="546">
        <v>1</v>
      </c>
      <c r="BK1749" s="294" t="s">
        <v>16</v>
      </c>
      <c r="BL1749" s="157" t="s">
        <v>16</v>
      </c>
      <c r="BM1749" s="548" t="s">
        <v>1342</v>
      </c>
      <c r="BN1749" s="548" t="s">
        <v>5969</v>
      </c>
      <c r="BO1749" s="157" t="s">
        <v>4613</v>
      </c>
      <c r="BP1749" s="548" t="s">
        <v>2275</v>
      </c>
      <c r="BQ1749" s="157" t="s">
        <v>4383</v>
      </c>
      <c r="BR1749" s="157"/>
    </row>
    <row r="1750" spans="1:70" x14ac:dyDescent="0.25">
      <c r="A1750" s="19" t="s">
        <v>3686</v>
      </c>
      <c r="B1750" s="37" t="s">
        <v>1243</v>
      </c>
      <c r="C1750" s="90">
        <v>44469.752789351849</v>
      </c>
      <c r="D1750" s="114">
        <v>44469.502789351849</v>
      </c>
      <c r="E1750" s="38">
        <v>44469</v>
      </c>
      <c r="F1750" s="91">
        <v>2021</v>
      </c>
      <c r="G1750" s="93">
        <v>9</v>
      </c>
      <c r="H1750" s="37" t="s">
        <v>617</v>
      </c>
      <c r="I1750" s="37" t="s">
        <v>2362</v>
      </c>
      <c r="J1750" s="103">
        <v>-92.284229326899165</v>
      </c>
      <c r="K1750" s="40">
        <v>44.542265414916429</v>
      </c>
      <c r="L1750" s="74"/>
      <c r="M1750" s="272" t="s">
        <v>16</v>
      </c>
      <c r="N1750" s="74">
        <v>0</v>
      </c>
      <c r="O1750" s="94"/>
      <c r="P1750" s="118">
        <v>1</v>
      </c>
      <c r="Q1750" s="510">
        <v>180</v>
      </c>
      <c r="R1750" s="513">
        <v>120</v>
      </c>
      <c r="S1750" s="41"/>
      <c r="T1750" s="40"/>
      <c r="U1750" s="40">
        <v>7</v>
      </c>
      <c r="V1750" s="119">
        <v>1</v>
      </c>
      <c r="W1750" s="40">
        <v>0</v>
      </c>
      <c r="X1750" s="119">
        <v>1</v>
      </c>
      <c r="Y1750" s="40">
        <v>54</v>
      </c>
      <c r="Z1750" s="119">
        <v>1</v>
      </c>
      <c r="AA1750" s="368">
        <v>0</v>
      </c>
      <c r="AB1750" s="535">
        <v>2</v>
      </c>
      <c r="AC1750" s="39" t="s">
        <v>160</v>
      </c>
      <c r="AD1750" s="75" t="s">
        <v>10</v>
      </c>
      <c r="AE1750" s="95">
        <v>0</v>
      </c>
      <c r="AF1750" s="75">
        <v>0</v>
      </c>
      <c r="AG1750" s="75">
        <v>0</v>
      </c>
      <c r="AH1750" s="75">
        <v>0</v>
      </c>
      <c r="AI1750" s="75">
        <v>0</v>
      </c>
      <c r="AJ1750" s="75">
        <v>0</v>
      </c>
      <c r="AK1750" s="75">
        <v>0</v>
      </c>
      <c r="AL1750" s="95">
        <v>1</v>
      </c>
      <c r="AM1750" s="92">
        <v>0</v>
      </c>
      <c r="AN1750" s="79" t="s">
        <v>80</v>
      </c>
      <c r="AO1750" s="75">
        <v>1</v>
      </c>
      <c r="AP1750" s="75" t="s">
        <v>83</v>
      </c>
      <c r="AQ1750" s="122">
        <v>1</v>
      </c>
      <c r="AR1750" s="515" t="s">
        <v>10</v>
      </c>
      <c r="AS1750" s="95">
        <v>0</v>
      </c>
      <c r="AT1750" s="75">
        <v>0</v>
      </c>
      <c r="AU1750" s="75">
        <v>0</v>
      </c>
      <c r="AV1750" s="75">
        <v>0</v>
      </c>
      <c r="AW1750" s="123">
        <v>0</v>
      </c>
      <c r="AX1750" s="516"/>
      <c r="AY1750" s="75">
        <v>0</v>
      </c>
      <c r="AZ1750" s="77" t="s">
        <v>131</v>
      </c>
      <c r="BA1750" s="78" t="s">
        <v>131</v>
      </c>
      <c r="BB1750" s="78" t="s">
        <v>131</v>
      </c>
      <c r="BC1750" s="78" t="s">
        <v>131</v>
      </c>
      <c r="BD1750" s="78" t="s">
        <v>131</v>
      </c>
      <c r="BE1750" s="78" t="s">
        <v>131</v>
      </c>
      <c r="BF1750" s="78" t="s">
        <v>131</v>
      </c>
      <c r="BG1750" s="78" t="s">
        <v>132</v>
      </c>
      <c r="BH1750" s="75" t="s">
        <v>5970</v>
      </c>
      <c r="BI1750" s="295" t="s">
        <v>2261</v>
      </c>
      <c r="BJ1750" s="546">
        <v>1</v>
      </c>
      <c r="BK1750" s="294">
        <v>1</v>
      </c>
      <c r="BL1750" s="157">
        <v>1</v>
      </c>
      <c r="BM1750" s="548" t="s">
        <v>1340</v>
      </c>
      <c r="BN1750" s="548" t="s">
        <v>578</v>
      </c>
      <c r="BO1750" s="157" t="s">
        <v>4268</v>
      </c>
      <c r="BP1750" s="548" t="s">
        <v>2261</v>
      </c>
      <c r="BQ1750" s="157" t="s">
        <v>4214</v>
      </c>
      <c r="BR1750" s="157"/>
    </row>
    <row r="1751" spans="1:70" x14ac:dyDescent="0.25">
      <c r="A1751" s="19" t="s">
        <v>3686</v>
      </c>
      <c r="B1751" s="37" t="s">
        <v>1244</v>
      </c>
      <c r="C1751" s="90">
        <v>44469.748148148145</v>
      </c>
      <c r="D1751" s="114">
        <v>44469.498148148145</v>
      </c>
      <c r="E1751" s="38">
        <v>44469</v>
      </c>
      <c r="F1751" s="91">
        <v>2021</v>
      </c>
      <c r="G1751" s="93">
        <v>9</v>
      </c>
      <c r="H1751" s="37" t="s">
        <v>619</v>
      </c>
      <c r="I1751" s="37"/>
      <c r="J1751" s="103">
        <v>-92.041963100000004</v>
      </c>
      <c r="K1751" s="40">
        <v>44.0513367</v>
      </c>
      <c r="L1751" s="74"/>
      <c r="M1751" s="272" t="s">
        <v>1245</v>
      </c>
      <c r="N1751" s="74">
        <v>1</v>
      </c>
      <c r="O1751" s="94"/>
      <c r="P1751" s="118">
        <v>1</v>
      </c>
      <c r="Q1751" s="510">
        <v>120</v>
      </c>
      <c r="R1751" s="513">
        <v>120</v>
      </c>
      <c r="S1751" s="41"/>
      <c r="T1751" s="40"/>
      <c r="U1751" s="40">
        <v>7.5</v>
      </c>
      <c r="V1751" s="119">
        <v>1</v>
      </c>
      <c r="W1751" s="40">
        <v>0</v>
      </c>
      <c r="X1751" s="119">
        <v>1</v>
      </c>
      <c r="Y1751" s="40">
        <v>59</v>
      </c>
      <c r="Z1751" s="119">
        <v>1</v>
      </c>
      <c r="AA1751" s="368">
        <v>0</v>
      </c>
      <c r="AB1751" s="535">
        <v>5</v>
      </c>
      <c r="AC1751" s="39" t="s">
        <v>160</v>
      </c>
      <c r="AD1751" s="75" t="s">
        <v>10</v>
      </c>
      <c r="AE1751" s="95">
        <v>0</v>
      </c>
      <c r="AF1751" s="75">
        <v>0</v>
      </c>
      <c r="AG1751" s="75">
        <v>0</v>
      </c>
      <c r="AH1751" s="75">
        <v>0</v>
      </c>
      <c r="AI1751" s="75">
        <v>0</v>
      </c>
      <c r="AJ1751" s="75">
        <v>0</v>
      </c>
      <c r="AK1751" s="75">
        <v>0</v>
      </c>
      <c r="AL1751" s="95">
        <v>1</v>
      </c>
      <c r="AM1751" s="92">
        <v>0</v>
      </c>
      <c r="AN1751" s="79" t="s">
        <v>80</v>
      </c>
      <c r="AO1751" s="75">
        <v>1</v>
      </c>
      <c r="AP1751" s="75" t="s">
        <v>83</v>
      </c>
      <c r="AQ1751" s="122">
        <v>1</v>
      </c>
      <c r="AR1751" s="515" t="s">
        <v>10</v>
      </c>
      <c r="AS1751" s="95">
        <v>0</v>
      </c>
      <c r="AT1751" s="75">
        <v>0</v>
      </c>
      <c r="AU1751" s="75">
        <v>0</v>
      </c>
      <c r="AV1751" s="75">
        <v>0</v>
      </c>
      <c r="AW1751" s="123">
        <v>0</v>
      </c>
      <c r="AX1751" s="516"/>
      <c r="AY1751" s="75">
        <v>0</v>
      </c>
      <c r="AZ1751" s="77" t="s">
        <v>131</v>
      </c>
      <c r="BA1751" s="78" t="s">
        <v>131</v>
      </c>
      <c r="BB1751" s="78" t="s">
        <v>131</v>
      </c>
      <c r="BC1751" s="78" t="s">
        <v>131</v>
      </c>
      <c r="BD1751" s="78" t="s">
        <v>131</v>
      </c>
      <c r="BE1751" s="78" t="s">
        <v>131</v>
      </c>
      <c r="BF1751" s="78" t="s">
        <v>131</v>
      </c>
      <c r="BG1751" s="78" t="s">
        <v>132</v>
      </c>
      <c r="BH1751" s="75" t="s">
        <v>5970</v>
      </c>
      <c r="BI1751" s="295" t="s">
        <v>2292</v>
      </c>
      <c r="BJ1751" s="546">
        <v>1</v>
      </c>
      <c r="BK1751" s="294">
        <v>1</v>
      </c>
      <c r="BL1751" s="157">
        <v>1</v>
      </c>
      <c r="BM1751" s="548" t="s">
        <v>1339</v>
      </c>
      <c r="BN1751" s="548" t="s">
        <v>1339</v>
      </c>
      <c r="BO1751" s="157" t="s">
        <v>4364</v>
      </c>
      <c r="BP1751" s="548" t="s">
        <v>2292</v>
      </c>
      <c r="BQ1751" s="157" t="s">
        <v>4361</v>
      </c>
      <c r="BR1751" s="157"/>
    </row>
    <row r="1752" spans="1:70" x14ac:dyDescent="0.25">
      <c r="A1752" s="19" t="s">
        <v>3686</v>
      </c>
      <c r="B1752" s="37" t="s">
        <v>1246</v>
      </c>
      <c r="C1752" s="90">
        <v>44468.758125</v>
      </c>
      <c r="D1752" s="114">
        <v>44468.508125</v>
      </c>
      <c r="E1752" s="38">
        <v>44468</v>
      </c>
      <c r="F1752" s="91">
        <v>2021</v>
      </c>
      <c r="G1752" s="93">
        <v>9</v>
      </c>
      <c r="H1752" s="37" t="s">
        <v>619</v>
      </c>
      <c r="I1752" s="37"/>
      <c r="J1752" s="103">
        <v>-91.768592100000006</v>
      </c>
      <c r="K1752" s="40">
        <v>43.655547300000002</v>
      </c>
      <c r="L1752" s="74"/>
      <c r="M1752" s="272" t="s">
        <v>1247</v>
      </c>
      <c r="N1752" s="74">
        <v>1</v>
      </c>
      <c r="O1752" s="94"/>
      <c r="P1752" s="118">
        <v>1</v>
      </c>
      <c r="Q1752" s="510">
        <v>120</v>
      </c>
      <c r="R1752" s="513">
        <v>120</v>
      </c>
      <c r="S1752" s="41"/>
      <c r="T1752" s="40"/>
      <c r="U1752" s="40">
        <v>7.5</v>
      </c>
      <c r="V1752" s="119">
        <v>1</v>
      </c>
      <c r="W1752" s="40">
        <v>0</v>
      </c>
      <c r="X1752" s="119">
        <v>1</v>
      </c>
      <c r="Y1752" s="40">
        <v>59</v>
      </c>
      <c r="Z1752" s="119">
        <v>0</v>
      </c>
      <c r="AA1752" s="368" t="s">
        <v>16</v>
      </c>
      <c r="AB1752" s="535" t="s">
        <v>16</v>
      </c>
      <c r="AC1752" s="39" t="s">
        <v>160</v>
      </c>
      <c r="AD1752" s="75" t="s">
        <v>10</v>
      </c>
      <c r="AE1752" s="95">
        <v>0</v>
      </c>
      <c r="AF1752" s="75">
        <v>0</v>
      </c>
      <c r="AG1752" s="75">
        <v>0</v>
      </c>
      <c r="AH1752" s="75">
        <v>0</v>
      </c>
      <c r="AI1752" s="75">
        <v>0</v>
      </c>
      <c r="AJ1752" s="75">
        <v>0</v>
      </c>
      <c r="AK1752" s="75">
        <v>0</v>
      </c>
      <c r="AL1752" s="95">
        <v>1</v>
      </c>
      <c r="AM1752" s="92">
        <v>0</v>
      </c>
      <c r="AN1752" s="79" t="s">
        <v>80</v>
      </c>
      <c r="AO1752" s="75">
        <v>1</v>
      </c>
      <c r="AP1752" s="75" t="s">
        <v>83</v>
      </c>
      <c r="AQ1752" s="122">
        <v>1</v>
      </c>
      <c r="AR1752" s="515" t="s">
        <v>10</v>
      </c>
      <c r="AS1752" s="95">
        <v>0</v>
      </c>
      <c r="AT1752" s="75">
        <v>0</v>
      </c>
      <c r="AU1752" s="75">
        <v>0</v>
      </c>
      <c r="AV1752" s="75">
        <v>0</v>
      </c>
      <c r="AW1752" s="123">
        <v>0</v>
      </c>
      <c r="AX1752" s="516"/>
      <c r="AY1752" s="75">
        <v>0</v>
      </c>
      <c r="AZ1752" s="77" t="s">
        <v>131</v>
      </c>
      <c r="BA1752" s="78" t="s">
        <v>131</v>
      </c>
      <c r="BB1752" s="78" t="s">
        <v>131</v>
      </c>
      <c r="BC1752" s="78" t="s">
        <v>131</v>
      </c>
      <c r="BD1752" s="78" t="s">
        <v>131</v>
      </c>
      <c r="BE1752" s="78" t="s">
        <v>131</v>
      </c>
      <c r="BF1752" s="78" t="s">
        <v>131</v>
      </c>
      <c r="BG1752" s="78" t="s">
        <v>132</v>
      </c>
      <c r="BH1752" s="75" t="s">
        <v>5970</v>
      </c>
      <c r="BI1752" s="295" t="s">
        <v>2249</v>
      </c>
      <c r="BJ1752" s="546">
        <v>1</v>
      </c>
      <c r="BK1752" s="294">
        <v>1</v>
      </c>
      <c r="BL1752" s="157">
        <v>1</v>
      </c>
      <c r="BM1752" s="548" t="s">
        <v>1341</v>
      </c>
      <c r="BN1752" s="548" t="s">
        <v>1339</v>
      </c>
      <c r="BO1752" s="157" t="s">
        <v>4418</v>
      </c>
      <c r="BP1752" s="548" t="s">
        <v>4419</v>
      </c>
      <c r="BQ1752" s="157" t="s">
        <v>4232</v>
      </c>
      <c r="BR1752" s="157"/>
    </row>
    <row r="1753" spans="1:70" x14ac:dyDescent="0.25">
      <c r="A1753" s="19" t="s">
        <v>3686</v>
      </c>
      <c r="B1753" s="37" t="s">
        <v>1248</v>
      </c>
      <c r="C1753" s="90">
        <v>44468.750752314816</v>
      </c>
      <c r="D1753" s="114">
        <v>44468.500752314816</v>
      </c>
      <c r="E1753" s="38">
        <v>44468</v>
      </c>
      <c r="F1753" s="91">
        <v>2021</v>
      </c>
      <c r="G1753" s="93">
        <v>9</v>
      </c>
      <c r="H1753" s="37" t="s">
        <v>619</v>
      </c>
      <c r="I1753" s="37"/>
      <c r="J1753" s="103">
        <v>-91.7690403</v>
      </c>
      <c r="K1753" s="40">
        <v>43.655372499999999</v>
      </c>
      <c r="L1753" s="74"/>
      <c r="M1753" s="272" t="s">
        <v>1249</v>
      </c>
      <c r="N1753" s="74">
        <v>1</v>
      </c>
      <c r="O1753" s="94"/>
      <c r="P1753" s="118">
        <v>1</v>
      </c>
      <c r="Q1753" s="510">
        <v>80</v>
      </c>
      <c r="R1753" s="513">
        <v>120</v>
      </c>
      <c r="S1753" s="41"/>
      <c r="T1753" s="40"/>
      <c r="U1753" s="40">
        <v>7.5</v>
      </c>
      <c r="V1753" s="119">
        <v>1</v>
      </c>
      <c r="W1753" s="40">
        <v>0</v>
      </c>
      <c r="X1753" s="119">
        <v>0</v>
      </c>
      <c r="Y1753" s="40"/>
      <c r="Z1753" s="119">
        <v>1</v>
      </c>
      <c r="AA1753" s="368">
        <v>0</v>
      </c>
      <c r="AB1753" s="535">
        <v>0</v>
      </c>
      <c r="AC1753" s="39" t="s">
        <v>160</v>
      </c>
      <c r="AD1753" s="75" t="s">
        <v>10</v>
      </c>
      <c r="AE1753" s="95">
        <v>0</v>
      </c>
      <c r="AF1753" s="75">
        <v>0</v>
      </c>
      <c r="AG1753" s="75">
        <v>0</v>
      </c>
      <c r="AH1753" s="75">
        <v>0</v>
      </c>
      <c r="AI1753" s="75">
        <v>0</v>
      </c>
      <c r="AJ1753" s="75">
        <v>0</v>
      </c>
      <c r="AK1753" s="75">
        <v>0</v>
      </c>
      <c r="AL1753" s="95">
        <v>1</v>
      </c>
      <c r="AM1753" s="92">
        <v>0</v>
      </c>
      <c r="AN1753" s="79" t="s">
        <v>80</v>
      </c>
      <c r="AO1753" s="75">
        <v>1</v>
      </c>
      <c r="AP1753" s="75" t="s">
        <v>83</v>
      </c>
      <c r="AQ1753" s="122">
        <v>1</v>
      </c>
      <c r="AR1753" s="515" t="s">
        <v>10</v>
      </c>
      <c r="AS1753" s="95">
        <v>0</v>
      </c>
      <c r="AT1753" s="75">
        <v>0</v>
      </c>
      <c r="AU1753" s="75">
        <v>0</v>
      </c>
      <c r="AV1753" s="75">
        <v>0</v>
      </c>
      <c r="AW1753" s="123">
        <v>0</v>
      </c>
      <c r="AX1753" s="516"/>
      <c r="AY1753" s="75">
        <v>0</v>
      </c>
      <c r="AZ1753" s="77" t="s">
        <v>131</v>
      </c>
      <c r="BA1753" s="78" t="s">
        <v>131</v>
      </c>
      <c r="BB1753" s="78" t="s">
        <v>131</v>
      </c>
      <c r="BC1753" s="78" t="s">
        <v>131</v>
      </c>
      <c r="BD1753" s="78" t="s">
        <v>131</v>
      </c>
      <c r="BE1753" s="78" t="s">
        <v>131</v>
      </c>
      <c r="BF1753" s="78" t="s">
        <v>131</v>
      </c>
      <c r="BG1753" s="78" t="s">
        <v>132</v>
      </c>
      <c r="BH1753" s="75" t="s">
        <v>5970</v>
      </c>
      <c r="BI1753" s="295" t="s">
        <v>2249</v>
      </c>
      <c r="BJ1753" s="546">
        <v>1</v>
      </c>
      <c r="BK1753" s="294">
        <v>1</v>
      </c>
      <c r="BL1753" s="157">
        <v>1</v>
      </c>
      <c r="BM1753" s="548" t="s">
        <v>1341</v>
      </c>
      <c r="BN1753" s="548" t="s">
        <v>1339</v>
      </c>
      <c r="BO1753" s="157" t="s">
        <v>4418</v>
      </c>
      <c r="BP1753" s="548" t="s">
        <v>4419</v>
      </c>
      <c r="BQ1753" s="157" t="s">
        <v>4232</v>
      </c>
      <c r="BR1753" s="157"/>
    </row>
    <row r="1754" spans="1:70" x14ac:dyDescent="0.25">
      <c r="A1754" s="19" t="s">
        <v>3686</v>
      </c>
      <c r="B1754" s="37" t="s">
        <v>1250</v>
      </c>
      <c r="C1754" s="90">
        <v>44467.984583333331</v>
      </c>
      <c r="D1754" s="114">
        <v>44467.734583333331</v>
      </c>
      <c r="E1754" s="38">
        <v>44467</v>
      </c>
      <c r="F1754" s="91">
        <v>2021</v>
      </c>
      <c r="G1754" s="93">
        <v>9</v>
      </c>
      <c r="H1754" s="37" t="s">
        <v>461</v>
      </c>
      <c r="I1754" s="37" t="s">
        <v>154</v>
      </c>
      <c r="J1754" s="103">
        <v>-92.146794979444238</v>
      </c>
      <c r="K1754" s="40">
        <v>44.793245543460444</v>
      </c>
      <c r="L1754" s="74"/>
      <c r="M1754" s="272" t="s">
        <v>1251</v>
      </c>
      <c r="N1754" s="74">
        <v>1</v>
      </c>
      <c r="O1754" s="94"/>
      <c r="P1754" s="118">
        <v>1</v>
      </c>
      <c r="Q1754" s="510">
        <v>80</v>
      </c>
      <c r="R1754" s="513">
        <v>0</v>
      </c>
      <c r="S1754" s="41"/>
      <c r="T1754" s="40"/>
      <c r="U1754" s="40">
        <v>7</v>
      </c>
      <c r="V1754" s="119">
        <v>1</v>
      </c>
      <c r="W1754" s="40">
        <v>100</v>
      </c>
      <c r="X1754" s="119">
        <v>1</v>
      </c>
      <c r="Y1754" s="40">
        <v>55</v>
      </c>
      <c r="Z1754" s="119">
        <v>1</v>
      </c>
      <c r="AA1754" s="368">
        <v>0</v>
      </c>
      <c r="AB1754" s="535">
        <v>2</v>
      </c>
      <c r="AC1754" s="39" t="s">
        <v>160</v>
      </c>
      <c r="AD1754" s="75" t="s">
        <v>16</v>
      </c>
      <c r="AE1754" s="95">
        <v>-1</v>
      </c>
      <c r="AF1754" s="75">
        <v>-1</v>
      </c>
      <c r="AG1754" s="75">
        <v>-1</v>
      </c>
      <c r="AH1754" s="75">
        <v>-1</v>
      </c>
      <c r="AI1754" s="75">
        <v>-1</v>
      </c>
      <c r="AJ1754" s="75">
        <v>-1</v>
      </c>
      <c r="AK1754" s="75">
        <v>-1</v>
      </c>
      <c r="AL1754" s="95">
        <v>-1</v>
      </c>
      <c r="AM1754" s="92">
        <v>1</v>
      </c>
      <c r="AN1754" s="79" t="s">
        <v>80</v>
      </c>
      <c r="AO1754" s="75">
        <v>1</v>
      </c>
      <c r="AP1754" s="75" t="s">
        <v>83</v>
      </c>
      <c r="AQ1754" s="122">
        <v>1</v>
      </c>
      <c r="AR1754" s="515" t="s">
        <v>10</v>
      </c>
      <c r="AS1754" s="95">
        <v>0</v>
      </c>
      <c r="AT1754" s="75">
        <v>0</v>
      </c>
      <c r="AU1754" s="75">
        <v>0</v>
      </c>
      <c r="AV1754" s="75">
        <v>0</v>
      </c>
      <c r="AW1754" s="123">
        <v>0</v>
      </c>
      <c r="AX1754" s="516"/>
      <c r="AY1754" s="75">
        <v>0</v>
      </c>
      <c r="AZ1754" s="77" t="s">
        <v>5971</v>
      </c>
      <c r="BA1754" s="78" t="s">
        <v>5971</v>
      </c>
      <c r="BB1754" s="78" t="s">
        <v>5971</v>
      </c>
      <c r="BC1754" s="78" t="s">
        <v>5971</v>
      </c>
      <c r="BD1754" s="78" t="s">
        <v>5971</v>
      </c>
      <c r="BE1754" s="78" t="s">
        <v>5971</v>
      </c>
      <c r="BF1754" s="78" t="s">
        <v>5971</v>
      </c>
      <c r="BG1754" s="78" t="s">
        <v>5971</v>
      </c>
      <c r="BH1754" s="75" t="s">
        <v>5971</v>
      </c>
      <c r="BI1754" s="295" t="s">
        <v>2270</v>
      </c>
      <c r="BJ1754" s="546">
        <v>1</v>
      </c>
      <c r="BK1754" s="294">
        <v>1</v>
      </c>
      <c r="BL1754" s="157">
        <v>1</v>
      </c>
      <c r="BM1754" s="548" t="s">
        <v>578</v>
      </c>
      <c r="BN1754" s="548" t="s">
        <v>578</v>
      </c>
      <c r="BO1754" s="157" t="s">
        <v>4317</v>
      </c>
      <c r="BP1754" s="548" t="s">
        <v>2270</v>
      </c>
      <c r="BQ1754" s="157" t="s">
        <v>4316</v>
      </c>
      <c r="BR1754" s="157"/>
    </row>
    <row r="1755" spans="1:70" x14ac:dyDescent="0.25">
      <c r="A1755" s="19" t="s">
        <v>3686</v>
      </c>
      <c r="B1755" s="37" t="s">
        <v>1252</v>
      </c>
      <c r="C1755" s="90">
        <v>44467.895127314812</v>
      </c>
      <c r="D1755" s="114">
        <v>44467.645127314812</v>
      </c>
      <c r="E1755" s="38">
        <v>44467</v>
      </c>
      <c r="F1755" s="91">
        <v>2021</v>
      </c>
      <c r="G1755" s="93">
        <v>9</v>
      </c>
      <c r="H1755" s="37" t="s">
        <v>622</v>
      </c>
      <c r="I1755" s="37"/>
      <c r="J1755" s="103">
        <v>-92.276422558438284</v>
      </c>
      <c r="K1755" s="40">
        <v>44.430750841316232</v>
      </c>
      <c r="L1755" s="74"/>
      <c r="M1755" s="272" t="s">
        <v>16</v>
      </c>
      <c r="N1755" s="74">
        <v>0</v>
      </c>
      <c r="O1755" s="94"/>
      <c r="P1755" s="118">
        <v>1</v>
      </c>
      <c r="Q1755" s="510">
        <v>0</v>
      </c>
      <c r="R1755" s="513">
        <v>30</v>
      </c>
      <c r="S1755" s="41"/>
      <c r="T1755" s="40"/>
      <c r="U1755" s="40">
        <v>7</v>
      </c>
      <c r="V1755" s="119">
        <v>1</v>
      </c>
      <c r="W1755" s="40">
        <v>0</v>
      </c>
      <c r="X1755" s="119">
        <v>1</v>
      </c>
      <c r="Y1755" s="40">
        <v>59</v>
      </c>
      <c r="Z1755" s="119">
        <v>0</v>
      </c>
      <c r="AA1755" s="368" t="s">
        <v>16</v>
      </c>
      <c r="AB1755" s="535" t="s">
        <v>16</v>
      </c>
      <c r="AC1755" s="39" t="s">
        <v>160</v>
      </c>
      <c r="AD1755" s="75" t="s">
        <v>16</v>
      </c>
      <c r="AE1755" s="95">
        <v>-1</v>
      </c>
      <c r="AF1755" s="75">
        <v>-1</v>
      </c>
      <c r="AG1755" s="75">
        <v>-1</v>
      </c>
      <c r="AH1755" s="75">
        <v>-1</v>
      </c>
      <c r="AI1755" s="75">
        <v>-1</v>
      </c>
      <c r="AJ1755" s="75">
        <v>-1</v>
      </c>
      <c r="AK1755" s="75">
        <v>-1</v>
      </c>
      <c r="AL1755" s="95">
        <v>-1</v>
      </c>
      <c r="AM1755" s="92">
        <v>1</v>
      </c>
      <c r="AN1755" s="79"/>
      <c r="AO1755" s="75">
        <v>0</v>
      </c>
      <c r="AP1755" s="75"/>
      <c r="AQ1755" s="122">
        <v>0</v>
      </c>
      <c r="AR1755" s="515" t="s">
        <v>16</v>
      </c>
      <c r="AS1755" s="95">
        <v>-1</v>
      </c>
      <c r="AT1755" s="75">
        <v>-1</v>
      </c>
      <c r="AU1755" s="75">
        <v>-1</v>
      </c>
      <c r="AV1755" s="75">
        <v>-1</v>
      </c>
      <c r="AW1755" s="123">
        <v>1</v>
      </c>
      <c r="AX1755" s="516"/>
      <c r="AY1755" s="75">
        <v>0</v>
      </c>
      <c r="AZ1755" s="77" t="s">
        <v>5971</v>
      </c>
      <c r="BA1755" s="78" t="s">
        <v>5971</v>
      </c>
      <c r="BB1755" s="78" t="s">
        <v>5971</v>
      </c>
      <c r="BC1755" s="78" t="s">
        <v>5971</v>
      </c>
      <c r="BD1755" s="78" t="s">
        <v>5971</v>
      </c>
      <c r="BE1755" s="78" t="s">
        <v>5971</v>
      </c>
      <c r="BF1755" s="78" t="s">
        <v>5971</v>
      </c>
      <c r="BG1755" s="78" t="s">
        <v>5971</v>
      </c>
      <c r="BH1755" s="75" t="s">
        <v>5971</v>
      </c>
      <c r="BI1755" s="295" t="s">
        <v>2228</v>
      </c>
      <c r="BJ1755" s="546">
        <v>1</v>
      </c>
      <c r="BK1755" s="294" t="s">
        <v>16</v>
      </c>
      <c r="BL1755" s="157" t="s">
        <v>16</v>
      </c>
      <c r="BM1755" s="548" t="s">
        <v>1339</v>
      </c>
      <c r="BN1755" s="548" t="s">
        <v>1339</v>
      </c>
      <c r="BO1755" s="157" t="s">
        <v>4614</v>
      </c>
      <c r="BP1755" s="548" t="s">
        <v>2228</v>
      </c>
      <c r="BQ1755" s="157" t="s">
        <v>4214</v>
      </c>
      <c r="BR1755" s="157"/>
    </row>
    <row r="1756" spans="1:70" x14ac:dyDescent="0.25">
      <c r="A1756" s="19" t="s">
        <v>3686</v>
      </c>
      <c r="B1756" s="37" t="s">
        <v>1253</v>
      </c>
      <c r="C1756" s="90">
        <v>44467.795659722222</v>
      </c>
      <c r="D1756" s="114">
        <v>44467.545659722222</v>
      </c>
      <c r="E1756" s="38">
        <v>44467</v>
      </c>
      <c r="F1756" s="91">
        <v>2021</v>
      </c>
      <c r="G1756" s="93">
        <v>9</v>
      </c>
      <c r="H1756" s="37" t="s">
        <v>603</v>
      </c>
      <c r="I1756" s="37" t="s">
        <v>753</v>
      </c>
      <c r="J1756" s="103">
        <v>-92.801888099999999</v>
      </c>
      <c r="K1756" s="40">
        <v>44.543078999999999</v>
      </c>
      <c r="L1756" s="74"/>
      <c r="M1756" s="272" t="s">
        <v>16</v>
      </c>
      <c r="N1756" s="74">
        <v>0</v>
      </c>
      <c r="O1756" s="94"/>
      <c r="P1756" s="118">
        <v>1</v>
      </c>
      <c r="Q1756" s="510">
        <v>120</v>
      </c>
      <c r="R1756" s="513">
        <v>120</v>
      </c>
      <c r="S1756" s="41"/>
      <c r="T1756" s="40"/>
      <c r="U1756" s="40">
        <v>7</v>
      </c>
      <c r="V1756" s="119">
        <v>1</v>
      </c>
      <c r="W1756" s="40">
        <v>0</v>
      </c>
      <c r="X1756" s="119">
        <v>1</v>
      </c>
      <c r="Y1756" s="40">
        <v>55</v>
      </c>
      <c r="Z1756" s="119">
        <v>1</v>
      </c>
      <c r="AA1756" s="368">
        <v>0</v>
      </c>
      <c r="AB1756" s="535">
        <v>20</v>
      </c>
      <c r="AC1756" s="39" t="s">
        <v>160</v>
      </c>
      <c r="AD1756" s="75" t="s">
        <v>16</v>
      </c>
      <c r="AE1756" s="95">
        <v>-1</v>
      </c>
      <c r="AF1756" s="75">
        <v>-1</v>
      </c>
      <c r="AG1756" s="75">
        <v>-1</v>
      </c>
      <c r="AH1756" s="75">
        <v>-1</v>
      </c>
      <c r="AI1756" s="75">
        <v>-1</v>
      </c>
      <c r="AJ1756" s="75">
        <v>-1</v>
      </c>
      <c r="AK1756" s="75">
        <v>-1</v>
      </c>
      <c r="AL1756" s="95">
        <v>-1</v>
      </c>
      <c r="AM1756" s="92">
        <v>1</v>
      </c>
      <c r="AN1756" s="79" t="s">
        <v>80</v>
      </c>
      <c r="AO1756" s="75">
        <v>1</v>
      </c>
      <c r="AP1756" s="75" t="s">
        <v>83</v>
      </c>
      <c r="AQ1756" s="122">
        <v>1</v>
      </c>
      <c r="AR1756" s="515" t="s">
        <v>10</v>
      </c>
      <c r="AS1756" s="95">
        <v>0</v>
      </c>
      <c r="AT1756" s="75">
        <v>0</v>
      </c>
      <c r="AU1756" s="75">
        <v>0</v>
      </c>
      <c r="AV1756" s="75">
        <v>0</v>
      </c>
      <c r="AW1756" s="123">
        <v>0</v>
      </c>
      <c r="AX1756" s="516"/>
      <c r="AY1756" s="75">
        <v>0</v>
      </c>
      <c r="AZ1756" s="77" t="s">
        <v>5971</v>
      </c>
      <c r="BA1756" s="78" t="s">
        <v>5971</v>
      </c>
      <c r="BB1756" s="78" t="s">
        <v>5971</v>
      </c>
      <c r="BC1756" s="78" t="s">
        <v>5971</v>
      </c>
      <c r="BD1756" s="78" t="s">
        <v>5971</v>
      </c>
      <c r="BE1756" s="78" t="s">
        <v>5971</v>
      </c>
      <c r="BF1756" s="78" t="s">
        <v>5971</v>
      </c>
      <c r="BG1756" s="78" t="s">
        <v>5971</v>
      </c>
      <c r="BH1756" s="75" t="s">
        <v>5971</v>
      </c>
      <c r="BI1756" s="295" t="s">
        <v>16</v>
      </c>
      <c r="BJ1756" s="546">
        <v>1</v>
      </c>
      <c r="BK1756" s="294">
        <v>1</v>
      </c>
      <c r="BL1756" s="157">
        <v>1</v>
      </c>
      <c r="BM1756" s="548" t="s">
        <v>2343</v>
      </c>
      <c r="BN1756" s="548" t="s">
        <v>4161</v>
      </c>
      <c r="BO1756" s="157" t="s">
        <v>4510</v>
      </c>
      <c r="BP1756" s="548" t="s">
        <v>753</v>
      </c>
      <c r="BQ1756" s="157" t="s">
        <v>4389</v>
      </c>
      <c r="BR1756" s="157"/>
    </row>
    <row r="1757" spans="1:70" x14ac:dyDescent="0.25">
      <c r="A1757" s="19" t="s">
        <v>3686</v>
      </c>
      <c r="B1757" s="37" t="s">
        <v>1254</v>
      </c>
      <c r="C1757" s="90">
        <v>44466.737372685187</v>
      </c>
      <c r="D1757" s="114">
        <v>44466.487372685187</v>
      </c>
      <c r="E1757" s="38">
        <v>44466</v>
      </c>
      <c r="F1757" s="91">
        <v>2021</v>
      </c>
      <c r="G1757" s="93">
        <v>9</v>
      </c>
      <c r="H1757" s="37" t="s">
        <v>214</v>
      </c>
      <c r="I1757" s="37"/>
      <c r="J1757" s="103">
        <v>-92.362759451927715</v>
      </c>
      <c r="K1757" s="40">
        <v>44.789704989921326</v>
      </c>
      <c r="L1757" s="74"/>
      <c r="M1757" s="272" t="s">
        <v>16</v>
      </c>
      <c r="N1757" s="74">
        <v>0</v>
      </c>
      <c r="O1757" s="94"/>
      <c r="P1757" s="118">
        <v>1</v>
      </c>
      <c r="Q1757" s="510">
        <v>0</v>
      </c>
      <c r="R1757" s="513">
        <v>30</v>
      </c>
      <c r="S1757" s="41"/>
      <c r="T1757" s="40"/>
      <c r="U1757" s="40">
        <v>7</v>
      </c>
      <c r="V1757" s="119">
        <v>0</v>
      </c>
      <c r="W1757" s="40"/>
      <c r="X1757" s="119">
        <v>1</v>
      </c>
      <c r="Y1757" s="40">
        <v>53</v>
      </c>
      <c r="Z1757" s="119">
        <v>0</v>
      </c>
      <c r="AA1757" s="368" t="s">
        <v>16</v>
      </c>
      <c r="AB1757" s="535" t="s">
        <v>16</v>
      </c>
      <c r="AC1757" s="39" t="s">
        <v>160</v>
      </c>
      <c r="AD1757" s="75" t="s">
        <v>10</v>
      </c>
      <c r="AE1757" s="95">
        <v>0</v>
      </c>
      <c r="AF1757" s="75">
        <v>0</v>
      </c>
      <c r="AG1757" s="75">
        <v>0</v>
      </c>
      <c r="AH1757" s="75">
        <v>0</v>
      </c>
      <c r="AI1757" s="75">
        <v>0</v>
      </c>
      <c r="AJ1757" s="75">
        <v>0</v>
      </c>
      <c r="AK1757" s="75">
        <v>0</v>
      </c>
      <c r="AL1757" s="95">
        <v>1</v>
      </c>
      <c r="AM1757" s="92">
        <v>0</v>
      </c>
      <c r="AN1757" s="79" t="s">
        <v>80</v>
      </c>
      <c r="AO1757" s="75">
        <v>1</v>
      </c>
      <c r="AP1757" s="75" t="s">
        <v>83</v>
      </c>
      <c r="AQ1757" s="122">
        <v>1</v>
      </c>
      <c r="AR1757" s="515" t="s">
        <v>10</v>
      </c>
      <c r="AS1757" s="95">
        <v>0</v>
      </c>
      <c r="AT1757" s="75">
        <v>0</v>
      </c>
      <c r="AU1757" s="75">
        <v>0</v>
      </c>
      <c r="AV1757" s="75">
        <v>0</v>
      </c>
      <c r="AW1757" s="123">
        <v>0</v>
      </c>
      <c r="AX1757" s="516"/>
      <c r="AY1757" s="75">
        <v>0</v>
      </c>
      <c r="AZ1757" s="77" t="s">
        <v>131</v>
      </c>
      <c r="BA1757" s="78" t="s">
        <v>131</v>
      </c>
      <c r="BB1757" s="78" t="s">
        <v>131</v>
      </c>
      <c r="BC1757" s="78" t="s">
        <v>131</v>
      </c>
      <c r="BD1757" s="78" t="s">
        <v>131</v>
      </c>
      <c r="BE1757" s="78" t="s">
        <v>131</v>
      </c>
      <c r="BF1757" s="78" t="s">
        <v>131</v>
      </c>
      <c r="BG1757" s="78" t="s">
        <v>132</v>
      </c>
      <c r="BH1757" s="75" t="s">
        <v>5970</v>
      </c>
      <c r="BI1757" s="295" t="s">
        <v>2231</v>
      </c>
      <c r="BJ1757" s="546">
        <v>1</v>
      </c>
      <c r="BK1757" s="294">
        <v>1</v>
      </c>
      <c r="BL1757" s="157">
        <v>1</v>
      </c>
      <c r="BM1757" s="548" t="s">
        <v>578</v>
      </c>
      <c r="BN1757" s="548" t="s">
        <v>578</v>
      </c>
      <c r="BO1757" s="157" t="s">
        <v>4213</v>
      </c>
      <c r="BP1757" s="548" t="s">
        <v>4216</v>
      </c>
      <c r="BQ1757" s="157" t="s">
        <v>4212</v>
      </c>
      <c r="BR1757" s="157"/>
    </row>
    <row r="1758" spans="1:70" x14ac:dyDescent="0.25">
      <c r="A1758" s="19" t="s">
        <v>3686</v>
      </c>
      <c r="B1758" s="37" t="s">
        <v>1255</v>
      </c>
      <c r="C1758" s="90">
        <v>44465.915208333332</v>
      </c>
      <c r="D1758" s="114">
        <v>44465.665208333332</v>
      </c>
      <c r="E1758" s="38">
        <v>44465</v>
      </c>
      <c r="F1758" s="91">
        <v>2021</v>
      </c>
      <c r="G1758" s="93">
        <v>9</v>
      </c>
      <c r="H1758" s="37" t="s">
        <v>615</v>
      </c>
      <c r="I1758" s="37"/>
      <c r="J1758" s="103">
        <v>-91.857038200000005</v>
      </c>
      <c r="K1758" s="40">
        <v>43.867584000000001</v>
      </c>
      <c r="L1758" s="74"/>
      <c r="M1758" s="272" t="s">
        <v>16</v>
      </c>
      <c r="N1758" s="74">
        <v>0</v>
      </c>
      <c r="O1758" s="94"/>
      <c r="P1758" s="118">
        <v>1</v>
      </c>
      <c r="Q1758" s="510">
        <v>120</v>
      </c>
      <c r="R1758" s="513">
        <v>120</v>
      </c>
      <c r="S1758" s="41"/>
      <c r="T1758" s="40"/>
      <c r="U1758" s="40">
        <v>8</v>
      </c>
      <c r="V1758" s="119">
        <v>1</v>
      </c>
      <c r="W1758" s="40">
        <v>0</v>
      </c>
      <c r="X1758" s="119">
        <v>1</v>
      </c>
      <c r="Y1758" s="40">
        <v>58</v>
      </c>
      <c r="Z1758" s="119">
        <v>1</v>
      </c>
      <c r="AA1758" s="368">
        <v>0</v>
      </c>
      <c r="AB1758" s="535">
        <v>5</v>
      </c>
      <c r="AC1758" s="39" t="s">
        <v>160</v>
      </c>
      <c r="AD1758" s="75" t="s">
        <v>10</v>
      </c>
      <c r="AE1758" s="95">
        <v>0</v>
      </c>
      <c r="AF1758" s="75">
        <v>0</v>
      </c>
      <c r="AG1758" s="75">
        <v>0</v>
      </c>
      <c r="AH1758" s="75">
        <v>0</v>
      </c>
      <c r="AI1758" s="75">
        <v>0</v>
      </c>
      <c r="AJ1758" s="75">
        <v>0</v>
      </c>
      <c r="AK1758" s="75">
        <v>0</v>
      </c>
      <c r="AL1758" s="95">
        <v>1</v>
      </c>
      <c r="AM1758" s="92">
        <v>0</v>
      </c>
      <c r="AN1758" s="79" t="s">
        <v>80</v>
      </c>
      <c r="AO1758" s="75">
        <v>1</v>
      </c>
      <c r="AP1758" s="75" t="s">
        <v>83</v>
      </c>
      <c r="AQ1758" s="122">
        <v>1</v>
      </c>
      <c r="AR1758" s="515" t="s">
        <v>10</v>
      </c>
      <c r="AS1758" s="95">
        <v>0</v>
      </c>
      <c r="AT1758" s="75">
        <v>0</v>
      </c>
      <c r="AU1758" s="75">
        <v>0</v>
      </c>
      <c r="AV1758" s="75">
        <v>0</v>
      </c>
      <c r="AW1758" s="123">
        <v>0</v>
      </c>
      <c r="AX1758" s="516"/>
      <c r="AY1758" s="75">
        <v>0</v>
      </c>
      <c r="AZ1758" s="77" t="s">
        <v>131</v>
      </c>
      <c r="BA1758" s="78" t="s">
        <v>131</v>
      </c>
      <c r="BB1758" s="78" t="s">
        <v>131</v>
      </c>
      <c r="BC1758" s="78" t="s">
        <v>131</v>
      </c>
      <c r="BD1758" s="78" t="s">
        <v>131</v>
      </c>
      <c r="BE1758" s="78" t="s">
        <v>131</v>
      </c>
      <c r="BF1758" s="78" t="s">
        <v>131</v>
      </c>
      <c r="BG1758" s="78" t="s">
        <v>132</v>
      </c>
      <c r="BH1758" s="75" t="s">
        <v>5970</v>
      </c>
      <c r="BI1758" s="295" t="s">
        <v>2261</v>
      </c>
      <c r="BJ1758" s="546">
        <v>1</v>
      </c>
      <c r="BK1758" s="294" t="s">
        <v>16</v>
      </c>
      <c r="BL1758" s="157" t="s">
        <v>16</v>
      </c>
      <c r="BM1758" s="548" t="s">
        <v>1341</v>
      </c>
      <c r="BN1758" s="548" t="s">
        <v>4161</v>
      </c>
      <c r="BO1758" s="157" t="s">
        <v>4640</v>
      </c>
      <c r="BP1758" s="548" t="s">
        <v>2261</v>
      </c>
      <c r="BQ1758" s="157" t="s">
        <v>4635</v>
      </c>
      <c r="BR1758" s="157"/>
    </row>
    <row r="1759" spans="1:70" x14ac:dyDescent="0.25">
      <c r="A1759" s="19" t="s">
        <v>3686</v>
      </c>
      <c r="B1759" s="37" t="s">
        <v>1256</v>
      </c>
      <c r="C1759" s="90">
        <v>44465.654537037037</v>
      </c>
      <c r="D1759" s="114">
        <v>44465.404537037037</v>
      </c>
      <c r="E1759" s="38">
        <v>44465</v>
      </c>
      <c r="F1759" s="91">
        <v>2021</v>
      </c>
      <c r="G1759" s="93">
        <v>9</v>
      </c>
      <c r="H1759" s="37" t="s">
        <v>1180</v>
      </c>
      <c r="I1759" s="37"/>
      <c r="J1759" s="103">
        <v>-89.756333045745038</v>
      </c>
      <c r="K1759" s="40">
        <v>43.112215027253477</v>
      </c>
      <c r="L1759" s="74"/>
      <c r="M1759" s="272" t="s">
        <v>16</v>
      </c>
      <c r="N1759" s="74">
        <v>0</v>
      </c>
      <c r="O1759" s="94"/>
      <c r="P1759" s="118">
        <v>0</v>
      </c>
      <c r="Q1759" s="510"/>
      <c r="R1759" s="513"/>
      <c r="S1759" s="41"/>
      <c r="T1759" s="40"/>
      <c r="U1759" s="40"/>
      <c r="V1759" s="119">
        <v>0</v>
      </c>
      <c r="W1759" s="40"/>
      <c r="X1759" s="119">
        <v>0</v>
      </c>
      <c r="Y1759" s="40"/>
      <c r="Z1759" s="119">
        <v>1</v>
      </c>
      <c r="AA1759" s="368">
        <v>0</v>
      </c>
      <c r="AB1759" s="535">
        <v>2</v>
      </c>
      <c r="AC1759" s="39" t="s">
        <v>160</v>
      </c>
      <c r="AD1759" s="75" t="s">
        <v>16</v>
      </c>
      <c r="AE1759" s="95">
        <v>-1</v>
      </c>
      <c r="AF1759" s="75">
        <v>-1</v>
      </c>
      <c r="AG1759" s="75">
        <v>-1</v>
      </c>
      <c r="AH1759" s="75">
        <v>-1</v>
      </c>
      <c r="AI1759" s="75">
        <v>-1</v>
      </c>
      <c r="AJ1759" s="75">
        <v>-1</v>
      </c>
      <c r="AK1759" s="75">
        <v>-1</v>
      </c>
      <c r="AL1759" s="95">
        <v>-1</v>
      </c>
      <c r="AM1759" s="92">
        <v>1</v>
      </c>
      <c r="AN1759" s="79"/>
      <c r="AO1759" s="75">
        <v>0</v>
      </c>
      <c r="AP1759" s="75"/>
      <c r="AQ1759" s="122">
        <v>0</v>
      </c>
      <c r="AR1759" s="515" t="s">
        <v>16</v>
      </c>
      <c r="AS1759" s="95">
        <v>-1</v>
      </c>
      <c r="AT1759" s="75">
        <v>-1</v>
      </c>
      <c r="AU1759" s="75">
        <v>-1</v>
      </c>
      <c r="AV1759" s="75">
        <v>-1</v>
      </c>
      <c r="AW1759" s="123">
        <v>1</v>
      </c>
      <c r="AX1759" s="516"/>
      <c r="AY1759" s="75">
        <v>0</v>
      </c>
      <c r="AZ1759" s="77" t="s">
        <v>5971</v>
      </c>
      <c r="BA1759" s="78" t="s">
        <v>5971</v>
      </c>
      <c r="BB1759" s="78" t="s">
        <v>5971</v>
      </c>
      <c r="BC1759" s="78" t="s">
        <v>5971</v>
      </c>
      <c r="BD1759" s="78" t="s">
        <v>5971</v>
      </c>
      <c r="BE1759" s="78" t="s">
        <v>5971</v>
      </c>
      <c r="BF1759" s="78" t="s">
        <v>5971</v>
      </c>
      <c r="BG1759" s="78" t="s">
        <v>5971</v>
      </c>
      <c r="BH1759" s="75" t="s">
        <v>5971</v>
      </c>
      <c r="BI1759" s="295" t="s">
        <v>2311</v>
      </c>
      <c r="BJ1759" s="546">
        <v>1</v>
      </c>
      <c r="BK1759" s="294" t="s">
        <v>16</v>
      </c>
      <c r="BL1759" s="157" t="s">
        <v>16</v>
      </c>
      <c r="BM1759" s="548" t="s">
        <v>1343</v>
      </c>
      <c r="BN1759" s="548" t="s">
        <v>2342</v>
      </c>
      <c r="BO1759" s="157" t="s">
        <v>4709</v>
      </c>
      <c r="BP1759" s="548" t="s">
        <v>4711</v>
      </c>
      <c r="BQ1759" s="157" t="s">
        <v>4708</v>
      </c>
      <c r="BR1759" s="157"/>
    </row>
    <row r="1760" spans="1:70" x14ac:dyDescent="0.25">
      <c r="A1760" s="19" t="s">
        <v>3686</v>
      </c>
      <c r="B1760" s="37" t="s">
        <v>1257</v>
      </c>
      <c r="C1760" s="90">
        <v>44465.653344907405</v>
      </c>
      <c r="D1760" s="114">
        <v>44465.403344907405</v>
      </c>
      <c r="E1760" s="38">
        <v>44465</v>
      </c>
      <c r="F1760" s="91">
        <v>2021</v>
      </c>
      <c r="G1760" s="93">
        <v>9</v>
      </c>
      <c r="H1760" s="37" t="s">
        <v>1180</v>
      </c>
      <c r="I1760" s="37"/>
      <c r="J1760" s="103">
        <v>-89.756338916843774</v>
      </c>
      <c r="K1760" s="40">
        <v>43.112196708842589</v>
      </c>
      <c r="L1760" s="74"/>
      <c r="M1760" s="272" t="s">
        <v>16</v>
      </c>
      <c r="N1760" s="74">
        <v>0</v>
      </c>
      <c r="O1760" s="94"/>
      <c r="P1760" s="118">
        <v>1</v>
      </c>
      <c r="Q1760" s="510">
        <v>180</v>
      </c>
      <c r="R1760" s="513">
        <v>180</v>
      </c>
      <c r="S1760" s="41"/>
      <c r="T1760" s="40"/>
      <c r="U1760" s="40">
        <v>8</v>
      </c>
      <c r="V1760" s="119">
        <v>0</v>
      </c>
      <c r="W1760" s="40"/>
      <c r="X1760" s="119">
        <v>0</v>
      </c>
      <c r="Y1760" s="40"/>
      <c r="Z1760" s="119">
        <v>0</v>
      </c>
      <c r="AA1760" s="368" t="s">
        <v>16</v>
      </c>
      <c r="AB1760" s="535" t="s">
        <v>16</v>
      </c>
      <c r="AC1760" s="39" t="s">
        <v>160</v>
      </c>
      <c r="AD1760" s="75" t="s">
        <v>10</v>
      </c>
      <c r="AE1760" s="95">
        <v>0</v>
      </c>
      <c r="AF1760" s="75">
        <v>0</v>
      </c>
      <c r="AG1760" s="75">
        <v>0</v>
      </c>
      <c r="AH1760" s="75">
        <v>0</v>
      </c>
      <c r="AI1760" s="75">
        <v>0</v>
      </c>
      <c r="AJ1760" s="75">
        <v>0</v>
      </c>
      <c r="AK1760" s="75">
        <v>0</v>
      </c>
      <c r="AL1760" s="95">
        <v>1</v>
      </c>
      <c r="AM1760" s="92">
        <v>0</v>
      </c>
      <c r="AN1760" s="79" t="s">
        <v>80</v>
      </c>
      <c r="AO1760" s="75">
        <v>1</v>
      </c>
      <c r="AP1760" s="75" t="s">
        <v>83</v>
      </c>
      <c r="AQ1760" s="122">
        <v>1</v>
      </c>
      <c r="AR1760" s="515" t="s">
        <v>10</v>
      </c>
      <c r="AS1760" s="95">
        <v>0</v>
      </c>
      <c r="AT1760" s="75">
        <v>0</v>
      </c>
      <c r="AU1760" s="75">
        <v>0</v>
      </c>
      <c r="AV1760" s="75">
        <v>0</v>
      </c>
      <c r="AW1760" s="123">
        <v>0</v>
      </c>
      <c r="AX1760" s="516" t="s">
        <v>1258</v>
      </c>
      <c r="AY1760" s="75">
        <v>1</v>
      </c>
      <c r="AZ1760" s="77" t="s">
        <v>131</v>
      </c>
      <c r="BA1760" s="78" t="s">
        <v>131</v>
      </c>
      <c r="BB1760" s="78" t="s">
        <v>131</v>
      </c>
      <c r="BC1760" s="78" t="s">
        <v>131</v>
      </c>
      <c r="BD1760" s="78" t="s">
        <v>131</v>
      </c>
      <c r="BE1760" s="78" t="s">
        <v>131</v>
      </c>
      <c r="BF1760" s="78" t="s">
        <v>131</v>
      </c>
      <c r="BG1760" s="78" t="s">
        <v>132</v>
      </c>
      <c r="BH1760" s="75" t="s">
        <v>5970</v>
      </c>
      <c r="BI1760" s="295" t="s">
        <v>2311</v>
      </c>
      <c r="BJ1760" s="546">
        <v>1</v>
      </c>
      <c r="BK1760" s="294" t="s">
        <v>16</v>
      </c>
      <c r="BL1760" s="157" t="s">
        <v>16</v>
      </c>
      <c r="BM1760" s="548" t="s">
        <v>1343</v>
      </c>
      <c r="BN1760" s="548" t="s">
        <v>2342</v>
      </c>
      <c r="BO1760" s="157" t="s">
        <v>4709</v>
      </c>
      <c r="BP1760" s="548" t="s">
        <v>4711</v>
      </c>
      <c r="BQ1760" s="157" t="s">
        <v>4708</v>
      </c>
      <c r="BR1760" s="157"/>
    </row>
    <row r="1761" spans="1:70" x14ac:dyDescent="0.25">
      <c r="A1761" s="19" t="s">
        <v>3686</v>
      </c>
      <c r="B1761" s="37" t="s">
        <v>1259</v>
      </c>
      <c r="C1761" s="90">
        <v>44465.628530092596</v>
      </c>
      <c r="D1761" s="114">
        <v>44465.378530092596</v>
      </c>
      <c r="E1761" s="38">
        <v>44465</v>
      </c>
      <c r="F1761" s="91">
        <v>2021</v>
      </c>
      <c r="G1761" s="93">
        <v>9</v>
      </c>
      <c r="H1761" s="37" t="s">
        <v>1180</v>
      </c>
      <c r="I1761" s="37"/>
      <c r="J1761" s="103">
        <v>-89.776487874912306</v>
      </c>
      <c r="K1761" s="40">
        <v>43.155992069524281</v>
      </c>
      <c r="L1761" s="74"/>
      <c r="M1761" s="272" t="s">
        <v>16</v>
      </c>
      <c r="N1761" s="74">
        <v>0</v>
      </c>
      <c r="O1761" s="94"/>
      <c r="P1761" s="118">
        <v>0</v>
      </c>
      <c r="Q1761" s="510"/>
      <c r="R1761" s="513"/>
      <c r="S1761" s="41"/>
      <c r="T1761" s="40"/>
      <c r="U1761" s="40"/>
      <c r="V1761" s="119">
        <v>0</v>
      </c>
      <c r="W1761" s="40"/>
      <c r="X1761" s="119">
        <v>0</v>
      </c>
      <c r="Y1761" s="40"/>
      <c r="Z1761" s="119">
        <v>1</v>
      </c>
      <c r="AA1761" s="368">
        <v>0</v>
      </c>
      <c r="AB1761" s="535">
        <v>2</v>
      </c>
      <c r="AC1761" s="39" t="s">
        <v>160</v>
      </c>
      <c r="AD1761" s="75" t="s">
        <v>16</v>
      </c>
      <c r="AE1761" s="95">
        <v>-1</v>
      </c>
      <c r="AF1761" s="75">
        <v>-1</v>
      </c>
      <c r="AG1761" s="75">
        <v>-1</v>
      </c>
      <c r="AH1761" s="75">
        <v>-1</v>
      </c>
      <c r="AI1761" s="75">
        <v>-1</v>
      </c>
      <c r="AJ1761" s="75">
        <v>-1</v>
      </c>
      <c r="AK1761" s="75">
        <v>-1</v>
      </c>
      <c r="AL1761" s="95">
        <v>-1</v>
      </c>
      <c r="AM1761" s="92">
        <v>1</v>
      </c>
      <c r="AN1761" s="79"/>
      <c r="AO1761" s="75">
        <v>0</v>
      </c>
      <c r="AP1761" s="75"/>
      <c r="AQ1761" s="122">
        <v>0</v>
      </c>
      <c r="AR1761" s="515" t="s">
        <v>16</v>
      </c>
      <c r="AS1761" s="95">
        <v>-1</v>
      </c>
      <c r="AT1761" s="75">
        <v>-1</v>
      </c>
      <c r="AU1761" s="75">
        <v>-1</v>
      </c>
      <c r="AV1761" s="75">
        <v>-1</v>
      </c>
      <c r="AW1761" s="123">
        <v>1</v>
      </c>
      <c r="AX1761" s="516"/>
      <c r="AY1761" s="75">
        <v>0</v>
      </c>
      <c r="AZ1761" s="77" t="s">
        <v>5971</v>
      </c>
      <c r="BA1761" s="78" t="s">
        <v>5971</v>
      </c>
      <c r="BB1761" s="78" t="s">
        <v>5971</v>
      </c>
      <c r="BC1761" s="78" t="s">
        <v>5971</v>
      </c>
      <c r="BD1761" s="78" t="s">
        <v>5971</v>
      </c>
      <c r="BE1761" s="78" t="s">
        <v>5971</v>
      </c>
      <c r="BF1761" s="78" t="s">
        <v>5971</v>
      </c>
      <c r="BG1761" s="78" t="s">
        <v>5971</v>
      </c>
      <c r="BH1761" s="75" t="s">
        <v>5971</v>
      </c>
      <c r="BI1761" s="295" t="s">
        <v>2276</v>
      </c>
      <c r="BJ1761" s="546" t="s">
        <v>16</v>
      </c>
      <c r="BK1761" s="294">
        <v>1</v>
      </c>
      <c r="BL1761" s="157">
        <v>1</v>
      </c>
      <c r="BM1761" s="548" t="s">
        <v>1343</v>
      </c>
      <c r="BN1761" s="548" t="s">
        <v>2342</v>
      </c>
      <c r="BO1761" s="157" t="s">
        <v>4710</v>
      </c>
      <c r="BP1761" s="548" t="s">
        <v>4712</v>
      </c>
      <c r="BQ1761" s="157" t="s">
        <v>4708</v>
      </c>
      <c r="BR1761" s="157"/>
    </row>
    <row r="1762" spans="1:70" x14ac:dyDescent="0.25">
      <c r="A1762" s="19" t="s">
        <v>3686</v>
      </c>
      <c r="B1762" s="37" t="s">
        <v>1260</v>
      </c>
      <c r="C1762" s="90">
        <v>44465.625706018516</v>
      </c>
      <c r="D1762" s="114">
        <v>44465.375706018516</v>
      </c>
      <c r="E1762" s="38">
        <v>44465</v>
      </c>
      <c r="F1762" s="91">
        <v>2021</v>
      </c>
      <c r="G1762" s="93">
        <v>9</v>
      </c>
      <c r="H1762" s="37" t="s">
        <v>1180</v>
      </c>
      <c r="I1762" s="37"/>
      <c r="J1762" s="103">
        <v>-89.776573770253762</v>
      </c>
      <c r="K1762" s="40">
        <v>43.155885670770559</v>
      </c>
      <c r="L1762" s="74"/>
      <c r="M1762" s="272" t="s">
        <v>16</v>
      </c>
      <c r="N1762" s="74">
        <v>0</v>
      </c>
      <c r="O1762" s="94"/>
      <c r="P1762" s="118">
        <v>1</v>
      </c>
      <c r="Q1762" s="510">
        <v>180</v>
      </c>
      <c r="R1762" s="513">
        <v>120</v>
      </c>
      <c r="S1762" s="41"/>
      <c r="T1762" s="40"/>
      <c r="U1762" s="40">
        <v>8</v>
      </c>
      <c r="V1762" s="119">
        <v>0</v>
      </c>
      <c r="W1762" s="40"/>
      <c r="X1762" s="119">
        <v>0</v>
      </c>
      <c r="Y1762" s="40"/>
      <c r="Z1762" s="119">
        <v>0</v>
      </c>
      <c r="AA1762" s="368" t="s">
        <v>16</v>
      </c>
      <c r="AB1762" s="535" t="s">
        <v>16</v>
      </c>
      <c r="AC1762" s="39" t="s">
        <v>160</v>
      </c>
      <c r="AD1762" s="75" t="s">
        <v>10</v>
      </c>
      <c r="AE1762" s="95">
        <v>0</v>
      </c>
      <c r="AF1762" s="75">
        <v>0</v>
      </c>
      <c r="AG1762" s="75">
        <v>0</v>
      </c>
      <c r="AH1762" s="75">
        <v>0</v>
      </c>
      <c r="AI1762" s="75">
        <v>0</v>
      </c>
      <c r="AJ1762" s="75">
        <v>0</v>
      </c>
      <c r="AK1762" s="75">
        <v>0</v>
      </c>
      <c r="AL1762" s="95">
        <v>1</v>
      </c>
      <c r="AM1762" s="92">
        <v>0</v>
      </c>
      <c r="AN1762" s="79" t="s">
        <v>80</v>
      </c>
      <c r="AO1762" s="75">
        <v>1</v>
      </c>
      <c r="AP1762" s="75" t="s">
        <v>83</v>
      </c>
      <c r="AQ1762" s="122">
        <v>1</v>
      </c>
      <c r="AR1762" s="515" t="s">
        <v>10</v>
      </c>
      <c r="AS1762" s="95">
        <v>0</v>
      </c>
      <c r="AT1762" s="75">
        <v>0</v>
      </c>
      <c r="AU1762" s="75">
        <v>0</v>
      </c>
      <c r="AV1762" s="75">
        <v>0</v>
      </c>
      <c r="AW1762" s="123">
        <v>0</v>
      </c>
      <c r="AX1762" s="516" t="s">
        <v>1261</v>
      </c>
      <c r="AY1762" s="75">
        <v>1</v>
      </c>
      <c r="AZ1762" s="77" t="s">
        <v>131</v>
      </c>
      <c r="BA1762" s="78" t="s">
        <v>131</v>
      </c>
      <c r="BB1762" s="78" t="s">
        <v>131</v>
      </c>
      <c r="BC1762" s="78" t="s">
        <v>131</v>
      </c>
      <c r="BD1762" s="78" t="s">
        <v>131</v>
      </c>
      <c r="BE1762" s="78" t="s">
        <v>131</v>
      </c>
      <c r="BF1762" s="78" t="s">
        <v>131</v>
      </c>
      <c r="BG1762" s="78" t="s">
        <v>132</v>
      </c>
      <c r="BH1762" s="75" t="s">
        <v>5970</v>
      </c>
      <c r="BI1762" s="295" t="s">
        <v>2276</v>
      </c>
      <c r="BJ1762" s="546" t="s">
        <v>16</v>
      </c>
      <c r="BK1762" s="294">
        <v>1</v>
      </c>
      <c r="BL1762" s="157">
        <v>1</v>
      </c>
      <c r="BM1762" s="548" t="s">
        <v>1343</v>
      </c>
      <c r="BN1762" s="548" t="s">
        <v>2342</v>
      </c>
      <c r="BO1762" s="157" t="s">
        <v>4710</v>
      </c>
      <c r="BP1762" s="548" t="s">
        <v>4712</v>
      </c>
      <c r="BQ1762" s="157" t="s">
        <v>4708</v>
      </c>
      <c r="BR1762" s="157"/>
    </row>
    <row r="1763" spans="1:70" x14ac:dyDescent="0.25">
      <c r="A1763" s="19" t="s">
        <v>3686</v>
      </c>
      <c r="B1763" s="37" t="s">
        <v>1262</v>
      </c>
      <c r="C1763" s="90">
        <v>44464.989907407406</v>
      </c>
      <c r="D1763" s="114">
        <v>44464.739907407406</v>
      </c>
      <c r="E1763" s="38">
        <v>44464</v>
      </c>
      <c r="F1763" s="91">
        <v>2021</v>
      </c>
      <c r="G1763" s="93">
        <v>9</v>
      </c>
      <c r="H1763" s="37" t="s">
        <v>1263</v>
      </c>
      <c r="I1763" s="37"/>
      <c r="J1763" s="103">
        <v>-93.499967400000003</v>
      </c>
      <c r="K1763" s="40">
        <v>44.8987087</v>
      </c>
      <c r="L1763" s="74"/>
      <c r="M1763" s="272" t="s">
        <v>1264</v>
      </c>
      <c r="N1763" s="74">
        <v>1</v>
      </c>
      <c r="O1763" s="94"/>
      <c r="P1763" s="118">
        <v>1</v>
      </c>
      <c r="Q1763" s="510">
        <v>120</v>
      </c>
      <c r="R1763" s="513">
        <v>180</v>
      </c>
      <c r="S1763" s="41"/>
      <c r="T1763" s="40"/>
      <c r="U1763" s="40">
        <v>7.5</v>
      </c>
      <c r="V1763" s="119">
        <v>0</v>
      </c>
      <c r="W1763" s="40"/>
      <c r="X1763" s="119">
        <v>0</v>
      </c>
      <c r="Y1763" s="40"/>
      <c r="Z1763" s="119">
        <v>0</v>
      </c>
      <c r="AA1763" s="368" t="s">
        <v>16</v>
      </c>
      <c r="AB1763" s="535" t="s">
        <v>16</v>
      </c>
      <c r="AC1763" s="39" t="s">
        <v>160</v>
      </c>
      <c r="AD1763" s="75" t="s">
        <v>8</v>
      </c>
      <c r="AE1763" s="95">
        <v>0</v>
      </c>
      <c r="AF1763" s="75">
        <v>1</v>
      </c>
      <c r="AG1763" s="75">
        <v>0</v>
      </c>
      <c r="AH1763" s="75">
        <v>0</v>
      </c>
      <c r="AI1763" s="75">
        <v>0</v>
      </c>
      <c r="AJ1763" s="75">
        <v>0</v>
      </c>
      <c r="AK1763" s="75">
        <v>0</v>
      </c>
      <c r="AL1763" s="95">
        <v>0</v>
      </c>
      <c r="AM1763" s="92">
        <v>0</v>
      </c>
      <c r="AN1763" s="79" t="s">
        <v>80</v>
      </c>
      <c r="AO1763" s="75">
        <v>1</v>
      </c>
      <c r="AP1763" s="75" t="s">
        <v>83</v>
      </c>
      <c r="AQ1763" s="122">
        <v>1</v>
      </c>
      <c r="AR1763" s="515" t="s">
        <v>10</v>
      </c>
      <c r="AS1763" s="95">
        <v>0</v>
      </c>
      <c r="AT1763" s="75">
        <v>0</v>
      </c>
      <c r="AU1763" s="75">
        <v>0</v>
      </c>
      <c r="AV1763" s="75">
        <v>0</v>
      </c>
      <c r="AW1763" s="123">
        <v>0</v>
      </c>
      <c r="AX1763" s="516" t="s">
        <v>1265</v>
      </c>
      <c r="AY1763" s="75">
        <v>1</v>
      </c>
      <c r="AZ1763" s="77" t="s">
        <v>131</v>
      </c>
      <c r="BA1763" s="78" t="s">
        <v>132</v>
      </c>
      <c r="BB1763" s="78" t="s">
        <v>131</v>
      </c>
      <c r="BC1763" s="78" t="s">
        <v>131</v>
      </c>
      <c r="BD1763" s="78" t="s">
        <v>131</v>
      </c>
      <c r="BE1763" s="78" t="s">
        <v>131</v>
      </c>
      <c r="BF1763" s="78" t="s">
        <v>131</v>
      </c>
      <c r="BG1763" s="78" t="s">
        <v>131</v>
      </c>
      <c r="BH1763" s="75" t="s">
        <v>5970</v>
      </c>
      <c r="BI1763" s="295" t="s">
        <v>4714</v>
      </c>
      <c r="BJ1763" s="546" t="s">
        <v>16</v>
      </c>
      <c r="BK1763" s="294" t="s">
        <v>16</v>
      </c>
      <c r="BL1763" s="157" t="s">
        <v>16</v>
      </c>
      <c r="BM1763" s="548" t="s">
        <v>2343</v>
      </c>
      <c r="BN1763" s="548" t="s">
        <v>578</v>
      </c>
      <c r="BO1763" s="157" t="s">
        <v>4713</v>
      </c>
      <c r="BP1763" s="548" t="s">
        <v>4714</v>
      </c>
      <c r="BQ1763" s="157" t="s">
        <v>4312</v>
      </c>
      <c r="BR1763" s="157"/>
    </row>
    <row r="1764" spans="1:70" x14ac:dyDescent="0.25">
      <c r="A1764" s="19" t="s">
        <v>3686</v>
      </c>
      <c r="B1764" s="37" t="s">
        <v>1266</v>
      </c>
      <c r="C1764" s="90">
        <v>44464.629502314812</v>
      </c>
      <c r="D1764" s="114">
        <v>44464.379502314812</v>
      </c>
      <c r="E1764" s="38">
        <v>44464</v>
      </c>
      <c r="F1764" s="91">
        <v>2021</v>
      </c>
      <c r="G1764" s="93">
        <v>9</v>
      </c>
      <c r="H1764" s="37" t="s">
        <v>615</v>
      </c>
      <c r="I1764" s="37"/>
      <c r="J1764" s="103">
        <v>-91.868696900000003</v>
      </c>
      <c r="K1764" s="40">
        <v>43.610957599999999</v>
      </c>
      <c r="L1764" s="74"/>
      <c r="M1764" s="272" t="s">
        <v>16</v>
      </c>
      <c r="N1764" s="74">
        <v>0</v>
      </c>
      <c r="O1764" s="94"/>
      <c r="P1764" s="118">
        <v>1</v>
      </c>
      <c r="Q1764" s="510">
        <v>120</v>
      </c>
      <c r="R1764" s="513">
        <v>120</v>
      </c>
      <c r="S1764" s="41"/>
      <c r="T1764" s="40"/>
      <c r="U1764" s="40">
        <v>7.5</v>
      </c>
      <c r="V1764" s="119">
        <v>1</v>
      </c>
      <c r="W1764" s="40">
        <v>0</v>
      </c>
      <c r="X1764" s="119">
        <v>1</v>
      </c>
      <c r="Y1764" s="40">
        <v>50</v>
      </c>
      <c r="Z1764" s="119">
        <v>1</v>
      </c>
      <c r="AA1764" s="368">
        <v>0</v>
      </c>
      <c r="AB1764" s="535">
        <v>2</v>
      </c>
      <c r="AC1764" s="39" t="s">
        <v>160</v>
      </c>
      <c r="AD1764" s="75" t="s">
        <v>10</v>
      </c>
      <c r="AE1764" s="95">
        <v>0</v>
      </c>
      <c r="AF1764" s="75">
        <v>0</v>
      </c>
      <c r="AG1764" s="75">
        <v>0</v>
      </c>
      <c r="AH1764" s="75">
        <v>0</v>
      </c>
      <c r="AI1764" s="75">
        <v>0</v>
      </c>
      <c r="AJ1764" s="75">
        <v>0</v>
      </c>
      <c r="AK1764" s="75">
        <v>0</v>
      </c>
      <c r="AL1764" s="95">
        <v>1</v>
      </c>
      <c r="AM1764" s="92">
        <v>0</v>
      </c>
      <c r="AN1764" s="79" t="s">
        <v>80</v>
      </c>
      <c r="AO1764" s="75">
        <v>1</v>
      </c>
      <c r="AP1764" s="75" t="s">
        <v>83</v>
      </c>
      <c r="AQ1764" s="122">
        <v>1</v>
      </c>
      <c r="AR1764" s="515" t="s">
        <v>10</v>
      </c>
      <c r="AS1764" s="95">
        <v>0</v>
      </c>
      <c r="AT1764" s="75">
        <v>0</v>
      </c>
      <c r="AU1764" s="75">
        <v>0</v>
      </c>
      <c r="AV1764" s="75">
        <v>0</v>
      </c>
      <c r="AW1764" s="123">
        <v>0</v>
      </c>
      <c r="AX1764" s="516" t="s">
        <v>1267</v>
      </c>
      <c r="AY1764" s="75">
        <v>1</v>
      </c>
      <c r="AZ1764" s="77" t="s">
        <v>131</v>
      </c>
      <c r="BA1764" s="78" t="s">
        <v>131</v>
      </c>
      <c r="BB1764" s="78" t="s">
        <v>131</v>
      </c>
      <c r="BC1764" s="78" t="s">
        <v>131</v>
      </c>
      <c r="BD1764" s="78" t="s">
        <v>131</v>
      </c>
      <c r="BE1764" s="78" t="s">
        <v>131</v>
      </c>
      <c r="BF1764" s="78" t="s">
        <v>131</v>
      </c>
      <c r="BG1764" s="78" t="s">
        <v>132</v>
      </c>
      <c r="BH1764" s="75" t="s">
        <v>5970</v>
      </c>
      <c r="BI1764" s="295" t="s">
        <v>16</v>
      </c>
      <c r="BJ1764" s="546">
        <v>1</v>
      </c>
      <c r="BK1764" s="294">
        <v>1</v>
      </c>
      <c r="BL1764" s="157">
        <v>1</v>
      </c>
      <c r="BM1764" s="548" t="s">
        <v>1341</v>
      </c>
      <c r="BN1764" s="548" t="s">
        <v>4161</v>
      </c>
      <c r="BO1764" s="157" t="s">
        <v>4520</v>
      </c>
      <c r="BP1764" s="548" t="s">
        <v>4521</v>
      </c>
      <c r="BQ1764" s="157" t="s">
        <v>4232</v>
      </c>
      <c r="BR1764" s="157"/>
    </row>
    <row r="1765" spans="1:70" x14ac:dyDescent="0.25">
      <c r="A1765" s="19" t="s">
        <v>3686</v>
      </c>
      <c r="B1765" s="37" t="s">
        <v>1268</v>
      </c>
      <c r="C1765" s="90">
        <v>44462.95584490741</v>
      </c>
      <c r="D1765" s="114">
        <v>44462.70584490741</v>
      </c>
      <c r="E1765" s="38">
        <v>44462</v>
      </c>
      <c r="F1765" s="91">
        <v>2021</v>
      </c>
      <c r="G1765" s="93">
        <v>9</v>
      </c>
      <c r="H1765" s="37" t="s">
        <v>601</v>
      </c>
      <c r="I1765" s="37" t="s">
        <v>753</v>
      </c>
      <c r="J1765" s="103">
        <v>-92.808082503776674</v>
      </c>
      <c r="K1765" s="40">
        <v>44.548461651605805</v>
      </c>
      <c r="L1765" s="74"/>
      <c r="M1765" s="272" t="s">
        <v>1269</v>
      </c>
      <c r="N1765" s="74">
        <v>1</v>
      </c>
      <c r="O1765" s="94"/>
      <c r="P1765" s="118">
        <v>1</v>
      </c>
      <c r="Q1765" s="510">
        <v>0</v>
      </c>
      <c r="R1765" s="513">
        <v>180</v>
      </c>
      <c r="S1765" s="41"/>
      <c r="T1765" s="40"/>
      <c r="U1765" s="40">
        <v>9</v>
      </c>
      <c r="V1765" s="119">
        <v>0</v>
      </c>
      <c r="W1765" s="40"/>
      <c r="X1765" s="119">
        <v>1</v>
      </c>
      <c r="Y1765" s="40">
        <v>54</v>
      </c>
      <c r="Z1765" s="119">
        <v>1</v>
      </c>
      <c r="AA1765" s="368">
        <v>5</v>
      </c>
      <c r="AB1765" s="535">
        <v>0</v>
      </c>
      <c r="AC1765" s="39" t="s">
        <v>160</v>
      </c>
      <c r="AD1765" s="75" t="s">
        <v>10</v>
      </c>
      <c r="AE1765" s="95">
        <v>0</v>
      </c>
      <c r="AF1765" s="75">
        <v>0</v>
      </c>
      <c r="AG1765" s="75">
        <v>0</v>
      </c>
      <c r="AH1765" s="75">
        <v>0</v>
      </c>
      <c r="AI1765" s="75">
        <v>0</v>
      </c>
      <c r="AJ1765" s="75">
        <v>0</v>
      </c>
      <c r="AK1765" s="75">
        <v>0</v>
      </c>
      <c r="AL1765" s="95">
        <v>1</v>
      </c>
      <c r="AM1765" s="92">
        <v>0</v>
      </c>
      <c r="AN1765" s="79" t="s">
        <v>80</v>
      </c>
      <c r="AO1765" s="75">
        <v>1</v>
      </c>
      <c r="AP1765" s="75" t="s">
        <v>83</v>
      </c>
      <c r="AQ1765" s="122">
        <v>1</v>
      </c>
      <c r="AR1765" s="515" t="s">
        <v>10</v>
      </c>
      <c r="AS1765" s="95">
        <v>0</v>
      </c>
      <c r="AT1765" s="75">
        <v>0</v>
      </c>
      <c r="AU1765" s="75">
        <v>0</v>
      </c>
      <c r="AV1765" s="75">
        <v>0</v>
      </c>
      <c r="AW1765" s="123">
        <v>0</v>
      </c>
      <c r="AX1765" s="516"/>
      <c r="AY1765" s="75">
        <v>0</v>
      </c>
      <c r="AZ1765" s="77" t="s">
        <v>131</v>
      </c>
      <c r="BA1765" s="78" t="s">
        <v>131</v>
      </c>
      <c r="BB1765" s="78" t="s">
        <v>131</v>
      </c>
      <c r="BC1765" s="78" t="s">
        <v>131</v>
      </c>
      <c r="BD1765" s="78" t="s">
        <v>131</v>
      </c>
      <c r="BE1765" s="78" t="s">
        <v>131</v>
      </c>
      <c r="BF1765" s="78" t="s">
        <v>131</v>
      </c>
      <c r="BG1765" s="78" t="s">
        <v>132</v>
      </c>
      <c r="BH1765" s="75" t="s">
        <v>5970</v>
      </c>
      <c r="BI1765" s="295">
        <v>0</v>
      </c>
      <c r="BJ1765" s="546">
        <v>1</v>
      </c>
      <c r="BK1765" s="294">
        <v>1</v>
      </c>
      <c r="BL1765" s="157">
        <v>1</v>
      </c>
      <c r="BM1765" s="548" t="s">
        <v>2343</v>
      </c>
      <c r="BN1765" s="548" t="s">
        <v>4161</v>
      </c>
      <c r="BO1765" s="157" t="s">
        <v>4510</v>
      </c>
      <c r="BP1765" s="548" t="s">
        <v>753</v>
      </c>
      <c r="BQ1765" s="157" t="s">
        <v>4389</v>
      </c>
      <c r="BR1765" s="157"/>
    </row>
    <row r="1766" spans="1:70" x14ac:dyDescent="0.25">
      <c r="A1766" s="19" t="s">
        <v>3686</v>
      </c>
      <c r="B1766" s="37" t="s">
        <v>1171</v>
      </c>
      <c r="C1766" s="90">
        <v>44462.897013888891</v>
      </c>
      <c r="D1766" s="114">
        <v>44462.647013888891</v>
      </c>
      <c r="E1766" s="38">
        <v>44462</v>
      </c>
      <c r="F1766" s="91">
        <v>2021</v>
      </c>
      <c r="G1766" s="93">
        <v>9</v>
      </c>
      <c r="H1766" s="37" t="s">
        <v>599</v>
      </c>
      <c r="I1766" s="37" t="s">
        <v>2361</v>
      </c>
      <c r="J1766" s="103">
        <v>-92.443039622243901</v>
      </c>
      <c r="K1766" s="40">
        <v>44.621316595044561</v>
      </c>
      <c r="L1766" s="74"/>
      <c r="M1766" s="272" t="s">
        <v>16</v>
      </c>
      <c r="N1766" s="74">
        <v>0</v>
      </c>
      <c r="O1766" s="94"/>
      <c r="P1766" s="118">
        <v>1</v>
      </c>
      <c r="Q1766" s="510">
        <v>80</v>
      </c>
      <c r="R1766" s="513">
        <v>0</v>
      </c>
      <c r="S1766" s="41"/>
      <c r="T1766" s="40"/>
      <c r="U1766" s="40">
        <v>7.5</v>
      </c>
      <c r="V1766" s="119">
        <v>1</v>
      </c>
      <c r="W1766" s="40">
        <v>0</v>
      </c>
      <c r="X1766" s="119">
        <v>1</v>
      </c>
      <c r="Y1766" s="40">
        <v>55</v>
      </c>
      <c r="Z1766" s="119">
        <v>1</v>
      </c>
      <c r="AA1766" s="368">
        <v>0</v>
      </c>
      <c r="AB1766" s="535">
        <v>5</v>
      </c>
      <c r="AC1766" s="39" t="s">
        <v>160</v>
      </c>
      <c r="AD1766" s="75" t="s">
        <v>10</v>
      </c>
      <c r="AE1766" s="95">
        <v>0</v>
      </c>
      <c r="AF1766" s="75">
        <v>0</v>
      </c>
      <c r="AG1766" s="75">
        <v>0</v>
      </c>
      <c r="AH1766" s="75">
        <v>0</v>
      </c>
      <c r="AI1766" s="75">
        <v>0</v>
      </c>
      <c r="AJ1766" s="75">
        <v>0</v>
      </c>
      <c r="AK1766" s="75">
        <v>0</v>
      </c>
      <c r="AL1766" s="95">
        <v>1</v>
      </c>
      <c r="AM1766" s="92">
        <v>0</v>
      </c>
      <c r="AN1766" s="79" t="s">
        <v>81</v>
      </c>
      <c r="AO1766" s="75">
        <v>1</v>
      </c>
      <c r="AP1766" s="75" t="s">
        <v>83</v>
      </c>
      <c r="AQ1766" s="122">
        <v>1</v>
      </c>
      <c r="AR1766" s="515" t="s">
        <v>10</v>
      </c>
      <c r="AS1766" s="95">
        <v>0</v>
      </c>
      <c r="AT1766" s="75">
        <v>0</v>
      </c>
      <c r="AU1766" s="75">
        <v>0</v>
      </c>
      <c r="AV1766" s="75">
        <v>0</v>
      </c>
      <c r="AW1766" s="123">
        <v>0</v>
      </c>
      <c r="AX1766" s="516"/>
      <c r="AY1766" s="75">
        <v>0</v>
      </c>
      <c r="AZ1766" s="77" t="s">
        <v>131</v>
      </c>
      <c r="BA1766" s="78" t="s">
        <v>131</v>
      </c>
      <c r="BB1766" s="78" t="s">
        <v>131</v>
      </c>
      <c r="BC1766" s="78" t="s">
        <v>131</v>
      </c>
      <c r="BD1766" s="78" t="s">
        <v>131</v>
      </c>
      <c r="BE1766" s="78" t="s">
        <v>131</v>
      </c>
      <c r="BF1766" s="78" t="s">
        <v>131</v>
      </c>
      <c r="BG1766" s="78" t="s">
        <v>132</v>
      </c>
      <c r="BH1766" s="75" t="s">
        <v>5970</v>
      </c>
      <c r="BI1766" s="295" t="s">
        <v>2289</v>
      </c>
      <c r="BJ1766" s="546">
        <v>1</v>
      </c>
      <c r="BK1766" s="294" t="s">
        <v>16</v>
      </c>
      <c r="BL1766" s="157" t="s">
        <v>16</v>
      </c>
      <c r="BM1766" s="548" t="s">
        <v>578</v>
      </c>
      <c r="BN1766" s="548" t="s">
        <v>544</v>
      </c>
      <c r="BO1766" s="157" t="s">
        <v>4283</v>
      </c>
      <c r="BP1766" s="548" t="s">
        <v>2289</v>
      </c>
      <c r="BQ1766" s="157" t="s">
        <v>4214</v>
      </c>
      <c r="BR1766" s="157"/>
    </row>
    <row r="1767" spans="1:70" x14ac:dyDescent="0.25">
      <c r="A1767" s="19" t="s">
        <v>3686</v>
      </c>
      <c r="B1767" s="37" t="s">
        <v>1181</v>
      </c>
      <c r="C1767" s="90">
        <v>44462.889953703707</v>
      </c>
      <c r="D1767" s="114">
        <v>44462.639953703707</v>
      </c>
      <c r="E1767" s="38">
        <v>44462</v>
      </c>
      <c r="F1767" s="91">
        <v>2021</v>
      </c>
      <c r="G1767" s="93">
        <v>9</v>
      </c>
      <c r="H1767" s="37" t="s">
        <v>405</v>
      </c>
      <c r="I1767" s="37"/>
      <c r="J1767" s="103">
        <v>-92.056692978452944</v>
      </c>
      <c r="K1767" s="40">
        <v>43.66592807699336</v>
      </c>
      <c r="L1767" s="74"/>
      <c r="M1767" s="272" t="s">
        <v>16</v>
      </c>
      <c r="N1767" s="74">
        <v>0</v>
      </c>
      <c r="O1767" s="94"/>
      <c r="P1767" s="118">
        <v>0</v>
      </c>
      <c r="Q1767" s="510"/>
      <c r="R1767" s="513"/>
      <c r="S1767" s="41"/>
      <c r="T1767" s="40"/>
      <c r="U1767" s="40"/>
      <c r="V1767" s="119">
        <v>0</v>
      </c>
      <c r="W1767" s="40"/>
      <c r="X1767" s="119">
        <v>0</v>
      </c>
      <c r="Y1767" s="40"/>
      <c r="Z1767" s="119">
        <v>0</v>
      </c>
      <c r="AA1767" s="368" t="s">
        <v>16</v>
      </c>
      <c r="AB1767" s="535" t="s">
        <v>16</v>
      </c>
      <c r="AC1767" s="39" t="s">
        <v>160</v>
      </c>
      <c r="AD1767" s="75" t="s">
        <v>16</v>
      </c>
      <c r="AE1767" s="95">
        <v>-1</v>
      </c>
      <c r="AF1767" s="75">
        <v>-1</v>
      </c>
      <c r="AG1767" s="75">
        <v>-1</v>
      </c>
      <c r="AH1767" s="75">
        <v>-1</v>
      </c>
      <c r="AI1767" s="75">
        <v>-1</v>
      </c>
      <c r="AJ1767" s="75">
        <v>-1</v>
      </c>
      <c r="AK1767" s="75">
        <v>-1</v>
      </c>
      <c r="AL1767" s="95">
        <v>-1</v>
      </c>
      <c r="AM1767" s="92">
        <v>1</v>
      </c>
      <c r="AN1767" s="79"/>
      <c r="AO1767" s="75">
        <v>0</v>
      </c>
      <c r="AP1767" s="75"/>
      <c r="AQ1767" s="122">
        <v>0</v>
      </c>
      <c r="AR1767" s="515" t="s">
        <v>16</v>
      </c>
      <c r="AS1767" s="95">
        <v>-1</v>
      </c>
      <c r="AT1767" s="75">
        <v>-1</v>
      </c>
      <c r="AU1767" s="75">
        <v>-1</v>
      </c>
      <c r="AV1767" s="75">
        <v>-1</v>
      </c>
      <c r="AW1767" s="123">
        <v>1</v>
      </c>
      <c r="AX1767" s="516"/>
      <c r="AY1767" s="75">
        <v>0</v>
      </c>
      <c r="AZ1767" s="77" t="s">
        <v>5971</v>
      </c>
      <c r="BA1767" s="78" t="s">
        <v>5971</v>
      </c>
      <c r="BB1767" s="78" t="s">
        <v>5971</v>
      </c>
      <c r="BC1767" s="78" t="s">
        <v>5971</v>
      </c>
      <c r="BD1767" s="78" t="s">
        <v>5971</v>
      </c>
      <c r="BE1767" s="78" t="s">
        <v>5971</v>
      </c>
      <c r="BF1767" s="78" t="s">
        <v>5971</v>
      </c>
      <c r="BG1767" s="78" t="s">
        <v>5971</v>
      </c>
      <c r="BH1767" s="75" t="s">
        <v>5971</v>
      </c>
      <c r="BI1767" s="295" t="s">
        <v>2269</v>
      </c>
      <c r="BJ1767" s="546">
        <v>1</v>
      </c>
      <c r="BK1767" s="294" t="s">
        <v>16</v>
      </c>
      <c r="BL1767" s="157" t="s">
        <v>16</v>
      </c>
      <c r="BM1767" s="548" t="s">
        <v>1339</v>
      </c>
      <c r="BN1767" s="548" t="s">
        <v>4161</v>
      </c>
      <c r="BO1767" s="157" t="s">
        <v>4528</v>
      </c>
      <c r="BP1767" s="548" t="s">
        <v>2269</v>
      </c>
      <c r="BQ1767" s="157" t="s">
        <v>4229</v>
      </c>
      <c r="BR1767" s="157"/>
    </row>
    <row r="1768" spans="1:70" x14ac:dyDescent="0.25">
      <c r="A1768" s="19" t="s">
        <v>3686</v>
      </c>
      <c r="B1768" s="37" t="s">
        <v>1163</v>
      </c>
      <c r="C1768" s="90">
        <v>44462.865347222221</v>
      </c>
      <c r="D1768" s="114">
        <v>44462.615347222221</v>
      </c>
      <c r="E1768" s="38">
        <v>44462</v>
      </c>
      <c r="F1768" s="91">
        <v>2021</v>
      </c>
      <c r="G1768" s="93">
        <v>9</v>
      </c>
      <c r="H1768" s="37" t="s">
        <v>475</v>
      </c>
      <c r="I1768" s="37"/>
      <c r="J1768" s="103">
        <v>-91.875564912419634</v>
      </c>
      <c r="K1768" s="40">
        <v>43.874047799076763</v>
      </c>
      <c r="L1768" s="74"/>
      <c r="M1768" s="272" t="s">
        <v>1164</v>
      </c>
      <c r="N1768" s="74">
        <v>1</v>
      </c>
      <c r="O1768" s="94"/>
      <c r="P1768" s="118">
        <v>1</v>
      </c>
      <c r="Q1768" s="510">
        <v>180</v>
      </c>
      <c r="R1768" s="513">
        <v>120</v>
      </c>
      <c r="S1768" s="41"/>
      <c r="T1768" s="40"/>
      <c r="U1768" s="40">
        <v>7</v>
      </c>
      <c r="V1768" s="119">
        <v>1</v>
      </c>
      <c r="W1768" s="40">
        <v>0</v>
      </c>
      <c r="X1768" s="119">
        <v>0</v>
      </c>
      <c r="Y1768" s="40"/>
      <c r="Z1768" s="119">
        <v>1</v>
      </c>
      <c r="AA1768" s="368">
        <v>0</v>
      </c>
      <c r="AB1768" s="535">
        <v>2</v>
      </c>
      <c r="AC1768" s="39" t="s">
        <v>160</v>
      </c>
      <c r="AD1768" s="75" t="s">
        <v>10</v>
      </c>
      <c r="AE1768" s="95">
        <v>0</v>
      </c>
      <c r="AF1768" s="75">
        <v>0</v>
      </c>
      <c r="AG1768" s="75">
        <v>0</v>
      </c>
      <c r="AH1768" s="75">
        <v>0</v>
      </c>
      <c r="AI1768" s="75">
        <v>0</v>
      </c>
      <c r="AJ1768" s="75">
        <v>0</v>
      </c>
      <c r="AK1768" s="75">
        <v>0</v>
      </c>
      <c r="AL1768" s="95">
        <v>1</v>
      </c>
      <c r="AM1768" s="92">
        <v>0</v>
      </c>
      <c r="AN1768" s="79" t="s">
        <v>80</v>
      </c>
      <c r="AO1768" s="75">
        <v>1</v>
      </c>
      <c r="AP1768" s="75" t="s">
        <v>83</v>
      </c>
      <c r="AQ1768" s="122">
        <v>1</v>
      </c>
      <c r="AR1768" s="515" t="s">
        <v>10</v>
      </c>
      <c r="AS1768" s="95">
        <v>0</v>
      </c>
      <c r="AT1768" s="75">
        <v>0</v>
      </c>
      <c r="AU1768" s="75">
        <v>0</v>
      </c>
      <c r="AV1768" s="75">
        <v>0</v>
      </c>
      <c r="AW1768" s="123">
        <v>0</v>
      </c>
      <c r="AX1768" s="516" t="s">
        <v>1165</v>
      </c>
      <c r="AY1768" s="75">
        <v>1</v>
      </c>
      <c r="AZ1768" s="77" t="s">
        <v>131</v>
      </c>
      <c r="BA1768" s="78" t="s">
        <v>131</v>
      </c>
      <c r="BB1768" s="78" t="s">
        <v>131</v>
      </c>
      <c r="BC1768" s="78" t="s">
        <v>131</v>
      </c>
      <c r="BD1768" s="78" t="s">
        <v>131</v>
      </c>
      <c r="BE1768" s="78" t="s">
        <v>131</v>
      </c>
      <c r="BF1768" s="78" t="s">
        <v>131</v>
      </c>
      <c r="BG1768" s="78" t="s">
        <v>132</v>
      </c>
      <c r="BH1768" s="75" t="s">
        <v>5970</v>
      </c>
      <c r="BI1768" s="295">
        <v>0</v>
      </c>
      <c r="BJ1768" s="546">
        <v>1</v>
      </c>
      <c r="BK1768" s="294">
        <v>1</v>
      </c>
      <c r="BL1768" s="157">
        <v>1</v>
      </c>
      <c r="BM1768" s="548" t="s">
        <v>1341</v>
      </c>
      <c r="BN1768" s="548" t="s">
        <v>1339</v>
      </c>
      <c r="BO1768" s="157" t="s">
        <v>4640</v>
      </c>
      <c r="BP1768" s="548" t="s">
        <v>2261</v>
      </c>
      <c r="BQ1768" s="157" t="s">
        <v>4635</v>
      </c>
      <c r="BR1768" s="157"/>
    </row>
    <row r="1769" spans="1:70" x14ac:dyDescent="0.25">
      <c r="A1769" s="19" t="s">
        <v>3686</v>
      </c>
      <c r="B1769" s="37" t="s">
        <v>1153</v>
      </c>
      <c r="C1769" s="90">
        <v>44462.82</v>
      </c>
      <c r="D1769" s="114">
        <v>44462.57</v>
      </c>
      <c r="E1769" s="38">
        <v>44462</v>
      </c>
      <c r="F1769" s="91">
        <v>2021</v>
      </c>
      <c r="G1769" s="93">
        <v>9</v>
      </c>
      <c r="H1769" s="37" t="s">
        <v>475</v>
      </c>
      <c r="I1769" s="37"/>
      <c r="J1769" s="103">
        <v>-91.611043196256844</v>
      </c>
      <c r="K1769" s="40">
        <v>43.63355217971246</v>
      </c>
      <c r="L1769" s="74"/>
      <c r="M1769" s="272" t="s">
        <v>1154</v>
      </c>
      <c r="N1769" s="74">
        <v>1</v>
      </c>
      <c r="O1769" s="94"/>
      <c r="P1769" s="118">
        <v>1</v>
      </c>
      <c r="Q1769" s="510">
        <v>180</v>
      </c>
      <c r="R1769" s="513">
        <v>120</v>
      </c>
      <c r="S1769" s="41"/>
      <c r="T1769" s="40"/>
      <c r="U1769" s="40">
        <v>7</v>
      </c>
      <c r="V1769" s="119">
        <v>1</v>
      </c>
      <c r="W1769" s="40">
        <v>0</v>
      </c>
      <c r="X1769" s="119">
        <v>0</v>
      </c>
      <c r="Y1769" s="40"/>
      <c r="Z1769" s="119">
        <v>1</v>
      </c>
      <c r="AA1769" s="368">
        <v>0</v>
      </c>
      <c r="AB1769" s="535">
        <v>2</v>
      </c>
      <c r="AC1769" s="39" t="s">
        <v>160</v>
      </c>
      <c r="AD1769" s="75" t="s">
        <v>10</v>
      </c>
      <c r="AE1769" s="95">
        <v>0</v>
      </c>
      <c r="AF1769" s="75">
        <v>0</v>
      </c>
      <c r="AG1769" s="75">
        <v>0</v>
      </c>
      <c r="AH1769" s="75">
        <v>0</v>
      </c>
      <c r="AI1769" s="75">
        <v>0</v>
      </c>
      <c r="AJ1769" s="75">
        <v>0</v>
      </c>
      <c r="AK1769" s="75">
        <v>0</v>
      </c>
      <c r="AL1769" s="95">
        <v>1</v>
      </c>
      <c r="AM1769" s="92">
        <v>0</v>
      </c>
      <c r="AN1769" s="79" t="s">
        <v>80</v>
      </c>
      <c r="AO1769" s="75">
        <v>1</v>
      </c>
      <c r="AP1769" s="75" t="s">
        <v>83</v>
      </c>
      <c r="AQ1769" s="122">
        <v>1</v>
      </c>
      <c r="AR1769" s="515" t="s">
        <v>10</v>
      </c>
      <c r="AS1769" s="95">
        <v>0</v>
      </c>
      <c r="AT1769" s="75">
        <v>0</v>
      </c>
      <c r="AU1769" s="75">
        <v>0</v>
      </c>
      <c r="AV1769" s="75">
        <v>0</v>
      </c>
      <c r="AW1769" s="123">
        <v>0</v>
      </c>
      <c r="AX1769" s="516" t="s">
        <v>1155</v>
      </c>
      <c r="AY1769" s="75">
        <v>1</v>
      </c>
      <c r="AZ1769" s="77" t="s">
        <v>131</v>
      </c>
      <c r="BA1769" s="78" t="s">
        <v>131</v>
      </c>
      <c r="BB1769" s="78" t="s">
        <v>131</v>
      </c>
      <c r="BC1769" s="78" t="s">
        <v>131</v>
      </c>
      <c r="BD1769" s="78" t="s">
        <v>131</v>
      </c>
      <c r="BE1769" s="78" t="s">
        <v>131</v>
      </c>
      <c r="BF1769" s="78" t="s">
        <v>131</v>
      </c>
      <c r="BG1769" s="78" t="s">
        <v>132</v>
      </c>
      <c r="BH1769" s="75" t="s">
        <v>5970</v>
      </c>
      <c r="BI1769" s="295" t="s">
        <v>16</v>
      </c>
      <c r="BJ1769" s="546">
        <v>1</v>
      </c>
      <c r="BK1769" s="294">
        <v>1</v>
      </c>
      <c r="BL1769" s="157">
        <v>1</v>
      </c>
      <c r="BM1769" s="548" t="s">
        <v>1341</v>
      </c>
      <c r="BN1769" s="548" t="s">
        <v>1339</v>
      </c>
      <c r="BO1769" s="157" t="s">
        <v>4233</v>
      </c>
      <c r="BP1769" s="548" t="s">
        <v>307</v>
      </c>
      <c r="BQ1769" s="157" t="s">
        <v>4232</v>
      </c>
      <c r="BR1769" s="157"/>
    </row>
    <row r="1770" spans="1:70" x14ac:dyDescent="0.25">
      <c r="A1770" s="19" t="s">
        <v>3686</v>
      </c>
      <c r="B1770" s="37" t="s">
        <v>1085</v>
      </c>
      <c r="C1770" s="90">
        <v>44462.801099537035</v>
      </c>
      <c r="D1770" s="114">
        <v>44462.551099537035</v>
      </c>
      <c r="E1770" s="38">
        <v>44462</v>
      </c>
      <c r="F1770" s="91">
        <v>2021</v>
      </c>
      <c r="G1770" s="93">
        <v>9</v>
      </c>
      <c r="H1770" s="37" t="s">
        <v>475</v>
      </c>
      <c r="I1770" s="37"/>
      <c r="J1770" s="103">
        <v>-91.580537343483044</v>
      </c>
      <c r="K1770" s="40">
        <v>43.641518047120087</v>
      </c>
      <c r="L1770" s="74"/>
      <c r="M1770" s="272" t="s">
        <v>1086</v>
      </c>
      <c r="N1770" s="74">
        <v>1</v>
      </c>
      <c r="O1770" s="94"/>
      <c r="P1770" s="118">
        <v>1</v>
      </c>
      <c r="Q1770" s="510">
        <v>180</v>
      </c>
      <c r="R1770" s="513">
        <v>120</v>
      </c>
      <c r="S1770" s="41"/>
      <c r="T1770" s="40"/>
      <c r="U1770" s="40">
        <v>7</v>
      </c>
      <c r="V1770" s="119">
        <v>1</v>
      </c>
      <c r="W1770" s="40">
        <v>0</v>
      </c>
      <c r="X1770" s="119">
        <v>0</v>
      </c>
      <c r="Y1770" s="40"/>
      <c r="Z1770" s="119">
        <v>1</v>
      </c>
      <c r="AA1770" s="368">
        <v>0</v>
      </c>
      <c r="AB1770" s="535">
        <v>2</v>
      </c>
      <c r="AC1770" s="39" t="s">
        <v>160</v>
      </c>
      <c r="AD1770" s="75" t="s">
        <v>10</v>
      </c>
      <c r="AE1770" s="95">
        <v>0</v>
      </c>
      <c r="AF1770" s="75">
        <v>0</v>
      </c>
      <c r="AG1770" s="75">
        <v>0</v>
      </c>
      <c r="AH1770" s="75">
        <v>0</v>
      </c>
      <c r="AI1770" s="75">
        <v>0</v>
      </c>
      <c r="AJ1770" s="75">
        <v>0</v>
      </c>
      <c r="AK1770" s="75">
        <v>0</v>
      </c>
      <c r="AL1770" s="95">
        <v>1</v>
      </c>
      <c r="AM1770" s="92">
        <v>0</v>
      </c>
      <c r="AN1770" s="79" t="s">
        <v>80</v>
      </c>
      <c r="AO1770" s="75">
        <v>1</v>
      </c>
      <c r="AP1770" s="75" t="s">
        <v>83</v>
      </c>
      <c r="AQ1770" s="122">
        <v>1</v>
      </c>
      <c r="AR1770" s="515" t="s">
        <v>10</v>
      </c>
      <c r="AS1770" s="95">
        <v>0</v>
      </c>
      <c r="AT1770" s="75">
        <v>0</v>
      </c>
      <c r="AU1770" s="75">
        <v>0</v>
      </c>
      <c r="AV1770" s="75">
        <v>0</v>
      </c>
      <c r="AW1770" s="123">
        <v>0</v>
      </c>
      <c r="AX1770" s="516" t="s">
        <v>1087</v>
      </c>
      <c r="AY1770" s="75">
        <v>1</v>
      </c>
      <c r="AZ1770" s="77" t="s">
        <v>131</v>
      </c>
      <c r="BA1770" s="78" t="s">
        <v>131</v>
      </c>
      <c r="BB1770" s="78" t="s">
        <v>131</v>
      </c>
      <c r="BC1770" s="78" t="s">
        <v>131</v>
      </c>
      <c r="BD1770" s="78" t="s">
        <v>131</v>
      </c>
      <c r="BE1770" s="78" t="s">
        <v>131</v>
      </c>
      <c r="BF1770" s="78" t="s">
        <v>131</v>
      </c>
      <c r="BG1770" s="78" t="s">
        <v>132</v>
      </c>
      <c r="BH1770" s="75" t="s">
        <v>5970</v>
      </c>
      <c r="BI1770" s="295" t="s">
        <v>2259</v>
      </c>
      <c r="BJ1770" s="546">
        <v>1</v>
      </c>
      <c r="BK1770" s="294" t="s">
        <v>16</v>
      </c>
      <c r="BL1770" s="157" t="s">
        <v>16</v>
      </c>
      <c r="BM1770" s="548" t="s">
        <v>1341</v>
      </c>
      <c r="BN1770" s="548" t="s">
        <v>1339</v>
      </c>
      <c r="BO1770" s="157" t="s">
        <v>4233</v>
      </c>
      <c r="BP1770" s="548" t="s">
        <v>307</v>
      </c>
      <c r="BQ1770" s="157" t="s">
        <v>4232</v>
      </c>
      <c r="BR1770" s="157"/>
    </row>
    <row r="1771" spans="1:70" x14ac:dyDescent="0.25">
      <c r="A1771" s="19" t="s">
        <v>3686</v>
      </c>
      <c r="B1771" s="37" t="s">
        <v>1098</v>
      </c>
      <c r="C1771" s="90">
        <v>44461.890543981484</v>
      </c>
      <c r="D1771" s="114">
        <v>44461.640543981484</v>
      </c>
      <c r="E1771" s="38">
        <v>44461</v>
      </c>
      <c r="F1771" s="91">
        <v>2021</v>
      </c>
      <c r="G1771" s="93">
        <v>9</v>
      </c>
      <c r="H1771" s="37" t="s">
        <v>475</v>
      </c>
      <c r="I1771" s="37"/>
      <c r="J1771" s="103">
        <v>-92.43326867007876</v>
      </c>
      <c r="K1771" s="40">
        <v>44.291795692447842</v>
      </c>
      <c r="L1771" s="74"/>
      <c r="M1771" s="272" t="s">
        <v>1099</v>
      </c>
      <c r="N1771" s="74">
        <v>1</v>
      </c>
      <c r="O1771" s="94"/>
      <c r="P1771" s="118">
        <v>1</v>
      </c>
      <c r="Q1771" s="510">
        <v>180</v>
      </c>
      <c r="R1771" s="513">
        <v>120</v>
      </c>
      <c r="S1771" s="41"/>
      <c r="T1771" s="40"/>
      <c r="U1771" s="40">
        <v>7</v>
      </c>
      <c r="V1771" s="119">
        <v>1</v>
      </c>
      <c r="W1771" s="40">
        <v>0</v>
      </c>
      <c r="X1771" s="119">
        <v>0</v>
      </c>
      <c r="Y1771" s="40"/>
      <c r="Z1771" s="119">
        <v>1</v>
      </c>
      <c r="AA1771" s="368">
        <v>0</v>
      </c>
      <c r="AB1771" s="535">
        <v>10</v>
      </c>
      <c r="AC1771" s="39" t="s">
        <v>160</v>
      </c>
      <c r="AD1771" s="75" t="s">
        <v>10</v>
      </c>
      <c r="AE1771" s="95">
        <v>0</v>
      </c>
      <c r="AF1771" s="75">
        <v>0</v>
      </c>
      <c r="AG1771" s="75">
        <v>0</v>
      </c>
      <c r="AH1771" s="75">
        <v>0</v>
      </c>
      <c r="AI1771" s="75">
        <v>0</v>
      </c>
      <c r="AJ1771" s="75">
        <v>0</v>
      </c>
      <c r="AK1771" s="75">
        <v>0</v>
      </c>
      <c r="AL1771" s="95">
        <v>1</v>
      </c>
      <c r="AM1771" s="92">
        <v>0</v>
      </c>
      <c r="AN1771" s="79" t="s">
        <v>80</v>
      </c>
      <c r="AO1771" s="75">
        <v>1</v>
      </c>
      <c r="AP1771" s="75" t="s">
        <v>83</v>
      </c>
      <c r="AQ1771" s="122">
        <v>1</v>
      </c>
      <c r="AR1771" s="515" t="s">
        <v>10</v>
      </c>
      <c r="AS1771" s="95">
        <v>0</v>
      </c>
      <c r="AT1771" s="75">
        <v>0</v>
      </c>
      <c r="AU1771" s="75">
        <v>0</v>
      </c>
      <c r="AV1771" s="75">
        <v>0</v>
      </c>
      <c r="AW1771" s="123">
        <v>0</v>
      </c>
      <c r="AX1771" s="516" t="s">
        <v>1100</v>
      </c>
      <c r="AY1771" s="75">
        <v>1</v>
      </c>
      <c r="AZ1771" s="77" t="s">
        <v>131</v>
      </c>
      <c r="BA1771" s="78" t="s">
        <v>131</v>
      </c>
      <c r="BB1771" s="78" t="s">
        <v>131</v>
      </c>
      <c r="BC1771" s="78" t="s">
        <v>131</v>
      </c>
      <c r="BD1771" s="78" t="s">
        <v>131</v>
      </c>
      <c r="BE1771" s="78" t="s">
        <v>131</v>
      </c>
      <c r="BF1771" s="78" t="s">
        <v>131</v>
      </c>
      <c r="BG1771" s="78" t="s">
        <v>132</v>
      </c>
      <c r="BH1771" s="75" t="s">
        <v>5970</v>
      </c>
      <c r="BI1771" s="295" t="s">
        <v>2234</v>
      </c>
      <c r="BJ1771" s="546">
        <v>1</v>
      </c>
      <c r="BK1771" s="294">
        <v>1</v>
      </c>
      <c r="BL1771" s="157">
        <v>1</v>
      </c>
      <c r="BM1771" s="548" t="s">
        <v>1339</v>
      </c>
      <c r="BN1771" s="548" t="s">
        <v>1339</v>
      </c>
      <c r="BO1771" s="157" t="s">
        <v>4331</v>
      </c>
      <c r="BP1771" s="548" t="s">
        <v>2234</v>
      </c>
      <c r="BQ1771" s="157" t="s">
        <v>4330</v>
      </c>
      <c r="BR1771" s="157"/>
    </row>
    <row r="1772" spans="1:70" x14ac:dyDescent="0.25">
      <c r="A1772" s="19" t="s">
        <v>3686</v>
      </c>
      <c r="B1772" s="37" t="s">
        <v>1148</v>
      </c>
      <c r="C1772" s="90">
        <v>44461.875023148146</v>
      </c>
      <c r="D1772" s="114">
        <v>44461.625023148146</v>
      </c>
      <c r="E1772" s="38">
        <v>44461</v>
      </c>
      <c r="F1772" s="91">
        <v>2021</v>
      </c>
      <c r="G1772" s="93">
        <v>9</v>
      </c>
      <c r="H1772" s="37" t="s">
        <v>606</v>
      </c>
      <c r="I1772" s="37"/>
      <c r="J1772" s="103">
        <v>-92.144061088273318</v>
      </c>
      <c r="K1772" s="40">
        <v>44.23691101611491</v>
      </c>
      <c r="L1772" s="74"/>
      <c r="M1772" s="272" t="s">
        <v>16</v>
      </c>
      <c r="N1772" s="74">
        <v>0</v>
      </c>
      <c r="O1772" s="94"/>
      <c r="P1772" s="118">
        <v>1</v>
      </c>
      <c r="Q1772" s="510">
        <v>180</v>
      </c>
      <c r="R1772" s="513">
        <v>0</v>
      </c>
      <c r="S1772" s="41"/>
      <c r="T1772" s="40"/>
      <c r="U1772" s="40">
        <v>7.5</v>
      </c>
      <c r="V1772" s="119">
        <v>1</v>
      </c>
      <c r="W1772" s="40">
        <v>100</v>
      </c>
      <c r="X1772" s="119">
        <v>1</v>
      </c>
      <c r="Y1772" s="40">
        <v>59</v>
      </c>
      <c r="Z1772" s="119">
        <v>1</v>
      </c>
      <c r="AA1772" s="368">
        <v>0</v>
      </c>
      <c r="AB1772" s="535">
        <v>5</v>
      </c>
      <c r="AC1772" s="39" t="s">
        <v>160</v>
      </c>
      <c r="AD1772" s="75" t="s">
        <v>10</v>
      </c>
      <c r="AE1772" s="95">
        <v>0</v>
      </c>
      <c r="AF1772" s="75">
        <v>0</v>
      </c>
      <c r="AG1772" s="75">
        <v>0</v>
      </c>
      <c r="AH1772" s="75">
        <v>0</v>
      </c>
      <c r="AI1772" s="75">
        <v>0</v>
      </c>
      <c r="AJ1772" s="75">
        <v>0</v>
      </c>
      <c r="AK1772" s="75">
        <v>0</v>
      </c>
      <c r="AL1772" s="95">
        <v>1</v>
      </c>
      <c r="AM1772" s="92">
        <v>0</v>
      </c>
      <c r="AN1772" s="79" t="s">
        <v>80</v>
      </c>
      <c r="AO1772" s="75">
        <v>1</v>
      </c>
      <c r="AP1772" s="75" t="s">
        <v>83</v>
      </c>
      <c r="AQ1772" s="122">
        <v>1</v>
      </c>
      <c r="AR1772" s="515" t="s">
        <v>10</v>
      </c>
      <c r="AS1772" s="95">
        <v>0</v>
      </c>
      <c r="AT1772" s="75">
        <v>0</v>
      </c>
      <c r="AU1772" s="75">
        <v>0</v>
      </c>
      <c r="AV1772" s="75">
        <v>0</v>
      </c>
      <c r="AW1772" s="123">
        <v>0</v>
      </c>
      <c r="AX1772" s="516" t="s">
        <v>1149</v>
      </c>
      <c r="AY1772" s="75">
        <v>1</v>
      </c>
      <c r="AZ1772" s="77" t="s">
        <v>131</v>
      </c>
      <c r="BA1772" s="78" t="s">
        <v>131</v>
      </c>
      <c r="BB1772" s="78" t="s">
        <v>131</v>
      </c>
      <c r="BC1772" s="78" t="s">
        <v>131</v>
      </c>
      <c r="BD1772" s="78" t="s">
        <v>131</v>
      </c>
      <c r="BE1772" s="78" t="s">
        <v>131</v>
      </c>
      <c r="BF1772" s="78" t="s">
        <v>131</v>
      </c>
      <c r="BG1772" s="78" t="s">
        <v>132</v>
      </c>
      <c r="BH1772" s="75" t="s">
        <v>5970</v>
      </c>
      <c r="BI1772" s="295" t="s">
        <v>317</v>
      </c>
      <c r="BJ1772" s="546">
        <v>1</v>
      </c>
      <c r="BK1772" s="294">
        <v>1</v>
      </c>
      <c r="BL1772" s="157">
        <v>1</v>
      </c>
      <c r="BM1772" s="548" t="s">
        <v>1339</v>
      </c>
      <c r="BN1772" s="548" t="s">
        <v>1339</v>
      </c>
      <c r="BO1772" s="157" t="s">
        <v>4358</v>
      </c>
      <c r="BP1772" s="548" t="s">
        <v>317</v>
      </c>
      <c r="BQ1772" s="157" t="s">
        <v>4330</v>
      </c>
      <c r="BR1772" s="157"/>
    </row>
    <row r="1773" spans="1:70" x14ac:dyDescent="0.25">
      <c r="A1773" s="19" t="s">
        <v>3686</v>
      </c>
      <c r="B1773" s="37" t="s">
        <v>1109</v>
      </c>
      <c r="C1773" s="90">
        <v>44461.873449074075</v>
      </c>
      <c r="D1773" s="114">
        <v>44461.623449074075</v>
      </c>
      <c r="E1773" s="38">
        <v>44461</v>
      </c>
      <c r="F1773" s="91">
        <v>2021</v>
      </c>
      <c r="G1773" s="93">
        <v>9</v>
      </c>
      <c r="H1773" s="37" t="s">
        <v>622</v>
      </c>
      <c r="I1773" s="37"/>
      <c r="J1773" s="103">
        <v>-92.276549795728442</v>
      </c>
      <c r="K1773" s="40">
        <v>44.431290132966289</v>
      </c>
      <c r="L1773" s="74"/>
      <c r="M1773" s="272" t="s">
        <v>16</v>
      </c>
      <c r="N1773" s="74">
        <v>0</v>
      </c>
      <c r="O1773" s="94"/>
      <c r="P1773" s="118">
        <v>1</v>
      </c>
      <c r="Q1773" s="510">
        <v>0</v>
      </c>
      <c r="R1773" s="513">
        <v>30</v>
      </c>
      <c r="S1773" s="41"/>
      <c r="T1773" s="40"/>
      <c r="U1773" s="40">
        <v>7</v>
      </c>
      <c r="V1773" s="119">
        <v>1</v>
      </c>
      <c r="W1773" s="40">
        <v>0</v>
      </c>
      <c r="X1773" s="119">
        <v>1</v>
      </c>
      <c r="Y1773" s="40">
        <v>60</v>
      </c>
      <c r="Z1773" s="119">
        <v>0</v>
      </c>
      <c r="AA1773" s="368" t="s">
        <v>16</v>
      </c>
      <c r="AB1773" s="535" t="s">
        <v>16</v>
      </c>
      <c r="AC1773" s="39" t="s">
        <v>160</v>
      </c>
      <c r="AD1773" s="75" t="s">
        <v>16</v>
      </c>
      <c r="AE1773" s="95">
        <v>-1</v>
      </c>
      <c r="AF1773" s="75">
        <v>-1</v>
      </c>
      <c r="AG1773" s="75">
        <v>-1</v>
      </c>
      <c r="AH1773" s="75">
        <v>-1</v>
      </c>
      <c r="AI1773" s="75">
        <v>-1</v>
      </c>
      <c r="AJ1773" s="75">
        <v>-1</v>
      </c>
      <c r="AK1773" s="75">
        <v>-1</v>
      </c>
      <c r="AL1773" s="95">
        <v>-1</v>
      </c>
      <c r="AM1773" s="92">
        <v>1</v>
      </c>
      <c r="AN1773" s="79"/>
      <c r="AO1773" s="75">
        <v>0</v>
      </c>
      <c r="AP1773" s="75"/>
      <c r="AQ1773" s="122">
        <v>0</v>
      </c>
      <c r="AR1773" s="515" t="s">
        <v>16</v>
      </c>
      <c r="AS1773" s="95">
        <v>-1</v>
      </c>
      <c r="AT1773" s="75">
        <v>-1</v>
      </c>
      <c r="AU1773" s="75">
        <v>-1</v>
      </c>
      <c r="AV1773" s="75">
        <v>-1</v>
      </c>
      <c r="AW1773" s="123">
        <v>1</v>
      </c>
      <c r="AX1773" s="516"/>
      <c r="AY1773" s="75">
        <v>0</v>
      </c>
      <c r="AZ1773" s="77" t="s">
        <v>5971</v>
      </c>
      <c r="BA1773" s="78" t="s">
        <v>5971</v>
      </c>
      <c r="BB1773" s="78" t="s">
        <v>5971</v>
      </c>
      <c r="BC1773" s="78" t="s">
        <v>5971</v>
      </c>
      <c r="BD1773" s="78" t="s">
        <v>5971</v>
      </c>
      <c r="BE1773" s="78" t="s">
        <v>5971</v>
      </c>
      <c r="BF1773" s="78" t="s">
        <v>5971</v>
      </c>
      <c r="BG1773" s="78" t="s">
        <v>5971</v>
      </c>
      <c r="BH1773" s="75" t="s">
        <v>5971</v>
      </c>
      <c r="BI1773" s="295" t="s">
        <v>2228</v>
      </c>
      <c r="BJ1773" s="546">
        <v>1</v>
      </c>
      <c r="BK1773" s="294" t="s">
        <v>16</v>
      </c>
      <c r="BL1773" s="157" t="s">
        <v>16</v>
      </c>
      <c r="BM1773" s="548" t="s">
        <v>1339</v>
      </c>
      <c r="BN1773" s="548" t="s">
        <v>1339</v>
      </c>
      <c r="BO1773" s="157" t="s">
        <v>4614</v>
      </c>
      <c r="BP1773" s="548" t="s">
        <v>2228</v>
      </c>
      <c r="BQ1773" s="157" t="s">
        <v>4214</v>
      </c>
      <c r="BR1773" s="157"/>
    </row>
    <row r="1774" spans="1:70" x14ac:dyDescent="0.25">
      <c r="A1774" s="19" t="s">
        <v>3686</v>
      </c>
      <c r="B1774" s="37" t="s">
        <v>1112</v>
      </c>
      <c r="C1774" s="90">
        <v>44461.775659722225</v>
      </c>
      <c r="D1774" s="114">
        <v>44461.525659722225</v>
      </c>
      <c r="E1774" s="38">
        <v>44461</v>
      </c>
      <c r="F1774" s="91">
        <v>2021</v>
      </c>
      <c r="G1774" s="93">
        <v>9</v>
      </c>
      <c r="H1774" s="37" t="s">
        <v>405</v>
      </c>
      <c r="I1774" s="37"/>
      <c r="J1774" s="103">
        <v>-91.819547312419687</v>
      </c>
      <c r="K1774" s="40">
        <v>43.603026419918613</v>
      </c>
      <c r="L1774" s="74"/>
      <c r="M1774" s="272" t="s">
        <v>16</v>
      </c>
      <c r="N1774" s="74">
        <v>0</v>
      </c>
      <c r="O1774" s="94"/>
      <c r="P1774" s="118">
        <v>1</v>
      </c>
      <c r="Q1774" s="510">
        <v>180</v>
      </c>
      <c r="R1774" s="513">
        <v>180</v>
      </c>
      <c r="S1774" s="41"/>
      <c r="T1774" s="40"/>
      <c r="U1774" s="40">
        <v>8</v>
      </c>
      <c r="V1774" s="119">
        <v>1</v>
      </c>
      <c r="W1774" s="40">
        <v>0</v>
      </c>
      <c r="X1774" s="119">
        <v>0</v>
      </c>
      <c r="Y1774" s="40"/>
      <c r="Z1774" s="119">
        <v>1</v>
      </c>
      <c r="AA1774" s="368">
        <v>0</v>
      </c>
      <c r="AB1774" s="535">
        <v>5</v>
      </c>
      <c r="AC1774" s="39" t="s">
        <v>160</v>
      </c>
      <c r="AD1774" s="75" t="s">
        <v>10</v>
      </c>
      <c r="AE1774" s="95">
        <v>0</v>
      </c>
      <c r="AF1774" s="75">
        <v>0</v>
      </c>
      <c r="AG1774" s="75">
        <v>0</v>
      </c>
      <c r="AH1774" s="75">
        <v>0</v>
      </c>
      <c r="AI1774" s="75">
        <v>0</v>
      </c>
      <c r="AJ1774" s="75">
        <v>0</v>
      </c>
      <c r="AK1774" s="75">
        <v>0</v>
      </c>
      <c r="AL1774" s="95">
        <v>1</v>
      </c>
      <c r="AM1774" s="92">
        <v>0</v>
      </c>
      <c r="AN1774" s="79" t="s">
        <v>80</v>
      </c>
      <c r="AO1774" s="75">
        <v>1</v>
      </c>
      <c r="AP1774" s="75" t="s">
        <v>83</v>
      </c>
      <c r="AQ1774" s="122">
        <v>1</v>
      </c>
      <c r="AR1774" s="515" t="s">
        <v>10</v>
      </c>
      <c r="AS1774" s="95">
        <v>0</v>
      </c>
      <c r="AT1774" s="75">
        <v>0</v>
      </c>
      <c r="AU1774" s="75">
        <v>0</v>
      </c>
      <c r="AV1774" s="75">
        <v>0</v>
      </c>
      <c r="AW1774" s="123">
        <v>0</v>
      </c>
      <c r="AX1774" s="516"/>
      <c r="AY1774" s="75">
        <v>0</v>
      </c>
      <c r="AZ1774" s="77" t="s">
        <v>131</v>
      </c>
      <c r="BA1774" s="78" t="s">
        <v>131</v>
      </c>
      <c r="BB1774" s="78" t="s">
        <v>131</v>
      </c>
      <c r="BC1774" s="78" t="s">
        <v>131</v>
      </c>
      <c r="BD1774" s="78" t="s">
        <v>131</v>
      </c>
      <c r="BE1774" s="78" t="s">
        <v>131</v>
      </c>
      <c r="BF1774" s="78" t="s">
        <v>131</v>
      </c>
      <c r="BG1774" s="78" t="s">
        <v>132</v>
      </c>
      <c r="BH1774" s="75" t="s">
        <v>5970</v>
      </c>
      <c r="BI1774" s="295" t="s">
        <v>2271</v>
      </c>
      <c r="BJ1774" s="546">
        <v>1</v>
      </c>
      <c r="BK1774" s="294">
        <v>1</v>
      </c>
      <c r="BL1774" s="157">
        <v>1</v>
      </c>
      <c r="BM1774" s="548" t="s">
        <v>1341</v>
      </c>
      <c r="BN1774" s="548" t="s">
        <v>4161</v>
      </c>
      <c r="BO1774" s="157" t="s">
        <v>4245</v>
      </c>
      <c r="BP1774" s="548" t="s">
        <v>2271</v>
      </c>
      <c r="BQ1774" s="157" t="s">
        <v>4232</v>
      </c>
      <c r="BR1774" s="157"/>
    </row>
    <row r="1775" spans="1:70" x14ac:dyDescent="0.25">
      <c r="A1775" s="19" t="s">
        <v>3686</v>
      </c>
      <c r="B1775" s="37" t="s">
        <v>1174</v>
      </c>
      <c r="C1775" s="90">
        <v>44461.689606481479</v>
      </c>
      <c r="D1775" s="114">
        <v>44461.439606481479</v>
      </c>
      <c r="E1775" s="38">
        <v>44461</v>
      </c>
      <c r="F1775" s="91">
        <v>2021</v>
      </c>
      <c r="G1775" s="93">
        <v>9</v>
      </c>
      <c r="H1775" s="37" t="s">
        <v>475</v>
      </c>
      <c r="I1775" s="37"/>
      <c r="J1775" s="103">
        <v>-91.995299980130042</v>
      </c>
      <c r="K1775" s="40">
        <v>44.250214244280237</v>
      </c>
      <c r="L1775" s="74"/>
      <c r="M1775" s="272" t="s">
        <v>1175</v>
      </c>
      <c r="N1775" s="74">
        <v>1</v>
      </c>
      <c r="O1775" s="94"/>
      <c r="P1775" s="118">
        <v>1</v>
      </c>
      <c r="Q1775" s="510">
        <v>180</v>
      </c>
      <c r="R1775" s="513">
        <v>120</v>
      </c>
      <c r="S1775" s="41"/>
      <c r="T1775" s="40"/>
      <c r="U1775" s="40">
        <v>7</v>
      </c>
      <c r="V1775" s="119">
        <v>1</v>
      </c>
      <c r="W1775" s="40">
        <v>0</v>
      </c>
      <c r="X1775" s="119">
        <v>0</v>
      </c>
      <c r="Y1775" s="40"/>
      <c r="Z1775" s="119">
        <v>1</v>
      </c>
      <c r="AA1775" s="368">
        <v>0</v>
      </c>
      <c r="AB1775" s="535">
        <v>0</v>
      </c>
      <c r="AC1775" s="39" t="s">
        <v>160</v>
      </c>
      <c r="AD1775" s="75" t="s">
        <v>10</v>
      </c>
      <c r="AE1775" s="95">
        <v>0</v>
      </c>
      <c r="AF1775" s="75">
        <v>0</v>
      </c>
      <c r="AG1775" s="75">
        <v>0</v>
      </c>
      <c r="AH1775" s="75">
        <v>0</v>
      </c>
      <c r="AI1775" s="75">
        <v>0</v>
      </c>
      <c r="AJ1775" s="75">
        <v>0</v>
      </c>
      <c r="AK1775" s="75">
        <v>0</v>
      </c>
      <c r="AL1775" s="95">
        <v>1</v>
      </c>
      <c r="AM1775" s="92">
        <v>0</v>
      </c>
      <c r="AN1775" s="79" t="s">
        <v>81</v>
      </c>
      <c r="AO1775" s="75">
        <v>1</v>
      </c>
      <c r="AP1775" s="75" t="s">
        <v>84</v>
      </c>
      <c r="AQ1775" s="122">
        <v>1</v>
      </c>
      <c r="AR1775" s="515" t="s">
        <v>10</v>
      </c>
      <c r="AS1775" s="95">
        <v>0</v>
      </c>
      <c r="AT1775" s="75">
        <v>0</v>
      </c>
      <c r="AU1775" s="75">
        <v>0</v>
      </c>
      <c r="AV1775" s="75">
        <v>0</v>
      </c>
      <c r="AW1775" s="123">
        <v>0</v>
      </c>
      <c r="AX1775" s="516" t="s">
        <v>1176</v>
      </c>
      <c r="AY1775" s="75">
        <v>1</v>
      </c>
      <c r="AZ1775" s="77" t="s">
        <v>131</v>
      </c>
      <c r="BA1775" s="78" t="s">
        <v>131</v>
      </c>
      <c r="BB1775" s="78" t="s">
        <v>131</v>
      </c>
      <c r="BC1775" s="78" t="s">
        <v>131</v>
      </c>
      <c r="BD1775" s="78" t="s">
        <v>131</v>
      </c>
      <c r="BE1775" s="78" t="s">
        <v>131</v>
      </c>
      <c r="BF1775" s="78" t="s">
        <v>131</v>
      </c>
      <c r="BG1775" s="78" t="s">
        <v>132</v>
      </c>
      <c r="BH1775" s="75" t="s">
        <v>5970</v>
      </c>
      <c r="BI1775" s="295" t="s">
        <v>2241</v>
      </c>
      <c r="BJ1775" s="546">
        <v>1</v>
      </c>
      <c r="BK1775" s="294">
        <v>1</v>
      </c>
      <c r="BL1775" s="157">
        <v>1</v>
      </c>
      <c r="BM1775" s="548" t="s">
        <v>1341</v>
      </c>
      <c r="BN1775" s="548" t="s">
        <v>1339</v>
      </c>
      <c r="BO1775" s="157" t="s">
        <v>4652</v>
      </c>
      <c r="BP1775" s="548" t="s">
        <v>2241</v>
      </c>
      <c r="BQ1775" s="157" t="s">
        <v>4269</v>
      </c>
      <c r="BR1775" s="157"/>
    </row>
    <row r="1776" spans="1:70" x14ac:dyDescent="0.25">
      <c r="A1776" s="19" t="s">
        <v>3686</v>
      </c>
      <c r="B1776" s="37" t="s">
        <v>1082</v>
      </c>
      <c r="C1776" s="90">
        <v>44461.665879629632</v>
      </c>
      <c r="D1776" s="114">
        <v>44461.415879629632</v>
      </c>
      <c r="E1776" s="38">
        <v>44461</v>
      </c>
      <c r="F1776" s="91">
        <v>2021</v>
      </c>
      <c r="G1776" s="93">
        <v>9</v>
      </c>
      <c r="H1776" s="37" t="s">
        <v>475</v>
      </c>
      <c r="I1776" s="37"/>
      <c r="J1776" s="103">
        <v>-92.026991872202643</v>
      </c>
      <c r="K1776" s="40">
        <v>44.214783227112342</v>
      </c>
      <c r="L1776" s="74"/>
      <c r="M1776" s="272" t="s">
        <v>1083</v>
      </c>
      <c r="N1776" s="74">
        <v>1</v>
      </c>
      <c r="O1776" s="94"/>
      <c r="P1776" s="118">
        <v>1</v>
      </c>
      <c r="Q1776" s="510">
        <v>180</v>
      </c>
      <c r="R1776" s="513">
        <v>120</v>
      </c>
      <c r="S1776" s="41"/>
      <c r="T1776" s="40"/>
      <c r="U1776" s="40">
        <v>7</v>
      </c>
      <c r="V1776" s="119">
        <v>1</v>
      </c>
      <c r="W1776" s="40">
        <v>0</v>
      </c>
      <c r="X1776" s="119">
        <v>0</v>
      </c>
      <c r="Y1776" s="40"/>
      <c r="Z1776" s="119">
        <v>1</v>
      </c>
      <c r="AA1776" s="368">
        <v>0</v>
      </c>
      <c r="AB1776" s="535">
        <v>2</v>
      </c>
      <c r="AC1776" s="39" t="s">
        <v>160</v>
      </c>
      <c r="AD1776" s="75" t="s">
        <v>8</v>
      </c>
      <c r="AE1776" s="95">
        <v>0</v>
      </c>
      <c r="AF1776" s="75">
        <v>1</v>
      </c>
      <c r="AG1776" s="75">
        <v>0</v>
      </c>
      <c r="AH1776" s="75">
        <v>0</v>
      </c>
      <c r="AI1776" s="75">
        <v>0</v>
      </c>
      <c r="AJ1776" s="75">
        <v>0</v>
      </c>
      <c r="AK1776" s="75">
        <v>0</v>
      </c>
      <c r="AL1776" s="95">
        <v>0</v>
      </c>
      <c r="AM1776" s="92">
        <v>0</v>
      </c>
      <c r="AN1776" s="79" t="s">
        <v>81</v>
      </c>
      <c r="AO1776" s="75">
        <v>1</v>
      </c>
      <c r="AP1776" s="75" t="s">
        <v>84</v>
      </c>
      <c r="AQ1776" s="122">
        <v>1</v>
      </c>
      <c r="AR1776" s="515" t="s">
        <v>10</v>
      </c>
      <c r="AS1776" s="95">
        <v>0</v>
      </c>
      <c r="AT1776" s="75">
        <v>0</v>
      </c>
      <c r="AU1776" s="75">
        <v>0</v>
      </c>
      <c r="AV1776" s="75">
        <v>0</v>
      </c>
      <c r="AW1776" s="123">
        <v>0</v>
      </c>
      <c r="AX1776" s="516" t="s">
        <v>1084</v>
      </c>
      <c r="AY1776" s="75">
        <v>1</v>
      </c>
      <c r="AZ1776" s="77" t="s">
        <v>131</v>
      </c>
      <c r="BA1776" s="78" t="s">
        <v>132</v>
      </c>
      <c r="BB1776" s="78" t="s">
        <v>131</v>
      </c>
      <c r="BC1776" s="78" t="s">
        <v>131</v>
      </c>
      <c r="BD1776" s="78" t="s">
        <v>131</v>
      </c>
      <c r="BE1776" s="78" t="s">
        <v>131</v>
      </c>
      <c r="BF1776" s="78" t="s">
        <v>131</v>
      </c>
      <c r="BG1776" s="78" t="s">
        <v>131</v>
      </c>
      <c r="BH1776" s="75" t="s">
        <v>5970</v>
      </c>
      <c r="BI1776" s="295" t="s">
        <v>2256</v>
      </c>
      <c r="BJ1776" s="546">
        <v>1</v>
      </c>
      <c r="BK1776" s="294">
        <v>1</v>
      </c>
      <c r="BL1776" s="157">
        <v>1</v>
      </c>
      <c r="BM1776" s="548" t="s">
        <v>1341</v>
      </c>
      <c r="BN1776" s="548" t="s">
        <v>1339</v>
      </c>
      <c r="BO1776" s="157" t="s">
        <v>4507</v>
      </c>
      <c r="BP1776" s="548" t="s">
        <v>2256</v>
      </c>
      <c r="BQ1776" s="157" t="s">
        <v>4269</v>
      </c>
      <c r="BR1776" s="157"/>
    </row>
    <row r="1777" spans="1:70" x14ac:dyDescent="0.25">
      <c r="A1777" s="19" t="s">
        <v>3686</v>
      </c>
      <c r="B1777" s="37" t="s">
        <v>1139</v>
      </c>
      <c r="C1777" s="90">
        <v>44460.81355324074</v>
      </c>
      <c r="D1777" s="114">
        <v>44460.56355324074</v>
      </c>
      <c r="E1777" s="38">
        <v>44460</v>
      </c>
      <c r="F1777" s="91">
        <v>2021</v>
      </c>
      <c r="G1777" s="93">
        <v>9</v>
      </c>
      <c r="H1777" s="37" t="s">
        <v>625</v>
      </c>
      <c r="I1777" s="37" t="s">
        <v>753</v>
      </c>
      <c r="J1777" s="103">
        <v>-92.802094400000001</v>
      </c>
      <c r="K1777" s="40">
        <v>44.543005999999998</v>
      </c>
      <c r="L1777" s="74"/>
      <c r="M1777" s="272" t="s">
        <v>16</v>
      </c>
      <c r="N1777" s="74">
        <v>0</v>
      </c>
      <c r="O1777" s="94"/>
      <c r="P1777" s="118">
        <v>1</v>
      </c>
      <c r="Q1777" s="510">
        <v>80</v>
      </c>
      <c r="R1777" s="513">
        <v>180</v>
      </c>
      <c r="S1777" s="41"/>
      <c r="T1777" s="40"/>
      <c r="U1777" s="40">
        <v>7.5</v>
      </c>
      <c r="V1777" s="119">
        <v>1</v>
      </c>
      <c r="W1777" s="40">
        <v>100</v>
      </c>
      <c r="X1777" s="119">
        <v>1</v>
      </c>
      <c r="Y1777" s="40">
        <v>57</v>
      </c>
      <c r="Z1777" s="119">
        <v>1</v>
      </c>
      <c r="AA1777" s="368">
        <v>0</v>
      </c>
      <c r="AB1777" s="535">
        <v>5</v>
      </c>
      <c r="AC1777" s="39" t="s">
        <v>160</v>
      </c>
      <c r="AD1777" s="75" t="s">
        <v>10</v>
      </c>
      <c r="AE1777" s="95">
        <v>0</v>
      </c>
      <c r="AF1777" s="75">
        <v>0</v>
      </c>
      <c r="AG1777" s="75">
        <v>0</v>
      </c>
      <c r="AH1777" s="75">
        <v>0</v>
      </c>
      <c r="AI1777" s="75">
        <v>0</v>
      </c>
      <c r="AJ1777" s="75">
        <v>0</v>
      </c>
      <c r="AK1777" s="75">
        <v>0</v>
      </c>
      <c r="AL1777" s="95">
        <v>1</v>
      </c>
      <c r="AM1777" s="92">
        <v>0</v>
      </c>
      <c r="AN1777" s="79" t="s">
        <v>80</v>
      </c>
      <c r="AO1777" s="75">
        <v>1</v>
      </c>
      <c r="AP1777" s="75" t="s">
        <v>83</v>
      </c>
      <c r="AQ1777" s="122">
        <v>1</v>
      </c>
      <c r="AR1777" s="515" t="s">
        <v>35</v>
      </c>
      <c r="AS1777" s="95">
        <v>0</v>
      </c>
      <c r="AT1777" s="75">
        <v>1</v>
      </c>
      <c r="AU1777" s="75">
        <v>0</v>
      </c>
      <c r="AV1777" s="75">
        <v>0</v>
      </c>
      <c r="AW1777" s="123">
        <v>0</v>
      </c>
      <c r="AX1777" s="516"/>
      <c r="AY1777" s="75">
        <v>0</v>
      </c>
      <c r="AZ1777" s="77" t="s">
        <v>131</v>
      </c>
      <c r="BA1777" s="78" t="s">
        <v>131</v>
      </c>
      <c r="BB1777" s="78" t="s">
        <v>131</v>
      </c>
      <c r="BC1777" s="78" t="s">
        <v>131</v>
      </c>
      <c r="BD1777" s="78" t="s">
        <v>131</v>
      </c>
      <c r="BE1777" s="78" t="s">
        <v>131</v>
      </c>
      <c r="BF1777" s="78" t="s">
        <v>131</v>
      </c>
      <c r="BG1777" s="78" t="s">
        <v>132</v>
      </c>
      <c r="BH1777" s="75" t="s">
        <v>5970</v>
      </c>
      <c r="BI1777" s="295" t="s">
        <v>2224</v>
      </c>
      <c r="BJ1777" s="546">
        <v>1</v>
      </c>
      <c r="BK1777" s="294">
        <v>1</v>
      </c>
      <c r="BL1777" s="157">
        <v>1</v>
      </c>
      <c r="BM1777" s="548" t="s">
        <v>2343</v>
      </c>
      <c r="BN1777" s="548" t="s">
        <v>4161</v>
      </c>
      <c r="BO1777" s="157" t="s">
        <v>4510</v>
      </c>
      <c r="BP1777" s="548" t="s">
        <v>753</v>
      </c>
      <c r="BQ1777" s="157" t="s">
        <v>4389</v>
      </c>
      <c r="BR1777" s="157"/>
    </row>
    <row r="1778" spans="1:70" x14ac:dyDescent="0.25">
      <c r="A1778" s="19" t="s">
        <v>3686</v>
      </c>
      <c r="B1778" s="37" t="s">
        <v>2098</v>
      </c>
      <c r="C1778" s="90">
        <v>44460.683715277781</v>
      </c>
      <c r="D1778" s="114">
        <v>44460.433715277781</v>
      </c>
      <c r="E1778" s="38">
        <v>44460</v>
      </c>
      <c r="F1778" s="91">
        <v>2021</v>
      </c>
      <c r="G1778" s="93">
        <v>9</v>
      </c>
      <c r="H1778" s="37" t="s">
        <v>1133</v>
      </c>
      <c r="I1778" s="37" t="s">
        <v>16</v>
      </c>
      <c r="J1778" s="103">
        <v>-92.236221846071444</v>
      </c>
      <c r="K1778" s="40">
        <v>43.636956768533018</v>
      </c>
      <c r="L1778" s="74"/>
      <c r="M1778" s="272" t="s">
        <v>16</v>
      </c>
      <c r="N1778" s="74">
        <v>0</v>
      </c>
      <c r="O1778" s="94"/>
      <c r="P1778" s="118">
        <v>1</v>
      </c>
      <c r="Q1778" s="510">
        <v>120</v>
      </c>
      <c r="R1778" s="513">
        <v>180</v>
      </c>
      <c r="S1778" s="41"/>
      <c r="T1778" s="40"/>
      <c r="U1778" s="40">
        <v>7</v>
      </c>
      <c r="V1778" s="119">
        <v>0</v>
      </c>
      <c r="W1778" s="40"/>
      <c r="X1778" s="119">
        <v>1</v>
      </c>
      <c r="Y1778" s="40">
        <v>54</v>
      </c>
      <c r="Z1778" s="119">
        <v>1</v>
      </c>
      <c r="AA1778" s="368">
        <v>0</v>
      </c>
      <c r="AB1778" s="535">
        <v>10</v>
      </c>
      <c r="AC1778" s="39" t="s">
        <v>160</v>
      </c>
      <c r="AD1778" s="75" t="s">
        <v>10</v>
      </c>
      <c r="AE1778" s="95">
        <v>0</v>
      </c>
      <c r="AF1778" s="75">
        <v>0</v>
      </c>
      <c r="AG1778" s="75">
        <v>0</v>
      </c>
      <c r="AH1778" s="75">
        <v>0</v>
      </c>
      <c r="AI1778" s="75">
        <v>0</v>
      </c>
      <c r="AJ1778" s="75">
        <v>0</v>
      </c>
      <c r="AK1778" s="75">
        <v>0</v>
      </c>
      <c r="AL1778" s="95">
        <v>1</v>
      </c>
      <c r="AM1778" s="92">
        <v>0</v>
      </c>
      <c r="AN1778" s="79" t="s">
        <v>195</v>
      </c>
      <c r="AO1778" s="75">
        <v>1</v>
      </c>
      <c r="AP1778" s="75" t="s">
        <v>83</v>
      </c>
      <c r="AQ1778" s="122">
        <v>1</v>
      </c>
      <c r="AR1778" s="515" t="s">
        <v>13</v>
      </c>
      <c r="AS1778" s="95">
        <v>1</v>
      </c>
      <c r="AT1778" s="75">
        <v>0</v>
      </c>
      <c r="AU1778" s="75">
        <v>0</v>
      </c>
      <c r="AV1778" s="75">
        <v>0</v>
      </c>
      <c r="AW1778" s="123">
        <v>0</v>
      </c>
      <c r="AX1778" s="516" t="s">
        <v>2099</v>
      </c>
      <c r="AY1778" s="75">
        <v>1</v>
      </c>
      <c r="AZ1778" s="77" t="s">
        <v>131</v>
      </c>
      <c r="BA1778" s="78" t="s">
        <v>131</v>
      </c>
      <c r="BB1778" s="78" t="s">
        <v>131</v>
      </c>
      <c r="BC1778" s="78" t="s">
        <v>131</v>
      </c>
      <c r="BD1778" s="78" t="s">
        <v>131</v>
      </c>
      <c r="BE1778" s="78" t="s">
        <v>131</v>
      </c>
      <c r="BF1778" s="78" t="s">
        <v>131</v>
      </c>
      <c r="BG1778" s="78" t="s">
        <v>132</v>
      </c>
      <c r="BH1778" s="75" t="s">
        <v>5970</v>
      </c>
      <c r="BI1778" s="295" t="s">
        <v>2263</v>
      </c>
      <c r="BJ1778" s="546">
        <v>1</v>
      </c>
      <c r="BK1778" s="294" t="s">
        <v>16</v>
      </c>
      <c r="BL1778" s="157" t="s">
        <v>16</v>
      </c>
      <c r="BM1778" s="548" t="s">
        <v>1339</v>
      </c>
      <c r="BN1778" s="548" t="s">
        <v>4161</v>
      </c>
      <c r="BO1778" s="157" t="s">
        <v>4694</v>
      </c>
      <c r="BP1778" s="548" t="s">
        <v>2263</v>
      </c>
      <c r="BQ1778" s="157" t="s">
        <v>4229</v>
      </c>
      <c r="BR1778" s="157"/>
    </row>
    <row r="1779" spans="1:70" x14ac:dyDescent="0.25">
      <c r="A1779" s="19" t="s">
        <v>3686</v>
      </c>
      <c r="B1779" s="37" t="s">
        <v>1157</v>
      </c>
      <c r="C1779" s="90">
        <v>44460.601689814815</v>
      </c>
      <c r="D1779" s="114">
        <v>44460.351689814815</v>
      </c>
      <c r="E1779" s="38">
        <v>44460</v>
      </c>
      <c r="F1779" s="91">
        <v>2021</v>
      </c>
      <c r="G1779" s="93">
        <v>9</v>
      </c>
      <c r="H1779" s="37" t="s">
        <v>1141</v>
      </c>
      <c r="I1779" s="37"/>
      <c r="J1779" s="103">
        <v>-91.7808651</v>
      </c>
      <c r="K1779" s="40">
        <v>43.2725516</v>
      </c>
      <c r="L1779" s="74"/>
      <c r="M1779" s="272" t="s">
        <v>1158</v>
      </c>
      <c r="N1779" s="74">
        <v>1</v>
      </c>
      <c r="O1779" s="94"/>
      <c r="P1779" s="118">
        <v>1</v>
      </c>
      <c r="Q1779" s="510">
        <v>180</v>
      </c>
      <c r="R1779" s="513">
        <v>180</v>
      </c>
      <c r="S1779" s="41"/>
      <c r="T1779" s="40"/>
      <c r="U1779" s="40">
        <v>7.5</v>
      </c>
      <c r="V1779" s="119">
        <v>1</v>
      </c>
      <c r="W1779" s="40">
        <v>0</v>
      </c>
      <c r="X1779" s="119">
        <v>1</v>
      </c>
      <c r="Y1779" s="40">
        <v>55</v>
      </c>
      <c r="Z1779" s="119">
        <v>1</v>
      </c>
      <c r="AA1779" s="368">
        <v>0</v>
      </c>
      <c r="AB1779" s="535">
        <v>2</v>
      </c>
      <c r="AC1779" s="39" t="s">
        <v>162</v>
      </c>
      <c r="AD1779" s="75" t="s">
        <v>10</v>
      </c>
      <c r="AE1779" s="95">
        <v>0</v>
      </c>
      <c r="AF1779" s="75">
        <v>0</v>
      </c>
      <c r="AG1779" s="75">
        <v>0</v>
      </c>
      <c r="AH1779" s="75">
        <v>0</v>
      </c>
      <c r="AI1779" s="75">
        <v>0</v>
      </c>
      <c r="AJ1779" s="75">
        <v>0</v>
      </c>
      <c r="AK1779" s="75">
        <v>0</v>
      </c>
      <c r="AL1779" s="95">
        <v>1</v>
      </c>
      <c r="AM1779" s="92">
        <v>0</v>
      </c>
      <c r="AN1779" s="79" t="s">
        <v>80</v>
      </c>
      <c r="AO1779" s="75">
        <v>1</v>
      </c>
      <c r="AP1779" s="75" t="s">
        <v>85</v>
      </c>
      <c r="AQ1779" s="122">
        <v>1</v>
      </c>
      <c r="AR1779" s="515" t="s">
        <v>904</v>
      </c>
      <c r="AS1779" s="95">
        <v>1</v>
      </c>
      <c r="AT1779" s="75">
        <v>1</v>
      </c>
      <c r="AU1779" s="75">
        <v>0</v>
      </c>
      <c r="AV1779" s="75">
        <v>0</v>
      </c>
      <c r="AW1779" s="123">
        <v>0</v>
      </c>
      <c r="AX1779" s="516"/>
      <c r="AY1779" s="75">
        <v>0</v>
      </c>
      <c r="AZ1779" s="77" t="s">
        <v>131</v>
      </c>
      <c r="BA1779" s="78" t="s">
        <v>131</v>
      </c>
      <c r="BB1779" s="78" t="s">
        <v>131</v>
      </c>
      <c r="BC1779" s="78" t="s">
        <v>131</v>
      </c>
      <c r="BD1779" s="78" t="s">
        <v>131</v>
      </c>
      <c r="BE1779" s="78" t="s">
        <v>131</v>
      </c>
      <c r="BF1779" s="78" t="s">
        <v>131</v>
      </c>
      <c r="BG1779" s="78" t="s">
        <v>132</v>
      </c>
      <c r="BH1779" s="75" t="s">
        <v>5970</v>
      </c>
      <c r="BI1779" s="295" t="s">
        <v>2254</v>
      </c>
      <c r="BJ1779" s="546">
        <v>1</v>
      </c>
      <c r="BK1779" s="294" t="s">
        <v>16</v>
      </c>
      <c r="BL1779" s="157" t="s">
        <v>16</v>
      </c>
      <c r="BM1779" s="548" t="s">
        <v>1344</v>
      </c>
      <c r="BN1779" s="548" t="s">
        <v>1344</v>
      </c>
      <c r="BO1779" s="157" t="s">
        <v>4491</v>
      </c>
      <c r="BP1779" s="548" t="s">
        <v>2254</v>
      </c>
      <c r="BQ1779" s="157" t="s">
        <v>4377</v>
      </c>
      <c r="BR1779" s="157"/>
    </row>
    <row r="1780" spans="1:70" x14ac:dyDescent="0.25">
      <c r="A1780" s="19" t="s">
        <v>3686</v>
      </c>
      <c r="B1780" s="37" t="s">
        <v>1132</v>
      </c>
      <c r="C1780" s="90">
        <v>44459.565729166665</v>
      </c>
      <c r="D1780" s="114">
        <v>44459.315729166665</v>
      </c>
      <c r="E1780" s="38">
        <v>44459</v>
      </c>
      <c r="F1780" s="91">
        <v>2021</v>
      </c>
      <c r="G1780" s="93">
        <v>9</v>
      </c>
      <c r="H1780" s="37" t="s">
        <v>1133</v>
      </c>
      <c r="I1780" s="37" t="s">
        <v>16</v>
      </c>
      <c r="J1780" s="103">
        <v>-92.236238258524153</v>
      </c>
      <c r="K1780" s="40">
        <v>43.637010680065423</v>
      </c>
      <c r="L1780" s="74"/>
      <c r="M1780" s="272" t="s">
        <v>16</v>
      </c>
      <c r="N1780" s="74">
        <v>0</v>
      </c>
      <c r="O1780" s="94"/>
      <c r="P1780" s="118">
        <v>1</v>
      </c>
      <c r="Q1780" s="510">
        <v>180</v>
      </c>
      <c r="R1780" s="513">
        <v>180</v>
      </c>
      <c r="S1780" s="41"/>
      <c r="T1780" s="40"/>
      <c r="U1780" s="40">
        <v>8</v>
      </c>
      <c r="V1780" s="119">
        <v>0</v>
      </c>
      <c r="W1780" s="40"/>
      <c r="X1780" s="119">
        <v>1</v>
      </c>
      <c r="Y1780" s="40">
        <v>55</v>
      </c>
      <c r="Z1780" s="119">
        <v>1</v>
      </c>
      <c r="AA1780" s="368">
        <v>0</v>
      </c>
      <c r="AB1780" s="535">
        <v>10</v>
      </c>
      <c r="AC1780" s="39" t="s">
        <v>160</v>
      </c>
      <c r="AD1780" s="75" t="s">
        <v>10</v>
      </c>
      <c r="AE1780" s="95">
        <v>0</v>
      </c>
      <c r="AF1780" s="75">
        <v>0</v>
      </c>
      <c r="AG1780" s="75">
        <v>0</v>
      </c>
      <c r="AH1780" s="75">
        <v>0</v>
      </c>
      <c r="AI1780" s="75">
        <v>0</v>
      </c>
      <c r="AJ1780" s="75">
        <v>0</v>
      </c>
      <c r="AK1780" s="75">
        <v>0</v>
      </c>
      <c r="AL1780" s="95">
        <v>1</v>
      </c>
      <c r="AM1780" s="92">
        <v>0</v>
      </c>
      <c r="AN1780" s="79" t="s">
        <v>80</v>
      </c>
      <c r="AO1780" s="75">
        <v>1</v>
      </c>
      <c r="AP1780" s="75" t="s">
        <v>83</v>
      </c>
      <c r="AQ1780" s="122">
        <v>1</v>
      </c>
      <c r="AR1780" s="515" t="s">
        <v>10</v>
      </c>
      <c r="AS1780" s="95">
        <v>0</v>
      </c>
      <c r="AT1780" s="75">
        <v>0</v>
      </c>
      <c r="AU1780" s="75">
        <v>0</v>
      </c>
      <c r="AV1780" s="75">
        <v>0</v>
      </c>
      <c r="AW1780" s="123">
        <v>0</v>
      </c>
      <c r="AX1780" s="516" t="s">
        <v>1134</v>
      </c>
      <c r="AY1780" s="75">
        <v>1</v>
      </c>
      <c r="AZ1780" s="77" t="s">
        <v>131</v>
      </c>
      <c r="BA1780" s="78" t="s">
        <v>131</v>
      </c>
      <c r="BB1780" s="78" t="s">
        <v>131</v>
      </c>
      <c r="BC1780" s="78" t="s">
        <v>131</v>
      </c>
      <c r="BD1780" s="78" t="s">
        <v>131</v>
      </c>
      <c r="BE1780" s="78" t="s">
        <v>131</v>
      </c>
      <c r="BF1780" s="78" t="s">
        <v>131</v>
      </c>
      <c r="BG1780" s="78" t="s">
        <v>132</v>
      </c>
      <c r="BH1780" s="75" t="s">
        <v>5970</v>
      </c>
      <c r="BI1780" s="295" t="s">
        <v>2263</v>
      </c>
      <c r="BJ1780" s="546">
        <v>1</v>
      </c>
      <c r="BK1780" s="294" t="s">
        <v>16</v>
      </c>
      <c r="BL1780" s="157" t="s">
        <v>16</v>
      </c>
      <c r="BM1780" s="548" t="s">
        <v>1339</v>
      </c>
      <c r="BN1780" s="548" t="s">
        <v>4161</v>
      </c>
      <c r="BO1780" s="157" t="s">
        <v>4694</v>
      </c>
      <c r="BP1780" s="548" t="s">
        <v>2263</v>
      </c>
      <c r="BQ1780" s="157" t="s">
        <v>4229</v>
      </c>
      <c r="BR1780" s="157"/>
    </row>
    <row r="1781" spans="1:70" x14ac:dyDescent="0.25">
      <c r="A1781" s="19" t="s">
        <v>3686</v>
      </c>
      <c r="B1781" s="37" t="s">
        <v>1209</v>
      </c>
      <c r="C1781" s="90">
        <v>44458.860474537039</v>
      </c>
      <c r="D1781" s="114">
        <v>44458.610474537039</v>
      </c>
      <c r="E1781" s="38">
        <v>44458</v>
      </c>
      <c r="F1781" s="91">
        <v>2021</v>
      </c>
      <c r="G1781" s="93">
        <v>9</v>
      </c>
      <c r="H1781" s="37" t="s">
        <v>1054</v>
      </c>
      <c r="I1781" s="37"/>
      <c r="J1781" s="103">
        <v>-91.773731242950802</v>
      </c>
      <c r="K1781" s="40">
        <v>43.27957154255666</v>
      </c>
      <c r="L1781" s="74"/>
      <c r="M1781" s="272" t="s">
        <v>1210</v>
      </c>
      <c r="N1781" s="74">
        <v>1</v>
      </c>
      <c r="O1781" s="94"/>
      <c r="P1781" s="118">
        <v>1</v>
      </c>
      <c r="Q1781" s="510">
        <v>180</v>
      </c>
      <c r="R1781" s="513">
        <v>180</v>
      </c>
      <c r="S1781" s="41"/>
      <c r="T1781" s="40"/>
      <c r="U1781" s="40">
        <v>7</v>
      </c>
      <c r="V1781" s="119">
        <v>1</v>
      </c>
      <c r="W1781" s="40">
        <v>100</v>
      </c>
      <c r="X1781" s="119">
        <v>1</v>
      </c>
      <c r="Y1781" s="40">
        <v>58</v>
      </c>
      <c r="Z1781" s="119">
        <v>1</v>
      </c>
      <c r="AA1781" s="368">
        <v>0</v>
      </c>
      <c r="AB1781" s="535">
        <v>5</v>
      </c>
      <c r="AC1781" s="39" t="s">
        <v>160</v>
      </c>
      <c r="AD1781" s="75" t="s">
        <v>10</v>
      </c>
      <c r="AE1781" s="95">
        <v>0</v>
      </c>
      <c r="AF1781" s="75">
        <v>0</v>
      </c>
      <c r="AG1781" s="75">
        <v>0</v>
      </c>
      <c r="AH1781" s="75">
        <v>0</v>
      </c>
      <c r="AI1781" s="75">
        <v>0</v>
      </c>
      <c r="AJ1781" s="75">
        <v>0</v>
      </c>
      <c r="AK1781" s="75">
        <v>0</v>
      </c>
      <c r="AL1781" s="95">
        <v>1</v>
      </c>
      <c r="AM1781" s="92">
        <v>0</v>
      </c>
      <c r="AN1781" s="79" t="s">
        <v>195</v>
      </c>
      <c r="AO1781" s="75">
        <v>1</v>
      </c>
      <c r="AP1781" s="75" t="s">
        <v>83</v>
      </c>
      <c r="AQ1781" s="122">
        <v>1</v>
      </c>
      <c r="AR1781" s="515" t="s">
        <v>10</v>
      </c>
      <c r="AS1781" s="95">
        <v>0</v>
      </c>
      <c r="AT1781" s="75">
        <v>0</v>
      </c>
      <c r="AU1781" s="75">
        <v>0</v>
      </c>
      <c r="AV1781" s="75">
        <v>0</v>
      </c>
      <c r="AW1781" s="123">
        <v>0</v>
      </c>
      <c r="AX1781" s="516"/>
      <c r="AY1781" s="75">
        <v>0</v>
      </c>
      <c r="AZ1781" s="77" t="s">
        <v>131</v>
      </c>
      <c r="BA1781" s="78" t="s">
        <v>131</v>
      </c>
      <c r="BB1781" s="78" t="s">
        <v>131</v>
      </c>
      <c r="BC1781" s="78" t="s">
        <v>131</v>
      </c>
      <c r="BD1781" s="78" t="s">
        <v>131</v>
      </c>
      <c r="BE1781" s="78" t="s">
        <v>131</v>
      </c>
      <c r="BF1781" s="78" t="s">
        <v>131</v>
      </c>
      <c r="BG1781" s="78" t="s">
        <v>132</v>
      </c>
      <c r="BH1781" s="75" t="s">
        <v>5970</v>
      </c>
      <c r="BI1781" s="295" t="s">
        <v>2254</v>
      </c>
      <c r="BJ1781" s="546">
        <v>1</v>
      </c>
      <c r="BK1781" s="294" t="s">
        <v>16</v>
      </c>
      <c r="BL1781" s="157" t="s">
        <v>16</v>
      </c>
      <c r="BM1781" s="548" t="s">
        <v>1344</v>
      </c>
      <c r="BN1781" s="548" t="s">
        <v>544</v>
      </c>
      <c r="BO1781" s="157" t="s">
        <v>4491</v>
      </c>
      <c r="BP1781" s="548" t="s">
        <v>2254</v>
      </c>
      <c r="BQ1781" s="157" t="s">
        <v>4377</v>
      </c>
      <c r="BR1781" s="157"/>
    </row>
    <row r="1782" spans="1:70" x14ac:dyDescent="0.25">
      <c r="A1782" s="19" t="s">
        <v>3686</v>
      </c>
      <c r="B1782" s="37" t="s">
        <v>1123</v>
      </c>
      <c r="C1782" s="90">
        <v>44458.83489583333</v>
      </c>
      <c r="D1782" s="114">
        <v>44458.58489583333</v>
      </c>
      <c r="E1782" s="38">
        <v>44458</v>
      </c>
      <c r="F1782" s="91">
        <v>2021</v>
      </c>
      <c r="G1782" s="93">
        <v>9</v>
      </c>
      <c r="H1782" s="37" t="s">
        <v>1054</v>
      </c>
      <c r="I1782" s="37"/>
      <c r="J1782" s="103">
        <v>-91.807718016292725</v>
      </c>
      <c r="K1782" s="40">
        <v>43.402003110426854</v>
      </c>
      <c r="L1782" s="74"/>
      <c r="M1782" s="272" t="s">
        <v>1124</v>
      </c>
      <c r="N1782" s="74">
        <v>1</v>
      </c>
      <c r="O1782" s="94"/>
      <c r="P1782" s="118">
        <v>1</v>
      </c>
      <c r="Q1782" s="510">
        <v>120</v>
      </c>
      <c r="R1782" s="513">
        <v>120</v>
      </c>
      <c r="S1782" s="41"/>
      <c r="T1782" s="40"/>
      <c r="U1782" s="40">
        <v>8</v>
      </c>
      <c r="V1782" s="119">
        <v>1</v>
      </c>
      <c r="W1782" s="40">
        <v>100</v>
      </c>
      <c r="X1782" s="119">
        <v>1</v>
      </c>
      <c r="Y1782" s="40">
        <v>68</v>
      </c>
      <c r="Z1782" s="119">
        <v>1</v>
      </c>
      <c r="AA1782" s="368">
        <v>0</v>
      </c>
      <c r="AB1782" s="535">
        <v>5</v>
      </c>
      <c r="AC1782" s="39" t="s">
        <v>160</v>
      </c>
      <c r="AD1782" s="75" t="s">
        <v>10</v>
      </c>
      <c r="AE1782" s="95">
        <v>0</v>
      </c>
      <c r="AF1782" s="75">
        <v>0</v>
      </c>
      <c r="AG1782" s="75">
        <v>0</v>
      </c>
      <c r="AH1782" s="75">
        <v>0</v>
      </c>
      <c r="AI1782" s="75">
        <v>0</v>
      </c>
      <c r="AJ1782" s="75">
        <v>0</v>
      </c>
      <c r="AK1782" s="75">
        <v>0</v>
      </c>
      <c r="AL1782" s="95">
        <v>1</v>
      </c>
      <c r="AM1782" s="92">
        <v>0</v>
      </c>
      <c r="AN1782" s="79" t="s">
        <v>195</v>
      </c>
      <c r="AO1782" s="75">
        <v>1</v>
      </c>
      <c r="AP1782" s="75" t="s">
        <v>83</v>
      </c>
      <c r="AQ1782" s="122">
        <v>1</v>
      </c>
      <c r="AR1782" s="515" t="s">
        <v>10</v>
      </c>
      <c r="AS1782" s="95">
        <v>0</v>
      </c>
      <c r="AT1782" s="75">
        <v>0</v>
      </c>
      <c r="AU1782" s="75">
        <v>0</v>
      </c>
      <c r="AV1782" s="75">
        <v>0</v>
      </c>
      <c r="AW1782" s="123">
        <v>0</v>
      </c>
      <c r="AX1782" s="516"/>
      <c r="AY1782" s="75">
        <v>0</v>
      </c>
      <c r="AZ1782" s="77" t="s">
        <v>131</v>
      </c>
      <c r="BA1782" s="78" t="s">
        <v>131</v>
      </c>
      <c r="BB1782" s="78" t="s">
        <v>131</v>
      </c>
      <c r="BC1782" s="78" t="s">
        <v>131</v>
      </c>
      <c r="BD1782" s="78" t="s">
        <v>131</v>
      </c>
      <c r="BE1782" s="78" t="s">
        <v>131</v>
      </c>
      <c r="BF1782" s="78" t="s">
        <v>131</v>
      </c>
      <c r="BG1782" s="78" t="s">
        <v>132</v>
      </c>
      <c r="BH1782" s="75" t="s">
        <v>5970</v>
      </c>
      <c r="BI1782" s="295" t="s">
        <v>2300</v>
      </c>
      <c r="BJ1782" s="546">
        <v>1</v>
      </c>
      <c r="BK1782" s="294" t="s">
        <v>16</v>
      </c>
      <c r="BL1782" s="157" t="s">
        <v>16</v>
      </c>
      <c r="BM1782" s="548" t="s">
        <v>1344</v>
      </c>
      <c r="BN1782" s="548" t="s">
        <v>544</v>
      </c>
      <c r="BO1782" s="157" t="s">
        <v>4716</v>
      </c>
      <c r="BP1782" s="548" t="s">
        <v>2300</v>
      </c>
      <c r="BQ1782" s="157" t="s">
        <v>4715</v>
      </c>
      <c r="BR1782" s="157"/>
    </row>
    <row r="1783" spans="1:70" x14ac:dyDescent="0.25">
      <c r="A1783" s="19" t="s">
        <v>3686</v>
      </c>
      <c r="B1783" s="37" t="s">
        <v>1186</v>
      </c>
      <c r="C1783" s="90">
        <v>44458.807476851849</v>
      </c>
      <c r="D1783" s="114">
        <v>44458.557476851849</v>
      </c>
      <c r="E1783" s="38">
        <v>44458</v>
      </c>
      <c r="F1783" s="91">
        <v>2021</v>
      </c>
      <c r="G1783" s="93">
        <v>9</v>
      </c>
      <c r="H1783" s="37" t="s">
        <v>1054</v>
      </c>
      <c r="I1783" s="37" t="s">
        <v>16</v>
      </c>
      <c r="J1783" s="103">
        <v>-91.805162625472803</v>
      </c>
      <c r="K1783" s="40">
        <v>43.382696108932961</v>
      </c>
      <c r="L1783" s="74"/>
      <c r="M1783" s="272" t="s">
        <v>1187</v>
      </c>
      <c r="N1783" s="74">
        <v>1</v>
      </c>
      <c r="O1783" s="94"/>
      <c r="P1783" s="118">
        <v>1</v>
      </c>
      <c r="Q1783" s="510">
        <v>180</v>
      </c>
      <c r="R1783" s="513">
        <v>180</v>
      </c>
      <c r="S1783" s="41"/>
      <c r="T1783" s="40"/>
      <c r="U1783" s="40">
        <v>7</v>
      </c>
      <c r="V1783" s="119">
        <v>1</v>
      </c>
      <c r="W1783" s="40">
        <v>0</v>
      </c>
      <c r="X1783" s="119">
        <v>1</v>
      </c>
      <c r="Y1783" s="40">
        <v>52</v>
      </c>
      <c r="Z1783" s="119">
        <v>1</v>
      </c>
      <c r="AA1783" s="368">
        <v>0</v>
      </c>
      <c r="AB1783" s="535">
        <v>10</v>
      </c>
      <c r="AC1783" s="39" t="s">
        <v>160</v>
      </c>
      <c r="AD1783" s="75" t="s">
        <v>10</v>
      </c>
      <c r="AE1783" s="95">
        <v>0</v>
      </c>
      <c r="AF1783" s="75">
        <v>0</v>
      </c>
      <c r="AG1783" s="75">
        <v>0</v>
      </c>
      <c r="AH1783" s="75">
        <v>0</v>
      </c>
      <c r="AI1783" s="75">
        <v>0</v>
      </c>
      <c r="AJ1783" s="75">
        <v>0</v>
      </c>
      <c r="AK1783" s="75">
        <v>0</v>
      </c>
      <c r="AL1783" s="95">
        <v>1</v>
      </c>
      <c r="AM1783" s="92">
        <v>0</v>
      </c>
      <c r="AN1783" s="79" t="s">
        <v>81</v>
      </c>
      <c r="AO1783" s="75">
        <v>1</v>
      </c>
      <c r="AP1783" s="75" t="s">
        <v>83</v>
      </c>
      <c r="AQ1783" s="122">
        <v>1</v>
      </c>
      <c r="AR1783" s="515" t="s">
        <v>10</v>
      </c>
      <c r="AS1783" s="95">
        <v>0</v>
      </c>
      <c r="AT1783" s="75">
        <v>0</v>
      </c>
      <c r="AU1783" s="75">
        <v>0</v>
      </c>
      <c r="AV1783" s="75">
        <v>0</v>
      </c>
      <c r="AW1783" s="123">
        <v>0</v>
      </c>
      <c r="AX1783" s="516"/>
      <c r="AY1783" s="75">
        <v>0</v>
      </c>
      <c r="AZ1783" s="77" t="s">
        <v>131</v>
      </c>
      <c r="BA1783" s="78" t="s">
        <v>131</v>
      </c>
      <c r="BB1783" s="78" t="s">
        <v>131</v>
      </c>
      <c r="BC1783" s="78" t="s">
        <v>131</v>
      </c>
      <c r="BD1783" s="78" t="s">
        <v>131</v>
      </c>
      <c r="BE1783" s="78" t="s">
        <v>131</v>
      </c>
      <c r="BF1783" s="78" t="s">
        <v>131</v>
      </c>
      <c r="BG1783" s="78" t="s">
        <v>132</v>
      </c>
      <c r="BH1783" s="75" t="s">
        <v>5970</v>
      </c>
      <c r="BI1783" s="295">
        <v>0</v>
      </c>
      <c r="BJ1783" s="546" t="s">
        <v>16</v>
      </c>
      <c r="BK1783" s="294">
        <v>1</v>
      </c>
      <c r="BL1783" s="157">
        <v>1</v>
      </c>
      <c r="BM1783" s="548" t="s">
        <v>1344</v>
      </c>
      <c r="BN1783" s="548" t="s">
        <v>544</v>
      </c>
      <c r="BO1783" s="157" t="s">
        <v>4716</v>
      </c>
      <c r="BP1783" s="548" t="s">
        <v>2300</v>
      </c>
      <c r="BQ1783" s="157" t="s">
        <v>4715</v>
      </c>
      <c r="BR1783" s="157"/>
    </row>
    <row r="1784" spans="1:70" x14ac:dyDescent="0.25">
      <c r="A1784" s="19" t="s">
        <v>3686</v>
      </c>
      <c r="B1784" s="37" t="s">
        <v>1079</v>
      </c>
      <c r="C1784" s="90">
        <v>44458.676006944443</v>
      </c>
      <c r="D1784" s="114">
        <v>44458.426006944443</v>
      </c>
      <c r="E1784" s="38">
        <v>44458</v>
      </c>
      <c r="F1784" s="91">
        <v>2021</v>
      </c>
      <c r="G1784" s="93">
        <v>9</v>
      </c>
      <c r="H1784" s="37" t="s">
        <v>621</v>
      </c>
      <c r="I1784" s="37"/>
      <c r="J1784" s="103">
        <v>-91.479140538807485</v>
      </c>
      <c r="K1784" s="40">
        <v>43.892780807841469</v>
      </c>
      <c r="L1784" s="74"/>
      <c r="M1784" s="272" t="s">
        <v>1080</v>
      </c>
      <c r="N1784" s="74">
        <v>1</v>
      </c>
      <c r="O1784" s="94"/>
      <c r="P1784" s="118">
        <v>1</v>
      </c>
      <c r="Q1784" s="510">
        <v>180</v>
      </c>
      <c r="R1784" s="513">
        <v>120</v>
      </c>
      <c r="S1784" s="41"/>
      <c r="T1784" s="40"/>
      <c r="U1784" s="40">
        <v>8</v>
      </c>
      <c r="V1784" s="119">
        <v>1</v>
      </c>
      <c r="W1784" s="40">
        <v>0</v>
      </c>
      <c r="X1784" s="119">
        <v>1</v>
      </c>
      <c r="Y1784" s="40">
        <v>59</v>
      </c>
      <c r="Z1784" s="119">
        <v>1</v>
      </c>
      <c r="AA1784" s="368">
        <v>0</v>
      </c>
      <c r="AB1784" s="535">
        <v>0</v>
      </c>
      <c r="AC1784" s="39" t="s">
        <v>160</v>
      </c>
      <c r="AD1784" s="75" t="s">
        <v>8</v>
      </c>
      <c r="AE1784" s="95">
        <v>0</v>
      </c>
      <c r="AF1784" s="75">
        <v>1</v>
      </c>
      <c r="AG1784" s="75">
        <v>0</v>
      </c>
      <c r="AH1784" s="75">
        <v>0</v>
      </c>
      <c r="AI1784" s="75">
        <v>0</v>
      </c>
      <c r="AJ1784" s="75">
        <v>0</v>
      </c>
      <c r="AK1784" s="75">
        <v>0</v>
      </c>
      <c r="AL1784" s="95">
        <v>0</v>
      </c>
      <c r="AM1784" s="92">
        <v>0</v>
      </c>
      <c r="AN1784" s="79" t="s">
        <v>80</v>
      </c>
      <c r="AO1784" s="75">
        <v>1</v>
      </c>
      <c r="AP1784" s="75" t="s">
        <v>83</v>
      </c>
      <c r="AQ1784" s="122">
        <v>1</v>
      </c>
      <c r="AR1784" s="515" t="s">
        <v>10</v>
      </c>
      <c r="AS1784" s="95">
        <v>0</v>
      </c>
      <c r="AT1784" s="75">
        <v>0</v>
      </c>
      <c r="AU1784" s="75">
        <v>0</v>
      </c>
      <c r="AV1784" s="75">
        <v>0</v>
      </c>
      <c r="AW1784" s="123">
        <v>0</v>
      </c>
      <c r="AX1784" s="516" t="s">
        <v>1081</v>
      </c>
      <c r="AY1784" s="75">
        <v>1</v>
      </c>
      <c r="AZ1784" s="77" t="s">
        <v>131</v>
      </c>
      <c r="BA1784" s="78" t="s">
        <v>132</v>
      </c>
      <c r="BB1784" s="78" t="s">
        <v>131</v>
      </c>
      <c r="BC1784" s="78" t="s">
        <v>131</v>
      </c>
      <c r="BD1784" s="78" t="s">
        <v>131</v>
      </c>
      <c r="BE1784" s="78" t="s">
        <v>131</v>
      </c>
      <c r="BF1784" s="78" t="s">
        <v>131</v>
      </c>
      <c r="BG1784" s="78" t="s">
        <v>131</v>
      </c>
      <c r="BH1784" s="75" t="s">
        <v>5970</v>
      </c>
      <c r="BI1784" s="295">
        <v>0</v>
      </c>
      <c r="BJ1784" s="546">
        <v>1</v>
      </c>
      <c r="BK1784" s="294">
        <v>1</v>
      </c>
      <c r="BL1784" s="157">
        <v>1</v>
      </c>
      <c r="BM1784" s="548" t="s">
        <v>1341</v>
      </c>
      <c r="BN1784" s="548" t="s">
        <v>4161</v>
      </c>
      <c r="BO1784" s="157" t="s">
        <v>4717</v>
      </c>
      <c r="BP1784" s="548" t="s">
        <v>2261</v>
      </c>
      <c r="BQ1784" s="157" t="s">
        <v>4592</v>
      </c>
      <c r="BR1784" s="157"/>
    </row>
    <row r="1785" spans="1:70" x14ac:dyDescent="0.25">
      <c r="A1785" s="19" t="s">
        <v>3686</v>
      </c>
      <c r="B1785" s="37" t="s">
        <v>1194</v>
      </c>
      <c r="C1785" s="90">
        <v>44457.887418981481</v>
      </c>
      <c r="D1785" s="114">
        <v>44457.637418981481</v>
      </c>
      <c r="E1785" s="38">
        <v>44457</v>
      </c>
      <c r="F1785" s="91">
        <v>2021</v>
      </c>
      <c r="G1785" s="93">
        <v>9</v>
      </c>
      <c r="H1785" s="37" t="s">
        <v>621</v>
      </c>
      <c r="I1785" s="37"/>
      <c r="J1785" s="103">
        <v>-91.566777527417599</v>
      </c>
      <c r="K1785" s="40">
        <v>43.94706167750428</v>
      </c>
      <c r="L1785" s="74"/>
      <c r="M1785" s="272" t="s">
        <v>16</v>
      </c>
      <c r="N1785" s="74">
        <v>0</v>
      </c>
      <c r="O1785" s="94"/>
      <c r="P1785" s="118">
        <v>1</v>
      </c>
      <c r="Q1785" s="510">
        <v>180</v>
      </c>
      <c r="R1785" s="513">
        <v>180</v>
      </c>
      <c r="S1785" s="41"/>
      <c r="T1785" s="40"/>
      <c r="U1785" s="40">
        <v>8</v>
      </c>
      <c r="V1785" s="119">
        <v>1</v>
      </c>
      <c r="W1785" s="40">
        <v>0</v>
      </c>
      <c r="X1785" s="119">
        <v>1</v>
      </c>
      <c r="Y1785" s="40">
        <v>60</v>
      </c>
      <c r="Z1785" s="119">
        <v>1</v>
      </c>
      <c r="AA1785" s="368">
        <v>0</v>
      </c>
      <c r="AB1785" s="535">
        <v>2</v>
      </c>
      <c r="AC1785" s="39" t="s">
        <v>160</v>
      </c>
      <c r="AD1785" s="75" t="s">
        <v>10</v>
      </c>
      <c r="AE1785" s="95">
        <v>0</v>
      </c>
      <c r="AF1785" s="75">
        <v>0</v>
      </c>
      <c r="AG1785" s="75">
        <v>0</v>
      </c>
      <c r="AH1785" s="75">
        <v>0</v>
      </c>
      <c r="AI1785" s="75">
        <v>0</v>
      </c>
      <c r="AJ1785" s="75">
        <v>0</v>
      </c>
      <c r="AK1785" s="75">
        <v>0</v>
      </c>
      <c r="AL1785" s="95">
        <v>1</v>
      </c>
      <c r="AM1785" s="92">
        <v>0</v>
      </c>
      <c r="AN1785" s="79" t="s">
        <v>80</v>
      </c>
      <c r="AO1785" s="75">
        <v>1</v>
      </c>
      <c r="AP1785" s="75" t="s">
        <v>83</v>
      </c>
      <c r="AQ1785" s="122">
        <v>1</v>
      </c>
      <c r="AR1785" s="515" t="s">
        <v>10</v>
      </c>
      <c r="AS1785" s="95">
        <v>0</v>
      </c>
      <c r="AT1785" s="75">
        <v>0</v>
      </c>
      <c r="AU1785" s="75">
        <v>0</v>
      </c>
      <c r="AV1785" s="75">
        <v>0</v>
      </c>
      <c r="AW1785" s="123">
        <v>0</v>
      </c>
      <c r="AX1785" s="516"/>
      <c r="AY1785" s="75">
        <v>0</v>
      </c>
      <c r="AZ1785" s="77" t="s">
        <v>131</v>
      </c>
      <c r="BA1785" s="78" t="s">
        <v>131</v>
      </c>
      <c r="BB1785" s="78" t="s">
        <v>131</v>
      </c>
      <c r="BC1785" s="78" t="s">
        <v>131</v>
      </c>
      <c r="BD1785" s="78" t="s">
        <v>131</v>
      </c>
      <c r="BE1785" s="78" t="s">
        <v>131</v>
      </c>
      <c r="BF1785" s="78" t="s">
        <v>131</v>
      </c>
      <c r="BG1785" s="78" t="s">
        <v>132</v>
      </c>
      <c r="BH1785" s="75" t="s">
        <v>5970</v>
      </c>
      <c r="BI1785" s="295" t="s">
        <v>2301</v>
      </c>
      <c r="BJ1785" s="546">
        <v>1</v>
      </c>
      <c r="BK1785" s="294">
        <v>1</v>
      </c>
      <c r="BL1785" s="157">
        <v>1</v>
      </c>
      <c r="BM1785" s="548" t="s">
        <v>1341</v>
      </c>
      <c r="BN1785" s="548" t="s">
        <v>4161</v>
      </c>
      <c r="BO1785" s="157" t="s">
        <v>4718</v>
      </c>
      <c r="BP1785" s="548" t="s">
        <v>2301</v>
      </c>
      <c r="BQ1785" s="157" t="s">
        <v>4269</v>
      </c>
      <c r="BR1785" s="157"/>
    </row>
    <row r="1786" spans="1:70" x14ac:dyDescent="0.25">
      <c r="A1786" s="19" t="s">
        <v>3686</v>
      </c>
      <c r="B1786" s="37" t="s">
        <v>1114</v>
      </c>
      <c r="C1786" s="90">
        <v>44457.834351851852</v>
      </c>
      <c r="D1786" s="114">
        <v>44457.584351851852</v>
      </c>
      <c r="E1786" s="38">
        <v>44457</v>
      </c>
      <c r="F1786" s="91">
        <v>2021</v>
      </c>
      <c r="G1786" s="93">
        <v>9</v>
      </c>
      <c r="H1786" s="37" t="s">
        <v>475</v>
      </c>
      <c r="I1786" s="37"/>
      <c r="J1786" s="103">
        <v>-92.278091898273914</v>
      </c>
      <c r="K1786" s="40">
        <v>43.793198475654975</v>
      </c>
      <c r="L1786" s="74"/>
      <c r="M1786" s="272" t="s">
        <v>1115</v>
      </c>
      <c r="N1786" s="74">
        <v>1</v>
      </c>
      <c r="O1786" s="94"/>
      <c r="P1786" s="118">
        <v>1</v>
      </c>
      <c r="Q1786" s="510">
        <v>180</v>
      </c>
      <c r="R1786" s="513">
        <v>180</v>
      </c>
      <c r="S1786" s="41"/>
      <c r="T1786" s="40"/>
      <c r="U1786" s="40">
        <v>7</v>
      </c>
      <c r="V1786" s="119">
        <v>1</v>
      </c>
      <c r="W1786" s="40">
        <v>0</v>
      </c>
      <c r="X1786" s="119">
        <v>0</v>
      </c>
      <c r="Y1786" s="40"/>
      <c r="Z1786" s="119">
        <v>1</v>
      </c>
      <c r="AA1786" s="368">
        <v>0</v>
      </c>
      <c r="AB1786" s="535">
        <v>5</v>
      </c>
      <c r="AC1786" s="39" t="s">
        <v>160</v>
      </c>
      <c r="AD1786" s="75" t="s">
        <v>10</v>
      </c>
      <c r="AE1786" s="95">
        <v>0</v>
      </c>
      <c r="AF1786" s="75">
        <v>0</v>
      </c>
      <c r="AG1786" s="75">
        <v>0</v>
      </c>
      <c r="AH1786" s="75">
        <v>0</v>
      </c>
      <c r="AI1786" s="75">
        <v>0</v>
      </c>
      <c r="AJ1786" s="75">
        <v>0</v>
      </c>
      <c r="AK1786" s="75">
        <v>0</v>
      </c>
      <c r="AL1786" s="95">
        <v>1</v>
      </c>
      <c r="AM1786" s="92">
        <v>0</v>
      </c>
      <c r="AN1786" s="79" t="s">
        <v>80</v>
      </c>
      <c r="AO1786" s="75">
        <v>1</v>
      </c>
      <c r="AP1786" s="75" t="s">
        <v>83</v>
      </c>
      <c r="AQ1786" s="122">
        <v>1</v>
      </c>
      <c r="AR1786" s="515" t="s">
        <v>10</v>
      </c>
      <c r="AS1786" s="95">
        <v>0</v>
      </c>
      <c r="AT1786" s="75">
        <v>0</v>
      </c>
      <c r="AU1786" s="75">
        <v>0</v>
      </c>
      <c r="AV1786" s="75">
        <v>0</v>
      </c>
      <c r="AW1786" s="123">
        <v>0</v>
      </c>
      <c r="AX1786" s="516" t="s">
        <v>1116</v>
      </c>
      <c r="AY1786" s="75">
        <v>1</v>
      </c>
      <c r="AZ1786" s="77" t="s">
        <v>131</v>
      </c>
      <c r="BA1786" s="78" t="s">
        <v>131</v>
      </c>
      <c r="BB1786" s="78" t="s">
        <v>131</v>
      </c>
      <c r="BC1786" s="78" t="s">
        <v>131</v>
      </c>
      <c r="BD1786" s="78" t="s">
        <v>131</v>
      </c>
      <c r="BE1786" s="78" t="s">
        <v>131</v>
      </c>
      <c r="BF1786" s="78" t="s">
        <v>131</v>
      </c>
      <c r="BG1786" s="78" t="s">
        <v>132</v>
      </c>
      <c r="BH1786" s="75" t="s">
        <v>5970</v>
      </c>
      <c r="BI1786" s="295" t="s">
        <v>2251</v>
      </c>
      <c r="BJ1786" s="546">
        <v>1</v>
      </c>
      <c r="BK1786" s="294">
        <v>1</v>
      </c>
      <c r="BL1786" s="157">
        <v>1</v>
      </c>
      <c r="BM1786" s="548" t="s">
        <v>1339</v>
      </c>
      <c r="BN1786" s="548" t="s">
        <v>1339</v>
      </c>
      <c r="BO1786" s="157" t="s">
        <v>4329</v>
      </c>
      <c r="BP1786" s="548" t="s">
        <v>4228</v>
      </c>
      <c r="BQ1786" s="157" t="s">
        <v>4226</v>
      </c>
      <c r="BR1786" s="157"/>
    </row>
    <row r="1787" spans="1:70" x14ac:dyDescent="0.25">
      <c r="A1787" s="19" t="s">
        <v>3686</v>
      </c>
      <c r="B1787" s="37" t="s">
        <v>1119</v>
      </c>
      <c r="C1787" s="90">
        <v>44457.802060185182</v>
      </c>
      <c r="D1787" s="114">
        <v>44457.552060185182</v>
      </c>
      <c r="E1787" s="38">
        <v>44457</v>
      </c>
      <c r="F1787" s="91">
        <v>2021</v>
      </c>
      <c r="G1787" s="93">
        <v>9</v>
      </c>
      <c r="H1787" s="37" t="s">
        <v>475</v>
      </c>
      <c r="I1787" s="37"/>
      <c r="J1787" s="103">
        <v>-92.221356304448307</v>
      </c>
      <c r="K1787" s="40">
        <v>43.637230116914616</v>
      </c>
      <c r="L1787" s="74"/>
      <c r="M1787" s="272" t="s">
        <v>1120</v>
      </c>
      <c r="N1787" s="74">
        <v>1</v>
      </c>
      <c r="O1787" s="94"/>
      <c r="P1787" s="118">
        <v>1</v>
      </c>
      <c r="Q1787" s="510">
        <v>180</v>
      </c>
      <c r="R1787" s="513">
        <v>180</v>
      </c>
      <c r="S1787" s="41"/>
      <c r="T1787" s="40"/>
      <c r="U1787" s="40">
        <v>8</v>
      </c>
      <c r="V1787" s="119">
        <v>1</v>
      </c>
      <c r="W1787" s="40">
        <v>0</v>
      </c>
      <c r="X1787" s="119">
        <v>0</v>
      </c>
      <c r="Y1787" s="40"/>
      <c r="Z1787" s="119">
        <v>0</v>
      </c>
      <c r="AA1787" s="368" t="s">
        <v>16</v>
      </c>
      <c r="AB1787" s="535" t="s">
        <v>16</v>
      </c>
      <c r="AC1787" s="39" t="s">
        <v>160</v>
      </c>
      <c r="AD1787" s="75" t="s">
        <v>16</v>
      </c>
      <c r="AE1787" s="95">
        <v>-1</v>
      </c>
      <c r="AF1787" s="75">
        <v>-1</v>
      </c>
      <c r="AG1787" s="75">
        <v>-1</v>
      </c>
      <c r="AH1787" s="75">
        <v>-1</v>
      </c>
      <c r="AI1787" s="75">
        <v>-1</v>
      </c>
      <c r="AJ1787" s="75">
        <v>-1</v>
      </c>
      <c r="AK1787" s="75">
        <v>-1</v>
      </c>
      <c r="AL1787" s="95">
        <v>-1</v>
      </c>
      <c r="AM1787" s="92">
        <v>1</v>
      </c>
      <c r="AN1787" s="79" t="s">
        <v>80</v>
      </c>
      <c r="AO1787" s="75">
        <v>1</v>
      </c>
      <c r="AP1787" s="75" t="s">
        <v>83</v>
      </c>
      <c r="AQ1787" s="122">
        <v>1</v>
      </c>
      <c r="AR1787" s="515" t="s">
        <v>10</v>
      </c>
      <c r="AS1787" s="95">
        <v>0</v>
      </c>
      <c r="AT1787" s="75">
        <v>0</v>
      </c>
      <c r="AU1787" s="75">
        <v>0</v>
      </c>
      <c r="AV1787" s="75">
        <v>0</v>
      </c>
      <c r="AW1787" s="123">
        <v>0</v>
      </c>
      <c r="AX1787" s="516" t="s">
        <v>1121</v>
      </c>
      <c r="AY1787" s="75">
        <v>1</v>
      </c>
      <c r="AZ1787" s="77" t="s">
        <v>5971</v>
      </c>
      <c r="BA1787" s="78" t="s">
        <v>5971</v>
      </c>
      <c r="BB1787" s="78" t="s">
        <v>5971</v>
      </c>
      <c r="BC1787" s="78" t="s">
        <v>5971</v>
      </c>
      <c r="BD1787" s="78" t="s">
        <v>5971</v>
      </c>
      <c r="BE1787" s="78" t="s">
        <v>5971</v>
      </c>
      <c r="BF1787" s="78" t="s">
        <v>5971</v>
      </c>
      <c r="BG1787" s="78" t="s">
        <v>5971</v>
      </c>
      <c r="BH1787" s="75" t="s">
        <v>5971</v>
      </c>
      <c r="BI1787" s="295" t="s">
        <v>2263</v>
      </c>
      <c r="BJ1787" s="546">
        <v>1</v>
      </c>
      <c r="BK1787" s="294" t="s">
        <v>16</v>
      </c>
      <c r="BL1787" s="157" t="s">
        <v>16</v>
      </c>
      <c r="BM1787" s="548" t="s">
        <v>1339</v>
      </c>
      <c r="BN1787" s="548" t="s">
        <v>1339</v>
      </c>
      <c r="BO1787" s="157" t="s">
        <v>4694</v>
      </c>
      <c r="BP1787" s="548" t="s">
        <v>2263</v>
      </c>
      <c r="BQ1787" s="157" t="s">
        <v>4229</v>
      </c>
      <c r="BR1787" s="157"/>
    </row>
    <row r="1788" spans="1:70" x14ac:dyDescent="0.25">
      <c r="A1788" s="19" t="s">
        <v>3686</v>
      </c>
      <c r="B1788" s="37" t="s">
        <v>1063</v>
      </c>
      <c r="C1788" s="90">
        <v>44457.785729166666</v>
      </c>
      <c r="D1788" s="114">
        <v>44457.535729166666</v>
      </c>
      <c r="E1788" s="38">
        <v>44457</v>
      </c>
      <c r="F1788" s="91">
        <v>2021</v>
      </c>
      <c r="G1788" s="93">
        <v>9</v>
      </c>
      <c r="H1788" s="37" t="s">
        <v>475</v>
      </c>
      <c r="I1788" s="37"/>
      <c r="J1788" s="103">
        <v>-92.22469674431926</v>
      </c>
      <c r="K1788" s="40">
        <v>43.622755282599122</v>
      </c>
      <c r="L1788" s="74"/>
      <c r="M1788" s="272" t="s">
        <v>1064</v>
      </c>
      <c r="N1788" s="74">
        <v>1</v>
      </c>
      <c r="O1788" s="94"/>
      <c r="P1788" s="118">
        <v>1</v>
      </c>
      <c r="Q1788" s="510">
        <v>180</v>
      </c>
      <c r="R1788" s="513">
        <v>180</v>
      </c>
      <c r="S1788" s="41"/>
      <c r="T1788" s="40"/>
      <c r="U1788" s="40">
        <v>7</v>
      </c>
      <c r="V1788" s="119">
        <v>1</v>
      </c>
      <c r="W1788" s="40">
        <v>0</v>
      </c>
      <c r="X1788" s="119">
        <v>0</v>
      </c>
      <c r="Y1788" s="40"/>
      <c r="Z1788" s="119">
        <v>1</v>
      </c>
      <c r="AA1788" s="368">
        <v>0</v>
      </c>
      <c r="AB1788" s="535">
        <v>5</v>
      </c>
      <c r="AC1788" s="39" t="s">
        <v>160</v>
      </c>
      <c r="AD1788" s="75" t="s">
        <v>10</v>
      </c>
      <c r="AE1788" s="95">
        <v>0</v>
      </c>
      <c r="AF1788" s="75">
        <v>0</v>
      </c>
      <c r="AG1788" s="75">
        <v>0</v>
      </c>
      <c r="AH1788" s="75">
        <v>0</v>
      </c>
      <c r="AI1788" s="75">
        <v>0</v>
      </c>
      <c r="AJ1788" s="75">
        <v>0</v>
      </c>
      <c r="AK1788" s="75">
        <v>0</v>
      </c>
      <c r="AL1788" s="95">
        <v>1</v>
      </c>
      <c r="AM1788" s="92">
        <v>0</v>
      </c>
      <c r="AN1788" s="79" t="s">
        <v>81</v>
      </c>
      <c r="AO1788" s="75">
        <v>1</v>
      </c>
      <c r="AP1788" s="75" t="s">
        <v>83</v>
      </c>
      <c r="AQ1788" s="122">
        <v>1</v>
      </c>
      <c r="AR1788" s="515" t="s">
        <v>10</v>
      </c>
      <c r="AS1788" s="95">
        <v>0</v>
      </c>
      <c r="AT1788" s="75">
        <v>0</v>
      </c>
      <c r="AU1788" s="75">
        <v>0</v>
      </c>
      <c r="AV1788" s="75">
        <v>0</v>
      </c>
      <c r="AW1788" s="123">
        <v>0</v>
      </c>
      <c r="AX1788" s="516" t="s">
        <v>1065</v>
      </c>
      <c r="AY1788" s="75">
        <v>1</v>
      </c>
      <c r="AZ1788" s="77" t="s">
        <v>131</v>
      </c>
      <c r="BA1788" s="78" t="s">
        <v>131</v>
      </c>
      <c r="BB1788" s="78" t="s">
        <v>131</v>
      </c>
      <c r="BC1788" s="78" t="s">
        <v>131</v>
      </c>
      <c r="BD1788" s="78" t="s">
        <v>131</v>
      </c>
      <c r="BE1788" s="78" t="s">
        <v>131</v>
      </c>
      <c r="BF1788" s="78" t="s">
        <v>131</v>
      </c>
      <c r="BG1788" s="78" t="s">
        <v>132</v>
      </c>
      <c r="BH1788" s="75" t="s">
        <v>5970</v>
      </c>
      <c r="BI1788" s="295" t="s">
        <v>2232</v>
      </c>
      <c r="BJ1788" s="546">
        <v>1</v>
      </c>
      <c r="BK1788" s="294" t="s">
        <v>16</v>
      </c>
      <c r="BL1788" s="157" t="s">
        <v>16</v>
      </c>
      <c r="BM1788" s="548" t="s">
        <v>1339</v>
      </c>
      <c r="BN1788" s="548" t="s">
        <v>1339</v>
      </c>
      <c r="BO1788" s="157" t="s">
        <v>4230</v>
      </c>
      <c r="BP1788" s="548" t="s">
        <v>4231</v>
      </c>
      <c r="BQ1788" s="157" t="s">
        <v>4229</v>
      </c>
      <c r="BR1788" s="157"/>
    </row>
    <row r="1789" spans="1:70" x14ac:dyDescent="0.25">
      <c r="A1789" s="19" t="s">
        <v>3686</v>
      </c>
      <c r="B1789" s="37" t="s">
        <v>1195</v>
      </c>
      <c r="C1789" s="90">
        <v>44457.771898148145</v>
      </c>
      <c r="D1789" s="114">
        <v>44457.521898148145</v>
      </c>
      <c r="E1789" s="38">
        <v>44457</v>
      </c>
      <c r="F1789" s="91">
        <v>2021</v>
      </c>
      <c r="G1789" s="93">
        <v>9</v>
      </c>
      <c r="H1789" s="37" t="s">
        <v>475</v>
      </c>
      <c r="I1789" s="37"/>
      <c r="J1789" s="103">
        <v>-92.224457608621776</v>
      </c>
      <c r="K1789" s="40">
        <v>43.6218135757778</v>
      </c>
      <c r="L1789" s="74"/>
      <c r="M1789" s="272" t="s">
        <v>1196</v>
      </c>
      <c r="N1789" s="74">
        <v>1</v>
      </c>
      <c r="O1789" s="94"/>
      <c r="P1789" s="118">
        <v>1</v>
      </c>
      <c r="Q1789" s="510">
        <v>180</v>
      </c>
      <c r="R1789" s="513">
        <v>180</v>
      </c>
      <c r="S1789" s="41"/>
      <c r="T1789" s="40"/>
      <c r="U1789" s="40">
        <v>7</v>
      </c>
      <c r="V1789" s="119">
        <v>1</v>
      </c>
      <c r="W1789" s="40">
        <v>0</v>
      </c>
      <c r="X1789" s="119">
        <v>0</v>
      </c>
      <c r="Y1789" s="40"/>
      <c r="Z1789" s="119">
        <v>1</v>
      </c>
      <c r="AA1789" s="368">
        <v>0</v>
      </c>
      <c r="AB1789" s="535">
        <v>10</v>
      </c>
      <c r="AC1789" s="39" t="s">
        <v>160</v>
      </c>
      <c r="AD1789" s="75" t="s">
        <v>10</v>
      </c>
      <c r="AE1789" s="95">
        <v>0</v>
      </c>
      <c r="AF1789" s="75">
        <v>0</v>
      </c>
      <c r="AG1789" s="75">
        <v>0</v>
      </c>
      <c r="AH1789" s="75">
        <v>0</v>
      </c>
      <c r="AI1789" s="75">
        <v>0</v>
      </c>
      <c r="AJ1789" s="75">
        <v>0</v>
      </c>
      <c r="AK1789" s="75">
        <v>0</v>
      </c>
      <c r="AL1789" s="95">
        <v>1</v>
      </c>
      <c r="AM1789" s="92">
        <v>0</v>
      </c>
      <c r="AN1789" s="79" t="s">
        <v>80</v>
      </c>
      <c r="AO1789" s="75">
        <v>1</v>
      </c>
      <c r="AP1789" s="75" t="s">
        <v>83</v>
      </c>
      <c r="AQ1789" s="122">
        <v>1</v>
      </c>
      <c r="AR1789" s="515" t="s">
        <v>10</v>
      </c>
      <c r="AS1789" s="95">
        <v>0</v>
      </c>
      <c r="AT1789" s="75">
        <v>0</v>
      </c>
      <c r="AU1789" s="75">
        <v>0</v>
      </c>
      <c r="AV1789" s="75">
        <v>0</v>
      </c>
      <c r="AW1789" s="123">
        <v>0</v>
      </c>
      <c r="AX1789" s="516" t="s">
        <v>1197</v>
      </c>
      <c r="AY1789" s="75">
        <v>1</v>
      </c>
      <c r="AZ1789" s="77" t="s">
        <v>131</v>
      </c>
      <c r="BA1789" s="78" t="s">
        <v>131</v>
      </c>
      <c r="BB1789" s="78" t="s">
        <v>131</v>
      </c>
      <c r="BC1789" s="78" t="s">
        <v>131</v>
      </c>
      <c r="BD1789" s="78" t="s">
        <v>131</v>
      </c>
      <c r="BE1789" s="78" t="s">
        <v>131</v>
      </c>
      <c r="BF1789" s="78" t="s">
        <v>131</v>
      </c>
      <c r="BG1789" s="78" t="s">
        <v>132</v>
      </c>
      <c r="BH1789" s="75" t="s">
        <v>5970</v>
      </c>
      <c r="BI1789" s="295" t="s">
        <v>2232</v>
      </c>
      <c r="BJ1789" s="546">
        <v>1</v>
      </c>
      <c r="BK1789" s="294" t="s">
        <v>16</v>
      </c>
      <c r="BL1789" s="157" t="s">
        <v>16</v>
      </c>
      <c r="BM1789" s="548" t="s">
        <v>1339</v>
      </c>
      <c r="BN1789" s="548" t="s">
        <v>1339</v>
      </c>
      <c r="BO1789" s="157" t="s">
        <v>4719</v>
      </c>
      <c r="BP1789" s="548" t="s">
        <v>2232</v>
      </c>
      <c r="BQ1789" s="157" t="s">
        <v>4229</v>
      </c>
      <c r="BR1789" s="157"/>
    </row>
    <row r="1790" spans="1:70" x14ac:dyDescent="0.25">
      <c r="A1790" s="19" t="s">
        <v>3686</v>
      </c>
      <c r="B1790" s="37" t="s">
        <v>1128</v>
      </c>
      <c r="C1790" s="90">
        <v>44457.733599537038</v>
      </c>
      <c r="D1790" s="114">
        <v>44457.483599537038</v>
      </c>
      <c r="E1790" s="38">
        <v>44457</v>
      </c>
      <c r="F1790" s="91">
        <v>2021</v>
      </c>
      <c r="G1790" s="93">
        <v>9</v>
      </c>
      <c r="H1790" s="37" t="s">
        <v>619</v>
      </c>
      <c r="I1790" s="37"/>
      <c r="J1790" s="103">
        <v>-91.915876400000002</v>
      </c>
      <c r="K1790" s="40">
        <v>43.723918300000001</v>
      </c>
      <c r="L1790" s="74"/>
      <c r="M1790" s="272" t="s">
        <v>1129</v>
      </c>
      <c r="N1790" s="74">
        <v>1</v>
      </c>
      <c r="O1790" s="94"/>
      <c r="P1790" s="118">
        <v>1</v>
      </c>
      <c r="Q1790" s="510">
        <v>120</v>
      </c>
      <c r="R1790" s="513">
        <v>120</v>
      </c>
      <c r="S1790" s="41"/>
      <c r="T1790" s="40"/>
      <c r="U1790" s="40">
        <v>8.5</v>
      </c>
      <c r="V1790" s="119">
        <v>1</v>
      </c>
      <c r="W1790" s="40">
        <v>0</v>
      </c>
      <c r="X1790" s="119">
        <v>1</v>
      </c>
      <c r="Y1790" s="40">
        <v>54</v>
      </c>
      <c r="Z1790" s="119">
        <v>1</v>
      </c>
      <c r="AA1790" s="368">
        <v>0</v>
      </c>
      <c r="AB1790" s="535">
        <v>5</v>
      </c>
      <c r="AC1790" s="39" t="s">
        <v>160</v>
      </c>
      <c r="AD1790" s="75" t="s">
        <v>10</v>
      </c>
      <c r="AE1790" s="95">
        <v>0</v>
      </c>
      <c r="AF1790" s="75">
        <v>0</v>
      </c>
      <c r="AG1790" s="75">
        <v>0</v>
      </c>
      <c r="AH1790" s="75">
        <v>0</v>
      </c>
      <c r="AI1790" s="75">
        <v>0</v>
      </c>
      <c r="AJ1790" s="75">
        <v>0</v>
      </c>
      <c r="AK1790" s="75">
        <v>0</v>
      </c>
      <c r="AL1790" s="95">
        <v>1</v>
      </c>
      <c r="AM1790" s="92">
        <v>0</v>
      </c>
      <c r="AN1790" s="79" t="s">
        <v>80</v>
      </c>
      <c r="AO1790" s="75">
        <v>1</v>
      </c>
      <c r="AP1790" s="75" t="s">
        <v>83</v>
      </c>
      <c r="AQ1790" s="122">
        <v>1</v>
      </c>
      <c r="AR1790" s="515" t="s">
        <v>10</v>
      </c>
      <c r="AS1790" s="95">
        <v>0</v>
      </c>
      <c r="AT1790" s="75">
        <v>0</v>
      </c>
      <c r="AU1790" s="75">
        <v>0</v>
      </c>
      <c r="AV1790" s="75">
        <v>0</v>
      </c>
      <c r="AW1790" s="123">
        <v>0</v>
      </c>
      <c r="AX1790" s="516"/>
      <c r="AY1790" s="75">
        <v>0</v>
      </c>
      <c r="AZ1790" s="77" t="s">
        <v>131</v>
      </c>
      <c r="BA1790" s="78" t="s">
        <v>131</v>
      </c>
      <c r="BB1790" s="78" t="s">
        <v>131</v>
      </c>
      <c r="BC1790" s="78" t="s">
        <v>131</v>
      </c>
      <c r="BD1790" s="78" t="s">
        <v>131</v>
      </c>
      <c r="BE1790" s="78" t="s">
        <v>131</v>
      </c>
      <c r="BF1790" s="78" t="s">
        <v>131</v>
      </c>
      <c r="BG1790" s="78" t="s">
        <v>132</v>
      </c>
      <c r="BH1790" s="75" t="s">
        <v>5970</v>
      </c>
      <c r="BI1790" s="295" t="s">
        <v>2317</v>
      </c>
      <c r="BJ1790" s="546">
        <v>1</v>
      </c>
      <c r="BK1790" s="294" t="s">
        <v>16</v>
      </c>
      <c r="BL1790" s="157" t="s">
        <v>16</v>
      </c>
      <c r="BM1790" s="548" t="s">
        <v>1339</v>
      </c>
      <c r="BN1790" s="548" t="s">
        <v>1339</v>
      </c>
      <c r="BO1790" s="157" t="s">
        <v>4397</v>
      </c>
      <c r="BP1790" s="548" t="s">
        <v>4398</v>
      </c>
      <c r="BQ1790" s="157" t="s">
        <v>4396</v>
      </c>
      <c r="BR1790" s="157"/>
    </row>
    <row r="1791" spans="1:70" x14ac:dyDescent="0.25">
      <c r="A1791" s="19" t="s">
        <v>3686</v>
      </c>
      <c r="B1791" s="37" t="s">
        <v>1058</v>
      </c>
      <c r="C1791" s="90">
        <v>44457.731273148151</v>
      </c>
      <c r="D1791" s="114">
        <v>44457.481273148151</v>
      </c>
      <c r="E1791" s="38">
        <v>44457</v>
      </c>
      <c r="F1791" s="91">
        <v>2021</v>
      </c>
      <c r="G1791" s="93">
        <v>9</v>
      </c>
      <c r="H1791" s="37" t="s">
        <v>475</v>
      </c>
      <c r="I1791" s="37"/>
      <c r="J1791" s="103">
        <v>-92.064319169234537</v>
      </c>
      <c r="K1791" s="40">
        <v>43.669352419715068</v>
      </c>
      <c r="L1791" s="74"/>
      <c r="M1791" s="272" t="s">
        <v>1059</v>
      </c>
      <c r="N1791" s="74">
        <v>1</v>
      </c>
      <c r="O1791" s="94"/>
      <c r="P1791" s="118">
        <v>1</v>
      </c>
      <c r="Q1791" s="510">
        <v>180</v>
      </c>
      <c r="R1791" s="513">
        <v>180</v>
      </c>
      <c r="S1791" s="41"/>
      <c r="T1791" s="40"/>
      <c r="U1791" s="40">
        <v>7</v>
      </c>
      <c r="V1791" s="119">
        <v>1</v>
      </c>
      <c r="W1791" s="40">
        <v>0</v>
      </c>
      <c r="X1791" s="119">
        <v>0</v>
      </c>
      <c r="Y1791" s="40"/>
      <c r="Z1791" s="119">
        <v>1</v>
      </c>
      <c r="AA1791" s="368">
        <v>0</v>
      </c>
      <c r="AB1791" s="535">
        <v>5</v>
      </c>
      <c r="AC1791" s="39" t="s">
        <v>160</v>
      </c>
      <c r="AD1791" s="75" t="s">
        <v>10</v>
      </c>
      <c r="AE1791" s="95">
        <v>0</v>
      </c>
      <c r="AF1791" s="75">
        <v>0</v>
      </c>
      <c r="AG1791" s="75">
        <v>0</v>
      </c>
      <c r="AH1791" s="75">
        <v>0</v>
      </c>
      <c r="AI1791" s="75">
        <v>0</v>
      </c>
      <c r="AJ1791" s="75">
        <v>0</v>
      </c>
      <c r="AK1791" s="75">
        <v>0</v>
      </c>
      <c r="AL1791" s="95">
        <v>1</v>
      </c>
      <c r="AM1791" s="92">
        <v>0</v>
      </c>
      <c r="AN1791" s="79" t="s">
        <v>80</v>
      </c>
      <c r="AO1791" s="75">
        <v>1</v>
      </c>
      <c r="AP1791" s="75" t="s">
        <v>83</v>
      </c>
      <c r="AQ1791" s="122">
        <v>1</v>
      </c>
      <c r="AR1791" s="515" t="s">
        <v>10</v>
      </c>
      <c r="AS1791" s="95">
        <v>0</v>
      </c>
      <c r="AT1791" s="75">
        <v>0</v>
      </c>
      <c r="AU1791" s="75">
        <v>0</v>
      </c>
      <c r="AV1791" s="75">
        <v>0</v>
      </c>
      <c r="AW1791" s="123">
        <v>0</v>
      </c>
      <c r="AX1791" s="516" t="s">
        <v>1060</v>
      </c>
      <c r="AY1791" s="75">
        <v>1</v>
      </c>
      <c r="AZ1791" s="77" t="s">
        <v>131</v>
      </c>
      <c r="BA1791" s="78" t="s">
        <v>131</v>
      </c>
      <c r="BB1791" s="78" t="s">
        <v>131</v>
      </c>
      <c r="BC1791" s="78" t="s">
        <v>131</v>
      </c>
      <c r="BD1791" s="78" t="s">
        <v>131</v>
      </c>
      <c r="BE1791" s="78" t="s">
        <v>131</v>
      </c>
      <c r="BF1791" s="78" t="s">
        <v>131</v>
      </c>
      <c r="BG1791" s="78" t="s">
        <v>132</v>
      </c>
      <c r="BH1791" s="75" t="s">
        <v>5970</v>
      </c>
      <c r="BI1791" s="295" t="s">
        <v>2269</v>
      </c>
      <c r="BJ1791" s="546">
        <v>1</v>
      </c>
      <c r="BK1791" s="294" t="s">
        <v>16</v>
      </c>
      <c r="BL1791" s="157" t="s">
        <v>16</v>
      </c>
      <c r="BM1791" s="548" t="s">
        <v>1339</v>
      </c>
      <c r="BN1791" s="548" t="s">
        <v>1339</v>
      </c>
      <c r="BO1791" s="157" t="s">
        <v>4528</v>
      </c>
      <c r="BP1791" s="548" t="s">
        <v>2269</v>
      </c>
      <c r="BQ1791" s="157" t="s">
        <v>4229</v>
      </c>
      <c r="BR1791" s="157"/>
    </row>
    <row r="1792" spans="1:70" x14ac:dyDescent="0.25">
      <c r="A1792" s="19" t="s">
        <v>3686</v>
      </c>
      <c r="B1792" s="37" t="s">
        <v>1172</v>
      </c>
      <c r="C1792" s="90">
        <v>44457.691157407404</v>
      </c>
      <c r="D1792" s="114">
        <v>44457.441157407404</v>
      </c>
      <c r="E1792" s="38">
        <v>44457</v>
      </c>
      <c r="F1792" s="91">
        <v>2021</v>
      </c>
      <c r="G1792" s="93">
        <v>9</v>
      </c>
      <c r="H1792" s="37" t="s">
        <v>619</v>
      </c>
      <c r="I1792" s="37"/>
      <c r="J1792" s="103">
        <v>-91.768988300000004</v>
      </c>
      <c r="K1792" s="40">
        <v>43.655304299999997</v>
      </c>
      <c r="L1792" s="74"/>
      <c r="M1792" s="272" t="s">
        <v>1173</v>
      </c>
      <c r="N1792" s="74">
        <v>1</v>
      </c>
      <c r="O1792" s="94"/>
      <c r="P1792" s="118">
        <v>1</v>
      </c>
      <c r="Q1792" s="510">
        <v>40</v>
      </c>
      <c r="R1792" s="513">
        <v>0</v>
      </c>
      <c r="S1792" s="41"/>
      <c r="T1792" s="40"/>
      <c r="U1792" s="40">
        <v>7</v>
      </c>
      <c r="V1792" s="119">
        <v>1</v>
      </c>
      <c r="W1792" s="40">
        <v>0</v>
      </c>
      <c r="X1792" s="119">
        <v>1</v>
      </c>
      <c r="Y1792" s="40">
        <v>60</v>
      </c>
      <c r="Z1792" s="119">
        <v>1</v>
      </c>
      <c r="AA1792" s="368">
        <v>0</v>
      </c>
      <c r="AB1792" s="535">
        <v>2</v>
      </c>
      <c r="AC1792" s="39" t="s">
        <v>160</v>
      </c>
      <c r="AD1792" s="75" t="s">
        <v>10</v>
      </c>
      <c r="AE1792" s="95">
        <v>0</v>
      </c>
      <c r="AF1792" s="75">
        <v>0</v>
      </c>
      <c r="AG1792" s="75">
        <v>0</v>
      </c>
      <c r="AH1792" s="75">
        <v>0</v>
      </c>
      <c r="AI1792" s="75">
        <v>0</v>
      </c>
      <c r="AJ1792" s="75">
        <v>0</v>
      </c>
      <c r="AK1792" s="75">
        <v>0</v>
      </c>
      <c r="AL1792" s="95">
        <v>1</v>
      </c>
      <c r="AM1792" s="92">
        <v>0</v>
      </c>
      <c r="AN1792" s="79" t="s">
        <v>80</v>
      </c>
      <c r="AO1792" s="75">
        <v>1</v>
      </c>
      <c r="AP1792" s="75" t="s">
        <v>83</v>
      </c>
      <c r="AQ1792" s="122">
        <v>1</v>
      </c>
      <c r="AR1792" s="515" t="s">
        <v>10</v>
      </c>
      <c r="AS1792" s="95">
        <v>0</v>
      </c>
      <c r="AT1792" s="75">
        <v>0</v>
      </c>
      <c r="AU1792" s="75">
        <v>0</v>
      </c>
      <c r="AV1792" s="75">
        <v>0</v>
      </c>
      <c r="AW1792" s="123">
        <v>0</v>
      </c>
      <c r="AX1792" s="516"/>
      <c r="AY1792" s="75">
        <v>0</v>
      </c>
      <c r="AZ1792" s="77" t="s">
        <v>131</v>
      </c>
      <c r="BA1792" s="78" t="s">
        <v>131</v>
      </c>
      <c r="BB1792" s="78" t="s">
        <v>131</v>
      </c>
      <c r="BC1792" s="78" t="s">
        <v>131</v>
      </c>
      <c r="BD1792" s="78" t="s">
        <v>131</v>
      </c>
      <c r="BE1792" s="78" t="s">
        <v>131</v>
      </c>
      <c r="BF1792" s="78" t="s">
        <v>131</v>
      </c>
      <c r="BG1792" s="78" t="s">
        <v>132</v>
      </c>
      <c r="BH1792" s="75" t="s">
        <v>5970</v>
      </c>
      <c r="BI1792" s="295" t="s">
        <v>2249</v>
      </c>
      <c r="BJ1792" s="546">
        <v>1</v>
      </c>
      <c r="BK1792" s="294">
        <v>1</v>
      </c>
      <c r="BL1792" s="157">
        <v>1</v>
      </c>
      <c r="BM1792" s="548" t="s">
        <v>1341</v>
      </c>
      <c r="BN1792" s="548" t="s">
        <v>1339</v>
      </c>
      <c r="BO1792" s="157" t="s">
        <v>4418</v>
      </c>
      <c r="BP1792" s="548" t="s">
        <v>4419</v>
      </c>
      <c r="BQ1792" s="157" t="s">
        <v>4232</v>
      </c>
      <c r="BR1792" s="157"/>
    </row>
    <row r="1793" spans="1:70" x14ac:dyDescent="0.25">
      <c r="A1793" s="19" t="s">
        <v>3686</v>
      </c>
      <c r="B1793" s="37" t="s">
        <v>1183</v>
      </c>
      <c r="C1793" s="90">
        <v>44457.670636574076</v>
      </c>
      <c r="D1793" s="114">
        <v>44457.420636574076</v>
      </c>
      <c r="E1793" s="38">
        <v>44457</v>
      </c>
      <c r="F1793" s="91">
        <v>2021</v>
      </c>
      <c r="G1793" s="93">
        <v>9</v>
      </c>
      <c r="H1793" s="37" t="s">
        <v>625</v>
      </c>
      <c r="I1793" s="37" t="s">
        <v>753</v>
      </c>
      <c r="J1793" s="103">
        <v>-92.802158000000006</v>
      </c>
      <c r="K1793" s="40">
        <v>44.543038299999999</v>
      </c>
      <c r="L1793" s="74"/>
      <c r="M1793" s="272" t="s">
        <v>16</v>
      </c>
      <c r="N1793" s="74">
        <v>0</v>
      </c>
      <c r="O1793" s="94"/>
      <c r="P1793" s="118">
        <v>1</v>
      </c>
      <c r="Q1793" s="510">
        <v>80</v>
      </c>
      <c r="R1793" s="513">
        <v>120</v>
      </c>
      <c r="S1793" s="41"/>
      <c r="T1793" s="40"/>
      <c r="U1793" s="40">
        <v>7.5</v>
      </c>
      <c r="V1793" s="119">
        <v>1</v>
      </c>
      <c r="W1793" s="40">
        <v>0</v>
      </c>
      <c r="X1793" s="119">
        <v>1</v>
      </c>
      <c r="Y1793" s="40">
        <v>50</v>
      </c>
      <c r="Z1793" s="119">
        <v>1</v>
      </c>
      <c r="AA1793" s="368">
        <v>0</v>
      </c>
      <c r="AB1793" s="535">
        <v>5</v>
      </c>
      <c r="AC1793" s="39" t="s">
        <v>160</v>
      </c>
      <c r="AD1793" s="75" t="s">
        <v>10</v>
      </c>
      <c r="AE1793" s="95">
        <v>0</v>
      </c>
      <c r="AF1793" s="75">
        <v>0</v>
      </c>
      <c r="AG1793" s="75">
        <v>0</v>
      </c>
      <c r="AH1793" s="75">
        <v>0</v>
      </c>
      <c r="AI1793" s="75">
        <v>0</v>
      </c>
      <c r="AJ1793" s="75">
        <v>0</v>
      </c>
      <c r="AK1793" s="75">
        <v>0</v>
      </c>
      <c r="AL1793" s="95">
        <v>1</v>
      </c>
      <c r="AM1793" s="92">
        <v>0</v>
      </c>
      <c r="AN1793" s="79" t="s">
        <v>80</v>
      </c>
      <c r="AO1793" s="75">
        <v>1</v>
      </c>
      <c r="AP1793" s="75" t="s">
        <v>83</v>
      </c>
      <c r="AQ1793" s="122">
        <v>1</v>
      </c>
      <c r="AR1793" s="515" t="s">
        <v>10</v>
      </c>
      <c r="AS1793" s="95">
        <v>0</v>
      </c>
      <c r="AT1793" s="75">
        <v>0</v>
      </c>
      <c r="AU1793" s="75">
        <v>0</v>
      </c>
      <c r="AV1793" s="75">
        <v>0</v>
      </c>
      <c r="AW1793" s="123">
        <v>0</v>
      </c>
      <c r="AX1793" s="516"/>
      <c r="AY1793" s="75">
        <v>0</v>
      </c>
      <c r="AZ1793" s="77" t="s">
        <v>131</v>
      </c>
      <c r="BA1793" s="78" t="s">
        <v>131</v>
      </c>
      <c r="BB1793" s="78" t="s">
        <v>131</v>
      </c>
      <c r="BC1793" s="78" t="s">
        <v>131</v>
      </c>
      <c r="BD1793" s="78" t="s">
        <v>131</v>
      </c>
      <c r="BE1793" s="78" t="s">
        <v>131</v>
      </c>
      <c r="BF1793" s="78" t="s">
        <v>131</v>
      </c>
      <c r="BG1793" s="78" t="s">
        <v>132</v>
      </c>
      <c r="BH1793" s="75" t="s">
        <v>5970</v>
      </c>
      <c r="BI1793" s="295" t="s">
        <v>2224</v>
      </c>
      <c r="BJ1793" s="546">
        <v>1</v>
      </c>
      <c r="BK1793" s="294">
        <v>1</v>
      </c>
      <c r="BL1793" s="157">
        <v>1</v>
      </c>
      <c r="BM1793" s="548" t="s">
        <v>2343</v>
      </c>
      <c r="BN1793" s="548" t="s">
        <v>4161</v>
      </c>
      <c r="BO1793" s="157" t="s">
        <v>4510</v>
      </c>
      <c r="BP1793" s="548" t="s">
        <v>753</v>
      </c>
      <c r="BQ1793" s="157" t="s">
        <v>4389</v>
      </c>
      <c r="BR1793" s="157"/>
    </row>
    <row r="1794" spans="1:70" x14ac:dyDescent="0.25">
      <c r="A1794" s="19" t="s">
        <v>3686</v>
      </c>
      <c r="B1794" s="37" t="s">
        <v>1201</v>
      </c>
      <c r="C1794" s="90">
        <v>44457.669074074074</v>
      </c>
      <c r="D1794" s="114">
        <v>44457.419074074074</v>
      </c>
      <c r="E1794" s="38">
        <v>44457</v>
      </c>
      <c r="F1794" s="91">
        <v>2021</v>
      </c>
      <c r="G1794" s="93">
        <v>9</v>
      </c>
      <c r="H1794" s="37" t="s">
        <v>621</v>
      </c>
      <c r="I1794" s="37" t="s">
        <v>16</v>
      </c>
      <c r="J1794" s="103">
        <v>-91.502345837737877</v>
      </c>
      <c r="K1794" s="40">
        <v>43.962638438720219</v>
      </c>
      <c r="L1794" s="74"/>
      <c r="M1794" s="272" t="s">
        <v>16</v>
      </c>
      <c r="N1794" s="74">
        <v>0</v>
      </c>
      <c r="O1794" s="94"/>
      <c r="P1794" s="118">
        <v>1</v>
      </c>
      <c r="Q1794" s="510">
        <v>180</v>
      </c>
      <c r="R1794" s="513">
        <v>180</v>
      </c>
      <c r="S1794" s="41"/>
      <c r="T1794" s="40"/>
      <c r="U1794" s="40">
        <v>8</v>
      </c>
      <c r="V1794" s="119">
        <v>1</v>
      </c>
      <c r="W1794" s="40">
        <v>0</v>
      </c>
      <c r="X1794" s="119">
        <v>1</v>
      </c>
      <c r="Y1794" s="40">
        <v>50</v>
      </c>
      <c r="Z1794" s="119">
        <v>1</v>
      </c>
      <c r="AA1794" s="368">
        <v>0</v>
      </c>
      <c r="AB1794" s="535">
        <v>2</v>
      </c>
      <c r="AC1794" s="39" t="s">
        <v>160</v>
      </c>
      <c r="AD1794" s="75" t="s">
        <v>16</v>
      </c>
      <c r="AE1794" s="95">
        <v>-1</v>
      </c>
      <c r="AF1794" s="75">
        <v>-1</v>
      </c>
      <c r="AG1794" s="75">
        <v>-1</v>
      </c>
      <c r="AH1794" s="75">
        <v>-1</v>
      </c>
      <c r="AI1794" s="75">
        <v>-1</v>
      </c>
      <c r="AJ1794" s="75">
        <v>-1</v>
      </c>
      <c r="AK1794" s="75">
        <v>-1</v>
      </c>
      <c r="AL1794" s="95">
        <v>-1</v>
      </c>
      <c r="AM1794" s="92">
        <v>1</v>
      </c>
      <c r="AN1794" s="79" t="s">
        <v>80</v>
      </c>
      <c r="AO1794" s="75">
        <v>1</v>
      </c>
      <c r="AP1794" s="75" t="s">
        <v>83</v>
      </c>
      <c r="AQ1794" s="122">
        <v>1</v>
      </c>
      <c r="AR1794" s="515" t="s">
        <v>10</v>
      </c>
      <c r="AS1794" s="95">
        <v>0</v>
      </c>
      <c r="AT1794" s="75">
        <v>0</v>
      </c>
      <c r="AU1794" s="75">
        <v>0</v>
      </c>
      <c r="AV1794" s="75">
        <v>0</v>
      </c>
      <c r="AW1794" s="123">
        <v>0</v>
      </c>
      <c r="AX1794" s="516"/>
      <c r="AY1794" s="75">
        <v>0</v>
      </c>
      <c r="AZ1794" s="77" t="s">
        <v>5971</v>
      </c>
      <c r="BA1794" s="78" t="s">
        <v>5971</v>
      </c>
      <c r="BB1794" s="78" t="s">
        <v>5971</v>
      </c>
      <c r="BC1794" s="78" t="s">
        <v>5971</v>
      </c>
      <c r="BD1794" s="78" t="s">
        <v>5971</v>
      </c>
      <c r="BE1794" s="78" t="s">
        <v>5971</v>
      </c>
      <c r="BF1794" s="78" t="s">
        <v>5971</v>
      </c>
      <c r="BG1794" s="78" t="s">
        <v>5971</v>
      </c>
      <c r="BH1794" s="75" t="s">
        <v>5971</v>
      </c>
      <c r="BI1794" s="295" t="s">
        <v>2305</v>
      </c>
      <c r="BJ1794" s="546">
        <v>1</v>
      </c>
      <c r="BK1794" s="294" t="s">
        <v>16</v>
      </c>
      <c r="BL1794" s="157" t="s">
        <v>16</v>
      </c>
      <c r="BM1794" s="548" t="s">
        <v>1341</v>
      </c>
      <c r="BN1794" s="548" t="s">
        <v>4161</v>
      </c>
      <c r="BO1794" s="157" t="s">
        <v>4522</v>
      </c>
      <c r="BP1794" s="548" t="s">
        <v>2305</v>
      </c>
      <c r="BQ1794" s="157" t="s">
        <v>4269</v>
      </c>
      <c r="BR1794" s="157"/>
    </row>
    <row r="1795" spans="1:70" x14ac:dyDescent="0.25">
      <c r="A1795" s="19" t="s">
        <v>3686</v>
      </c>
      <c r="B1795" s="37" t="s">
        <v>1184</v>
      </c>
      <c r="C1795" s="90">
        <v>44457.663819444446</v>
      </c>
      <c r="D1795" s="114">
        <v>44457.413819444446</v>
      </c>
      <c r="E1795" s="38">
        <v>44457</v>
      </c>
      <c r="F1795" s="91">
        <v>2021</v>
      </c>
      <c r="G1795" s="93">
        <v>9</v>
      </c>
      <c r="H1795" s="37" t="s">
        <v>619</v>
      </c>
      <c r="I1795" s="37"/>
      <c r="J1795" s="103">
        <v>-91.766546500000004</v>
      </c>
      <c r="K1795" s="40">
        <v>43.655970099999998</v>
      </c>
      <c r="L1795" s="74"/>
      <c r="M1795" s="272" t="s">
        <v>1185</v>
      </c>
      <c r="N1795" s="74">
        <v>1</v>
      </c>
      <c r="O1795" s="94"/>
      <c r="P1795" s="118">
        <v>1</v>
      </c>
      <c r="Q1795" s="510">
        <v>80</v>
      </c>
      <c r="R1795" s="513">
        <v>120</v>
      </c>
      <c r="S1795" s="41"/>
      <c r="T1795" s="40"/>
      <c r="U1795" s="40">
        <v>7.5</v>
      </c>
      <c r="V1795" s="119">
        <v>1</v>
      </c>
      <c r="W1795" s="40">
        <v>0</v>
      </c>
      <c r="X1795" s="119">
        <v>1</v>
      </c>
      <c r="Y1795" s="40">
        <v>57</v>
      </c>
      <c r="Z1795" s="119">
        <v>1</v>
      </c>
      <c r="AA1795" s="368">
        <v>0</v>
      </c>
      <c r="AB1795" s="535">
        <v>5</v>
      </c>
      <c r="AC1795" s="39" t="s">
        <v>160</v>
      </c>
      <c r="AD1795" s="75" t="s">
        <v>10</v>
      </c>
      <c r="AE1795" s="95">
        <v>0</v>
      </c>
      <c r="AF1795" s="75">
        <v>0</v>
      </c>
      <c r="AG1795" s="75">
        <v>0</v>
      </c>
      <c r="AH1795" s="75">
        <v>0</v>
      </c>
      <c r="AI1795" s="75">
        <v>0</v>
      </c>
      <c r="AJ1795" s="75">
        <v>0</v>
      </c>
      <c r="AK1795" s="75">
        <v>0</v>
      </c>
      <c r="AL1795" s="95">
        <v>1</v>
      </c>
      <c r="AM1795" s="92">
        <v>0</v>
      </c>
      <c r="AN1795" s="79" t="s">
        <v>80</v>
      </c>
      <c r="AO1795" s="75">
        <v>1</v>
      </c>
      <c r="AP1795" s="75" t="s">
        <v>83</v>
      </c>
      <c r="AQ1795" s="122">
        <v>1</v>
      </c>
      <c r="AR1795" s="515" t="s">
        <v>10</v>
      </c>
      <c r="AS1795" s="95">
        <v>0</v>
      </c>
      <c r="AT1795" s="75">
        <v>0</v>
      </c>
      <c r="AU1795" s="75">
        <v>0</v>
      </c>
      <c r="AV1795" s="75">
        <v>0</v>
      </c>
      <c r="AW1795" s="123">
        <v>0</v>
      </c>
      <c r="AX1795" s="516"/>
      <c r="AY1795" s="75">
        <v>0</v>
      </c>
      <c r="AZ1795" s="77" t="s">
        <v>131</v>
      </c>
      <c r="BA1795" s="78" t="s">
        <v>131</v>
      </c>
      <c r="BB1795" s="78" t="s">
        <v>131</v>
      </c>
      <c r="BC1795" s="78" t="s">
        <v>131</v>
      </c>
      <c r="BD1795" s="78" t="s">
        <v>131</v>
      </c>
      <c r="BE1795" s="78" t="s">
        <v>131</v>
      </c>
      <c r="BF1795" s="78" t="s">
        <v>131</v>
      </c>
      <c r="BG1795" s="78" t="s">
        <v>132</v>
      </c>
      <c r="BH1795" s="75" t="s">
        <v>5970</v>
      </c>
      <c r="BI1795" s="295" t="s">
        <v>2249</v>
      </c>
      <c r="BJ1795" s="546">
        <v>1</v>
      </c>
      <c r="BK1795" s="294">
        <v>1</v>
      </c>
      <c r="BL1795" s="157">
        <v>1</v>
      </c>
      <c r="BM1795" s="548" t="s">
        <v>1341</v>
      </c>
      <c r="BN1795" s="548" t="s">
        <v>1339</v>
      </c>
      <c r="BO1795" s="157" t="s">
        <v>4418</v>
      </c>
      <c r="BP1795" s="548" t="s">
        <v>4419</v>
      </c>
      <c r="BQ1795" s="157" t="s">
        <v>4232</v>
      </c>
      <c r="BR1795" s="157"/>
    </row>
    <row r="1796" spans="1:70" x14ac:dyDescent="0.25">
      <c r="A1796" s="19" t="s">
        <v>3686</v>
      </c>
      <c r="B1796" s="37" t="s">
        <v>1199</v>
      </c>
      <c r="C1796" s="90">
        <v>44457.653240740743</v>
      </c>
      <c r="D1796" s="114">
        <v>44457.403240740743</v>
      </c>
      <c r="E1796" s="38">
        <v>44457</v>
      </c>
      <c r="F1796" s="91">
        <v>2021</v>
      </c>
      <c r="G1796" s="93">
        <v>9</v>
      </c>
      <c r="H1796" s="37" t="s">
        <v>1180</v>
      </c>
      <c r="I1796" s="37" t="s">
        <v>16</v>
      </c>
      <c r="J1796" s="103">
        <v>-89.553756179820766</v>
      </c>
      <c r="K1796" s="40">
        <v>42.961165404149277</v>
      </c>
      <c r="L1796" s="74"/>
      <c r="M1796" s="272" t="s">
        <v>16</v>
      </c>
      <c r="N1796" s="74">
        <v>0</v>
      </c>
      <c r="O1796" s="94"/>
      <c r="P1796" s="118">
        <v>1</v>
      </c>
      <c r="Q1796" s="510">
        <v>120</v>
      </c>
      <c r="R1796" s="513">
        <v>120</v>
      </c>
      <c r="S1796" s="41"/>
      <c r="T1796" s="40"/>
      <c r="U1796" s="40">
        <v>8</v>
      </c>
      <c r="V1796" s="119">
        <v>0</v>
      </c>
      <c r="W1796" s="40"/>
      <c r="X1796" s="119">
        <v>0</v>
      </c>
      <c r="Y1796" s="40"/>
      <c r="Z1796" s="119">
        <v>0</v>
      </c>
      <c r="AA1796" s="368" t="s">
        <v>16</v>
      </c>
      <c r="AB1796" s="535" t="s">
        <v>16</v>
      </c>
      <c r="AC1796" s="39" t="s">
        <v>160</v>
      </c>
      <c r="AD1796" s="75" t="s">
        <v>10</v>
      </c>
      <c r="AE1796" s="95">
        <v>0</v>
      </c>
      <c r="AF1796" s="75">
        <v>0</v>
      </c>
      <c r="AG1796" s="75">
        <v>0</v>
      </c>
      <c r="AH1796" s="75">
        <v>0</v>
      </c>
      <c r="AI1796" s="75">
        <v>0</v>
      </c>
      <c r="AJ1796" s="75">
        <v>0</v>
      </c>
      <c r="AK1796" s="75">
        <v>0</v>
      </c>
      <c r="AL1796" s="95">
        <v>1</v>
      </c>
      <c r="AM1796" s="92">
        <v>0</v>
      </c>
      <c r="AN1796" s="79"/>
      <c r="AO1796" s="75">
        <v>0</v>
      </c>
      <c r="AP1796" s="75"/>
      <c r="AQ1796" s="122">
        <v>0</v>
      </c>
      <c r="AR1796" s="515" t="s">
        <v>10</v>
      </c>
      <c r="AS1796" s="95">
        <v>0</v>
      </c>
      <c r="AT1796" s="75">
        <v>0</v>
      </c>
      <c r="AU1796" s="75">
        <v>0</v>
      </c>
      <c r="AV1796" s="75">
        <v>0</v>
      </c>
      <c r="AW1796" s="123">
        <v>0</v>
      </c>
      <c r="AX1796" s="516" t="s">
        <v>1200</v>
      </c>
      <c r="AY1796" s="75">
        <v>1</v>
      </c>
      <c r="AZ1796" s="77" t="s">
        <v>131</v>
      </c>
      <c r="BA1796" s="78" t="s">
        <v>131</v>
      </c>
      <c r="BB1796" s="78" t="s">
        <v>131</v>
      </c>
      <c r="BC1796" s="78" t="s">
        <v>131</v>
      </c>
      <c r="BD1796" s="78" t="s">
        <v>131</v>
      </c>
      <c r="BE1796" s="78" t="s">
        <v>131</v>
      </c>
      <c r="BF1796" s="78" t="s">
        <v>131</v>
      </c>
      <c r="BG1796" s="78" t="s">
        <v>132</v>
      </c>
      <c r="BH1796" s="75" t="s">
        <v>5970</v>
      </c>
      <c r="BI1796" s="295" t="s">
        <v>2304</v>
      </c>
      <c r="BJ1796" s="546" t="s">
        <v>16</v>
      </c>
      <c r="BK1796" s="294" t="s">
        <v>16</v>
      </c>
      <c r="BL1796" s="157" t="s">
        <v>16</v>
      </c>
      <c r="BM1796" s="548" t="s">
        <v>1343</v>
      </c>
      <c r="BN1796" s="548" t="s">
        <v>2342</v>
      </c>
      <c r="BO1796" s="157" t="s">
        <v>4721</v>
      </c>
      <c r="BP1796" s="548" t="s">
        <v>2304</v>
      </c>
      <c r="BQ1796" s="157" t="s">
        <v>4720</v>
      </c>
      <c r="BR1796" s="157"/>
    </row>
    <row r="1797" spans="1:70" x14ac:dyDescent="0.25">
      <c r="A1797" s="19" t="s">
        <v>3686</v>
      </c>
      <c r="B1797" s="37" t="s">
        <v>1076</v>
      </c>
      <c r="C1797" s="90">
        <v>44457.607627314814</v>
      </c>
      <c r="D1797" s="114">
        <v>44457.357627314814</v>
      </c>
      <c r="E1797" s="38">
        <v>44457</v>
      </c>
      <c r="F1797" s="91">
        <v>2021</v>
      </c>
      <c r="G1797" s="93">
        <v>9</v>
      </c>
      <c r="H1797" s="37" t="s">
        <v>475</v>
      </c>
      <c r="I1797" s="37"/>
      <c r="J1797" s="103">
        <v>-92.116166604768594</v>
      </c>
      <c r="K1797" s="40">
        <v>43.79766133617963</v>
      </c>
      <c r="L1797" s="74"/>
      <c r="M1797" s="272" t="s">
        <v>1077</v>
      </c>
      <c r="N1797" s="74">
        <v>1</v>
      </c>
      <c r="O1797" s="94"/>
      <c r="P1797" s="118">
        <v>1</v>
      </c>
      <c r="Q1797" s="510">
        <v>180</v>
      </c>
      <c r="R1797" s="513">
        <v>180</v>
      </c>
      <c r="S1797" s="41"/>
      <c r="T1797" s="40"/>
      <c r="U1797" s="40">
        <v>7.5</v>
      </c>
      <c r="V1797" s="119">
        <v>1</v>
      </c>
      <c r="W1797" s="40">
        <v>0</v>
      </c>
      <c r="X1797" s="119">
        <v>1</v>
      </c>
      <c r="Y1797" s="40">
        <v>0</v>
      </c>
      <c r="Z1797" s="119">
        <v>1</v>
      </c>
      <c r="AA1797" s="368">
        <v>0</v>
      </c>
      <c r="AB1797" s="535">
        <v>5</v>
      </c>
      <c r="AC1797" s="39" t="s">
        <v>160</v>
      </c>
      <c r="AD1797" s="75" t="s">
        <v>10</v>
      </c>
      <c r="AE1797" s="95">
        <v>0</v>
      </c>
      <c r="AF1797" s="75">
        <v>0</v>
      </c>
      <c r="AG1797" s="75">
        <v>0</v>
      </c>
      <c r="AH1797" s="75">
        <v>0</v>
      </c>
      <c r="AI1797" s="75">
        <v>0</v>
      </c>
      <c r="AJ1797" s="75">
        <v>0</v>
      </c>
      <c r="AK1797" s="75">
        <v>0</v>
      </c>
      <c r="AL1797" s="95">
        <v>1</v>
      </c>
      <c r="AM1797" s="92">
        <v>0</v>
      </c>
      <c r="AN1797" s="79" t="s">
        <v>80</v>
      </c>
      <c r="AO1797" s="75">
        <v>1</v>
      </c>
      <c r="AP1797" s="75" t="s">
        <v>83</v>
      </c>
      <c r="AQ1797" s="122">
        <v>1</v>
      </c>
      <c r="AR1797" s="515" t="s">
        <v>10</v>
      </c>
      <c r="AS1797" s="95">
        <v>0</v>
      </c>
      <c r="AT1797" s="75">
        <v>0</v>
      </c>
      <c r="AU1797" s="75">
        <v>0</v>
      </c>
      <c r="AV1797" s="75">
        <v>0</v>
      </c>
      <c r="AW1797" s="123">
        <v>0</v>
      </c>
      <c r="AX1797" s="516" t="s">
        <v>1078</v>
      </c>
      <c r="AY1797" s="75">
        <v>1</v>
      </c>
      <c r="AZ1797" s="77" t="s">
        <v>131</v>
      </c>
      <c r="BA1797" s="78" t="s">
        <v>131</v>
      </c>
      <c r="BB1797" s="78" t="s">
        <v>131</v>
      </c>
      <c r="BC1797" s="78" t="s">
        <v>131</v>
      </c>
      <c r="BD1797" s="78" t="s">
        <v>131</v>
      </c>
      <c r="BE1797" s="78" t="s">
        <v>131</v>
      </c>
      <c r="BF1797" s="78" t="s">
        <v>131</v>
      </c>
      <c r="BG1797" s="78" t="s">
        <v>132</v>
      </c>
      <c r="BH1797" s="75" t="s">
        <v>5970</v>
      </c>
      <c r="BI1797" s="295" t="s">
        <v>2281</v>
      </c>
      <c r="BJ1797" s="546">
        <v>1</v>
      </c>
      <c r="BK1797" s="294" t="s">
        <v>16</v>
      </c>
      <c r="BL1797" s="157" t="s">
        <v>16</v>
      </c>
      <c r="BM1797" s="548" t="s">
        <v>1339</v>
      </c>
      <c r="BN1797" s="548" t="s">
        <v>1339</v>
      </c>
      <c r="BO1797" s="157" t="s">
        <v>4320</v>
      </c>
      <c r="BP1797" s="548" t="s">
        <v>2281</v>
      </c>
      <c r="BQ1797" s="157" t="s">
        <v>4319</v>
      </c>
      <c r="BR1797" s="157"/>
    </row>
    <row r="1798" spans="1:70" x14ac:dyDescent="0.25">
      <c r="A1798" s="19" t="s">
        <v>3686</v>
      </c>
      <c r="B1798" s="37" t="s">
        <v>1179</v>
      </c>
      <c r="C1798" s="90">
        <v>44457.604675925926</v>
      </c>
      <c r="D1798" s="114">
        <v>44457.354675925926</v>
      </c>
      <c r="E1798" s="38">
        <v>44457</v>
      </c>
      <c r="F1798" s="91">
        <v>2021</v>
      </c>
      <c r="G1798" s="93">
        <v>9</v>
      </c>
      <c r="H1798" s="37" t="s">
        <v>1180</v>
      </c>
      <c r="I1798" s="37" t="s">
        <v>16</v>
      </c>
      <c r="J1798" s="103">
        <v>-89.664953844787448</v>
      </c>
      <c r="K1798" s="40">
        <v>42.929504297956683</v>
      </c>
      <c r="L1798" s="74"/>
      <c r="M1798" s="272" t="s">
        <v>16</v>
      </c>
      <c r="N1798" s="74">
        <v>0</v>
      </c>
      <c r="O1798" s="94"/>
      <c r="P1798" s="118">
        <v>1</v>
      </c>
      <c r="Q1798" s="510">
        <v>180</v>
      </c>
      <c r="R1798" s="513">
        <v>120</v>
      </c>
      <c r="S1798" s="41"/>
      <c r="T1798" s="40"/>
      <c r="U1798" s="40">
        <v>8</v>
      </c>
      <c r="V1798" s="119">
        <v>0</v>
      </c>
      <c r="W1798" s="40"/>
      <c r="X1798" s="119">
        <v>0</v>
      </c>
      <c r="Y1798" s="40"/>
      <c r="Z1798" s="119">
        <v>0</v>
      </c>
      <c r="AA1798" s="368" t="s">
        <v>16</v>
      </c>
      <c r="AB1798" s="535" t="s">
        <v>16</v>
      </c>
      <c r="AC1798" s="39" t="s">
        <v>160</v>
      </c>
      <c r="AD1798" s="75" t="s">
        <v>51</v>
      </c>
      <c r="AE1798" s="95">
        <v>1</v>
      </c>
      <c r="AF1798" s="75">
        <v>0</v>
      </c>
      <c r="AG1798" s="75">
        <v>0</v>
      </c>
      <c r="AH1798" s="75">
        <v>0</v>
      </c>
      <c r="AI1798" s="75">
        <v>0</v>
      </c>
      <c r="AJ1798" s="75">
        <v>0</v>
      </c>
      <c r="AK1798" s="75">
        <v>0</v>
      </c>
      <c r="AL1798" s="95">
        <v>1</v>
      </c>
      <c r="AM1798" s="92">
        <v>0</v>
      </c>
      <c r="AN1798" s="79" t="s">
        <v>80</v>
      </c>
      <c r="AO1798" s="75">
        <v>1</v>
      </c>
      <c r="AP1798" s="75" t="s">
        <v>83</v>
      </c>
      <c r="AQ1798" s="122">
        <v>1</v>
      </c>
      <c r="AR1798" s="515" t="s">
        <v>10</v>
      </c>
      <c r="AS1798" s="95">
        <v>0</v>
      </c>
      <c r="AT1798" s="75">
        <v>0</v>
      </c>
      <c r="AU1798" s="75">
        <v>0</v>
      </c>
      <c r="AV1798" s="75">
        <v>0</v>
      </c>
      <c r="AW1798" s="123">
        <v>0</v>
      </c>
      <c r="AX1798" s="516"/>
      <c r="AY1798" s="75">
        <v>0</v>
      </c>
      <c r="AZ1798" s="77" t="s">
        <v>132</v>
      </c>
      <c r="BA1798" s="78" t="s">
        <v>131</v>
      </c>
      <c r="BB1798" s="78" t="s">
        <v>131</v>
      </c>
      <c r="BC1798" s="78" t="s">
        <v>131</v>
      </c>
      <c r="BD1798" s="78" t="s">
        <v>131</v>
      </c>
      <c r="BE1798" s="78" t="s">
        <v>131</v>
      </c>
      <c r="BF1798" s="78" t="s">
        <v>131</v>
      </c>
      <c r="BG1798" s="78" t="s">
        <v>132</v>
      </c>
      <c r="BH1798" s="75" t="s">
        <v>5970</v>
      </c>
      <c r="BI1798" s="295" t="s">
        <v>2291</v>
      </c>
      <c r="BJ1798" s="546" t="s">
        <v>16</v>
      </c>
      <c r="BK1798" s="294" t="s">
        <v>16</v>
      </c>
      <c r="BL1798" s="157" t="s">
        <v>16</v>
      </c>
      <c r="BM1798" s="548" t="s">
        <v>1343</v>
      </c>
      <c r="BN1798" s="548" t="s">
        <v>2342</v>
      </c>
      <c r="BO1798" s="157" t="s">
        <v>4723</v>
      </c>
      <c r="BP1798" s="548" t="s">
        <v>4725</v>
      </c>
      <c r="BQ1798" s="157" t="s">
        <v>4722</v>
      </c>
      <c r="BR1798" s="157"/>
    </row>
    <row r="1799" spans="1:70" x14ac:dyDescent="0.25">
      <c r="A1799" s="19" t="s">
        <v>3686</v>
      </c>
      <c r="B1799" s="37" t="s">
        <v>1070</v>
      </c>
      <c r="C1799" s="90">
        <v>44457.58221064815</v>
      </c>
      <c r="D1799" s="114">
        <v>44457.33221064815</v>
      </c>
      <c r="E1799" s="38">
        <v>44457</v>
      </c>
      <c r="F1799" s="91">
        <v>2021</v>
      </c>
      <c r="G1799" s="93">
        <v>9</v>
      </c>
      <c r="H1799" s="37" t="s">
        <v>475</v>
      </c>
      <c r="I1799" s="37"/>
      <c r="J1799" s="103">
        <v>-92.19527291142586</v>
      </c>
      <c r="K1799" s="40">
        <v>43.810589122626752</v>
      </c>
      <c r="L1799" s="74"/>
      <c r="M1799" s="272" t="s">
        <v>1071</v>
      </c>
      <c r="N1799" s="74">
        <v>1</v>
      </c>
      <c r="O1799" s="94"/>
      <c r="P1799" s="118">
        <v>1</v>
      </c>
      <c r="Q1799" s="510">
        <v>180</v>
      </c>
      <c r="R1799" s="513">
        <v>0</v>
      </c>
      <c r="S1799" s="41"/>
      <c r="T1799" s="40"/>
      <c r="U1799" s="40">
        <v>8</v>
      </c>
      <c r="V1799" s="119">
        <v>1</v>
      </c>
      <c r="W1799" s="40">
        <v>0</v>
      </c>
      <c r="X1799" s="119">
        <v>0</v>
      </c>
      <c r="Y1799" s="40"/>
      <c r="Z1799" s="119">
        <v>1</v>
      </c>
      <c r="AA1799" s="368">
        <v>0</v>
      </c>
      <c r="AB1799" s="535">
        <v>5</v>
      </c>
      <c r="AC1799" s="39" t="s">
        <v>160</v>
      </c>
      <c r="AD1799" s="75" t="s">
        <v>10</v>
      </c>
      <c r="AE1799" s="95">
        <v>0</v>
      </c>
      <c r="AF1799" s="75">
        <v>0</v>
      </c>
      <c r="AG1799" s="75">
        <v>0</v>
      </c>
      <c r="AH1799" s="75">
        <v>0</v>
      </c>
      <c r="AI1799" s="75">
        <v>0</v>
      </c>
      <c r="AJ1799" s="75">
        <v>0</v>
      </c>
      <c r="AK1799" s="75">
        <v>0</v>
      </c>
      <c r="AL1799" s="95">
        <v>1</v>
      </c>
      <c r="AM1799" s="92">
        <v>0</v>
      </c>
      <c r="AN1799" s="79" t="s">
        <v>81</v>
      </c>
      <c r="AO1799" s="75">
        <v>1</v>
      </c>
      <c r="AP1799" s="75" t="s">
        <v>83</v>
      </c>
      <c r="AQ1799" s="122">
        <v>1</v>
      </c>
      <c r="AR1799" s="515" t="s">
        <v>10</v>
      </c>
      <c r="AS1799" s="95">
        <v>0</v>
      </c>
      <c r="AT1799" s="75">
        <v>0</v>
      </c>
      <c r="AU1799" s="75">
        <v>0</v>
      </c>
      <c r="AV1799" s="75">
        <v>0</v>
      </c>
      <c r="AW1799" s="123">
        <v>0</v>
      </c>
      <c r="AX1799" s="516" t="s">
        <v>1072</v>
      </c>
      <c r="AY1799" s="75">
        <v>1</v>
      </c>
      <c r="AZ1799" s="77" t="s">
        <v>131</v>
      </c>
      <c r="BA1799" s="78" t="s">
        <v>131</v>
      </c>
      <c r="BB1799" s="78" t="s">
        <v>131</v>
      </c>
      <c r="BC1799" s="78" t="s">
        <v>131</v>
      </c>
      <c r="BD1799" s="78" t="s">
        <v>131</v>
      </c>
      <c r="BE1799" s="78" t="s">
        <v>131</v>
      </c>
      <c r="BF1799" s="78" t="s">
        <v>131</v>
      </c>
      <c r="BG1799" s="78" t="s">
        <v>132</v>
      </c>
      <c r="BH1799" s="75" t="s">
        <v>5970</v>
      </c>
      <c r="BI1799" s="295" t="s">
        <v>2260</v>
      </c>
      <c r="BJ1799" s="546">
        <v>1</v>
      </c>
      <c r="BK1799" s="294" t="s">
        <v>16</v>
      </c>
      <c r="BL1799" s="157" t="s">
        <v>16</v>
      </c>
      <c r="BM1799" s="548" t="s">
        <v>1339</v>
      </c>
      <c r="BN1799" s="548" t="s">
        <v>1339</v>
      </c>
      <c r="BO1799" s="157" t="s">
        <v>4726</v>
      </c>
      <c r="BP1799" s="548" t="s">
        <v>2260</v>
      </c>
      <c r="BQ1799" s="157" t="s">
        <v>4226</v>
      </c>
      <c r="BR1799" s="157"/>
    </row>
    <row r="1800" spans="1:70" x14ac:dyDescent="0.25">
      <c r="A1800" s="19" t="s">
        <v>3686</v>
      </c>
      <c r="B1800" s="37" t="s">
        <v>1190</v>
      </c>
      <c r="C1800" s="90">
        <v>44457.561203703706</v>
      </c>
      <c r="D1800" s="114">
        <v>44457.311203703706</v>
      </c>
      <c r="E1800" s="38">
        <v>44457</v>
      </c>
      <c r="F1800" s="91">
        <v>2021</v>
      </c>
      <c r="G1800" s="93">
        <v>9</v>
      </c>
      <c r="H1800" s="37" t="s">
        <v>1180</v>
      </c>
      <c r="I1800" s="37" t="s">
        <v>16</v>
      </c>
      <c r="J1800" s="103">
        <v>-89.674546653213739</v>
      </c>
      <c r="K1800" s="40">
        <v>42.964268118141803</v>
      </c>
      <c r="L1800" s="74"/>
      <c r="M1800" s="272" t="s">
        <v>16</v>
      </c>
      <c r="N1800" s="74">
        <v>0</v>
      </c>
      <c r="O1800" s="94"/>
      <c r="P1800" s="118">
        <v>1</v>
      </c>
      <c r="Q1800" s="510">
        <v>40</v>
      </c>
      <c r="R1800" s="513">
        <v>120</v>
      </c>
      <c r="S1800" s="41"/>
      <c r="T1800" s="40"/>
      <c r="U1800" s="40">
        <v>7.5</v>
      </c>
      <c r="V1800" s="119">
        <v>0</v>
      </c>
      <c r="W1800" s="40"/>
      <c r="X1800" s="119">
        <v>0</v>
      </c>
      <c r="Y1800" s="40"/>
      <c r="Z1800" s="119">
        <v>0</v>
      </c>
      <c r="AA1800" s="368" t="s">
        <v>16</v>
      </c>
      <c r="AB1800" s="535" t="s">
        <v>16</v>
      </c>
      <c r="AC1800" s="39" t="s">
        <v>160</v>
      </c>
      <c r="AD1800" s="75" t="s">
        <v>10</v>
      </c>
      <c r="AE1800" s="95">
        <v>0</v>
      </c>
      <c r="AF1800" s="75">
        <v>0</v>
      </c>
      <c r="AG1800" s="75">
        <v>0</v>
      </c>
      <c r="AH1800" s="75">
        <v>0</v>
      </c>
      <c r="AI1800" s="75">
        <v>0</v>
      </c>
      <c r="AJ1800" s="75">
        <v>0</v>
      </c>
      <c r="AK1800" s="75">
        <v>0</v>
      </c>
      <c r="AL1800" s="95">
        <v>1</v>
      </c>
      <c r="AM1800" s="92">
        <v>0</v>
      </c>
      <c r="AN1800" s="79" t="s">
        <v>80</v>
      </c>
      <c r="AO1800" s="75">
        <v>1</v>
      </c>
      <c r="AP1800" s="75" t="s">
        <v>83</v>
      </c>
      <c r="AQ1800" s="122">
        <v>1</v>
      </c>
      <c r="AR1800" s="515" t="s">
        <v>10</v>
      </c>
      <c r="AS1800" s="95">
        <v>0</v>
      </c>
      <c r="AT1800" s="75">
        <v>0</v>
      </c>
      <c r="AU1800" s="75">
        <v>0</v>
      </c>
      <c r="AV1800" s="75">
        <v>0</v>
      </c>
      <c r="AW1800" s="123">
        <v>0</v>
      </c>
      <c r="AX1800" s="516"/>
      <c r="AY1800" s="75">
        <v>0</v>
      </c>
      <c r="AZ1800" s="77" t="s">
        <v>131</v>
      </c>
      <c r="BA1800" s="78" t="s">
        <v>131</v>
      </c>
      <c r="BB1800" s="78" t="s">
        <v>131</v>
      </c>
      <c r="BC1800" s="78" t="s">
        <v>131</v>
      </c>
      <c r="BD1800" s="78" t="s">
        <v>131</v>
      </c>
      <c r="BE1800" s="78" t="s">
        <v>131</v>
      </c>
      <c r="BF1800" s="78" t="s">
        <v>131</v>
      </c>
      <c r="BG1800" s="78" t="s">
        <v>132</v>
      </c>
      <c r="BH1800" s="75" t="s">
        <v>5970</v>
      </c>
      <c r="BI1800" s="295" t="s">
        <v>2314</v>
      </c>
      <c r="BJ1800" s="546">
        <v>1</v>
      </c>
      <c r="BK1800" s="294">
        <v>1</v>
      </c>
      <c r="BL1800" s="157">
        <v>1</v>
      </c>
      <c r="BM1800" s="548" t="s">
        <v>1343</v>
      </c>
      <c r="BN1800" s="548" t="s">
        <v>2342</v>
      </c>
      <c r="BO1800" s="157" t="s">
        <v>4727</v>
      </c>
      <c r="BP1800" s="548" t="s">
        <v>4728</v>
      </c>
      <c r="BQ1800" s="157" t="s">
        <v>4722</v>
      </c>
      <c r="BR1800" s="157"/>
    </row>
    <row r="1801" spans="1:70" x14ac:dyDescent="0.25">
      <c r="A1801" s="19" t="s">
        <v>3686</v>
      </c>
      <c r="B1801" s="37" t="s">
        <v>2100</v>
      </c>
      <c r="C1801" s="90">
        <v>44455.933587962965</v>
      </c>
      <c r="D1801" s="114">
        <v>44455.683587962965</v>
      </c>
      <c r="E1801" s="38">
        <v>44455</v>
      </c>
      <c r="F1801" s="91">
        <v>2021</v>
      </c>
      <c r="G1801" s="93">
        <v>9</v>
      </c>
      <c r="H1801" s="37" t="s">
        <v>600</v>
      </c>
      <c r="I1801" s="37" t="s">
        <v>16</v>
      </c>
      <c r="J1801" s="103">
        <v>-92.112401087047445</v>
      </c>
      <c r="K1801" s="40">
        <v>44.022999303155522</v>
      </c>
      <c r="L1801" s="74"/>
      <c r="M1801" s="272" t="s">
        <v>16</v>
      </c>
      <c r="N1801" s="74">
        <v>0</v>
      </c>
      <c r="O1801" s="94"/>
      <c r="P1801" s="118">
        <v>1</v>
      </c>
      <c r="Q1801" s="510">
        <v>180</v>
      </c>
      <c r="R1801" s="513">
        <v>120</v>
      </c>
      <c r="S1801" s="41"/>
      <c r="T1801" s="40"/>
      <c r="U1801" s="40">
        <v>7.5</v>
      </c>
      <c r="V1801" s="119">
        <v>1</v>
      </c>
      <c r="W1801" s="40">
        <v>0</v>
      </c>
      <c r="X1801" s="119">
        <v>1</v>
      </c>
      <c r="Y1801" s="40">
        <v>65</v>
      </c>
      <c r="Z1801" s="119">
        <v>1</v>
      </c>
      <c r="AA1801" s="368">
        <v>0</v>
      </c>
      <c r="AB1801" s="535">
        <v>10</v>
      </c>
      <c r="AC1801" s="39" t="s">
        <v>160</v>
      </c>
      <c r="AD1801" s="75" t="s">
        <v>16</v>
      </c>
      <c r="AE1801" s="95">
        <v>-1</v>
      </c>
      <c r="AF1801" s="75">
        <v>-1</v>
      </c>
      <c r="AG1801" s="75">
        <v>-1</v>
      </c>
      <c r="AH1801" s="75">
        <v>-1</v>
      </c>
      <c r="AI1801" s="75">
        <v>-1</v>
      </c>
      <c r="AJ1801" s="75">
        <v>-1</v>
      </c>
      <c r="AK1801" s="75">
        <v>-1</v>
      </c>
      <c r="AL1801" s="95">
        <v>-1</v>
      </c>
      <c r="AM1801" s="92">
        <v>1</v>
      </c>
      <c r="AN1801" s="79" t="s">
        <v>80</v>
      </c>
      <c r="AO1801" s="75">
        <v>1</v>
      </c>
      <c r="AP1801" s="75" t="s">
        <v>83</v>
      </c>
      <c r="AQ1801" s="122">
        <v>1</v>
      </c>
      <c r="AR1801" s="515" t="s">
        <v>10</v>
      </c>
      <c r="AS1801" s="95">
        <v>0</v>
      </c>
      <c r="AT1801" s="75">
        <v>0</v>
      </c>
      <c r="AU1801" s="75">
        <v>0</v>
      </c>
      <c r="AV1801" s="75">
        <v>0</v>
      </c>
      <c r="AW1801" s="123">
        <v>0</v>
      </c>
      <c r="AX1801" s="516"/>
      <c r="AY1801" s="75">
        <v>0</v>
      </c>
      <c r="AZ1801" s="77" t="s">
        <v>5971</v>
      </c>
      <c r="BA1801" s="78" t="s">
        <v>5971</v>
      </c>
      <c r="BB1801" s="78" t="s">
        <v>5971</v>
      </c>
      <c r="BC1801" s="78" t="s">
        <v>5971</v>
      </c>
      <c r="BD1801" s="78" t="s">
        <v>5971</v>
      </c>
      <c r="BE1801" s="78" t="s">
        <v>5971</v>
      </c>
      <c r="BF1801" s="78" t="s">
        <v>5971</v>
      </c>
      <c r="BG1801" s="78" t="s">
        <v>5971</v>
      </c>
      <c r="BH1801" s="75" t="s">
        <v>5971</v>
      </c>
      <c r="BI1801" s="295" t="s">
        <v>2262</v>
      </c>
      <c r="BJ1801" s="546">
        <v>1</v>
      </c>
      <c r="BK1801" s="294">
        <v>1</v>
      </c>
      <c r="BL1801" s="157">
        <v>1</v>
      </c>
      <c r="BM1801" s="548" t="s">
        <v>1339</v>
      </c>
      <c r="BN1801" s="548" t="s">
        <v>1339</v>
      </c>
      <c r="BO1801" s="157" t="s">
        <v>4364</v>
      </c>
      <c r="BP1801" s="548" t="s">
        <v>2292</v>
      </c>
      <c r="BQ1801" s="157" t="s">
        <v>4361</v>
      </c>
      <c r="BR1801" s="157"/>
    </row>
    <row r="1802" spans="1:70" x14ac:dyDescent="0.25">
      <c r="A1802" s="19" t="s">
        <v>3686</v>
      </c>
      <c r="B1802" s="37" t="s">
        <v>1106</v>
      </c>
      <c r="C1802" s="90">
        <v>44452.903113425928</v>
      </c>
      <c r="D1802" s="114">
        <v>44452.653113425928</v>
      </c>
      <c r="E1802" s="38">
        <v>44452</v>
      </c>
      <c r="F1802" s="91">
        <v>2021</v>
      </c>
      <c r="G1802" s="93">
        <v>9</v>
      </c>
      <c r="H1802" s="37" t="s">
        <v>260</v>
      </c>
      <c r="I1802" s="37" t="s">
        <v>2361</v>
      </c>
      <c r="J1802" s="103">
        <v>-92.442936184350557</v>
      </c>
      <c r="K1802" s="40">
        <v>44.621326023571264</v>
      </c>
      <c r="L1802" s="74"/>
      <c r="M1802" s="272" t="s">
        <v>1107</v>
      </c>
      <c r="N1802" s="74">
        <v>1</v>
      </c>
      <c r="O1802" s="94"/>
      <c r="P1802" s="118">
        <v>1</v>
      </c>
      <c r="Q1802" s="510">
        <v>180</v>
      </c>
      <c r="R1802" s="513">
        <v>180</v>
      </c>
      <c r="S1802" s="41"/>
      <c r="T1802" s="40"/>
      <c r="U1802" s="40">
        <v>8</v>
      </c>
      <c r="V1802" s="119">
        <v>1</v>
      </c>
      <c r="W1802" s="40">
        <v>0</v>
      </c>
      <c r="X1802" s="119">
        <v>1</v>
      </c>
      <c r="Y1802" s="40">
        <v>56</v>
      </c>
      <c r="Z1802" s="119">
        <v>1</v>
      </c>
      <c r="AA1802" s="368">
        <v>0</v>
      </c>
      <c r="AB1802" s="535">
        <v>5</v>
      </c>
      <c r="AC1802" s="39" t="s">
        <v>160</v>
      </c>
      <c r="AD1802" s="75" t="s">
        <v>10</v>
      </c>
      <c r="AE1802" s="95">
        <v>0</v>
      </c>
      <c r="AF1802" s="75">
        <v>0</v>
      </c>
      <c r="AG1802" s="75">
        <v>0</v>
      </c>
      <c r="AH1802" s="75">
        <v>0</v>
      </c>
      <c r="AI1802" s="75">
        <v>0</v>
      </c>
      <c r="AJ1802" s="75">
        <v>0</v>
      </c>
      <c r="AK1802" s="75">
        <v>0</v>
      </c>
      <c r="AL1802" s="95">
        <v>1</v>
      </c>
      <c r="AM1802" s="92">
        <v>0</v>
      </c>
      <c r="AN1802" s="79" t="s">
        <v>80</v>
      </c>
      <c r="AO1802" s="75">
        <v>1</v>
      </c>
      <c r="AP1802" s="75" t="s">
        <v>83</v>
      </c>
      <c r="AQ1802" s="122">
        <v>1</v>
      </c>
      <c r="AR1802" s="515" t="s">
        <v>10</v>
      </c>
      <c r="AS1802" s="95">
        <v>0</v>
      </c>
      <c r="AT1802" s="75">
        <v>0</v>
      </c>
      <c r="AU1802" s="75">
        <v>0</v>
      </c>
      <c r="AV1802" s="75">
        <v>0</v>
      </c>
      <c r="AW1802" s="123">
        <v>0</v>
      </c>
      <c r="AX1802" s="516" t="s">
        <v>1108</v>
      </c>
      <c r="AY1802" s="75">
        <v>1</v>
      </c>
      <c r="AZ1802" s="77" t="s">
        <v>131</v>
      </c>
      <c r="BA1802" s="78" t="s">
        <v>131</v>
      </c>
      <c r="BB1802" s="78" t="s">
        <v>131</v>
      </c>
      <c r="BC1802" s="78" t="s">
        <v>131</v>
      </c>
      <c r="BD1802" s="78" t="s">
        <v>131</v>
      </c>
      <c r="BE1802" s="78" t="s">
        <v>131</v>
      </c>
      <c r="BF1802" s="78" t="s">
        <v>131</v>
      </c>
      <c r="BG1802" s="78" t="s">
        <v>132</v>
      </c>
      <c r="BH1802" s="75" t="s">
        <v>5970</v>
      </c>
      <c r="BI1802" s="295" t="s">
        <v>2289</v>
      </c>
      <c r="BJ1802" s="546">
        <v>1</v>
      </c>
      <c r="BK1802" s="294" t="s">
        <v>16</v>
      </c>
      <c r="BL1802" s="157" t="s">
        <v>16</v>
      </c>
      <c r="BM1802" s="548" t="s">
        <v>578</v>
      </c>
      <c r="BN1802" s="548" t="s">
        <v>578</v>
      </c>
      <c r="BO1802" s="157" t="s">
        <v>4283</v>
      </c>
      <c r="BP1802" s="548" t="s">
        <v>2289</v>
      </c>
      <c r="BQ1802" s="157" t="s">
        <v>4214</v>
      </c>
      <c r="BR1802" s="157"/>
    </row>
    <row r="1803" spans="1:70" x14ac:dyDescent="0.25">
      <c r="A1803" s="19" t="s">
        <v>3686</v>
      </c>
      <c r="B1803" s="37" t="s">
        <v>1188</v>
      </c>
      <c r="C1803" s="90">
        <v>44452.887164351851</v>
      </c>
      <c r="D1803" s="114">
        <v>44452.637164351851</v>
      </c>
      <c r="E1803" s="38">
        <v>44452</v>
      </c>
      <c r="F1803" s="91">
        <v>2021</v>
      </c>
      <c r="G1803" s="93">
        <v>9</v>
      </c>
      <c r="H1803" s="37" t="s">
        <v>615</v>
      </c>
      <c r="I1803" s="37"/>
      <c r="J1803" s="103">
        <v>-92.563590500000004</v>
      </c>
      <c r="K1803" s="40">
        <v>44.502720400000001</v>
      </c>
      <c r="L1803" s="74"/>
      <c r="M1803" s="272" t="s">
        <v>16</v>
      </c>
      <c r="N1803" s="74">
        <v>0</v>
      </c>
      <c r="O1803" s="94"/>
      <c r="P1803" s="118">
        <v>1</v>
      </c>
      <c r="Q1803" s="510">
        <v>80</v>
      </c>
      <c r="R1803" s="513">
        <v>120</v>
      </c>
      <c r="S1803" s="41"/>
      <c r="T1803" s="40"/>
      <c r="U1803" s="40">
        <v>8</v>
      </c>
      <c r="V1803" s="119">
        <v>1</v>
      </c>
      <c r="W1803" s="40">
        <v>100</v>
      </c>
      <c r="X1803" s="119">
        <v>1</v>
      </c>
      <c r="Y1803" s="40">
        <v>57</v>
      </c>
      <c r="Z1803" s="119">
        <v>1</v>
      </c>
      <c r="AA1803" s="368">
        <v>0</v>
      </c>
      <c r="AB1803" s="535">
        <v>5</v>
      </c>
      <c r="AC1803" s="39" t="s">
        <v>160</v>
      </c>
      <c r="AD1803" s="75" t="s">
        <v>16</v>
      </c>
      <c r="AE1803" s="95">
        <v>-1</v>
      </c>
      <c r="AF1803" s="75">
        <v>-1</v>
      </c>
      <c r="AG1803" s="75">
        <v>-1</v>
      </c>
      <c r="AH1803" s="75">
        <v>-1</v>
      </c>
      <c r="AI1803" s="75">
        <v>-1</v>
      </c>
      <c r="AJ1803" s="75">
        <v>-1</v>
      </c>
      <c r="AK1803" s="75">
        <v>-1</v>
      </c>
      <c r="AL1803" s="95">
        <v>-1</v>
      </c>
      <c r="AM1803" s="92">
        <v>1</v>
      </c>
      <c r="AN1803" s="79" t="s">
        <v>80</v>
      </c>
      <c r="AO1803" s="75">
        <v>1</v>
      </c>
      <c r="AP1803" s="75" t="s">
        <v>83</v>
      </c>
      <c r="AQ1803" s="122">
        <v>1</v>
      </c>
      <c r="AR1803" s="515" t="s">
        <v>10</v>
      </c>
      <c r="AS1803" s="95">
        <v>0</v>
      </c>
      <c r="AT1803" s="75">
        <v>0</v>
      </c>
      <c r="AU1803" s="75">
        <v>0</v>
      </c>
      <c r="AV1803" s="75">
        <v>0</v>
      </c>
      <c r="AW1803" s="123">
        <v>0</v>
      </c>
      <c r="AX1803" s="516"/>
      <c r="AY1803" s="75">
        <v>0</v>
      </c>
      <c r="AZ1803" s="77" t="s">
        <v>5971</v>
      </c>
      <c r="BA1803" s="78" t="s">
        <v>5971</v>
      </c>
      <c r="BB1803" s="78" t="s">
        <v>5971</v>
      </c>
      <c r="BC1803" s="78" t="s">
        <v>5971</v>
      </c>
      <c r="BD1803" s="78" t="s">
        <v>5971</v>
      </c>
      <c r="BE1803" s="78" t="s">
        <v>5971</v>
      </c>
      <c r="BF1803" s="78" t="s">
        <v>5971</v>
      </c>
      <c r="BG1803" s="78" t="s">
        <v>5971</v>
      </c>
      <c r="BH1803" s="75" t="s">
        <v>5971</v>
      </c>
      <c r="BI1803" s="295" t="s">
        <v>2238</v>
      </c>
      <c r="BJ1803" s="546">
        <v>1</v>
      </c>
      <c r="BK1803" s="294" t="s">
        <v>16</v>
      </c>
      <c r="BL1803" s="157" t="s">
        <v>16</v>
      </c>
      <c r="BM1803" s="548" t="s">
        <v>2343</v>
      </c>
      <c r="BN1803" s="548" t="s">
        <v>4161</v>
      </c>
      <c r="BO1803" s="157" t="s">
        <v>4308</v>
      </c>
      <c r="BP1803" s="548" t="s">
        <v>2238</v>
      </c>
      <c r="BQ1803" s="157" t="s">
        <v>4307</v>
      </c>
      <c r="BR1803" s="157"/>
    </row>
    <row r="1804" spans="1:70" x14ac:dyDescent="0.25">
      <c r="A1804" s="19" t="s">
        <v>3686</v>
      </c>
      <c r="B1804" s="37" t="s">
        <v>1224</v>
      </c>
      <c r="C1804" s="90">
        <v>44452.871770833335</v>
      </c>
      <c r="D1804" s="114">
        <v>44452.621770833335</v>
      </c>
      <c r="E1804" s="38">
        <v>44452</v>
      </c>
      <c r="F1804" s="91">
        <v>2021</v>
      </c>
      <c r="G1804" s="93">
        <v>9</v>
      </c>
      <c r="H1804" s="37" t="s">
        <v>615</v>
      </c>
      <c r="I1804" s="37"/>
      <c r="J1804" s="103">
        <v>-92.575455399999996</v>
      </c>
      <c r="K1804" s="40">
        <v>44.488345000000002</v>
      </c>
      <c r="L1804" s="74"/>
      <c r="M1804" s="272" t="s">
        <v>16</v>
      </c>
      <c r="N1804" s="74">
        <v>0</v>
      </c>
      <c r="O1804" s="94"/>
      <c r="P1804" s="118">
        <v>1</v>
      </c>
      <c r="Q1804" s="510">
        <v>80</v>
      </c>
      <c r="R1804" s="513">
        <v>120</v>
      </c>
      <c r="S1804" s="41"/>
      <c r="T1804" s="40"/>
      <c r="U1804" s="40">
        <v>8</v>
      </c>
      <c r="V1804" s="119">
        <v>1</v>
      </c>
      <c r="W1804" s="40">
        <v>100</v>
      </c>
      <c r="X1804" s="119">
        <v>1</v>
      </c>
      <c r="Y1804" s="40">
        <v>57</v>
      </c>
      <c r="Z1804" s="119">
        <v>1</v>
      </c>
      <c r="AA1804" s="368">
        <v>0</v>
      </c>
      <c r="AB1804" s="535">
        <v>2</v>
      </c>
      <c r="AC1804" s="39" t="s">
        <v>160</v>
      </c>
      <c r="AD1804" s="75" t="s">
        <v>10</v>
      </c>
      <c r="AE1804" s="95">
        <v>0</v>
      </c>
      <c r="AF1804" s="75">
        <v>0</v>
      </c>
      <c r="AG1804" s="75">
        <v>0</v>
      </c>
      <c r="AH1804" s="75">
        <v>0</v>
      </c>
      <c r="AI1804" s="75">
        <v>0</v>
      </c>
      <c r="AJ1804" s="75">
        <v>0</v>
      </c>
      <c r="AK1804" s="75">
        <v>0</v>
      </c>
      <c r="AL1804" s="95">
        <v>1</v>
      </c>
      <c r="AM1804" s="92">
        <v>0</v>
      </c>
      <c r="AN1804" s="79" t="s">
        <v>80</v>
      </c>
      <c r="AO1804" s="75">
        <v>1</v>
      </c>
      <c r="AP1804" s="75" t="s">
        <v>83</v>
      </c>
      <c r="AQ1804" s="122">
        <v>1</v>
      </c>
      <c r="AR1804" s="515" t="s">
        <v>10</v>
      </c>
      <c r="AS1804" s="95">
        <v>0</v>
      </c>
      <c r="AT1804" s="75">
        <v>0</v>
      </c>
      <c r="AU1804" s="75">
        <v>0</v>
      </c>
      <c r="AV1804" s="75">
        <v>0</v>
      </c>
      <c r="AW1804" s="123">
        <v>0</v>
      </c>
      <c r="AX1804" s="516"/>
      <c r="AY1804" s="75">
        <v>0</v>
      </c>
      <c r="AZ1804" s="77" t="s">
        <v>131</v>
      </c>
      <c r="BA1804" s="78" t="s">
        <v>131</v>
      </c>
      <c r="BB1804" s="78" t="s">
        <v>131</v>
      </c>
      <c r="BC1804" s="78" t="s">
        <v>131</v>
      </c>
      <c r="BD1804" s="78" t="s">
        <v>131</v>
      </c>
      <c r="BE1804" s="78" t="s">
        <v>131</v>
      </c>
      <c r="BF1804" s="78" t="s">
        <v>131</v>
      </c>
      <c r="BG1804" s="78" t="s">
        <v>132</v>
      </c>
      <c r="BH1804" s="75" t="s">
        <v>5970</v>
      </c>
      <c r="BI1804" s="295" t="s">
        <v>16</v>
      </c>
      <c r="BJ1804" s="546">
        <v>1</v>
      </c>
      <c r="BK1804" s="294" t="s">
        <v>16</v>
      </c>
      <c r="BL1804" s="157" t="s">
        <v>16</v>
      </c>
      <c r="BM1804" s="548" t="s">
        <v>2343</v>
      </c>
      <c r="BN1804" s="548" t="s">
        <v>4161</v>
      </c>
      <c r="BO1804" s="157" t="s">
        <v>4308</v>
      </c>
      <c r="BP1804" s="548" t="s">
        <v>2238</v>
      </c>
      <c r="BQ1804" s="157" t="s">
        <v>4307</v>
      </c>
      <c r="BR1804" s="157"/>
    </row>
    <row r="1805" spans="1:70" x14ac:dyDescent="0.25">
      <c r="A1805" s="19" t="s">
        <v>3686</v>
      </c>
      <c r="B1805" s="37" t="s">
        <v>1117</v>
      </c>
      <c r="C1805" s="90">
        <v>44452.857453703706</v>
      </c>
      <c r="D1805" s="114">
        <v>44452.607453703706</v>
      </c>
      <c r="E1805" s="38">
        <v>44452</v>
      </c>
      <c r="F1805" s="91">
        <v>2021</v>
      </c>
      <c r="G1805" s="93">
        <v>9</v>
      </c>
      <c r="H1805" s="37" t="s">
        <v>260</v>
      </c>
      <c r="I1805" s="37" t="s">
        <v>16</v>
      </c>
      <c r="J1805" s="103">
        <v>-92.283608600663754</v>
      </c>
      <c r="K1805" s="40">
        <v>44.543658715128856</v>
      </c>
      <c r="L1805" s="74"/>
      <c r="M1805" s="272" t="s">
        <v>1118</v>
      </c>
      <c r="N1805" s="74">
        <v>1</v>
      </c>
      <c r="O1805" s="94"/>
      <c r="P1805" s="118">
        <v>1</v>
      </c>
      <c r="Q1805" s="510">
        <v>180</v>
      </c>
      <c r="R1805" s="513">
        <v>180</v>
      </c>
      <c r="S1805" s="41"/>
      <c r="T1805" s="40"/>
      <c r="U1805" s="40">
        <v>7.5</v>
      </c>
      <c r="V1805" s="119">
        <v>0</v>
      </c>
      <c r="W1805" s="40"/>
      <c r="X1805" s="119">
        <v>1</v>
      </c>
      <c r="Y1805" s="40">
        <v>51</v>
      </c>
      <c r="Z1805" s="119">
        <v>1</v>
      </c>
      <c r="AA1805" s="368">
        <v>0</v>
      </c>
      <c r="AB1805" s="535">
        <v>5</v>
      </c>
      <c r="AC1805" s="39" t="s">
        <v>160</v>
      </c>
      <c r="AD1805" s="75" t="s">
        <v>10</v>
      </c>
      <c r="AE1805" s="95">
        <v>0</v>
      </c>
      <c r="AF1805" s="75">
        <v>0</v>
      </c>
      <c r="AG1805" s="75">
        <v>0</v>
      </c>
      <c r="AH1805" s="75">
        <v>0</v>
      </c>
      <c r="AI1805" s="75">
        <v>0</v>
      </c>
      <c r="AJ1805" s="75">
        <v>0</v>
      </c>
      <c r="AK1805" s="75">
        <v>0</v>
      </c>
      <c r="AL1805" s="95">
        <v>1</v>
      </c>
      <c r="AM1805" s="92">
        <v>0</v>
      </c>
      <c r="AN1805" s="79" t="s">
        <v>80</v>
      </c>
      <c r="AO1805" s="75">
        <v>1</v>
      </c>
      <c r="AP1805" s="75" t="s">
        <v>83</v>
      </c>
      <c r="AQ1805" s="122">
        <v>1</v>
      </c>
      <c r="AR1805" s="515" t="s">
        <v>10</v>
      </c>
      <c r="AS1805" s="95">
        <v>0</v>
      </c>
      <c r="AT1805" s="75">
        <v>0</v>
      </c>
      <c r="AU1805" s="75">
        <v>0</v>
      </c>
      <c r="AV1805" s="75">
        <v>0</v>
      </c>
      <c r="AW1805" s="123">
        <v>0</v>
      </c>
      <c r="AX1805" s="516"/>
      <c r="AY1805" s="75">
        <v>0</v>
      </c>
      <c r="AZ1805" s="77" t="s">
        <v>131</v>
      </c>
      <c r="BA1805" s="78" t="s">
        <v>131</v>
      </c>
      <c r="BB1805" s="78" t="s">
        <v>131</v>
      </c>
      <c r="BC1805" s="78" t="s">
        <v>131</v>
      </c>
      <c r="BD1805" s="78" t="s">
        <v>131</v>
      </c>
      <c r="BE1805" s="78" t="s">
        <v>131</v>
      </c>
      <c r="BF1805" s="78" t="s">
        <v>131</v>
      </c>
      <c r="BG1805" s="78" t="s">
        <v>132</v>
      </c>
      <c r="BH1805" s="75" t="s">
        <v>5970</v>
      </c>
      <c r="BI1805" s="295" t="s">
        <v>5931</v>
      </c>
      <c r="BJ1805" s="546">
        <v>1</v>
      </c>
      <c r="BK1805" s="294">
        <v>1</v>
      </c>
      <c r="BL1805" s="157">
        <v>1</v>
      </c>
      <c r="BM1805" s="548" t="s">
        <v>1340</v>
      </c>
      <c r="BN1805" s="548" t="s">
        <v>578</v>
      </c>
      <c r="BO1805" s="157" t="s">
        <v>4268</v>
      </c>
      <c r="BP1805" s="548" t="s">
        <v>2261</v>
      </c>
      <c r="BQ1805" s="157" t="s">
        <v>4214</v>
      </c>
      <c r="BR1805" s="157"/>
    </row>
    <row r="1806" spans="1:70" x14ac:dyDescent="0.25">
      <c r="A1806" s="19" t="s">
        <v>3686</v>
      </c>
      <c r="B1806" s="37" t="s">
        <v>1111</v>
      </c>
      <c r="C1806" s="90">
        <v>44452.856689814813</v>
      </c>
      <c r="D1806" s="114">
        <v>44452.606689814813</v>
      </c>
      <c r="E1806" s="38">
        <v>44452</v>
      </c>
      <c r="F1806" s="91">
        <v>2021</v>
      </c>
      <c r="G1806" s="93">
        <v>9</v>
      </c>
      <c r="H1806" s="37" t="s">
        <v>615</v>
      </c>
      <c r="I1806" s="37"/>
      <c r="J1806" s="103">
        <v>-92.597264499999994</v>
      </c>
      <c r="K1806" s="40">
        <v>44.472386999999998</v>
      </c>
      <c r="L1806" s="74"/>
      <c r="M1806" s="272" t="s">
        <v>16</v>
      </c>
      <c r="N1806" s="74">
        <v>0</v>
      </c>
      <c r="O1806" s="94"/>
      <c r="P1806" s="118">
        <v>1</v>
      </c>
      <c r="Q1806" s="510">
        <v>80</v>
      </c>
      <c r="R1806" s="513">
        <v>180</v>
      </c>
      <c r="S1806" s="41"/>
      <c r="T1806" s="40"/>
      <c r="U1806" s="40">
        <v>7.5</v>
      </c>
      <c r="V1806" s="119">
        <v>1</v>
      </c>
      <c r="W1806" s="40">
        <v>100</v>
      </c>
      <c r="X1806" s="119">
        <v>1</v>
      </c>
      <c r="Y1806" s="40">
        <v>55</v>
      </c>
      <c r="Z1806" s="119">
        <v>1</v>
      </c>
      <c r="AA1806" s="368">
        <v>0</v>
      </c>
      <c r="AB1806" s="535">
        <v>5</v>
      </c>
      <c r="AC1806" s="39" t="s">
        <v>160</v>
      </c>
      <c r="AD1806" s="75" t="s">
        <v>10</v>
      </c>
      <c r="AE1806" s="95">
        <v>0</v>
      </c>
      <c r="AF1806" s="75">
        <v>0</v>
      </c>
      <c r="AG1806" s="75">
        <v>0</v>
      </c>
      <c r="AH1806" s="75">
        <v>0</v>
      </c>
      <c r="AI1806" s="75">
        <v>0</v>
      </c>
      <c r="AJ1806" s="75">
        <v>0</v>
      </c>
      <c r="AK1806" s="75">
        <v>0</v>
      </c>
      <c r="AL1806" s="95">
        <v>1</v>
      </c>
      <c r="AM1806" s="92">
        <v>0</v>
      </c>
      <c r="AN1806" s="79" t="s">
        <v>80</v>
      </c>
      <c r="AO1806" s="75">
        <v>1</v>
      </c>
      <c r="AP1806" s="75" t="s">
        <v>83</v>
      </c>
      <c r="AQ1806" s="122">
        <v>1</v>
      </c>
      <c r="AR1806" s="515" t="s">
        <v>10</v>
      </c>
      <c r="AS1806" s="95">
        <v>0</v>
      </c>
      <c r="AT1806" s="75">
        <v>0</v>
      </c>
      <c r="AU1806" s="75">
        <v>0</v>
      </c>
      <c r="AV1806" s="75">
        <v>0</v>
      </c>
      <c r="AW1806" s="123">
        <v>0</v>
      </c>
      <c r="AX1806" s="516"/>
      <c r="AY1806" s="75">
        <v>0</v>
      </c>
      <c r="AZ1806" s="77" t="s">
        <v>131</v>
      </c>
      <c r="BA1806" s="78" t="s">
        <v>131</v>
      </c>
      <c r="BB1806" s="78" t="s">
        <v>131</v>
      </c>
      <c r="BC1806" s="78" t="s">
        <v>131</v>
      </c>
      <c r="BD1806" s="78" t="s">
        <v>131</v>
      </c>
      <c r="BE1806" s="78" t="s">
        <v>131</v>
      </c>
      <c r="BF1806" s="78" t="s">
        <v>131</v>
      </c>
      <c r="BG1806" s="78" t="s">
        <v>132</v>
      </c>
      <c r="BH1806" s="75" t="s">
        <v>5970</v>
      </c>
      <c r="BI1806" s="295" t="s">
        <v>2238</v>
      </c>
      <c r="BJ1806" s="546">
        <v>1</v>
      </c>
      <c r="BK1806" s="294" t="s">
        <v>16</v>
      </c>
      <c r="BL1806" s="157" t="s">
        <v>16</v>
      </c>
      <c r="BM1806" s="548" t="s">
        <v>2343</v>
      </c>
      <c r="BN1806" s="548" t="s">
        <v>4161</v>
      </c>
      <c r="BO1806" s="157" t="s">
        <v>4308</v>
      </c>
      <c r="BP1806" s="548" t="s">
        <v>2238</v>
      </c>
      <c r="BQ1806" s="157" t="s">
        <v>4307</v>
      </c>
      <c r="BR1806" s="157"/>
    </row>
    <row r="1807" spans="1:70" x14ac:dyDescent="0.25">
      <c r="A1807" s="19" t="s">
        <v>3686</v>
      </c>
      <c r="B1807" s="37" t="s">
        <v>1125</v>
      </c>
      <c r="C1807" s="90">
        <v>44452.832175925927</v>
      </c>
      <c r="D1807" s="114">
        <v>44452.582175925927</v>
      </c>
      <c r="E1807" s="38">
        <v>44452</v>
      </c>
      <c r="F1807" s="91">
        <v>2021</v>
      </c>
      <c r="G1807" s="93">
        <v>9</v>
      </c>
      <c r="H1807" s="37" t="s">
        <v>260</v>
      </c>
      <c r="I1807" s="37" t="s">
        <v>16</v>
      </c>
      <c r="J1807" s="103">
        <v>-92.166189908356884</v>
      </c>
      <c r="K1807" s="40">
        <v>44.588014304933587</v>
      </c>
      <c r="L1807" s="74"/>
      <c r="M1807" s="272" t="s">
        <v>1126</v>
      </c>
      <c r="N1807" s="74">
        <v>1</v>
      </c>
      <c r="O1807" s="94"/>
      <c r="P1807" s="118">
        <v>1</v>
      </c>
      <c r="Q1807" s="510">
        <v>180</v>
      </c>
      <c r="R1807" s="513">
        <v>180</v>
      </c>
      <c r="S1807" s="41"/>
      <c r="T1807" s="40"/>
      <c r="U1807" s="40">
        <v>8</v>
      </c>
      <c r="V1807" s="119">
        <v>1</v>
      </c>
      <c r="W1807" s="40">
        <v>0</v>
      </c>
      <c r="X1807" s="119">
        <v>1</v>
      </c>
      <c r="Y1807" s="40">
        <v>55</v>
      </c>
      <c r="Z1807" s="119">
        <v>1</v>
      </c>
      <c r="AA1807" s="368">
        <v>0</v>
      </c>
      <c r="AB1807" s="535">
        <v>5</v>
      </c>
      <c r="AC1807" s="39" t="s">
        <v>160</v>
      </c>
      <c r="AD1807" s="75" t="s">
        <v>10</v>
      </c>
      <c r="AE1807" s="95">
        <v>0</v>
      </c>
      <c r="AF1807" s="75">
        <v>0</v>
      </c>
      <c r="AG1807" s="75">
        <v>0</v>
      </c>
      <c r="AH1807" s="75">
        <v>0</v>
      </c>
      <c r="AI1807" s="75">
        <v>0</v>
      </c>
      <c r="AJ1807" s="75">
        <v>0</v>
      </c>
      <c r="AK1807" s="75">
        <v>0</v>
      </c>
      <c r="AL1807" s="95">
        <v>1</v>
      </c>
      <c r="AM1807" s="92">
        <v>0</v>
      </c>
      <c r="AN1807" s="79" t="s">
        <v>80</v>
      </c>
      <c r="AO1807" s="75">
        <v>1</v>
      </c>
      <c r="AP1807" s="75" t="s">
        <v>83</v>
      </c>
      <c r="AQ1807" s="122">
        <v>1</v>
      </c>
      <c r="AR1807" s="515" t="s">
        <v>10</v>
      </c>
      <c r="AS1807" s="95">
        <v>0</v>
      </c>
      <c r="AT1807" s="75">
        <v>0</v>
      </c>
      <c r="AU1807" s="75">
        <v>0</v>
      </c>
      <c r="AV1807" s="75">
        <v>0</v>
      </c>
      <c r="AW1807" s="123">
        <v>0</v>
      </c>
      <c r="AX1807" s="516" t="s">
        <v>1127</v>
      </c>
      <c r="AY1807" s="75">
        <v>1</v>
      </c>
      <c r="AZ1807" s="77" t="s">
        <v>131</v>
      </c>
      <c r="BA1807" s="78" t="s">
        <v>131</v>
      </c>
      <c r="BB1807" s="78" t="s">
        <v>131</v>
      </c>
      <c r="BC1807" s="78" t="s">
        <v>131</v>
      </c>
      <c r="BD1807" s="78" t="s">
        <v>131</v>
      </c>
      <c r="BE1807" s="78" t="s">
        <v>131</v>
      </c>
      <c r="BF1807" s="78" t="s">
        <v>131</v>
      </c>
      <c r="BG1807" s="78" t="s">
        <v>132</v>
      </c>
      <c r="BH1807" s="75" t="s">
        <v>5970</v>
      </c>
      <c r="BI1807" s="295" t="s">
        <v>2320</v>
      </c>
      <c r="BJ1807" s="546">
        <v>1</v>
      </c>
      <c r="BK1807" s="294">
        <v>1</v>
      </c>
      <c r="BL1807" s="157">
        <v>1</v>
      </c>
      <c r="BM1807" s="548" t="s">
        <v>578</v>
      </c>
      <c r="BN1807" s="548" t="s">
        <v>578</v>
      </c>
      <c r="BO1807" s="157" t="s">
        <v>4220</v>
      </c>
      <c r="BP1807" s="548" t="s">
        <v>4729</v>
      </c>
      <c r="BQ1807" s="157" t="s">
        <v>4217</v>
      </c>
      <c r="BR1807" s="157"/>
    </row>
    <row r="1808" spans="1:70" x14ac:dyDescent="0.25">
      <c r="A1808" s="19" t="s">
        <v>3686</v>
      </c>
      <c r="B1808" s="37" t="s">
        <v>1159</v>
      </c>
      <c r="C1808" s="90">
        <v>44452.787870370368</v>
      </c>
      <c r="D1808" s="114">
        <v>44452.537870370368</v>
      </c>
      <c r="E1808" s="38">
        <v>44452</v>
      </c>
      <c r="F1808" s="91">
        <v>2021</v>
      </c>
      <c r="G1808" s="93">
        <v>9</v>
      </c>
      <c r="H1808" s="37" t="s">
        <v>260</v>
      </c>
      <c r="I1808" s="37" t="s">
        <v>16</v>
      </c>
      <c r="J1808" s="103">
        <v>-92.163881808403801</v>
      </c>
      <c r="K1808" s="40">
        <v>44.806736163940244</v>
      </c>
      <c r="L1808" s="74"/>
      <c r="M1808" s="272" t="s">
        <v>1160</v>
      </c>
      <c r="N1808" s="74">
        <v>1</v>
      </c>
      <c r="O1808" s="94"/>
      <c r="P1808" s="118">
        <v>1</v>
      </c>
      <c r="Q1808" s="510">
        <v>80</v>
      </c>
      <c r="R1808" s="513">
        <v>180</v>
      </c>
      <c r="S1808" s="41"/>
      <c r="T1808" s="40"/>
      <c r="U1808" s="40">
        <v>8</v>
      </c>
      <c r="V1808" s="119">
        <v>1</v>
      </c>
      <c r="W1808" s="40">
        <v>0</v>
      </c>
      <c r="X1808" s="119">
        <v>0</v>
      </c>
      <c r="Y1808" s="40"/>
      <c r="Z1808" s="119">
        <v>1</v>
      </c>
      <c r="AA1808" s="368">
        <v>0</v>
      </c>
      <c r="AB1808" s="535">
        <v>5</v>
      </c>
      <c r="AC1808" s="39" t="s">
        <v>160</v>
      </c>
      <c r="AD1808" s="75" t="s">
        <v>10</v>
      </c>
      <c r="AE1808" s="95">
        <v>0</v>
      </c>
      <c r="AF1808" s="75">
        <v>0</v>
      </c>
      <c r="AG1808" s="75">
        <v>0</v>
      </c>
      <c r="AH1808" s="75">
        <v>0</v>
      </c>
      <c r="AI1808" s="75">
        <v>0</v>
      </c>
      <c r="AJ1808" s="75">
        <v>0</v>
      </c>
      <c r="AK1808" s="75">
        <v>0</v>
      </c>
      <c r="AL1808" s="95">
        <v>1</v>
      </c>
      <c r="AM1808" s="92">
        <v>0</v>
      </c>
      <c r="AN1808" s="79" t="s">
        <v>80</v>
      </c>
      <c r="AO1808" s="75">
        <v>1</v>
      </c>
      <c r="AP1808" s="75" t="s">
        <v>83</v>
      </c>
      <c r="AQ1808" s="122">
        <v>1</v>
      </c>
      <c r="AR1808" s="515" t="s">
        <v>10</v>
      </c>
      <c r="AS1808" s="95">
        <v>0</v>
      </c>
      <c r="AT1808" s="75">
        <v>0</v>
      </c>
      <c r="AU1808" s="75">
        <v>0</v>
      </c>
      <c r="AV1808" s="75">
        <v>0</v>
      </c>
      <c r="AW1808" s="123">
        <v>0</v>
      </c>
      <c r="AX1808" s="516" t="s">
        <v>1161</v>
      </c>
      <c r="AY1808" s="75">
        <v>1</v>
      </c>
      <c r="AZ1808" s="77" t="s">
        <v>131</v>
      </c>
      <c r="BA1808" s="78" t="s">
        <v>131</v>
      </c>
      <c r="BB1808" s="78" t="s">
        <v>131</v>
      </c>
      <c r="BC1808" s="78" t="s">
        <v>131</v>
      </c>
      <c r="BD1808" s="78" t="s">
        <v>131</v>
      </c>
      <c r="BE1808" s="78" t="s">
        <v>131</v>
      </c>
      <c r="BF1808" s="78" t="s">
        <v>131</v>
      </c>
      <c r="BG1808" s="78" t="s">
        <v>132</v>
      </c>
      <c r="BH1808" s="75" t="s">
        <v>5970</v>
      </c>
      <c r="BI1808" s="295" t="s">
        <v>2270</v>
      </c>
      <c r="BJ1808" s="546">
        <v>1</v>
      </c>
      <c r="BK1808" s="294">
        <v>1</v>
      </c>
      <c r="BL1808" s="157">
        <v>1</v>
      </c>
      <c r="BM1808" s="548" t="s">
        <v>578</v>
      </c>
      <c r="BN1808" s="548" t="s">
        <v>578</v>
      </c>
      <c r="BO1808" s="157" t="s">
        <v>4317</v>
      </c>
      <c r="BP1808" s="548" t="s">
        <v>2270</v>
      </c>
      <c r="BQ1808" s="157" t="s">
        <v>4316</v>
      </c>
      <c r="BR1808" s="157"/>
    </row>
    <row r="1809" spans="1:70" x14ac:dyDescent="0.25">
      <c r="A1809" s="19" t="s">
        <v>3686</v>
      </c>
      <c r="B1809" s="37" t="s">
        <v>1061</v>
      </c>
      <c r="C1809" s="90">
        <v>44452.781145833331</v>
      </c>
      <c r="D1809" s="114">
        <v>44452.531145833331</v>
      </c>
      <c r="E1809" s="38">
        <v>44452</v>
      </c>
      <c r="F1809" s="91">
        <v>2021</v>
      </c>
      <c r="G1809" s="93">
        <v>9</v>
      </c>
      <c r="H1809" s="37" t="s">
        <v>619</v>
      </c>
      <c r="I1809" s="37"/>
      <c r="J1809" s="103">
        <v>-91.812941800000004</v>
      </c>
      <c r="K1809" s="40">
        <v>43.599156299999997</v>
      </c>
      <c r="L1809" s="74"/>
      <c r="M1809" s="272" t="s">
        <v>1062</v>
      </c>
      <c r="N1809" s="74">
        <v>1</v>
      </c>
      <c r="O1809" s="94"/>
      <c r="P1809" s="118">
        <v>1</v>
      </c>
      <c r="Q1809" s="510">
        <v>80</v>
      </c>
      <c r="R1809" s="513">
        <v>120</v>
      </c>
      <c r="S1809" s="41"/>
      <c r="T1809" s="40"/>
      <c r="U1809" s="40">
        <v>7</v>
      </c>
      <c r="V1809" s="119">
        <v>1</v>
      </c>
      <c r="W1809" s="40">
        <v>200</v>
      </c>
      <c r="X1809" s="119">
        <v>1</v>
      </c>
      <c r="Y1809" s="40">
        <v>58</v>
      </c>
      <c r="Z1809" s="119">
        <v>1</v>
      </c>
      <c r="AA1809" s="368">
        <v>0</v>
      </c>
      <c r="AB1809" s="535">
        <v>5</v>
      </c>
      <c r="AC1809" s="39" t="s">
        <v>160</v>
      </c>
      <c r="AD1809" s="75" t="s">
        <v>16</v>
      </c>
      <c r="AE1809" s="95">
        <v>-1</v>
      </c>
      <c r="AF1809" s="75">
        <v>-1</v>
      </c>
      <c r="AG1809" s="75">
        <v>-1</v>
      </c>
      <c r="AH1809" s="75">
        <v>-1</v>
      </c>
      <c r="AI1809" s="75">
        <v>-1</v>
      </c>
      <c r="AJ1809" s="75">
        <v>-1</v>
      </c>
      <c r="AK1809" s="75">
        <v>-1</v>
      </c>
      <c r="AL1809" s="95">
        <v>-1</v>
      </c>
      <c r="AM1809" s="92">
        <v>1</v>
      </c>
      <c r="AN1809" s="79" t="s">
        <v>80</v>
      </c>
      <c r="AO1809" s="75">
        <v>1</v>
      </c>
      <c r="AP1809" s="75" t="s">
        <v>83</v>
      </c>
      <c r="AQ1809" s="122">
        <v>1</v>
      </c>
      <c r="AR1809" s="515" t="s">
        <v>10</v>
      </c>
      <c r="AS1809" s="95">
        <v>0</v>
      </c>
      <c r="AT1809" s="75">
        <v>0</v>
      </c>
      <c r="AU1809" s="75">
        <v>0</v>
      </c>
      <c r="AV1809" s="75">
        <v>0</v>
      </c>
      <c r="AW1809" s="123">
        <v>0</v>
      </c>
      <c r="AX1809" s="516"/>
      <c r="AY1809" s="75">
        <v>0</v>
      </c>
      <c r="AZ1809" s="77" t="s">
        <v>5971</v>
      </c>
      <c r="BA1809" s="78" t="s">
        <v>5971</v>
      </c>
      <c r="BB1809" s="78" t="s">
        <v>5971</v>
      </c>
      <c r="BC1809" s="78" t="s">
        <v>5971</v>
      </c>
      <c r="BD1809" s="78" t="s">
        <v>5971</v>
      </c>
      <c r="BE1809" s="78" t="s">
        <v>5971</v>
      </c>
      <c r="BF1809" s="78" t="s">
        <v>5971</v>
      </c>
      <c r="BG1809" s="78" t="s">
        <v>5971</v>
      </c>
      <c r="BH1809" s="75" t="s">
        <v>5971</v>
      </c>
      <c r="BI1809" s="295" t="s">
        <v>2271</v>
      </c>
      <c r="BJ1809" s="546">
        <v>1</v>
      </c>
      <c r="BK1809" s="294">
        <v>1</v>
      </c>
      <c r="BL1809" s="157">
        <v>1</v>
      </c>
      <c r="BM1809" s="548" t="s">
        <v>1341</v>
      </c>
      <c r="BN1809" s="548" t="s">
        <v>1339</v>
      </c>
      <c r="BO1809" s="157" t="s">
        <v>4245</v>
      </c>
      <c r="BP1809" s="548" t="s">
        <v>2271</v>
      </c>
      <c r="BQ1809" s="157" t="s">
        <v>4232</v>
      </c>
      <c r="BR1809" s="157"/>
    </row>
    <row r="1810" spans="1:70" x14ac:dyDescent="0.25">
      <c r="A1810" s="19" t="s">
        <v>3686</v>
      </c>
      <c r="B1810" s="37" t="s">
        <v>1211</v>
      </c>
      <c r="C1810" s="90">
        <v>44452.752962962964</v>
      </c>
      <c r="D1810" s="114">
        <v>44452.502962962964</v>
      </c>
      <c r="E1810" s="38">
        <v>44452</v>
      </c>
      <c r="F1810" s="91">
        <v>2021</v>
      </c>
      <c r="G1810" s="93">
        <v>9</v>
      </c>
      <c r="H1810" s="37" t="s">
        <v>260</v>
      </c>
      <c r="I1810" s="37" t="s">
        <v>1212</v>
      </c>
      <c r="J1810" s="103">
        <v>-92.236357769101474</v>
      </c>
      <c r="K1810" s="40">
        <v>44.840204300550162</v>
      </c>
      <c r="L1810" s="74"/>
      <c r="M1810" s="272" t="s">
        <v>1213</v>
      </c>
      <c r="N1810" s="74">
        <v>1</v>
      </c>
      <c r="O1810" s="94"/>
      <c r="P1810" s="118">
        <v>1</v>
      </c>
      <c r="Q1810" s="510">
        <v>180</v>
      </c>
      <c r="R1810" s="513">
        <v>120</v>
      </c>
      <c r="S1810" s="41"/>
      <c r="T1810" s="40"/>
      <c r="U1810" s="40">
        <v>7</v>
      </c>
      <c r="V1810" s="119">
        <v>1</v>
      </c>
      <c r="W1810" s="40">
        <v>0</v>
      </c>
      <c r="X1810" s="119">
        <v>1</v>
      </c>
      <c r="Y1810" s="40">
        <v>63</v>
      </c>
      <c r="Z1810" s="119">
        <v>1</v>
      </c>
      <c r="AA1810" s="368">
        <v>0</v>
      </c>
      <c r="AB1810" s="535">
        <v>1</v>
      </c>
      <c r="AC1810" s="39" t="s">
        <v>160</v>
      </c>
      <c r="AD1810" s="75" t="s">
        <v>10</v>
      </c>
      <c r="AE1810" s="95">
        <v>0</v>
      </c>
      <c r="AF1810" s="75">
        <v>0</v>
      </c>
      <c r="AG1810" s="75">
        <v>0</v>
      </c>
      <c r="AH1810" s="75">
        <v>0</v>
      </c>
      <c r="AI1810" s="75">
        <v>0</v>
      </c>
      <c r="AJ1810" s="75">
        <v>0</v>
      </c>
      <c r="AK1810" s="75">
        <v>0</v>
      </c>
      <c r="AL1810" s="95">
        <v>1</v>
      </c>
      <c r="AM1810" s="92">
        <v>0</v>
      </c>
      <c r="AN1810" s="79" t="s">
        <v>80</v>
      </c>
      <c r="AO1810" s="75">
        <v>1</v>
      </c>
      <c r="AP1810" s="75" t="s">
        <v>83</v>
      </c>
      <c r="AQ1810" s="122">
        <v>1</v>
      </c>
      <c r="AR1810" s="515" t="s">
        <v>10</v>
      </c>
      <c r="AS1810" s="95">
        <v>0</v>
      </c>
      <c r="AT1810" s="75">
        <v>0</v>
      </c>
      <c r="AU1810" s="75">
        <v>0</v>
      </c>
      <c r="AV1810" s="75">
        <v>0</v>
      </c>
      <c r="AW1810" s="123">
        <v>0</v>
      </c>
      <c r="AX1810" s="516" t="s">
        <v>1214</v>
      </c>
      <c r="AY1810" s="75">
        <v>1</v>
      </c>
      <c r="AZ1810" s="77" t="s">
        <v>131</v>
      </c>
      <c r="BA1810" s="78" t="s">
        <v>131</v>
      </c>
      <c r="BB1810" s="78" t="s">
        <v>131</v>
      </c>
      <c r="BC1810" s="78" t="s">
        <v>131</v>
      </c>
      <c r="BD1810" s="78" t="s">
        <v>131</v>
      </c>
      <c r="BE1810" s="78" t="s">
        <v>131</v>
      </c>
      <c r="BF1810" s="78" t="s">
        <v>131</v>
      </c>
      <c r="BG1810" s="78" t="s">
        <v>132</v>
      </c>
      <c r="BH1810" s="75" t="s">
        <v>5970</v>
      </c>
      <c r="BI1810" s="295" t="s">
        <v>2247</v>
      </c>
      <c r="BJ1810" s="546">
        <v>1</v>
      </c>
      <c r="BK1810" s="294">
        <v>1</v>
      </c>
      <c r="BL1810" s="157">
        <v>1</v>
      </c>
      <c r="BM1810" s="548" t="s">
        <v>578</v>
      </c>
      <c r="BN1810" s="548" t="s">
        <v>578</v>
      </c>
      <c r="BO1810" s="157" t="s">
        <v>4318</v>
      </c>
      <c r="BP1810" s="548" t="s">
        <v>4439</v>
      </c>
      <c r="BQ1810" s="157" t="s">
        <v>4316</v>
      </c>
      <c r="BR1810" s="157"/>
    </row>
    <row r="1811" spans="1:70" x14ac:dyDescent="0.25">
      <c r="A1811" s="19" t="s">
        <v>3686</v>
      </c>
      <c r="B1811" s="37" t="s">
        <v>1218</v>
      </c>
      <c r="C1811" s="90">
        <v>44452.689351851855</v>
      </c>
      <c r="D1811" s="114">
        <v>44452.439351851855</v>
      </c>
      <c r="E1811" s="38">
        <v>44452</v>
      </c>
      <c r="F1811" s="91">
        <v>2021</v>
      </c>
      <c r="G1811" s="93">
        <v>9</v>
      </c>
      <c r="H1811" s="37" t="s">
        <v>405</v>
      </c>
      <c r="I1811" s="37"/>
      <c r="J1811" s="103">
        <v>-92.445231657561322</v>
      </c>
      <c r="K1811" s="40">
        <v>44.587785587687591</v>
      </c>
      <c r="L1811" s="74"/>
      <c r="M1811" s="272" t="s">
        <v>16</v>
      </c>
      <c r="N1811" s="74">
        <v>0</v>
      </c>
      <c r="O1811" s="94"/>
      <c r="P1811" s="118">
        <v>1</v>
      </c>
      <c r="Q1811" s="510">
        <v>180</v>
      </c>
      <c r="R1811" s="513">
        <v>180</v>
      </c>
      <c r="S1811" s="41"/>
      <c r="T1811" s="40"/>
      <c r="U1811" s="40">
        <v>7.5</v>
      </c>
      <c r="V1811" s="119">
        <v>1</v>
      </c>
      <c r="W1811" s="40">
        <v>0</v>
      </c>
      <c r="X1811" s="119">
        <v>1</v>
      </c>
      <c r="Y1811" s="40">
        <v>0</v>
      </c>
      <c r="Z1811" s="119">
        <v>1</v>
      </c>
      <c r="AA1811" s="368">
        <v>0</v>
      </c>
      <c r="AB1811" s="535">
        <v>5</v>
      </c>
      <c r="AC1811" s="39" t="s">
        <v>160</v>
      </c>
      <c r="AD1811" s="75" t="s">
        <v>8</v>
      </c>
      <c r="AE1811" s="95">
        <v>0</v>
      </c>
      <c r="AF1811" s="75">
        <v>1</v>
      </c>
      <c r="AG1811" s="75">
        <v>0</v>
      </c>
      <c r="AH1811" s="75">
        <v>0</v>
      </c>
      <c r="AI1811" s="75">
        <v>0</v>
      </c>
      <c r="AJ1811" s="75">
        <v>0</v>
      </c>
      <c r="AK1811" s="75">
        <v>0</v>
      </c>
      <c r="AL1811" s="95">
        <v>0</v>
      </c>
      <c r="AM1811" s="92">
        <v>0</v>
      </c>
      <c r="AN1811" s="79" t="s">
        <v>80</v>
      </c>
      <c r="AO1811" s="75">
        <v>1</v>
      </c>
      <c r="AP1811" s="75" t="s">
        <v>83</v>
      </c>
      <c r="AQ1811" s="122">
        <v>1</v>
      </c>
      <c r="AR1811" s="515" t="s">
        <v>10</v>
      </c>
      <c r="AS1811" s="95">
        <v>0</v>
      </c>
      <c r="AT1811" s="75">
        <v>0</v>
      </c>
      <c r="AU1811" s="75">
        <v>0</v>
      </c>
      <c r="AV1811" s="75">
        <v>0</v>
      </c>
      <c r="AW1811" s="123">
        <v>0</v>
      </c>
      <c r="AX1811" s="516" t="s">
        <v>1219</v>
      </c>
      <c r="AY1811" s="75">
        <v>1</v>
      </c>
      <c r="AZ1811" s="77" t="s">
        <v>131</v>
      </c>
      <c r="BA1811" s="78" t="s">
        <v>132</v>
      </c>
      <c r="BB1811" s="78" t="s">
        <v>131</v>
      </c>
      <c r="BC1811" s="78" t="s">
        <v>131</v>
      </c>
      <c r="BD1811" s="78" t="s">
        <v>131</v>
      </c>
      <c r="BE1811" s="78" t="s">
        <v>131</v>
      </c>
      <c r="BF1811" s="78" t="s">
        <v>131</v>
      </c>
      <c r="BG1811" s="78" t="s">
        <v>131</v>
      </c>
      <c r="BH1811" s="75" t="s">
        <v>5970</v>
      </c>
      <c r="BI1811" s="295" t="s">
        <v>16</v>
      </c>
      <c r="BJ1811" s="546">
        <v>1</v>
      </c>
      <c r="BK1811" s="294" t="s">
        <v>16</v>
      </c>
      <c r="BL1811" s="157" t="s">
        <v>16</v>
      </c>
      <c r="BM1811" s="548" t="s">
        <v>578</v>
      </c>
      <c r="BN1811" s="548" t="s">
        <v>4161</v>
      </c>
      <c r="BO1811" s="157" t="s">
        <v>4283</v>
      </c>
      <c r="BP1811" s="548" t="s">
        <v>2289</v>
      </c>
      <c r="BQ1811" s="157" t="s">
        <v>4214</v>
      </c>
      <c r="BR1811" s="157"/>
    </row>
    <row r="1812" spans="1:70" x14ac:dyDescent="0.25">
      <c r="A1812" s="19" t="s">
        <v>3686</v>
      </c>
      <c r="B1812" s="37" t="s">
        <v>1150</v>
      </c>
      <c r="C1812" s="90">
        <v>44452.681539351855</v>
      </c>
      <c r="D1812" s="114">
        <v>44452.431539351855</v>
      </c>
      <c r="E1812" s="38">
        <v>44452</v>
      </c>
      <c r="F1812" s="91">
        <v>2021</v>
      </c>
      <c r="G1812" s="93">
        <v>9</v>
      </c>
      <c r="H1812" s="37" t="s">
        <v>618</v>
      </c>
      <c r="I1812" s="37" t="s">
        <v>753</v>
      </c>
      <c r="J1812" s="103">
        <v>-92.802222099999994</v>
      </c>
      <c r="K1812" s="40">
        <v>44.543027700000003</v>
      </c>
      <c r="L1812" s="74"/>
      <c r="M1812" s="272" t="s">
        <v>16</v>
      </c>
      <c r="N1812" s="74">
        <v>0</v>
      </c>
      <c r="O1812" s="94"/>
      <c r="P1812" s="118">
        <v>1</v>
      </c>
      <c r="Q1812" s="510">
        <v>80</v>
      </c>
      <c r="R1812" s="513">
        <v>180</v>
      </c>
      <c r="S1812" s="41"/>
      <c r="T1812" s="40"/>
      <c r="U1812" s="40">
        <v>7.5</v>
      </c>
      <c r="V1812" s="119">
        <v>1</v>
      </c>
      <c r="W1812" s="40">
        <v>100</v>
      </c>
      <c r="X1812" s="119">
        <v>1</v>
      </c>
      <c r="Y1812" s="40">
        <v>53</v>
      </c>
      <c r="Z1812" s="119">
        <v>1</v>
      </c>
      <c r="AA1812" s="368">
        <v>0</v>
      </c>
      <c r="AB1812" s="535">
        <v>10</v>
      </c>
      <c r="AC1812" s="39" t="s">
        <v>160</v>
      </c>
      <c r="AD1812" s="75" t="s">
        <v>16</v>
      </c>
      <c r="AE1812" s="95">
        <v>-1</v>
      </c>
      <c r="AF1812" s="75">
        <v>-1</v>
      </c>
      <c r="AG1812" s="75">
        <v>-1</v>
      </c>
      <c r="AH1812" s="75">
        <v>-1</v>
      </c>
      <c r="AI1812" s="75">
        <v>-1</v>
      </c>
      <c r="AJ1812" s="75">
        <v>-1</v>
      </c>
      <c r="AK1812" s="75">
        <v>-1</v>
      </c>
      <c r="AL1812" s="95">
        <v>-1</v>
      </c>
      <c r="AM1812" s="92">
        <v>1</v>
      </c>
      <c r="AN1812" s="79" t="s">
        <v>80</v>
      </c>
      <c r="AO1812" s="75">
        <v>1</v>
      </c>
      <c r="AP1812" s="75" t="s">
        <v>83</v>
      </c>
      <c r="AQ1812" s="122">
        <v>1</v>
      </c>
      <c r="AR1812" s="515" t="s">
        <v>10</v>
      </c>
      <c r="AS1812" s="95">
        <v>0</v>
      </c>
      <c r="AT1812" s="75">
        <v>0</v>
      </c>
      <c r="AU1812" s="75">
        <v>0</v>
      </c>
      <c r="AV1812" s="75">
        <v>0</v>
      </c>
      <c r="AW1812" s="123">
        <v>0</v>
      </c>
      <c r="AX1812" s="516"/>
      <c r="AY1812" s="75">
        <v>0</v>
      </c>
      <c r="AZ1812" s="77" t="s">
        <v>5971</v>
      </c>
      <c r="BA1812" s="78" t="s">
        <v>5971</v>
      </c>
      <c r="BB1812" s="78" t="s">
        <v>5971</v>
      </c>
      <c r="BC1812" s="78" t="s">
        <v>5971</v>
      </c>
      <c r="BD1812" s="78" t="s">
        <v>5971</v>
      </c>
      <c r="BE1812" s="78" t="s">
        <v>5971</v>
      </c>
      <c r="BF1812" s="78" t="s">
        <v>5971</v>
      </c>
      <c r="BG1812" s="78" t="s">
        <v>5971</v>
      </c>
      <c r="BH1812" s="75" t="s">
        <v>5971</v>
      </c>
      <c r="BI1812" s="295" t="s">
        <v>2224</v>
      </c>
      <c r="BJ1812" s="546">
        <v>1</v>
      </c>
      <c r="BK1812" s="294">
        <v>1</v>
      </c>
      <c r="BL1812" s="157">
        <v>1</v>
      </c>
      <c r="BM1812" s="548" t="s">
        <v>2343</v>
      </c>
      <c r="BN1812" s="548" t="s">
        <v>4161</v>
      </c>
      <c r="BO1812" s="157" t="s">
        <v>4510</v>
      </c>
      <c r="BP1812" s="548" t="s">
        <v>753</v>
      </c>
      <c r="BQ1812" s="157" t="s">
        <v>4389</v>
      </c>
      <c r="BR1812" s="157"/>
    </row>
    <row r="1813" spans="1:70" x14ac:dyDescent="0.25">
      <c r="A1813" s="19" t="s">
        <v>3686</v>
      </c>
      <c r="B1813" s="37" t="s">
        <v>1182</v>
      </c>
      <c r="C1813" s="90">
        <v>44451.61105324074</v>
      </c>
      <c r="D1813" s="114">
        <v>44451.36105324074</v>
      </c>
      <c r="E1813" s="38">
        <v>44451</v>
      </c>
      <c r="F1813" s="91">
        <v>2021</v>
      </c>
      <c r="G1813" s="93">
        <v>9</v>
      </c>
      <c r="H1813" s="37" t="s">
        <v>379</v>
      </c>
      <c r="I1813" s="37" t="s">
        <v>642</v>
      </c>
      <c r="J1813" s="103">
        <v>-92.583513048849355</v>
      </c>
      <c r="K1813" s="40">
        <v>44.848848152781109</v>
      </c>
      <c r="L1813" s="74"/>
      <c r="M1813" s="272" t="s">
        <v>16</v>
      </c>
      <c r="N1813" s="74">
        <v>0</v>
      </c>
      <c r="O1813" s="94"/>
      <c r="P1813" s="118">
        <v>1</v>
      </c>
      <c r="Q1813" s="510">
        <v>180</v>
      </c>
      <c r="R1813" s="513">
        <v>180</v>
      </c>
      <c r="S1813" s="41"/>
      <c r="T1813" s="40"/>
      <c r="U1813" s="40">
        <v>8</v>
      </c>
      <c r="V1813" s="119">
        <v>1</v>
      </c>
      <c r="W1813" s="40">
        <v>0</v>
      </c>
      <c r="X1813" s="119">
        <v>1</v>
      </c>
      <c r="Y1813" s="40">
        <v>49</v>
      </c>
      <c r="Z1813" s="119">
        <v>0</v>
      </c>
      <c r="AA1813" s="368" t="s">
        <v>16</v>
      </c>
      <c r="AB1813" s="535" t="s">
        <v>16</v>
      </c>
      <c r="AC1813" s="39" t="s">
        <v>160</v>
      </c>
      <c r="AD1813" s="75" t="s">
        <v>16</v>
      </c>
      <c r="AE1813" s="95">
        <v>-1</v>
      </c>
      <c r="AF1813" s="75">
        <v>-1</v>
      </c>
      <c r="AG1813" s="75">
        <v>-1</v>
      </c>
      <c r="AH1813" s="75">
        <v>-1</v>
      </c>
      <c r="AI1813" s="75">
        <v>-1</v>
      </c>
      <c r="AJ1813" s="75">
        <v>-1</v>
      </c>
      <c r="AK1813" s="75">
        <v>-1</v>
      </c>
      <c r="AL1813" s="95">
        <v>-1</v>
      </c>
      <c r="AM1813" s="92">
        <v>1</v>
      </c>
      <c r="AN1813" s="79" t="s">
        <v>80</v>
      </c>
      <c r="AO1813" s="75">
        <v>1</v>
      </c>
      <c r="AP1813" s="75" t="s">
        <v>83</v>
      </c>
      <c r="AQ1813" s="122">
        <v>1</v>
      </c>
      <c r="AR1813" s="515" t="s">
        <v>10</v>
      </c>
      <c r="AS1813" s="95">
        <v>0</v>
      </c>
      <c r="AT1813" s="75">
        <v>0</v>
      </c>
      <c r="AU1813" s="75">
        <v>0</v>
      </c>
      <c r="AV1813" s="75">
        <v>0</v>
      </c>
      <c r="AW1813" s="123">
        <v>0</v>
      </c>
      <c r="AX1813" s="516"/>
      <c r="AY1813" s="75">
        <v>0</v>
      </c>
      <c r="AZ1813" s="77" t="s">
        <v>5971</v>
      </c>
      <c r="BA1813" s="78" t="s">
        <v>5971</v>
      </c>
      <c r="BB1813" s="78" t="s">
        <v>5971</v>
      </c>
      <c r="BC1813" s="78" t="s">
        <v>5971</v>
      </c>
      <c r="BD1813" s="78" t="s">
        <v>5971</v>
      </c>
      <c r="BE1813" s="78" t="s">
        <v>5971</v>
      </c>
      <c r="BF1813" s="78" t="s">
        <v>5971</v>
      </c>
      <c r="BG1813" s="78" t="s">
        <v>5971</v>
      </c>
      <c r="BH1813" s="75" t="s">
        <v>5971</v>
      </c>
      <c r="BI1813" s="295" t="s">
        <v>2226</v>
      </c>
      <c r="BJ1813" s="546">
        <v>1</v>
      </c>
      <c r="BK1813" s="294">
        <v>1</v>
      </c>
      <c r="BL1813" s="157">
        <v>1</v>
      </c>
      <c r="BM1813" s="548" t="s">
        <v>578</v>
      </c>
      <c r="BN1813" s="548" t="s">
        <v>578</v>
      </c>
      <c r="BO1813" s="157" t="s">
        <v>4310</v>
      </c>
      <c r="BP1813" s="548" t="s">
        <v>2226</v>
      </c>
      <c r="BQ1813" s="157" t="s">
        <v>4309</v>
      </c>
      <c r="BR1813" s="157"/>
    </row>
    <row r="1814" spans="1:70" x14ac:dyDescent="0.25">
      <c r="A1814" s="19" t="s">
        <v>3686</v>
      </c>
      <c r="B1814" s="37" t="s">
        <v>1203</v>
      </c>
      <c r="C1814" s="90">
        <v>44450.740034722221</v>
      </c>
      <c r="D1814" s="114">
        <v>44450.490034722221</v>
      </c>
      <c r="E1814" s="38">
        <v>44450</v>
      </c>
      <c r="F1814" s="91">
        <v>2021</v>
      </c>
      <c r="G1814" s="93">
        <v>9</v>
      </c>
      <c r="H1814" s="37" t="s">
        <v>201</v>
      </c>
      <c r="I1814" s="37"/>
      <c r="J1814" s="103">
        <v>-92.732108343705235</v>
      </c>
      <c r="K1814" s="40">
        <v>44.831206073926182</v>
      </c>
      <c r="L1814" s="74"/>
      <c r="M1814" s="272" t="s">
        <v>16</v>
      </c>
      <c r="N1814" s="74">
        <v>0</v>
      </c>
      <c r="O1814" s="94"/>
      <c r="P1814" s="118">
        <v>1</v>
      </c>
      <c r="Q1814" s="510">
        <v>180</v>
      </c>
      <c r="R1814" s="513">
        <v>180</v>
      </c>
      <c r="S1814" s="41"/>
      <c r="T1814" s="40"/>
      <c r="U1814" s="40">
        <v>7.5</v>
      </c>
      <c r="V1814" s="119">
        <v>1</v>
      </c>
      <c r="W1814" s="40">
        <v>0</v>
      </c>
      <c r="X1814" s="119">
        <v>1</v>
      </c>
      <c r="Y1814" s="40">
        <v>60</v>
      </c>
      <c r="Z1814" s="119">
        <v>0</v>
      </c>
      <c r="AA1814" s="368" t="s">
        <v>16</v>
      </c>
      <c r="AB1814" s="535" t="s">
        <v>16</v>
      </c>
      <c r="AC1814" s="39" t="s">
        <v>160</v>
      </c>
      <c r="AD1814" s="75" t="s">
        <v>8</v>
      </c>
      <c r="AE1814" s="95">
        <v>0</v>
      </c>
      <c r="AF1814" s="75">
        <v>1</v>
      </c>
      <c r="AG1814" s="75">
        <v>0</v>
      </c>
      <c r="AH1814" s="75">
        <v>0</v>
      </c>
      <c r="AI1814" s="75">
        <v>0</v>
      </c>
      <c r="AJ1814" s="75">
        <v>0</v>
      </c>
      <c r="AK1814" s="75">
        <v>0</v>
      </c>
      <c r="AL1814" s="95">
        <v>0</v>
      </c>
      <c r="AM1814" s="92">
        <v>0</v>
      </c>
      <c r="AN1814" s="79" t="s">
        <v>80</v>
      </c>
      <c r="AO1814" s="75">
        <v>1</v>
      </c>
      <c r="AP1814" s="75" t="s">
        <v>83</v>
      </c>
      <c r="AQ1814" s="122">
        <v>1</v>
      </c>
      <c r="AR1814" s="515" t="s">
        <v>10</v>
      </c>
      <c r="AS1814" s="95">
        <v>0</v>
      </c>
      <c r="AT1814" s="75">
        <v>0</v>
      </c>
      <c r="AU1814" s="75">
        <v>0</v>
      </c>
      <c r="AV1814" s="75">
        <v>0</v>
      </c>
      <c r="AW1814" s="123">
        <v>0</v>
      </c>
      <c r="AX1814" s="516" t="s">
        <v>1204</v>
      </c>
      <c r="AY1814" s="75">
        <v>1</v>
      </c>
      <c r="AZ1814" s="77" t="s">
        <v>131</v>
      </c>
      <c r="BA1814" s="78" t="s">
        <v>132</v>
      </c>
      <c r="BB1814" s="78" t="s">
        <v>131</v>
      </c>
      <c r="BC1814" s="78" t="s">
        <v>131</v>
      </c>
      <c r="BD1814" s="78" t="s">
        <v>131</v>
      </c>
      <c r="BE1814" s="78" t="s">
        <v>131</v>
      </c>
      <c r="BF1814" s="78" t="s">
        <v>131</v>
      </c>
      <c r="BG1814" s="78" t="s">
        <v>131</v>
      </c>
      <c r="BH1814" s="75" t="s">
        <v>5970</v>
      </c>
      <c r="BI1814" s="295" t="s">
        <v>2227</v>
      </c>
      <c r="BJ1814" s="546">
        <v>1</v>
      </c>
      <c r="BK1814" s="294" t="s">
        <v>16</v>
      </c>
      <c r="BL1814" s="157" t="s">
        <v>16</v>
      </c>
      <c r="BM1814" s="548" t="s">
        <v>578</v>
      </c>
      <c r="BN1814" s="548" t="s">
        <v>578</v>
      </c>
      <c r="BO1814" s="157" t="s">
        <v>4341</v>
      </c>
      <c r="BP1814" s="548" t="s">
        <v>4343</v>
      </c>
      <c r="BQ1814" s="157" t="s">
        <v>4309</v>
      </c>
      <c r="BR1814" s="157"/>
    </row>
    <row r="1815" spans="1:70" x14ac:dyDescent="0.25">
      <c r="A1815" s="19" t="s">
        <v>3686</v>
      </c>
      <c r="B1815" s="37" t="s">
        <v>1052</v>
      </c>
      <c r="C1815" s="90">
        <v>44450.641331018516</v>
      </c>
      <c r="D1815" s="114">
        <v>44450.391331018516</v>
      </c>
      <c r="E1815" s="38">
        <v>44450</v>
      </c>
      <c r="F1815" s="91">
        <v>2021</v>
      </c>
      <c r="G1815" s="93">
        <v>9</v>
      </c>
      <c r="H1815" s="37" t="s">
        <v>625</v>
      </c>
      <c r="I1815" s="37" t="s">
        <v>753</v>
      </c>
      <c r="J1815" s="103">
        <v>-92.802092400000006</v>
      </c>
      <c r="K1815" s="40">
        <v>44.543073700000001</v>
      </c>
      <c r="L1815" s="74"/>
      <c r="M1815" s="272" t="s">
        <v>16</v>
      </c>
      <c r="N1815" s="74">
        <v>0</v>
      </c>
      <c r="O1815" s="94"/>
      <c r="P1815" s="118">
        <v>1</v>
      </c>
      <c r="Q1815" s="510">
        <v>80</v>
      </c>
      <c r="R1815" s="513">
        <v>180</v>
      </c>
      <c r="S1815" s="41"/>
      <c r="T1815" s="40"/>
      <c r="U1815" s="40">
        <v>7.5</v>
      </c>
      <c r="V1815" s="119">
        <v>1</v>
      </c>
      <c r="W1815" s="40">
        <v>100</v>
      </c>
      <c r="X1815" s="119">
        <v>1</v>
      </c>
      <c r="Y1815" s="40">
        <v>53</v>
      </c>
      <c r="Z1815" s="119">
        <v>1</v>
      </c>
      <c r="AA1815" s="368">
        <v>0</v>
      </c>
      <c r="AB1815" s="535">
        <v>10</v>
      </c>
      <c r="AC1815" s="39" t="s">
        <v>160</v>
      </c>
      <c r="AD1815" s="75" t="s">
        <v>10</v>
      </c>
      <c r="AE1815" s="95">
        <v>0</v>
      </c>
      <c r="AF1815" s="75">
        <v>0</v>
      </c>
      <c r="AG1815" s="75">
        <v>0</v>
      </c>
      <c r="AH1815" s="75">
        <v>0</v>
      </c>
      <c r="AI1815" s="75">
        <v>0</v>
      </c>
      <c r="AJ1815" s="75">
        <v>0</v>
      </c>
      <c r="AK1815" s="75">
        <v>0</v>
      </c>
      <c r="AL1815" s="95">
        <v>1</v>
      </c>
      <c r="AM1815" s="92">
        <v>0</v>
      </c>
      <c r="AN1815" s="79" t="s">
        <v>80</v>
      </c>
      <c r="AO1815" s="75">
        <v>1</v>
      </c>
      <c r="AP1815" s="75" t="s">
        <v>83</v>
      </c>
      <c r="AQ1815" s="122">
        <v>1</v>
      </c>
      <c r="AR1815" s="515" t="s">
        <v>10</v>
      </c>
      <c r="AS1815" s="95">
        <v>0</v>
      </c>
      <c r="AT1815" s="75">
        <v>0</v>
      </c>
      <c r="AU1815" s="75">
        <v>0</v>
      </c>
      <c r="AV1815" s="75">
        <v>0</v>
      </c>
      <c r="AW1815" s="123">
        <v>0</v>
      </c>
      <c r="AX1815" s="516"/>
      <c r="AY1815" s="75">
        <v>0</v>
      </c>
      <c r="AZ1815" s="77" t="s">
        <v>131</v>
      </c>
      <c r="BA1815" s="78" t="s">
        <v>131</v>
      </c>
      <c r="BB1815" s="78" t="s">
        <v>131</v>
      </c>
      <c r="BC1815" s="78" t="s">
        <v>131</v>
      </c>
      <c r="BD1815" s="78" t="s">
        <v>131</v>
      </c>
      <c r="BE1815" s="78" t="s">
        <v>131</v>
      </c>
      <c r="BF1815" s="78" t="s">
        <v>131</v>
      </c>
      <c r="BG1815" s="78" t="s">
        <v>132</v>
      </c>
      <c r="BH1815" s="75" t="s">
        <v>5970</v>
      </c>
      <c r="BI1815" s="295" t="s">
        <v>2224</v>
      </c>
      <c r="BJ1815" s="546">
        <v>1</v>
      </c>
      <c r="BK1815" s="294">
        <v>1</v>
      </c>
      <c r="BL1815" s="157">
        <v>1</v>
      </c>
      <c r="BM1815" s="548" t="s">
        <v>2343</v>
      </c>
      <c r="BN1815" s="548" t="s">
        <v>4161</v>
      </c>
      <c r="BO1815" s="157" t="s">
        <v>4510</v>
      </c>
      <c r="BP1815" s="548" t="s">
        <v>753</v>
      </c>
      <c r="BQ1815" s="157" t="s">
        <v>4389</v>
      </c>
      <c r="BR1815" s="157"/>
    </row>
    <row r="1816" spans="1:70" x14ac:dyDescent="0.25">
      <c r="A1816" s="19" t="s">
        <v>3686</v>
      </c>
      <c r="B1816" s="37" t="s">
        <v>1222</v>
      </c>
      <c r="C1816" s="90">
        <v>44449.649143518516</v>
      </c>
      <c r="D1816" s="114">
        <v>44449.399143518516</v>
      </c>
      <c r="E1816" s="38">
        <v>44449</v>
      </c>
      <c r="F1816" s="91">
        <v>2021</v>
      </c>
      <c r="G1816" s="93">
        <v>9</v>
      </c>
      <c r="H1816" s="37" t="s">
        <v>1141</v>
      </c>
      <c r="I1816" s="37"/>
      <c r="J1816" s="103">
        <v>-91.773594000000003</v>
      </c>
      <c r="K1816" s="40">
        <v>43.380243200000002</v>
      </c>
      <c r="L1816" s="74"/>
      <c r="M1816" s="272" t="s">
        <v>1223</v>
      </c>
      <c r="N1816" s="74">
        <v>1</v>
      </c>
      <c r="O1816" s="94"/>
      <c r="P1816" s="118">
        <v>1</v>
      </c>
      <c r="Q1816" s="510">
        <v>180</v>
      </c>
      <c r="R1816" s="513">
        <v>120</v>
      </c>
      <c r="S1816" s="41"/>
      <c r="T1816" s="40"/>
      <c r="U1816" s="40">
        <v>7</v>
      </c>
      <c r="V1816" s="119">
        <v>0</v>
      </c>
      <c r="W1816" s="40"/>
      <c r="X1816" s="119">
        <v>0</v>
      </c>
      <c r="Y1816" s="40"/>
      <c r="Z1816" s="119">
        <v>1</v>
      </c>
      <c r="AA1816" s="368">
        <v>0</v>
      </c>
      <c r="AB1816" s="535">
        <v>2</v>
      </c>
      <c r="AC1816" s="39" t="s">
        <v>160</v>
      </c>
      <c r="AD1816" s="75" t="s">
        <v>10</v>
      </c>
      <c r="AE1816" s="95">
        <v>0</v>
      </c>
      <c r="AF1816" s="75">
        <v>0</v>
      </c>
      <c r="AG1816" s="75">
        <v>0</v>
      </c>
      <c r="AH1816" s="75">
        <v>0</v>
      </c>
      <c r="AI1816" s="75">
        <v>0</v>
      </c>
      <c r="AJ1816" s="75">
        <v>0</v>
      </c>
      <c r="AK1816" s="75">
        <v>0</v>
      </c>
      <c r="AL1816" s="95">
        <v>1</v>
      </c>
      <c r="AM1816" s="92">
        <v>0</v>
      </c>
      <c r="AN1816" s="79" t="s">
        <v>80</v>
      </c>
      <c r="AO1816" s="75">
        <v>1</v>
      </c>
      <c r="AP1816" s="75" t="s">
        <v>84</v>
      </c>
      <c r="AQ1816" s="122">
        <v>1</v>
      </c>
      <c r="AR1816" s="515" t="s">
        <v>10</v>
      </c>
      <c r="AS1816" s="95">
        <v>0</v>
      </c>
      <c r="AT1816" s="75">
        <v>0</v>
      </c>
      <c r="AU1816" s="75">
        <v>0</v>
      </c>
      <c r="AV1816" s="75">
        <v>0</v>
      </c>
      <c r="AW1816" s="123">
        <v>0</v>
      </c>
      <c r="AX1816" s="516"/>
      <c r="AY1816" s="75">
        <v>0</v>
      </c>
      <c r="AZ1816" s="77" t="s">
        <v>131</v>
      </c>
      <c r="BA1816" s="78" t="s">
        <v>131</v>
      </c>
      <c r="BB1816" s="78" t="s">
        <v>131</v>
      </c>
      <c r="BC1816" s="78" t="s">
        <v>131</v>
      </c>
      <c r="BD1816" s="78" t="s">
        <v>131</v>
      </c>
      <c r="BE1816" s="78" t="s">
        <v>131</v>
      </c>
      <c r="BF1816" s="78" t="s">
        <v>131</v>
      </c>
      <c r="BG1816" s="78" t="s">
        <v>132</v>
      </c>
      <c r="BH1816" s="75" t="s">
        <v>5970</v>
      </c>
      <c r="BI1816" s="295" t="s">
        <v>16</v>
      </c>
      <c r="BJ1816" s="546">
        <v>1</v>
      </c>
      <c r="BK1816" s="294" t="s">
        <v>16</v>
      </c>
      <c r="BL1816" s="157" t="s">
        <v>16</v>
      </c>
      <c r="BM1816" s="548" t="s">
        <v>1344</v>
      </c>
      <c r="BN1816" s="548" t="s">
        <v>1344</v>
      </c>
      <c r="BO1816" s="157" t="s">
        <v>4716</v>
      </c>
      <c r="BP1816" s="548" t="s">
        <v>2300</v>
      </c>
      <c r="BQ1816" s="157" t="s">
        <v>4715</v>
      </c>
      <c r="BR1816" s="157"/>
    </row>
    <row r="1817" spans="1:70" x14ac:dyDescent="0.25">
      <c r="A1817" s="19" t="s">
        <v>3686</v>
      </c>
      <c r="B1817" s="37" t="s">
        <v>1140</v>
      </c>
      <c r="C1817" s="90">
        <v>44449.565289351849</v>
      </c>
      <c r="D1817" s="114">
        <v>44449.315289351849</v>
      </c>
      <c r="E1817" s="38">
        <v>44449</v>
      </c>
      <c r="F1817" s="91">
        <v>2021</v>
      </c>
      <c r="G1817" s="93">
        <v>9</v>
      </c>
      <c r="H1817" s="37" t="s">
        <v>1141</v>
      </c>
      <c r="I1817" s="37"/>
      <c r="J1817" s="103">
        <v>-91.780521399999998</v>
      </c>
      <c r="K1817" s="40">
        <v>43.272391599999999</v>
      </c>
      <c r="L1817" s="74"/>
      <c r="M1817" s="272" t="s">
        <v>1142</v>
      </c>
      <c r="N1817" s="74">
        <v>1</v>
      </c>
      <c r="O1817" s="94"/>
      <c r="P1817" s="118">
        <v>1</v>
      </c>
      <c r="Q1817" s="510">
        <v>240</v>
      </c>
      <c r="R1817" s="513">
        <v>180</v>
      </c>
      <c r="S1817" s="41"/>
      <c r="T1817" s="40"/>
      <c r="U1817" s="40">
        <v>6.5</v>
      </c>
      <c r="V1817" s="119">
        <v>0</v>
      </c>
      <c r="W1817" s="40"/>
      <c r="X1817" s="119">
        <v>0</v>
      </c>
      <c r="Y1817" s="40"/>
      <c r="Z1817" s="119">
        <v>1</v>
      </c>
      <c r="AA1817" s="368">
        <v>0</v>
      </c>
      <c r="AB1817" s="535">
        <v>2</v>
      </c>
      <c r="AC1817" s="39" t="s">
        <v>162</v>
      </c>
      <c r="AD1817" s="75" t="s">
        <v>10</v>
      </c>
      <c r="AE1817" s="95">
        <v>0</v>
      </c>
      <c r="AF1817" s="75">
        <v>0</v>
      </c>
      <c r="AG1817" s="75">
        <v>0</v>
      </c>
      <c r="AH1817" s="75">
        <v>0</v>
      </c>
      <c r="AI1817" s="75">
        <v>0</v>
      </c>
      <c r="AJ1817" s="75">
        <v>0</v>
      </c>
      <c r="AK1817" s="75">
        <v>0</v>
      </c>
      <c r="AL1817" s="95">
        <v>1</v>
      </c>
      <c r="AM1817" s="92">
        <v>0</v>
      </c>
      <c r="AN1817" s="79" t="s">
        <v>80</v>
      </c>
      <c r="AO1817" s="75">
        <v>1</v>
      </c>
      <c r="AP1817" s="75" t="s">
        <v>83</v>
      </c>
      <c r="AQ1817" s="122">
        <v>1</v>
      </c>
      <c r="AR1817" s="515" t="s">
        <v>10</v>
      </c>
      <c r="AS1817" s="95">
        <v>0</v>
      </c>
      <c r="AT1817" s="75">
        <v>0</v>
      </c>
      <c r="AU1817" s="75">
        <v>0</v>
      </c>
      <c r="AV1817" s="75">
        <v>0</v>
      </c>
      <c r="AW1817" s="123">
        <v>0</v>
      </c>
      <c r="AX1817" s="516"/>
      <c r="AY1817" s="75">
        <v>0</v>
      </c>
      <c r="AZ1817" s="77" t="s">
        <v>131</v>
      </c>
      <c r="BA1817" s="78" t="s">
        <v>131</v>
      </c>
      <c r="BB1817" s="78" t="s">
        <v>131</v>
      </c>
      <c r="BC1817" s="78" t="s">
        <v>131</v>
      </c>
      <c r="BD1817" s="78" t="s">
        <v>131</v>
      </c>
      <c r="BE1817" s="78" t="s">
        <v>131</v>
      </c>
      <c r="BF1817" s="78" t="s">
        <v>131</v>
      </c>
      <c r="BG1817" s="78" t="s">
        <v>132</v>
      </c>
      <c r="BH1817" s="75" t="s">
        <v>5970</v>
      </c>
      <c r="BI1817" s="295" t="s">
        <v>2254</v>
      </c>
      <c r="BJ1817" s="546">
        <v>1</v>
      </c>
      <c r="BK1817" s="294" t="s">
        <v>16</v>
      </c>
      <c r="BL1817" s="157" t="s">
        <v>16</v>
      </c>
      <c r="BM1817" s="548" t="s">
        <v>1344</v>
      </c>
      <c r="BN1817" s="548" t="s">
        <v>1344</v>
      </c>
      <c r="BO1817" s="157" t="s">
        <v>4491</v>
      </c>
      <c r="BP1817" s="548" t="s">
        <v>2254</v>
      </c>
      <c r="BQ1817" s="157" t="s">
        <v>4377</v>
      </c>
      <c r="BR1817" s="157"/>
    </row>
    <row r="1818" spans="1:70" x14ac:dyDescent="0.25">
      <c r="A1818" s="19" t="s">
        <v>3686</v>
      </c>
      <c r="B1818" s="37" t="s">
        <v>1135</v>
      </c>
      <c r="C1818" s="90">
        <v>44448.829965277779</v>
      </c>
      <c r="D1818" s="114">
        <v>44448.579965277779</v>
      </c>
      <c r="E1818" s="38">
        <v>44448</v>
      </c>
      <c r="F1818" s="91">
        <v>2021</v>
      </c>
      <c r="G1818" s="93">
        <v>9</v>
      </c>
      <c r="H1818" s="37" t="s">
        <v>621</v>
      </c>
      <c r="I1818" s="37" t="s">
        <v>960</v>
      </c>
      <c r="J1818" s="103">
        <v>-93.008865863171394</v>
      </c>
      <c r="K1818" s="40">
        <v>44.657142232213779</v>
      </c>
      <c r="L1818" s="74"/>
      <c r="M1818" s="272" t="s">
        <v>16</v>
      </c>
      <c r="N1818" s="74">
        <v>0</v>
      </c>
      <c r="O1818" s="94"/>
      <c r="P1818" s="118">
        <v>1</v>
      </c>
      <c r="Q1818" s="510">
        <v>180</v>
      </c>
      <c r="R1818" s="513">
        <v>120</v>
      </c>
      <c r="S1818" s="41"/>
      <c r="T1818" s="40"/>
      <c r="U1818" s="40">
        <v>8</v>
      </c>
      <c r="V1818" s="119">
        <v>1</v>
      </c>
      <c r="W1818" s="40">
        <v>100</v>
      </c>
      <c r="X1818" s="119">
        <v>1</v>
      </c>
      <c r="Y1818" s="40">
        <v>60</v>
      </c>
      <c r="Z1818" s="119">
        <v>1</v>
      </c>
      <c r="AA1818" s="368">
        <v>0</v>
      </c>
      <c r="AB1818" s="535">
        <v>5</v>
      </c>
      <c r="AC1818" s="39" t="s">
        <v>160</v>
      </c>
      <c r="AD1818" s="75" t="s">
        <v>16</v>
      </c>
      <c r="AE1818" s="95">
        <v>-1</v>
      </c>
      <c r="AF1818" s="75">
        <v>-1</v>
      </c>
      <c r="AG1818" s="75">
        <v>-1</v>
      </c>
      <c r="AH1818" s="75">
        <v>-1</v>
      </c>
      <c r="AI1818" s="75">
        <v>-1</v>
      </c>
      <c r="AJ1818" s="75">
        <v>-1</v>
      </c>
      <c r="AK1818" s="75">
        <v>-1</v>
      </c>
      <c r="AL1818" s="95">
        <v>-1</v>
      </c>
      <c r="AM1818" s="92">
        <v>1</v>
      </c>
      <c r="AN1818" s="79" t="s">
        <v>80</v>
      </c>
      <c r="AO1818" s="75">
        <v>1</v>
      </c>
      <c r="AP1818" s="75" t="s">
        <v>83</v>
      </c>
      <c r="AQ1818" s="122">
        <v>1</v>
      </c>
      <c r="AR1818" s="515" t="s">
        <v>10</v>
      </c>
      <c r="AS1818" s="95">
        <v>0</v>
      </c>
      <c r="AT1818" s="75">
        <v>0</v>
      </c>
      <c r="AU1818" s="75">
        <v>0</v>
      </c>
      <c r="AV1818" s="75">
        <v>0</v>
      </c>
      <c r="AW1818" s="123">
        <v>0</v>
      </c>
      <c r="AX1818" s="516"/>
      <c r="AY1818" s="75">
        <v>0</v>
      </c>
      <c r="AZ1818" s="77" t="s">
        <v>5971</v>
      </c>
      <c r="BA1818" s="78" t="s">
        <v>5971</v>
      </c>
      <c r="BB1818" s="78" t="s">
        <v>5971</v>
      </c>
      <c r="BC1818" s="78" t="s">
        <v>5971</v>
      </c>
      <c r="BD1818" s="78" t="s">
        <v>5971</v>
      </c>
      <c r="BE1818" s="78" t="s">
        <v>5971</v>
      </c>
      <c r="BF1818" s="78" t="s">
        <v>5971</v>
      </c>
      <c r="BG1818" s="78" t="s">
        <v>5971</v>
      </c>
      <c r="BH1818" s="75" t="s">
        <v>5971</v>
      </c>
      <c r="BI1818" s="295" t="s">
        <v>2225</v>
      </c>
      <c r="BJ1818" s="546">
        <v>1</v>
      </c>
      <c r="BK1818" s="294" t="s">
        <v>16</v>
      </c>
      <c r="BL1818" s="157" t="s">
        <v>16</v>
      </c>
      <c r="BM1818" s="548" t="s">
        <v>2343</v>
      </c>
      <c r="BN1818" s="548" t="s">
        <v>4161</v>
      </c>
      <c r="BO1818" s="157" t="s">
        <v>4293</v>
      </c>
      <c r="BP1818" s="548" t="s">
        <v>2225</v>
      </c>
      <c r="BQ1818" s="157" t="s">
        <v>4292</v>
      </c>
      <c r="BR1818" s="157"/>
    </row>
    <row r="1819" spans="1:70" x14ac:dyDescent="0.25">
      <c r="A1819" s="19" t="s">
        <v>3686</v>
      </c>
      <c r="B1819" s="37" t="s">
        <v>1162</v>
      </c>
      <c r="C1819" s="90">
        <v>44447.978958333333</v>
      </c>
      <c r="D1819" s="114">
        <v>44447.728958333333</v>
      </c>
      <c r="E1819" s="38">
        <v>44447</v>
      </c>
      <c r="F1819" s="91">
        <v>2021</v>
      </c>
      <c r="G1819" s="93">
        <v>9</v>
      </c>
      <c r="H1819" s="37" t="s">
        <v>624</v>
      </c>
      <c r="I1819" s="37" t="s">
        <v>16</v>
      </c>
      <c r="J1819" s="103">
        <v>-91.97617055544832</v>
      </c>
      <c r="K1819" s="40">
        <v>44.050649070222448</v>
      </c>
      <c r="L1819" s="74"/>
      <c r="M1819" s="272" t="s">
        <v>16</v>
      </c>
      <c r="N1819" s="74">
        <v>0</v>
      </c>
      <c r="O1819" s="94"/>
      <c r="P1819" s="118">
        <v>1</v>
      </c>
      <c r="Q1819" s="510">
        <v>40</v>
      </c>
      <c r="R1819" s="513">
        <v>30</v>
      </c>
      <c r="S1819" s="41"/>
      <c r="T1819" s="40"/>
      <c r="U1819" s="40">
        <v>7</v>
      </c>
      <c r="V1819" s="119">
        <v>1</v>
      </c>
      <c r="W1819" s="40">
        <v>0</v>
      </c>
      <c r="X1819" s="119">
        <v>1</v>
      </c>
      <c r="Y1819" s="40">
        <v>62</v>
      </c>
      <c r="Z1819" s="119">
        <v>1</v>
      </c>
      <c r="AA1819" s="368">
        <v>0</v>
      </c>
      <c r="AB1819" s="535">
        <v>0</v>
      </c>
      <c r="AC1819" s="39" t="s">
        <v>160</v>
      </c>
      <c r="AD1819" s="75" t="s">
        <v>10</v>
      </c>
      <c r="AE1819" s="95">
        <v>0</v>
      </c>
      <c r="AF1819" s="75">
        <v>0</v>
      </c>
      <c r="AG1819" s="75">
        <v>0</v>
      </c>
      <c r="AH1819" s="75">
        <v>0</v>
      </c>
      <c r="AI1819" s="75">
        <v>0</v>
      </c>
      <c r="AJ1819" s="75">
        <v>0</v>
      </c>
      <c r="AK1819" s="75">
        <v>0</v>
      </c>
      <c r="AL1819" s="95">
        <v>1</v>
      </c>
      <c r="AM1819" s="92">
        <v>0</v>
      </c>
      <c r="AN1819" s="79" t="s">
        <v>81</v>
      </c>
      <c r="AO1819" s="75">
        <v>1</v>
      </c>
      <c r="AP1819" s="75" t="s">
        <v>83</v>
      </c>
      <c r="AQ1819" s="122">
        <v>1</v>
      </c>
      <c r="AR1819" s="515" t="s">
        <v>10</v>
      </c>
      <c r="AS1819" s="95">
        <v>0</v>
      </c>
      <c r="AT1819" s="75">
        <v>0</v>
      </c>
      <c r="AU1819" s="75">
        <v>0</v>
      </c>
      <c r="AV1819" s="75">
        <v>0</v>
      </c>
      <c r="AW1819" s="123">
        <v>0</v>
      </c>
      <c r="AX1819" s="516"/>
      <c r="AY1819" s="75">
        <v>0</v>
      </c>
      <c r="AZ1819" s="77" t="s">
        <v>131</v>
      </c>
      <c r="BA1819" s="78" t="s">
        <v>131</v>
      </c>
      <c r="BB1819" s="78" t="s">
        <v>131</v>
      </c>
      <c r="BC1819" s="78" t="s">
        <v>131</v>
      </c>
      <c r="BD1819" s="78" t="s">
        <v>131</v>
      </c>
      <c r="BE1819" s="78" t="s">
        <v>131</v>
      </c>
      <c r="BF1819" s="78" t="s">
        <v>131</v>
      </c>
      <c r="BG1819" s="78" t="s">
        <v>132</v>
      </c>
      <c r="BH1819" s="75" t="s">
        <v>5970</v>
      </c>
      <c r="BI1819" s="295" t="s">
        <v>2255</v>
      </c>
      <c r="BJ1819" s="546">
        <v>1</v>
      </c>
      <c r="BK1819" s="294" t="s">
        <v>16</v>
      </c>
      <c r="BL1819" s="157" t="s">
        <v>16</v>
      </c>
      <c r="BM1819" s="548" t="s">
        <v>1341</v>
      </c>
      <c r="BN1819" s="548" t="s">
        <v>4161</v>
      </c>
      <c r="BO1819" s="157" t="s">
        <v>4362</v>
      </c>
      <c r="BP1819" s="548" t="s">
        <v>4363</v>
      </c>
      <c r="BQ1819" s="157" t="s">
        <v>4361</v>
      </c>
      <c r="BR1819" s="157"/>
    </row>
    <row r="1820" spans="1:70" x14ac:dyDescent="0.25">
      <c r="A1820" s="19" t="s">
        <v>3686</v>
      </c>
      <c r="B1820" s="37" t="s">
        <v>1104</v>
      </c>
      <c r="C1820" s="90">
        <v>44446.797060185185</v>
      </c>
      <c r="D1820" s="114">
        <v>44446.547060185185</v>
      </c>
      <c r="E1820" s="38">
        <v>44446</v>
      </c>
      <c r="F1820" s="91">
        <v>2021</v>
      </c>
      <c r="G1820" s="93">
        <v>9</v>
      </c>
      <c r="H1820" s="37" t="s">
        <v>619</v>
      </c>
      <c r="I1820" s="37"/>
      <c r="J1820" s="103">
        <v>-91.978611999999998</v>
      </c>
      <c r="K1820" s="40">
        <v>43.723771399999997</v>
      </c>
      <c r="L1820" s="74"/>
      <c r="M1820" s="272" t="s">
        <v>1105</v>
      </c>
      <c r="N1820" s="74">
        <v>1</v>
      </c>
      <c r="O1820" s="94"/>
      <c r="P1820" s="118">
        <v>1</v>
      </c>
      <c r="Q1820" s="510">
        <v>80</v>
      </c>
      <c r="R1820" s="513">
        <v>120</v>
      </c>
      <c r="S1820" s="41"/>
      <c r="T1820" s="40"/>
      <c r="U1820" s="40">
        <v>7</v>
      </c>
      <c r="V1820" s="119">
        <v>1</v>
      </c>
      <c r="W1820" s="40">
        <v>100</v>
      </c>
      <c r="X1820" s="119">
        <v>1</v>
      </c>
      <c r="Y1820" s="40">
        <v>62</v>
      </c>
      <c r="Z1820" s="119">
        <v>1</v>
      </c>
      <c r="AA1820" s="368">
        <v>0</v>
      </c>
      <c r="AB1820" s="535">
        <v>5</v>
      </c>
      <c r="AC1820" s="39" t="s">
        <v>160</v>
      </c>
      <c r="AD1820" s="75" t="s">
        <v>10</v>
      </c>
      <c r="AE1820" s="95">
        <v>0</v>
      </c>
      <c r="AF1820" s="75">
        <v>0</v>
      </c>
      <c r="AG1820" s="75">
        <v>0</v>
      </c>
      <c r="AH1820" s="75">
        <v>0</v>
      </c>
      <c r="AI1820" s="75">
        <v>0</v>
      </c>
      <c r="AJ1820" s="75">
        <v>0</v>
      </c>
      <c r="AK1820" s="75">
        <v>0</v>
      </c>
      <c r="AL1820" s="95">
        <v>1</v>
      </c>
      <c r="AM1820" s="92">
        <v>0</v>
      </c>
      <c r="AN1820" s="79" t="s">
        <v>80</v>
      </c>
      <c r="AO1820" s="75">
        <v>1</v>
      </c>
      <c r="AP1820" s="75" t="s">
        <v>84</v>
      </c>
      <c r="AQ1820" s="122">
        <v>1</v>
      </c>
      <c r="AR1820" s="515" t="s">
        <v>13</v>
      </c>
      <c r="AS1820" s="95">
        <v>1</v>
      </c>
      <c r="AT1820" s="75">
        <v>0</v>
      </c>
      <c r="AU1820" s="75">
        <v>0</v>
      </c>
      <c r="AV1820" s="75">
        <v>0</v>
      </c>
      <c r="AW1820" s="123">
        <v>0</v>
      </c>
      <c r="AX1820" s="516"/>
      <c r="AY1820" s="75">
        <v>0</v>
      </c>
      <c r="AZ1820" s="77" t="s">
        <v>131</v>
      </c>
      <c r="BA1820" s="78" t="s">
        <v>131</v>
      </c>
      <c r="BB1820" s="78" t="s">
        <v>131</v>
      </c>
      <c r="BC1820" s="78" t="s">
        <v>131</v>
      </c>
      <c r="BD1820" s="78" t="s">
        <v>131</v>
      </c>
      <c r="BE1820" s="78" t="s">
        <v>131</v>
      </c>
      <c r="BF1820" s="78" t="s">
        <v>131</v>
      </c>
      <c r="BG1820" s="78" t="s">
        <v>132</v>
      </c>
      <c r="BH1820" s="75" t="s">
        <v>5970</v>
      </c>
      <c r="BI1820" s="295" t="s">
        <v>2268</v>
      </c>
      <c r="BJ1820" s="546">
        <v>1</v>
      </c>
      <c r="BK1820" s="294" t="s">
        <v>16</v>
      </c>
      <c r="BL1820" s="157" t="s">
        <v>16</v>
      </c>
      <c r="BM1820" s="548" t="s">
        <v>1339</v>
      </c>
      <c r="BN1820" s="548" t="s">
        <v>1339</v>
      </c>
      <c r="BO1820" s="157" t="s">
        <v>4730</v>
      </c>
      <c r="BP1820" s="548" t="s">
        <v>2268</v>
      </c>
      <c r="BQ1820" s="157" t="s">
        <v>4229</v>
      </c>
      <c r="BR1820" s="157"/>
    </row>
    <row r="1821" spans="1:70" x14ac:dyDescent="0.25">
      <c r="A1821" s="19" t="s">
        <v>3686</v>
      </c>
      <c r="B1821" s="37" t="s">
        <v>1053</v>
      </c>
      <c r="C1821" s="90">
        <v>44445.911608796298</v>
      </c>
      <c r="D1821" s="114">
        <v>44445.661608796298</v>
      </c>
      <c r="E1821" s="38">
        <v>44445</v>
      </c>
      <c r="F1821" s="91">
        <v>2021</v>
      </c>
      <c r="G1821" s="93">
        <v>9</v>
      </c>
      <c r="H1821" s="37" t="s">
        <v>1054</v>
      </c>
      <c r="I1821" s="37" t="s">
        <v>16</v>
      </c>
      <c r="J1821" s="103">
        <v>-91.813364401545201</v>
      </c>
      <c r="K1821" s="40">
        <v>43.298147390636892</v>
      </c>
      <c r="L1821" s="74"/>
      <c r="M1821" s="272" t="s">
        <v>1055</v>
      </c>
      <c r="N1821" s="74">
        <v>1</v>
      </c>
      <c r="O1821" s="94"/>
      <c r="P1821" s="118">
        <v>1</v>
      </c>
      <c r="Q1821" s="510">
        <v>120</v>
      </c>
      <c r="R1821" s="513">
        <v>120</v>
      </c>
      <c r="S1821" s="41"/>
      <c r="T1821" s="40"/>
      <c r="U1821" s="40">
        <v>7.5</v>
      </c>
      <c r="V1821" s="119">
        <v>0</v>
      </c>
      <c r="W1821" s="40"/>
      <c r="X1821" s="119">
        <v>0</v>
      </c>
      <c r="Y1821" s="40"/>
      <c r="Z1821" s="119">
        <v>1</v>
      </c>
      <c r="AA1821" s="368">
        <v>0</v>
      </c>
      <c r="AB1821" s="535">
        <v>10</v>
      </c>
      <c r="AC1821" s="39" t="s">
        <v>160</v>
      </c>
      <c r="AD1821" s="75" t="s">
        <v>10</v>
      </c>
      <c r="AE1821" s="95">
        <v>0</v>
      </c>
      <c r="AF1821" s="75">
        <v>0</v>
      </c>
      <c r="AG1821" s="75">
        <v>0</v>
      </c>
      <c r="AH1821" s="75">
        <v>0</v>
      </c>
      <c r="AI1821" s="75">
        <v>0</v>
      </c>
      <c r="AJ1821" s="75">
        <v>0</v>
      </c>
      <c r="AK1821" s="75">
        <v>0</v>
      </c>
      <c r="AL1821" s="95">
        <v>1</v>
      </c>
      <c r="AM1821" s="92">
        <v>0</v>
      </c>
      <c r="AN1821" s="79" t="s">
        <v>195</v>
      </c>
      <c r="AO1821" s="75">
        <v>1</v>
      </c>
      <c r="AP1821" s="75" t="s">
        <v>83</v>
      </c>
      <c r="AQ1821" s="122">
        <v>1</v>
      </c>
      <c r="AR1821" s="515" t="s">
        <v>10</v>
      </c>
      <c r="AS1821" s="95">
        <v>0</v>
      </c>
      <c r="AT1821" s="75">
        <v>0</v>
      </c>
      <c r="AU1821" s="75">
        <v>0</v>
      </c>
      <c r="AV1821" s="75">
        <v>0</v>
      </c>
      <c r="AW1821" s="123">
        <v>0</v>
      </c>
      <c r="AX1821" s="516"/>
      <c r="AY1821" s="75">
        <v>0</v>
      </c>
      <c r="AZ1821" s="77" t="s">
        <v>131</v>
      </c>
      <c r="BA1821" s="78" t="s">
        <v>131</v>
      </c>
      <c r="BB1821" s="78" t="s">
        <v>131</v>
      </c>
      <c r="BC1821" s="78" t="s">
        <v>131</v>
      </c>
      <c r="BD1821" s="78" t="s">
        <v>131</v>
      </c>
      <c r="BE1821" s="78" t="s">
        <v>131</v>
      </c>
      <c r="BF1821" s="78" t="s">
        <v>131</v>
      </c>
      <c r="BG1821" s="78" t="s">
        <v>132</v>
      </c>
      <c r="BH1821" s="75" t="s">
        <v>5970</v>
      </c>
      <c r="BI1821" s="295" t="s">
        <v>4506</v>
      </c>
      <c r="BJ1821" s="546">
        <v>1</v>
      </c>
      <c r="BK1821" s="294" t="s">
        <v>16</v>
      </c>
      <c r="BL1821" s="157" t="s">
        <v>16</v>
      </c>
      <c r="BM1821" s="548" t="s">
        <v>1344</v>
      </c>
      <c r="BN1821" s="548" t="s">
        <v>544</v>
      </c>
      <c r="BO1821" s="157" t="s">
        <v>4505</v>
      </c>
      <c r="BP1821" s="548" t="s">
        <v>4506</v>
      </c>
      <c r="BQ1821" s="157" t="s">
        <v>4377</v>
      </c>
      <c r="BR1821" s="157"/>
    </row>
    <row r="1822" spans="1:70" x14ac:dyDescent="0.25">
      <c r="A1822" s="19" t="s">
        <v>3686</v>
      </c>
      <c r="B1822" s="37" t="s">
        <v>1202</v>
      </c>
      <c r="C1822" s="90">
        <v>44445.910162037035</v>
      </c>
      <c r="D1822" s="114">
        <v>44445.660162037035</v>
      </c>
      <c r="E1822" s="38">
        <v>44445</v>
      </c>
      <c r="F1822" s="91">
        <v>2021</v>
      </c>
      <c r="G1822" s="93">
        <v>9</v>
      </c>
      <c r="H1822" s="37" t="s">
        <v>615</v>
      </c>
      <c r="I1822" s="37"/>
      <c r="J1822" s="103">
        <v>-91.828749599999995</v>
      </c>
      <c r="K1822" s="40">
        <v>43.862665300000003</v>
      </c>
      <c r="L1822" s="74"/>
      <c r="M1822" s="272" t="s">
        <v>16</v>
      </c>
      <c r="N1822" s="74">
        <v>0</v>
      </c>
      <c r="O1822" s="94"/>
      <c r="P1822" s="118">
        <v>1</v>
      </c>
      <c r="Q1822" s="510">
        <v>80</v>
      </c>
      <c r="R1822" s="513">
        <v>120</v>
      </c>
      <c r="S1822" s="41"/>
      <c r="T1822" s="40"/>
      <c r="U1822" s="40">
        <v>7</v>
      </c>
      <c r="V1822" s="119">
        <v>1</v>
      </c>
      <c r="W1822" s="40">
        <v>100</v>
      </c>
      <c r="X1822" s="119">
        <v>1</v>
      </c>
      <c r="Y1822" s="40">
        <v>63</v>
      </c>
      <c r="Z1822" s="119">
        <v>1</v>
      </c>
      <c r="AA1822" s="368">
        <v>0</v>
      </c>
      <c r="AB1822" s="535">
        <v>5</v>
      </c>
      <c r="AC1822" s="39" t="s">
        <v>160</v>
      </c>
      <c r="AD1822" s="75" t="s">
        <v>10</v>
      </c>
      <c r="AE1822" s="95">
        <v>0</v>
      </c>
      <c r="AF1822" s="75">
        <v>0</v>
      </c>
      <c r="AG1822" s="75">
        <v>0</v>
      </c>
      <c r="AH1822" s="75">
        <v>0</v>
      </c>
      <c r="AI1822" s="75">
        <v>0</v>
      </c>
      <c r="AJ1822" s="75">
        <v>0</v>
      </c>
      <c r="AK1822" s="75">
        <v>0</v>
      </c>
      <c r="AL1822" s="95">
        <v>1</v>
      </c>
      <c r="AM1822" s="92">
        <v>0</v>
      </c>
      <c r="AN1822" s="79" t="s">
        <v>80</v>
      </c>
      <c r="AO1822" s="75">
        <v>1</v>
      </c>
      <c r="AP1822" s="75" t="s">
        <v>83</v>
      </c>
      <c r="AQ1822" s="122">
        <v>1</v>
      </c>
      <c r="AR1822" s="515" t="s">
        <v>10</v>
      </c>
      <c r="AS1822" s="95">
        <v>0</v>
      </c>
      <c r="AT1822" s="75">
        <v>0</v>
      </c>
      <c r="AU1822" s="75">
        <v>0</v>
      </c>
      <c r="AV1822" s="75">
        <v>0</v>
      </c>
      <c r="AW1822" s="123">
        <v>0</v>
      </c>
      <c r="AX1822" s="516"/>
      <c r="AY1822" s="75">
        <v>0</v>
      </c>
      <c r="AZ1822" s="77" t="s">
        <v>131</v>
      </c>
      <c r="BA1822" s="78" t="s">
        <v>131</v>
      </c>
      <c r="BB1822" s="78" t="s">
        <v>131</v>
      </c>
      <c r="BC1822" s="78" t="s">
        <v>131</v>
      </c>
      <c r="BD1822" s="78" t="s">
        <v>131</v>
      </c>
      <c r="BE1822" s="78" t="s">
        <v>131</v>
      </c>
      <c r="BF1822" s="78" t="s">
        <v>131</v>
      </c>
      <c r="BG1822" s="78" t="s">
        <v>132</v>
      </c>
      <c r="BH1822" s="75" t="s">
        <v>5970</v>
      </c>
      <c r="BI1822" s="295" t="s">
        <v>2261</v>
      </c>
      <c r="BJ1822" s="546">
        <v>1</v>
      </c>
      <c r="BK1822" s="294" t="s">
        <v>16</v>
      </c>
      <c r="BL1822" s="157" t="s">
        <v>16</v>
      </c>
      <c r="BM1822" s="548" t="s">
        <v>1341</v>
      </c>
      <c r="BN1822" s="548" t="s">
        <v>4161</v>
      </c>
      <c r="BO1822" s="157" t="s">
        <v>4640</v>
      </c>
      <c r="BP1822" s="548" t="s">
        <v>2261</v>
      </c>
      <c r="BQ1822" s="157" t="s">
        <v>4635</v>
      </c>
      <c r="BR1822" s="157"/>
    </row>
    <row r="1823" spans="1:70" x14ac:dyDescent="0.25">
      <c r="A1823" s="19" t="s">
        <v>3686</v>
      </c>
      <c r="B1823" s="37" t="s">
        <v>1110</v>
      </c>
      <c r="C1823" s="90">
        <v>44445.781180555554</v>
      </c>
      <c r="D1823" s="114">
        <v>44445.531180555554</v>
      </c>
      <c r="E1823" s="38">
        <v>44445</v>
      </c>
      <c r="F1823" s="91">
        <v>2021</v>
      </c>
      <c r="G1823" s="93">
        <v>9</v>
      </c>
      <c r="H1823" s="37" t="s">
        <v>615</v>
      </c>
      <c r="I1823" s="37"/>
      <c r="J1823" s="103">
        <v>-91.611694900000003</v>
      </c>
      <c r="K1823" s="40">
        <v>43.631708400000001</v>
      </c>
      <c r="L1823" s="74"/>
      <c r="M1823" s="272" t="s">
        <v>16</v>
      </c>
      <c r="N1823" s="74">
        <v>0</v>
      </c>
      <c r="O1823" s="94"/>
      <c r="P1823" s="118">
        <v>1</v>
      </c>
      <c r="Q1823" s="510">
        <v>80</v>
      </c>
      <c r="R1823" s="513">
        <v>120</v>
      </c>
      <c r="S1823" s="41"/>
      <c r="T1823" s="40"/>
      <c r="U1823" s="40">
        <v>8</v>
      </c>
      <c r="V1823" s="119">
        <v>1</v>
      </c>
      <c r="W1823" s="40">
        <v>200</v>
      </c>
      <c r="X1823" s="119">
        <v>1</v>
      </c>
      <c r="Y1823" s="40">
        <v>62</v>
      </c>
      <c r="Z1823" s="119">
        <v>1</v>
      </c>
      <c r="AA1823" s="368">
        <v>0</v>
      </c>
      <c r="AB1823" s="535">
        <v>2</v>
      </c>
      <c r="AC1823" s="39" t="s">
        <v>160</v>
      </c>
      <c r="AD1823" s="75" t="s">
        <v>10</v>
      </c>
      <c r="AE1823" s="95">
        <v>0</v>
      </c>
      <c r="AF1823" s="75">
        <v>0</v>
      </c>
      <c r="AG1823" s="75">
        <v>0</v>
      </c>
      <c r="AH1823" s="75">
        <v>0</v>
      </c>
      <c r="AI1823" s="75">
        <v>0</v>
      </c>
      <c r="AJ1823" s="75">
        <v>0</v>
      </c>
      <c r="AK1823" s="75">
        <v>0</v>
      </c>
      <c r="AL1823" s="95">
        <v>1</v>
      </c>
      <c r="AM1823" s="92">
        <v>0</v>
      </c>
      <c r="AN1823" s="79" t="s">
        <v>81</v>
      </c>
      <c r="AO1823" s="75">
        <v>1</v>
      </c>
      <c r="AP1823" s="75" t="s">
        <v>83</v>
      </c>
      <c r="AQ1823" s="122">
        <v>1</v>
      </c>
      <c r="AR1823" s="515" t="s">
        <v>10</v>
      </c>
      <c r="AS1823" s="95">
        <v>0</v>
      </c>
      <c r="AT1823" s="75">
        <v>0</v>
      </c>
      <c r="AU1823" s="75">
        <v>0</v>
      </c>
      <c r="AV1823" s="75">
        <v>0</v>
      </c>
      <c r="AW1823" s="123">
        <v>0</v>
      </c>
      <c r="AX1823" s="516"/>
      <c r="AY1823" s="75">
        <v>0</v>
      </c>
      <c r="AZ1823" s="77" t="s">
        <v>131</v>
      </c>
      <c r="BA1823" s="78" t="s">
        <v>131</v>
      </c>
      <c r="BB1823" s="78" t="s">
        <v>131</v>
      </c>
      <c r="BC1823" s="78" t="s">
        <v>131</v>
      </c>
      <c r="BD1823" s="78" t="s">
        <v>131</v>
      </c>
      <c r="BE1823" s="78" t="s">
        <v>131</v>
      </c>
      <c r="BF1823" s="78" t="s">
        <v>131</v>
      </c>
      <c r="BG1823" s="78" t="s">
        <v>132</v>
      </c>
      <c r="BH1823" s="75" t="s">
        <v>5970</v>
      </c>
      <c r="BI1823" s="295" t="s">
        <v>2285</v>
      </c>
      <c r="BJ1823" s="546">
        <v>1</v>
      </c>
      <c r="BK1823" s="294">
        <v>1</v>
      </c>
      <c r="BL1823" s="157">
        <v>1</v>
      </c>
      <c r="BM1823" s="548" t="s">
        <v>1341</v>
      </c>
      <c r="BN1823" s="548" t="s">
        <v>4161</v>
      </c>
      <c r="BO1823" s="157" t="s">
        <v>4233</v>
      </c>
      <c r="BP1823" s="548" t="s">
        <v>307</v>
      </c>
      <c r="BQ1823" s="157" t="s">
        <v>4232</v>
      </c>
      <c r="BR1823" s="157"/>
    </row>
    <row r="1824" spans="1:70" x14ac:dyDescent="0.25">
      <c r="A1824" s="19" t="s">
        <v>3686</v>
      </c>
      <c r="B1824" s="37" t="s">
        <v>1130</v>
      </c>
      <c r="C1824" s="90">
        <v>44445.747870370367</v>
      </c>
      <c r="D1824" s="114">
        <v>44445.497870370367</v>
      </c>
      <c r="E1824" s="38">
        <v>44445</v>
      </c>
      <c r="F1824" s="91">
        <v>2021</v>
      </c>
      <c r="G1824" s="93">
        <v>9</v>
      </c>
      <c r="H1824" s="37" t="s">
        <v>606</v>
      </c>
      <c r="I1824" s="37" t="s">
        <v>16</v>
      </c>
      <c r="J1824" s="103">
        <v>-92.144056478028318</v>
      </c>
      <c r="K1824" s="40">
        <v>44.23700292119053</v>
      </c>
      <c r="L1824" s="74"/>
      <c r="M1824" s="272" t="s">
        <v>16</v>
      </c>
      <c r="N1824" s="74">
        <v>0</v>
      </c>
      <c r="O1824" s="94"/>
      <c r="P1824" s="118">
        <v>1</v>
      </c>
      <c r="Q1824" s="510">
        <v>80</v>
      </c>
      <c r="R1824" s="513">
        <v>180</v>
      </c>
      <c r="S1824" s="41"/>
      <c r="T1824" s="40"/>
      <c r="U1824" s="40">
        <v>6.5</v>
      </c>
      <c r="V1824" s="119">
        <v>1</v>
      </c>
      <c r="W1824" s="40">
        <v>100</v>
      </c>
      <c r="X1824" s="119">
        <v>1</v>
      </c>
      <c r="Y1824" s="40">
        <v>58</v>
      </c>
      <c r="Z1824" s="119">
        <v>1</v>
      </c>
      <c r="AA1824" s="368">
        <v>0</v>
      </c>
      <c r="AB1824" s="535">
        <v>5</v>
      </c>
      <c r="AC1824" s="39" t="s">
        <v>160</v>
      </c>
      <c r="AD1824" s="75" t="s">
        <v>16</v>
      </c>
      <c r="AE1824" s="95">
        <v>-1</v>
      </c>
      <c r="AF1824" s="75">
        <v>-1</v>
      </c>
      <c r="AG1824" s="75">
        <v>-1</v>
      </c>
      <c r="AH1824" s="75">
        <v>-1</v>
      </c>
      <c r="AI1824" s="75">
        <v>-1</v>
      </c>
      <c r="AJ1824" s="75">
        <v>-1</v>
      </c>
      <c r="AK1824" s="75">
        <v>-1</v>
      </c>
      <c r="AL1824" s="95">
        <v>-1</v>
      </c>
      <c r="AM1824" s="92">
        <v>1</v>
      </c>
      <c r="AN1824" s="79" t="s">
        <v>80</v>
      </c>
      <c r="AO1824" s="75">
        <v>1</v>
      </c>
      <c r="AP1824" s="75" t="s">
        <v>83</v>
      </c>
      <c r="AQ1824" s="122">
        <v>1</v>
      </c>
      <c r="AR1824" s="515" t="s">
        <v>10</v>
      </c>
      <c r="AS1824" s="95">
        <v>0</v>
      </c>
      <c r="AT1824" s="75">
        <v>0</v>
      </c>
      <c r="AU1824" s="75">
        <v>0</v>
      </c>
      <c r="AV1824" s="75">
        <v>0</v>
      </c>
      <c r="AW1824" s="123">
        <v>0</v>
      </c>
      <c r="AX1824" s="516" t="s">
        <v>1131</v>
      </c>
      <c r="AY1824" s="75">
        <v>1</v>
      </c>
      <c r="AZ1824" s="77" t="s">
        <v>5971</v>
      </c>
      <c r="BA1824" s="78" t="s">
        <v>5971</v>
      </c>
      <c r="BB1824" s="78" t="s">
        <v>5971</v>
      </c>
      <c r="BC1824" s="78" t="s">
        <v>5971</v>
      </c>
      <c r="BD1824" s="78" t="s">
        <v>5971</v>
      </c>
      <c r="BE1824" s="78" t="s">
        <v>5971</v>
      </c>
      <c r="BF1824" s="78" t="s">
        <v>5971</v>
      </c>
      <c r="BG1824" s="78" t="s">
        <v>5971</v>
      </c>
      <c r="BH1824" s="75" t="s">
        <v>5971</v>
      </c>
      <c r="BI1824" s="295" t="s">
        <v>317</v>
      </c>
      <c r="BJ1824" s="546">
        <v>1</v>
      </c>
      <c r="BK1824" s="294">
        <v>1</v>
      </c>
      <c r="BL1824" s="157">
        <v>1</v>
      </c>
      <c r="BM1824" s="548" t="s">
        <v>1339</v>
      </c>
      <c r="BN1824" s="548" t="s">
        <v>1339</v>
      </c>
      <c r="BO1824" s="157" t="s">
        <v>4358</v>
      </c>
      <c r="BP1824" s="548" t="s">
        <v>317</v>
      </c>
      <c r="BQ1824" s="157" t="s">
        <v>4330</v>
      </c>
      <c r="BR1824" s="157"/>
    </row>
    <row r="1825" spans="1:70" x14ac:dyDescent="0.25">
      <c r="A1825" s="19" t="s">
        <v>3686</v>
      </c>
      <c r="B1825" s="37" t="s">
        <v>1215</v>
      </c>
      <c r="C1825" s="90">
        <v>44445.700462962966</v>
      </c>
      <c r="D1825" s="114">
        <v>44445.450462962966</v>
      </c>
      <c r="E1825" s="38">
        <v>44445</v>
      </c>
      <c r="F1825" s="91">
        <v>2021</v>
      </c>
      <c r="G1825" s="93">
        <v>9</v>
      </c>
      <c r="H1825" s="37" t="s">
        <v>615</v>
      </c>
      <c r="I1825" s="37"/>
      <c r="J1825" s="103">
        <v>-91.790119500000003</v>
      </c>
      <c r="K1825" s="40">
        <v>43.661556300000001</v>
      </c>
      <c r="L1825" s="74"/>
      <c r="M1825" s="272" t="s">
        <v>16</v>
      </c>
      <c r="N1825" s="74">
        <v>0</v>
      </c>
      <c r="O1825" s="94"/>
      <c r="P1825" s="118">
        <v>1</v>
      </c>
      <c r="Q1825" s="510">
        <v>120</v>
      </c>
      <c r="R1825" s="513">
        <v>180</v>
      </c>
      <c r="S1825" s="41"/>
      <c r="T1825" s="40"/>
      <c r="U1825" s="40">
        <v>8</v>
      </c>
      <c r="V1825" s="119">
        <v>1</v>
      </c>
      <c r="W1825" s="40">
        <v>200</v>
      </c>
      <c r="X1825" s="119">
        <v>1</v>
      </c>
      <c r="Y1825" s="40">
        <v>60</v>
      </c>
      <c r="Z1825" s="119">
        <v>1</v>
      </c>
      <c r="AA1825" s="368">
        <v>0</v>
      </c>
      <c r="AB1825" s="535">
        <v>5</v>
      </c>
      <c r="AC1825" s="39" t="s">
        <v>160</v>
      </c>
      <c r="AD1825" s="75" t="s">
        <v>10</v>
      </c>
      <c r="AE1825" s="95">
        <v>0</v>
      </c>
      <c r="AF1825" s="75">
        <v>0</v>
      </c>
      <c r="AG1825" s="75">
        <v>0</v>
      </c>
      <c r="AH1825" s="75">
        <v>0</v>
      </c>
      <c r="AI1825" s="75">
        <v>0</v>
      </c>
      <c r="AJ1825" s="75">
        <v>0</v>
      </c>
      <c r="AK1825" s="75">
        <v>0</v>
      </c>
      <c r="AL1825" s="95">
        <v>1</v>
      </c>
      <c r="AM1825" s="92">
        <v>0</v>
      </c>
      <c r="AN1825" s="79" t="s">
        <v>81</v>
      </c>
      <c r="AO1825" s="75">
        <v>1</v>
      </c>
      <c r="AP1825" s="75" t="s">
        <v>83</v>
      </c>
      <c r="AQ1825" s="122">
        <v>1</v>
      </c>
      <c r="AR1825" s="515" t="s">
        <v>10</v>
      </c>
      <c r="AS1825" s="95">
        <v>0</v>
      </c>
      <c r="AT1825" s="75">
        <v>0</v>
      </c>
      <c r="AU1825" s="75">
        <v>0</v>
      </c>
      <c r="AV1825" s="75">
        <v>0</v>
      </c>
      <c r="AW1825" s="123">
        <v>0</v>
      </c>
      <c r="AX1825" s="516"/>
      <c r="AY1825" s="75">
        <v>0</v>
      </c>
      <c r="AZ1825" s="77" t="s">
        <v>131</v>
      </c>
      <c r="BA1825" s="78" t="s">
        <v>131</v>
      </c>
      <c r="BB1825" s="78" t="s">
        <v>131</v>
      </c>
      <c r="BC1825" s="78" t="s">
        <v>131</v>
      </c>
      <c r="BD1825" s="78" t="s">
        <v>131</v>
      </c>
      <c r="BE1825" s="78" t="s">
        <v>131</v>
      </c>
      <c r="BF1825" s="78" t="s">
        <v>131</v>
      </c>
      <c r="BG1825" s="78" t="s">
        <v>132</v>
      </c>
      <c r="BH1825" s="75" t="s">
        <v>5970</v>
      </c>
      <c r="BI1825" s="295" t="s">
        <v>16</v>
      </c>
      <c r="BJ1825" s="546">
        <v>1</v>
      </c>
      <c r="BK1825" s="294" t="s">
        <v>16</v>
      </c>
      <c r="BL1825" s="157" t="s">
        <v>16</v>
      </c>
      <c r="BM1825" s="548" t="s">
        <v>1341</v>
      </c>
      <c r="BN1825" s="548" t="s">
        <v>4161</v>
      </c>
      <c r="BO1825" s="157" t="s">
        <v>4418</v>
      </c>
      <c r="BP1825" s="548" t="s">
        <v>4419</v>
      </c>
      <c r="BQ1825" s="157" t="s">
        <v>4232</v>
      </c>
      <c r="BR1825" s="157"/>
    </row>
    <row r="1826" spans="1:70" x14ac:dyDescent="0.25">
      <c r="A1826" s="19" t="s">
        <v>3686</v>
      </c>
      <c r="B1826" s="37" t="s">
        <v>1066</v>
      </c>
      <c r="C1826" s="90">
        <v>44445.687627314815</v>
      </c>
      <c r="D1826" s="114">
        <v>44445.437627314815</v>
      </c>
      <c r="E1826" s="38">
        <v>44445</v>
      </c>
      <c r="F1826" s="91">
        <v>2021</v>
      </c>
      <c r="G1826" s="93">
        <v>9</v>
      </c>
      <c r="H1826" s="37" t="s">
        <v>615</v>
      </c>
      <c r="I1826" s="37"/>
      <c r="J1826" s="103">
        <v>-91.781010600000002</v>
      </c>
      <c r="K1826" s="40">
        <v>43.658835099999997</v>
      </c>
      <c r="L1826" s="74"/>
      <c r="M1826" s="272" t="s">
        <v>16</v>
      </c>
      <c r="N1826" s="74">
        <v>0</v>
      </c>
      <c r="O1826" s="94"/>
      <c r="P1826" s="118">
        <v>1</v>
      </c>
      <c r="Q1826" s="510">
        <v>120</v>
      </c>
      <c r="R1826" s="513">
        <v>120</v>
      </c>
      <c r="S1826" s="41"/>
      <c r="T1826" s="40"/>
      <c r="U1826" s="40">
        <v>8</v>
      </c>
      <c r="V1826" s="119">
        <v>1</v>
      </c>
      <c r="W1826" s="40">
        <v>200</v>
      </c>
      <c r="X1826" s="119">
        <v>1</v>
      </c>
      <c r="Y1826" s="40">
        <v>60</v>
      </c>
      <c r="Z1826" s="119">
        <v>1</v>
      </c>
      <c r="AA1826" s="368">
        <v>0</v>
      </c>
      <c r="AB1826" s="535">
        <v>2</v>
      </c>
      <c r="AC1826" s="39" t="s">
        <v>160</v>
      </c>
      <c r="AD1826" s="75" t="s">
        <v>10</v>
      </c>
      <c r="AE1826" s="95">
        <v>0</v>
      </c>
      <c r="AF1826" s="75">
        <v>0</v>
      </c>
      <c r="AG1826" s="75">
        <v>0</v>
      </c>
      <c r="AH1826" s="75">
        <v>0</v>
      </c>
      <c r="AI1826" s="75">
        <v>0</v>
      </c>
      <c r="AJ1826" s="75">
        <v>0</v>
      </c>
      <c r="AK1826" s="75">
        <v>0</v>
      </c>
      <c r="AL1826" s="95">
        <v>1</v>
      </c>
      <c r="AM1826" s="92">
        <v>0</v>
      </c>
      <c r="AN1826" s="79" t="s">
        <v>81</v>
      </c>
      <c r="AO1826" s="75">
        <v>1</v>
      </c>
      <c r="AP1826" s="75" t="s">
        <v>83</v>
      </c>
      <c r="AQ1826" s="122">
        <v>1</v>
      </c>
      <c r="AR1826" s="515" t="s">
        <v>10</v>
      </c>
      <c r="AS1826" s="95">
        <v>0</v>
      </c>
      <c r="AT1826" s="75">
        <v>0</v>
      </c>
      <c r="AU1826" s="75">
        <v>0</v>
      </c>
      <c r="AV1826" s="75">
        <v>0</v>
      </c>
      <c r="AW1826" s="123">
        <v>0</v>
      </c>
      <c r="AX1826" s="516"/>
      <c r="AY1826" s="75">
        <v>0</v>
      </c>
      <c r="AZ1826" s="77" t="s">
        <v>131</v>
      </c>
      <c r="BA1826" s="78" t="s">
        <v>131</v>
      </c>
      <c r="BB1826" s="78" t="s">
        <v>131</v>
      </c>
      <c r="BC1826" s="78" t="s">
        <v>131</v>
      </c>
      <c r="BD1826" s="78" t="s">
        <v>131</v>
      </c>
      <c r="BE1826" s="78" t="s">
        <v>131</v>
      </c>
      <c r="BF1826" s="78" t="s">
        <v>131</v>
      </c>
      <c r="BG1826" s="78" t="s">
        <v>132</v>
      </c>
      <c r="BH1826" s="75" t="s">
        <v>5970</v>
      </c>
      <c r="BI1826" s="295" t="s">
        <v>2249</v>
      </c>
      <c r="BJ1826" s="546">
        <v>1</v>
      </c>
      <c r="BK1826" s="294">
        <v>1</v>
      </c>
      <c r="BL1826" s="157">
        <v>1</v>
      </c>
      <c r="BM1826" s="548" t="s">
        <v>1341</v>
      </c>
      <c r="BN1826" s="548" t="s">
        <v>4161</v>
      </c>
      <c r="BO1826" s="157" t="s">
        <v>4418</v>
      </c>
      <c r="BP1826" s="548" t="s">
        <v>4419</v>
      </c>
      <c r="BQ1826" s="157" t="s">
        <v>4232</v>
      </c>
      <c r="BR1826" s="157"/>
    </row>
    <row r="1827" spans="1:70" x14ac:dyDescent="0.25">
      <c r="A1827" s="19" t="s">
        <v>3686</v>
      </c>
      <c r="B1827" s="37" t="s">
        <v>1226</v>
      </c>
      <c r="C1827" s="90">
        <v>44444.919560185182</v>
      </c>
      <c r="D1827" s="114">
        <v>44444.669560185182</v>
      </c>
      <c r="E1827" s="38">
        <v>44444</v>
      </c>
      <c r="F1827" s="91">
        <v>2021</v>
      </c>
      <c r="G1827" s="93">
        <v>9</v>
      </c>
      <c r="H1827" s="37" t="s">
        <v>260</v>
      </c>
      <c r="I1827" s="37" t="s">
        <v>337</v>
      </c>
      <c r="J1827" s="103">
        <v>-92.64499253438936</v>
      </c>
      <c r="K1827" s="40">
        <v>44.843540808273431</v>
      </c>
      <c r="L1827" s="74"/>
      <c r="M1827" s="272" t="s">
        <v>1227</v>
      </c>
      <c r="N1827" s="74">
        <v>1</v>
      </c>
      <c r="O1827" s="94"/>
      <c r="P1827" s="118">
        <v>1</v>
      </c>
      <c r="Q1827" s="510">
        <v>0</v>
      </c>
      <c r="R1827" s="513">
        <v>30</v>
      </c>
      <c r="S1827" s="41"/>
      <c r="T1827" s="40"/>
      <c r="U1827" s="40">
        <v>7</v>
      </c>
      <c r="V1827" s="119">
        <v>1</v>
      </c>
      <c r="W1827" s="40">
        <v>0</v>
      </c>
      <c r="X1827" s="119">
        <v>1</v>
      </c>
      <c r="Y1827" s="40">
        <v>60</v>
      </c>
      <c r="Z1827" s="119">
        <v>1</v>
      </c>
      <c r="AA1827" s="368">
        <v>0</v>
      </c>
      <c r="AB1827" s="535">
        <v>5</v>
      </c>
      <c r="AC1827" s="39" t="s">
        <v>160</v>
      </c>
      <c r="AD1827" s="75" t="s">
        <v>10</v>
      </c>
      <c r="AE1827" s="95">
        <v>0</v>
      </c>
      <c r="AF1827" s="75">
        <v>0</v>
      </c>
      <c r="AG1827" s="75">
        <v>0</v>
      </c>
      <c r="AH1827" s="75">
        <v>0</v>
      </c>
      <c r="AI1827" s="75">
        <v>0</v>
      </c>
      <c r="AJ1827" s="75">
        <v>0</v>
      </c>
      <c r="AK1827" s="75">
        <v>0</v>
      </c>
      <c r="AL1827" s="95">
        <v>1</v>
      </c>
      <c r="AM1827" s="92">
        <v>0</v>
      </c>
      <c r="AN1827" s="79" t="s">
        <v>80</v>
      </c>
      <c r="AO1827" s="75">
        <v>1</v>
      </c>
      <c r="AP1827" s="75" t="s">
        <v>83</v>
      </c>
      <c r="AQ1827" s="122">
        <v>1</v>
      </c>
      <c r="AR1827" s="515" t="s">
        <v>10</v>
      </c>
      <c r="AS1827" s="95">
        <v>0</v>
      </c>
      <c r="AT1827" s="75">
        <v>0</v>
      </c>
      <c r="AU1827" s="75">
        <v>0</v>
      </c>
      <c r="AV1827" s="75">
        <v>0</v>
      </c>
      <c r="AW1827" s="123">
        <v>0</v>
      </c>
      <c r="AX1827" s="516"/>
      <c r="AY1827" s="75">
        <v>0</v>
      </c>
      <c r="AZ1827" s="77" t="s">
        <v>131</v>
      </c>
      <c r="BA1827" s="78" t="s">
        <v>131</v>
      </c>
      <c r="BB1827" s="78" t="s">
        <v>131</v>
      </c>
      <c r="BC1827" s="78" t="s">
        <v>131</v>
      </c>
      <c r="BD1827" s="78" t="s">
        <v>131</v>
      </c>
      <c r="BE1827" s="78" t="s">
        <v>131</v>
      </c>
      <c r="BF1827" s="78" t="s">
        <v>131</v>
      </c>
      <c r="BG1827" s="78" t="s">
        <v>132</v>
      </c>
      <c r="BH1827" s="75" t="s">
        <v>5970</v>
      </c>
      <c r="BI1827" s="295" t="s">
        <v>16</v>
      </c>
      <c r="BJ1827" s="546">
        <v>1</v>
      </c>
      <c r="BK1827" s="294" t="s">
        <v>16</v>
      </c>
      <c r="BL1827" s="157" t="s">
        <v>16</v>
      </c>
      <c r="BM1827" s="548" t="s">
        <v>578</v>
      </c>
      <c r="BN1827" s="548" t="s">
        <v>578</v>
      </c>
      <c r="BO1827" s="157" t="s">
        <v>4341</v>
      </c>
      <c r="BP1827" s="548" t="s">
        <v>4343</v>
      </c>
      <c r="BQ1827" s="157" t="s">
        <v>4309</v>
      </c>
      <c r="BR1827" s="157"/>
    </row>
    <row r="1828" spans="1:70" x14ac:dyDescent="0.25">
      <c r="A1828" s="19" t="s">
        <v>3686</v>
      </c>
      <c r="B1828" s="37" t="s">
        <v>1101</v>
      </c>
      <c r="C1828" s="90">
        <v>44442.622812499998</v>
      </c>
      <c r="D1828" s="114">
        <v>44442.372812499998</v>
      </c>
      <c r="E1828" s="38">
        <v>44442</v>
      </c>
      <c r="F1828" s="91">
        <v>2021</v>
      </c>
      <c r="G1828" s="93">
        <v>9</v>
      </c>
      <c r="H1828" s="37" t="s">
        <v>602</v>
      </c>
      <c r="I1828" s="37"/>
      <c r="J1828" s="103">
        <v>-91.979664900000003</v>
      </c>
      <c r="K1828" s="40">
        <v>44.070335399999998</v>
      </c>
      <c r="L1828" s="74"/>
      <c r="M1828" s="272" t="s">
        <v>1102</v>
      </c>
      <c r="N1828" s="74">
        <v>1</v>
      </c>
      <c r="O1828" s="94"/>
      <c r="P1828" s="118">
        <v>1</v>
      </c>
      <c r="Q1828" s="510">
        <v>0</v>
      </c>
      <c r="R1828" s="513">
        <v>60</v>
      </c>
      <c r="S1828" s="41"/>
      <c r="T1828" s="40"/>
      <c r="U1828" s="40">
        <v>7</v>
      </c>
      <c r="V1828" s="119">
        <v>1</v>
      </c>
      <c r="W1828" s="40">
        <v>200</v>
      </c>
      <c r="X1828" s="119">
        <v>1</v>
      </c>
      <c r="Y1828" s="40">
        <v>57</v>
      </c>
      <c r="Z1828" s="119">
        <v>0</v>
      </c>
      <c r="AA1828" s="368" t="s">
        <v>16</v>
      </c>
      <c r="AB1828" s="535" t="s">
        <v>16</v>
      </c>
      <c r="AC1828" s="39" t="s">
        <v>160</v>
      </c>
      <c r="AD1828" s="75" t="s">
        <v>10</v>
      </c>
      <c r="AE1828" s="95">
        <v>0</v>
      </c>
      <c r="AF1828" s="75">
        <v>0</v>
      </c>
      <c r="AG1828" s="75">
        <v>0</v>
      </c>
      <c r="AH1828" s="75">
        <v>0</v>
      </c>
      <c r="AI1828" s="75">
        <v>0</v>
      </c>
      <c r="AJ1828" s="75">
        <v>0</v>
      </c>
      <c r="AK1828" s="75">
        <v>0</v>
      </c>
      <c r="AL1828" s="95">
        <v>1</v>
      </c>
      <c r="AM1828" s="92">
        <v>0</v>
      </c>
      <c r="AN1828" s="79" t="s">
        <v>81</v>
      </c>
      <c r="AO1828" s="75">
        <v>1</v>
      </c>
      <c r="AP1828" s="75"/>
      <c r="AQ1828" s="122">
        <v>0</v>
      </c>
      <c r="AR1828" s="515" t="s">
        <v>13</v>
      </c>
      <c r="AS1828" s="95">
        <v>1</v>
      </c>
      <c r="AT1828" s="75">
        <v>0</v>
      </c>
      <c r="AU1828" s="75">
        <v>0</v>
      </c>
      <c r="AV1828" s="75">
        <v>0</v>
      </c>
      <c r="AW1828" s="123">
        <v>0</v>
      </c>
      <c r="AX1828" s="516" t="s">
        <v>1103</v>
      </c>
      <c r="AY1828" s="75">
        <v>1</v>
      </c>
      <c r="AZ1828" s="77" t="s">
        <v>131</v>
      </c>
      <c r="BA1828" s="78" t="s">
        <v>131</v>
      </c>
      <c r="BB1828" s="78" t="s">
        <v>131</v>
      </c>
      <c r="BC1828" s="78" t="s">
        <v>131</v>
      </c>
      <c r="BD1828" s="78" t="s">
        <v>131</v>
      </c>
      <c r="BE1828" s="78" t="s">
        <v>131</v>
      </c>
      <c r="BF1828" s="78" t="s">
        <v>131</v>
      </c>
      <c r="BG1828" s="78" t="s">
        <v>132</v>
      </c>
      <c r="BH1828" s="75" t="s">
        <v>5970</v>
      </c>
      <c r="BI1828" s="295" t="s">
        <v>2255</v>
      </c>
      <c r="BJ1828" s="546">
        <v>1</v>
      </c>
      <c r="BK1828" s="294" t="s">
        <v>16</v>
      </c>
      <c r="BL1828" s="157" t="s">
        <v>16</v>
      </c>
      <c r="BM1828" s="548" t="s">
        <v>1341</v>
      </c>
      <c r="BN1828" s="548" t="s">
        <v>1339</v>
      </c>
      <c r="BO1828" s="157" t="s">
        <v>4362</v>
      </c>
      <c r="BP1828" s="548" t="s">
        <v>4363</v>
      </c>
      <c r="BQ1828" s="157" t="s">
        <v>4361</v>
      </c>
      <c r="BR1828" s="157"/>
    </row>
    <row r="1829" spans="1:70" x14ac:dyDescent="0.25">
      <c r="A1829" s="19" t="s">
        <v>3686</v>
      </c>
      <c r="B1829" s="37" t="s">
        <v>1143</v>
      </c>
      <c r="C1829" s="90">
        <v>44441.701192129629</v>
      </c>
      <c r="D1829" s="114">
        <v>44441.451192129629</v>
      </c>
      <c r="E1829" s="38">
        <v>44441</v>
      </c>
      <c r="F1829" s="91">
        <v>2021</v>
      </c>
      <c r="G1829" s="93">
        <v>9</v>
      </c>
      <c r="H1829" s="37" t="s">
        <v>302</v>
      </c>
      <c r="I1829" s="37"/>
      <c r="J1829" s="103">
        <v>-92.122171650518823</v>
      </c>
      <c r="K1829" s="40">
        <v>44.004437127607602</v>
      </c>
      <c r="L1829" s="74"/>
      <c r="M1829" s="272" t="s">
        <v>1144</v>
      </c>
      <c r="N1829" s="74">
        <v>1</v>
      </c>
      <c r="O1829" s="94"/>
      <c r="P1829" s="118">
        <v>1</v>
      </c>
      <c r="Q1829" s="510">
        <v>180</v>
      </c>
      <c r="R1829" s="513">
        <v>180</v>
      </c>
      <c r="S1829" s="41"/>
      <c r="T1829" s="40"/>
      <c r="U1829" s="40">
        <v>7</v>
      </c>
      <c r="V1829" s="119">
        <v>1</v>
      </c>
      <c r="W1829" s="40">
        <v>200</v>
      </c>
      <c r="X1829" s="119">
        <v>0</v>
      </c>
      <c r="Y1829" s="40"/>
      <c r="Z1829" s="119">
        <v>1</v>
      </c>
      <c r="AA1829" s="368">
        <v>0</v>
      </c>
      <c r="AB1829" s="535">
        <v>5</v>
      </c>
      <c r="AC1829" s="39" t="s">
        <v>355</v>
      </c>
      <c r="AD1829" s="75" t="s">
        <v>718</v>
      </c>
      <c r="AE1829" s="95">
        <v>0</v>
      </c>
      <c r="AF1829" s="75">
        <v>1</v>
      </c>
      <c r="AG1829" s="75">
        <v>0</v>
      </c>
      <c r="AH1829" s="75">
        <v>1</v>
      </c>
      <c r="AI1829" s="75">
        <v>0</v>
      </c>
      <c r="AJ1829" s="75">
        <v>0</v>
      </c>
      <c r="AK1829" s="75">
        <v>0</v>
      </c>
      <c r="AL1829" s="95">
        <v>0</v>
      </c>
      <c r="AM1829" s="92">
        <v>0</v>
      </c>
      <c r="AN1829" s="79" t="s">
        <v>80</v>
      </c>
      <c r="AO1829" s="75">
        <v>1</v>
      </c>
      <c r="AP1829" s="75" t="s">
        <v>83</v>
      </c>
      <c r="AQ1829" s="122">
        <v>1</v>
      </c>
      <c r="AR1829" s="515" t="s">
        <v>10</v>
      </c>
      <c r="AS1829" s="95">
        <v>0</v>
      </c>
      <c r="AT1829" s="75">
        <v>0</v>
      </c>
      <c r="AU1829" s="75">
        <v>0</v>
      </c>
      <c r="AV1829" s="75">
        <v>0</v>
      </c>
      <c r="AW1829" s="123">
        <v>0</v>
      </c>
      <c r="AX1829" s="516" t="s">
        <v>1145</v>
      </c>
      <c r="AY1829" s="75">
        <v>1</v>
      </c>
      <c r="AZ1829" s="77" t="s">
        <v>131</v>
      </c>
      <c r="BA1829" s="78" t="s">
        <v>132</v>
      </c>
      <c r="BB1829" s="78" t="s">
        <v>131</v>
      </c>
      <c r="BC1829" s="78" t="s">
        <v>132</v>
      </c>
      <c r="BD1829" s="78" t="s">
        <v>131</v>
      </c>
      <c r="BE1829" s="78" t="s">
        <v>131</v>
      </c>
      <c r="BF1829" s="78" t="s">
        <v>131</v>
      </c>
      <c r="BG1829" s="78" t="s">
        <v>131</v>
      </c>
      <c r="BH1829" s="75" t="s">
        <v>5970</v>
      </c>
      <c r="BI1829" s="295" t="s">
        <v>2262</v>
      </c>
      <c r="BJ1829" s="546">
        <v>1</v>
      </c>
      <c r="BK1829" s="294" t="s">
        <v>16</v>
      </c>
      <c r="BL1829" s="157" t="s">
        <v>16</v>
      </c>
      <c r="BM1829" s="548" t="s">
        <v>1339</v>
      </c>
      <c r="BN1829" s="548" t="s">
        <v>4160</v>
      </c>
      <c r="BO1829" s="157" t="s">
        <v>4364</v>
      </c>
      <c r="BP1829" s="548" t="s">
        <v>2292</v>
      </c>
      <c r="BQ1829" s="157" t="s">
        <v>4361</v>
      </c>
      <c r="BR1829" s="157"/>
    </row>
    <row r="1830" spans="1:70" x14ac:dyDescent="0.25">
      <c r="A1830" s="19" t="s">
        <v>3686</v>
      </c>
      <c r="B1830" s="37" t="s">
        <v>1191</v>
      </c>
      <c r="C1830" s="90">
        <v>44441.693495370368</v>
      </c>
      <c r="D1830" s="114">
        <v>44441.443495370368</v>
      </c>
      <c r="E1830" s="38">
        <v>44441</v>
      </c>
      <c r="F1830" s="91">
        <v>2021</v>
      </c>
      <c r="G1830" s="93">
        <v>9</v>
      </c>
      <c r="H1830" s="37" t="s">
        <v>302</v>
      </c>
      <c r="I1830" s="37"/>
      <c r="J1830" s="103">
        <v>-92.121697978454037</v>
      </c>
      <c r="K1830" s="40">
        <v>44.005103223358155</v>
      </c>
      <c r="L1830" s="74"/>
      <c r="M1830" s="272" t="s">
        <v>1192</v>
      </c>
      <c r="N1830" s="74">
        <v>1</v>
      </c>
      <c r="O1830" s="94"/>
      <c r="P1830" s="118">
        <v>1</v>
      </c>
      <c r="Q1830" s="510">
        <v>180</v>
      </c>
      <c r="R1830" s="513">
        <v>180</v>
      </c>
      <c r="S1830" s="41"/>
      <c r="T1830" s="40"/>
      <c r="U1830" s="40">
        <v>8</v>
      </c>
      <c r="V1830" s="119">
        <v>1</v>
      </c>
      <c r="W1830" s="40">
        <v>0</v>
      </c>
      <c r="X1830" s="119">
        <v>1</v>
      </c>
      <c r="Y1830" s="40">
        <v>52</v>
      </c>
      <c r="Z1830" s="119">
        <v>1</v>
      </c>
      <c r="AA1830" s="368">
        <v>0</v>
      </c>
      <c r="AB1830" s="535">
        <v>5</v>
      </c>
      <c r="AC1830" s="39" t="s">
        <v>160</v>
      </c>
      <c r="AD1830" s="75" t="s">
        <v>718</v>
      </c>
      <c r="AE1830" s="95">
        <v>0</v>
      </c>
      <c r="AF1830" s="75">
        <v>1</v>
      </c>
      <c r="AG1830" s="75">
        <v>0</v>
      </c>
      <c r="AH1830" s="75">
        <v>1</v>
      </c>
      <c r="AI1830" s="75">
        <v>0</v>
      </c>
      <c r="AJ1830" s="75">
        <v>0</v>
      </c>
      <c r="AK1830" s="75">
        <v>0</v>
      </c>
      <c r="AL1830" s="95">
        <v>0</v>
      </c>
      <c r="AM1830" s="92">
        <v>0</v>
      </c>
      <c r="AN1830" s="79" t="s">
        <v>80</v>
      </c>
      <c r="AO1830" s="75">
        <v>1</v>
      </c>
      <c r="AP1830" s="75" t="s">
        <v>83</v>
      </c>
      <c r="AQ1830" s="122">
        <v>1</v>
      </c>
      <c r="AR1830" s="515" t="s">
        <v>10</v>
      </c>
      <c r="AS1830" s="95">
        <v>0</v>
      </c>
      <c r="AT1830" s="75">
        <v>0</v>
      </c>
      <c r="AU1830" s="75">
        <v>0</v>
      </c>
      <c r="AV1830" s="75">
        <v>0</v>
      </c>
      <c r="AW1830" s="123">
        <v>0</v>
      </c>
      <c r="AX1830" s="516" t="s">
        <v>1193</v>
      </c>
      <c r="AY1830" s="75">
        <v>1</v>
      </c>
      <c r="AZ1830" s="77" t="s">
        <v>131</v>
      </c>
      <c r="BA1830" s="78" t="s">
        <v>132</v>
      </c>
      <c r="BB1830" s="78" t="s">
        <v>131</v>
      </c>
      <c r="BC1830" s="78" t="s">
        <v>132</v>
      </c>
      <c r="BD1830" s="78" t="s">
        <v>131</v>
      </c>
      <c r="BE1830" s="78" t="s">
        <v>131</v>
      </c>
      <c r="BF1830" s="78" t="s">
        <v>131</v>
      </c>
      <c r="BG1830" s="78" t="s">
        <v>131</v>
      </c>
      <c r="BH1830" s="75" t="s">
        <v>5970</v>
      </c>
      <c r="BI1830" s="295" t="s">
        <v>2262</v>
      </c>
      <c r="BJ1830" s="546">
        <v>1</v>
      </c>
      <c r="BK1830" s="294" t="s">
        <v>16</v>
      </c>
      <c r="BL1830" s="157" t="s">
        <v>16</v>
      </c>
      <c r="BM1830" s="548" t="s">
        <v>1339</v>
      </c>
      <c r="BN1830" s="548" t="s">
        <v>4160</v>
      </c>
      <c r="BO1830" s="157" t="s">
        <v>4364</v>
      </c>
      <c r="BP1830" s="548" t="s">
        <v>2292</v>
      </c>
      <c r="BQ1830" s="157" t="s">
        <v>4361</v>
      </c>
      <c r="BR1830" s="157"/>
    </row>
    <row r="1831" spans="1:70" x14ac:dyDescent="0.25">
      <c r="A1831" s="19" t="s">
        <v>3686</v>
      </c>
      <c r="B1831" s="37" t="s">
        <v>1221</v>
      </c>
      <c r="C1831" s="90">
        <v>44440.817164351851</v>
      </c>
      <c r="D1831" s="114">
        <v>44440.567164351851</v>
      </c>
      <c r="E1831" s="38">
        <v>44440</v>
      </c>
      <c r="F1831" s="91">
        <v>2021</v>
      </c>
      <c r="G1831" s="93">
        <v>9</v>
      </c>
      <c r="H1831" s="37" t="s">
        <v>622</v>
      </c>
      <c r="I1831" s="37"/>
      <c r="J1831" s="103">
        <v>-92.267959434624998</v>
      </c>
      <c r="K1831" s="40">
        <v>44.428740441840539</v>
      </c>
      <c r="L1831" s="74"/>
      <c r="M1831" s="272" t="s">
        <v>16</v>
      </c>
      <c r="N1831" s="74">
        <v>0</v>
      </c>
      <c r="O1831" s="94"/>
      <c r="P1831" s="118">
        <v>1</v>
      </c>
      <c r="Q1831" s="510">
        <v>0</v>
      </c>
      <c r="R1831" s="513">
        <v>60</v>
      </c>
      <c r="S1831" s="41"/>
      <c r="T1831" s="40"/>
      <c r="U1831" s="40">
        <v>7</v>
      </c>
      <c r="V1831" s="119">
        <v>1</v>
      </c>
      <c r="W1831" s="40">
        <v>0</v>
      </c>
      <c r="X1831" s="119">
        <v>1</v>
      </c>
      <c r="Y1831" s="40">
        <v>59</v>
      </c>
      <c r="Z1831" s="119">
        <v>0</v>
      </c>
      <c r="AA1831" s="368" t="s">
        <v>16</v>
      </c>
      <c r="AB1831" s="535" t="s">
        <v>16</v>
      </c>
      <c r="AC1831" s="39" t="s">
        <v>160</v>
      </c>
      <c r="AD1831" s="75" t="s">
        <v>16</v>
      </c>
      <c r="AE1831" s="95">
        <v>-1</v>
      </c>
      <c r="AF1831" s="75">
        <v>-1</v>
      </c>
      <c r="AG1831" s="75">
        <v>-1</v>
      </c>
      <c r="AH1831" s="75">
        <v>-1</v>
      </c>
      <c r="AI1831" s="75">
        <v>-1</v>
      </c>
      <c r="AJ1831" s="75">
        <v>-1</v>
      </c>
      <c r="AK1831" s="75">
        <v>-1</v>
      </c>
      <c r="AL1831" s="95">
        <v>-1</v>
      </c>
      <c r="AM1831" s="92">
        <v>1</v>
      </c>
      <c r="AN1831" s="79"/>
      <c r="AO1831" s="75">
        <v>0</v>
      </c>
      <c r="AP1831" s="75"/>
      <c r="AQ1831" s="122">
        <v>0</v>
      </c>
      <c r="AR1831" s="515" t="s">
        <v>16</v>
      </c>
      <c r="AS1831" s="95">
        <v>-1</v>
      </c>
      <c r="AT1831" s="75">
        <v>-1</v>
      </c>
      <c r="AU1831" s="75">
        <v>-1</v>
      </c>
      <c r="AV1831" s="75">
        <v>-1</v>
      </c>
      <c r="AW1831" s="123">
        <v>1</v>
      </c>
      <c r="AX1831" s="516"/>
      <c r="AY1831" s="75">
        <v>0</v>
      </c>
      <c r="AZ1831" s="77" t="s">
        <v>5971</v>
      </c>
      <c r="BA1831" s="78" t="s">
        <v>5971</v>
      </c>
      <c r="BB1831" s="78" t="s">
        <v>5971</v>
      </c>
      <c r="BC1831" s="78" t="s">
        <v>5971</v>
      </c>
      <c r="BD1831" s="78" t="s">
        <v>5971</v>
      </c>
      <c r="BE1831" s="78" t="s">
        <v>5971</v>
      </c>
      <c r="BF1831" s="78" t="s">
        <v>5971</v>
      </c>
      <c r="BG1831" s="78" t="s">
        <v>5971</v>
      </c>
      <c r="BH1831" s="75" t="s">
        <v>5971</v>
      </c>
      <c r="BI1831" s="295" t="s">
        <v>16</v>
      </c>
      <c r="BJ1831" s="546">
        <v>1</v>
      </c>
      <c r="BK1831" s="294" t="s">
        <v>16</v>
      </c>
      <c r="BL1831" s="157" t="s">
        <v>16</v>
      </c>
      <c r="BM1831" s="548" t="s">
        <v>1339</v>
      </c>
      <c r="BN1831" s="548" t="s">
        <v>1339</v>
      </c>
      <c r="BO1831" s="157" t="s">
        <v>4614</v>
      </c>
      <c r="BP1831" s="548" t="s">
        <v>2228</v>
      </c>
      <c r="BQ1831" s="157" t="s">
        <v>4214</v>
      </c>
      <c r="BR1831" s="157"/>
    </row>
    <row r="1832" spans="1:70" x14ac:dyDescent="0.25">
      <c r="A1832" s="19" t="s">
        <v>3686</v>
      </c>
      <c r="B1832" s="37" t="s">
        <v>1220</v>
      </c>
      <c r="C1832" s="90">
        <v>44439.711493055554</v>
      </c>
      <c r="D1832" s="114">
        <v>44439.461493055554</v>
      </c>
      <c r="E1832" s="38">
        <v>44439</v>
      </c>
      <c r="F1832" s="91">
        <v>2021</v>
      </c>
      <c r="G1832" s="93">
        <v>8</v>
      </c>
      <c r="H1832" s="37" t="s">
        <v>603</v>
      </c>
      <c r="I1832" s="37" t="s">
        <v>753</v>
      </c>
      <c r="J1832" s="103">
        <v>-92.801922899999994</v>
      </c>
      <c r="K1832" s="40">
        <v>44.543137000000002</v>
      </c>
      <c r="L1832" s="74"/>
      <c r="M1832" s="272" t="s">
        <v>16</v>
      </c>
      <c r="N1832" s="74">
        <v>0</v>
      </c>
      <c r="O1832" s="94"/>
      <c r="P1832" s="118">
        <v>1</v>
      </c>
      <c r="Q1832" s="510">
        <v>120</v>
      </c>
      <c r="R1832" s="513">
        <v>120</v>
      </c>
      <c r="S1832" s="41"/>
      <c r="T1832" s="40"/>
      <c r="U1832" s="40">
        <v>7</v>
      </c>
      <c r="V1832" s="119">
        <v>1</v>
      </c>
      <c r="W1832" s="40">
        <v>100</v>
      </c>
      <c r="X1832" s="119">
        <v>1</v>
      </c>
      <c r="Y1832" s="40">
        <v>55</v>
      </c>
      <c r="Z1832" s="119">
        <v>1</v>
      </c>
      <c r="AA1832" s="368">
        <v>0</v>
      </c>
      <c r="AB1832" s="535">
        <v>10</v>
      </c>
      <c r="AC1832" s="39" t="s">
        <v>160</v>
      </c>
      <c r="AD1832" s="75" t="s">
        <v>16</v>
      </c>
      <c r="AE1832" s="95">
        <v>-1</v>
      </c>
      <c r="AF1832" s="75">
        <v>-1</v>
      </c>
      <c r="AG1832" s="75">
        <v>-1</v>
      </c>
      <c r="AH1832" s="75">
        <v>-1</v>
      </c>
      <c r="AI1832" s="75">
        <v>-1</v>
      </c>
      <c r="AJ1832" s="75">
        <v>-1</v>
      </c>
      <c r="AK1832" s="75">
        <v>-1</v>
      </c>
      <c r="AL1832" s="95">
        <v>-1</v>
      </c>
      <c r="AM1832" s="92">
        <v>1</v>
      </c>
      <c r="AN1832" s="79" t="s">
        <v>80</v>
      </c>
      <c r="AO1832" s="75">
        <v>1</v>
      </c>
      <c r="AP1832" s="75" t="s">
        <v>83</v>
      </c>
      <c r="AQ1832" s="122">
        <v>1</v>
      </c>
      <c r="AR1832" s="515" t="s">
        <v>10</v>
      </c>
      <c r="AS1832" s="95">
        <v>0</v>
      </c>
      <c r="AT1832" s="75">
        <v>0</v>
      </c>
      <c r="AU1832" s="75">
        <v>0</v>
      </c>
      <c r="AV1832" s="75">
        <v>0</v>
      </c>
      <c r="AW1832" s="123">
        <v>0</v>
      </c>
      <c r="AX1832" s="516"/>
      <c r="AY1832" s="75">
        <v>0</v>
      </c>
      <c r="AZ1832" s="77" t="s">
        <v>5971</v>
      </c>
      <c r="BA1832" s="78" t="s">
        <v>5971</v>
      </c>
      <c r="BB1832" s="78" t="s">
        <v>5971</v>
      </c>
      <c r="BC1832" s="78" t="s">
        <v>5971</v>
      </c>
      <c r="BD1832" s="78" t="s">
        <v>5971</v>
      </c>
      <c r="BE1832" s="78" t="s">
        <v>5971</v>
      </c>
      <c r="BF1832" s="78" t="s">
        <v>5971</v>
      </c>
      <c r="BG1832" s="78" t="s">
        <v>5971</v>
      </c>
      <c r="BH1832" s="75" t="s">
        <v>5971</v>
      </c>
      <c r="BI1832" s="295" t="s">
        <v>16</v>
      </c>
      <c r="BJ1832" s="546">
        <v>1</v>
      </c>
      <c r="BK1832" s="294">
        <v>1</v>
      </c>
      <c r="BL1832" s="157">
        <v>1</v>
      </c>
      <c r="BM1832" s="548" t="s">
        <v>2343</v>
      </c>
      <c r="BN1832" s="548" t="s">
        <v>4161</v>
      </c>
      <c r="BO1832" s="157" t="s">
        <v>4510</v>
      </c>
      <c r="BP1832" s="548" t="s">
        <v>753</v>
      </c>
      <c r="BQ1832" s="157" t="s">
        <v>4389</v>
      </c>
      <c r="BR1832" s="157"/>
    </row>
    <row r="1833" spans="1:70" x14ac:dyDescent="0.25">
      <c r="A1833" s="19" t="s">
        <v>3686</v>
      </c>
      <c r="B1833" s="37" t="s">
        <v>1152</v>
      </c>
      <c r="C1833" s="90">
        <v>44439.68986111111</v>
      </c>
      <c r="D1833" s="114">
        <v>44439.43986111111</v>
      </c>
      <c r="E1833" s="38">
        <v>44439</v>
      </c>
      <c r="F1833" s="91">
        <v>2021</v>
      </c>
      <c r="G1833" s="93">
        <v>8</v>
      </c>
      <c r="H1833" s="37" t="s">
        <v>598</v>
      </c>
      <c r="I1833" s="37" t="s">
        <v>146</v>
      </c>
      <c r="J1833" s="103">
        <v>-91.823869279089564</v>
      </c>
      <c r="K1833" s="40">
        <v>43.642457281645093</v>
      </c>
      <c r="L1833" s="74"/>
      <c r="M1833" s="272" t="s">
        <v>16</v>
      </c>
      <c r="N1833" s="74">
        <v>0</v>
      </c>
      <c r="O1833" s="94"/>
      <c r="P1833" s="118">
        <v>1</v>
      </c>
      <c r="Q1833" s="510">
        <v>180</v>
      </c>
      <c r="R1833" s="513">
        <v>180</v>
      </c>
      <c r="S1833" s="41"/>
      <c r="T1833" s="40"/>
      <c r="U1833" s="40">
        <v>8</v>
      </c>
      <c r="V1833" s="119">
        <v>1</v>
      </c>
      <c r="W1833" s="40">
        <v>200</v>
      </c>
      <c r="X1833" s="119">
        <v>1</v>
      </c>
      <c r="Y1833" s="40">
        <v>58</v>
      </c>
      <c r="Z1833" s="119">
        <v>1</v>
      </c>
      <c r="AA1833" s="368">
        <v>0</v>
      </c>
      <c r="AB1833" s="535">
        <v>5</v>
      </c>
      <c r="AC1833" s="39" t="s">
        <v>160</v>
      </c>
      <c r="AD1833" s="75" t="s">
        <v>10</v>
      </c>
      <c r="AE1833" s="95">
        <v>0</v>
      </c>
      <c r="AF1833" s="75">
        <v>0</v>
      </c>
      <c r="AG1833" s="75">
        <v>0</v>
      </c>
      <c r="AH1833" s="75">
        <v>0</v>
      </c>
      <c r="AI1833" s="75">
        <v>0</v>
      </c>
      <c r="AJ1833" s="75">
        <v>0</v>
      </c>
      <c r="AK1833" s="75">
        <v>0</v>
      </c>
      <c r="AL1833" s="95">
        <v>1</v>
      </c>
      <c r="AM1833" s="92">
        <v>0</v>
      </c>
      <c r="AN1833" s="79" t="s">
        <v>195</v>
      </c>
      <c r="AO1833" s="75">
        <v>1</v>
      </c>
      <c r="AP1833" s="75" t="s">
        <v>83</v>
      </c>
      <c r="AQ1833" s="122">
        <v>1</v>
      </c>
      <c r="AR1833" s="515" t="s">
        <v>10</v>
      </c>
      <c r="AS1833" s="95">
        <v>0</v>
      </c>
      <c r="AT1833" s="75">
        <v>0</v>
      </c>
      <c r="AU1833" s="75">
        <v>0</v>
      </c>
      <c r="AV1833" s="75">
        <v>0</v>
      </c>
      <c r="AW1833" s="123">
        <v>0</v>
      </c>
      <c r="AX1833" s="516"/>
      <c r="AY1833" s="75">
        <v>0</v>
      </c>
      <c r="AZ1833" s="77" t="s">
        <v>131</v>
      </c>
      <c r="BA1833" s="78" t="s">
        <v>131</v>
      </c>
      <c r="BB1833" s="78" t="s">
        <v>131</v>
      </c>
      <c r="BC1833" s="78" t="s">
        <v>131</v>
      </c>
      <c r="BD1833" s="78" t="s">
        <v>131</v>
      </c>
      <c r="BE1833" s="78" t="s">
        <v>131</v>
      </c>
      <c r="BF1833" s="78" t="s">
        <v>131</v>
      </c>
      <c r="BG1833" s="78" t="s">
        <v>132</v>
      </c>
      <c r="BH1833" s="75" t="s">
        <v>5970</v>
      </c>
      <c r="BI1833" s="295" t="s">
        <v>16</v>
      </c>
      <c r="BJ1833" s="546">
        <v>1</v>
      </c>
      <c r="BK1833" s="294">
        <v>1</v>
      </c>
      <c r="BL1833" s="157">
        <v>1</v>
      </c>
      <c r="BM1833" s="548" t="s">
        <v>1341</v>
      </c>
      <c r="BN1833" s="548" t="s">
        <v>1339</v>
      </c>
      <c r="BO1833" s="157" t="s">
        <v>4418</v>
      </c>
      <c r="BP1833" s="548" t="s">
        <v>4419</v>
      </c>
      <c r="BQ1833" s="157" t="s">
        <v>4232</v>
      </c>
      <c r="BR1833" s="157"/>
    </row>
    <row r="1834" spans="1:70" x14ac:dyDescent="0.25">
      <c r="A1834" s="19" t="s">
        <v>3686</v>
      </c>
      <c r="B1834" s="37" t="s">
        <v>1151</v>
      </c>
      <c r="C1834" s="90">
        <v>44439.022233796299</v>
      </c>
      <c r="D1834" s="114">
        <v>44438.772233796299</v>
      </c>
      <c r="E1834" s="38">
        <v>44438</v>
      </c>
      <c r="F1834" s="91">
        <v>2021</v>
      </c>
      <c r="G1834" s="93">
        <v>8</v>
      </c>
      <c r="H1834" s="37" t="s">
        <v>624</v>
      </c>
      <c r="I1834" s="37"/>
      <c r="J1834" s="103">
        <v>-92.330237612277486</v>
      </c>
      <c r="K1834" s="40">
        <v>44.69605618172168</v>
      </c>
      <c r="L1834" s="74"/>
      <c r="M1834" s="272" t="s">
        <v>16</v>
      </c>
      <c r="N1834" s="74">
        <v>0</v>
      </c>
      <c r="O1834" s="94"/>
      <c r="P1834" s="118">
        <v>1</v>
      </c>
      <c r="Q1834" s="510">
        <v>180</v>
      </c>
      <c r="R1834" s="513">
        <v>180</v>
      </c>
      <c r="S1834" s="41"/>
      <c r="T1834" s="40"/>
      <c r="U1834" s="40">
        <v>7.5</v>
      </c>
      <c r="V1834" s="119">
        <v>1</v>
      </c>
      <c r="W1834" s="40">
        <v>200</v>
      </c>
      <c r="X1834" s="119">
        <v>1</v>
      </c>
      <c r="Y1834" s="40">
        <v>69</v>
      </c>
      <c r="Z1834" s="119">
        <v>1</v>
      </c>
      <c r="AA1834" s="368">
        <v>0</v>
      </c>
      <c r="AB1834" s="535">
        <v>2</v>
      </c>
      <c r="AC1834" s="39" t="s">
        <v>160</v>
      </c>
      <c r="AD1834" s="75" t="s">
        <v>10</v>
      </c>
      <c r="AE1834" s="95">
        <v>0</v>
      </c>
      <c r="AF1834" s="75">
        <v>0</v>
      </c>
      <c r="AG1834" s="75">
        <v>0</v>
      </c>
      <c r="AH1834" s="75">
        <v>0</v>
      </c>
      <c r="AI1834" s="75">
        <v>0</v>
      </c>
      <c r="AJ1834" s="75">
        <v>0</v>
      </c>
      <c r="AK1834" s="75">
        <v>0</v>
      </c>
      <c r="AL1834" s="95">
        <v>1</v>
      </c>
      <c r="AM1834" s="92">
        <v>0</v>
      </c>
      <c r="AN1834" s="79" t="s">
        <v>81</v>
      </c>
      <c r="AO1834" s="75">
        <v>1</v>
      </c>
      <c r="AP1834" s="75" t="s">
        <v>83</v>
      </c>
      <c r="AQ1834" s="122">
        <v>1</v>
      </c>
      <c r="AR1834" s="515" t="s">
        <v>10</v>
      </c>
      <c r="AS1834" s="95">
        <v>0</v>
      </c>
      <c r="AT1834" s="75">
        <v>0</v>
      </c>
      <c r="AU1834" s="75">
        <v>0</v>
      </c>
      <c r="AV1834" s="75">
        <v>0</v>
      </c>
      <c r="AW1834" s="123">
        <v>0</v>
      </c>
      <c r="AX1834" s="516"/>
      <c r="AY1834" s="75">
        <v>0</v>
      </c>
      <c r="AZ1834" s="77" t="s">
        <v>131</v>
      </c>
      <c r="BA1834" s="78" t="s">
        <v>131</v>
      </c>
      <c r="BB1834" s="78" t="s">
        <v>131</v>
      </c>
      <c r="BC1834" s="78" t="s">
        <v>131</v>
      </c>
      <c r="BD1834" s="78" t="s">
        <v>131</v>
      </c>
      <c r="BE1834" s="78" t="s">
        <v>131</v>
      </c>
      <c r="BF1834" s="78" t="s">
        <v>131</v>
      </c>
      <c r="BG1834" s="78" t="s">
        <v>132</v>
      </c>
      <c r="BH1834" s="75" t="s">
        <v>5970</v>
      </c>
      <c r="BI1834" s="295" t="s">
        <v>16</v>
      </c>
      <c r="BJ1834" s="546">
        <v>1</v>
      </c>
      <c r="BK1834" s="294">
        <v>1</v>
      </c>
      <c r="BL1834" s="157">
        <v>1</v>
      </c>
      <c r="BM1834" s="548" t="s">
        <v>578</v>
      </c>
      <c r="BN1834" s="548" t="s">
        <v>4161</v>
      </c>
      <c r="BO1834" s="157" t="s">
        <v>4215</v>
      </c>
      <c r="BP1834" s="548" t="s">
        <v>4732</v>
      </c>
      <c r="BQ1834" s="157" t="s">
        <v>4212</v>
      </c>
      <c r="BR1834" s="157"/>
    </row>
    <row r="1835" spans="1:70" x14ac:dyDescent="0.25">
      <c r="A1835" s="19" t="s">
        <v>3686</v>
      </c>
      <c r="B1835" s="37" t="s">
        <v>1056</v>
      </c>
      <c r="C1835" s="90">
        <v>44436.665023148147</v>
      </c>
      <c r="D1835" s="114">
        <v>44436.415023148147</v>
      </c>
      <c r="E1835" s="38">
        <v>44436</v>
      </c>
      <c r="F1835" s="91">
        <v>2021</v>
      </c>
      <c r="G1835" s="93">
        <v>8</v>
      </c>
      <c r="H1835" s="37" t="s">
        <v>612</v>
      </c>
      <c r="I1835" s="37" t="s">
        <v>16</v>
      </c>
      <c r="J1835" s="103">
        <v>-93.00898235145128</v>
      </c>
      <c r="K1835" s="40">
        <v>44.65721558190809</v>
      </c>
      <c r="L1835" s="74"/>
      <c r="M1835" s="272" t="s">
        <v>1057</v>
      </c>
      <c r="N1835" s="74">
        <v>1</v>
      </c>
      <c r="O1835" s="94"/>
      <c r="P1835" s="118">
        <v>1</v>
      </c>
      <c r="Q1835" s="510">
        <v>120</v>
      </c>
      <c r="R1835" s="513">
        <v>120</v>
      </c>
      <c r="S1835" s="41"/>
      <c r="T1835" s="40"/>
      <c r="U1835" s="40">
        <v>7</v>
      </c>
      <c r="V1835" s="119">
        <v>1</v>
      </c>
      <c r="W1835" s="40">
        <v>500</v>
      </c>
      <c r="X1835" s="119">
        <v>1</v>
      </c>
      <c r="Y1835" s="40">
        <v>62</v>
      </c>
      <c r="Z1835" s="119">
        <v>1</v>
      </c>
      <c r="AA1835" s="368">
        <v>0</v>
      </c>
      <c r="AB1835" s="535">
        <v>2</v>
      </c>
      <c r="AC1835" s="39" t="s">
        <v>160</v>
      </c>
      <c r="AD1835" s="75" t="s">
        <v>10</v>
      </c>
      <c r="AE1835" s="95">
        <v>0</v>
      </c>
      <c r="AF1835" s="75">
        <v>0</v>
      </c>
      <c r="AG1835" s="75">
        <v>0</v>
      </c>
      <c r="AH1835" s="75">
        <v>0</v>
      </c>
      <c r="AI1835" s="75">
        <v>0</v>
      </c>
      <c r="AJ1835" s="75">
        <v>0</v>
      </c>
      <c r="AK1835" s="75">
        <v>0</v>
      </c>
      <c r="AL1835" s="95">
        <v>1</v>
      </c>
      <c r="AM1835" s="92">
        <v>0</v>
      </c>
      <c r="AN1835" s="79" t="s">
        <v>195</v>
      </c>
      <c r="AO1835" s="75">
        <v>1</v>
      </c>
      <c r="AP1835" s="75" t="s">
        <v>84</v>
      </c>
      <c r="AQ1835" s="122">
        <v>1</v>
      </c>
      <c r="AR1835" s="515" t="s">
        <v>13</v>
      </c>
      <c r="AS1835" s="95">
        <v>1</v>
      </c>
      <c r="AT1835" s="75">
        <v>0</v>
      </c>
      <c r="AU1835" s="75">
        <v>0</v>
      </c>
      <c r="AV1835" s="75">
        <v>0</v>
      </c>
      <c r="AW1835" s="123">
        <v>0</v>
      </c>
      <c r="AX1835" s="516"/>
      <c r="AY1835" s="75">
        <v>0</v>
      </c>
      <c r="AZ1835" s="77" t="s">
        <v>131</v>
      </c>
      <c r="BA1835" s="78" t="s">
        <v>131</v>
      </c>
      <c r="BB1835" s="78" t="s">
        <v>131</v>
      </c>
      <c r="BC1835" s="78" t="s">
        <v>131</v>
      </c>
      <c r="BD1835" s="78" t="s">
        <v>131</v>
      </c>
      <c r="BE1835" s="78" t="s">
        <v>131</v>
      </c>
      <c r="BF1835" s="78" t="s">
        <v>131</v>
      </c>
      <c r="BG1835" s="78" t="s">
        <v>132</v>
      </c>
      <c r="BH1835" s="75" t="s">
        <v>5970</v>
      </c>
      <c r="BI1835" s="295" t="s">
        <v>2225</v>
      </c>
      <c r="BJ1835" s="546">
        <v>1</v>
      </c>
      <c r="BK1835" s="294" t="s">
        <v>16</v>
      </c>
      <c r="BL1835" s="157" t="s">
        <v>16</v>
      </c>
      <c r="BM1835" s="548" t="s">
        <v>2343</v>
      </c>
      <c r="BN1835" s="548" t="s">
        <v>4161</v>
      </c>
      <c r="BO1835" s="157" t="s">
        <v>4293</v>
      </c>
      <c r="BP1835" s="548" t="s">
        <v>2225</v>
      </c>
      <c r="BQ1835" s="157" t="s">
        <v>4292</v>
      </c>
      <c r="BR1835" s="157"/>
    </row>
    <row r="1836" spans="1:70" x14ac:dyDescent="0.25">
      <c r="A1836" s="19" t="s">
        <v>3686</v>
      </c>
      <c r="B1836" s="37" t="s">
        <v>1067</v>
      </c>
      <c r="C1836" s="90">
        <v>44436.654768518521</v>
      </c>
      <c r="D1836" s="114">
        <v>44436.404768518521</v>
      </c>
      <c r="E1836" s="38">
        <v>44436</v>
      </c>
      <c r="F1836" s="91">
        <v>2021</v>
      </c>
      <c r="G1836" s="93">
        <v>8</v>
      </c>
      <c r="H1836" s="37" t="s">
        <v>475</v>
      </c>
      <c r="I1836" s="37"/>
      <c r="J1836" s="103">
        <v>-92.224397091280878</v>
      </c>
      <c r="K1836" s="40">
        <v>43.621749957132728</v>
      </c>
      <c r="L1836" s="74"/>
      <c r="M1836" s="272" t="s">
        <v>1068</v>
      </c>
      <c r="N1836" s="74">
        <v>1</v>
      </c>
      <c r="O1836" s="94"/>
      <c r="P1836" s="118">
        <v>1</v>
      </c>
      <c r="Q1836" s="510">
        <v>80</v>
      </c>
      <c r="R1836" s="513">
        <v>60</v>
      </c>
      <c r="S1836" s="41"/>
      <c r="T1836" s="40"/>
      <c r="U1836" s="40">
        <v>7</v>
      </c>
      <c r="V1836" s="119">
        <v>1</v>
      </c>
      <c r="W1836" s="40">
        <v>0</v>
      </c>
      <c r="X1836" s="119">
        <v>1</v>
      </c>
      <c r="Y1836" s="40">
        <v>0</v>
      </c>
      <c r="Z1836" s="119">
        <v>1</v>
      </c>
      <c r="AA1836" s="368">
        <v>0</v>
      </c>
      <c r="AB1836" s="535">
        <v>5</v>
      </c>
      <c r="AC1836" s="39" t="s">
        <v>160</v>
      </c>
      <c r="AD1836" s="75" t="s">
        <v>10</v>
      </c>
      <c r="AE1836" s="95">
        <v>0</v>
      </c>
      <c r="AF1836" s="75">
        <v>0</v>
      </c>
      <c r="AG1836" s="75">
        <v>0</v>
      </c>
      <c r="AH1836" s="75">
        <v>0</v>
      </c>
      <c r="AI1836" s="75">
        <v>0</v>
      </c>
      <c r="AJ1836" s="75">
        <v>0</v>
      </c>
      <c r="AK1836" s="75">
        <v>0</v>
      </c>
      <c r="AL1836" s="95">
        <v>1</v>
      </c>
      <c r="AM1836" s="92">
        <v>0</v>
      </c>
      <c r="AN1836" s="79" t="s">
        <v>195</v>
      </c>
      <c r="AO1836" s="75">
        <v>1</v>
      </c>
      <c r="AP1836" s="75" t="s">
        <v>85</v>
      </c>
      <c r="AQ1836" s="122">
        <v>1</v>
      </c>
      <c r="AR1836" s="515" t="s">
        <v>35</v>
      </c>
      <c r="AS1836" s="95">
        <v>0</v>
      </c>
      <c r="AT1836" s="75">
        <v>1</v>
      </c>
      <c r="AU1836" s="75">
        <v>0</v>
      </c>
      <c r="AV1836" s="75">
        <v>0</v>
      </c>
      <c r="AW1836" s="123">
        <v>0</v>
      </c>
      <c r="AX1836" s="516" t="s">
        <v>1069</v>
      </c>
      <c r="AY1836" s="75">
        <v>1</v>
      </c>
      <c r="AZ1836" s="77" t="s">
        <v>131</v>
      </c>
      <c r="BA1836" s="78" t="s">
        <v>131</v>
      </c>
      <c r="BB1836" s="78" t="s">
        <v>131</v>
      </c>
      <c r="BC1836" s="78" t="s">
        <v>131</v>
      </c>
      <c r="BD1836" s="78" t="s">
        <v>131</v>
      </c>
      <c r="BE1836" s="78" t="s">
        <v>131</v>
      </c>
      <c r="BF1836" s="78" t="s">
        <v>131</v>
      </c>
      <c r="BG1836" s="78" t="s">
        <v>132</v>
      </c>
      <c r="BH1836" s="75" t="s">
        <v>5970</v>
      </c>
      <c r="BI1836" s="295" t="s">
        <v>2232</v>
      </c>
      <c r="BJ1836" s="546">
        <v>1</v>
      </c>
      <c r="BK1836" s="294" t="s">
        <v>16</v>
      </c>
      <c r="BL1836" s="157" t="s">
        <v>16</v>
      </c>
      <c r="BM1836" s="548" t="s">
        <v>1339</v>
      </c>
      <c r="BN1836" s="548" t="s">
        <v>1339</v>
      </c>
      <c r="BO1836" s="157" t="s">
        <v>4719</v>
      </c>
      <c r="BP1836" s="548" t="s">
        <v>2232</v>
      </c>
      <c r="BQ1836" s="157" t="s">
        <v>4229</v>
      </c>
      <c r="BR1836" s="157"/>
    </row>
    <row r="1837" spans="1:70" x14ac:dyDescent="0.25">
      <c r="A1837" s="19" t="s">
        <v>3686</v>
      </c>
      <c r="B1837" s="37" t="s">
        <v>1093</v>
      </c>
      <c r="C1837" s="90">
        <v>44436.6094212963</v>
      </c>
      <c r="D1837" s="114">
        <v>44436.3594212963</v>
      </c>
      <c r="E1837" s="38">
        <v>44436</v>
      </c>
      <c r="F1837" s="91">
        <v>2021</v>
      </c>
      <c r="G1837" s="93">
        <v>8</v>
      </c>
      <c r="H1837" s="37" t="s">
        <v>475</v>
      </c>
      <c r="I1837" s="37"/>
      <c r="J1837" s="103">
        <v>-92.278079828333361</v>
      </c>
      <c r="K1837" s="40">
        <v>43.793176389340118</v>
      </c>
      <c r="L1837" s="74"/>
      <c r="M1837" s="272" t="s">
        <v>1094</v>
      </c>
      <c r="N1837" s="74">
        <v>1</v>
      </c>
      <c r="O1837" s="94"/>
      <c r="P1837" s="118">
        <v>1</v>
      </c>
      <c r="Q1837" s="510">
        <v>180</v>
      </c>
      <c r="R1837" s="513">
        <v>120</v>
      </c>
      <c r="S1837" s="41"/>
      <c r="T1837" s="40"/>
      <c r="U1837" s="40">
        <v>7</v>
      </c>
      <c r="V1837" s="119">
        <v>1</v>
      </c>
      <c r="W1837" s="40">
        <v>0</v>
      </c>
      <c r="X1837" s="119">
        <v>1</v>
      </c>
      <c r="Y1837" s="40">
        <v>0</v>
      </c>
      <c r="Z1837" s="119">
        <v>1</v>
      </c>
      <c r="AA1837" s="368">
        <v>0</v>
      </c>
      <c r="AB1837" s="535">
        <v>5</v>
      </c>
      <c r="AC1837" s="39" t="s">
        <v>160</v>
      </c>
      <c r="AD1837" s="75" t="s">
        <v>10</v>
      </c>
      <c r="AE1837" s="95">
        <v>0</v>
      </c>
      <c r="AF1837" s="75">
        <v>0</v>
      </c>
      <c r="AG1837" s="75">
        <v>0</v>
      </c>
      <c r="AH1837" s="75">
        <v>0</v>
      </c>
      <c r="AI1837" s="75">
        <v>0</v>
      </c>
      <c r="AJ1837" s="75">
        <v>0</v>
      </c>
      <c r="AK1837" s="75">
        <v>0</v>
      </c>
      <c r="AL1837" s="95">
        <v>1</v>
      </c>
      <c r="AM1837" s="92">
        <v>0</v>
      </c>
      <c r="AN1837" s="79" t="s">
        <v>195</v>
      </c>
      <c r="AO1837" s="75">
        <v>1</v>
      </c>
      <c r="AP1837" s="75" t="s">
        <v>85</v>
      </c>
      <c r="AQ1837" s="122">
        <v>1</v>
      </c>
      <c r="AR1837" s="515" t="s">
        <v>13</v>
      </c>
      <c r="AS1837" s="95">
        <v>1</v>
      </c>
      <c r="AT1837" s="75">
        <v>0</v>
      </c>
      <c r="AU1837" s="75">
        <v>0</v>
      </c>
      <c r="AV1837" s="75">
        <v>0</v>
      </c>
      <c r="AW1837" s="123">
        <v>0</v>
      </c>
      <c r="AX1837" s="516" t="s">
        <v>1095</v>
      </c>
      <c r="AY1837" s="75">
        <v>1</v>
      </c>
      <c r="AZ1837" s="77" t="s">
        <v>131</v>
      </c>
      <c r="BA1837" s="78" t="s">
        <v>131</v>
      </c>
      <c r="BB1837" s="78" t="s">
        <v>131</v>
      </c>
      <c r="BC1837" s="78" t="s">
        <v>131</v>
      </c>
      <c r="BD1837" s="78" t="s">
        <v>131</v>
      </c>
      <c r="BE1837" s="78" t="s">
        <v>131</v>
      </c>
      <c r="BF1837" s="78" t="s">
        <v>131</v>
      </c>
      <c r="BG1837" s="78" t="s">
        <v>132</v>
      </c>
      <c r="BH1837" s="75" t="s">
        <v>5970</v>
      </c>
      <c r="BI1837" s="295" t="s">
        <v>2251</v>
      </c>
      <c r="BJ1837" s="546">
        <v>1</v>
      </c>
      <c r="BK1837" s="294">
        <v>1</v>
      </c>
      <c r="BL1837" s="157">
        <v>1</v>
      </c>
      <c r="BM1837" s="548" t="s">
        <v>1339</v>
      </c>
      <c r="BN1837" s="548" t="s">
        <v>1339</v>
      </c>
      <c r="BO1837" s="157" t="s">
        <v>4329</v>
      </c>
      <c r="BP1837" s="548" t="s">
        <v>4228</v>
      </c>
      <c r="BQ1837" s="157" t="s">
        <v>4226</v>
      </c>
      <c r="BR1837" s="157"/>
    </row>
    <row r="1838" spans="1:70" x14ac:dyDescent="0.25">
      <c r="A1838" s="19" t="s">
        <v>3686</v>
      </c>
      <c r="B1838" s="37" t="s">
        <v>1216</v>
      </c>
      <c r="C1838" s="90">
        <v>44435.761365740742</v>
      </c>
      <c r="D1838" s="114">
        <v>44435.511365740742</v>
      </c>
      <c r="E1838" s="38">
        <v>44435</v>
      </c>
      <c r="F1838" s="91">
        <v>2021</v>
      </c>
      <c r="G1838" s="93">
        <v>8</v>
      </c>
      <c r="H1838" s="37" t="s">
        <v>619</v>
      </c>
      <c r="I1838" s="37"/>
      <c r="J1838" s="103">
        <v>-92.225577299999998</v>
      </c>
      <c r="K1838" s="40">
        <v>43.8871617</v>
      </c>
      <c r="L1838" s="74"/>
      <c r="M1838" s="272" t="s">
        <v>1217</v>
      </c>
      <c r="N1838" s="74">
        <v>1</v>
      </c>
      <c r="O1838" s="94"/>
      <c r="P1838" s="118">
        <v>1</v>
      </c>
      <c r="Q1838" s="510">
        <v>80</v>
      </c>
      <c r="R1838" s="513">
        <v>120</v>
      </c>
      <c r="S1838" s="41"/>
      <c r="T1838" s="40"/>
      <c r="U1838" s="40">
        <v>7</v>
      </c>
      <c r="V1838" s="119">
        <v>1</v>
      </c>
      <c r="W1838" s="40">
        <v>200</v>
      </c>
      <c r="X1838" s="119">
        <v>1</v>
      </c>
      <c r="Y1838" s="40">
        <v>64</v>
      </c>
      <c r="Z1838" s="119">
        <v>1</v>
      </c>
      <c r="AA1838" s="368">
        <v>0</v>
      </c>
      <c r="AB1838" s="535">
        <v>5</v>
      </c>
      <c r="AC1838" s="39" t="s">
        <v>160</v>
      </c>
      <c r="AD1838" s="75" t="s">
        <v>10</v>
      </c>
      <c r="AE1838" s="95">
        <v>0</v>
      </c>
      <c r="AF1838" s="75">
        <v>0</v>
      </c>
      <c r="AG1838" s="75">
        <v>0</v>
      </c>
      <c r="AH1838" s="75">
        <v>0</v>
      </c>
      <c r="AI1838" s="75">
        <v>0</v>
      </c>
      <c r="AJ1838" s="75">
        <v>0</v>
      </c>
      <c r="AK1838" s="75">
        <v>0</v>
      </c>
      <c r="AL1838" s="95">
        <v>1</v>
      </c>
      <c r="AM1838" s="92">
        <v>0</v>
      </c>
      <c r="AN1838" s="79" t="s">
        <v>81</v>
      </c>
      <c r="AO1838" s="75">
        <v>1</v>
      </c>
      <c r="AP1838" s="75" t="s">
        <v>85</v>
      </c>
      <c r="AQ1838" s="122">
        <v>1</v>
      </c>
      <c r="AR1838" s="515" t="s">
        <v>35</v>
      </c>
      <c r="AS1838" s="95">
        <v>0</v>
      </c>
      <c r="AT1838" s="75">
        <v>1</v>
      </c>
      <c r="AU1838" s="75">
        <v>0</v>
      </c>
      <c r="AV1838" s="75">
        <v>0</v>
      </c>
      <c r="AW1838" s="123">
        <v>0</v>
      </c>
      <c r="AX1838" s="516"/>
      <c r="AY1838" s="75">
        <v>0</v>
      </c>
      <c r="AZ1838" s="77" t="s">
        <v>131</v>
      </c>
      <c r="BA1838" s="78" t="s">
        <v>131</v>
      </c>
      <c r="BB1838" s="78" t="s">
        <v>131</v>
      </c>
      <c r="BC1838" s="78" t="s">
        <v>131</v>
      </c>
      <c r="BD1838" s="78" t="s">
        <v>131</v>
      </c>
      <c r="BE1838" s="78" t="s">
        <v>131</v>
      </c>
      <c r="BF1838" s="78" t="s">
        <v>131</v>
      </c>
      <c r="BG1838" s="78" t="s">
        <v>132</v>
      </c>
      <c r="BH1838" s="75" t="s">
        <v>5970</v>
      </c>
      <c r="BI1838" s="295" t="s">
        <v>16</v>
      </c>
      <c r="BJ1838" s="546">
        <v>1</v>
      </c>
      <c r="BK1838" s="294" t="s">
        <v>16</v>
      </c>
      <c r="BL1838" s="157" t="s">
        <v>16</v>
      </c>
      <c r="BM1838" s="548" t="s">
        <v>1339</v>
      </c>
      <c r="BN1838" s="548" t="s">
        <v>1339</v>
      </c>
      <c r="BO1838" s="157" t="s">
        <v>4697</v>
      </c>
      <c r="BP1838" s="548" t="s">
        <v>2243</v>
      </c>
      <c r="BQ1838" s="157" t="s">
        <v>4673</v>
      </c>
      <c r="BR1838" s="157"/>
    </row>
    <row r="1839" spans="1:70" x14ac:dyDescent="0.25">
      <c r="A1839" s="19" t="s">
        <v>3686</v>
      </c>
      <c r="B1839" s="37" t="s">
        <v>1169</v>
      </c>
      <c r="C1839" s="90">
        <v>44435.747615740744</v>
      </c>
      <c r="D1839" s="114">
        <v>44435.497615740744</v>
      </c>
      <c r="E1839" s="38">
        <v>44435</v>
      </c>
      <c r="F1839" s="91">
        <v>2021</v>
      </c>
      <c r="G1839" s="93">
        <v>8</v>
      </c>
      <c r="H1839" s="37" t="s">
        <v>619</v>
      </c>
      <c r="I1839" s="37"/>
      <c r="J1839" s="103">
        <v>-92.195381499999996</v>
      </c>
      <c r="K1839" s="40">
        <v>43.847669099999997</v>
      </c>
      <c r="L1839" s="74"/>
      <c r="M1839" s="272" t="s">
        <v>1170</v>
      </c>
      <c r="N1839" s="74">
        <v>1</v>
      </c>
      <c r="O1839" s="94"/>
      <c r="P1839" s="118">
        <v>1</v>
      </c>
      <c r="Q1839" s="510">
        <v>0</v>
      </c>
      <c r="R1839" s="513">
        <v>30</v>
      </c>
      <c r="S1839" s="41"/>
      <c r="T1839" s="40"/>
      <c r="U1839" s="40">
        <v>7</v>
      </c>
      <c r="V1839" s="119">
        <v>1</v>
      </c>
      <c r="W1839" s="40">
        <v>100</v>
      </c>
      <c r="X1839" s="119">
        <v>1</v>
      </c>
      <c r="Y1839" s="40">
        <v>62</v>
      </c>
      <c r="Z1839" s="119">
        <v>1</v>
      </c>
      <c r="AA1839" s="368">
        <v>0</v>
      </c>
      <c r="AB1839" s="535">
        <v>2</v>
      </c>
      <c r="AC1839" s="39" t="s">
        <v>160</v>
      </c>
      <c r="AD1839" s="75" t="s">
        <v>10</v>
      </c>
      <c r="AE1839" s="95">
        <v>0</v>
      </c>
      <c r="AF1839" s="75">
        <v>0</v>
      </c>
      <c r="AG1839" s="75">
        <v>0</v>
      </c>
      <c r="AH1839" s="75">
        <v>0</v>
      </c>
      <c r="AI1839" s="75">
        <v>0</v>
      </c>
      <c r="AJ1839" s="75">
        <v>0</v>
      </c>
      <c r="AK1839" s="75">
        <v>0</v>
      </c>
      <c r="AL1839" s="95">
        <v>1</v>
      </c>
      <c r="AM1839" s="92">
        <v>0</v>
      </c>
      <c r="AN1839" s="79" t="s">
        <v>81</v>
      </c>
      <c r="AO1839" s="75">
        <v>1</v>
      </c>
      <c r="AP1839" s="75" t="s">
        <v>85</v>
      </c>
      <c r="AQ1839" s="122">
        <v>1</v>
      </c>
      <c r="AR1839" s="515" t="s">
        <v>35</v>
      </c>
      <c r="AS1839" s="95">
        <v>0</v>
      </c>
      <c r="AT1839" s="75">
        <v>1</v>
      </c>
      <c r="AU1839" s="75">
        <v>0</v>
      </c>
      <c r="AV1839" s="75">
        <v>0</v>
      </c>
      <c r="AW1839" s="123">
        <v>0</v>
      </c>
      <c r="AX1839" s="516"/>
      <c r="AY1839" s="75">
        <v>0</v>
      </c>
      <c r="AZ1839" s="77" t="s">
        <v>131</v>
      </c>
      <c r="BA1839" s="78" t="s">
        <v>131</v>
      </c>
      <c r="BB1839" s="78" t="s">
        <v>131</v>
      </c>
      <c r="BC1839" s="78" t="s">
        <v>131</v>
      </c>
      <c r="BD1839" s="78" t="s">
        <v>131</v>
      </c>
      <c r="BE1839" s="78" t="s">
        <v>131</v>
      </c>
      <c r="BF1839" s="78" t="s">
        <v>131</v>
      </c>
      <c r="BG1839" s="78" t="s">
        <v>132</v>
      </c>
      <c r="BH1839" s="75" t="s">
        <v>5970</v>
      </c>
      <c r="BI1839" s="295" t="s">
        <v>2243</v>
      </c>
      <c r="BJ1839" s="546">
        <v>1</v>
      </c>
      <c r="BK1839" s="294" t="s">
        <v>16</v>
      </c>
      <c r="BL1839" s="157" t="s">
        <v>16</v>
      </c>
      <c r="BM1839" s="548" t="s">
        <v>1339</v>
      </c>
      <c r="BN1839" s="548" t="s">
        <v>1339</v>
      </c>
      <c r="BO1839" s="157" t="s">
        <v>4697</v>
      </c>
      <c r="BP1839" s="548" t="s">
        <v>2243</v>
      </c>
      <c r="BQ1839" s="157" t="s">
        <v>4673</v>
      </c>
      <c r="BR1839" s="157"/>
    </row>
    <row r="1840" spans="1:70" x14ac:dyDescent="0.25">
      <c r="A1840" s="19" t="s">
        <v>3686</v>
      </c>
      <c r="B1840" s="37" t="s">
        <v>1090</v>
      </c>
      <c r="C1840" s="90">
        <v>44433.812777777777</v>
      </c>
      <c r="D1840" s="114">
        <v>44433.562777777777</v>
      </c>
      <c r="E1840" s="38">
        <v>44433</v>
      </c>
      <c r="F1840" s="91">
        <v>2021</v>
      </c>
      <c r="G1840" s="93">
        <v>8</v>
      </c>
      <c r="H1840" s="37" t="s">
        <v>599</v>
      </c>
      <c r="I1840" s="37" t="s">
        <v>2361</v>
      </c>
      <c r="J1840" s="103">
        <v>-92.451890995812107</v>
      </c>
      <c r="K1840" s="40">
        <v>44.585430189077357</v>
      </c>
      <c r="L1840" s="74"/>
      <c r="M1840" s="272" t="s">
        <v>16</v>
      </c>
      <c r="N1840" s="74">
        <v>0</v>
      </c>
      <c r="O1840" s="94"/>
      <c r="P1840" s="118">
        <v>0</v>
      </c>
      <c r="Q1840" s="510"/>
      <c r="R1840" s="513"/>
      <c r="S1840" s="41"/>
      <c r="T1840" s="40"/>
      <c r="U1840" s="40"/>
      <c r="V1840" s="119">
        <v>1</v>
      </c>
      <c r="W1840" s="40">
        <v>300</v>
      </c>
      <c r="X1840" s="119">
        <v>1</v>
      </c>
      <c r="Y1840" s="40">
        <v>0</v>
      </c>
      <c r="Z1840" s="119">
        <v>0</v>
      </c>
      <c r="AA1840" s="368" t="s">
        <v>16</v>
      </c>
      <c r="AB1840" s="535" t="s">
        <v>16</v>
      </c>
      <c r="AC1840" s="39" t="s">
        <v>160</v>
      </c>
      <c r="AD1840" s="75" t="s">
        <v>10</v>
      </c>
      <c r="AE1840" s="95">
        <v>0</v>
      </c>
      <c r="AF1840" s="75">
        <v>0</v>
      </c>
      <c r="AG1840" s="75">
        <v>0</v>
      </c>
      <c r="AH1840" s="75">
        <v>0</v>
      </c>
      <c r="AI1840" s="75">
        <v>0</v>
      </c>
      <c r="AJ1840" s="75">
        <v>0</v>
      </c>
      <c r="AK1840" s="75">
        <v>0</v>
      </c>
      <c r="AL1840" s="95">
        <v>1</v>
      </c>
      <c r="AM1840" s="92">
        <v>0</v>
      </c>
      <c r="AN1840" s="79" t="s">
        <v>81</v>
      </c>
      <c r="AO1840" s="75">
        <v>1</v>
      </c>
      <c r="AP1840" s="75" t="s">
        <v>84</v>
      </c>
      <c r="AQ1840" s="122">
        <v>1</v>
      </c>
      <c r="AR1840" s="515" t="s">
        <v>10</v>
      </c>
      <c r="AS1840" s="95">
        <v>0</v>
      </c>
      <c r="AT1840" s="75">
        <v>0</v>
      </c>
      <c r="AU1840" s="75">
        <v>0</v>
      </c>
      <c r="AV1840" s="75">
        <v>0</v>
      </c>
      <c r="AW1840" s="123">
        <v>0</v>
      </c>
      <c r="AX1840" s="516"/>
      <c r="AY1840" s="75">
        <v>0</v>
      </c>
      <c r="AZ1840" s="77" t="s">
        <v>131</v>
      </c>
      <c r="BA1840" s="78" t="s">
        <v>131</v>
      </c>
      <c r="BB1840" s="78" t="s">
        <v>131</v>
      </c>
      <c r="BC1840" s="78" t="s">
        <v>131</v>
      </c>
      <c r="BD1840" s="78" t="s">
        <v>131</v>
      </c>
      <c r="BE1840" s="78" t="s">
        <v>131</v>
      </c>
      <c r="BF1840" s="78" t="s">
        <v>131</v>
      </c>
      <c r="BG1840" s="78" t="s">
        <v>132</v>
      </c>
      <c r="BH1840" s="75" t="s">
        <v>5970</v>
      </c>
      <c r="BI1840" s="295" t="s">
        <v>16</v>
      </c>
      <c r="BJ1840" s="546" t="s">
        <v>16</v>
      </c>
      <c r="BK1840" s="294" t="s">
        <v>16</v>
      </c>
      <c r="BL1840" s="157" t="s">
        <v>16</v>
      </c>
      <c r="BM1840" s="548" t="s">
        <v>578</v>
      </c>
      <c r="BN1840" s="548" t="s">
        <v>544</v>
      </c>
      <c r="BO1840" s="157" t="s">
        <v>4271</v>
      </c>
      <c r="BP1840" s="548" t="s">
        <v>4270</v>
      </c>
      <c r="BQ1840" s="157" t="s">
        <v>4214</v>
      </c>
      <c r="BR1840" s="157"/>
    </row>
    <row r="1841" spans="1:70" x14ac:dyDescent="0.25">
      <c r="A1841" s="19" t="s">
        <v>3686</v>
      </c>
      <c r="B1841" s="37" t="s">
        <v>1189</v>
      </c>
      <c r="C1841" s="90">
        <v>44433.809537037036</v>
      </c>
      <c r="D1841" s="114">
        <v>44433.559537037036</v>
      </c>
      <c r="E1841" s="38">
        <v>44433</v>
      </c>
      <c r="F1841" s="91">
        <v>2021</v>
      </c>
      <c r="G1841" s="93">
        <v>8</v>
      </c>
      <c r="H1841" s="37" t="s">
        <v>622</v>
      </c>
      <c r="I1841" s="37"/>
      <c r="J1841" s="103">
        <v>-92.276454409670336</v>
      </c>
      <c r="K1841" s="40">
        <v>44.430813328404376</v>
      </c>
      <c r="L1841" s="74"/>
      <c r="M1841" s="272" t="s">
        <v>16</v>
      </c>
      <c r="N1841" s="74">
        <v>0</v>
      </c>
      <c r="O1841" s="94"/>
      <c r="P1841" s="118">
        <v>1</v>
      </c>
      <c r="Q1841" s="510">
        <v>180</v>
      </c>
      <c r="R1841" s="513">
        <v>60</v>
      </c>
      <c r="S1841" s="41"/>
      <c r="T1841" s="40"/>
      <c r="U1841" s="40">
        <v>7.5</v>
      </c>
      <c r="V1841" s="119">
        <v>1</v>
      </c>
      <c r="W1841" s="40">
        <v>0</v>
      </c>
      <c r="X1841" s="119">
        <v>0</v>
      </c>
      <c r="Y1841" s="40"/>
      <c r="Z1841" s="119">
        <v>0</v>
      </c>
      <c r="AA1841" s="368" t="s">
        <v>16</v>
      </c>
      <c r="AB1841" s="535" t="s">
        <v>16</v>
      </c>
      <c r="AC1841" s="39" t="s">
        <v>160</v>
      </c>
      <c r="AD1841" s="75" t="s">
        <v>16</v>
      </c>
      <c r="AE1841" s="95">
        <v>-1</v>
      </c>
      <c r="AF1841" s="75">
        <v>-1</v>
      </c>
      <c r="AG1841" s="75">
        <v>-1</v>
      </c>
      <c r="AH1841" s="75">
        <v>-1</v>
      </c>
      <c r="AI1841" s="75">
        <v>-1</v>
      </c>
      <c r="AJ1841" s="75">
        <v>-1</v>
      </c>
      <c r="AK1841" s="75">
        <v>-1</v>
      </c>
      <c r="AL1841" s="95">
        <v>-1</v>
      </c>
      <c r="AM1841" s="92">
        <v>1</v>
      </c>
      <c r="AN1841" s="79"/>
      <c r="AO1841" s="75">
        <v>0</v>
      </c>
      <c r="AP1841" s="75"/>
      <c r="AQ1841" s="122">
        <v>0</v>
      </c>
      <c r="AR1841" s="515" t="s">
        <v>16</v>
      </c>
      <c r="AS1841" s="95">
        <v>-1</v>
      </c>
      <c r="AT1841" s="75">
        <v>-1</v>
      </c>
      <c r="AU1841" s="75">
        <v>-1</v>
      </c>
      <c r="AV1841" s="75">
        <v>-1</v>
      </c>
      <c r="AW1841" s="123">
        <v>1</v>
      </c>
      <c r="AX1841" s="516"/>
      <c r="AY1841" s="75">
        <v>0</v>
      </c>
      <c r="AZ1841" s="77" t="s">
        <v>5971</v>
      </c>
      <c r="BA1841" s="78" t="s">
        <v>5971</v>
      </c>
      <c r="BB1841" s="78" t="s">
        <v>5971</v>
      </c>
      <c r="BC1841" s="78" t="s">
        <v>5971</v>
      </c>
      <c r="BD1841" s="78" t="s">
        <v>5971</v>
      </c>
      <c r="BE1841" s="78" t="s">
        <v>5971</v>
      </c>
      <c r="BF1841" s="78" t="s">
        <v>5971</v>
      </c>
      <c r="BG1841" s="78" t="s">
        <v>5971</v>
      </c>
      <c r="BH1841" s="75" t="s">
        <v>5971</v>
      </c>
      <c r="BI1841" s="295" t="s">
        <v>2228</v>
      </c>
      <c r="BJ1841" s="546">
        <v>1</v>
      </c>
      <c r="BK1841" s="294" t="s">
        <v>16</v>
      </c>
      <c r="BL1841" s="157" t="s">
        <v>16</v>
      </c>
      <c r="BM1841" s="548" t="s">
        <v>1339</v>
      </c>
      <c r="BN1841" s="548" t="s">
        <v>1339</v>
      </c>
      <c r="BO1841" s="157" t="s">
        <v>4614</v>
      </c>
      <c r="BP1841" s="548" t="s">
        <v>2228</v>
      </c>
      <c r="BQ1841" s="157" t="s">
        <v>4214</v>
      </c>
      <c r="BR1841" s="157"/>
    </row>
    <row r="1842" spans="1:70" x14ac:dyDescent="0.25">
      <c r="A1842" s="19" t="s">
        <v>3686</v>
      </c>
      <c r="B1842" s="37" t="s">
        <v>1156</v>
      </c>
      <c r="C1842" s="90">
        <v>44433.767511574071</v>
      </c>
      <c r="D1842" s="114">
        <v>44433.517511574071</v>
      </c>
      <c r="E1842" s="38">
        <v>44433</v>
      </c>
      <c r="F1842" s="91">
        <v>2021</v>
      </c>
      <c r="G1842" s="93">
        <v>8</v>
      </c>
      <c r="H1842" s="37" t="s">
        <v>609</v>
      </c>
      <c r="I1842" s="37"/>
      <c r="J1842" s="103">
        <v>-93.008996815072365</v>
      </c>
      <c r="K1842" s="40">
        <v>44.657304010557297</v>
      </c>
      <c r="L1842" s="74"/>
      <c r="M1842" s="272" t="s">
        <v>16</v>
      </c>
      <c r="N1842" s="74">
        <v>0</v>
      </c>
      <c r="O1842" s="94"/>
      <c r="P1842" s="118">
        <v>1</v>
      </c>
      <c r="Q1842" s="510">
        <v>80</v>
      </c>
      <c r="R1842" s="513">
        <v>120</v>
      </c>
      <c r="S1842" s="41"/>
      <c r="T1842" s="40"/>
      <c r="U1842" s="40">
        <v>7.5</v>
      </c>
      <c r="V1842" s="119">
        <v>1</v>
      </c>
      <c r="W1842" s="40">
        <v>2500</v>
      </c>
      <c r="X1842" s="119">
        <v>1</v>
      </c>
      <c r="Y1842" s="40">
        <v>66</v>
      </c>
      <c r="Z1842" s="119">
        <v>0</v>
      </c>
      <c r="AA1842" s="368" t="s">
        <v>16</v>
      </c>
      <c r="AB1842" s="535" t="s">
        <v>16</v>
      </c>
      <c r="AC1842" s="39" t="s">
        <v>160</v>
      </c>
      <c r="AD1842" s="75" t="s">
        <v>16</v>
      </c>
      <c r="AE1842" s="95">
        <v>-1</v>
      </c>
      <c r="AF1842" s="75">
        <v>-1</v>
      </c>
      <c r="AG1842" s="75">
        <v>-1</v>
      </c>
      <c r="AH1842" s="75">
        <v>-1</v>
      </c>
      <c r="AI1842" s="75">
        <v>-1</v>
      </c>
      <c r="AJ1842" s="75">
        <v>-1</v>
      </c>
      <c r="AK1842" s="75">
        <v>-1</v>
      </c>
      <c r="AL1842" s="95">
        <v>-1</v>
      </c>
      <c r="AM1842" s="92">
        <v>1</v>
      </c>
      <c r="AN1842" s="79" t="s">
        <v>86</v>
      </c>
      <c r="AO1842" s="75">
        <v>1</v>
      </c>
      <c r="AP1842" s="75" t="s">
        <v>85</v>
      </c>
      <c r="AQ1842" s="122">
        <v>1</v>
      </c>
      <c r="AR1842" s="515" t="s">
        <v>10</v>
      </c>
      <c r="AS1842" s="95">
        <v>0</v>
      </c>
      <c r="AT1842" s="75">
        <v>0</v>
      </c>
      <c r="AU1842" s="75">
        <v>0</v>
      </c>
      <c r="AV1842" s="75">
        <v>0</v>
      </c>
      <c r="AW1842" s="123">
        <v>0</v>
      </c>
      <c r="AX1842" s="516"/>
      <c r="AY1842" s="75">
        <v>0</v>
      </c>
      <c r="AZ1842" s="77" t="s">
        <v>5971</v>
      </c>
      <c r="BA1842" s="78" t="s">
        <v>5971</v>
      </c>
      <c r="BB1842" s="78" t="s">
        <v>5971</v>
      </c>
      <c r="BC1842" s="78" t="s">
        <v>5971</v>
      </c>
      <c r="BD1842" s="78" t="s">
        <v>5971</v>
      </c>
      <c r="BE1842" s="78" t="s">
        <v>5971</v>
      </c>
      <c r="BF1842" s="78" t="s">
        <v>5971</v>
      </c>
      <c r="BG1842" s="78" t="s">
        <v>5971</v>
      </c>
      <c r="BH1842" s="75" t="s">
        <v>5971</v>
      </c>
      <c r="BI1842" s="295" t="s">
        <v>16</v>
      </c>
      <c r="BJ1842" s="546">
        <v>1</v>
      </c>
      <c r="BK1842" s="294" t="s">
        <v>16</v>
      </c>
      <c r="BL1842" s="157" t="s">
        <v>16</v>
      </c>
      <c r="BM1842" s="548" t="s">
        <v>2343</v>
      </c>
      <c r="BN1842" s="548" t="s">
        <v>4161</v>
      </c>
      <c r="BO1842" s="157" t="s">
        <v>4293</v>
      </c>
      <c r="BP1842" s="548" t="s">
        <v>2225</v>
      </c>
      <c r="BQ1842" s="157" t="s">
        <v>4292</v>
      </c>
      <c r="BR1842" s="157"/>
    </row>
    <row r="1843" spans="1:70" x14ac:dyDescent="0.25">
      <c r="A1843" s="19" t="s">
        <v>3686</v>
      </c>
      <c r="B1843" s="37" t="s">
        <v>1166</v>
      </c>
      <c r="C1843" s="90">
        <v>44432.94835648148</v>
      </c>
      <c r="D1843" s="114">
        <v>44432.69835648148</v>
      </c>
      <c r="E1843" s="38">
        <v>44432</v>
      </c>
      <c r="F1843" s="91">
        <v>2021</v>
      </c>
      <c r="G1843" s="93">
        <v>8</v>
      </c>
      <c r="H1843" s="37" t="s">
        <v>621</v>
      </c>
      <c r="I1843" s="37" t="s">
        <v>960</v>
      </c>
      <c r="J1843" s="103">
        <v>-93.008992094633157</v>
      </c>
      <c r="K1843" s="40">
        <v>44.657254004892572</v>
      </c>
      <c r="L1843" s="74"/>
      <c r="M1843" s="272" t="s">
        <v>1167</v>
      </c>
      <c r="N1843" s="74">
        <v>1</v>
      </c>
      <c r="O1843" s="94"/>
      <c r="P1843" s="118">
        <v>1</v>
      </c>
      <c r="Q1843" s="510">
        <v>120</v>
      </c>
      <c r="R1843" s="513">
        <v>60</v>
      </c>
      <c r="S1843" s="41"/>
      <c r="T1843" s="40"/>
      <c r="U1843" s="40">
        <v>7</v>
      </c>
      <c r="V1843" s="119">
        <v>1</v>
      </c>
      <c r="W1843" s="40">
        <v>0</v>
      </c>
      <c r="X1843" s="119">
        <v>1</v>
      </c>
      <c r="Y1843" s="40">
        <v>65</v>
      </c>
      <c r="Z1843" s="119">
        <v>1</v>
      </c>
      <c r="AA1843" s="368">
        <v>0</v>
      </c>
      <c r="AB1843" s="535">
        <v>2</v>
      </c>
      <c r="AC1843" s="39" t="s">
        <v>160</v>
      </c>
      <c r="AD1843" s="75" t="s">
        <v>10</v>
      </c>
      <c r="AE1843" s="95">
        <v>0</v>
      </c>
      <c r="AF1843" s="75">
        <v>0</v>
      </c>
      <c r="AG1843" s="75">
        <v>0</v>
      </c>
      <c r="AH1843" s="75">
        <v>0</v>
      </c>
      <c r="AI1843" s="75">
        <v>0</v>
      </c>
      <c r="AJ1843" s="75">
        <v>0</v>
      </c>
      <c r="AK1843" s="75">
        <v>0</v>
      </c>
      <c r="AL1843" s="95">
        <v>1</v>
      </c>
      <c r="AM1843" s="92">
        <v>0</v>
      </c>
      <c r="AN1843" s="79" t="s">
        <v>195</v>
      </c>
      <c r="AO1843" s="75">
        <v>1</v>
      </c>
      <c r="AP1843" s="75" t="s">
        <v>85</v>
      </c>
      <c r="AQ1843" s="122">
        <v>1</v>
      </c>
      <c r="AR1843" s="515" t="s">
        <v>13</v>
      </c>
      <c r="AS1843" s="95">
        <v>1</v>
      </c>
      <c r="AT1843" s="75">
        <v>0</v>
      </c>
      <c r="AU1843" s="75">
        <v>0</v>
      </c>
      <c r="AV1843" s="75">
        <v>0</v>
      </c>
      <c r="AW1843" s="123">
        <v>0</v>
      </c>
      <c r="AX1843" s="516" t="s">
        <v>1168</v>
      </c>
      <c r="AY1843" s="75">
        <v>1</v>
      </c>
      <c r="AZ1843" s="77" t="s">
        <v>131</v>
      </c>
      <c r="BA1843" s="78" t="s">
        <v>131</v>
      </c>
      <c r="BB1843" s="78" t="s">
        <v>131</v>
      </c>
      <c r="BC1843" s="78" t="s">
        <v>131</v>
      </c>
      <c r="BD1843" s="78" t="s">
        <v>131</v>
      </c>
      <c r="BE1843" s="78" t="s">
        <v>131</v>
      </c>
      <c r="BF1843" s="78" t="s">
        <v>131</v>
      </c>
      <c r="BG1843" s="78" t="s">
        <v>132</v>
      </c>
      <c r="BH1843" s="75" t="s">
        <v>5970</v>
      </c>
      <c r="BI1843" s="295" t="s">
        <v>2225</v>
      </c>
      <c r="BJ1843" s="546">
        <v>1</v>
      </c>
      <c r="BK1843" s="294" t="s">
        <v>16</v>
      </c>
      <c r="BL1843" s="157" t="s">
        <v>16</v>
      </c>
      <c r="BM1843" s="548" t="s">
        <v>2343</v>
      </c>
      <c r="BN1843" s="548" t="s">
        <v>4161</v>
      </c>
      <c r="BO1843" s="157" t="s">
        <v>4293</v>
      </c>
      <c r="BP1843" s="548" t="s">
        <v>2225</v>
      </c>
      <c r="BQ1843" s="157" t="s">
        <v>4292</v>
      </c>
      <c r="BR1843" s="157"/>
    </row>
    <row r="1844" spans="1:70" x14ac:dyDescent="0.25">
      <c r="A1844" s="19" t="s">
        <v>3686</v>
      </c>
      <c r="B1844" s="37" t="s">
        <v>1198</v>
      </c>
      <c r="C1844" s="90">
        <v>44432.946689814817</v>
      </c>
      <c r="D1844" s="114">
        <v>44432.696689814817</v>
      </c>
      <c r="E1844" s="38">
        <v>44432</v>
      </c>
      <c r="F1844" s="91">
        <v>2021</v>
      </c>
      <c r="G1844" s="93">
        <v>8</v>
      </c>
      <c r="H1844" s="37" t="s">
        <v>625</v>
      </c>
      <c r="I1844" s="37" t="s">
        <v>753</v>
      </c>
      <c r="J1844" s="103">
        <v>-92.8020827</v>
      </c>
      <c r="K1844" s="40">
        <v>44.543050800000003</v>
      </c>
      <c r="L1844" s="74"/>
      <c r="M1844" s="272" t="s">
        <v>16</v>
      </c>
      <c r="N1844" s="74">
        <v>0</v>
      </c>
      <c r="O1844" s="94"/>
      <c r="P1844" s="118">
        <v>1</v>
      </c>
      <c r="Q1844" s="510">
        <v>80</v>
      </c>
      <c r="R1844" s="513">
        <v>120</v>
      </c>
      <c r="S1844" s="41"/>
      <c r="T1844" s="40"/>
      <c r="U1844" s="40">
        <v>7.5</v>
      </c>
      <c r="V1844" s="119">
        <v>1</v>
      </c>
      <c r="W1844" s="40">
        <v>100</v>
      </c>
      <c r="X1844" s="119">
        <v>1</v>
      </c>
      <c r="Y1844" s="40">
        <v>58</v>
      </c>
      <c r="Z1844" s="119">
        <v>1</v>
      </c>
      <c r="AA1844" s="368">
        <v>0</v>
      </c>
      <c r="AB1844" s="535">
        <v>10</v>
      </c>
      <c r="AC1844" s="39" t="s">
        <v>160</v>
      </c>
      <c r="AD1844" s="75" t="s">
        <v>10</v>
      </c>
      <c r="AE1844" s="95">
        <v>0</v>
      </c>
      <c r="AF1844" s="75">
        <v>0</v>
      </c>
      <c r="AG1844" s="75">
        <v>0</v>
      </c>
      <c r="AH1844" s="75">
        <v>0</v>
      </c>
      <c r="AI1844" s="75">
        <v>0</v>
      </c>
      <c r="AJ1844" s="75">
        <v>0</v>
      </c>
      <c r="AK1844" s="75">
        <v>0</v>
      </c>
      <c r="AL1844" s="95">
        <v>1</v>
      </c>
      <c r="AM1844" s="92">
        <v>0</v>
      </c>
      <c r="AN1844" s="79" t="s">
        <v>81</v>
      </c>
      <c r="AO1844" s="75">
        <v>1</v>
      </c>
      <c r="AP1844" s="75" t="s">
        <v>84</v>
      </c>
      <c r="AQ1844" s="122">
        <v>1</v>
      </c>
      <c r="AR1844" s="515" t="s">
        <v>35</v>
      </c>
      <c r="AS1844" s="95">
        <v>0</v>
      </c>
      <c r="AT1844" s="75">
        <v>1</v>
      </c>
      <c r="AU1844" s="75">
        <v>0</v>
      </c>
      <c r="AV1844" s="75">
        <v>0</v>
      </c>
      <c r="AW1844" s="123">
        <v>0</v>
      </c>
      <c r="AX1844" s="516"/>
      <c r="AY1844" s="75">
        <v>0</v>
      </c>
      <c r="AZ1844" s="77" t="s">
        <v>131</v>
      </c>
      <c r="BA1844" s="78" t="s">
        <v>131</v>
      </c>
      <c r="BB1844" s="78" t="s">
        <v>131</v>
      </c>
      <c r="BC1844" s="78" t="s">
        <v>131</v>
      </c>
      <c r="BD1844" s="78" t="s">
        <v>131</v>
      </c>
      <c r="BE1844" s="78" t="s">
        <v>131</v>
      </c>
      <c r="BF1844" s="78" t="s">
        <v>131</v>
      </c>
      <c r="BG1844" s="78" t="s">
        <v>132</v>
      </c>
      <c r="BH1844" s="75" t="s">
        <v>5970</v>
      </c>
      <c r="BI1844" s="295" t="s">
        <v>2224</v>
      </c>
      <c r="BJ1844" s="546">
        <v>1</v>
      </c>
      <c r="BK1844" s="294">
        <v>1</v>
      </c>
      <c r="BL1844" s="157">
        <v>1</v>
      </c>
      <c r="BM1844" s="548" t="s">
        <v>2343</v>
      </c>
      <c r="BN1844" s="548" t="s">
        <v>4161</v>
      </c>
      <c r="BO1844" s="157" t="s">
        <v>4510</v>
      </c>
      <c r="BP1844" s="548" t="s">
        <v>753</v>
      </c>
      <c r="BQ1844" s="157" t="s">
        <v>4389</v>
      </c>
      <c r="BR1844" s="157"/>
    </row>
    <row r="1845" spans="1:70" x14ac:dyDescent="0.25">
      <c r="A1845" s="19" t="s">
        <v>3686</v>
      </c>
      <c r="B1845" s="37" t="s">
        <v>1146</v>
      </c>
      <c r="C1845" s="90">
        <v>44431.751435185186</v>
      </c>
      <c r="D1845" s="114">
        <v>44431.501435185186</v>
      </c>
      <c r="E1845" s="38">
        <v>44431</v>
      </c>
      <c r="F1845" s="91">
        <v>2021</v>
      </c>
      <c r="G1845" s="93">
        <v>8</v>
      </c>
      <c r="H1845" s="37" t="s">
        <v>610</v>
      </c>
      <c r="I1845" s="37"/>
      <c r="J1845" s="103">
        <v>-92.563680331486339</v>
      </c>
      <c r="K1845" s="40">
        <v>44.502601005988069</v>
      </c>
      <c r="L1845" s="74"/>
      <c r="M1845" s="272" t="s">
        <v>1147</v>
      </c>
      <c r="N1845" s="74">
        <v>1</v>
      </c>
      <c r="O1845" s="94"/>
      <c r="P1845" s="118">
        <v>1</v>
      </c>
      <c r="Q1845" s="510">
        <v>180</v>
      </c>
      <c r="R1845" s="513">
        <v>180</v>
      </c>
      <c r="S1845" s="41"/>
      <c r="T1845" s="40"/>
      <c r="U1845" s="40">
        <v>8</v>
      </c>
      <c r="V1845" s="119">
        <v>1</v>
      </c>
      <c r="W1845" s="40">
        <v>300</v>
      </c>
      <c r="X1845" s="119">
        <v>1</v>
      </c>
      <c r="Y1845" s="40">
        <v>61</v>
      </c>
      <c r="Z1845" s="119">
        <v>1</v>
      </c>
      <c r="AA1845" s="368">
        <v>0</v>
      </c>
      <c r="AB1845" s="535">
        <v>2</v>
      </c>
      <c r="AC1845" s="39" t="s">
        <v>160</v>
      </c>
      <c r="AD1845" s="75" t="s">
        <v>10</v>
      </c>
      <c r="AE1845" s="95">
        <v>0</v>
      </c>
      <c r="AF1845" s="75">
        <v>0</v>
      </c>
      <c r="AG1845" s="75">
        <v>0</v>
      </c>
      <c r="AH1845" s="75">
        <v>0</v>
      </c>
      <c r="AI1845" s="75">
        <v>0</v>
      </c>
      <c r="AJ1845" s="75">
        <v>0</v>
      </c>
      <c r="AK1845" s="75">
        <v>0</v>
      </c>
      <c r="AL1845" s="95">
        <v>1</v>
      </c>
      <c r="AM1845" s="92">
        <v>0</v>
      </c>
      <c r="AN1845" s="79" t="s">
        <v>81</v>
      </c>
      <c r="AO1845" s="75">
        <v>1</v>
      </c>
      <c r="AP1845" s="75" t="s">
        <v>83</v>
      </c>
      <c r="AQ1845" s="122">
        <v>1</v>
      </c>
      <c r="AR1845" s="515" t="s">
        <v>13</v>
      </c>
      <c r="AS1845" s="95">
        <v>1</v>
      </c>
      <c r="AT1845" s="75">
        <v>0</v>
      </c>
      <c r="AU1845" s="75">
        <v>0</v>
      </c>
      <c r="AV1845" s="75">
        <v>0</v>
      </c>
      <c r="AW1845" s="123">
        <v>0</v>
      </c>
      <c r="AX1845" s="516"/>
      <c r="AY1845" s="75">
        <v>0</v>
      </c>
      <c r="AZ1845" s="77" t="s">
        <v>131</v>
      </c>
      <c r="BA1845" s="78" t="s">
        <v>131</v>
      </c>
      <c r="BB1845" s="78" t="s">
        <v>131</v>
      </c>
      <c r="BC1845" s="78" t="s">
        <v>131</v>
      </c>
      <c r="BD1845" s="78" t="s">
        <v>131</v>
      </c>
      <c r="BE1845" s="78" t="s">
        <v>131</v>
      </c>
      <c r="BF1845" s="78" t="s">
        <v>131</v>
      </c>
      <c r="BG1845" s="78" t="s">
        <v>132</v>
      </c>
      <c r="BH1845" s="75" t="s">
        <v>5970</v>
      </c>
      <c r="BI1845" s="295" t="s">
        <v>2238</v>
      </c>
      <c r="BJ1845" s="546">
        <v>1</v>
      </c>
      <c r="BK1845" s="294" t="s">
        <v>16</v>
      </c>
      <c r="BL1845" s="157" t="s">
        <v>16</v>
      </c>
      <c r="BM1845" s="548" t="s">
        <v>2343</v>
      </c>
      <c r="BN1845" s="548" t="s">
        <v>1339</v>
      </c>
      <c r="BO1845" s="157" t="s">
        <v>4308</v>
      </c>
      <c r="BP1845" s="548" t="s">
        <v>2238</v>
      </c>
      <c r="BQ1845" s="157" t="s">
        <v>4307</v>
      </c>
      <c r="BR1845" s="157"/>
    </row>
    <row r="1846" spans="1:70" x14ac:dyDescent="0.25">
      <c r="A1846" s="19" t="s">
        <v>3686</v>
      </c>
      <c r="B1846" s="37" t="s">
        <v>1225</v>
      </c>
      <c r="C1846" s="90">
        <v>44430.819340277776</v>
      </c>
      <c r="D1846" s="114">
        <v>44430.569340277776</v>
      </c>
      <c r="E1846" s="38">
        <v>44430</v>
      </c>
      <c r="F1846" s="91">
        <v>2021</v>
      </c>
      <c r="G1846" s="93">
        <v>8</v>
      </c>
      <c r="H1846" s="37" t="s">
        <v>599</v>
      </c>
      <c r="I1846" s="37" t="s">
        <v>2361</v>
      </c>
      <c r="J1846" s="103">
        <v>-92.442892855119354</v>
      </c>
      <c r="K1846" s="40">
        <v>44.621423087124349</v>
      </c>
      <c r="L1846" s="74"/>
      <c r="M1846" s="272" t="s">
        <v>16</v>
      </c>
      <c r="N1846" s="74">
        <v>0</v>
      </c>
      <c r="O1846" s="94"/>
      <c r="P1846" s="118">
        <v>0</v>
      </c>
      <c r="Q1846" s="510"/>
      <c r="R1846" s="513"/>
      <c r="S1846" s="41"/>
      <c r="T1846" s="40"/>
      <c r="U1846" s="40"/>
      <c r="V1846" s="119">
        <v>0</v>
      </c>
      <c r="W1846" s="40"/>
      <c r="X1846" s="119">
        <v>1</v>
      </c>
      <c r="Y1846" s="40">
        <v>58</v>
      </c>
      <c r="Z1846" s="119">
        <v>1</v>
      </c>
      <c r="AA1846" s="368">
        <v>0</v>
      </c>
      <c r="AB1846" s="535">
        <v>5</v>
      </c>
      <c r="AC1846" s="39"/>
      <c r="AD1846" s="75" t="s">
        <v>10</v>
      </c>
      <c r="AE1846" s="95">
        <v>0</v>
      </c>
      <c r="AF1846" s="75">
        <v>0</v>
      </c>
      <c r="AG1846" s="75">
        <v>0</v>
      </c>
      <c r="AH1846" s="75">
        <v>0</v>
      </c>
      <c r="AI1846" s="75">
        <v>0</v>
      </c>
      <c r="AJ1846" s="75">
        <v>0</v>
      </c>
      <c r="AK1846" s="75">
        <v>0</v>
      </c>
      <c r="AL1846" s="95">
        <v>1</v>
      </c>
      <c r="AM1846" s="92">
        <v>0</v>
      </c>
      <c r="AN1846" s="79" t="s">
        <v>80</v>
      </c>
      <c r="AO1846" s="75">
        <v>1</v>
      </c>
      <c r="AP1846" s="75" t="s">
        <v>83</v>
      </c>
      <c r="AQ1846" s="122">
        <v>1</v>
      </c>
      <c r="AR1846" s="515" t="s">
        <v>10</v>
      </c>
      <c r="AS1846" s="95">
        <v>0</v>
      </c>
      <c r="AT1846" s="75">
        <v>0</v>
      </c>
      <c r="AU1846" s="75">
        <v>0</v>
      </c>
      <c r="AV1846" s="75">
        <v>0</v>
      </c>
      <c r="AW1846" s="123">
        <v>0</v>
      </c>
      <c r="AX1846" s="516"/>
      <c r="AY1846" s="75">
        <v>0</v>
      </c>
      <c r="AZ1846" s="77" t="s">
        <v>131</v>
      </c>
      <c r="BA1846" s="78" t="s">
        <v>131</v>
      </c>
      <c r="BB1846" s="78" t="s">
        <v>131</v>
      </c>
      <c r="BC1846" s="78" t="s">
        <v>131</v>
      </c>
      <c r="BD1846" s="78" t="s">
        <v>131</v>
      </c>
      <c r="BE1846" s="78" t="s">
        <v>131</v>
      </c>
      <c r="BF1846" s="78" t="s">
        <v>131</v>
      </c>
      <c r="BG1846" s="78" t="s">
        <v>132</v>
      </c>
      <c r="BH1846" s="75" t="s">
        <v>5970</v>
      </c>
      <c r="BI1846" s="295" t="s">
        <v>16</v>
      </c>
      <c r="BJ1846" s="546">
        <v>1</v>
      </c>
      <c r="BK1846" s="294" t="s">
        <v>16</v>
      </c>
      <c r="BL1846" s="157" t="s">
        <v>16</v>
      </c>
      <c r="BM1846" s="548" t="s">
        <v>578</v>
      </c>
      <c r="BN1846" s="548" t="s">
        <v>544</v>
      </c>
      <c r="BO1846" s="157" t="s">
        <v>4283</v>
      </c>
      <c r="BP1846" s="548" t="s">
        <v>2289</v>
      </c>
      <c r="BQ1846" s="157" t="s">
        <v>4214</v>
      </c>
      <c r="BR1846" s="157"/>
    </row>
    <row r="1847" spans="1:70" x14ac:dyDescent="0.25">
      <c r="A1847" s="19" t="s">
        <v>3686</v>
      </c>
      <c r="B1847" s="37" t="s">
        <v>1096</v>
      </c>
      <c r="C1847" s="90">
        <v>44428.691319444442</v>
      </c>
      <c r="D1847" s="114">
        <v>44428.441319444442</v>
      </c>
      <c r="E1847" s="38">
        <v>44428</v>
      </c>
      <c r="F1847" s="91">
        <v>2021</v>
      </c>
      <c r="G1847" s="93">
        <v>8</v>
      </c>
      <c r="H1847" s="37" t="s">
        <v>606</v>
      </c>
      <c r="I1847" s="37" t="s">
        <v>16</v>
      </c>
      <c r="J1847" s="103">
        <v>-92.143936046990206</v>
      </c>
      <c r="K1847" s="40">
        <v>44.236890956060527</v>
      </c>
      <c r="L1847" s="74"/>
      <c r="M1847" s="272" t="s">
        <v>16</v>
      </c>
      <c r="N1847" s="74">
        <v>0</v>
      </c>
      <c r="O1847" s="94"/>
      <c r="P1847" s="118">
        <v>1</v>
      </c>
      <c r="Q1847" s="510">
        <v>180</v>
      </c>
      <c r="R1847" s="513">
        <v>120</v>
      </c>
      <c r="S1847" s="41"/>
      <c r="T1847" s="40"/>
      <c r="U1847" s="40">
        <v>7.5</v>
      </c>
      <c r="V1847" s="119">
        <v>1</v>
      </c>
      <c r="W1847" s="40">
        <v>100</v>
      </c>
      <c r="X1847" s="119">
        <v>1</v>
      </c>
      <c r="Y1847" s="40">
        <v>59</v>
      </c>
      <c r="Z1847" s="119">
        <v>1</v>
      </c>
      <c r="AA1847" s="368">
        <v>0</v>
      </c>
      <c r="AB1847" s="535">
        <v>5</v>
      </c>
      <c r="AC1847" s="39" t="s">
        <v>160</v>
      </c>
      <c r="AD1847" s="75" t="s">
        <v>10</v>
      </c>
      <c r="AE1847" s="95">
        <v>0</v>
      </c>
      <c r="AF1847" s="75">
        <v>0</v>
      </c>
      <c r="AG1847" s="75">
        <v>0</v>
      </c>
      <c r="AH1847" s="75">
        <v>0</v>
      </c>
      <c r="AI1847" s="75">
        <v>0</v>
      </c>
      <c r="AJ1847" s="75">
        <v>0</v>
      </c>
      <c r="AK1847" s="75">
        <v>0</v>
      </c>
      <c r="AL1847" s="95">
        <v>1</v>
      </c>
      <c r="AM1847" s="92">
        <v>0</v>
      </c>
      <c r="AN1847" s="79" t="s">
        <v>80</v>
      </c>
      <c r="AO1847" s="75">
        <v>1</v>
      </c>
      <c r="AP1847" s="75" t="s">
        <v>83</v>
      </c>
      <c r="AQ1847" s="122">
        <v>1</v>
      </c>
      <c r="AR1847" s="515" t="s">
        <v>10</v>
      </c>
      <c r="AS1847" s="95">
        <v>0</v>
      </c>
      <c r="AT1847" s="75">
        <v>0</v>
      </c>
      <c r="AU1847" s="75">
        <v>0</v>
      </c>
      <c r="AV1847" s="75">
        <v>0</v>
      </c>
      <c r="AW1847" s="123">
        <v>0</v>
      </c>
      <c r="AX1847" s="516" t="s">
        <v>1097</v>
      </c>
      <c r="AY1847" s="75">
        <v>1</v>
      </c>
      <c r="AZ1847" s="77" t="s">
        <v>131</v>
      </c>
      <c r="BA1847" s="78" t="s">
        <v>131</v>
      </c>
      <c r="BB1847" s="78" t="s">
        <v>131</v>
      </c>
      <c r="BC1847" s="78" t="s">
        <v>131</v>
      </c>
      <c r="BD1847" s="78" t="s">
        <v>131</v>
      </c>
      <c r="BE1847" s="78" t="s">
        <v>131</v>
      </c>
      <c r="BF1847" s="78" t="s">
        <v>131</v>
      </c>
      <c r="BG1847" s="78" t="s">
        <v>132</v>
      </c>
      <c r="BH1847" s="75" t="s">
        <v>5970</v>
      </c>
      <c r="BI1847" s="295" t="s">
        <v>317</v>
      </c>
      <c r="BJ1847" s="546">
        <v>1</v>
      </c>
      <c r="BK1847" s="294">
        <v>1</v>
      </c>
      <c r="BL1847" s="157">
        <v>1</v>
      </c>
      <c r="BM1847" s="548" t="s">
        <v>1339</v>
      </c>
      <c r="BN1847" s="548" t="s">
        <v>1339</v>
      </c>
      <c r="BO1847" s="157" t="s">
        <v>4358</v>
      </c>
      <c r="BP1847" s="548" t="s">
        <v>317</v>
      </c>
      <c r="BQ1847" s="157" t="s">
        <v>4330</v>
      </c>
      <c r="BR1847" s="157"/>
    </row>
    <row r="1848" spans="1:70" x14ac:dyDescent="0.25">
      <c r="A1848" s="19" t="s">
        <v>3686</v>
      </c>
      <c r="B1848" s="37" t="s">
        <v>1206</v>
      </c>
      <c r="C1848" s="90">
        <v>44428.667500000003</v>
      </c>
      <c r="D1848" s="114">
        <v>44428.417500000003</v>
      </c>
      <c r="E1848" s="38">
        <v>44428</v>
      </c>
      <c r="F1848" s="91">
        <v>2021</v>
      </c>
      <c r="G1848" s="93">
        <v>8</v>
      </c>
      <c r="H1848" s="37" t="s">
        <v>475</v>
      </c>
      <c r="I1848" s="37"/>
      <c r="J1848" s="103">
        <v>-92.224255269479215</v>
      </c>
      <c r="K1848" s="40">
        <v>43.621742371510358</v>
      </c>
      <c r="L1848" s="74"/>
      <c r="M1848" s="272" t="s">
        <v>1207</v>
      </c>
      <c r="N1848" s="74">
        <v>1</v>
      </c>
      <c r="O1848" s="94"/>
      <c r="P1848" s="118">
        <v>1</v>
      </c>
      <c r="Q1848" s="510">
        <v>180</v>
      </c>
      <c r="R1848" s="513">
        <v>120</v>
      </c>
      <c r="S1848" s="41"/>
      <c r="T1848" s="40"/>
      <c r="U1848" s="40">
        <v>7</v>
      </c>
      <c r="V1848" s="119">
        <v>1</v>
      </c>
      <c r="W1848" s="40">
        <v>0</v>
      </c>
      <c r="X1848" s="119">
        <v>1</v>
      </c>
      <c r="Y1848" s="40">
        <v>0</v>
      </c>
      <c r="Z1848" s="119">
        <v>1</v>
      </c>
      <c r="AA1848" s="368">
        <v>0</v>
      </c>
      <c r="AB1848" s="535">
        <v>5</v>
      </c>
      <c r="AC1848" s="39" t="s">
        <v>160</v>
      </c>
      <c r="AD1848" s="75" t="s">
        <v>10</v>
      </c>
      <c r="AE1848" s="95">
        <v>0</v>
      </c>
      <c r="AF1848" s="75">
        <v>0</v>
      </c>
      <c r="AG1848" s="75">
        <v>0</v>
      </c>
      <c r="AH1848" s="75">
        <v>0</v>
      </c>
      <c r="AI1848" s="75">
        <v>0</v>
      </c>
      <c r="AJ1848" s="75">
        <v>0</v>
      </c>
      <c r="AK1848" s="75">
        <v>0</v>
      </c>
      <c r="AL1848" s="95">
        <v>1</v>
      </c>
      <c r="AM1848" s="92">
        <v>0</v>
      </c>
      <c r="AN1848" s="79" t="s">
        <v>80</v>
      </c>
      <c r="AO1848" s="75">
        <v>1</v>
      </c>
      <c r="AP1848" s="75" t="s">
        <v>83</v>
      </c>
      <c r="AQ1848" s="122">
        <v>1</v>
      </c>
      <c r="AR1848" s="515" t="s">
        <v>16</v>
      </c>
      <c r="AS1848" s="95">
        <v>-1</v>
      </c>
      <c r="AT1848" s="75">
        <v>-1</v>
      </c>
      <c r="AU1848" s="75">
        <v>-1</v>
      </c>
      <c r="AV1848" s="75">
        <v>-1</v>
      </c>
      <c r="AW1848" s="123">
        <v>1</v>
      </c>
      <c r="AX1848" s="516" t="s">
        <v>1208</v>
      </c>
      <c r="AY1848" s="75">
        <v>1</v>
      </c>
      <c r="AZ1848" s="77" t="s">
        <v>131</v>
      </c>
      <c r="BA1848" s="78" t="s">
        <v>131</v>
      </c>
      <c r="BB1848" s="78" t="s">
        <v>131</v>
      </c>
      <c r="BC1848" s="78" t="s">
        <v>131</v>
      </c>
      <c r="BD1848" s="78" t="s">
        <v>131</v>
      </c>
      <c r="BE1848" s="78" t="s">
        <v>131</v>
      </c>
      <c r="BF1848" s="78" t="s">
        <v>131</v>
      </c>
      <c r="BG1848" s="78" t="s">
        <v>132</v>
      </c>
      <c r="BH1848" s="75" t="s">
        <v>5970</v>
      </c>
      <c r="BI1848" s="295" t="s">
        <v>2232</v>
      </c>
      <c r="BJ1848" s="546">
        <v>1</v>
      </c>
      <c r="BK1848" s="294" t="s">
        <v>16</v>
      </c>
      <c r="BL1848" s="157" t="s">
        <v>16</v>
      </c>
      <c r="BM1848" s="548" t="s">
        <v>1339</v>
      </c>
      <c r="BN1848" s="548" t="s">
        <v>1339</v>
      </c>
      <c r="BO1848" s="157" t="s">
        <v>4719</v>
      </c>
      <c r="BP1848" s="548" t="s">
        <v>2232</v>
      </c>
      <c r="BQ1848" s="157" t="s">
        <v>4229</v>
      </c>
      <c r="BR1848" s="157"/>
    </row>
    <row r="1849" spans="1:70" x14ac:dyDescent="0.25">
      <c r="A1849" s="19" t="s">
        <v>3686</v>
      </c>
      <c r="B1849" s="37" t="s">
        <v>1073</v>
      </c>
      <c r="C1849" s="90">
        <v>44428.550682870373</v>
      </c>
      <c r="D1849" s="114">
        <v>44428.300682870373</v>
      </c>
      <c r="E1849" s="38">
        <v>44428</v>
      </c>
      <c r="F1849" s="91">
        <v>2021</v>
      </c>
      <c r="G1849" s="93">
        <v>8</v>
      </c>
      <c r="H1849" s="37" t="s">
        <v>475</v>
      </c>
      <c r="I1849" s="37"/>
      <c r="J1849" s="103">
        <v>-92.278218716468913</v>
      </c>
      <c r="K1849" s="40">
        <v>43.793117129284695</v>
      </c>
      <c r="L1849" s="74"/>
      <c r="M1849" s="272" t="s">
        <v>1074</v>
      </c>
      <c r="N1849" s="74">
        <v>1</v>
      </c>
      <c r="O1849" s="94"/>
      <c r="P1849" s="118">
        <v>1</v>
      </c>
      <c r="Q1849" s="510">
        <v>180</v>
      </c>
      <c r="R1849" s="513">
        <v>180</v>
      </c>
      <c r="S1849" s="41"/>
      <c r="T1849" s="40"/>
      <c r="U1849" s="40">
        <v>7</v>
      </c>
      <c r="V1849" s="119">
        <v>1</v>
      </c>
      <c r="W1849" s="40">
        <v>2500</v>
      </c>
      <c r="X1849" s="119">
        <v>1</v>
      </c>
      <c r="Y1849" s="40">
        <v>0</v>
      </c>
      <c r="Z1849" s="119">
        <v>1</v>
      </c>
      <c r="AA1849" s="368">
        <v>0</v>
      </c>
      <c r="AB1849" s="535">
        <v>5</v>
      </c>
      <c r="AC1849" s="39" t="s">
        <v>160</v>
      </c>
      <c r="AD1849" s="75" t="s">
        <v>10</v>
      </c>
      <c r="AE1849" s="95">
        <v>0</v>
      </c>
      <c r="AF1849" s="75">
        <v>0</v>
      </c>
      <c r="AG1849" s="75">
        <v>0</v>
      </c>
      <c r="AH1849" s="75">
        <v>0</v>
      </c>
      <c r="AI1849" s="75">
        <v>0</v>
      </c>
      <c r="AJ1849" s="75">
        <v>0</v>
      </c>
      <c r="AK1849" s="75">
        <v>0</v>
      </c>
      <c r="AL1849" s="95">
        <v>1</v>
      </c>
      <c r="AM1849" s="92">
        <v>0</v>
      </c>
      <c r="AN1849" s="79" t="s">
        <v>80</v>
      </c>
      <c r="AO1849" s="75">
        <v>1</v>
      </c>
      <c r="AP1849" s="75" t="s">
        <v>83</v>
      </c>
      <c r="AQ1849" s="122">
        <v>1</v>
      </c>
      <c r="AR1849" s="515" t="s">
        <v>10</v>
      </c>
      <c r="AS1849" s="95">
        <v>0</v>
      </c>
      <c r="AT1849" s="75">
        <v>0</v>
      </c>
      <c r="AU1849" s="75">
        <v>0</v>
      </c>
      <c r="AV1849" s="75">
        <v>0</v>
      </c>
      <c r="AW1849" s="123">
        <v>0</v>
      </c>
      <c r="AX1849" s="516" t="s">
        <v>1075</v>
      </c>
      <c r="AY1849" s="75">
        <v>1</v>
      </c>
      <c r="AZ1849" s="77" t="s">
        <v>131</v>
      </c>
      <c r="BA1849" s="78" t="s">
        <v>131</v>
      </c>
      <c r="BB1849" s="78" t="s">
        <v>131</v>
      </c>
      <c r="BC1849" s="78" t="s">
        <v>131</v>
      </c>
      <c r="BD1849" s="78" t="s">
        <v>131</v>
      </c>
      <c r="BE1849" s="78" t="s">
        <v>131</v>
      </c>
      <c r="BF1849" s="78" t="s">
        <v>131</v>
      </c>
      <c r="BG1849" s="78" t="s">
        <v>132</v>
      </c>
      <c r="BH1849" s="75" t="s">
        <v>5970</v>
      </c>
      <c r="BI1849" s="295" t="s">
        <v>2251</v>
      </c>
      <c r="BJ1849" s="546">
        <v>1</v>
      </c>
      <c r="BK1849" s="294">
        <v>1</v>
      </c>
      <c r="BL1849" s="157">
        <v>1</v>
      </c>
      <c r="BM1849" s="548" t="s">
        <v>1339</v>
      </c>
      <c r="BN1849" s="548" t="s">
        <v>1339</v>
      </c>
      <c r="BO1849" s="157" t="s">
        <v>4329</v>
      </c>
      <c r="BP1849" s="548" t="s">
        <v>4228</v>
      </c>
      <c r="BQ1849" s="157" t="s">
        <v>4226</v>
      </c>
      <c r="BR1849" s="157"/>
    </row>
    <row r="1850" spans="1:70" x14ac:dyDescent="0.25">
      <c r="A1850" s="19" t="s">
        <v>3686</v>
      </c>
      <c r="B1850" s="37" t="s">
        <v>1136</v>
      </c>
      <c r="C1850" s="90">
        <v>44426.854490740741</v>
      </c>
      <c r="D1850" s="114">
        <v>44426.604490740741</v>
      </c>
      <c r="E1850" s="38">
        <v>44426</v>
      </c>
      <c r="F1850" s="91">
        <v>2021</v>
      </c>
      <c r="G1850" s="93">
        <v>8</v>
      </c>
      <c r="H1850" s="37" t="s">
        <v>260</v>
      </c>
      <c r="I1850" s="37" t="s">
        <v>337</v>
      </c>
      <c r="J1850" s="103">
        <v>-92.6451137079044</v>
      </c>
      <c r="K1850" s="40">
        <v>44.843579554050571</v>
      </c>
      <c r="L1850" s="74"/>
      <c r="M1850" s="272" t="s">
        <v>1137</v>
      </c>
      <c r="N1850" s="74">
        <v>1</v>
      </c>
      <c r="O1850" s="94"/>
      <c r="P1850" s="118">
        <v>1</v>
      </c>
      <c r="Q1850" s="510">
        <v>0</v>
      </c>
      <c r="R1850" s="513">
        <v>30</v>
      </c>
      <c r="S1850" s="41"/>
      <c r="T1850" s="40"/>
      <c r="U1850" s="40">
        <v>7</v>
      </c>
      <c r="V1850" s="119">
        <v>1</v>
      </c>
      <c r="W1850" s="40">
        <v>0</v>
      </c>
      <c r="X1850" s="119">
        <v>1</v>
      </c>
      <c r="Y1850" s="40">
        <v>65</v>
      </c>
      <c r="Z1850" s="119">
        <v>1</v>
      </c>
      <c r="AA1850" s="368">
        <v>0</v>
      </c>
      <c r="AB1850" s="535">
        <v>10</v>
      </c>
      <c r="AC1850" s="39" t="s">
        <v>160</v>
      </c>
      <c r="AD1850" s="75" t="s">
        <v>10</v>
      </c>
      <c r="AE1850" s="95">
        <v>0</v>
      </c>
      <c r="AF1850" s="75">
        <v>0</v>
      </c>
      <c r="AG1850" s="75">
        <v>0</v>
      </c>
      <c r="AH1850" s="75">
        <v>0</v>
      </c>
      <c r="AI1850" s="75">
        <v>0</v>
      </c>
      <c r="AJ1850" s="75">
        <v>0</v>
      </c>
      <c r="AK1850" s="75">
        <v>0</v>
      </c>
      <c r="AL1850" s="95">
        <v>1</v>
      </c>
      <c r="AM1850" s="92">
        <v>0</v>
      </c>
      <c r="AN1850" s="79" t="s">
        <v>80</v>
      </c>
      <c r="AO1850" s="75">
        <v>1</v>
      </c>
      <c r="AP1850" s="75" t="s">
        <v>83</v>
      </c>
      <c r="AQ1850" s="122">
        <v>1</v>
      </c>
      <c r="AR1850" s="515" t="s">
        <v>10</v>
      </c>
      <c r="AS1850" s="95">
        <v>0</v>
      </c>
      <c r="AT1850" s="75">
        <v>0</v>
      </c>
      <c r="AU1850" s="75">
        <v>0</v>
      </c>
      <c r="AV1850" s="75">
        <v>0</v>
      </c>
      <c r="AW1850" s="123">
        <v>0</v>
      </c>
      <c r="AX1850" s="516" t="s">
        <v>1138</v>
      </c>
      <c r="AY1850" s="75">
        <v>1</v>
      </c>
      <c r="AZ1850" s="77" t="s">
        <v>131</v>
      </c>
      <c r="BA1850" s="78" t="s">
        <v>131</v>
      </c>
      <c r="BB1850" s="78" t="s">
        <v>131</v>
      </c>
      <c r="BC1850" s="78" t="s">
        <v>131</v>
      </c>
      <c r="BD1850" s="78" t="s">
        <v>131</v>
      </c>
      <c r="BE1850" s="78" t="s">
        <v>131</v>
      </c>
      <c r="BF1850" s="78" t="s">
        <v>131</v>
      </c>
      <c r="BG1850" s="78" t="s">
        <v>132</v>
      </c>
      <c r="BH1850" s="75" t="s">
        <v>5970</v>
      </c>
      <c r="BI1850" s="295" t="s">
        <v>2227</v>
      </c>
      <c r="BJ1850" s="546">
        <v>1</v>
      </c>
      <c r="BK1850" s="294" t="s">
        <v>16</v>
      </c>
      <c r="BL1850" s="157" t="s">
        <v>16</v>
      </c>
      <c r="BM1850" s="548" t="s">
        <v>578</v>
      </c>
      <c r="BN1850" s="548" t="s">
        <v>578</v>
      </c>
      <c r="BO1850" s="157" t="s">
        <v>4341</v>
      </c>
      <c r="BP1850" s="548" t="s">
        <v>4343</v>
      </c>
      <c r="BQ1850" s="157" t="s">
        <v>4309</v>
      </c>
      <c r="BR1850" s="157"/>
    </row>
    <row r="1851" spans="1:70" x14ac:dyDescent="0.25">
      <c r="A1851" s="19" t="s">
        <v>3686</v>
      </c>
      <c r="B1851" s="37" t="s">
        <v>1113</v>
      </c>
      <c r="C1851" s="90">
        <v>44426.801377314812</v>
      </c>
      <c r="D1851" s="114">
        <v>44426.551377314812</v>
      </c>
      <c r="E1851" s="38">
        <v>44426</v>
      </c>
      <c r="F1851" s="91">
        <v>2021</v>
      </c>
      <c r="G1851" s="93">
        <v>8</v>
      </c>
      <c r="H1851" s="37" t="s">
        <v>622</v>
      </c>
      <c r="I1851" s="37"/>
      <c r="J1851" s="103">
        <v>-92.267851391893117</v>
      </c>
      <c r="K1851" s="40">
        <v>44.428648198996136</v>
      </c>
      <c r="L1851" s="74"/>
      <c r="M1851" s="272" t="s">
        <v>16</v>
      </c>
      <c r="N1851" s="74">
        <v>0</v>
      </c>
      <c r="O1851" s="94"/>
      <c r="P1851" s="118">
        <v>1</v>
      </c>
      <c r="Q1851" s="510">
        <v>120</v>
      </c>
      <c r="R1851" s="513">
        <v>60</v>
      </c>
      <c r="S1851" s="41"/>
      <c r="T1851" s="40"/>
      <c r="U1851" s="40">
        <v>7</v>
      </c>
      <c r="V1851" s="119">
        <v>1</v>
      </c>
      <c r="W1851" s="40">
        <v>100</v>
      </c>
      <c r="X1851" s="119">
        <v>1</v>
      </c>
      <c r="Y1851" s="40">
        <v>63</v>
      </c>
      <c r="Z1851" s="119">
        <v>1</v>
      </c>
      <c r="AA1851" s="368">
        <v>0</v>
      </c>
      <c r="AB1851" s="535">
        <v>5</v>
      </c>
      <c r="AC1851" s="39" t="s">
        <v>160</v>
      </c>
      <c r="AD1851" s="75" t="s">
        <v>16</v>
      </c>
      <c r="AE1851" s="95">
        <v>-1</v>
      </c>
      <c r="AF1851" s="75">
        <v>-1</v>
      </c>
      <c r="AG1851" s="75">
        <v>-1</v>
      </c>
      <c r="AH1851" s="75">
        <v>-1</v>
      </c>
      <c r="AI1851" s="75">
        <v>-1</v>
      </c>
      <c r="AJ1851" s="75">
        <v>-1</v>
      </c>
      <c r="AK1851" s="75">
        <v>-1</v>
      </c>
      <c r="AL1851" s="95">
        <v>-1</v>
      </c>
      <c r="AM1851" s="92">
        <v>1</v>
      </c>
      <c r="AN1851" s="79"/>
      <c r="AO1851" s="75">
        <v>0</v>
      </c>
      <c r="AP1851" s="75"/>
      <c r="AQ1851" s="122">
        <v>0</v>
      </c>
      <c r="AR1851" s="515" t="s">
        <v>16</v>
      </c>
      <c r="AS1851" s="95">
        <v>-1</v>
      </c>
      <c r="AT1851" s="75">
        <v>-1</v>
      </c>
      <c r="AU1851" s="75">
        <v>-1</v>
      </c>
      <c r="AV1851" s="75">
        <v>-1</v>
      </c>
      <c r="AW1851" s="123">
        <v>1</v>
      </c>
      <c r="AX1851" s="516"/>
      <c r="AY1851" s="75">
        <v>0</v>
      </c>
      <c r="AZ1851" s="77" t="s">
        <v>5971</v>
      </c>
      <c r="BA1851" s="78" t="s">
        <v>5971</v>
      </c>
      <c r="BB1851" s="78" t="s">
        <v>5971</v>
      </c>
      <c r="BC1851" s="78" t="s">
        <v>5971</v>
      </c>
      <c r="BD1851" s="78" t="s">
        <v>5971</v>
      </c>
      <c r="BE1851" s="78" t="s">
        <v>5971</v>
      </c>
      <c r="BF1851" s="78" t="s">
        <v>5971</v>
      </c>
      <c r="BG1851" s="78" t="s">
        <v>5971</v>
      </c>
      <c r="BH1851" s="75" t="s">
        <v>5971</v>
      </c>
      <c r="BI1851" s="295" t="s">
        <v>2228</v>
      </c>
      <c r="BJ1851" s="546">
        <v>1</v>
      </c>
      <c r="BK1851" s="294" t="s">
        <v>16</v>
      </c>
      <c r="BL1851" s="157" t="s">
        <v>16</v>
      </c>
      <c r="BM1851" s="548" t="s">
        <v>1339</v>
      </c>
      <c r="BN1851" s="548" t="s">
        <v>1339</v>
      </c>
      <c r="BO1851" s="157" t="s">
        <v>4614</v>
      </c>
      <c r="BP1851" s="548" t="s">
        <v>2228</v>
      </c>
      <c r="BQ1851" s="157" t="s">
        <v>4214</v>
      </c>
      <c r="BR1851" s="157"/>
    </row>
    <row r="1852" spans="1:70" x14ac:dyDescent="0.25">
      <c r="A1852" s="19" t="s">
        <v>3686</v>
      </c>
      <c r="B1852" s="37" t="s">
        <v>1205</v>
      </c>
      <c r="C1852" s="90">
        <v>44426.005810185183</v>
      </c>
      <c r="D1852" s="114">
        <v>44425.755810185183</v>
      </c>
      <c r="E1852" s="38">
        <v>44425</v>
      </c>
      <c r="F1852" s="91">
        <v>2021</v>
      </c>
      <c r="G1852" s="93">
        <v>8</v>
      </c>
      <c r="H1852" s="37" t="s">
        <v>625</v>
      </c>
      <c r="I1852" s="37" t="s">
        <v>753</v>
      </c>
      <c r="J1852" s="103">
        <v>-92.802125599999997</v>
      </c>
      <c r="K1852" s="40">
        <v>44.543005100000002</v>
      </c>
      <c r="L1852" s="74"/>
      <c r="M1852" s="272" t="s">
        <v>16</v>
      </c>
      <c r="N1852" s="74">
        <v>0</v>
      </c>
      <c r="O1852" s="94"/>
      <c r="P1852" s="118">
        <v>1</v>
      </c>
      <c r="Q1852" s="510">
        <v>80</v>
      </c>
      <c r="R1852" s="513">
        <v>180</v>
      </c>
      <c r="S1852" s="41"/>
      <c r="T1852" s="40"/>
      <c r="U1852" s="40">
        <v>8</v>
      </c>
      <c r="V1852" s="119">
        <v>1</v>
      </c>
      <c r="W1852" s="40">
        <v>0</v>
      </c>
      <c r="X1852" s="119">
        <v>1</v>
      </c>
      <c r="Y1852" s="40">
        <v>62</v>
      </c>
      <c r="Z1852" s="119">
        <v>1</v>
      </c>
      <c r="AA1852" s="368">
        <v>0</v>
      </c>
      <c r="AB1852" s="535">
        <v>10</v>
      </c>
      <c r="AC1852" s="39" t="s">
        <v>160</v>
      </c>
      <c r="AD1852" s="75" t="s">
        <v>10</v>
      </c>
      <c r="AE1852" s="95">
        <v>0</v>
      </c>
      <c r="AF1852" s="75">
        <v>0</v>
      </c>
      <c r="AG1852" s="75">
        <v>0</v>
      </c>
      <c r="AH1852" s="75">
        <v>0</v>
      </c>
      <c r="AI1852" s="75">
        <v>0</v>
      </c>
      <c r="AJ1852" s="75">
        <v>0</v>
      </c>
      <c r="AK1852" s="75">
        <v>0</v>
      </c>
      <c r="AL1852" s="95">
        <v>1</v>
      </c>
      <c r="AM1852" s="92">
        <v>0</v>
      </c>
      <c r="AN1852" s="79" t="s">
        <v>80</v>
      </c>
      <c r="AO1852" s="75">
        <v>1</v>
      </c>
      <c r="AP1852" s="75" t="s">
        <v>83</v>
      </c>
      <c r="AQ1852" s="122">
        <v>1</v>
      </c>
      <c r="AR1852" s="515" t="s">
        <v>10</v>
      </c>
      <c r="AS1852" s="95">
        <v>0</v>
      </c>
      <c r="AT1852" s="75">
        <v>0</v>
      </c>
      <c r="AU1852" s="75">
        <v>0</v>
      </c>
      <c r="AV1852" s="75">
        <v>0</v>
      </c>
      <c r="AW1852" s="123">
        <v>0</v>
      </c>
      <c r="AX1852" s="516"/>
      <c r="AY1852" s="75">
        <v>0</v>
      </c>
      <c r="AZ1852" s="77" t="s">
        <v>131</v>
      </c>
      <c r="BA1852" s="78" t="s">
        <v>131</v>
      </c>
      <c r="BB1852" s="78" t="s">
        <v>131</v>
      </c>
      <c r="BC1852" s="78" t="s">
        <v>131</v>
      </c>
      <c r="BD1852" s="78" t="s">
        <v>131</v>
      </c>
      <c r="BE1852" s="78" t="s">
        <v>131</v>
      </c>
      <c r="BF1852" s="78" t="s">
        <v>131</v>
      </c>
      <c r="BG1852" s="78" t="s">
        <v>132</v>
      </c>
      <c r="BH1852" s="75" t="s">
        <v>5970</v>
      </c>
      <c r="BI1852" s="295" t="s">
        <v>2224</v>
      </c>
      <c r="BJ1852" s="546">
        <v>1</v>
      </c>
      <c r="BK1852" s="294">
        <v>1</v>
      </c>
      <c r="BL1852" s="157">
        <v>1</v>
      </c>
      <c r="BM1852" s="548" t="s">
        <v>2343</v>
      </c>
      <c r="BN1852" s="548" t="s">
        <v>4161</v>
      </c>
      <c r="BO1852" s="157" t="s">
        <v>4510</v>
      </c>
      <c r="BP1852" s="548" t="s">
        <v>753</v>
      </c>
      <c r="BQ1852" s="157" t="s">
        <v>4389</v>
      </c>
      <c r="BR1852" s="157"/>
    </row>
    <row r="1853" spans="1:70" x14ac:dyDescent="0.25">
      <c r="A1853" s="19" t="s">
        <v>3686</v>
      </c>
      <c r="B1853" s="37" t="s">
        <v>1091</v>
      </c>
      <c r="C1853" s="90">
        <v>44423.806064814817</v>
      </c>
      <c r="D1853" s="114">
        <v>44423.556064814817</v>
      </c>
      <c r="E1853" s="38">
        <v>44423</v>
      </c>
      <c r="F1853" s="91">
        <v>2021</v>
      </c>
      <c r="G1853" s="93">
        <v>8</v>
      </c>
      <c r="H1853" s="37" t="s">
        <v>596</v>
      </c>
      <c r="I1853" s="37" t="s">
        <v>360</v>
      </c>
      <c r="J1853" s="103">
        <v>-92.643504899999996</v>
      </c>
      <c r="K1853" s="40">
        <v>44.842815899999998</v>
      </c>
      <c r="L1853" s="74"/>
      <c r="M1853" s="272" t="s">
        <v>1092</v>
      </c>
      <c r="N1853" s="74">
        <v>1</v>
      </c>
      <c r="O1853" s="94"/>
      <c r="P1853" s="118">
        <v>1</v>
      </c>
      <c r="Q1853" s="510">
        <v>40</v>
      </c>
      <c r="R1853" s="513">
        <v>120</v>
      </c>
      <c r="S1853" s="41"/>
      <c r="T1853" s="40"/>
      <c r="U1853" s="40">
        <v>7.5</v>
      </c>
      <c r="V1853" s="119">
        <v>1</v>
      </c>
      <c r="W1853" s="40">
        <v>100</v>
      </c>
      <c r="X1853" s="119">
        <v>1</v>
      </c>
      <c r="Y1853" s="40">
        <v>62</v>
      </c>
      <c r="Z1853" s="119">
        <v>0</v>
      </c>
      <c r="AA1853" s="368" t="s">
        <v>16</v>
      </c>
      <c r="AB1853" s="535" t="s">
        <v>16</v>
      </c>
      <c r="AC1853" s="39" t="s">
        <v>160</v>
      </c>
      <c r="AD1853" s="75" t="s">
        <v>10</v>
      </c>
      <c r="AE1853" s="95">
        <v>0</v>
      </c>
      <c r="AF1853" s="75">
        <v>0</v>
      </c>
      <c r="AG1853" s="75">
        <v>0</v>
      </c>
      <c r="AH1853" s="75">
        <v>0</v>
      </c>
      <c r="AI1853" s="75">
        <v>0</v>
      </c>
      <c r="AJ1853" s="75">
        <v>0</v>
      </c>
      <c r="AK1853" s="75">
        <v>0</v>
      </c>
      <c r="AL1853" s="95">
        <v>1</v>
      </c>
      <c r="AM1853" s="92">
        <v>0</v>
      </c>
      <c r="AN1853" s="79" t="s">
        <v>80</v>
      </c>
      <c r="AO1853" s="75">
        <v>1</v>
      </c>
      <c r="AP1853" s="75" t="s">
        <v>83</v>
      </c>
      <c r="AQ1853" s="122">
        <v>1</v>
      </c>
      <c r="AR1853" s="515" t="s">
        <v>10</v>
      </c>
      <c r="AS1853" s="95">
        <v>0</v>
      </c>
      <c r="AT1853" s="75">
        <v>0</v>
      </c>
      <c r="AU1853" s="75">
        <v>0</v>
      </c>
      <c r="AV1853" s="75">
        <v>0</v>
      </c>
      <c r="AW1853" s="123">
        <v>0</v>
      </c>
      <c r="AX1853" s="516"/>
      <c r="AY1853" s="75">
        <v>0</v>
      </c>
      <c r="AZ1853" s="77" t="s">
        <v>131</v>
      </c>
      <c r="BA1853" s="78" t="s">
        <v>131</v>
      </c>
      <c r="BB1853" s="78" t="s">
        <v>131</v>
      </c>
      <c r="BC1853" s="78" t="s">
        <v>131</v>
      </c>
      <c r="BD1853" s="78" t="s">
        <v>131</v>
      </c>
      <c r="BE1853" s="78" t="s">
        <v>131</v>
      </c>
      <c r="BF1853" s="78" t="s">
        <v>131</v>
      </c>
      <c r="BG1853" s="78" t="s">
        <v>132</v>
      </c>
      <c r="BH1853" s="75" t="s">
        <v>5970</v>
      </c>
      <c r="BI1853" s="295" t="s">
        <v>2227</v>
      </c>
      <c r="BJ1853" s="546">
        <v>1</v>
      </c>
      <c r="BK1853" s="294" t="s">
        <v>16</v>
      </c>
      <c r="BL1853" s="157" t="s">
        <v>16</v>
      </c>
      <c r="BM1853" s="548" t="s">
        <v>578</v>
      </c>
      <c r="BN1853" s="548" t="s">
        <v>578</v>
      </c>
      <c r="BO1853" s="157" t="s">
        <v>4341</v>
      </c>
      <c r="BP1853" s="548" t="s">
        <v>4343</v>
      </c>
      <c r="BQ1853" s="157" t="s">
        <v>4309</v>
      </c>
      <c r="BR1853" s="157"/>
    </row>
    <row r="1854" spans="1:70" x14ac:dyDescent="0.25">
      <c r="A1854" s="19" t="s">
        <v>3686</v>
      </c>
      <c r="B1854" s="37" t="s">
        <v>1088</v>
      </c>
      <c r="C1854" s="90">
        <v>44422.870636574073</v>
      </c>
      <c r="D1854" s="114">
        <v>44422.620636574073</v>
      </c>
      <c r="E1854" s="38">
        <v>44422</v>
      </c>
      <c r="F1854" s="91">
        <v>2021</v>
      </c>
      <c r="G1854" s="93">
        <v>8</v>
      </c>
      <c r="H1854" s="37" t="s">
        <v>614</v>
      </c>
      <c r="I1854" s="37"/>
      <c r="J1854" s="103">
        <v>-92.829456162999264</v>
      </c>
      <c r="K1854" s="40">
        <v>45.050434730466577</v>
      </c>
      <c r="L1854" s="74"/>
      <c r="M1854" s="272" t="s">
        <v>16</v>
      </c>
      <c r="N1854" s="74">
        <v>0</v>
      </c>
      <c r="O1854" s="94"/>
      <c r="P1854" s="118">
        <v>1</v>
      </c>
      <c r="Q1854" s="510">
        <v>180</v>
      </c>
      <c r="R1854" s="513">
        <v>180</v>
      </c>
      <c r="S1854" s="41"/>
      <c r="T1854" s="40"/>
      <c r="U1854" s="40">
        <v>7.5</v>
      </c>
      <c r="V1854" s="119">
        <v>1</v>
      </c>
      <c r="W1854" s="40">
        <v>0</v>
      </c>
      <c r="X1854" s="119">
        <v>1</v>
      </c>
      <c r="Y1854" s="40">
        <v>53</v>
      </c>
      <c r="Z1854" s="119">
        <v>1</v>
      </c>
      <c r="AA1854" s="368">
        <v>0</v>
      </c>
      <c r="AB1854" s="535">
        <v>10</v>
      </c>
      <c r="AC1854" s="39" t="s">
        <v>160</v>
      </c>
      <c r="AD1854" s="75" t="s">
        <v>16</v>
      </c>
      <c r="AE1854" s="95">
        <v>-1</v>
      </c>
      <c r="AF1854" s="75">
        <v>-1</v>
      </c>
      <c r="AG1854" s="75">
        <v>-1</v>
      </c>
      <c r="AH1854" s="75">
        <v>-1</v>
      </c>
      <c r="AI1854" s="75">
        <v>-1</v>
      </c>
      <c r="AJ1854" s="75">
        <v>-1</v>
      </c>
      <c r="AK1854" s="75">
        <v>-1</v>
      </c>
      <c r="AL1854" s="95">
        <v>-1</v>
      </c>
      <c r="AM1854" s="92">
        <v>1</v>
      </c>
      <c r="AN1854" s="79"/>
      <c r="AO1854" s="75">
        <v>0</v>
      </c>
      <c r="AP1854" s="75"/>
      <c r="AQ1854" s="122">
        <v>0</v>
      </c>
      <c r="AR1854" s="515" t="s">
        <v>16</v>
      </c>
      <c r="AS1854" s="95">
        <v>-1</v>
      </c>
      <c r="AT1854" s="75">
        <v>-1</v>
      </c>
      <c r="AU1854" s="75">
        <v>-1</v>
      </c>
      <c r="AV1854" s="75">
        <v>-1</v>
      </c>
      <c r="AW1854" s="123">
        <v>1</v>
      </c>
      <c r="AX1854" s="516" t="s">
        <v>1089</v>
      </c>
      <c r="AY1854" s="75">
        <v>1</v>
      </c>
      <c r="AZ1854" s="77" t="s">
        <v>5971</v>
      </c>
      <c r="BA1854" s="78" t="s">
        <v>5971</v>
      </c>
      <c r="BB1854" s="78" t="s">
        <v>5971</v>
      </c>
      <c r="BC1854" s="78" t="s">
        <v>5971</v>
      </c>
      <c r="BD1854" s="78" t="s">
        <v>5971</v>
      </c>
      <c r="BE1854" s="78" t="s">
        <v>5971</v>
      </c>
      <c r="BF1854" s="78" t="s">
        <v>5971</v>
      </c>
      <c r="BG1854" s="78" t="s">
        <v>5971</v>
      </c>
      <c r="BH1854" s="75" t="s">
        <v>5971</v>
      </c>
      <c r="BI1854" s="295" t="s">
        <v>16</v>
      </c>
      <c r="BJ1854" s="546" t="s">
        <v>16</v>
      </c>
      <c r="BK1854" s="294" t="s">
        <v>16</v>
      </c>
      <c r="BL1854" s="157" t="s">
        <v>16</v>
      </c>
      <c r="BM1854" s="548" t="s">
        <v>2343</v>
      </c>
      <c r="BN1854" s="548" t="s">
        <v>578</v>
      </c>
      <c r="BO1854" s="157" t="s">
        <v>4420</v>
      </c>
      <c r="BP1854" s="548" t="s">
        <v>4678</v>
      </c>
      <c r="BQ1854" s="157" t="s">
        <v>4287</v>
      </c>
      <c r="BR1854" s="157"/>
    </row>
    <row r="1855" spans="1:70" x14ac:dyDescent="0.25">
      <c r="A1855" s="19" t="s">
        <v>3686</v>
      </c>
      <c r="B1855" s="37" t="s">
        <v>985</v>
      </c>
      <c r="C1855" s="90">
        <v>44421.669652777775</v>
      </c>
      <c r="D1855" s="114">
        <v>44421.419652777775</v>
      </c>
      <c r="E1855" s="38">
        <v>44421</v>
      </c>
      <c r="F1855" s="91">
        <v>2021</v>
      </c>
      <c r="G1855" s="93">
        <v>8</v>
      </c>
      <c r="H1855" s="37" t="s">
        <v>302</v>
      </c>
      <c r="I1855" s="37"/>
      <c r="J1855" s="103">
        <v>-92.229398109346064</v>
      </c>
      <c r="K1855" s="40">
        <v>43.881215415256214</v>
      </c>
      <c r="L1855" s="74"/>
      <c r="M1855" s="272" t="s">
        <v>16</v>
      </c>
      <c r="N1855" s="74">
        <v>0</v>
      </c>
      <c r="O1855" s="94"/>
      <c r="P1855" s="118">
        <v>1</v>
      </c>
      <c r="Q1855" s="510">
        <v>40</v>
      </c>
      <c r="R1855" s="513">
        <v>120</v>
      </c>
      <c r="S1855" s="41"/>
      <c r="T1855" s="40"/>
      <c r="U1855" s="40">
        <v>8</v>
      </c>
      <c r="V1855" s="119">
        <v>1</v>
      </c>
      <c r="W1855" s="40">
        <v>0</v>
      </c>
      <c r="X1855" s="119">
        <v>0</v>
      </c>
      <c r="Y1855" s="40"/>
      <c r="Z1855" s="119">
        <v>1</v>
      </c>
      <c r="AA1855" s="368">
        <v>0</v>
      </c>
      <c r="AB1855" s="535">
        <v>5</v>
      </c>
      <c r="AC1855" s="39" t="s">
        <v>160</v>
      </c>
      <c r="AD1855" s="75" t="s">
        <v>439</v>
      </c>
      <c r="AE1855" s="95">
        <v>0</v>
      </c>
      <c r="AF1855" s="75">
        <v>1</v>
      </c>
      <c r="AG1855" s="75">
        <v>0</v>
      </c>
      <c r="AH1855" s="75">
        <v>0</v>
      </c>
      <c r="AI1855" s="75">
        <v>1</v>
      </c>
      <c r="AJ1855" s="75">
        <v>0</v>
      </c>
      <c r="AK1855" s="75">
        <v>0</v>
      </c>
      <c r="AL1855" s="95">
        <v>0</v>
      </c>
      <c r="AM1855" s="92">
        <v>0</v>
      </c>
      <c r="AN1855" s="79" t="s">
        <v>80</v>
      </c>
      <c r="AO1855" s="75">
        <v>1</v>
      </c>
      <c r="AP1855" s="75" t="s">
        <v>84</v>
      </c>
      <c r="AQ1855" s="122">
        <v>1</v>
      </c>
      <c r="AR1855" s="515" t="s">
        <v>10</v>
      </c>
      <c r="AS1855" s="95">
        <v>0</v>
      </c>
      <c r="AT1855" s="75">
        <v>0</v>
      </c>
      <c r="AU1855" s="75">
        <v>0</v>
      </c>
      <c r="AV1855" s="75">
        <v>0</v>
      </c>
      <c r="AW1855" s="123">
        <v>0</v>
      </c>
      <c r="AX1855" s="516" t="s">
        <v>986</v>
      </c>
      <c r="AY1855" s="75">
        <v>1</v>
      </c>
      <c r="AZ1855" s="77" t="s">
        <v>131</v>
      </c>
      <c r="BA1855" s="78" t="s">
        <v>132</v>
      </c>
      <c r="BB1855" s="78" t="s">
        <v>131</v>
      </c>
      <c r="BC1855" s="78" t="s">
        <v>131</v>
      </c>
      <c r="BD1855" s="78" t="s">
        <v>132</v>
      </c>
      <c r="BE1855" s="78" t="s">
        <v>131</v>
      </c>
      <c r="BF1855" s="78" t="s">
        <v>131</v>
      </c>
      <c r="BG1855" s="78" t="s">
        <v>131</v>
      </c>
      <c r="BH1855" s="75" t="s">
        <v>5970</v>
      </c>
      <c r="BI1855" s="295" t="s">
        <v>2243</v>
      </c>
      <c r="BJ1855" s="546">
        <v>1</v>
      </c>
      <c r="BK1855" s="294" t="s">
        <v>16</v>
      </c>
      <c r="BL1855" s="157" t="s">
        <v>16</v>
      </c>
      <c r="BM1855" s="548" t="s">
        <v>1339</v>
      </c>
      <c r="BN1855" s="548" t="s">
        <v>4160</v>
      </c>
      <c r="BO1855" s="157" t="s">
        <v>4697</v>
      </c>
      <c r="BP1855" s="548" t="s">
        <v>2243</v>
      </c>
      <c r="BQ1855" s="157" t="s">
        <v>4673</v>
      </c>
      <c r="BR1855" s="157"/>
    </row>
    <row r="1856" spans="1:70" x14ac:dyDescent="0.25">
      <c r="A1856" s="19" t="s">
        <v>3686</v>
      </c>
      <c r="B1856" s="37" t="s">
        <v>994</v>
      </c>
      <c r="C1856" s="90">
        <v>44421.667002314818</v>
      </c>
      <c r="D1856" s="114">
        <v>44421.417002314818</v>
      </c>
      <c r="E1856" s="38">
        <v>44421</v>
      </c>
      <c r="F1856" s="91">
        <v>2021</v>
      </c>
      <c r="G1856" s="93">
        <v>8</v>
      </c>
      <c r="H1856" s="37" t="s">
        <v>604</v>
      </c>
      <c r="I1856" s="37" t="s">
        <v>16</v>
      </c>
      <c r="J1856" s="103">
        <v>-93.116526715544154</v>
      </c>
      <c r="K1856" s="40">
        <v>44.659005026374622</v>
      </c>
      <c r="L1856" s="74"/>
      <c r="M1856" s="272" t="s">
        <v>16</v>
      </c>
      <c r="N1856" s="74">
        <v>0</v>
      </c>
      <c r="O1856" s="94"/>
      <c r="P1856" s="118">
        <v>1</v>
      </c>
      <c r="Q1856" s="510">
        <v>180</v>
      </c>
      <c r="R1856" s="513">
        <v>120</v>
      </c>
      <c r="S1856" s="41"/>
      <c r="T1856" s="40"/>
      <c r="U1856" s="40">
        <v>7.5</v>
      </c>
      <c r="V1856" s="119">
        <v>1</v>
      </c>
      <c r="W1856" s="40">
        <v>0</v>
      </c>
      <c r="X1856" s="119">
        <v>1</v>
      </c>
      <c r="Y1856" s="40">
        <v>62</v>
      </c>
      <c r="Z1856" s="119">
        <v>1</v>
      </c>
      <c r="AA1856" s="368">
        <v>0</v>
      </c>
      <c r="AB1856" s="535">
        <v>2</v>
      </c>
      <c r="AC1856" s="39" t="s">
        <v>160</v>
      </c>
      <c r="AD1856" s="75" t="s">
        <v>10</v>
      </c>
      <c r="AE1856" s="95">
        <v>0</v>
      </c>
      <c r="AF1856" s="75">
        <v>0</v>
      </c>
      <c r="AG1856" s="75">
        <v>0</v>
      </c>
      <c r="AH1856" s="75">
        <v>0</v>
      </c>
      <c r="AI1856" s="75">
        <v>0</v>
      </c>
      <c r="AJ1856" s="75">
        <v>0</v>
      </c>
      <c r="AK1856" s="75">
        <v>0</v>
      </c>
      <c r="AL1856" s="95">
        <v>1</v>
      </c>
      <c r="AM1856" s="92">
        <v>0</v>
      </c>
      <c r="AN1856" s="79" t="s">
        <v>80</v>
      </c>
      <c r="AO1856" s="75">
        <v>1</v>
      </c>
      <c r="AP1856" s="75" t="s">
        <v>83</v>
      </c>
      <c r="AQ1856" s="122">
        <v>1</v>
      </c>
      <c r="AR1856" s="515" t="s">
        <v>10</v>
      </c>
      <c r="AS1856" s="95">
        <v>0</v>
      </c>
      <c r="AT1856" s="75">
        <v>0</v>
      </c>
      <c r="AU1856" s="75">
        <v>0</v>
      </c>
      <c r="AV1856" s="75">
        <v>0</v>
      </c>
      <c r="AW1856" s="123">
        <v>0</v>
      </c>
      <c r="AX1856" s="516"/>
      <c r="AY1856" s="75">
        <v>0</v>
      </c>
      <c r="AZ1856" s="77" t="s">
        <v>131</v>
      </c>
      <c r="BA1856" s="78" t="s">
        <v>131</v>
      </c>
      <c r="BB1856" s="78" t="s">
        <v>131</v>
      </c>
      <c r="BC1856" s="78" t="s">
        <v>131</v>
      </c>
      <c r="BD1856" s="78" t="s">
        <v>131</v>
      </c>
      <c r="BE1856" s="78" t="s">
        <v>131</v>
      </c>
      <c r="BF1856" s="78" t="s">
        <v>131</v>
      </c>
      <c r="BG1856" s="78" t="s">
        <v>132</v>
      </c>
      <c r="BH1856" s="75" t="s">
        <v>5970</v>
      </c>
      <c r="BI1856" s="295" t="s">
        <v>2233</v>
      </c>
      <c r="BJ1856" s="546">
        <v>1</v>
      </c>
      <c r="BK1856" s="294" t="s">
        <v>16</v>
      </c>
      <c r="BL1856" s="157" t="s">
        <v>16</v>
      </c>
      <c r="BM1856" s="548" t="s">
        <v>2343</v>
      </c>
      <c r="BN1856" s="548" t="s">
        <v>4161</v>
      </c>
      <c r="BO1856" s="157" t="s">
        <v>4685</v>
      </c>
      <c r="BP1856" s="548" t="s">
        <v>4686</v>
      </c>
      <c r="BQ1856" s="157" t="s">
        <v>4292</v>
      </c>
      <c r="BR1856" s="157"/>
    </row>
    <row r="1857" spans="1:70" x14ac:dyDescent="0.25">
      <c r="A1857" s="19" t="s">
        <v>3686</v>
      </c>
      <c r="B1857" s="37" t="s">
        <v>1177</v>
      </c>
      <c r="C1857" s="90">
        <v>44421.55133101852</v>
      </c>
      <c r="D1857" s="114">
        <v>44421.30133101852</v>
      </c>
      <c r="E1857" s="38">
        <v>44421</v>
      </c>
      <c r="F1857" s="91">
        <v>2021</v>
      </c>
      <c r="G1857" s="93">
        <v>8</v>
      </c>
      <c r="H1857" s="37" t="s">
        <v>598</v>
      </c>
      <c r="I1857" s="37" t="s">
        <v>16</v>
      </c>
      <c r="J1857" s="103">
        <v>-91.823900740329293</v>
      </c>
      <c r="K1857" s="40">
        <v>43.642431286476111</v>
      </c>
      <c r="L1857" s="74"/>
      <c r="M1857" s="272" t="s">
        <v>1178</v>
      </c>
      <c r="N1857" s="74">
        <v>1</v>
      </c>
      <c r="O1857" s="94"/>
      <c r="P1857" s="118">
        <v>1</v>
      </c>
      <c r="Q1857" s="510">
        <v>40</v>
      </c>
      <c r="R1857" s="513">
        <v>0</v>
      </c>
      <c r="S1857" s="41"/>
      <c r="T1857" s="40"/>
      <c r="U1857" s="40">
        <v>7</v>
      </c>
      <c r="V1857" s="119">
        <v>1</v>
      </c>
      <c r="W1857" s="40">
        <v>200</v>
      </c>
      <c r="X1857" s="119">
        <v>1</v>
      </c>
      <c r="Y1857" s="40">
        <v>58</v>
      </c>
      <c r="Z1857" s="119">
        <v>1</v>
      </c>
      <c r="AA1857" s="368">
        <v>0</v>
      </c>
      <c r="AB1857" s="535">
        <v>5</v>
      </c>
      <c r="AC1857" s="39" t="s">
        <v>160</v>
      </c>
      <c r="AD1857" s="75" t="s">
        <v>10</v>
      </c>
      <c r="AE1857" s="95">
        <v>0</v>
      </c>
      <c r="AF1857" s="75">
        <v>0</v>
      </c>
      <c r="AG1857" s="75">
        <v>0</v>
      </c>
      <c r="AH1857" s="75">
        <v>0</v>
      </c>
      <c r="AI1857" s="75">
        <v>0</v>
      </c>
      <c r="AJ1857" s="75">
        <v>0</v>
      </c>
      <c r="AK1857" s="75">
        <v>0</v>
      </c>
      <c r="AL1857" s="95">
        <v>1</v>
      </c>
      <c r="AM1857" s="92">
        <v>0</v>
      </c>
      <c r="AN1857" s="79" t="s">
        <v>81</v>
      </c>
      <c r="AO1857" s="75">
        <v>1</v>
      </c>
      <c r="AP1857" s="75" t="s">
        <v>83</v>
      </c>
      <c r="AQ1857" s="122">
        <v>1</v>
      </c>
      <c r="AR1857" s="515" t="s">
        <v>10</v>
      </c>
      <c r="AS1857" s="95">
        <v>0</v>
      </c>
      <c r="AT1857" s="75">
        <v>0</v>
      </c>
      <c r="AU1857" s="75">
        <v>0</v>
      </c>
      <c r="AV1857" s="75">
        <v>0</v>
      </c>
      <c r="AW1857" s="123">
        <v>0</v>
      </c>
      <c r="AX1857" s="516"/>
      <c r="AY1857" s="75">
        <v>0</v>
      </c>
      <c r="AZ1857" s="77" t="s">
        <v>131</v>
      </c>
      <c r="BA1857" s="78" t="s">
        <v>131</v>
      </c>
      <c r="BB1857" s="78" t="s">
        <v>131</v>
      </c>
      <c r="BC1857" s="78" t="s">
        <v>131</v>
      </c>
      <c r="BD1857" s="78" t="s">
        <v>131</v>
      </c>
      <c r="BE1857" s="78" t="s">
        <v>131</v>
      </c>
      <c r="BF1857" s="78" t="s">
        <v>131</v>
      </c>
      <c r="BG1857" s="78" t="s">
        <v>132</v>
      </c>
      <c r="BH1857" s="75" t="s">
        <v>5970</v>
      </c>
      <c r="BI1857" s="295" t="s">
        <v>2249</v>
      </c>
      <c r="BJ1857" s="546">
        <v>1</v>
      </c>
      <c r="BK1857" s="294">
        <v>1</v>
      </c>
      <c r="BL1857" s="157">
        <v>1</v>
      </c>
      <c r="BM1857" s="548" t="s">
        <v>1341</v>
      </c>
      <c r="BN1857" s="548" t="s">
        <v>1339</v>
      </c>
      <c r="BO1857" s="157" t="s">
        <v>4418</v>
      </c>
      <c r="BP1857" s="548" t="s">
        <v>4419</v>
      </c>
      <c r="BQ1857" s="157" t="s">
        <v>4232</v>
      </c>
      <c r="BR1857" s="157"/>
    </row>
    <row r="1858" spans="1:70" x14ac:dyDescent="0.25">
      <c r="A1858" s="19" t="s">
        <v>3686</v>
      </c>
      <c r="B1858" s="37" t="s">
        <v>1015</v>
      </c>
      <c r="C1858" s="90">
        <v>44420.884791666664</v>
      </c>
      <c r="D1858" s="114">
        <v>44420.634791666664</v>
      </c>
      <c r="E1858" s="38">
        <v>44420</v>
      </c>
      <c r="F1858" s="91">
        <v>2021</v>
      </c>
      <c r="G1858" s="93">
        <v>8</v>
      </c>
      <c r="H1858" s="37" t="s">
        <v>461</v>
      </c>
      <c r="I1858" s="37" t="s">
        <v>154</v>
      </c>
      <c r="J1858" s="103">
        <v>-92.146555673541243</v>
      </c>
      <c r="K1858" s="40">
        <v>44.793459499113197</v>
      </c>
      <c r="L1858" s="74"/>
      <c r="M1858" s="272" t="s">
        <v>16</v>
      </c>
      <c r="N1858" s="74">
        <v>0</v>
      </c>
      <c r="O1858" s="94"/>
      <c r="P1858" s="118">
        <v>1</v>
      </c>
      <c r="Q1858" s="510">
        <v>180</v>
      </c>
      <c r="R1858" s="513">
        <v>120</v>
      </c>
      <c r="S1858" s="41"/>
      <c r="T1858" s="40"/>
      <c r="U1858" s="40">
        <v>7.5</v>
      </c>
      <c r="V1858" s="119">
        <v>1</v>
      </c>
      <c r="W1858" s="40">
        <v>0</v>
      </c>
      <c r="X1858" s="119">
        <v>1</v>
      </c>
      <c r="Y1858" s="40">
        <v>62</v>
      </c>
      <c r="Z1858" s="119">
        <v>1</v>
      </c>
      <c r="AA1858" s="368">
        <v>0</v>
      </c>
      <c r="AB1858" s="535">
        <v>5</v>
      </c>
      <c r="AC1858" s="39" t="s">
        <v>160</v>
      </c>
      <c r="AD1858" s="75" t="s">
        <v>10</v>
      </c>
      <c r="AE1858" s="95">
        <v>0</v>
      </c>
      <c r="AF1858" s="75">
        <v>0</v>
      </c>
      <c r="AG1858" s="75">
        <v>0</v>
      </c>
      <c r="AH1858" s="75">
        <v>0</v>
      </c>
      <c r="AI1858" s="75">
        <v>0</v>
      </c>
      <c r="AJ1858" s="75">
        <v>0</v>
      </c>
      <c r="AK1858" s="75">
        <v>0</v>
      </c>
      <c r="AL1858" s="95">
        <v>1</v>
      </c>
      <c r="AM1858" s="92">
        <v>0</v>
      </c>
      <c r="AN1858" s="79" t="s">
        <v>80</v>
      </c>
      <c r="AO1858" s="75">
        <v>1</v>
      </c>
      <c r="AP1858" s="75" t="s">
        <v>83</v>
      </c>
      <c r="AQ1858" s="122">
        <v>1</v>
      </c>
      <c r="AR1858" s="515" t="s">
        <v>10</v>
      </c>
      <c r="AS1858" s="95">
        <v>0</v>
      </c>
      <c r="AT1858" s="75">
        <v>0</v>
      </c>
      <c r="AU1858" s="75">
        <v>0</v>
      </c>
      <c r="AV1858" s="75">
        <v>0</v>
      </c>
      <c r="AW1858" s="123">
        <v>0</v>
      </c>
      <c r="AX1858" s="516"/>
      <c r="AY1858" s="75">
        <v>0</v>
      </c>
      <c r="AZ1858" s="77" t="s">
        <v>131</v>
      </c>
      <c r="BA1858" s="78" t="s">
        <v>131</v>
      </c>
      <c r="BB1858" s="78" t="s">
        <v>131</v>
      </c>
      <c r="BC1858" s="78" t="s">
        <v>131</v>
      </c>
      <c r="BD1858" s="78" t="s">
        <v>131</v>
      </c>
      <c r="BE1858" s="78" t="s">
        <v>131</v>
      </c>
      <c r="BF1858" s="78" t="s">
        <v>131</v>
      </c>
      <c r="BG1858" s="78" t="s">
        <v>132</v>
      </c>
      <c r="BH1858" s="75" t="s">
        <v>5970</v>
      </c>
      <c r="BI1858" s="295" t="s">
        <v>2270</v>
      </c>
      <c r="BJ1858" s="546">
        <v>1</v>
      </c>
      <c r="BK1858" s="294">
        <v>1</v>
      </c>
      <c r="BL1858" s="157">
        <v>1</v>
      </c>
      <c r="BM1858" s="548" t="s">
        <v>578</v>
      </c>
      <c r="BN1858" s="548" t="s">
        <v>578</v>
      </c>
      <c r="BO1858" s="157" t="s">
        <v>4317</v>
      </c>
      <c r="BP1858" s="548" t="s">
        <v>2270</v>
      </c>
      <c r="BQ1858" s="157" t="s">
        <v>4316</v>
      </c>
      <c r="BR1858" s="157"/>
    </row>
    <row r="1859" spans="1:70" x14ac:dyDescent="0.25">
      <c r="A1859" s="19" t="s">
        <v>3686</v>
      </c>
      <c r="B1859" s="37" t="s">
        <v>1038</v>
      </c>
      <c r="C1859" s="90">
        <v>44420.821550925924</v>
      </c>
      <c r="D1859" s="114">
        <v>44420.571550925924</v>
      </c>
      <c r="E1859" s="38">
        <v>44420</v>
      </c>
      <c r="F1859" s="91">
        <v>2021</v>
      </c>
      <c r="G1859" s="93">
        <v>8</v>
      </c>
      <c r="H1859" s="37" t="s">
        <v>302</v>
      </c>
      <c r="I1859" s="37"/>
      <c r="J1859" s="103">
        <v>-92.020894321471218</v>
      </c>
      <c r="K1859" s="40">
        <v>44.151042332647144</v>
      </c>
      <c r="L1859" s="74"/>
      <c r="M1859" s="272" t="s">
        <v>16</v>
      </c>
      <c r="N1859" s="74">
        <v>0</v>
      </c>
      <c r="O1859" s="94"/>
      <c r="P1859" s="118">
        <v>1</v>
      </c>
      <c r="Q1859" s="510">
        <v>180</v>
      </c>
      <c r="R1859" s="513">
        <v>120</v>
      </c>
      <c r="S1859" s="41"/>
      <c r="T1859" s="40"/>
      <c r="U1859" s="40">
        <v>7</v>
      </c>
      <c r="V1859" s="119">
        <v>1</v>
      </c>
      <c r="W1859" s="40">
        <v>100</v>
      </c>
      <c r="X1859" s="119">
        <v>0</v>
      </c>
      <c r="Y1859" s="40"/>
      <c r="Z1859" s="119">
        <v>1</v>
      </c>
      <c r="AA1859" s="368">
        <v>0</v>
      </c>
      <c r="AB1859" s="535">
        <v>2</v>
      </c>
      <c r="AC1859" s="39" t="s">
        <v>160</v>
      </c>
      <c r="AD1859" s="75" t="s">
        <v>803</v>
      </c>
      <c r="AE1859" s="95">
        <v>0</v>
      </c>
      <c r="AF1859" s="75">
        <v>1</v>
      </c>
      <c r="AG1859" s="75">
        <v>1</v>
      </c>
      <c r="AH1859" s="75">
        <v>1</v>
      </c>
      <c r="AI1859" s="75">
        <v>0</v>
      </c>
      <c r="AJ1859" s="75">
        <v>0</v>
      </c>
      <c r="AK1859" s="75">
        <v>0</v>
      </c>
      <c r="AL1859" s="95">
        <v>0</v>
      </c>
      <c r="AM1859" s="92">
        <v>0</v>
      </c>
      <c r="AN1859" s="79" t="s">
        <v>80</v>
      </c>
      <c r="AO1859" s="75">
        <v>1</v>
      </c>
      <c r="AP1859" s="75" t="s">
        <v>83</v>
      </c>
      <c r="AQ1859" s="122">
        <v>1</v>
      </c>
      <c r="AR1859" s="515" t="s">
        <v>10</v>
      </c>
      <c r="AS1859" s="95">
        <v>0</v>
      </c>
      <c r="AT1859" s="75">
        <v>0</v>
      </c>
      <c r="AU1859" s="75">
        <v>0</v>
      </c>
      <c r="AV1859" s="75">
        <v>0</v>
      </c>
      <c r="AW1859" s="123">
        <v>0</v>
      </c>
      <c r="AX1859" s="516" t="s">
        <v>1039</v>
      </c>
      <c r="AY1859" s="75">
        <v>1</v>
      </c>
      <c r="AZ1859" s="77" t="s">
        <v>131</v>
      </c>
      <c r="BA1859" s="78" t="s">
        <v>132</v>
      </c>
      <c r="BB1859" s="78" t="s">
        <v>132</v>
      </c>
      <c r="BC1859" s="78" t="s">
        <v>132</v>
      </c>
      <c r="BD1859" s="78" t="s">
        <v>131</v>
      </c>
      <c r="BE1859" s="78" t="s">
        <v>131</v>
      </c>
      <c r="BF1859" s="78" t="s">
        <v>131</v>
      </c>
      <c r="BG1859" s="78" t="s">
        <v>131</v>
      </c>
      <c r="BH1859" s="75" t="s">
        <v>5970</v>
      </c>
      <c r="BI1859" s="295" t="s">
        <v>307</v>
      </c>
      <c r="BJ1859" s="546">
        <v>1</v>
      </c>
      <c r="BK1859" s="294" t="s">
        <v>16</v>
      </c>
      <c r="BL1859" s="157" t="s">
        <v>16</v>
      </c>
      <c r="BM1859" s="548" t="s">
        <v>1339</v>
      </c>
      <c r="BN1859" s="548" t="s">
        <v>4160</v>
      </c>
      <c r="BO1859" s="157" t="s">
        <v>4693</v>
      </c>
      <c r="BP1859" s="548" t="s">
        <v>307</v>
      </c>
      <c r="BQ1859" s="157" t="s">
        <v>4361</v>
      </c>
      <c r="BR1859" s="157"/>
    </row>
    <row r="1860" spans="1:70" x14ac:dyDescent="0.25">
      <c r="A1860" s="19" t="s">
        <v>3686</v>
      </c>
      <c r="B1860" s="37" t="s">
        <v>1045</v>
      </c>
      <c r="C1860" s="90">
        <v>44420.765543981484</v>
      </c>
      <c r="D1860" s="114">
        <v>44420.515543981484</v>
      </c>
      <c r="E1860" s="38">
        <v>44420</v>
      </c>
      <c r="F1860" s="91">
        <v>2021</v>
      </c>
      <c r="G1860" s="93">
        <v>8</v>
      </c>
      <c r="H1860" s="37" t="s">
        <v>405</v>
      </c>
      <c r="I1860" s="37"/>
      <c r="J1860" s="103">
        <v>-92.507252963345962</v>
      </c>
      <c r="K1860" s="40">
        <v>44.92102797147345</v>
      </c>
      <c r="L1860" s="74"/>
      <c r="M1860" s="272" t="s">
        <v>16</v>
      </c>
      <c r="N1860" s="74">
        <v>0</v>
      </c>
      <c r="O1860" s="94"/>
      <c r="P1860" s="118">
        <v>0</v>
      </c>
      <c r="Q1860" s="510"/>
      <c r="R1860" s="513"/>
      <c r="S1860" s="41"/>
      <c r="T1860" s="40"/>
      <c r="U1860" s="40"/>
      <c r="V1860" s="119">
        <v>0</v>
      </c>
      <c r="W1860" s="40"/>
      <c r="X1860" s="119">
        <v>1</v>
      </c>
      <c r="Y1860" s="40">
        <v>0</v>
      </c>
      <c r="Z1860" s="119">
        <v>0</v>
      </c>
      <c r="AA1860" s="368" t="s">
        <v>16</v>
      </c>
      <c r="AB1860" s="535" t="s">
        <v>16</v>
      </c>
      <c r="AC1860" s="39" t="s">
        <v>160</v>
      </c>
      <c r="AD1860" s="75" t="s">
        <v>16</v>
      </c>
      <c r="AE1860" s="95">
        <v>-1</v>
      </c>
      <c r="AF1860" s="75">
        <v>-1</v>
      </c>
      <c r="AG1860" s="75">
        <v>-1</v>
      </c>
      <c r="AH1860" s="75">
        <v>-1</v>
      </c>
      <c r="AI1860" s="75">
        <v>-1</v>
      </c>
      <c r="AJ1860" s="75">
        <v>-1</v>
      </c>
      <c r="AK1860" s="75">
        <v>-1</v>
      </c>
      <c r="AL1860" s="95">
        <v>-1</v>
      </c>
      <c r="AM1860" s="92">
        <v>1</v>
      </c>
      <c r="AN1860" s="79" t="s">
        <v>81</v>
      </c>
      <c r="AO1860" s="75">
        <v>1</v>
      </c>
      <c r="AP1860" s="75" t="s">
        <v>83</v>
      </c>
      <c r="AQ1860" s="122">
        <v>1</v>
      </c>
      <c r="AR1860" s="515" t="s">
        <v>10</v>
      </c>
      <c r="AS1860" s="95">
        <v>0</v>
      </c>
      <c r="AT1860" s="75">
        <v>0</v>
      </c>
      <c r="AU1860" s="75">
        <v>0</v>
      </c>
      <c r="AV1860" s="75">
        <v>0</v>
      </c>
      <c r="AW1860" s="123">
        <v>0</v>
      </c>
      <c r="AX1860" s="516" t="s">
        <v>1046</v>
      </c>
      <c r="AY1860" s="75">
        <v>1</v>
      </c>
      <c r="AZ1860" s="77" t="s">
        <v>5971</v>
      </c>
      <c r="BA1860" s="78" t="s">
        <v>5971</v>
      </c>
      <c r="BB1860" s="78" t="s">
        <v>5971</v>
      </c>
      <c r="BC1860" s="78" t="s">
        <v>5971</v>
      </c>
      <c r="BD1860" s="78" t="s">
        <v>5971</v>
      </c>
      <c r="BE1860" s="78" t="s">
        <v>5971</v>
      </c>
      <c r="BF1860" s="78" t="s">
        <v>5971</v>
      </c>
      <c r="BG1860" s="78" t="s">
        <v>5971</v>
      </c>
      <c r="BH1860" s="75" t="s">
        <v>5971</v>
      </c>
      <c r="BI1860" s="295" t="s">
        <v>16</v>
      </c>
      <c r="BJ1860" s="546">
        <v>1</v>
      </c>
      <c r="BK1860" s="294">
        <v>1</v>
      </c>
      <c r="BL1860" s="157">
        <v>1</v>
      </c>
      <c r="BM1860" s="548" t="s">
        <v>578</v>
      </c>
      <c r="BN1860" s="548" t="s">
        <v>4161</v>
      </c>
      <c r="BO1860" s="157" t="s">
        <v>4311</v>
      </c>
      <c r="BP1860" s="548" t="s">
        <v>4395</v>
      </c>
      <c r="BQ1860" s="157" t="s">
        <v>4309</v>
      </c>
      <c r="BR1860" s="157"/>
    </row>
    <row r="1861" spans="1:70" x14ac:dyDescent="0.25">
      <c r="A1861" s="19" t="s">
        <v>3686</v>
      </c>
      <c r="B1861" s="37" t="s">
        <v>1013</v>
      </c>
      <c r="C1861" s="90">
        <v>44420.715682870374</v>
      </c>
      <c r="D1861" s="114">
        <v>44420.465682870374</v>
      </c>
      <c r="E1861" s="38">
        <v>44420</v>
      </c>
      <c r="F1861" s="91">
        <v>2021</v>
      </c>
      <c r="G1861" s="93">
        <v>8</v>
      </c>
      <c r="H1861" s="37" t="s">
        <v>619</v>
      </c>
      <c r="I1861" s="37"/>
      <c r="J1861" s="103">
        <v>-92.2256359</v>
      </c>
      <c r="K1861" s="40">
        <v>43.887224500000002</v>
      </c>
      <c r="L1861" s="74"/>
      <c r="M1861" s="272" t="s">
        <v>1014</v>
      </c>
      <c r="N1861" s="74">
        <v>1</v>
      </c>
      <c r="O1861" s="94"/>
      <c r="P1861" s="118">
        <v>1</v>
      </c>
      <c r="Q1861" s="510">
        <v>80</v>
      </c>
      <c r="R1861" s="513">
        <v>0</v>
      </c>
      <c r="S1861" s="41"/>
      <c r="T1861" s="40"/>
      <c r="U1861" s="40">
        <v>7</v>
      </c>
      <c r="V1861" s="119">
        <v>1</v>
      </c>
      <c r="W1861" s="40">
        <v>0</v>
      </c>
      <c r="X1861" s="119">
        <v>1</v>
      </c>
      <c r="Y1861" s="40">
        <v>55</v>
      </c>
      <c r="Z1861" s="119">
        <v>1</v>
      </c>
      <c r="AA1861" s="368">
        <v>0</v>
      </c>
      <c r="AB1861" s="535">
        <v>0</v>
      </c>
      <c r="AC1861" s="39" t="s">
        <v>160</v>
      </c>
      <c r="AD1861" s="75" t="s">
        <v>10</v>
      </c>
      <c r="AE1861" s="95">
        <v>0</v>
      </c>
      <c r="AF1861" s="75">
        <v>0</v>
      </c>
      <c r="AG1861" s="75">
        <v>0</v>
      </c>
      <c r="AH1861" s="75">
        <v>0</v>
      </c>
      <c r="AI1861" s="75">
        <v>0</v>
      </c>
      <c r="AJ1861" s="75">
        <v>0</v>
      </c>
      <c r="AK1861" s="75">
        <v>0</v>
      </c>
      <c r="AL1861" s="95">
        <v>1</v>
      </c>
      <c r="AM1861" s="92">
        <v>0</v>
      </c>
      <c r="AN1861" s="79" t="s">
        <v>80</v>
      </c>
      <c r="AO1861" s="75">
        <v>1</v>
      </c>
      <c r="AP1861" s="75" t="s">
        <v>84</v>
      </c>
      <c r="AQ1861" s="122">
        <v>1</v>
      </c>
      <c r="AR1861" s="515" t="s">
        <v>13</v>
      </c>
      <c r="AS1861" s="95">
        <v>1</v>
      </c>
      <c r="AT1861" s="75">
        <v>0</v>
      </c>
      <c r="AU1861" s="75">
        <v>0</v>
      </c>
      <c r="AV1861" s="75">
        <v>0</v>
      </c>
      <c r="AW1861" s="123">
        <v>0</v>
      </c>
      <c r="AX1861" s="516"/>
      <c r="AY1861" s="75">
        <v>0</v>
      </c>
      <c r="AZ1861" s="77" t="s">
        <v>131</v>
      </c>
      <c r="BA1861" s="78" t="s">
        <v>131</v>
      </c>
      <c r="BB1861" s="78" t="s">
        <v>131</v>
      </c>
      <c r="BC1861" s="78" t="s">
        <v>131</v>
      </c>
      <c r="BD1861" s="78" t="s">
        <v>131</v>
      </c>
      <c r="BE1861" s="78" t="s">
        <v>131</v>
      </c>
      <c r="BF1861" s="78" t="s">
        <v>131</v>
      </c>
      <c r="BG1861" s="78" t="s">
        <v>132</v>
      </c>
      <c r="BH1861" s="75" t="s">
        <v>5970</v>
      </c>
      <c r="BI1861" s="295" t="s">
        <v>2243</v>
      </c>
      <c r="BJ1861" s="546">
        <v>1</v>
      </c>
      <c r="BK1861" s="294" t="s">
        <v>16</v>
      </c>
      <c r="BL1861" s="157" t="s">
        <v>16</v>
      </c>
      <c r="BM1861" s="548" t="s">
        <v>1339</v>
      </c>
      <c r="BN1861" s="548" t="s">
        <v>1339</v>
      </c>
      <c r="BO1861" s="157" t="s">
        <v>4697</v>
      </c>
      <c r="BP1861" s="548" t="s">
        <v>2243</v>
      </c>
      <c r="BQ1861" s="157" t="s">
        <v>4673</v>
      </c>
      <c r="BR1861" s="157"/>
    </row>
    <row r="1862" spans="1:70" x14ac:dyDescent="0.25">
      <c r="A1862" s="19" t="s">
        <v>3686</v>
      </c>
      <c r="B1862" s="37" t="s">
        <v>1008</v>
      </c>
      <c r="C1862" s="90">
        <v>44420.687858796293</v>
      </c>
      <c r="D1862" s="114">
        <v>44420.437858796293</v>
      </c>
      <c r="E1862" s="38">
        <v>44420</v>
      </c>
      <c r="F1862" s="91">
        <v>2021</v>
      </c>
      <c r="G1862" s="93">
        <v>8</v>
      </c>
      <c r="H1862" s="37" t="s">
        <v>619</v>
      </c>
      <c r="I1862" s="37" t="s">
        <v>16</v>
      </c>
      <c r="J1862" s="103">
        <v>-92.195344599999999</v>
      </c>
      <c r="K1862" s="40">
        <v>43.847627199999998</v>
      </c>
      <c r="L1862" s="74"/>
      <c r="M1862" s="272" t="s">
        <v>1009</v>
      </c>
      <c r="N1862" s="74">
        <v>1</v>
      </c>
      <c r="O1862" s="94"/>
      <c r="P1862" s="118">
        <v>1</v>
      </c>
      <c r="Q1862" s="510">
        <v>0</v>
      </c>
      <c r="R1862" s="513">
        <v>60</v>
      </c>
      <c r="S1862" s="41"/>
      <c r="T1862" s="40"/>
      <c r="U1862" s="40">
        <v>7</v>
      </c>
      <c r="V1862" s="119">
        <v>1</v>
      </c>
      <c r="W1862" s="40">
        <v>0</v>
      </c>
      <c r="X1862" s="119">
        <v>1</v>
      </c>
      <c r="Y1862" s="40">
        <v>61</v>
      </c>
      <c r="Z1862" s="119">
        <v>1</v>
      </c>
      <c r="AA1862" s="368">
        <v>0</v>
      </c>
      <c r="AB1862" s="535">
        <v>5</v>
      </c>
      <c r="AC1862" s="39" t="s">
        <v>160</v>
      </c>
      <c r="AD1862" s="75" t="s">
        <v>10</v>
      </c>
      <c r="AE1862" s="95">
        <v>0</v>
      </c>
      <c r="AF1862" s="75">
        <v>0</v>
      </c>
      <c r="AG1862" s="75">
        <v>0</v>
      </c>
      <c r="AH1862" s="75">
        <v>0</v>
      </c>
      <c r="AI1862" s="75">
        <v>0</v>
      </c>
      <c r="AJ1862" s="75">
        <v>0</v>
      </c>
      <c r="AK1862" s="75">
        <v>0</v>
      </c>
      <c r="AL1862" s="95">
        <v>1</v>
      </c>
      <c r="AM1862" s="92">
        <v>0</v>
      </c>
      <c r="AN1862" s="79" t="s">
        <v>80</v>
      </c>
      <c r="AO1862" s="75">
        <v>1</v>
      </c>
      <c r="AP1862" s="75" t="s">
        <v>84</v>
      </c>
      <c r="AQ1862" s="122">
        <v>1</v>
      </c>
      <c r="AR1862" s="515" t="s">
        <v>13</v>
      </c>
      <c r="AS1862" s="95">
        <v>1</v>
      </c>
      <c r="AT1862" s="75">
        <v>0</v>
      </c>
      <c r="AU1862" s="75">
        <v>0</v>
      </c>
      <c r="AV1862" s="75">
        <v>0</v>
      </c>
      <c r="AW1862" s="123">
        <v>0</v>
      </c>
      <c r="AX1862" s="516"/>
      <c r="AY1862" s="75">
        <v>0</v>
      </c>
      <c r="AZ1862" s="77" t="s">
        <v>131</v>
      </c>
      <c r="BA1862" s="78" t="s">
        <v>131</v>
      </c>
      <c r="BB1862" s="78" t="s">
        <v>131</v>
      </c>
      <c r="BC1862" s="78" t="s">
        <v>131</v>
      </c>
      <c r="BD1862" s="78" t="s">
        <v>131</v>
      </c>
      <c r="BE1862" s="78" t="s">
        <v>131</v>
      </c>
      <c r="BF1862" s="78" t="s">
        <v>131</v>
      </c>
      <c r="BG1862" s="78" t="s">
        <v>132</v>
      </c>
      <c r="BH1862" s="75" t="s">
        <v>5970</v>
      </c>
      <c r="BI1862" s="295" t="s">
        <v>2243</v>
      </c>
      <c r="BJ1862" s="546">
        <v>1</v>
      </c>
      <c r="BK1862" s="294" t="s">
        <v>16</v>
      </c>
      <c r="BL1862" s="157" t="s">
        <v>16</v>
      </c>
      <c r="BM1862" s="548" t="s">
        <v>1339</v>
      </c>
      <c r="BN1862" s="548" t="s">
        <v>1339</v>
      </c>
      <c r="BO1862" s="157" t="s">
        <v>4697</v>
      </c>
      <c r="BP1862" s="548" t="s">
        <v>2243</v>
      </c>
      <c r="BQ1862" s="157" t="s">
        <v>4673</v>
      </c>
      <c r="BR1862" s="157"/>
    </row>
    <row r="1863" spans="1:70" x14ac:dyDescent="0.25">
      <c r="A1863" s="19" t="s">
        <v>3686</v>
      </c>
      <c r="B1863" s="37" t="s">
        <v>987</v>
      </c>
      <c r="C1863" s="90">
        <v>44419.939340277779</v>
      </c>
      <c r="D1863" s="114">
        <v>44419.689340277779</v>
      </c>
      <c r="E1863" s="38">
        <v>44419</v>
      </c>
      <c r="F1863" s="91">
        <v>2021</v>
      </c>
      <c r="G1863" s="93">
        <v>8</v>
      </c>
      <c r="H1863" s="37" t="s">
        <v>622</v>
      </c>
      <c r="I1863" s="37"/>
      <c r="J1863" s="103">
        <v>-92.2679031082357</v>
      </c>
      <c r="K1863" s="40">
        <v>44.429037077393779</v>
      </c>
      <c r="L1863" s="74"/>
      <c r="M1863" s="272" t="s">
        <v>16</v>
      </c>
      <c r="N1863" s="74">
        <v>0</v>
      </c>
      <c r="O1863" s="94"/>
      <c r="P1863" s="118">
        <v>1</v>
      </c>
      <c r="Q1863" s="510">
        <v>0</v>
      </c>
      <c r="R1863" s="513">
        <v>30</v>
      </c>
      <c r="S1863" s="41"/>
      <c r="T1863" s="40"/>
      <c r="U1863" s="40">
        <v>7</v>
      </c>
      <c r="V1863" s="119">
        <v>1</v>
      </c>
      <c r="W1863" s="40">
        <v>300</v>
      </c>
      <c r="X1863" s="119">
        <v>1</v>
      </c>
      <c r="Y1863" s="40">
        <v>63</v>
      </c>
      <c r="Z1863" s="119">
        <v>0</v>
      </c>
      <c r="AA1863" s="368" t="s">
        <v>16</v>
      </c>
      <c r="AB1863" s="535" t="s">
        <v>16</v>
      </c>
      <c r="AC1863" s="39" t="s">
        <v>160</v>
      </c>
      <c r="AD1863" s="75" t="s">
        <v>16</v>
      </c>
      <c r="AE1863" s="95">
        <v>-1</v>
      </c>
      <c r="AF1863" s="75">
        <v>-1</v>
      </c>
      <c r="AG1863" s="75">
        <v>-1</v>
      </c>
      <c r="AH1863" s="75">
        <v>-1</v>
      </c>
      <c r="AI1863" s="75">
        <v>-1</v>
      </c>
      <c r="AJ1863" s="75">
        <v>-1</v>
      </c>
      <c r="AK1863" s="75">
        <v>-1</v>
      </c>
      <c r="AL1863" s="95">
        <v>-1</v>
      </c>
      <c r="AM1863" s="92">
        <v>1</v>
      </c>
      <c r="AN1863" s="79"/>
      <c r="AO1863" s="75">
        <v>0</v>
      </c>
      <c r="AP1863" s="75"/>
      <c r="AQ1863" s="122">
        <v>0</v>
      </c>
      <c r="AR1863" s="515" t="s">
        <v>16</v>
      </c>
      <c r="AS1863" s="95">
        <v>-1</v>
      </c>
      <c r="AT1863" s="75">
        <v>-1</v>
      </c>
      <c r="AU1863" s="75">
        <v>-1</v>
      </c>
      <c r="AV1863" s="75">
        <v>-1</v>
      </c>
      <c r="AW1863" s="123">
        <v>1</v>
      </c>
      <c r="AX1863" s="516"/>
      <c r="AY1863" s="75">
        <v>0</v>
      </c>
      <c r="AZ1863" s="77" t="s">
        <v>5971</v>
      </c>
      <c r="BA1863" s="78" t="s">
        <v>5971</v>
      </c>
      <c r="BB1863" s="78" t="s">
        <v>5971</v>
      </c>
      <c r="BC1863" s="78" t="s">
        <v>5971</v>
      </c>
      <c r="BD1863" s="78" t="s">
        <v>5971</v>
      </c>
      <c r="BE1863" s="78" t="s">
        <v>5971</v>
      </c>
      <c r="BF1863" s="78" t="s">
        <v>5971</v>
      </c>
      <c r="BG1863" s="78" t="s">
        <v>5971</v>
      </c>
      <c r="BH1863" s="75" t="s">
        <v>5971</v>
      </c>
      <c r="BI1863" s="295" t="s">
        <v>2228</v>
      </c>
      <c r="BJ1863" s="546">
        <v>1</v>
      </c>
      <c r="BK1863" s="294" t="s">
        <v>16</v>
      </c>
      <c r="BL1863" s="157" t="s">
        <v>16</v>
      </c>
      <c r="BM1863" s="548" t="s">
        <v>1339</v>
      </c>
      <c r="BN1863" s="548" t="s">
        <v>1339</v>
      </c>
      <c r="BO1863" s="157" t="s">
        <v>4614</v>
      </c>
      <c r="BP1863" s="548" t="s">
        <v>2228</v>
      </c>
      <c r="BQ1863" s="157" t="s">
        <v>4214</v>
      </c>
      <c r="BR1863" s="157"/>
    </row>
    <row r="1864" spans="1:70" x14ac:dyDescent="0.25">
      <c r="A1864" s="19" t="s">
        <v>3686</v>
      </c>
      <c r="B1864" s="37" t="s">
        <v>1019</v>
      </c>
      <c r="C1864" s="90">
        <v>44419.934467592589</v>
      </c>
      <c r="D1864" s="114">
        <v>44419.684467592589</v>
      </c>
      <c r="E1864" s="38">
        <v>44419</v>
      </c>
      <c r="F1864" s="91">
        <v>2021</v>
      </c>
      <c r="G1864" s="93">
        <v>8</v>
      </c>
      <c r="H1864" s="37" t="s">
        <v>622</v>
      </c>
      <c r="I1864" s="37"/>
      <c r="J1864" s="103">
        <v>-92.267800094645722</v>
      </c>
      <c r="K1864" s="40">
        <v>44.428660143208155</v>
      </c>
      <c r="L1864" s="74"/>
      <c r="M1864" s="272" t="s">
        <v>16</v>
      </c>
      <c r="N1864" s="74">
        <v>0</v>
      </c>
      <c r="O1864" s="94"/>
      <c r="P1864" s="118">
        <v>0</v>
      </c>
      <c r="Q1864" s="510"/>
      <c r="R1864" s="513"/>
      <c r="S1864" s="41"/>
      <c r="T1864" s="40"/>
      <c r="U1864" s="40"/>
      <c r="V1864" s="119">
        <v>0</v>
      </c>
      <c r="W1864" s="40"/>
      <c r="X1864" s="119">
        <v>0</v>
      </c>
      <c r="Y1864" s="40"/>
      <c r="Z1864" s="119">
        <v>0</v>
      </c>
      <c r="AA1864" s="368" t="s">
        <v>16</v>
      </c>
      <c r="AB1864" s="535" t="s">
        <v>16</v>
      </c>
      <c r="AC1864" s="39" t="s">
        <v>160</v>
      </c>
      <c r="AD1864" s="75" t="s">
        <v>16</v>
      </c>
      <c r="AE1864" s="95">
        <v>-1</v>
      </c>
      <c r="AF1864" s="75">
        <v>-1</v>
      </c>
      <c r="AG1864" s="75">
        <v>-1</v>
      </c>
      <c r="AH1864" s="75">
        <v>-1</v>
      </c>
      <c r="AI1864" s="75">
        <v>-1</v>
      </c>
      <c r="AJ1864" s="75">
        <v>-1</v>
      </c>
      <c r="AK1864" s="75">
        <v>-1</v>
      </c>
      <c r="AL1864" s="95">
        <v>-1</v>
      </c>
      <c r="AM1864" s="92">
        <v>1</v>
      </c>
      <c r="AN1864" s="79"/>
      <c r="AO1864" s="75">
        <v>0</v>
      </c>
      <c r="AP1864" s="75"/>
      <c r="AQ1864" s="122">
        <v>0</v>
      </c>
      <c r="AR1864" s="515" t="s">
        <v>16</v>
      </c>
      <c r="AS1864" s="95">
        <v>-1</v>
      </c>
      <c r="AT1864" s="75">
        <v>-1</v>
      </c>
      <c r="AU1864" s="75">
        <v>-1</v>
      </c>
      <c r="AV1864" s="75">
        <v>-1</v>
      </c>
      <c r="AW1864" s="123">
        <v>1</v>
      </c>
      <c r="AX1864" s="516"/>
      <c r="AY1864" s="75">
        <v>0</v>
      </c>
      <c r="AZ1864" s="77" t="s">
        <v>5971</v>
      </c>
      <c r="BA1864" s="78" t="s">
        <v>5971</v>
      </c>
      <c r="BB1864" s="78" t="s">
        <v>5971</v>
      </c>
      <c r="BC1864" s="78" t="s">
        <v>5971</v>
      </c>
      <c r="BD1864" s="78" t="s">
        <v>5971</v>
      </c>
      <c r="BE1864" s="78" t="s">
        <v>5971</v>
      </c>
      <c r="BF1864" s="78" t="s">
        <v>5971</v>
      </c>
      <c r="BG1864" s="78" t="s">
        <v>5971</v>
      </c>
      <c r="BH1864" s="75" t="s">
        <v>5971</v>
      </c>
      <c r="BI1864" s="295" t="s">
        <v>2228</v>
      </c>
      <c r="BJ1864" s="546">
        <v>1</v>
      </c>
      <c r="BK1864" s="294" t="s">
        <v>16</v>
      </c>
      <c r="BL1864" s="157" t="s">
        <v>16</v>
      </c>
      <c r="BM1864" s="548" t="s">
        <v>1339</v>
      </c>
      <c r="BN1864" s="548" t="s">
        <v>1339</v>
      </c>
      <c r="BO1864" s="157" t="s">
        <v>4614</v>
      </c>
      <c r="BP1864" s="548" t="s">
        <v>2228</v>
      </c>
      <c r="BQ1864" s="157" t="s">
        <v>4214</v>
      </c>
      <c r="BR1864" s="157"/>
    </row>
    <row r="1865" spans="1:70" x14ac:dyDescent="0.25">
      <c r="A1865" s="19" t="s">
        <v>3686</v>
      </c>
      <c r="B1865" s="37" t="s">
        <v>1011</v>
      </c>
      <c r="C1865" s="90">
        <v>44419.921249999999</v>
      </c>
      <c r="D1865" s="114">
        <v>44419.671249999999</v>
      </c>
      <c r="E1865" s="38">
        <v>44419</v>
      </c>
      <c r="F1865" s="91">
        <v>2021</v>
      </c>
      <c r="G1865" s="93">
        <v>8</v>
      </c>
      <c r="H1865" s="37" t="s">
        <v>302</v>
      </c>
      <c r="I1865" s="37"/>
      <c r="J1865" s="103">
        <v>-91.980258391436877</v>
      </c>
      <c r="K1865" s="40">
        <v>43.777067629100443</v>
      </c>
      <c r="L1865" s="74"/>
      <c r="M1865" s="272" t="s">
        <v>16</v>
      </c>
      <c r="N1865" s="74">
        <v>0</v>
      </c>
      <c r="O1865" s="94"/>
      <c r="P1865" s="118">
        <v>1</v>
      </c>
      <c r="Q1865" s="510">
        <v>180</v>
      </c>
      <c r="R1865" s="513">
        <v>0</v>
      </c>
      <c r="S1865" s="41"/>
      <c r="T1865" s="40"/>
      <c r="U1865" s="40">
        <v>7</v>
      </c>
      <c r="V1865" s="119">
        <v>1</v>
      </c>
      <c r="W1865" s="40">
        <v>0</v>
      </c>
      <c r="X1865" s="119">
        <v>0</v>
      </c>
      <c r="Y1865" s="40"/>
      <c r="Z1865" s="119">
        <v>1</v>
      </c>
      <c r="AA1865" s="368">
        <v>0</v>
      </c>
      <c r="AB1865" s="535">
        <v>5</v>
      </c>
      <c r="AC1865" s="39" t="s">
        <v>160</v>
      </c>
      <c r="AD1865" s="75" t="s">
        <v>439</v>
      </c>
      <c r="AE1865" s="95">
        <v>0</v>
      </c>
      <c r="AF1865" s="75">
        <v>1</v>
      </c>
      <c r="AG1865" s="75">
        <v>0</v>
      </c>
      <c r="AH1865" s="75">
        <v>0</v>
      </c>
      <c r="AI1865" s="75">
        <v>1</v>
      </c>
      <c r="AJ1865" s="75">
        <v>0</v>
      </c>
      <c r="AK1865" s="75">
        <v>0</v>
      </c>
      <c r="AL1865" s="95">
        <v>0</v>
      </c>
      <c r="AM1865" s="92">
        <v>0</v>
      </c>
      <c r="AN1865" s="79" t="s">
        <v>80</v>
      </c>
      <c r="AO1865" s="75">
        <v>1</v>
      </c>
      <c r="AP1865" s="75" t="s">
        <v>83</v>
      </c>
      <c r="AQ1865" s="122">
        <v>1</v>
      </c>
      <c r="AR1865" s="515" t="s">
        <v>10</v>
      </c>
      <c r="AS1865" s="95">
        <v>0</v>
      </c>
      <c r="AT1865" s="75">
        <v>0</v>
      </c>
      <c r="AU1865" s="75">
        <v>0</v>
      </c>
      <c r="AV1865" s="75">
        <v>0</v>
      </c>
      <c r="AW1865" s="123">
        <v>0</v>
      </c>
      <c r="AX1865" s="516" t="s">
        <v>1012</v>
      </c>
      <c r="AY1865" s="75">
        <v>1</v>
      </c>
      <c r="AZ1865" s="77" t="s">
        <v>131</v>
      </c>
      <c r="BA1865" s="78" t="s">
        <v>132</v>
      </c>
      <c r="BB1865" s="78" t="s">
        <v>131</v>
      </c>
      <c r="BC1865" s="78" t="s">
        <v>131</v>
      </c>
      <c r="BD1865" s="78" t="s">
        <v>132</v>
      </c>
      <c r="BE1865" s="78" t="s">
        <v>131</v>
      </c>
      <c r="BF1865" s="78" t="s">
        <v>131</v>
      </c>
      <c r="BG1865" s="78" t="s">
        <v>131</v>
      </c>
      <c r="BH1865" s="75" t="s">
        <v>5970</v>
      </c>
      <c r="BI1865" s="295" t="s">
        <v>2252</v>
      </c>
      <c r="BJ1865" s="546">
        <v>1</v>
      </c>
      <c r="BK1865" s="294" t="s">
        <v>16</v>
      </c>
      <c r="BL1865" s="157" t="s">
        <v>16</v>
      </c>
      <c r="BM1865" s="548" t="s">
        <v>1339</v>
      </c>
      <c r="BN1865" s="548" t="s">
        <v>4160</v>
      </c>
      <c r="BO1865" s="157" t="s">
        <v>4643</v>
      </c>
      <c r="BP1865" s="548" t="s">
        <v>4644</v>
      </c>
      <c r="BQ1865" s="157" t="s">
        <v>4319</v>
      </c>
      <c r="BR1865" s="157"/>
    </row>
    <row r="1866" spans="1:70" x14ac:dyDescent="0.25">
      <c r="A1866" s="19" t="s">
        <v>3686</v>
      </c>
      <c r="B1866" s="37" t="s">
        <v>1020</v>
      </c>
      <c r="C1866" s="90">
        <v>44419.723182870373</v>
      </c>
      <c r="D1866" s="114">
        <v>44419.473182870373</v>
      </c>
      <c r="E1866" s="38">
        <v>44419</v>
      </c>
      <c r="F1866" s="91">
        <v>2021</v>
      </c>
      <c r="G1866" s="93">
        <v>8</v>
      </c>
      <c r="H1866" s="37" t="s">
        <v>201</v>
      </c>
      <c r="I1866" s="37"/>
      <c r="J1866" s="103">
        <v>-92.732123629363301</v>
      </c>
      <c r="K1866" s="40">
        <v>44.831155008290068</v>
      </c>
      <c r="L1866" s="74"/>
      <c r="M1866" s="272" t="s">
        <v>16</v>
      </c>
      <c r="N1866" s="74">
        <v>0</v>
      </c>
      <c r="O1866" s="94"/>
      <c r="P1866" s="118">
        <v>1</v>
      </c>
      <c r="Q1866" s="510">
        <v>180</v>
      </c>
      <c r="R1866" s="513">
        <v>120</v>
      </c>
      <c r="S1866" s="41"/>
      <c r="T1866" s="40"/>
      <c r="U1866" s="40">
        <v>7.5</v>
      </c>
      <c r="V1866" s="119">
        <v>1</v>
      </c>
      <c r="W1866" s="40">
        <v>0</v>
      </c>
      <c r="X1866" s="119">
        <v>1</v>
      </c>
      <c r="Y1866" s="40">
        <v>63</v>
      </c>
      <c r="Z1866" s="119">
        <v>1</v>
      </c>
      <c r="AA1866" s="368">
        <v>0</v>
      </c>
      <c r="AB1866" s="535">
        <v>5</v>
      </c>
      <c r="AC1866" s="39" t="s">
        <v>160</v>
      </c>
      <c r="AD1866" s="75" t="s">
        <v>8</v>
      </c>
      <c r="AE1866" s="95">
        <v>0</v>
      </c>
      <c r="AF1866" s="75">
        <v>1</v>
      </c>
      <c r="AG1866" s="75">
        <v>0</v>
      </c>
      <c r="AH1866" s="75">
        <v>0</v>
      </c>
      <c r="AI1866" s="75">
        <v>0</v>
      </c>
      <c r="AJ1866" s="75">
        <v>0</v>
      </c>
      <c r="AK1866" s="75">
        <v>0</v>
      </c>
      <c r="AL1866" s="95">
        <v>0</v>
      </c>
      <c r="AM1866" s="92">
        <v>0</v>
      </c>
      <c r="AN1866" s="79" t="s">
        <v>80</v>
      </c>
      <c r="AO1866" s="75">
        <v>1</v>
      </c>
      <c r="AP1866" s="75" t="s">
        <v>83</v>
      </c>
      <c r="AQ1866" s="122">
        <v>1</v>
      </c>
      <c r="AR1866" s="515" t="s">
        <v>10</v>
      </c>
      <c r="AS1866" s="95">
        <v>0</v>
      </c>
      <c r="AT1866" s="75">
        <v>0</v>
      </c>
      <c r="AU1866" s="75">
        <v>0</v>
      </c>
      <c r="AV1866" s="75">
        <v>0</v>
      </c>
      <c r="AW1866" s="123">
        <v>0</v>
      </c>
      <c r="AX1866" s="516" t="s">
        <v>1021</v>
      </c>
      <c r="AY1866" s="75">
        <v>1</v>
      </c>
      <c r="AZ1866" s="77" t="s">
        <v>131</v>
      </c>
      <c r="BA1866" s="78" t="s">
        <v>132</v>
      </c>
      <c r="BB1866" s="78" t="s">
        <v>131</v>
      </c>
      <c r="BC1866" s="78" t="s">
        <v>131</v>
      </c>
      <c r="BD1866" s="78" t="s">
        <v>131</v>
      </c>
      <c r="BE1866" s="78" t="s">
        <v>131</v>
      </c>
      <c r="BF1866" s="78" t="s">
        <v>131</v>
      </c>
      <c r="BG1866" s="78" t="s">
        <v>131</v>
      </c>
      <c r="BH1866" s="75" t="s">
        <v>5970</v>
      </c>
      <c r="BI1866" s="295" t="s">
        <v>2227</v>
      </c>
      <c r="BJ1866" s="546">
        <v>1</v>
      </c>
      <c r="BK1866" s="294" t="s">
        <v>16</v>
      </c>
      <c r="BL1866" s="157" t="s">
        <v>16</v>
      </c>
      <c r="BM1866" s="548" t="s">
        <v>578</v>
      </c>
      <c r="BN1866" s="548" t="s">
        <v>578</v>
      </c>
      <c r="BO1866" s="157" t="s">
        <v>4341</v>
      </c>
      <c r="BP1866" s="548" t="s">
        <v>4343</v>
      </c>
      <c r="BQ1866" s="157" t="s">
        <v>4309</v>
      </c>
      <c r="BR1866" s="157"/>
    </row>
    <row r="1867" spans="1:70" x14ac:dyDescent="0.25">
      <c r="A1867" s="19" t="s">
        <v>3686</v>
      </c>
      <c r="B1867" s="37" t="s">
        <v>1003</v>
      </c>
      <c r="C1867" s="90">
        <v>44419.071481481478</v>
      </c>
      <c r="D1867" s="114">
        <v>44418.821481481478</v>
      </c>
      <c r="E1867" s="38">
        <v>44418</v>
      </c>
      <c r="F1867" s="91">
        <v>2021</v>
      </c>
      <c r="G1867" s="93">
        <v>8</v>
      </c>
      <c r="H1867" s="37" t="s">
        <v>600</v>
      </c>
      <c r="I1867" s="37"/>
      <c r="J1867" s="103">
        <v>-92.115065448188943</v>
      </c>
      <c r="K1867" s="40">
        <v>44.020296782448511</v>
      </c>
      <c r="L1867" s="74"/>
      <c r="M1867" s="272" t="s">
        <v>16</v>
      </c>
      <c r="N1867" s="74">
        <v>0</v>
      </c>
      <c r="O1867" s="94"/>
      <c r="P1867" s="118">
        <v>1</v>
      </c>
      <c r="Q1867" s="510">
        <v>180</v>
      </c>
      <c r="R1867" s="513">
        <v>180</v>
      </c>
      <c r="S1867" s="41"/>
      <c r="T1867" s="40"/>
      <c r="U1867" s="40">
        <v>7.5</v>
      </c>
      <c r="V1867" s="119">
        <v>1</v>
      </c>
      <c r="W1867" s="40">
        <v>0</v>
      </c>
      <c r="X1867" s="119">
        <v>1</v>
      </c>
      <c r="Y1867" s="40">
        <v>62</v>
      </c>
      <c r="Z1867" s="119">
        <v>1</v>
      </c>
      <c r="AA1867" s="368">
        <v>0</v>
      </c>
      <c r="AB1867" s="535">
        <v>5</v>
      </c>
      <c r="AC1867" s="39" t="s">
        <v>160</v>
      </c>
      <c r="AD1867" s="75" t="s">
        <v>10</v>
      </c>
      <c r="AE1867" s="95">
        <v>0</v>
      </c>
      <c r="AF1867" s="75">
        <v>0</v>
      </c>
      <c r="AG1867" s="75">
        <v>0</v>
      </c>
      <c r="AH1867" s="75">
        <v>0</v>
      </c>
      <c r="AI1867" s="75">
        <v>0</v>
      </c>
      <c r="AJ1867" s="75">
        <v>0</v>
      </c>
      <c r="AK1867" s="75">
        <v>0</v>
      </c>
      <c r="AL1867" s="95">
        <v>1</v>
      </c>
      <c r="AM1867" s="92">
        <v>0</v>
      </c>
      <c r="AN1867" s="79" t="s">
        <v>80</v>
      </c>
      <c r="AO1867" s="75">
        <v>1</v>
      </c>
      <c r="AP1867" s="75" t="s">
        <v>83</v>
      </c>
      <c r="AQ1867" s="122">
        <v>1</v>
      </c>
      <c r="AR1867" s="515" t="s">
        <v>10</v>
      </c>
      <c r="AS1867" s="95">
        <v>0</v>
      </c>
      <c r="AT1867" s="75">
        <v>0</v>
      </c>
      <c r="AU1867" s="75">
        <v>0</v>
      </c>
      <c r="AV1867" s="75">
        <v>0</v>
      </c>
      <c r="AW1867" s="123">
        <v>0</v>
      </c>
      <c r="AX1867" s="516"/>
      <c r="AY1867" s="75">
        <v>0</v>
      </c>
      <c r="AZ1867" s="77" t="s">
        <v>131</v>
      </c>
      <c r="BA1867" s="78" t="s">
        <v>131</v>
      </c>
      <c r="BB1867" s="78" t="s">
        <v>131</v>
      </c>
      <c r="BC1867" s="78" t="s">
        <v>131</v>
      </c>
      <c r="BD1867" s="78" t="s">
        <v>131</v>
      </c>
      <c r="BE1867" s="78" t="s">
        <v>131</v>
      </c>
      <c r="BF1867" s="78" t="s">
        <v>131</v>
      </c>
      <c r="BG1867" s="78" t="s">
        <v>132</v>
      </c>
      <c r="BH1867" s="75" t="s">
        <v>5970</v>
      </c>
      <c r="BI1867" s="295" t="s">
        <v>16</v>
      </c>
      <c r="BJ1867" s="546">
        <v>1</v>
      </c>
      <c r="BK1867" s="294">
        <v>1</v>
      </c>
      <c r="BL1867" s="157">
        <v>1</v>
      </c>
      <c r="BM1867" s="548" t="s">
        <v>1339</v>
      </c>
      <c r="BN1867" s="548" t="s">
        <v>1339</v>
      </c>
      <c r="BO1867" s="157" t="s">
        <v>4364</v>
      </c>
      <c r="BP1867" s="548" t="s">
        <v>2292</v>
      </c>
      <c r="BQ1867" s="157" t="s">
        <v>4361</v>
      </c>
      <c r="BR1867" s="157"/>
    </row>
    <row r="1868" spans="1:70" x14ac:dyDescent="0.25">
      <c r="A1868" s="19" t="s">
        <v>3686</v>
      </c>
      <c r="B1868" s="37" t="s">
        <v>992</v>
      </c>
      <c r="C1868" s="90">
        <v>44419.03701388889</v>
      </c>
      <c r="D1868" s="114">
        <v>44418.78701388889</v>
      </c>
      <c r="E1868" s="38">
        <v>44418</v>
      </c>
      <c r="F1868" s="91">
        <v>2021</v>
      </c>
      <c r="G1868" s="93">
        <v>8</v>
      </c>
      <c r="H1868" s="37" t="s">
        <v>600</v>
      </c>
      <c r="I1868" s="37"/>
      <c r="J1868" s="103">
        <v>-92.115755192415037</v>
      </c>
      <c r="K1868" s="40">
        <v>44.021193713694274</v>
      </c>
      <c r="L1868" s="74"/>
      <c r="M1868" s="272" t="s">
        <v>16</v>
      </c>
      <c r="N1868" s="74">
        <v>0</v>
      </c>
      <c r="O1868" s="94"/>
      <c r="P1868" s="118">
        <v>1</v>
      </c>
      <c r="Q1868" s="510">
        <v>180</v>
      </c>
      <c r="R1868" s="513">
        <v>180</v>
      </c>
      <c r="S1868" s="41"/>
      <c r="T1868" s="40"/>
      <c r="U1868" s="40">
        <v>7.5</v>
      </c>
      <c r="V1868" s="119">
        <v>1</v>
      </c>
      <c r="W1868" s="40">
        <v>0</v>
      </c>
      <c r="X1868" s="119">
        <v>1</v>
      </c>
      <c r="Y1868" s="40">
        <v>62</v>
      </c>
      <c r="Z1868" s="119">
        <v>1</v>
      </c>
      <c r="AA1868" s="368">
        <v>0</v>
      </c>
      <c r="AB1868" s="535">
        <v>5</v>
      </c>
      <c r="AC1868" s="39" t="s">
        <v>160</v>
      </c>
      <c r="AD1868" s="75" t="s">
        <v>10</v>
      </c>
      <c r="AE1868" s="95">
        <v>0</v>
      </c>
      <c r="AF1868" s="75">
        <v>0</v>
      </c>
      <c r="AG1868" s="75">
        <v>0</v>
      </c>
      <c r="AH1868" s="75">
        <v>0</v>
      </c>
      <c r="AI1868" s="75">
        <v>0</v>
      </c>
      <c r="AJ1868" s="75">
        <v>0</v>
      </c>
      <c r="AK1868" s="75">
        <v>0</v>
      </c>
      <c r="AL1868" s="95">
        <v>1</v>
      </c>
      <c r="AM1868" s="92">
        <v>0</v>
      </c>
      <c r="AN1868" s="79" t="s">
        <v>80</v>
      </c>
      <c r="AO1868" s="75">
        <v>1</v>
      </c>
      <c r="AP1868" s="75" t="s">
        <v>83</v>
      </c>
      <c r="AQ1868" s="122">
        <v>1</v>
      </c>
      <c r="AR1868" s="515" t="s">
        <v>10</v>
      </c>
      <c r="AS1868" s="95">
        <v>0</v>
      </c>
      <c r="AT1868" s="75">
        <v>0</v>
      </c>
      <c r="AU1868" s="75">
        <v>0</v>
      </c>
      <c r="AV1868" s="75">
        <v>0</v>
      </c>
      <c r="AW1868" s="123">
        <v>0</v>
      </c>
      <c r="AX1868" s="516"/>
      <c r="AY1868" s="75">
        <v>0</v>
      </c>
      <c r="AZ1868" s="77" t="s">
        <v>131</v>
      </c>
      <c r="BA1868" s="78" t="s">
        <v>131</v>
      </c>
      <c r="BB1868" s="78" t="s">
        <v>131</v>
      </c>
      <c r="BC1868" s="78" t="s">
        <v>131</v>
      </c>
      <c r="BD1868" s="78" t="s">
        <v>131</v>
      </c>
      <c r="BE1868" s="78" t="s">
        <v>131</v>
      </c>
      <c r="BF1868" s="78" t="s">
        <v>131</v>
      </c>
      <c r="BG1868" s="78" t="s">
        <v>132</v>
      </c>
      <c r="BH1868" s="75" t="s">
        <v>5970</v>
      </c>
      <c r="BI1868" s="295" t="s">
        <v>2262</v>
      </c>
      <c r="BJ1868" s="546">
        <v>1</v>
      </c>
      <c r="BK1868" s="294">
        <v>1</v>
      </c>
      <c r="BL1868" s="157">
        <v>1</v>
      </c>
      <c r="BM1868" s="548" t="s">
        <v>1339</v>
      </c>
      <c r="BN1868" s="548" t="s">
        <v>1339</v>
      </c>
      <c r="BO1868" s="157" t="s">
        <v>4364</v>
      </c>
      <c r="BP1868" s="548" t="s">
        <v>2292</v>
      </c>
      <c r="BQ1868" s="157" t="s">
        <v>4361</v>
      </c>
      <c r="BR1868" s="157"/>
    </row>
    <row r="1869" spans="1:70" x14ac:dyDescent="0.25">
      <c r="A1869" s="19" t="s">
        <v>3686</v>
      </c>
      <c r="B1869" s="37" t="s">
        <v>1025</v>
      </c>
      <c r="C1869" s="90">
        <v>44417.852071759262</v>
      </c>
      <c r="D1869" s="114">
        <v>44417.602071759262</v>
      </c>
      <c r="E1869" s="38">
        <v>44417</v>
      </c>
      <c r="F1869" s="91">
        <v>2021</v>
      </c>
      <c r="G1869" s="93">
        <v>8</v>
      </c>
      <c r="H1869" s="37" t="s">
        <v>605</v>
      </c>
      <c r="I1869" s="37"/>
      <c r="J1869" s="103">
        <v>-90.973825899999994</v>
      </c>
      <c r="K1869" s="40">
        <v>43.725923000000002</v>
      </c>
      <c r="L1869" s="74"/>
      <c r="M1869" s="272" t="s">
        <v>1026</v>
      </c>
      <c r="N1869" s="74">
        <v>1</v>
      </c>
      <c r="O1869" s="94"/>
      <c r="P1869" s="118">
        <v>0</v>
      </c>
      <c r="Q1869" s="510"/>
      <c r="R1869" s="513"/>
      <c r="S1869" s="41"/>
      <c r="T1869" s="40"/>
      <c r="U1869" s="40"/>
      <c r="V1869" s="119">
        <v>0</v>
      </c>
      <c r="W1869" s="40"/>
      <c r="X1869" s="119">
        <v>1</v>
      </c>
      <c r="Y1869" s="40">
        <v>69</v>
      </c>
      <c r="Z1869" s="119">
        <v>0</v>
      </c>
      <c r="AA1869" s="368" t="s">
        <v>16</v>
      </c>
      <c r="AB1869" s="535" t="s">
        <v>16</v>
      </c>
      <c r="AC1869" s="39" t="s">
        <v>160</v>
      </c>
      <c r="AD1869" s="75" t="s">
        <v>8</v>
      </c>
      <c r="AE1869" s="95">
        <v>0</v>
      </c>
      <c r="AF1869" s="75">
        <v>1</v>
      </c>
      <c r="AG1869" s="75">
        <v>0</v>
      </c>
      <c r="AH1869" s="75">
        <v>0</v>
      </c>
      <c r="AI1869" s="75">
        <v>0</v>
      </c>
      <c r="AJ1869" s="75">
        <v>0</v>
      </c>
      <c r="AK1869" s="75">
        <v>0</v>
      </c>
      <c r="AL1869" s="95">
        <v>0</v>
      </c>
      <c r="AM1869" s="92">
        <v>0</v>
      </c>
      <c r="AN1869" s="79" t="s">
        <v>81</v>
      </c>
      <c r="AO1869" s="75">
        <v>1</v>
      </c>
      <c r="AP1869" s="75" t="s">
        <v>85</v>
      </c>
      <c r="AQ1869" s="122">
        <v>1</v>
      </c>
      <c r="AR1869" s="515" t="s">
        <v>35</v>
      </c>
      <c r="AS1869" s="95">
        <v>0</v>
      </c>
      <c r="AT1869" s="75">
        <v>1</v>
      </c>
      <c r="AU1869" s="75">
        <v>0</v>
      </c>
      <c r="AV1869" s="75">
        <v>0</v>
      </c>
      <c r="AW1869" s="123">
        <v>0</v>
      </c>
      <c r="AX1869" s="516" t="s">
        <v>16</v>
      </c>
      <c r="AY1869" s="75">
        <v>0</v>
      </c>
      <c r="AZ1869" s="77" t="s">
        <v>131</v>
      </c>
      <c r="BA1869" s="78" t="s">
        <v>132</v>
      </c>
      <c r="BB1869" s="78" t="s">
        <v>131</v>
      </c>
      <c r="BC1869" s="78" t="s">
        <v>131</v>
      </c>
      <c r="BD1869" s="78" t="s">
        <v>131</v>
      </c>
      <c r="BE1869" s="78" t="s">
        <v>131</v>
      </c>
      <c r="BF1869" s="78" t="s">
        <v>131</v>
      </c>
      <c r="BG1869" s="78" t="s">
        <v>131</v>
      </c>
      <c r="BH1869" s="75" t="s">
        <v>5970</v>
      </c>
      <c r="BI1869" s="295" t="s">
        <v>2293</v>
      </c>
      <c r="BJ1869" s="546">
        <v>1</v>
      </c>
      <c r="BK1869" s="294" t="s">
        <v>16</v>
      </c>
      <c r="BL1869" s="157" t="s">
        <v>16</v>
      </c>
      <c r="BM1869" s="548" t="s">
        <v>1342</v>
      </c>
      <c r="BN1869" s="548" t="s">
        <v>1342</v>
      </c>
      <c r="BO1869" s="157" t="s">
        <v>4384</v>
      </c>
      <c r="BP1869" s="548" t="s">
        <v>4386</v>
      </c>
      <c r="BQ1869" s="157" t="s">
        <v>4383</v>
      </c>
      <c r="BR1869" s="157"/>
    </row>
    <row r="1870" spans="1:70" x14ac:dyDescent="0.25">
      <c r="A1870" s="19" t="s">
        <v>3686</v>
      </c>
      <c r="B1870" s="37" t="s">
        <v>1041</v>
      </c>
      <c r="C1870" s="90">
        <v>44417.830023148148</v>
      </c>
      <c r="D1870" s="114">
        <v>44417.580023148148</v>
      </c>
      <c r="E1870" s="38">
        <v>44417</v>
      </c>
      <c r="F1870" s="91">
        <v>2021</v>
      </c>
      <c r="G1870" s="93">
        <v>8</v>
      </c>
      <c r="H1870" s="37" t="s">
        <v>605</v>
      </c>
      <c r="I1870" s="37"/>
      <c r="J1870" s="103">
        <v>-90.904149000000004</v>
      </c>
      <c r="K1870" s="40">
        <v>43.723344400000002</v>
      </c>
      <c r="L1870" s="74"/>
      <c r="M1870" s="272" t="s">
        <v>16</v>
      </c>
      <c r="N1870" s="74">
        <v>0</v>
      </c>
      <c r="O1870" s="94"/>
      <c r="P1870" s="118">
        <v>0</v>
      </c>
      <c r="Q1870" s="510"/>
      <c r="R1870" s="513"/>
      <c r="S1870" s="41"/>
      <c r="T1870" s="40"/>
      <c r="U1870" s="40"/>
      <c r="V1870" s="119">
        <v>1</v>
      </c>
      <c r="W1870" s="40">
        <v>0</v>
      </c>
      <c r="X1870" s="119">
        <v>1</v>
      </c>
      <c r="Y1870" s="40">
        <v>68</v>
      </c>
      <c r="Z1870" s="119">
        <v>1</v>
      </c>
      <c r="AA1870" s="368">
        <v>0</v>
      </c>
      <c r="AB1870" s="535">
        <v>2</v>
      </c>
      <c r="AC1870" s="39" t="s">
        <v>160</v>
      </c>
      <c r="AD1870" s="75" t="s">
        <v>365</v>
      </c>
      <c r="AE1870" s="95">
        <v>0</v>
      </c>
      <c r="AF1870" s="75">
        <v>1</v>
      </c>
      <c r="AG1870" s="75">
        <v>1</v>
      </c>
      <c r="AH1870" s="75">
        <v>0</v>
      </c>
      <c r="AI1870" s="75">
        <v>0</v>
      </c>
      <c r="AJ1870" s="75">
        <v>0</v>
      </c>
      <c r="AK1870" s="75">
        <v>0</v>
      </c>
      <c r="AL1870" s="95">
        <v>0</v>
      </c>
      <c r="AM1870" s="92">
        <v>0</v>
      </c>
      <c r="AN1870" s="79" t="s">
        <v>81</v>
      </c>
      <c r="AO1870" s="75">
        <v>1</v>
      </c>
      <c r="AP1870" s="75" t="s">
        <v>85</v>
      </c>
      <c r="AQ1870" s="122">
        <v>1</v>
      </c>
      <c r="AR1870" s="515" t="s">
        <v>35</v>
      </c>
      <c r="AS1870" s="95">
        <v>0</v>
      </c>
      <c r="AT1870" s="75">
        <v>1</v>
      </c>
      <c r="AU1870" s="75">
        <v>0</v>
      </c>
      <c r="AV1870" s="75">
        <v>0</v>
      </c>
      <c r="AW1870" s="123">
        <v>0</v>
      </c>
      <c r="AX1870" s="516"/>
      <c r="AY1870" s="75">
        <v>0</v>
      </c>
      <c r="AZ1870" s="77" t="s">
        <v>131</v>
      </c>
      <c r="BA1870" s="78" t="s">
        <v>132</v>
      </c>
      <c r="BB1870" s="78" t="s">
        <v>132</v>
      </c>
      <c r="BC1870" s="78" t="s">
        <v>131</v>
      </c>
      <c r="BD1870" s="78" t="s">
        <v>131</v>
      </c>
      <c r="BE1870" s="78" t="s">
        <v>131</v>
      </c>
      <c r="BF1870" s="78" t="s">
        <v>131</v>
      </c>
      <c r="BG1870" s="78" t="s">
        <v>131</v>
      </c>
      <c r="BH1870" s="75" t="s">
        <v>5970</v>
      </c>
      <c r="BI1870" s="295" t="s">
        <v>2319</v>
      </c>
      <c r="BJ1870" s="546">
        <v>1</v>
      </c>
      <c r="BK1870" s="294" t="s">
        <v>16</v>
      </c>
      <c r="BL1870" s="157" t="s">
        <v>16</v>
      </c>
      <c r="BM1870" s="548" t="s">
        <v>1342</v>
      </c>
      <c r="BN1870" s="548" t="s">
        <v>1342</v>
      </c>
      <c r="BO1870" s="157" t="s">
        <v>4613</v>
      </c>
      <c r="BP1870" s="548" t="s">
        <v>2275</v>
      </c>
      <c r="BQ1870" s="157" t="s">
        <v>4383</v>
      </c>
      <c r="BR1870" s="157"/>
    </row>
    <row r="1871" spans="1:70" x14ac:dyDescent="0.25">
      <c r="A1871" s="19" t="s">
        <v>3686</v>
      </c>
      <c r="B1871" s="37" t="s">
        <v>1004</v>
      </c>
      <c r="C1871" s="90">
        <v>44417.816388888888</v>
      </c>
      <c r="D1871" s="114">
        <v>44417.566388888888</v>
      </c>
      <c r="E1871" s="38">
        <v>44417</v>
      </c>
      <c r="F1871" s="91">
        <v>2021</v>
      </c>
      <c r="G1871" s="93">
        <v>8</v>
      </c>
      <c r="H1871" s="37" t="s">
        <v>605</v>
      </c>
      <c r="I1871" s="37"/>
      <c r="J1871" s="103">
        <v>-90.860995099999997</v>
      </c>
      <c r="K1871" s="40">
        <v>43.696737200000001</v>
      </c>
      <c r="L1871" s="74"/>
      <c r="M1871" s="272" t="s">
        <v>1005</v>
      </c>
      <c r="N1871" s="74">
        <v>1</v>
      </c>
      <c r="O1871" s="94"/>
      <c r="P1871" s="118">
        <v>1</v>
      </c>
      <c r="Q1871" s="510">
        <v>0</v>
      </c>
      <c r="R1871" s="513">
        <v>60</v>
      </c>
      <c r="S1871" s="41"/>
      <c r="T1871" s="40"/>
      <c r="U1871" s="40">
        <v>7</v>
      </c>
      <c r="V1871" s="119">
        <v>1</v>
      </c>
      <c r="W1871" s="40">
        <v>100</v>
      </c>
      <c r="X1871" s="119">
        <v>1</v>
      </c>
      <c r="Y1871" s="40">
        <v>67</v>
      </c>
      <c r="Z1871" s="119">
        <v>1</v>
      </c>
      <c r="AA1871" s="368">
        <v>0</v>
      </c>
      <c r="AB1871" s="535">
        <v>2</v>
      </c>
      <c r="AC1871" s="39" t="s">
        <v>160</v>
      </c>
      <c r="AD1871" s="75" t="s">
        <v>8</v>
      </c>
      <c r="AE1871" s="95">
        <v>0</v>
      </c>
      <c r="AF1871" s="75">
        <v>1</v>
      </c>
      <c r="AG1871" s="75">
        <v>0</v>
      </c>
      <c r="AH1871" s="75">
        <v>0</v>
      </c>
      <c r="AI1871" s="75">
        <v>0</v>
      </c>
      <c r="AJ1871" s="75">
        <v>0</v>
      </c>
      <c r="AK1871" s="75">
        <v>0</v>
      </c>
      <c r="AL1871" s="95">
        <v>0</v>
      </c>
      <c r="AM1871" s="92">
        <v>0</v>
      </c>
      <c r="AN1871" s="79" t="s">
        <v>81</v>
      </c>
      <c r="AO1871" s="75">
        <v>1</v>
      </c>
      <c r="AP1871" s="75" t="s">
        <v>85</v>
      </c>
      <c r="AQ1871" s="122">
        <v>1</v>
      </c>
      <c r="AR1871" s="515" t="s">
        <v>35</v>
      </c>
      <c r="AS1871" s="95">
        <v>0</v>
      </c>
      <c r="AT1871" s="75">
        <v>1</v>
      </c>
      <c r="AU1871" s="75">
        <v>0</v>
      </c>
      <c r="AV1871" s="75">
        <v>0</v>
      </c>
      <c r="AW1871" s="123">
        <v>0</v>
      </c>
      <c r="AX1871" s="516"/>
      <c r="AY1871" s="75">
        <v>0</v>
      </c>
      <c r="AZ1871" s="77" t="s">
        <v>131</v>
      </c>
      <c r="BA1871" s="78" t="s">
        <v>132</v>
      </c>
      <c r="BB1871" s="78" t="s">
        <v>131</v>
      </c>
      <c r="BC1871" s="78" t="s">
        <v>131</v>
      </c>
      <c r="BD1871" s="78" t="s">
        <v>131</v>
      </c>
      <c r="BE1871" s="78" t="s">
        <v>131</v>
      </c>
      <c r="BF1871" s="78" t="s">
        <v>131</v>
      </c>
      <c r="BG1871" s="78" t="s">
        <v>131</v>
      </c>
      <c r="BH1871" s="75" t="s">
        <v>5970</v>
      </c>
      <c r="BI1871" s="295" t="s">
        <v>2275</v>
      </c>
      <c r="BJ1871" s="546">
        <v>1</v>
      </c>
      <c r="BK1871" s="294" t="s">
        <v>16</v>
      </c>
      <c r="BL1871" s="157" t="s">
        <v>16</v>
      </c>
      <c r="BM1871" s="548" t="s">
        <v>1342</v>
      </c>
      <c r="BN1871" s="548" t="s">
        <v>1342</v>
      </c>
      <c r="BO1871" s="157" t="s">
        <v>4613</v>
      </c>
      <c r="BP1871" s="548" t="s">
        <v>2275</v>
      </c>
      <c r="BQ1871" s="157" t="s">
        <v>4383</v>
      </c>
      <c r="BR1871" s="157"/>
    </row>
    <row r="1872" spans="1:70" x14ac:dyDescent="0.25">
      <c r="A1872" s="19" t="s">
        <v>3686</v>
      </c>
      <c r="B1872" s="37" t="s">
        <v>990</v>
      </c>
      <c r="C1872" s="90">
        <v>44417.79483796296</v>
      </c>
      <c r="D1872" s="114">
        <v>44417.54483796296</v>
      </c>
      <c r="E1872" s="38">
        <v>44417</v>
      </c>
      <c r="F1872" s="91">
        <v>2021</v>
      </c>
      <c r="G1872" s="93">
        <v>8</v>
      </c>
      <c r="H1872" s="37" t="s">
        <v>605</v>
      </c>
      <c r="I1872" s="37"/>
      <c r="J1872" s="103">
        <v>-90.834730300000004</v>
      </c>
      <c r="K1872" s="40">
        <v>43.605050499999997</v>
      </c>
      <c r="L1872" s="74"/>
      <c r="M1872" s="272" t="s">
        <v>991</v>
      </c>
      <c r="N1872" s="74">
        <v>1</v>
      </c>
      <c r="O1872" s="94"/>
      <c r="P1872" s="118">
        <v>1</v>
      </c>
      <c r="Q1872" s="510">
        <v>80</v>
      </c>
      <c r="R1872" s="513">
        <v>60</v>
      </c>
      <c r="S1872" s="41"/>
      <c r="T1872" s="40"/>
      <c r="U1872" s="40">
        <v>8</v>
      </c>
      <c r="V1872" s="119">
        <v>1</v>
      </c>
      <c r="W1872" s="40">
        <v>100</v>
      </c>
      <c r="X1872" s="119">
        <v>1</v>
      </c>
      <c r="Y1872" s="40">
        <v>59</v>
      </c>
      <c r="Z1872" s="119">
        <v>1</v>
      </c>
      <c r="AA1872" s="368">
        <v>0</v>
      </c>
      <c r="AB1872" s="535">
        <v>2</v>
      </c>
      <c r="AC1872" s="39" t="s">
        <v>160</v>
      </c>
      <c r="AD1872" s="75" t="s">
        <v>10</v>
      </c>
      <c r="AE1872" s="95">
        <v>0</v>
      </c>
      <c r="AF1872" s="75">
        <v>0</v>
      </c>
      <c r="AG1872" s="75">
        <v>0</v>
      </c>
      <c r="AH1872" s="75">
        <v>0</v>
      </c>
      <c r="AI1872" s="75">
        <v>0</v>
      </c>
      <c r="AJ1872" s="75">
        <v>0</v>
      </c>
      <c r="AK1872" s="75">
        <v>0</v>
      </c>
      <c r="AL1872" s="95">
        <v>1</v>
      </c>
      <c r="AM1872" s="92">
        <v>0</v>
      </c>
      <c r="AN1872" s="79" t="s">
        <v>81</v>
      </c>
      <c r="AO1872" s="75">
        <v>1</v>
      </c>
      <c r="AP1872" s="75" t="s">
        <v>85</v>
      </c>
      <c r="AQ1872" s="122">
        <v>1</v>
      </c>
      <c r="AR1872" s="515" t="s">
        <v>35</v>
      </c>
      <c r="AS1872" s="95">
        <v>0</v>
      </c>
      <c r="AT1872" s="75">
        <v>1</v>
      </c>
      <c r="AU1872" s="75">
        <v>0</v>
      </c>
      <c r="AV1872" s="75">
        <v>0</v>
      </c>
      <c r="AW1872" s="123">
        <v>0</v>
      </c>
      <c r="AX1872" s="516"/>
      <c r="AY1872" s="75">
        <v>0</v>
      </c>
      <c r="AZ1872" s="77" t="s">
        <v>131</v>
      </c>
      <c r="BA1872" s="78" t="s">
        <v>131</v>
      </c>
      <c r="BB1872" s="78" t="s">
        <v>131</v>
      </c>
      <c r="BC1872" s="78" t="s">
        <v>131</v>
      </c>
      <c r="BD1872" s="78" t="s">
        <v>131</v>
      </c>
      <c r="BE1872" s="78" t="s">
        <v>131</v>
      </c>
      <c r="BF1872" s="78" t="s">
        <v>131</v>
      </c>
      <c r="BG1872" s="78" t="s">
        <v>132</v>
      </c>
      <c r="BH1872" s="75" t="s">
        <v>5970</v>
      </c>
      <c r="BI1872" s="295" t="s">
        <v>2308</v>
      </c>
      <c r="BJ1872" s="546">
        <v>1</v>
      </c>
      <c r="BK1872" s="294">
        <v>1</v>
      </c>
      <c r="BL1872" s="157">
        <v>1</v>
      </c>
      <c r="BM1872" s="548" t="s">
        <v>1342</v>
      </c>
      <c r="BN1872" s="548" t="s">
        <v>1342</v>
      </c>
      <c r="BO1872" s="157" t="s">
        <v>4273</v>
      </c>
      <c r="BP1872" s="548" t="s">
        <v>2308</v>
      </c>
      <c r="BQ1872" s="157" t="s">
        <v>4272</v>
      </c>
      <c r="BR1872" s="157"/>
    </row>
    <row r="1873" spans="1:70" x14ac:dyDescent="0.25">
      <c r="A1873" s="19" t="s">
        <v>3686</v>
      </c>
      <c r="B1873" s="37" t="s">
        <v>988</v>
      </c>
      <c r="C1873" s="90">
        <v>44417.78019675926</v>
      </c>
      <c r="D1873" s="114">
        <v>44417.53019675926</v>
      </c>
      <c r="E1873" s="38">
        <v>44417</v>
      </c>
      <c r="F1873" s="91">
        <v>2021</v>
      </c>
      <c r="G1873" s="93">
        <v>8</v>
      </c>
      <c r="H1873" s="37" t="s">
        <v>605</v>
      </c>
      <c r="I1873" s="37"/>
      <c r="J1873" s="103">
        <v>-90.778769199999999</v>
      </c>
      <c r="K1873" s="40">
        <v>43.602289599999999</v>
      </c>
      <c r="L1873" s="74"/>
      <c r="M1873" s="272" t="s">
        <v>989</v>
      </c>
      <c r="N1873" s="74">
        <v>1</v>
      </c>
      <c r="O1873" s="94"/>
      <c r="P1873" s="118">
        <v>1</v>
      </c>
      <c r="Q1873" s="510">
        <v>0</v>
      </c>
      <c r="R1873" s="513">
        <v>60</v>
      </c>
      <c r="S1873" s="41"/>
      <c r="T1873" s="40"/>
      <c r="U1873" s="40">
        <v>7</v>
      </c>
      <c r="V1873" s="119">
        <v>1</v>
      </c>
      <c r="W1873" s="40">
        <v>300</v>
      </c>
      <c r="X1873" s="119">
        <v>1</v>
      </c>
      <c r="Y1873" s="40">
        <v>69</v>
      </c>
      <c r="Z1873" s="119">
        <v>1</v>
      </c>
      <c r="AA1873" s="368">
        <v>0</v>
      </c>
      <c r="AB1873" s="535">
        <v>1</v>
      </c>
      <c r="AC1873" s="39" t="s">
        <v>160</v>
      </c>
      <c r="AD1873" s="75" t="s">
        <v>365</v>
      </c>
      <c r="AE1873" s="95">
        <v>0</v>
      </c>
      <c r="AF1873" s="75">
        <v>1</v>
      </c>
      <c r="AG1873" s="75">
        <v>1</v>
      </c>
      <c r="AH1873" s="75">
        <v>0</v>
      </c>
      <c r="AI1873" s="75">
        <v>0</v>
      </c>
      <c r="AJ1873" s="75">
        <v>0</v>
      </c>
      <c r="AK1873" s="75">
        <v>0</v>
      </c>
      <c r="AL1873" s="95">
        <v>0</v>
      </c>
      <c r="AM1873" s="92">
        <v>0</v>
      </c>
      <c r="AN1873" s="79" t="s">
        <v>195</v>
      </c>
      <c r="AO1873" s="75">
        <v>1</v>
      </c>
      <c r="AP1873" s="75" t="s">
        <v>85</v>
      </c>
      <c r="AQ1873" s="122">
        <v>1</v>
      </c>
      <c r="AR1873" s="515" t="s">
        <v>35</v>
      </c>
      <c r="AS1873" s="95">
        <v>0</v>
      </c>
      <c r="AT1873" s="75">
        <v>1</v>
      </c>
      <c r="AU1873" s="75">
        <v>0</v>
      </c>
      <c r="AV1873" s="75">
        <v>0</v>
      </c>
      <c r="AW1873" s="123">
        <v>0</v>
      </c>
      <c r="AX1873" s="516"/>
      <c r="AY1873" s="75">
        <v>0</v>
      </c>
      <c r="AZ1873" s="77" t="s">
        <v>131</v>
      </c>
      <c r="BA1873" s="78" t="s">
        <v>132</v>
      </c>
      <c r="BB1873" s="78" t="s">
        <v>132</v>
      </c>
      <c r="BC1873" s="78" t="s">
        <v>131</v>
      </c>
      <c r="BD1873" s="78" t="s">
        <v>131</v>
      </c>
      <c r="BE1873" s="78" t="s">
        <v>131</v>
      </c>
      <c r="BF1873" s="78" t="s">
        <v>131</v>
      </c>
      <c r="BG1873" s="78" t="s">
        <v>131</v>
      </c>
      <c r="BH1873" s="75" t="s">
        <v>5970</v>
      </c>
      <c r="BI1873" s="295" t="s">
        <v>2287</v>
      </c>
      <c r="BJ1873" s="546">
        <v>1</v>
      </c>
      <c r="BK1873" s="294">
        <v>1</v>
      </c>
      <c r="BL1873" s="157">
        <v>1</v>
      </c>
      <c r="BM1873" s="548" t="s">
        <v>1342</v>
      </c>
      <c r="BN1873" s="548" t="s">
        <v>1342</v>
      </c>
      <c r="BO1873" s="157" t="s">
        <v>4275</v>
      </c>
      <c r="BP1873" s="548" t="s">
        <v>4733</v>
      </c>
      <c r="BQ1873" s="157" t="s">
        <v>4272</v>
      </c>
      <c r="BR1873" s="157"/>
    </row>
    <row r="1874" spans="1:70" x14ac:dyDescent="0.25">
      <c r="A1874" s="19" t="s">
        <v>3686</v>
      </c>
      <c r="B1874" s="37" t="s">
        <v>1027</v>
      </c>
      <c r="C1874" s="90">
        <v>44415.902627314812</v>
      </c>
      <c r="D1874" s="114">
        <v>44415.652627314812</v>
      </c>
      <c r="E1874" s="38">
        <v>44415</v>
      </c>
      <c r="F1874" s="91">
        <v>2021</v>
      </c>
      <c r="G1874" s="93">
        <v>8</v>
      </c>
      <c r="H1874" s="37" t="s">
        <v>302</v>
      </c>
      <c r="I1874" s="37"/>
      <c r="J1874" s="103">
        <v>-91.694435879416602</v>
      </c>
      <c r="K1874" s="40">
        <v>44.054634782962019</v>
      </c>
      <c r="L1874" s="74"/>
      <c r="M1874" s="272" t="s">
        <v>1028</v>
      </c>
      <c r="N1874" s="74">
        <v>1</v>
      </c>
      <c r="O1874" s="94"/>
      <c r="P1874" s="118">
        <v>1</v>
      </c>
      <c r="Q1874" s="510">
        <v>40</v>
      </c>
      <c r="R1874" s="513">
        <v>60</v>
      </c>
      <c r="S1874" s="41"/>
      <c r="T1874" s="40"/>
      <c r="U1874" s="40">
        <v>7</v>
      </c>
      <c r="V1874" s="119">
        <v>1</v>
      </c>
      <c r="W1874" s="40">
        <v>300</v>
      </c>
      <c r="X1874" s="119">
        <v>0</v>
      </c>
      <c r="Y1874" s="40"/>
      <c r="Z1874" s="119">
        <v>1</v>
      </c>
      <c r="AA1874" s="368">
        <v>0</v>
      </c>
      <c r="AB1874" s="535">
        <v>0</v>
      </c>
      <c r="AC1874" s="39" t="s">
        <v>160</v>
      </c>
      <c r="AD1874" s="75" t="s">
        <v>16</v>
      </c>
      <c r="AE1874" s="95">
        <v>-1</v>
      </c>
      <c r="AF1874" s="75">
        <v>-1</v>
      </c>
      <c r="AG1874" s="75">
        <v>-1</v>
      </c>
      <c r="AH1874" s="75">
        <v>-1</v>
      </c>
      <c r="AI1874" s="75">
        <v>-1</v>
      </c>
      <c r="AJ1874" s="75">
        <v>-1</v>
      </c>
      <c r="AK1874" s="75">
        <v>-1</v>
      </c>
      <c r="AL1874" s="95">
        <v>-1</v>
      </c>
      <c r="AM1874" s="92">
        <v>1</v>
      </c>
      <c r="AN1874" s="79" t="s">
        <v>86</v>
      </c>
      <c r="AO1874" s="75">
        <v>1</v>
      </c>
      <c r="AP1874" s="75" t="s">
        <v>85</v>
      </c>
      <c r="AQ1874" s="122">
        <v>1</v>
      </c>
      <c r="AR1874" s="515" t="s">
        <v>35</v>
      </c>
      <c r="AS1874" s="95">
        <v>0</v>
      </c>
      <c r="AT1874" s="75">
        <v>1</v>
      </c>
      <c r="AU1874" s="75">
        <v>0</v>
      </c>
      <c r="AV1874" s="75">
        <v>0</v>
      </c>
      <c r="AW1874" s="123">
        <v>0</v>
      </c>
      <c r="AX1874" s="516" t="s">
        <v>1029</v>
      </c>
      <c r="AY1874" s="75">
        <v>1</v>
      </c>
      <c r="AZ1874" s="77" t="s">
        <v>5971</v>
      </c>
      <c r="BA1874" s="78" t="s">
        <v>5971</v>
      </c>
      <c r="BB1874" s="78" t="s">
        <v>5971</v>
      </c>
      <c r="BC1874" s="78" t="s">
        <v>5971</v>
      </c>
      <c r="BD1874" s="78" t="s">
        <v>5971</v>
      </c>
      <c r="BE1874" s="78" t="s">
        <v>5971</v>
      </c>
      <c r="BF1874" s="78" t="s">
        <v>5971</v>
      </c>
      <c r="BG1874" s="78" t="s">
        <v>5971</v>
      </c>
      <c r="BH1874" s="75" t="s">
        <v>5971</v>
      </c>
      <c r="BI1874" s="295" t="s">
        <v>2258</v>
      </c>
      <c r="BJ1874" s="546">
        <v>1</v>
      </c>
      <c r="BK1874" s="294" t="s">
        <v>16</v>
      </c>
      <c r="BL1874" s="157" t="s">
        <v>16</v>
      </c>
      <c r="BM1874" s="548" t="s">
        <v>1341</v>
      </c>
      <c r="BN1874" s="548" t="s">
        <v>4160</v>
      </c>
      <c r="BO1874" s="157" t="s">
        <v>4664</v>
      </c>
      <c r="BP1874" s="548" t="s">
        <v>4665</v>
      </c>
      <c r="BQ1874" s="157" t="s">
        <v>4269</v>
      </c>
      <c r="BR1874" s="157"/>
    </row>
    <row r="1875" spans="1:70" x14ac:dyDescent="0.25">
      <c r="A1875" s="19" t="s">
        <v>3686</v>
      </c>
      <c r="B1875" s="37" t="s">
        <v>1000</v>
      </c>
      <c r="C1875" s="90">
        <v>44415.865613425929</v>
      </c>
      <c r="D1875" s="114">
        <v>44415.615613425929</v>
      </c>
      <c r="E1875" s="38">
        <v>44415</v>
      </c>
      <c r="F1875" s="91">
        <v>2021</v>
      </c>
      <c r="G1875" s="93">
        <v>8</v>
      </c>
      <c r="H1875" s="37" t="s">
        <v>302</v>
      </c>
      <c r="I1875" s="37"/>
      <c r="J1875" s="103">
        <v>-91.810766926363499</v>
      </c>
      <c r="K1875" s="40">
        <v>44.003818772731414</v>
      </c>
      <c r="L1875" s="74"/>
      <c r="M1875" s="272" t="s">
        <v>16</v>
      </c>
      <c r="N1875" s="74">
        <v>0</v>
      </c>
      <c r="O1875" s="94"/>
      <c r="P1875" s="118">
        <v>1</v>
      </c>
      <c r="Q1875" s="510">
        <v>80</v>
      </c>
      <c r="R1875" s="513">
        <v>60</v>
      </c>
      <c r="S1875" s="41"/>
      <c r="T1875" s="40"/>
      <c r="U1875" s="40">
        <v>7.5</v>
      </c>
      <c r="V1875" s="119">
        <v>1</v>
      </c>
      <c r="W1875" s="40">
        <v>500</v>
      </c>
      <c r="X1875" s="119">
        <v>0</v>
      </c>
      <c r="Y1875" s="40"/>
      <c r="Z1875" s="119">
        <v>1</v>
      </c>
      <c r="AA1875" s="368">
        <v>0</v>
      </c>
      <c r="AB1875" s="535">
        <v>2</v>
      </c>
      <c r="AC1875" s="39" t="s">
        <v>160</v>
      </c>
      <c r="AD1875" s="75" t="s">
        <v>16</v>
      </c>
      <c r="AE1875" s="95">
        <v>-1</v>
      </c>
      <c r="AF1875" s="75">
        <v>-1</v>
      </c>
      <c r="AG1875" s="75">
        <v>-1</v>
      </c>
      <c r="AH1875" s="75">
        <v>-1</v>
      </c>
      <c r="AI1875" s="75">
        <v>-1</v>
      </c>
      <c r="AJ1875" s="75">
        <v>-1</v>
      </c>
      <c r="AK1875" s="75">
        <v>-1</v>
      </c>
      <c r="AL1875" s="95">
        <v>-1</v>
      </c>
      <c r="AM1875" s="92">
        <v>1</v>
      </c>
      <c r="AN1875" s="79" t="s">
        <v>195</v>
      </c>
      <c r="AO1875" s="75">
        <v>1</v>
      </c>
      <c r="AP1875" s="75" t="s">
        <v>85</v>
      </c>
      <c r="AQ1875" s="122">
        <v>1</v>
      </c>
      <c r="AR1875" s="515" t="s">
        <v>35</v>
      </c>
      <c r="AS1875" s="95">
        <v>0</v>
      </c>
      <c r="AT1875" s="75">
        <v>1</v>
      </c>
      <c r="AU1875" s="75">
        <v>0</v>
      </c>
      <c r="AV1875" s="75">
        <v>0</v>
      </c>
      <c r="AW1875" s="123">
        <v>0</v>
      </c>
      <c r="AX1875" s="516" t="s">
        <v>1001</v>
      </c>
      <c r="AY1875" s="75">
        <v>1</v>
      </c>
      <c r="AZ1875" s="77" t="s">
        <v>5971</v>
      </c>
      <c r="BA1875" s="78" t="s">
        <v>5971</v>
      </c>
      <c r="BB1875" s="78" t="s">
        <v>5971</v>
      </c>
      <c r="BC1875" s="78" t="s">
        <v>5971</v>
      </c>
      <c r="BD1875" s="78" t="s">
        <v>5971</v>
      </c>
      <c r="BE1875" s="78" t="s">
        <v>5971</v>
      </c>
      <c r="BF1875" s="78" t="s">
        <v>5971</v>
      </c>
      <c r="BG1875" s="78" t="s">
        <v>5971</v>
      </c>
      <c r="BH1875" s="75" t="s">
        <v>5971</v>
      </c>
      <c r="BI1875" s="295" t="s">
        <v>313</v>
      </c>
      <c r="BJ1875" s="546">
        <v>1</v>
      </c>
      <c r="BK1875" s="294">
        <v>1</v>
      </c>
      <c r="BL1875" s="157">
        <v>1</v>
      </c>
      <c r="BM1875" s="548" t="s">
        <v>1341</v>
      </c>
      <c r="BN1875" s="548" t="s">
        <v>4160</v>
      </c>
      <c r="BO1875" s="157" t="s">
        <v>4360</v>
      </c>
      <c r="BP1875" s="548" t="s">
        <v>313</v>
      </c>
      <c r="BQ1875" s="157" t="s">
        <v>4359</v>
      </c>
      <c r="BR1875" s="157"/>
    </row>
    <row r="1876" spans="1:70" x14ac:dyDescent="0.25">
      <c r="A1876" s="19" t="s">
        <v>3686</v>
      </c>
      <c r="B1876" s="37" t="s">
        <v>975</v>
      </c>
      <c r="C1876" s="90">
        <v>44415.828865740739</v>
      </c>
      <c r="D1876" s="114">
        <v>44415.578865740739</v>
      </c>
      <c r="E1876" s="38">
        <v>44415</v>
      </c>
      <c r="F1876" s="91">
        <v>2021</v>
      </c>
      <c r="G1876" s="93">
        <v>8</v>
      </c>
      <c r="H1876" s="37" t="s">
        <v>966</v>
      </c>
      <c r="I1876" s="37" t="s">
        <v>16</v>
      </c>
      <c r="J1876" s="103">
        <v>-93.158263700658082</v>
      </c>
      <c r="K1876" s="40">
        <v>44.767346614632821</v>
      </c>
      <c r="L1876" s="74"/>
      <c r="M1876" s="272" t="s">
        <v>976</v>
      </c>
      <c r="N1876" s="74">
        <v>1</v>
      </c>
      <c r="O1876" s="94"/>
      <c r="P1876" s="118">
        <v>0</v>
      </c>
      <c r="Q1876" s="510"/>
      <c r="R1876" s="513"/>
      <c r="S1876" s="41"/>
      <c r="T1876" s="40"/>
      <c r="U1876" s="40"/>
      <c r="V1876" s="119">
        <v>1</v>
      </c>
      <c r="W1876" s="40">
        <v>1000</v>
      </c>
      <c r="X1876" s="119">
        <v>1</v>
      </c>
      <c r="Y1876" s="40">
        <v>58</v>
      </c>
      <c r="Z1876" s="119">
        <v>0</v>
      </c>
      <c r="AA1876" s="368" t="s">
        <v>16</v>
      </c>
      <c r="AB1876" s="535" t="s">
        <v>16</v>
      </c>
      <c r="AC1876" s="39"/>
      <c r="AD1876" s="75" t="s">
        <v>439</v>
      </c>
      <c r="AE1876" s="95">
        <v>0</v>
      </c>
      <c r="AF1876" s="75">
        <v>1</v>
      </c>
      <c r="AG1876" s="75">
        <v>0</v>
      </c>
      <c r="AH1876" s="75">
        <v>0</v>
      </c>
      <c r="AI1876" s="75">
        <v>1</v>
      </c>
      <c r="AJ1876" s="75">
        <v>0</v>
      </c>
      <c r="AK1876" s="75">
        <v>0</v>
      </c>
      <c r="AL1876" s="95">
        <v>0</v>
      </c>
      <c r="AM1876" s="92">
        <v>0</v>
      </c>
      <c r="AN1876" s="79" t="s">
        <v>80</v>
      </c>
      <c r="AO1876" s="75">
        <v>1</v>
      </c>
      <c r="AP1876" s="75" t="s">
        <v>83</v>
      </c>
      <c r="AQ1876" s="122">
        <v>1</v>
      </c>
      <c r="AR1876" s="515" t="s">
        <v>35</v>
      </c>
      <c r="AS1876" s="95">
        <v>0</v>
      </c>
      <c r="AT1876" s="75">
        <v>1</v>
      </c>
      <c r="AU1876" s="75">
        <v>0</v>
      </c>
      <c r="AV1876" s="75">
        <v>0</v>
      </c>
      <c r="AW1876" s="123">
        <v>0</v>
      </c>
      <c r="AX1876" s="516" t="s">
        <v>977</v>
      </c>
      <c r="AY1876" s="75">
        <v>1</v>
      </c>
      <c r="AZ1876" s="77" t="s">
        <v>131</v>
      </c>
      <c r="BA1876" s="78" t="s">
        <v>132</v>
      </c>
      <c r="BB1876" s="78" t="s">
        <v>131</v>
      </c>
      <c r="BC1876" s="78" t="s">
        <v>131</v>
      </c>
      <c r="BD1876" s="78" t="s">
        <v>132</v>
      </c>
      <c r="BE1876" s="78" t="s">
        <v>131</v>
      </c>
      <c r="BF1876" s="78" t="s">
        <v>131</v>
      </c>
      <c r="BG1876" s="78" t="s">
        <v>131</v>
      </c>
      <c r="BH1876" s="75" t="s">
        <v>5970</v>
      </c>
      <c r="BI1876" s="295" t="s">
        <v>16</v>
      </c>
      <c r="BJ1876" s="546" t="s">
        <v>16</v>
      </c>
      <c r="BK1876" s="294" t="s">
        <v>16</v>
      </c>
      <c r="BL1876" s="157" t="s">
        <v>16</v>
      </c>
      <c r="BM1876" s="548" t="s">
        <v>2343</v>
      </c>
      <c r="BN1876" s="548" t="s">
        <v>4161</v>
      </c>
      <c r="BO1876" s="157" t="s">
        <v>4734</v>
      </c>
      <c r="BP1876" s="548" t="s">
        <v>4735</v>
      </c>
      <c r="BQ1876" s="157" t="s">
        <v>4292</v>
      </c>
      <c r="BR1876" s="157"/>
    </row>
    <row r="1877" spans="1:70" x14ac:dyDescent="0.25">
      <c r="A1877" s="19" t="s">
        <v>3686</v>
      </c>
      <c r="B1877" s="37" t="s">
        <v>1047</v>
      </c>
      <c r="C1877" s="90">
        <v>44415.748252314814</v>
      </c>
      <c r="D1877" s="114">
        <v>44415.498252314814</v>
      </c>
      <c r="E1877" s="38">
        <v>44415</v>
      </c>
      <c r="F1877" s="91">
        <v>2021</v>
      </c>
      <c r="G1877" s="93">
        <v>8</v>
      </c>
      <c r="H1877" s="37" t="s">
        <v>612</v>
      </c>
      <c r="I1877" s="37" t="s">
        <v>16</v>
      </c>
      <c r="J1877" s="103">
        <v>-93.009026008878024</v>
      </c>
      <c r="K1877" s="40">
        <v>44.657288460316828</v>
      </c>
      <c r="L1877" s="74"/>
      <c r="M1877" s="272" t="s">
        <v>16</v>
      </c>
      <c r="N1877" s="74">
        <v>0</v>
      </c>
      <c r="O1877" s="94"/>
      <c r="P1877" s="118">
        <v>1</v>
      </c>
      <c r="Q1877" s="510">
        <v>0</v>
      </c>
      <c r="R1877" s="513">
        <v>30</v>
      </c>
      <c r="S1877" s="41"/>
      <c r="T1877" s="40"/>
      <c r="U1877" s="40">
        <v>9</v>
      </c>
      <c r="V1877" s="119">
        <v>1</v>
      </c>
      <c r="W1877" s="40">
        <v>0</v>
      </c>
      <c r="X1877" s="119">
        <v>1</v>
      </c>
      <c r="Y1877" s="40">
        <v>63</v>
      </c>
      <c r="Z1877" s="119">
        <v>1</v>
      </c>
      <c r="AA1877" s="368">
        <v>0</v>
      </c>
      <c r="AB1877" s="535">
        <v>0</v>
      </c>
      <c r="AC1877" s="39" t="s">
        <v>160</v>
      </c>
      <c r="AD1877" s="75" t="s">
        <v>10</v>
      </c>
      <c r="AE1877" s="95">
        <v>0</v>
      </c>
      <c r="AF1877" s="75">
        <v>0</v>
      </c>
      <c r="AG1877" s="75">
        <v>0</v>
      </c>
      <c r="AH1877" s="75">
        <v>0</v>
      </c>
      <c r="AI1877" s="75">
        <v>0</v>
      </c>
      <c r="AJ1877" s="75">
        <v>0</v>
      </c>
      <c r="AK1877" s="75">
        <v>0</v>
      </c>
      <c r="AL1877" s="95">
        <v>1</v>
      </c>
      <c r="AM1877" s="92">
        <v>0</v>
      </c>
      <c r="AN1877" s="79"/>
      <c r="AO1877" s="75">
        <v>0</v>
      </c>
      <c r="AP1877" s="75" t="s">
        <v>83</v>
      </c>
      <c r="AQ1877" s="122">
        <v>1</v>
      </c>
      <c r="AR1877" s="515" t="s">
        <v>13</v>
      </c>
      <c r="AS1877" s="95">
        <v>1</v>
      </c>
      <c r="AT1877" s="75">
        <v>0</v>
      </c>
      <c r="AU1877" s="75">
        <v>0</v>
      </c>
      <c r="AV1877" s="75">
        <v>0</v>
      </c>
      <c r="AW1877" s="123">
        <v>0</v>
      </c>
      <c r="AX1877" s="516"/>
      <c r="AY1877" s="75">
        <v>0</v>
      </c>
      <c r="AZ1877" s="77" t="s">
        <v>131</v>
      </c>
      <c r="BA1877" s="78" t="s">
        <v>131</v>
      </c>
      <c r="BB1877" s="78" t="s">
        <v>131</v>
      </c>
      <c r="BC1877" s="78" t="s">
        <v>131</v>
      </c>
      <c r="BD1877" s="78" t="s">
        <v>131</v>
      </c>
      <c r="BE1877" s="78" t="s">
        <v>131</v>
      </c>
      <c r="BF1877" s="78" t="s">
        <v>131</v>
      </c>
      <c r="BG1877" s="78" t="s">
        <v>132</v>
      </c>
      <c r="BH1877" s="75" t="s">
        <v>5970</v>
      </c>
      <c r="BI1877" s="295" t="s">
        <v>16</v>
      </c>
      <c r="BJ1877" s="546">
        <v>1</v>
      </c>
      <c r="BK1877" s="294" t="s">
        <v>16</v>
      </c>
      <c r="BL1877" s="157" t="s">
        <v>16</v>
      </c>
      <c r="BM1877" s="548" t="s">
        <v>2343</v>
      </c>
      <c r="BN1877" s="548" t="s">
        <v>4161</v>
      </c>
      <c r="BO1877" s="157" t="s">
        <v>4293</v>
      </c>
      <c r="BP1877" s="548" t="s">
        <v>2225</v>
      </c>
      <c r="BQ1877" s="157" t="s">
        <v>4292</v>
      </c>
      <c r="BR1877" s="157"/>
    </row>
    <row r="1878" spans="1:70" x14ac:dyDescent="0.25">
      <c r="A1878" s="19" t="s">
        <v>3686</v>
      </c>
      <c r="B1878" s="37" t="s">
        <v>981</v>
      </c>
      <c r="C1878" s="90">
        <v>44412.689212962963</v>
      </c>
      <c r="D1878" s="114">
        <v>44412.439212962963</v>
      </c>
      <c r="E1878" s="38">
        <v>44412</v>
      </c>
      <c r="F1878" s="91">
        <v>2021</v>
      </c>
      <c r="G1878" s="93">
        <v>8</v>
      </c>
      <c r="H1878" s="37" t="s">
        <v>201</v>
      </c>
      <c r="I1878" s="37"/>
      <c r="J1878" s="103">
        <v>-92.732145876204157</v>
      </c>
      <c r="K1878" s="40">
        <v>44.831092381228494</v>
      </c>
      <c r="L1878" s="74"/>
      <c r="M1878" s="272" t="s">
        <v>16</v>
      </c>
      <c r="N1878" s="74">
        <v>0</v>
      </c>
      <c r="O1878" s="94"/>
      <c r="P1878" s="118">
        <v>1</v>
      </c>
      <c r="Q1878" s="510">
        <v>180</v>
      </c>
      <c r="R1878" s="513">
        <v>180</v>
      </c>
      <c r="S1878" s="41"/>
      <c r="T1878" s="40"/>
      <c r="U1878" s="40">
        <v>8</v>
      </c>
      <c r="V1878" s="119">
        <v>1</v>
      </c>
      <c r="W1878" s="40">
        <v>0</v>
      </c>
      <c r="X1878" s="119">
        <v>1</v>
      </c>
      <c r="Y1878" s="40">
        <v>61</v>
      </c>
      <c r="Z1878" s="119">
        <v>1</v>
      </c>
      <c r="AA1878" s="368">
        <v>0</v>
      </c>
      <c r="AB1878" s="535">
        <v>5</v>
      </c>
      <c r="AC1878" s="39" t="s">
        <v>160</v>
      </c>
      <c r="AD1878" s="75" t="s">
        <v>8</v>
      </c>
      <c r="AE1878" s="95">
        <v>0</v>
      </c>
      <c r="AF1878" s="75">
        <v>1</v>
      </c>
      <c r="AG1878" s="75">
        <v>0</v>
      </c>
      <c r="AH1878" s="75">
        <v>0</v>
      </c>
      <c r="AI1878" s="75">
        <v>0</v>
      </c>
      <c r="AJ1878" s="75">
        <v>0</v>
      </c>
      <c r="AK1878" s="75">
        <v>0</v>
      </c>
      <c r="AL1878" s="95">
        <v>0</v>
      </c>
      <c r="AM1878" s="92">
        <v>0</v>
      </c>
      <c r="AN1878" s="79" t="s">
        <v>80</v>
      </c>
      <c r="AO1878" s="75">
        <v>1</v>
      </c>
      <c r="AP1878" s="75" t="s">
        <v>83</v>
      </c>
      <c r="AQ1878" s="122">
        <v>1</v>
      </c>
      <c r="AR1878" s="515" t="s">
        <v>10</v>
      </c>
      <c r="AS1878" s="95">
        <v>0</v>
      </c>
      <c r="AT1878" s="75">
        <v>0</v>
      </c>
      <c r="AU1878" s="75">
        <v>0</v>
      </c>
      <c r="AV1878" s="75">
        <v>0</v>
      </c>
      <c r="AW1878" s="123">
        <v>0</v>
      </c>
      <c r="AX1878" s="516" t="s">
        <v>982</v>
      </c>
      <c r="AY1878" s="75">
        <v>1</v>
      </c>
      <c r="AZ1878" s="77" t="s">
        <v>131</v>
      </c>
      <c r="BA1878" s="78" t="s">
        <v>132</v>
      </c>
      <c r="BB1878" s="78" t="s">
        <v>131</v>
      </c>
      <c r="BC1878" s="78" t="s">
        <v>131</v>
      </c>
      <c r="BD1878" s="78" t="s">
        <v>131</v>
      </c>
      <c r="BE1878" s="78" t="s">
        <v>131</v>
      </c>
      <c r="BF1878" s="78" t="s">
        <v>131</v>
      </c>
      <c r="BG1878" s="78" t="s">
        <v>131</v>
      </c>
      <c r="BH1878" s="75" t="s">
        <v>5970</v>
      </c>
      <c r="BI1878" s="295" t="s">
        <v>2227</v>
      </c>
      <c r="BJ1878" s="546">
        <v>1</v>
      </c>
      <c r="BK1878" s="294" t="s">
        <v>16</v>
      </c>
      <c r="BL1878" s="157" t="s">
        <v>16</v>
      </c>
      <c r="BM1878" s="548" t="s">
        <v>578</v>
      </c>
      <c r="BN1878" s="548" t="s">
        <v>578</v>
      </c>
      <c r="BO1878" s="157" t="s">
        <v>4341</v>
      </c>
      <c r="BP1878" s="548" t="s">
        <v>4343</v>
      </c>
      <c r="BQ1878" s="157" t="s">
        <v>4309</v>
      </c>
      <c r="BR1878" s="157"/>
    </row>
    <row r="1879" spans="1:70" x14ac:dyDescent="0.25">
      <c r="A1879" s="19" t="s">
        <v>3686</v>
      </c>
      <c r="B1879" s="37" t="s">
        <v>1049</v>
      </c>
      <c r="C1879" s="90">
        <v>44412.55840277778</v>
      </c>
      <c r="D1879" s="114">
        <v>44412.30840277778</v>
      </c>
      <c r="E1879" s="38">
        <v>44412</v>
      </c>
      <c r="F1879" s="91">
        <v>2021</v>
      </c>
      <c r="G1879" s="93">
        <v>8</v>
      </c>
      <c r="H1879" s="37" t="s">
        <v>475</v>
      </c>
      <c r="I1879" s="37" t="s">
        <v>16</v>
      </c>
      <c r="J1879" s="103">
        <v>-91.770089892755976</v>
      </c>
      <c r="K1879" s="40">
        <v>43.650592002126992</v>
      </c>
      <c r="L1879" s="74"/>
      <c r="M1879" s="272" t="s">
        <v>1050</v>
      </c>
      <c r="N1879" s="74">
        <v>1</v>
      </c>
      <c r="O1879" s="94"/>
      <c r="P1879" s="118">
        <v>1</v>
      </c>
      <c r="Q1879" s="510">
        <v>0</v>
      </c>
      <c r="R1879" s="513">
        <v>30</v>
      </c>
      <c r="S1879" s="41"/>
      <c r="T1879" s="40"/>
      <c r="U1879" s="40">
        <v>7</v>
      </c>
      <c r="V1879" s="119">
        <v>1</v>
      </c>
      <c r="W1879" s="40">
        <v>0</v>
      </c>
      <c r="X1879" s="119">
        <v>1</v>
      </c>
      <c r="Y1879" s="40">
        <v>0</v>
      </c>
      <c r="Z1879" s="119">
        <v>0</v>
      </c>
      <c r="AA1879" s="368" t="s">
        <v>16</v>
      </c>
      <c r="AB1879" s="535">
        <v>2</v>
      </c>
      <c r="AC1879" s="39" t="s">
        <v>160</v>
      </c>
      <c r="AD1879" s="75" t="s">
        <v>10</v>
      </c>
      <c r="AE1879" s="95">
        <v>0</v>
      </c>
      <c r="AF1879" s="75">
        <v>0</v>
      </c>
      <c r="AG1879" s="75">
        <v>0</v>
      </c>
      <c r="AH1879" s="75">
        <v>0</v>
      </c>
      <c r="AI1879" s="75">
        <v>0</v>
      </c>
      <c r="AJ1879" s="75">
        <v>0</v>
      </c>
      <c r="AK1879" s="75">
        <v>0</v>
      </c>
      <c r="AL1879" s="95">
        <v>1</v>
      </c>
      <c r="AM1879" s="92">
        <v>0</v>
      </c>
      <c r="AN1879" s="79" t="s">
        <v>80</v>
      </c>
      <c r="AO1879" s="75">
        <v>1</v>
      </c>
      <c r="AP1879" s="75" t="s">
        <v>83</v>
      </c>
      <c r="AQ1879" s="122">
        <v>1</v>
      </c>
      <c r="AR1879" s="515" t="s">
        <v>10</v>
      </c>
      <c r="AS1879" s="95">
        <v>0</v>
      </c>
      <c r="AT1879" s="75">
        <v>0</v>
      </c>
      <c r="AU1879" s="75">
        <v>0</v>
      </c>
      <c r="AV1879" s="75">
        <v>0</v>
      </c>
      <c r="AW1879" s="123">
        <v>0</v>
      </c>
      <c r="AX1879" s="516" t="s">
        <v>1051</v>
      </c>
      <c r="AY1879" s="75">
        <v>1</v>
      </c>
      <c r="AZ1879" s="77" t="s">
        <v>131</v>
      </c>
      <c r="BA1879" s="78" t="s">
        <v>131</v>
      </c>
      <c r="BB1879" s="78" t="s">
        <v>131</v>
      </c>
      <c r="BC1879" s="78" t="s">
        <v>131</v>
      </c>
      <c r="BD1879" s="78" t="s">
        <v>131</v>
      </c>
      <c r="BE1879" s="78" t="s">
        <v>131</v>
      </c>
      <c r="BF1879" s="78" t="s">
        <v>131</v>
      </c>
      <c r="BG1879" s="78" t="s">
        <v>132</v>
      </c>
      <c r="BH1879" s="75" t="s">
        <v>5970</v>
      </c>
      <c r="BI1879" s="295" t="s">
        <v>16</v>
      </c>
      <c r="BJ1879" s="546">
        <v>1</v>
      </c>
      <c r="BK1879" s="294">
        <v>1</v>
      </c>
      <c r="BL1879" s="157">
        <v>1</v>
      </c>
      <c r="BM1879" s="548" t="s">
        <v>1341</v>
      </c>
      <c r="BN1879" s="548" t="s">
        <v>1339</v>
      </c>
      <c r="BO1879" s="157" t="s">
        <v>4418</v>
      </c>
      <c r="BP1879" s="548" t="s">
        <v>4419</v>
      </c>
      <c r="BQ1879" s="157" t="s">
        <v>4232</v>
      </c>
      <c r="BR1879" s="157"/>
    </row>
    <row r="1880" spans="1:70" x14ac:dyDescent="0.25">
      <c r="A1880" s="19" t="s">
        <v>3686</v>
      </c>
      <c r="B1880" s="37" t="s">
        <v>995</v>
      </c>
      <c r="C1880" s="90">
        <v>44411.014953703707</v>
      </c>
      <c r="D1880" s="114">
        <v>44410.764953703707</v>
      </c>
      <c r="E1880" s="38">
        <v>44410</v>
      </c>
      <c r="F1880" s="91">
        <v>2021</v>
      </c>
      <c r="G1880" s="93">
        <v>8</v>
      </c>
      <c r="H1880" s="37" t="s">
        <v>614</v>
      </c>
      <c r="I1880" s="37" t="s">
        <v>146</v>
      </c>
      <c r="J1880" s="103">
        <v>-92.829243221231806</v>
      </c>
      <c r="K1880" s="40">
        <v>45.051456065901846</v>
      </c>
      <c r="L1880" s="74"/>
      <c r="M1880" s="272" t="s">
        <v>16</v>
      </c>
      <c r="N1880" s="74">
        <v>0</v>
      </c>
      <c r="O1880" s="94"/>
      <c r="P1880" s="118">
        <v>1</v>
      </c>
      <c r="Q1880" s="510">
        <v>80</v>
      </c>
      <c r="R1880" s="513">
        <v>30</v>
      </c>
      <c r="S1880" s="41"/>
      <c r="T1880" s="40"/>
      <c r="U1880" s="40">
        <v>8</v>
      </c>
      <c r="V1880" s="119">
        <v>1</v>
      </c>
      <c r="W1880" s="40">
        <v>100</v>
      </c>
      <c r="X1880" s="119">
        <v>1</v>
      </c>
      <c r="Y1880" s="40">
        <v>70</v>
      </c>
      <c r="Z1880" s="119">
        <v>0</v>
      </c>
      <c r="AA1880" s="368" t="s">
        <v>16</v>
      </c>
      <c r="AB1880" s="535" t="s">
        <v>16</v>
      </c>
      <c r="AC1880" s="39" t="s">
        <v>160</v>
      </c>
      <c r="AD1880" s="75" t="s">
        <v>10</v>
      </c>
      <c r="AE1880" s="95">
        <v>0</v>
      </c>
      <c r="AF1880" s="75">
        <v>0</v>
      </c>
      <c r="AG1880" s="75">
        <v>0</v>
      </c>
      <c r="AH1880" s="75">
        <v>0</v>
      </c>
      <c r="AI1880" s="75">
        <v>0</v>
      </c>
      <c r="AJ1880" s="75">
        <v>0</v>
      </c>
      <c r="AK1880" s="75">
        <v>0</v>
      </c>
      <c r="AL1880" s="95">
        <v>1</v>
      </c>
      <c r="AM1880" s="92">
        <v>0</v>
      </c>
      <c r="AN1880" s="79" t="s">
        <v>80</v>
      </c>
      <c r="AO1880" s="75">
        <v>1</v>
      </c>
      <c r="AP1880" s="75" t="s">
        <v>83</v>
      </c>
      <c r="AQ1880" s="122">
        <v>1</v>
      </c>
      <c r="AR1880" s="515" t="s">
        <v>10</v>
      </c>
      <c r="AS1880" s="95">
        <v>0</v>
      </c>
      <c r="AT1880" s="75">
        <v>0</v>
      </c>
      <c r="AU1880" s="75">
        <v>0</v>
      </c>
      <c r="AV1880" s="75">
        <v>0</v>
      </c>
      <c r="AW1880" s="123">
        <v>0</v>
      </c>
      <c r="AX1880" s="516" t="s">
        <v>996</v>
      </c>
      <c r="AY1880" s="75">
        <v>1</v>
      </c>
      <c r="AZ1880" s="77" t="s">
        <v>131</v>
      </c>
      <c r="BA1880" s="78" t="s">
        <v>131</v>
      </c>
      <c r="BB1880" s="78" t="s">
        <v>131</v>
      </c>
      <c r="BC1880" s="78" t="s">
        <v>131</v>
      </c>
      <c r="BD1880" s="78" t="s">
        <v>131</v>
      </c>
      <c r="BE1880" s="78" t="s">
        <v>131</v>
      </c>
      <c r="BF1880" s="78" t="s">
        <v>131</v>
      </c>
      <c r="BG1880" s="78" t="s">
        <v>132</v>
      </c>
      <c r="BH1880" s="75" t="s">
        <v>5970</v>
      </c>
      <c r="BI1880" s="295" t="s">
        <v>16</v>
      </c>
      <c r="BJ1880" s="546" t="s">
        <v>16</v>
      </c>
      <c r="BK1880" s="294" t="s">
        <v>16</v>
      </c>
      <c r="BL1880" s="157" t="s">
        <v>16</v>
      </c>
      <c r="BM1880" s="548" t="s">
        <v>2343</v>
      </c>
      <c r="BN1880" s="548" t="s">
        <v>578</v>
      </c>
      <c r="BO1880" s="157" t="s">
        <v>4420</v>
      </c>
      <c r="BP1880" s="548" t="s">
        <v>4678</v>
      </c>
      <c r="BQ1880" s="157" t="s">
        <v>4287</v>
      </c>
      <c r="BR1880" s="157"/>
    </row>
    <row r="1881" spans="1:70" x14ac:dyDescent="0.25">
      <c r="A1881" s="19" t="s">
        <v>3686</v>
      </c>
      <c r="B1881" s="37" t="s">
        <v>971</v>
      </c>
      <c r="C1881" s="90">
        <v>44411.004675925928</v>
      </c>
      <c r="D1881" s="114">
        <v>44410.754675925928</v>
      </c>
      <c r="E1881" s="38">
        <v>44410</v>
      </c>
      <c r="F1881" s="91">
        <v>2021</v>
      </c>
      <c r="G1881" s="93">
        <v>8</v>
      </c>
      <c r="H1881" s="37" t="s">
        <v>614</v>
      </c>
      <c r="I1881" s="37"/>
      <c r="J1881" s="103">
        <v>-92.829476786111442</v>
      </c>
      <c r="K1881" s="40">
        <v>45.050596295530688</v>
      </c>
      <c r="L1881" s="74"/>
      <c r="M1881" s="272" t="s">
        <v>16</v>
      </c>
      <c r="N1881" s="74">
        <v>0</v>
      </c>
      <c r="O1881" s="94"/>
      <c r="P1881" s="118">
        <v>1</v>
      </c>
      <c r="Q1881" s="510">
        <v>120</v>
      </c>
      <c r="R1881" s="513">
        <v>120</v>
      </c>
      <c r="S1881" s="41"/>
      <c r="T1881" s="40"/>
      <c r="U1881" s="40">
        <v>7</v>
      </c>
      <c r="V1881" s="119">
        <v>1</v>
      </c>
      <c r="W1881" s="40">
        <v>100</v>
      </c>
      <c r="X1881" s="119">
        <v>1</v>
      </c>
      <c r="Y1881" s="40">
        <v>70</v>
      </c>
      <c r="Z1881" s="119">
        <v>0</v>
      </c>
      <c r="AA1881" s="368" t="s">
        <v>16</v>
      </c>
      <c r="AB1881" s="535" t="s">
        <v>16</v>
      </c>
      <c r="AC1881" s="39" t="s">
        <v>160</v>
      </c>
      <c r="AD1881" s="75" t="s">
        <v>16</v>
      </c>
      <c r="AE1881" s="95">
        <v>-1</v>
      </c>
      <c r="AF1881" s="75">
        <v>-1</v>
      </c>
      <c r="AG1881" s="75">
        <v>-1</v>
      </c>
      <c r="AH1881" s="75">
        <v>-1</v>
      </c>
      <c r="AI1881" s="75">
        <v>-1</v>
      </c>
      <c r="AJ1881" s="75">
        <v>-1</v>
      </c>
      <c r="AK1881" s="75">
        <v>-1</v>
      </c>
      <c r="AL1881" s="95">
        <v>-1</v>
      </c>
      <c r="AM1881" s="92">
        <v>1</v>
      </c>
      <c r="AN1881" s="79" t="s">
        <v>80</v>
      </c>
      <c r="AO1881" s="75">
        <v>1</v>
      </c>
      <c r="AP1881" s="75" t="s">
        <v>83</v>
      </c>
      <c r="AQ1881" s="122">
        <v>1</v>
      </c>
      <c r="AR1881" s="515" t="s">
        <v>10</v>
      </c>
      <c r="AS1881" s="95">
        <v>0</v>
      </c>
      <c r="AT1881" s="75">
        <v>0</v>
      </c>
      <c r="AU1881" s="75">
        <v>0</v>
      </c>
      <c r="AV1881" s="75">
        <v>0</v>
      </c>
      <c r="AW1881" s="123">
        <v>0</v>
      </c>
      <c r="AX1881" s="516"/>
      <c r="AY1881" s="75">
        <v>0</v>
      </c>
      <c r="AZ1881" s="77" t="s">
        <v>5971</v>
      </c>
      <c r="BA1881" s="78" t="s">
        <v>5971</v>
      </c>
      <c r="BB1881" s="78" t="s">
        <v>5971</v>
      </c>
      <c r="BC1881" s="78" t="s">
        <v>5971</v>
      </c>
      <c r="BD1881" s="78" t="s">
        <v>5971</v>
      </c>
      <c r="BE1881" s="78" t="s">
        <v>5971</v>
      </c>
      <c r="BF1881" s="78" t="s">
        <v>5971</v>
      </c>
      <c r="BG1881" s="78" t="s">
        <v>5971</v>
      </c>
      <c r="BH1881" s="75" t="s">
        <v>5971</v>
      </c>
      <c r="BI1881" s="295" t="s">
        <v>16</v>
      </c>
      <c r="BJ1881" s="546" t="s">
        <v>16</v>
      </c>
      <c r="BK1881" s="294" t="s">
        <v>16</v>
      </c>
      <c r="BL1881" s="157" t="s">
        <v>16</v>
      </c>
      <c r="BM1881" s="548" t="s">
        <v>2343</v>
      </c>
      <c r="BN1881" s="548" t="s">
        <v>578</v>
      </c>
      <c r="BO1881" s="157" t="s">
        <v>4420</v>
      </c>
      <c r="BP1881" s="548" t="s">
        <v>4678</v>
      </c>
      <c r="BQ1881" s="157" t="s">
        <v>4287</v>
      </c>
      <c r="BR1881" s="157"/>
    </row>
    <row r="1882" spans="1:70" x14ac:dyDescent="0.25">
      <c r="A1882" s="19" t="s">
        <v>3686</v>
      </c>
      <c r="B1882" s="37" t="s">
        <v>1048</v>
      </c>
      <c r="C1882" s="90">
        <v>44410.651354166665</v>
      </c>
      <c r="D1882" s="114">
        <v>44410.401354166665</v>
      </c>
      <c r="E1882" s="38">
        <v>44410</v>
      </c>
      <c r="F1882" s="91">
        <v>2021</v>
      </c>
      <c r="G1882" s="93">
        <v>8</v>
      </c>
      <c r="H1882" s="37" t="s">
        <v>618</v>
      </c>
      <c r="I1882" s="37" t="s">
        <v>753</v>
      </c>
      <c r="J1882" s="103">
        <v>-92.802144499999997</v>
      </c>
      <c r="K1882" s="40">
        <v>44.542932899999997</v>
      </c>
      <c r="L1882" s="74"/>
      <c r="M1882" s="272" t="s">
        <v>16</v>
      </c>
      <c r="N1882" s="74">
        <v>0</v>
      </c>
      <c r="O1882" s="94"/>
      <c r="P1882" s="118">
        <v>1</v>
      </c>
      <c r="Q1882" s="510">
        <v>80</v>
      </c>
      <c r="R1882" s="513">
        <v>120</v>
      </c>
      <c r="S1882" s="41"/>
      <c r="T1882" s="40"/>
      <c r="U1882" s="40">
        <v>7</v>
      </c>
      <c r="V1882" s="119">
        <v>1</v>
      </c>
      <c r="W1882" s="40">
        <v>0</v>
      </c>
      <c r="X1882" s="119">
        <v>1</v>
      </c>
      <c r="Y1882" s="40">
        <v>54</v>
      </c>
      <c r="Z1882" s="119">
        <v>1</v>
      </c>
      <c r="AA1882" s="368">
        <v>0</v>
      </c>
      <c r="AB1882" s="535">
        <v>0</v>
      </c>
      <c r="AC1882" s="39" t="s">
        <v>160</v>
      </c>
      <c r="AD1882" s="75" t="s">
        <v>16</v>
      </c>
      <c r="AE1882" s="95">
        <v>-1</v>
      </c>
      <c r="AF1882" s="75">
        <v>-1</v>
      </c>
      <c r="AG1882" s="75">
        <v>-1</v>
      </c>
      <c r="AH1882" s="75">
        <v>-1</v>
      </c>
      <c r="AI1882" s="75">
        <v>-1</v>
      </c>
      <c r="AJ1882" s="75">
        <v>-1</v>
      </c>
      <c r="AK1882" s="75">
        <v>-1</v>
      </c>
      <c r="AL1882" s="95">
        <v>-1</v>
      </c>
      <c r="AM1882" s="92">
        <v>1</v>
      </c>
      <c r="AN1882" s="79" t="s">
        <v>80</v>
      </c>
      <c r="AO1882" s="75">
        <v>1</v>
      </c>
      <c r="AP1882" s="75" t="s">
        <v>83</v>
      </c>
      <c r="AQ1882" s="122">
        <v>1</v>
      </c>
      <c r="AR1882" s="515" t="s">
        <v>10</v>
      </c>
      <c r="AS1882" s="95">
        <v>0</v>
      </c>
      <c r="AT1882" s="75">
        <v>0</v>
      </c>
      <c r="AU1882" s="75">
        <v>0</v>
      </c>
      <c r="AV1882" s="75">
        <v>0</v>
      </c>
      <c r="AW1882" s="123">
        <v>0</v>
      </c>
      <c r="AX1882" s="516"/>
      <c r="AY1882" s="75">
        <v>0</v>
      </c>
      <c r="AZ1882" s="77" t="s">
        <v>5971</v>
      </c>
      <c r="BA1882" s="78" t="s">
        <v>5971</v>
      </c>
      <c r="BB1882" s="78" t="s">
        <v>5971</v>
      </c>
      <c r="BC1882" s="78" t="s">
        <v>5971</v>
      </c>
      <c r="BD1882" s="78" t="s">
        <v>5971</v>
      </c>
      <c r="BE1882" s="78" t="s">
        <v>5971</v>
      </c>
      <c r="BF1882" s="78" t="s">
        <v>5971</v>
      </c>
      <c r="BG1882" s="78" t="s">
        <v>5971</v>
      </c>
      <c r="BH1882" s="75" t="s">
        <v>5971</v>
      </c>
      <c r="BI1882" s="295" t="s">
        <v>16</v>
      </c>
      <c r="BJ1882" s="546">
        <v>1</v>
      </c>
      <c r="BK1882" s="294">
        <v>1</v>
      </c>
      <c r="BL1882" s="157">
        <v>1</v>
      </c>
      <c r="BM1882" s="548" t="s">
        <v>2343</v>
      </c>
      <c r="BN1882" s="548" t="s">
        <v>4161</v>
      </c>
      <c r="BO1882" s="157" t="s">
        <v>4510</v>
      </c>
      <c r="BP1882" s="548" t="s">
        <v>753</v>
      </c>
      <c r="BQ1882" s="157" t="s">
        <v>4389</v>
      </c>
      <c r="BR1882" s="157"/>
    </row>
    <row r="1883" spans="1:70" x14ac:dyDescent="0.25">
      <c r="A1883" s="19" t="s">
        <v>3686</v>
      </c>
      <c r="B1883" s="37" t="s">
        <v>1024</v>
      </c>
      <c r="C1883" s="90">
        <v>44409.630868055552</v>
      </c>
      <c r="D1883" s="114">
        <v>44409.380868055552</v>
      </c>
      <c r="E1883" s="38">
        <v>44409</v>
      </c>
      <c r="F1883" s="91">
        <v>2021</v>
      </c>
      <c r="G1883" s="93">
        <v>8</v>
      </c>
      <c r="H1883" s="37" t="s">
        <v>214</v>
      </c>
      <c r="I1883" s="37"/>
      <c r="J1883" s="103">
        <v>-92.359474474512794</v>
      </c>
      <c r="K1883" s="40">
        <v>44.787095527567871</v>
      </c>
      <c r="L1883" s="74"/>
      <c r="M1883" s="272" t="s">
        <v>16</v>
      </c>
      <c r="N1883" s="74">
        <v>0</v>
      </c>
      <c r="O1883" s="94"/>
      <c r="P1883" s="118">
        <v>1</v>
      </c>
      <c r="Q1883" s="510">
        <v>0</v>
      </c>
      <c r="R1883" s="513">
        <v>30</v>
      </c>
      <c r="S1883" s="41"/>
      <c r="T1883" s="40"/>
      <c r="U1883" s="40">
        <v>7</v>
      </c>
      <c r="V1883" s="119">
        <v>0</v>
      </c>
      <c r="W1883" s="40"/>
      <c r="X1883" s="119">
        <v>1</v>
      </c>
      <c r="Y1883" s="40">
        <v>57</v>
      </c>
      <c r="Z1883" s="119">
        <v>0</v>
      </c>
      <c r="AA1883" s="368" t="s">
        <v>16</v>
      </c>
      <c r="AB1883" s="535" t="s">
        <v>16</v>
      </c>
      <c r="AC1883" s="39" t="s">
        <v>160</v>
      </c>
      <c r="AD1883" s="75" t="s">
        <v>10</v>
      </c>
      <c r="AE1883" s="95">
        <v>0</v>
      </c>
      <c r="AF1883" s="75">
        <v>0</v>
      </c>
      <c r="AG1883" s="75">
        <v>0</v>
      </c>
      <c r="AH1883" s="75">
        <v>0</v>
      </c>
      <c r="AI1883" s="75">
        <v>0</v>
      </c>
      <c r="AJ1883" s="75">
        <v>0</v>
      </c>
      <c r="AK1883" s="75">
        <v>0</v>
      </c>
      <c r="AL1883" s="95">
        <v>1</v>
      </c>
      <c r="AM1883" s="92">
        <v>0</v>
      </c>
      <c r="AN1883" s="79" t="s">
        <v>80</v>
      </c>
      <c r="AO1883" s="75">
        <v>1</v>
      </c>
      <c r="AP1883" s="75" t="s">
        <v>83</v>
      </c>
      <c r="AQ1883" s="122">
        <v>1</v>
      </c>
      <c r="AR1883" s="515" t="s">
        <v>10</v>
      </c>
      <c r="AS1883" s="95">
        <v>0</v>
      </c>
      <c r="AT1883" s="75">
        <v>0</v>
      </c>
      <c r="AU1883" s="75">
        <v>0</v>
      </c>
      <c r="AV1883" s="75">
        <v>0</v>
      </c>
      <c r="AW1883" s="123">
        <v>0</v>
      </c>
      <c r="AX1883" s="516"/>
      <c r="AY1883" s="75">
        <v>0</v>
      </c>
      <c r="AZ1883" s="77" t="s">
        <v>131</v>
      </c>
      <c r="BA1883" s="78" t="s">
        <v>131</v>
      </c>
      <c r="BB1883" s="78" t="s">
        <v>131</v>
      </c>
      <c r="BC1883" s="78" t="s">
        <v>131</v>
      </c>
      <c r="BD1883" s="78" t="s">
        <v>131</v>
      </c>
      <c r="BE1883" s="78" t="s">
        <v>131</v>
      </c>
      <c r="BF1883" s="78" t="s">
        <v>131</v>
      </c>
      <c r="BG1883" s="78" t="s">
        <v>132</v>
      </c>
      <c r="BH1883" s="75" t="s">
        <v>5970</v>
      </c>
      <c r="BI1883" s="295" t="s">
        <v>2231</v>
      </c>
      <c r="BJ1883" s="546">
        <v>1</v>
      </c>
      <c r="BK1883" s="294">
        <v>1</v>
      </c>
      <c r="BL1883" s="157">
        <v>1</v>
      </c>
      <c r="BM1883" s="548" t="s">
        <v>578</v>
      </c>
      <c r="BN1883" s="548" t="s">
        <v>578</v>
      </c>
      <c r="BO1883" s="157" t="s">
        <v>4213</v>
      </c>
      <c r="BP1883" s="548" t="s">
        <v>4216</v>
      </c>
      <c r="BQ1883" s="157" t="s">
        <v>4212</v>
      </c>
      <c r="BR1883" s="157"/>
    </row>
    <row r="1884" spans="1:70" x14ac:dyDescent="0.25">
      <c r="A1884" s="19" t="s">
        <v>3686</v>
      </c>
      <c r="B1884" s="37" t="s">
        <v>1002</v>
      </c>
      <c r="C1884" s="90">
        <v>44407.685601851852</v>
      </c>
      <c r="D1884" s="114">
        <v>44407.435601851852</v>
      </c>
      <c r="E1884" s="38">
        <v>44407</v>
      </c>
      <c r="F1884" s="91">
        <v>2021</v>
      </c>
      <c r="G1884" s="93">
        <v>7</v>
      </c>
      <c r="H1884" s="37" t="s">
        <v>617</v>
      </c>
      <c r="I1884" s="37" t="s">
        <v>2362</v>
      </c>
      <c r="J1884" s="103">
        <v>-92.284215631819606</v>
      </c>
      <c r="K1884" s="40">
        <v>44.542220714876095</v>
      </c>
      <c r="L1884" s="74"/>
      <c r="M1884" s="272" t="s">
        <v>16</v>
      </c>
      <c r="N1884" s="74">
        <v>0</v>
      </c>
      <c r="O1884" s="94"/>
      <c r="P1884" s="118">
        <v>1</v>
      </c>
      <c r="Q1884" s="510">
        <v>180</v>
      </c>
      <c r="R1884" s="513">
        <v>120</v>
      </c>
      <c r="S1884" s="41"/>
      <c r="T1884" s="40"/>
      <c r="U1884" s="40">
        <v>7.5</v>
      </c>
      <c r="V1884" s="119">
        <v>1</v>
      </c>
      <c r="W1884" s="40">
        <v>0</v>
      </c>
      <c r="X1884" s="119">
        <v>1</v>
      </c>
      <c r="Y1884" s="40">
        <v>53</v>
      </c>
      <c r="Z1884" s="119">
        <v>1</v>
      </c>
      <c r="AA1884" s="368">
        <v>0</v>
      </c>
      <c r="AB1884" s="535">
        <v>2</v>
      </c>
      <c r="AC1884" s="39" t="s">
        <v>160</v>
      </c>
      <c r="AD1884" s="75" t="s">
        <v>16</v>
      </c>
      <c r="AE1884" s="95">
        <v>-1</v>
      </c>
      <c r="AF1884" s="75">
        <v>-1</v>
      </c>
      <c r="AG1884" s="75">
        <v>-1</v>
      </c>
      <c r="AH1884" s="75">
        <v>-1</v>
      </c>
      <c r="AI1884" s="75">
        <v>-1</v>
      </c>
      <c r="AJ1884" s="75">
        <v>-1</v>
      </c>
      <c r="AK1884" s="75">
        <v>-1</v>
      </c>
      <c r="AL1884" s="95">
        <v>-1</v>
      </c>
      <c r="AM1884" s="92">
        <v>1</v>
      </c>
      <c r="AN1884" s="79" t="s">
        <v>80</v>
      </c>
      <c r="AO1884" s="75">
        <v>1</v>
      </c>
      <c r="AP1884" s="75" t="s">
        <v>83</v>
      </c>
      <c r="AQ1884" s="122">
        <v>1</v>
      </c>
      <c r="AR1884" s="515" t="s">
        <v>10</v>
      </c>
      <c r="AS1884" s="95">
        <v>0</v>
      </c>
      <c r="AT1884" s="75">
        <v>0</v>
      </c>
      <c r="AU1884" s="75">
        <v>0</v>
      </c>
      <c r="AV1884" s="75">
        <v>0</v>
      </c>
      <c r="AW1884" s="123">
        <v>0</v>
      </c>
      <c r="AX1884" s="516"/>
      <c r="AY1884" s="75">
        <v>0</v>
      </c>
      <c r="AZ1884" s="77" t="s">
        <v>5971</v>
      </c>
      <c r="BA1884" s="78" t="s">
        <v>5971</v>
      </c>
      <c r="BB1884" s="78" t="s">
        <v>5971</v>
      </c>
      <c r="BC1884" s="78" t="s">
        <v>5971</v>
      </c>
      <c r="BD1884" s="78" t="s">
        <v>5971</v>
      </c>
      <c r="BE1884" s="78" t="s">
        <v>5971</v>
      </c>
      <c r="BF1884" s="78" t="s">
        <v>5971</v>
      </c>
      <c r="BG1884" s="78" t="s">
        <v>5971</v>
      </c>
      <c r="BH1884" s="75" t="s">
        <v>5971</v>
      </c>
      <c r="BI1884" s="295" t="s">
        <v>16</v>
      </c>
      <c r="BJ1884" s="546">
        <v>1</v>
      </c>
      <c r="BK1884" s="294">
        <v>1</v>
      </c>
      <c r="BL1884" s="157">
        <v>1</v>
      </c>
      <c r="BM1884" s="548" t="s">
        <v>1340</v>
      </c>
      <c r="BN1884" s="548" t="s">
        <v>578</v>
      </c>
      <c r="BO1884" s="157" t="s">
        <v>4268</v>
      </c>
      <c r="BP1884" s="548" t="s">
        <v>2261</v>
      </c>
      <c r="BQ1884" s="157" t="s">
        <v>4214</v>
      </c>
      <c r="BR1884" s="157"/>
    </row>
    <row r="1885" spans="1:70" x14ac:dyDescent="0.25">
      <c r="A1885" s="19" t="s">
        <v>3686</v>
      </c>
      <c r="B1885" s="37" t="s">
        <v>999</v>
      </c>
      <c r="C1885" s="90">
        <v>44407.043819444443</v>
      </c>
      <c r="D1885" s="114">
        <v>44406.793819444443</v>
      </c>
      <c r="E1885" s="38">
        <v>44406</v>
      </c>
      <c r="F1885" s="91">
        <v>2021</v>
      </c>
      <c r="G1885" s="93">
        <v>7</v>
      </c>
      <c r="H1885" s="37" t="s">
        <v>965</v>
      </c>
      <c r="I1885" s="37"/>
      <c r="J1885" s="103">
        <v>-92.587672663807524</v>
      </c>
      <c r="K1885" s="40">
        <v>44.895092770803288</v>
      </c>
      <c r="L1885" s="74"/>
      <c r="M1885" s="272" t="s">
        <v>16</v>
      </c>
      <c r="N1885" s="74">
        <v>0</v>
      </c>
      <c r="O1885" s="94"/>
      <c r="P1885" s="118">
        <v>1</v>
      </c>
      <c r="Q1885" s="510">
        <v>0</v>
      </c>
      <c r="R1885" s="513">
        <v>60</v>
      </c>
      <c r="S1885" s="41"/>
      <c r="T1885" s="40"/>
      <c r="U1885" s="40">
        <v>7</v>
      </c>
      <c r="V1885" s="119">
        <v>0</v>
      </c>
      <c r="W1885" s="40"/>
      <c r="X1885" s="119">
        <v>0</v>
      </c>
      <c r="Y1885" s="40"/>
      <c r="Z1885" s="119">
        <v>0</v>
      </c>
      <c r="AA1885" s="368" t="s">
        <v>16</v>
      </c>
      <c r="AB1885" s="535" t="s">
        <v>16</v>
      </c>
      <c r="AC1885" s="39" t="s">
        <v>16</v>
      </c>
      <c r="AD1885" s="75" t="s">
        <v>16</v>
      </c>
      <c r="AE1885" s="95">
        <v>-1</v>
      </c>
      <c r="AF1885" s="75">
        <v>-1</v>
      </c>
      <c r="AG1885" s="75">
        <v>-1</v>
      </c>
      <c r="AH1885" s="75">
        <v>-1</v>
      </c>
      <c r="AI1885" s="75">
        <v>-1</v>
      </c>
      <c r="AJ1885" s="75">
        <v>-1</v>
      </c>
      <c r="AK1885" s="75">
        <v>-1</v>
      </c>
      <c r="AL1885" s="95">
        <v>-1</v>
      </c>
      <c r="AM1885" s="92">
        <v>1</v>
      </c>
      <c r="AN1885" s="79" t="s">
        <v>81</v>
      </c>
      <c r="AO1885" s="75">
        <v>1</v>
      </c>
      <c r="AP1885" s="75" t="s">
        <v>83</v>
      </c>
      <c r="AQ1885" s="122">
        <v>1</v>
      </c>
      <c r="AR1885" s="515" t="s">
        <v>13</v>
      </c>
      <c r="AS1885" s="95">
        <v>1</v>
      </c>
      <c r="AT1885" s="75">
        <v>0</v>
      </c>
      <c r="AU1885" s="75">
        <v>0</v>
      </c>
      <c r="AV1885" s="75">
        <v>0</v>
      </c>
      <c r="AW1885" s="123">
        <v>0</v>
      </c>
      <c r="AX1885" s="516"/>
      <c r="AY1885" s="75">
        <v>0</v>
      </c>
      <c r="AZ1885" s="77" t="s">
        <v>5971</v>
      </c>
      <c r="BA1885" s="78" t="s">
        <v>5971</v>
      </c>
      <c r="BB1885" s="78" t="s">
        <v>5971</v>
      </c>
      <c r="BC1885" s="78" t="s">
        <v>5971</v>
      </c>
      <c r="BD1885" s="78" t="s">
        <v>5971</v>
      </c>
      <c r="BE1885" s="78" t="s">
        <v>5971</v>
      </c>
      <c r="BF1885" s="78" t="s">
        <v>5971</v>
      </c>
      <c r="BG1885" s="78" t="s">
        <v>5971</v>
      </c>
      <c r="BH1885" s="75" t="s">
        <v>5971</v>
      </c>
      <c r="BI1885" s="295" t="s">
        <v>2227</v>
      </c>
      <c r="BJ1885" s="546">
        <v>1</v>
      </c>
      <c r="BK1885" s="294" t="s">
        <v>16</v>
      </c>
      <c r="BL1885" s="157" t="s">
        <v>16</v>
      </c>
      <c r="BM1885" s="548" t="s">
        <v>578</v>
      </c>
      <c r="BN1885" s="548" t="s">
        <v>4161</v>
      </c>
      <c r="BO1885" s="157" t="s">
        <v>4311</v>
      </c>
      <c r="BP1885" s="548" t="s">
        <v>4395</v>
      </c>
      <c r="BQ1885" s="157" t="s">
        <v>4309</v>
      </c>
      <c r="BR1885" s="157"/>
    </row>
    <row r="1886" spans="1:70" x14ac:dyDescent="0.25">
      <c r="A1886" s="19" t="s">
        <v>3686</v>
      </c>
      <c r="B1886" s="37" t="s">
        <v>984</v>
      </c>
      <c r="C1886" s="90">
        <v>44406.974351851852</v>
      </c>
      <c r="D1886" s="114">
        <v>44406.724351851852</v>
      </c>
      <c r="E1886" s="38">
        <v>44406</v>
      </c>
      <c r="F1886" s="91">
        <v>2021</v>
      </c>
      <c r="G1886" s="93">
        <v>7</v>
      </c>
      <c r="H1886" s="37" t="s">
        <v>621</v>
      </c>
      <c r="I1886" s="37" t="s">
        <v>960</v>
      </c>
      <c r="J1886" s="103">
        <v>-93.009027298626478</v>
      </c>
      <c r="K1886" s="40">
        <v>44.657202581916614</v>
      </c>
      <c r="L1886" s="74"/>
      <c r="M1886" s="272" t="s">
        <v>16</v>
      </c>
      <c r="N1886" s="74">
        <v>0</v>
      </c>
      <c r="O1886" s="94"/>
      <c r="P1886" s="118">
        <v>1</v>
      </c>
      <c r="Q1886" s="510">
        <v>120</v>
      </c>
      <c r="R1886" s="513">
        <v>180</v>
      </c>
      <c r="S1886" s="41"/>
      <c r="T1886" s="40"/>
      <c r="U1886" s="40">
        <v>7</v>
      </c>
      <c r="V1886" s="119">
        <v>1</v>
      </c>
      <c r="W1886" s="40">
        <v>100</v>
      </c>
      <c r="X1886" s="119">
        <v>1</v>
      </c>
      <c r="Y1886" s="40">
        <v>70</v>
      </c>
      <c r="Z1886" s="119">
        <v>1</v>
      </c>
      <c r="AA1886" s="368">
        <v>0</v>
      </c>
      <c r="AB1886" s="535">
        <v>5</v>
      </c>
      <c r="AC1886" s="39" t="s">
        <v>160</v>
      </c>
      <c r="AD1886" s="75" t="s">
        <v>16</v>
      </c>
      <c r="AE1886" s="95">
        <v>-1</v>
      </c>
      <c r="AF1886" s="75">
        <v>-1</v>
      </c>
      <c r="AG1886" s="75">
        <v>-1</v>
      </c>
      <c r="AH1886" s="75">
        <v>-1</v>
      </c>
      <c r="AI1886" s="75">
        <v>-1</v>
      </c>
      <c r="AJ1886" s="75">
        <v>-1</v>
      </c>
      <c r="AK1886" s="75">
        <v>-1</v>
      </c>
      <c r="AL1886" s="95">
        <v>-1</v>
      </c>
      <c r="AM1886" s="92">
        <v>1</v>
      </c>
      <c r="AN1886" s="79" t="s">
        <v>80</v>
      </c>
      <c r="AO1886" s="75">
        <v>1</v>
      </c>
      <c r="AP1886" s="75" t="s">
        <v>83</v>
      </c>
      <c r="AQ1886" s="122">
        <v>1</v>
      </c>
      <c r="AR1886" s="515" t="s">
        <v>10</v>
      </c>
      <c r="AS1886" s="95">
        <v>0</v>
      </c>
      <c r="AT1886" s="75">
        <v>0</v>
      </c>
      <c r="AU1886" s="75">
        <v>0</v>
      </c>
      <c r="AV1886" s="75">
        <v>0</v>
      </c>
      <c r="AW1886" s="123">
        <v>0</v>
      </c>
      <c r="AX1886" s="516"/>
      <c r="AY1886" s="75">
        <v>0</v>
      </c>
      <c r="AZ1886" s="77" t="s">
        <v>5971</v>
      </c>
      <c r="BA1886" s="78" t="s">
        <v>5971</v>
      </c>
      <c r="BB1886" s="78" t="s">
        <v>5971</v>
      </c>
      <c r="BC1886" s="78" t="s">
        <v>5971</v>
      </c>
      <c r="BD1886" s="78" t="s">
        <v>5971</v>
      </c>
      <c r="BE1886" s="78" t="s">
        <v>5971</v>
      </c>
      <c r="BF1886" s="78" t="s">
        <v>5971</v>
      </c>
      <c r="BG1886" s="78" t="s">
        <v>5971</v>
      </c>
      <c r="BH1886" s="75" t="s">
        <v>5971</v>
      </c>
      <c r="BI1886" s="295" t="s">
        <v>2225</v>
      </c>
      <c r="BJ1886" s="546">
        <v>1</v>
      </c>
      <c r="BK1886" s="294" t="s">
        <v>16</v>
      </c>
      <c r="BL1886" s="157" t="s">
        <v>16</v>
      </c>
      <c r="BM1886" s="548" t="s">
        <v>2343</v>
      </c>
      <c r="BN1886" s="548" t="s">
        <v>4161</v>
      </c>
      <c r="BO1886" s="157" t="s">
        <v>4293</v>
      </c>
      <c r="BP1886" s="548" t="s">
        <v>2225</v>
      </c>
      <c r="BQ1886" s="157" t="s">
        <v>4292</v>
      </c>
      <c r="BR1886" s="157"/>
    </row>
    <row r="1887" spans="1:70" x14ac:dyDescent="0.25">
      <c r="A1887" s="19" t="s">
        <v>3686</v>
      </c>
      <c r="B1887" s="37" t="s">
        <v>1032</v>
      </c>
      <c r="C1887" s="90">
        <v>44406.581064814818</v>
      </c>
      <c r="D1887" s="114">
        <v>44406.331064814818</v>
      </c>
      <c r="E1887" s="38">
        <v>44406</v>
      </c>
      <c r="F1887" s="91">
        <v>2021</v>
      </c>
      <c r="G1887" s="93">
        <v>7</v>
      </c>
      <c r="H1887" s="37" t="s">
        <v>405</v>
      </c>
      <c r="I1887" s="37" t="s">
        <v>146</v>
      </c>
      <c r="J1887" s="103">
        <v>-92.802255721849207</v>
      </c>
      <c r="K1887" s="40">
        <v>44.543039929163214</v>
      </c>
      <c r="L1887" s="74"/>
      <c r="M1887" s="272" t="s">
        <v>16</v>
      </c>
      <c r="N1887" s="74">
        <v>0</v>
      </c>
      <c r="O1887" s="94"/>
      <c r="P1887" s="118">
        <v>0</v>
      </c>
      <c r="Q1887" s="510"/>
      <c r="R1887" s="513"/>
      <c r="S1887" s="41"/>
      <c r="T1887" s="40"/>
      <c r="U1887" s="40"/>
      <c r="V1887" s="119">
        <v>0</v>
      </c>
      <c r="W1887" s="40"/>
      <c r="X1887" s="119">
        <v>1</v>
      </c>
      <c r="Y1887" s="40">
        <v>0</v>
      </c>
      <c r="Z1887" s="119">
        <v>0</v>
      </c>
      <c r="AA1887" s="368" t="s">
        <v>16</v>
      </c>
      <c r="AB1887" s="535" t="s">
        <v>16</v>
      </c>
      <c r="AC1887" s="39" t="s">
        <v>160</v>
      </c>
      <c r="AD1887" s="75" t="s">
        <v>16</v>
      </c>
      <c r="AE1887" s="95">
        <v>-1</v>
      </c>
      <c r="AF1887" s="75">
        <v>-1</v>
      </c>
      <c r="AG1887" s="75">
        <v>-1</v>
      </c>
      <c r="AH1887" s="75">
        <v>-1</v>
      </c>
      <c r="AI1887" s="75">
        <v>-1</v>
      </c>
      <c r="AJ1887" s="75">
        <v>-1</v>
      </c>
      <c r="AK1887" s="75">
        <v>-1</v>
      </c>
      <c r="AL1887" s="95">
        <v>-1</v>
      </c>
      <c r="AM1887" s="92">
        <v>1</v>
      </c>
      <c r="AN1887" s="79" t="s">
        <v>80</v>
      </c>
      <c r="AO1887" s="75">
        <v>1</v>
      </c>
      <c r="AP1887" s="75" t="s">
        <v>83</v>
      </c>
      <c r="AQ1887" s="122">
        <v>1</v>
      </c>
      <c r="AR1887" s="515" t="s">
        <v>10</v>
      </c>
      <c r="AS1887" s="95">
        <v>0</v>
      </c>
      <c r="AT1887" s="75">
        <v>0</v>
      </c>
      <c r="AU1887" s="75">
        <v>0</v>
      </c>
      <c r="AV1887" s="75">
        <v>0</v>
      </c>
      <c r="AW1887" s="123">
        <v>0</v>
      </c>
      <c r="AX1887" s="516" t="s">
        <v>1033</v>
      </c>
      <c r="AY1887" s="75">
        <v>1</v>
      </c>
      <c r="AZ1887" s="77" t="s">
        <v>5971</v>
      </c>
      <c r="BA1887" s="78" t="s">
        <v>5971</v>
      </c>
      <c r="BB1887" s="78" t="s">
        <v>5971</v>
      </c>
      <c r="BC1887" s="78" t="s">
        <v>5971</v>
      </c>
      <c r="BD1887" s="78" t="s">
        <v>5971</v>
      </c>
      <c r="BE1887" s="78" t="s">
        <v>5971</v>
      </c>
      <c r="BF1887" s="78" t="s">
        <v>5971</v>
      </c>
      <c r="BG1887" s="78" t="s">
        <v>5971</v>
      </c>
      <c r="BH1887" s="75" t="s">
        <v>5971</v>
      </c>
      <c r="BI1887" s="295" t="s">
        <v>2224</v>
      </c>
      <c r="BJ1887" s="546">
        <v>1</v>
      </c>
      <c r="BK1887" s="294">
        <v>1</v>
      </c>
      <c r="BL1887" s="157">
        <v>1</v>
      </c>
      <c r="BM1887" s="548" t="s">
        <v>2343</v>
      </c>
      <c r="BN1887" s="548" t="s">
        <v>4161</v>
      </c>
      <c r="BO1887" s="157" t="s">
        <v>4510</v>
      </c>
      <c r="BP1887" s="548" t="s">
        <v>753</v>
      </c>
      <c r="BQ1887" s="157" t="s">
        <v>4389</v>
      </c>
      <c r="BR1887" s="157"/>
    </row>
    <row r="1888" spans="1:70" x14ac:dyDescent="0.25">
      <c r="A1888" s="19" t="s">
        <v>3686</v>
      </c>
      <c r="B1888" s="37" t="s">
        <v>980</v>
      </c>
      <c r="C1888" s="90">
        <v>44405.788194444445</v>
      </c>
      <c r="D1888" s="114">
        <v>44405.538194444445</v>
      </c>
      <c r="E1888" s="38">
        <v>44405</v>
      </c>
      <c r="F1888" s="91">
        <v>2021</v>
      </c>
      <c r="G1888" s="93">
        <v>7</v>
      </c>
      <c r="H1888" s="37" t="s">
        <v>622</v>
      </c>
      <c r="I1888" s="37"/>
      <c r="J1888" s="103">
        <v>-92.267688280057399</v>
      </c>
      <c r="K1888" s="40">
        <v>44.42856995393003</v>
      </c>
      <c r="L1888" s="74"/>
      <c r="M1888" s="272" t="s">
        <v>16</v>
      </c>
      <c r="N1888" s="74">
        <v>0</v>
      </c>
      <c r="O1888" s="94"/>
      <c r="P1888" s="118">
        <v>1</v>
      </c>
      <c r="Q1888" s="510">
        <v>180</v>
      </c>
      <c r="R1888" s="513">
        <v>120</v>
      </c>
      <c r="S1888" s="41"/>
      <c r="T1888" s="40"/>
      <c r="U1888" s="40">
        <v>8</v>
      </c>
      <c r="V1888" s="119">
        <v>1</v>
      </c>
      <c r="W1888" s="40">
        <v>200</v>
      </c>
      <c r="X1888" s="119">
        <v>1</v>
      </c>
      <c r="Y1888" s="40">
        <v>60</v>
      </c>
      <c r="Z1888" s="119">
        <v>0</v>
      </c>
      <c r="AA1888" s="368" t="s">
        <v>16</v>
      </c>
      <c r="AB1888" s="535" t="s">
        <v>16</v>
      </c>
      <c r="AC1888" s="39" t="s">
        <v>16</v>
      </c>
      <c r="AD1888" s="75" t="s">
        <v>16</v>
      </c>
      <c r="AE1888" s="95">
        <v>-1</v>
      </c>
      <c r="AF1888" s="75">
        <v>-1</v>
      </c>
      <c r="AG1888" s="75">
        <v>-1</v>
      </c>
      <c r="AH1888" s="75">
        <v>-1</v>
      </c>
      <c r="AI1888" s="75">
        <v>-1</v>
      </c>
      <c r="AJ1888" s="75">
        <v>-1</v>
      </c>
      <c r="AK1888" s="75">
        <v>-1</v>
      </c>
      <c r="AL1888" s="95">
        <v>-1</v>
      </c>
      <c r="AM1888" s="92">
        <v>1</v>
      </c>
      <c r="AN1888" s="79"/>
      <c r="AO1888" s="75">
        <v>0</v>
      </c>
      <c r="AP1888" s="75"/>
      <c r="AQ1888" s="122">
        <v>0</v>
      </c>
      <c r="AR1888" s="515" t="s">
        <v>16</v>
      </c>
      <c r="AS1888" s="95">
        <v>-1</v>
      </c>
      <c r="AT1888" s="75">
        <v>-1</v>
      </c>
      <c r="AU1888" s="75">
        <v>-1</v>
      </c>
      <c r="AV1888" s="75">
        <v>-1</v>
      </c>
      <c r="AW1888" s="123">
        <v>1</v>
      </c>
      <c r="AX1888" s="516"/>
      <c r="AY1888" s="75">
        <v>0</v>
      </c>
      <c r="AZ1888" s="77" t="s">
        <v>5971</v>
      </c>
      <c r="BA1888" s="78" t="s">
        <v>5971</v>
      </c>
      <c r="BB1888" s="78" t="s">
        <v>5971</v>
      </c>
      <c r="BC1888" s="78" t="s">
        <v>5971</v>
      </c>
      <c r="BD1888" s="78" t="s">
        <v>5971</v>
      </c>
      <c r="BE1888" s="78" t="s">
        <v>5971</v>
      </c>
      <c r="BF1888" s="78" t="s">
        <v>5971</v>
      </c>
      <c r="BG1888" s="78" t="s">
        <v>5971</v>
      </c>
      <c r="BH1888" s="75" t="s">
        <v>5971</v>
      </c>
      <c r="BI1888" s="295" t="s">
        <v>2228</v>
      </c>
      <c r="BJ1888" s="546">
        <v>1</v>
      </c>
      <c r="BK1888" s="294" t="s">
        <v>16</v>
      </c>
      <c r="BL1888" s="157" t="s">
        <v>16</v>
      </c>
      <c r="BM1888" s="548" t="s">
        <v>1339</v>
      </c>
      <c r="BN1888" s="548" t="s">
        <v>1339</v>
      </c>
      <c r="BO1888" s="157" t="s">
        <v>4614</v>
      </c>
      <c r="BP1888" s="548" t="s">
        <v>2228</v>
      </c>
      <c r="BQ1888" s="157" t="s">
        <v>4214</v>
      </c>
      <c r="BR1888" s="157"/>
    </row>
    <row r="1889" spans="1:70" x14ac:dyDescent="0.25">
      <c r="A1889" s="19" t="s">
        <v>3686</v>
      </c>
      <c r="B1889" s="37" t="s">
        <v>978</v>
      </c>
      <c r="C1889" s="90">
        <v>44405.023969907408</v>
      </c>
      <c r="D1889" s="114">
        <v>44404.773969907408</v>
      </c>
      <c r="E1889" s="38">
        <v>44404</v>
      </c>
      <c r="F1889" s="91">
        <v>2021</v>
      </c>
      <c r="G1889" s="93">
        <v>7</v>
      </c>
      <c r="H1889" s="37" t="s">
        <v>606</v>
      </c>
      <c r="I1889" s="37" t="s">
        <v>16</v>
      </c>
      <c r="J1889" s="103">
        <v>-92.143993181167758</v>
      </c>
      <c r="K1889" s="40">
        <v>44.236889718124701</v>
      </c>
      <c r="L1889" s="74"/>
      <c r="M1889" s="272" t="s">
        <v>16</v>
      </c>
      <c r="N1889" s="74">
        <v>0</v>
      </c>
      <c r="O1889" s="94"/>
      <c r="P1889" s="118">
        <v>1</v>
      </c>
      <c r="Q1889" s="510">
        <v>180</v>
      </c>
      <c r="R1889" s="513">
        <v>180</v>
      </c>
      <c r="S1889" s="41"/>
      <c r="T1889" s="40"/>
      <c r="U1889" s="40">
        <v>7</v>
      </c>
      <c r="V1889" s="119">
        <v>1</v>
      </c>
      <c r="W1889" s="40">
        <v>100</v>
      </c>
      <c r="X1889" s="119">
        <v>1</v>
      </c>
      <c r="Y1889" s="40">
        <v>62</v>
      </c>
      <c r="Z1889" s="119">
        <v>1</v>
      </c>
      <c r="AA1889" s="368">
        <v>0</v>
      </c>
      <c r="AB1889" s="535">
        <v>5</v>
      </c>
      <c r="AC1889" s="39"/>
      <c r="AD1889" s="75" t="s">
        <v>10</v>
      </c>
      <c r="AE1889" s="95">
        <v>0</v>
      </c>
      <c r="AF1889" s="75">
        <v>0</v>
      </c>
      <c r="AG1889" s="75">
        <v>0</v>
      </c>
      <c r="AH1889" s="75">
        <v>0</v>
      </c>
      <c r="AI1889" s="75">
        <v>0</v>
      </c>
      <c r="AJ1889" s="75">
        <v>0</v>
      </c>
      <c r="AK1889" s="75">
        <v>0</v>
      </c>
      <c r="AL1889" s="95">
        <v>1</v>
      </c>
      <c r="AM1889" s="92">
        <v>0</v>
      </c>
      <c r="AN1889" s="79" t="s">
        <v>80</v>
      </c>
      <c r="AO1889" s="75">
        <v>1</v>
      </c>
      <c r="AP1889" s="75" t="s">
        <v>83</v>
      </c>
      <c r="AQ1889" s="122">
        <v>1</v>
      </c>
      <c r="AR1889" s="515" t="s">
        <v>10</v>
      </c>
      <c r="AS1889" s="95">
        <v>0</v>
      </c>
      <c r="AT1889" s="75">
        <v>0</v>
      </c>
      <c r="AU1889" s="75">
        <v>0</v>
      </c>
      <c r="AV1889" s="75">
        <v>0</v>
      </c>
      <c r="AW1889" s="123">
        <v>0</v>
      </c>
      <c r="AX1889" s="516" t="s">
        <v>979</v>
      </c>
      <c r="AY1889" s="75">
        <v>1</v>
      </c>
      <c r="AZ1889" s="77" t="s">
        <v>131</v>
      </c>
      <c r="BA1889" s="78" t="s">
        <v>131</v>
      </c>
      <c r="BB1889" s="78" t="s">
        <v>131</v>
      </c>
      <c r="BC1889" s="78" t="s">
        <v>131</v>
      </c>
      <c r="BD1889" s="78" t="s">
        <v>131</v>
      </c>
      <c r="BE1889" s="78" t="s">
        <v>131</v>
      </c>
      <c r="BF1889" s="78" t="s">
        <v>131</v>
      </c>
      <c r="BG1889" s="78" t="s">
        <v>132</v>
      </c>
      <c r="BH1889" s="75" t="s">
        <v>5970</v>
      </c>
      <c r="BI1889" s="295" t="s">
        <v>317</v>
      </c>
      <c r="BJ1889" s="546">
        <v>1</v>
      </c>
      <c r="BK1889" s="294">
        <v>1</v>
      </c>
      <c r="BL1889" s="157">
        <v>1</v>
      </c>
      <c r="BM1889" s="548" t="s">
        <v>1339</v>
      </c>
      <c r="BN1889" s="548" t="s">
        <v>1339</v>
      </c>
      <c r="BO1889" s="157" t="s">
        <v>4358</v>
      </c>
      <c r="BP1889" s="548" t="s">
        <v>317</v>
      </c>
      <c r="BQ1889" s="157" t="s">
        <v>4330</v>
      </c>
      <c r="BR1889" s="157"/>
    </row>
    <row r="1890" spans="1:70" x14ac:dyDescent="0.25">
      <c r="A1890" s="19" t="s">
        <v>3686</v>
      </c>
      <c r="B1890" s="37" t="s">
        <v>1017</v>
      </c>
      <c r="C1890" s="90">
        <v>44404.642766203702</v>
      </c>
      <c r="D1890" s="114">
        <v>44404.392766203702</v>
      </c>
      <c r="E1890" s="38">
        <v>44404</v>
      </c>
      <c r="F1890" s="91">
        <v>2021</v>
      </c>
      <c r="G1890" s="93">
        <v>7</v>
      </c>
      <c r="H1890" s="37" t="s">
        <v>201</v>
      </c>
      <c r="I1890" s="37"/>
      <c r="J1890" s="103">
        <v>-92.732120116313837</v>
      </c>
      <c r="K1890" s="40">
        <v>44.831098966564383</v>
      </c>
      <c r="L1890" s="74"/>
      <c r="M1890" s="272" t="s">
        <v>16</v>
      </c>
      <c r="N1890" s="74">
        <v>0</v>
      </c>
      <c r="O1890" s="94"/>
      <c r="P1890" s="118">
        <v>1</v>
      </c>
      <c r="Q1890" s="510">
        <v>180</v>
      </c>
      <c r="R1890" s="513">
        <v>120</v>
      </c>
      <c r="S1890" s="41"/>
      <c r="T1890" s="40"/>
      <c r="U1890" s="40">
        <v>7.5</v>
      </c>
      <c r="V1890" s="119">
        <v>1</v>
      </c>
      <c r="W1890" s="40">
        <v>0</v>
      </c>
      <c r="X1890" s="119">
        <v>1</v>
      </c>
      <c r="Y1890" s="40">
        <v>65</v>
      </c>
      <c r="Z1890" s="119">
        <v>0</v>
      </c>
      <c r="AA1890" s="368" t="s">
        <v>16</v>
      </c>
      <c r="AB1890" s="535" t="s">
        <v>16</v>
      </c>
      <c r="AC1890" s="39" t="s">
        <v>160</v>
      </c>
      <c r="AD1890" s="75" t="s">
        <v>8</v>
      </c>
      <c r="AE1890" s="95">
        <v>0</v>
      </c>
      <c r="AF1890" s="75">
        <v>1</v>
      </c>
      <c r="AG1890" s="75">
        <v>0</v>
      </c>
      <c r="AH1890" s="75">
        <v>0</v>
      </c>
      <c r="AI1890" s="75">
        <v>0</v>
      </c>
      <c r="AJ1890" s="75">
        <v>0</v>
      </c>
      <c r="AK1890" s="75">
        <v>0</v>
      </c>
      <c r="AL1890" s="95">
        <v>0</v>
      </c>
      <c r="AM1890" s="92">
        <v>0</v>
      </c>
      <c r="AN1890" s="79" t="s">
        <v>80</v>
      </c>
      <c r="AO1890" s="75">
        <v>1</v>
      </c>
      <c r="AP1890" s="75" t="s">
        <v>83</v>
      </c>
      <c r="AQ1890" s="122">
        <v>1</v>
      </c>
      <c r="AR1890" s="515" t="s">
        <v>10</v>
      </c>
      <c r="AS1890" s="95">
        <v>0</v>
      </c>
      <c r="AT1890" s="75">
        <v>0</v>
      </c>
      <c r="AU1890" s="75">
        <v>0</v>
      </c>
      <c r="AV1890" s="75">
        <v>0</v>
      </c>
      <c r="AW1890" s="123">
        <v>0</v>
      </c>
      <c r="AX1890" s="516" t="s">
        <v>1018</v>
      </c>
      <c r="AY1890" s="75">
        <v>1</v>
      </c>
      <c r="AZ1890" s="77" t="s">
        <v>131</v>
      </c>
      <c r="BA1890" s="78" t="s">
        <v>132</v>
      </c>
      <c r="BB1890" s="78" t="s">
        <v>131</v>
      </c>
      <c r="BC1890" s="78" t="s">
        <v>131</v>
      </c>
      <c r="BD1890" s="78" t="s">
        <v>131</v>
      </c>
      <c r="BE1890" s="78" t="s">
        <v>131</v>
      </c>
      <c r="BF1890" s="78" t="s">
        <v>131</v>
      </c>
      <c r="BG1890" s="78" t="s">
        <v>131</v>
      </c>
      <c r="BH1890" s="75" t="s">
        <v>5970</v>
      </c>
      <c r="BI1890" s="295" t="s">
        <v>2227</v>
      </c>
      <c r="BJ1890" s="546">
        <v>1</v>
      </c>
      <c r="BK1890" s="294" t="s">
        <v>16</v>
      </c>
      <c r="BL1890" s="157" t="s">
        <v>16</v>
      </c>
      <c r="BM1890" s="548" t="s">
        <v>578</v>
      </c>
      <c r="BN1890" s="548" t="s">
        <v>578</v>
      </c>
      <c r="BO1890" s="157" t="s">
        <v>4341</v>
      </c>
      <c r="BP1890" s="548" t="s">
        <v>4343</v>
      </c>
      <c r="BQ1890" s="157" t="s">
        <v>4309</v>
      </c>
      <c r="BR1890" s="157"/>
    </row>
    <row r="1891" spans="1:70" x14ac:dyDescent="0.25">
      <c r="A1891" s="19" t="s">
        <v>3686</v>
      </c>
      <c r="B1891" s="37" t="s">
        <v>970</v>
      </c>
      <c r="C1891" s="90">
        <v>44403.665891203702</v>
      </c>
      <c r="D1891" s="114">
        <v>44403.415891203702</v>
      </c>
      <c r="E1891" s="38">
        <v>44403</v>
      </c>
      <c r="F1891" s="91">
        <v>2021</v>
      </c>
      <c r="G1891" s="93">
        <v>7</v>
      </c>
      <c r="H1891" s="37" t="s">
        <v>218</v>
      </c>
      <c r="I1891" s="37" t="s">
        <v>349</v>
      </c>
      <c r="J1891" s="103">
        <v>-92.52961998697036</v>
      </c>
      <c r="K1891" s="40">
        <v>44.79373138879258</v>
      </c>
      <c r="L1891" s="74"/>
      <c r="M1891" s="272" t="s">
        <v>16</v>
      </c>
      <c r="N1891" s="74">
        <v>0</v>
      </c>
      <c r="O1891" s="94"/>
      <c r="P1891" s="118">
        <v>1</v>
      </c>
      <c r="Q1891" s="510">
        <v>180</v>
      </c>
      <c r="R1891" s="513">
        <v>180</v>
      </c>
      <c r="S1891" s="41"/>
      <c r="T1891" s="40"/>
      <c r="U1891" s="40">
        <v>8</v>
      </c>
      <c r="V1891" s="119">
        <v>1</v>
      </c>
      <c r="W1891" s="40">
        <v>0</v>
      </c>
      <c r="X1891" s="119">
        <v>1</v>
      </c>
      <c r="Y1891" s="40">
        <v>65</v>
      </c>
      <c r="Z1891" s="119">
        <v>1</v>
      </c>
      <c r="AA1891" s="368">
        <v>0</v>
      </c>
      <c r="AB1891" s="535">
        <v>2</v>
      </c>
      <c r="AC1891" s="39" t="s">
        <v>160</v>
      </c>
      <c r="AD1891" s="75" t="s">
        <v>10</v>
      </c>
      <c r="AE1891" s="95">
        <v>0</v>
      </c>
      <c r="AF1891" s="75">
        <v>0</v>
      </c>
      <c r="AG1891" s="75">
        <v>0</v>
      </c>
      <c r="AH1891" s="75">
        <v>0</v>
      </c>
      <c r="AI1891" s="75">
        <v>0</v>
      </c>
      <c r="AJ1891" s="75">
        <v>0</v>
      </c>
      <c r="AK1891" s="75">
        <v>0</v>
      </c>
      <c r="AL1891" s="95">
        <v>1</v>
      </c>
      <c r="AM1891" s="92">
        <v>0</v>
      </c>
      <c r="AN1891" s="79" t="s">
        <v>80</v>
      </c>
      <c r="AO1891" s="75">
        <v>1</v>
      </c>
      <c r="AP1891" s="75" t="s">
        <v>83</v>
      </c>
      <c r="AQ1891" s="122">
        <v>1</v>
      </c>
      <c r="AR1891" s="515" t="s">
        <v>10</v>
      </c>
      <c r="AS1891" s="95">
        <v>0</v>
      </c>
      <c r="AT1891" s="75">
        <v>0</v>
      </c>
      <c r="AU1891" s="75">
        <v>0</v>
      </c>
      <c r="AV1891" s="75">
        <v>0</v>
      </c>
      <c r="AW1891" s="123">
        <v>0</v>
      </c>
      <c r="AX1891" s="516"/>
      <c r="AY1891" s="75">
        <v>0</v>
      </c>
      <c r="AZ1891" s="77" t="s">
        <v>131</v>
      </c>
      <c r="BA1891" s="78" t="s">
        <v>131</v>
      </c>
      <c r="BB1891" s="78" t="s">
        <v>131</v>
      </c>
      <c r="BC1891" s="78" t="s">
        <v>131</v>
      </c>
      <c r="BD1891" s="78" t="s">
        <v>131</v>
      </c>
      <c r="BE1891" s="78" t="s">
        <v>131</v>
      </c>
      <c r="BF1891" s="78" t="s">
        <v>131</v>
      </c>
      <c r="BG1891" s="78" t="s">
        <v>132</v>
      </c>
      <c r="BH1891" s="75" t="s">
        <v>5970</v>
      </c>
      <c r="BI1891" s="295" t="s">
        <v>2236</v>
      </c>
      <c r="BJ1891" s="546">
        <v>1</v>
      </c>
      <c r="BK1891" s="294" t="s">
        <v>16</v>
      </c>
      <c r="BL1891" s="157" t="s">
        <v>16</v>
      </c>
      <c r="BM1891" s="548" t="s">
        <v>578</v>
      </c>
      <c r="BN1891" s="548" t="s">
        <v>578</v>
      </c>
      <c r="BO1891" s="157" t="s">
        <v>4658</v>
      </c>
      <c r="BP1891" s="548" t="s">
        <v>4660</v>
      </c>
      <c r="BQ1891" s="157" t="s">
        <v>4657</v>
      </c>
      <c r="BR1891" s="157"/>
    </row>
    <row r="1892" spans="1:70" x14ac:dyDescent="0.25">
      <c r="A1892" s="19" t="s">
        <v>3686</v>
      </c>
      <c r="B1892" s="37" t="s">
        <v>1016</v>
      </c>
      <c r="C1892" s="90">
        <v>44403.63994212963</v>
      </c>
      <c r="D1892" s="114">
        <v>44403.38994212963</v>
      </c>
      <c r="E1892" s="38">
        <v>44403</v>
      </c>
      <c r="F1892" s="91">
        <v>2021</v>
      </c>
      <c r="G1892" s="93">
        <v>7</v>
      </c>
      <c r="H1892" s="37" t="s">
        <v>218</v>
      </c>
      <c r="I1892" s="37"/>
      <c r="J1892" s="103">
        <v>-92.5318700768144</v>
      </c>
      <c r="K1892" s="40">
        <v>44.787459121582586</v>
      </c>
      <c r="L1892" s="74"/>
      <c r="M1892" s="272" t="s">
        <v>16</v>
      </c>
      <c r="N1892" s="74">
        <v>0</v>
      </c>
      <c r="O1892" s="94"/>
      <c r="P1892" s="118">
        <v>1</v>
      </c>
      <c r="Q1892" s="510">
        <v>180</v>
      </c>
      <c r="R1892" s="513">
        <v>180</v>
      </c>
      <c r="S1892" s="41"/>
      <c r="T1892" s="40"/>
      <c r="U1892" s="40">
        <v>8</v>
      </c>
      <c r="V1892" s="119">
        <v>1</v>
      </c>
      <c r="W1892" s="40">
        <v>0</v>
      </c>
      <c r="X1892" s="119">
        <v>1</v>
      </c>
      <c r="Y1892" s="40">
        <v>57</v>
      </c>
      <c r="Z1892" s="119">
        <v>1</v>
      </c>
      <c r="AA1892" s="368">
        <v>0</v>
      </c>
      <c r="AB1892" s="535">
        <v>5</v>
      </c>
      <c r="AC1892" s="39" t="s">
        <v>160</v>
      </c>
      <c r="AD1892" s="75" t="s">
        <v>10</v>
      </c>
      <c r="AE1892" s="95">
        <v>0</v>
      </c>
      <c r="AF1892" s="75">
        <v>0</v>
      </c>
      <c r="AG1892" s="75">
        <v>0</v>
      </c>
      <c r="AH1892" s="75">
        <v>0</v>
      </c>
      <c r="AI1892" s="75">
        <v>0</v>
      </c>
      <c r="AJ1892" s="75">
        <v>0</v>
      </c>
      <c r="AK1892" s="75">
        <v>0</v>
      </c>
      <c r="AL1892" s="95">
        <v>1</v>
      </c>
      <c r="AM1892" s="92">
        <v>0</v>
      </c>
      <c r="AN1892" s="79" t="s">
        <v>80</v>
      </c>
      <c r="AO1892" s="75">
        <v>1</v>
      </c>
      <c r="AP1892" s="75" t="s">
        <v>83</v>
      </c>
      <c r="AQ1892" s="122">
        <v>1</v>
      </c>
      <c r="AR1892" s="515" t="s">
        <v>10</v>
      </c>
      <c r="AS1892" s="95">
        <v>0</v>
      </c>
      <c r="AT1892" s="75">
        <v>0</v>
      </c>
      <c r="AU1892" s="75">
        <v>0</v>
      </c>
      <c r="AV1892" s="75">
        <v>0</v>
      </c>
      <c r="AW1892" s="123">
        <v>0</v>
      </c>
      <c r="AX1892" s="516"/>
      <c r="AY1892" s="75">
        <v>0</v>
      </c>
      <c r="AZ1892" s="77" t="s">
        <v>131</v>
      </c>
      <c r="BA1892" s="78" t="s">
        <v>131</v>
      </c>
      <c r="BB1892" s="78" t="s">
        <v>131</v>
      </c>
      <c r="BC1892" s="78" t="s">
        <v>131</v>
      </c>
      <c r="BD1892" s="78" t="s">
        <v>131</v>
      </c>
      <c r="BE1892" s="78" t="s">
        <v>131</v>
      </c>
      <c r="BF1892" s="78" t="s">
        <v>131</v>
      </c>
      <c r="BG1892" s="78" t="s">
        <v>132</v>
      </c>
      <c r="BH1892" s="75" t="s">
        <v>5970</v>
      </c>
      <c r="BI1892" s="295" t="s">
        <v>2236</v>
      </c>
      <c r="BJ1892" s="546">
        <v>1</v>
      </c>
      <c r="BK1892" s="294" t="s">
        <v>16</v>
      </c>
      <c r="BL1892" s="157" t="s">
        <v>16</v>
      </c>
      <c r="BM1892" s="548" t="s">
        <v>578</v>
      </c>
      <c r="BN1892" s="548" t="s">
        <v>578</v>
      </c>
      <c r="BO1892" s="157" t="s">
        <v>4658</v>
      </c>
      <c r="BP1892" s="548" t="s">
        <v>4660</v>
      </c>
      <c r="BQ1892" s="157" t="s">
        <v>4657</v>
      </c>
      <c r="BR1892" s="157"/>
    </row>
    <row r="1893" spans="1:70" x14ac:dyDescent="0.25">
      <c r="A1893" s="19" t="s">
        <v>3686</v>
      </c>
      <c r="B1893" s="37" t="s">
        <v>1037</v>
      </c>
      <c r="C1893" s="90">
        <v>44403.619085648148</v>
      </c>
      <c r="D1893" s="114">
        <v>44403.369085648148</v>
      </c>
      <c r="E1893" s="38">
        <v>44403</v>
      </c>
      <c r="F1893" s="91">
        <v>2021</v>
      </c>
      <c r="G1893" s="93">
        <v>7</v>
      </c>
      <c r="H1893" s="37" t="s">
        <v>218</v>
      </c>
      <c r="I1893" s="37"/>
      <c r="J1893" s="103">
        <v>-92.529676133844276</v>
      </c>
      <c r="K1893" s="40">
        <v>44.789805317598777</v>
      </c>
      <c r="L1893" s="74"/>
      <c r="M1893" s="272" t="s">
        <v>16</v>
      </c>
      <c r="N1893" s="74">
        <v>0</v>
      </c>
      <c r="O1893" s="94"/>
      <c r="P1893" s="118">
        <v>1</v>
      </c>
      <c r="Q1893" s="510">
        <v>180</v>
      </c>
      <c r="R1893" s="513">
        <v>120</v>
      </c>
      <c r="S1893" s="41"/>
      <c r="T1893" s="40"/>
      <c r="U1893" s="40">
        <v>7.5</v>
      </c>
      <c r="V1893" s="119">
        <v>1</v>
      </c>
      <c r="W1893" s="40">
        <v>0</v>
      </c>
      <c r="X1893" s="119">
        <v>1</v>
      </c>
      <c r="Y1893" s="40">
        <v>52</v>
      </c>
      <c r="Z1893" s="119">
        <v>1</v>
      </c>
      <c r="AA1893" s="368">
        <v>0</v>
      </c>
      <c r="AB1893" s="535">
        <v>5</v>
      </c>
      <c r="AC1893" s="39" t="s">
        <v>162</v>
      </c>
      <c r="AD1893" s="75" t="s">
        <v>10</v>
      </c>
      <c r="AE1893" s="95">
        <v>0</v>
      </c>
      <c r="AF1893" s="75">
        <v>0</v>
      </c>
      <c r="AG1893" s="75">
        <v>0</v>
      </c>
      <c r="AH1893" s="75">
        <v>0</v>
      </c>
      <c r="AI1893" s="75">
        <v>0</v>
      </c>
      <c r="AJ1893" s="75">
        <v>0</v>
      </c>
      <c r="AK1893" s="75">
        <v>0</v>
      </c>
      <c r="AL1893" s="95">
        <v>1</v>
      </c>
      <c r="AM1893" s="92">
        <v>0</v>
      </c>
      <c r="AN1893" s="79" t="s">
        <v>80</v>
      </c>
      <c r="AO1893" s="75">
        <v>1</v>
      </c>
      <c r="AP1893" s="75" t="s">
        <v>83</v>
      </c>
      <c r="AQ1893" s="122">
        <v>1</v>
      </c>
      <c r="AR1893" s="515" t="s">
        <v>10</v>
      </c>
      <c r="AS1893" s="95">
        <v>0</v>
      </c>
      <c r="AT1893" s="75">
        <v>0</v>
      </c>
      <c r="AU1893" s="75">
        <v>0</v>
      </c>
      <c r="AV1893" s="75">
        <v>0</v>
      </c>
      <c r="AW1893" s="123">
        <v>0</v>
      </c>
      <c r="AX1893" s="516"/>
      <c r="AY1893" s="75">
        <v>0</v>
      </c>
      <c r="AZ1893" s="77" t="s">
        <v>131</v>
      </c>
      <c r="BA1893" s="78" t="s">
        <v>131</v>
      </c>
      <c r="BB1893" s="78" t="s">
        <v>131</v>
      </c>
      <c r="BC1893" s="78" t="s">
        <v>131</v>
      </c>
      <c r="BD1893" s="78" t="s">
        <v>131</v>
      </c>
      <c r="BE1893" s="78" t="s">
        <v>131</v>
      </c>
      <c r="BF1893" s="78" t="s">
        <v>131</v>
      </c>
      <c r="BG1893" s="78" t="s">
        <v>132</v>
      </c>
      <c r="BH1893" s="75" t="s">
        <v>5970</v>
      </c>
      <c r="BI1893" s="295" t="s">
        <v>2236</v>
      </c>
      <c r="BJ1893" s="546">
        <v>1</v>
      </c>
      <c r="BK1893" s="294" t="s">
        <v>16</v>
      </c>
      <c r="BL1893" s="157" t="s">
        <v>16</v>
      </c>
      <c r="BM1893" s="548" t="s">
        <v>578</v>
      </c>
      <c r="BN1893" s="548" t="s">
        <v>578</v>
      </c>
      <c r="BO1893" s="157" t="s">
        <v>4658</v>
      </c>
      <c r="BP1893" s="548" t="s">
        <v>4660</v>
      </c>
      <c r="BQ1893" s="157" t="s">
        <v>4657</v>
      </c>
      <c r="BR1893" s="157"/>
    </row>
    <row r="1894" spans="1:70" x14ac:dyDescent="0.25">
      <c r="A1894" s="19" t="s">
        <v>3686</v>
      </c>
      <c r="B1894" s="37" t="s">
        <v>1006</v>
      </c>
      <c r="C1894" s="90">
        <v>44400.552442129629</v>
      </c>
      <c r="D1894" s="114">
        <v>44400.302442129629</v>
      </c>
      <c r="E1894" s="38">
        <v>44400</v>
      </c>
      <c r="F1894" s="91">
        <v>2021</v>
      </c>
      <c r="G1894" s="93">
        <v>7</v>
      </c>
      <c r="H1894" s="37" t="s">
        <v>475</v>
      </c>
      <c r="I1894" s="37" t="s">
        <v>16</v>
      </c>
      <c r="J1894" s="103">
        <v>-92.278066752564399</v>
      </c>
      <c r="K1894" s="40">
        <v>43.793050241697387</v>
      </c>
      <c r="L1894" s="74"/>
      <c r="M1894" s="272" t="s">
        <v>16</v>
      </c>
      <c r="N1894" s="74">
        <v>0</v>
      </c>
      <c r="O1894" s="94"/>
      <c r="P1894" s="118">
        <v>1</v>
      </c>
      <c r="Q1894" s="510">
        <v>180</v>
      </c>
      <c r="R1894" s="513">
        <v>0</v>
      </c>
      <c r="S1894" s="41"/>
      <c r="T1894" s="40"/>
      <c r="U1894" s="40">
        <v>7</v>
      </c>
      <c r="V1894" s="119">
        <v>1</v>
      </c>
      <c r="W1894" s="40">
        <v>0</v>
      </c>
      <c r="X1894" s="119">
        <v>1</v>
      </c>
      <c r="Y1894" s="40">
        <v>0</v>
      </c>
      <c r="Z1894" s="119">
        <v>1</v>
      </c>
      <c r="AA1894" s="368">
        <v>0</v>
      </c>
      <c r="AB1894" s="535">
        <v>5</v>
      </c>
      <c r="AC1894" s="39" t="s">
        <v>160</v>
      </c>
      <c r="AD1894" s="75" t="s">
        <v>10</v>
      </c>
      <c r="AE1894" s="95">
        <v>0</v>
      </c>
      <c r="AF1894" s="75">
        <v>0</v>
      </c>
      <c r="AG1894" s="75">
        <v>0</v>
      </c>
      <c r="AH1894" s="75">
        <v>0</v>
      </c>
      <c r="AI1894" s="75">
        <v>0</v>
      </c>
      <c r="AJ1894" s="75">
        <v>0</v>
      </c>
      <c r="AK1894" s="75">
        <v>0</v>
      </c>
      <c r="AL1894" s="95">
        <v>1</v>
      </c>
      <c r="AM1894" s="92">
        <v>0</v>
      </c>
      <c r="AN1894" s="79" t="s">
        <v>80</v>
      </c>
      <c r="AO1894" s="75">
        <v>1</v>
      </c>
      <c r="AP1894" s="75" t="s">
        <v>83</v>
      </c>
      <c r="AQ1894" s="122">
        <v>1</v>
      </c>
      <c r="AR1894" s="515" t="s">
        <v>10</v>
      </c>
      <c r="AS1894" s="95">
        <v>0</v>
      </c>
      <c r="AT1894" s="75">
        <v>0</v>
      </c>
      <c r="AU1894" s="75">
        <v>0</v>
      </c>
      <c r="AV1894" s="75">
        <v>0</v>
      </c>
      <c r="AW1894" s="123">
        <v>0</v>
      </c>
      <c r="AX1894" s="516" t="s">
        <v>1007</v>
      </c>
      <c r="AY1894" s="75">
        <v>1</v>
      </c>
      <c r="AZ1894" s="77" t="s">
        <v>131</v>
      </c>
      <c r="BA1894" s="78" t="s">
        <v>131</v>
      </c>
      <c r="BB1894" s="78" t="s">
        <v>131</v>
      </c>
      <c r="BC1894" s="78" t="s">
        <v>131</v>
      </c>
      <c r="BD1894" s="78" t="s">
        <v>131</v>
      </c>
      <c r="BE1894" s="78" t="s">
        <v>131</v>
      </c>
      <c r="BF1894" s="78" t="s">
        <v>131</v>
      </c>
      <c r="BG1894" s="78" t="s">
        <v>132</v>
      </c>
      <c r="BH1894" s="75" t="s">
        <v>5970</v>
      </c>
      <c r="BI1894" s="295" t="s">
        <v>2251</v>
      </c>
      <c r="BJ1894" s="546">
        <v>1</v>
      </c>
      <c r="BK1894" s="294">
        <v>1</v>
      </c>
      <c r="BL1894" s="157">
        <v>1</v>
      </c>
      <c r="BM1894" s="548" t="s">
        <v>1339</v>
      </c>
      <c r="BN1894" s="548" t="s">
        <v>1339</v>
      </c>
      <c r="BO1894" s="157" t="s">
        <v>4329</v>
      </c>
      <c r="BP1894" s="548" t="s">
        <v>4228</v>
      </c>
      <c r="BQ1894" s="157" t="s">
        <v>4226</v>
      </c>
      <c r="BR1894" s="157"/>
    </row>
    <row r="1895" spans="1:70" x14ac:dyDescent="0.25">
      <c r="A1895" s="19" t="s">
        <v>3686</v>
      </c>
      <c r="B1895" s="37" t="s">
        <v>1042</v>
      </c>
      <c r="C1895" s="90">
        <v>44400.531689814816</v>
      </c>
      <c r="D1895" s="114">
        <v>44400.281689814816</v>
      </c>
      <c r="E1895" s="38">
        <v>44400</v>
      </c>
      <c r="F1895" s="91">
        <v>2021</v>
      </c>
      <c r="G1895" s="93">
        <v>7</v>
      </c>
      <c r="H1895" s="37" t="s">
        <v>601</v>
      </c>
      <c r="I1895" s="37" t="s">
        <v>753</v>
      </c>
      <c r="J1895" s="103">
        <v>-92.812218256025517</v>
      </c>
      <c r="K1895" s="40">
        <v>44.553232354537037</v>
      </c>
      <c r="L1895" s="74"/>
      <c r="M1895" s="272" t="s">
        <v>1043</v>
      </c>
      <c r="N1895" s="74">
        <v>1</v>
      </c>
      <c r="O1895" s="94"/>
      <c r="P1895" s="118">
        <v>1</v>
      </c>
      <c r="Q1895" s="510">
        <v>120</v>
      </c>
      <c r="R1895" s="513">
        <v>120</v>
      </c>
      <c r="S1895" s="41"/>
      <c r="T1895" s="40"/>
      <c r="U1895" s="40">
        <v>7</v>
      </c>
      <c r="V1895" s="119">
        <v>0</v>
      </c>
      <c r="W1895" s="40"/>
      <c r="X1895" s="119">
        <v>0</v>
      </c>
      <c r="Y1895" s="40"/>
      <c r="Z1895" s="119">
        <v>1</v>
      </c>
      <c r="AA1895" s="368">
        <v>0</v>
      </c>
      <c r="AB1895" s="535">
        <v>10</v>
      </c>
      <c r="AC1895" s="39" t="s">
        <v>160</v>
      </c>
      <c r="AD1895" s="75" t="s">
        <v>10</v>
      </c>
      <c r="AE1895" s="95">
        <v>0</v>
      </c>
      <c r="AF1895" s="75">
        <v>0</v>
      </c>
      <c r="AG1895" s="75">
        <v>0</v>
      </c>
      <c r="AH1895" s="75">
        <v>0</v>
      </c>
      <c r="AI1895" s="75">
        <v>0</v>
      </c>
      <c r="AJ1895" s="75">
        <v>0</v>
      </c>
      <c r="AK1895" s="75">
        <v>0</v>
      </c>
      <c r="AL1895" s="95">
        <v>1</v>
      </c>
      <c r="AM1895" s="92">
        <v>0</v>
      </c>
      <c r="AN1895" s="79" t="s">
        <v>80</v>
      </c>
      <c r="AO1895" s="75">
        <v>1</v>
      </c>
      <c r="AP1895" s="75" t="s">
        <v>83</v>
      </c>
      <c r="AQ1895" s="122">
        <v>1</v>
      </c>
      <c r="AR1895" s="515" t="s">
        <v>10</v>
      </c>
      <c r="AS1895" s="95">
        <v>0</v>
      </c>
      <c r="AT1895" s="75">
        <v>0</v>
      </c>
      <c r="AU1895" s="75">
        <v>0</v>
      </c>
      <c r="AV1895" s="75">
        <v>0</v>
      </c>
      <c r="AW1895" s="123">
        <v>0</v>
      </c>
      <c r="AX1895" s="516"/>
      <c r="AY1895" s="75">
        <v>0</v>
      </c>
      <c r="AZ1895" s="77" t="s">
        <v>131</v>
      </c>
      <c r="BA1895" s="78" t="s">
        <v>131</v>
      </c>
      <c r="BB1895" s="78" t="s">
        <v>131</v>
      </c>
      <c r="BC1895" s="78" t="s">
        <v>131</v>
      </c>
      <c r="BD1895" s="78" t="s">
        <v>131</v>
      </c>
      <c r="BE1895" s="78" t="s">
        <v>131</v>
      </c>
      <c r="BF1895" s="78" t="s">
        <v>131</v>
      </c>
      <c r="BG1895" s="78" t="s">
        <v>132</v>
      </c>
      <c r="BH1895" s="75" t="s">
        <v>5970</v>
      </c>
      <c r="BI1895" s="295">
        <v>0</v>
      </c>
      <c r="BJ1895" s="546">
        <v>1</v>
      </c>
      <c r="BK1895" s="294">
        <v>1</v>
      </c>
      <c r="BL1895" s="157">
        <v>1</v>
      </c>
      <c r="BM1895" s="548" t="s">
        <v>2343</v>
      </c>
      <c r="BN1895" s="548" t="s">
        <v>4161</v>
      </c>
      <c r="BO1895" s="157" t="s">
        <v>4510</v>
      </c>
      <c r="BP1895" s="548" t="s">
        <v>753</v>
      </c>
      <c r="BQ1895" s="157" t="s">
        <v>4389</v>
      </c>
      <c r="BR1895" s="157"/>
    </row>
    <row r="1896" spans="1:70" x14ac:dyDescent="0.25">
      <c r="A1896" s="19" t="s">
        <v>3686</v>
      </c>
      <c r="B1896" s="37" t="s">
        <v>972</v>
      </c>
      <c r="C1896" s="90">
        <v>44399.957245370373</v>
      </c>
      <c r="D1896" s="114">
        <v>44399.707245370373</v>
      </c>
      <c r="E1896" s="38">
        <v>44399</v>
      </c>
      <c r="F1896" s="91">
        <v>2021</v>
      </c>
      <c r="G1896" s="93">
        <v>7</v>
      </c>
      <c r="H1896" s="37" t="s">
        <v>965</v>
      </c>
      <c r="I1896" s="37"/>
      <c r="J1896" s="103">
        <v>-92.587635027240324</v>
      </c>
      <c r="K1896" s="40">
        <v>44.895235892857627</v>
      </c>
      <c r="L1896" s="74"/>
      <c r="M1896" s="272" t="s">
        <v>16</v>
      </c>
      <c r="N1896" s="74">
        <v>0</v>
      </c>
      <c r="O1896" s="94"/>
      <c r="P1896" s="118">
        <v>1</v>
      </c>
      <c r="Q1896" s="510">
        <v>240</v>
      </c>
      <c r="R1896" s="513">
        <v>30</v>
      </c>
      <c r="S1896" s="41"/>
      <c r="T1896" s="40"/>
      <c r="U1896" s="40">
        <v>6</v>
      </c>
      <c r="V1896" s="119">
        <v>0</v>
      </c>
      <c r="W1896" s="40"/>
      <c r="X1896" s="119">
        <v>0</v>
      </c>
      <c r="Y1896" s="40"/>
      <c r="Z1896" s="119">
        <v>0</v>
      </c>
      <c r="AA1896" s="368" t="s">
        <v>16</v>
      </c>
      <c r="AB1896" s="535" t="s">
        <v>16</v>
      </c>
      <c r="AC1896" s="39"/>
      <c r="AD1896" s="75" t="s">
        <v>16</v>
      </c>
      <c r="AE1896" s="95">
        <v>-1</v>
      </c>
      <c r="AF1896" s="75">
        <v>-1</v>
      </c>
      <c r="AG1896" s="75">
        <v>-1</v>
      </c>
      <c r="AH1896" s="75">
        <v>-1</v>
      </c>
      <c r="AI1896" s="75">
        <v>-1</v>
      </c>
      <c r="AJ1896" s="75">
        <v>-1</v>
      </c>
      <c r="AK1896" s="75">
        <v>-1</v>
      </c>
      <c r="AL1896" s="95">
        <v>-1</v>
      </c>
      <c r="AM1896" s="92">
        <v>1</v>
      </c>
      <c r="AN1896" s="79" t="s">
        <v>80</v>
      </c>
      <c r="AO1896" s="75">
        <v>1</v>
      </c>
      <c r="AP1896" s="75" t="s">
        <v>83</v>
      </c>
      <c r="AQ1896" s="122">
        <v>1</v>
      </c>
      <c r="AR1896" s="515" t="s">
        <v>13</v>
      </c>
      <c r="AS1896" s="95">
        <v>1</v>
      </c>
      <c r="AT1896" s="75">
        <v>0</v>
      </c>
      <c r="AU1896" s="75">
        <v>0</v>
      </c>
      <c r="AV1896" s="75">
        <v>0</v>
      </c>
      <c r="AW1896" s="123">
        <v>0</v>
      </c>
      <c r="AX1896" s="516"/>
      <c r="AY1896" s="75">
        <v>0</v>
      </c>
      <c r="AZ1896" s="77" t="s">
        <v>5971</v>
      </c>
      <c r="BA1896" s="78" t="s">
        <v>5971</v>
      </c>
      <c r="BB1896" s="78" t="s">
        <v>5971</v>
      </c>
      <c r="BC1896" s="78" t="s">
        <v>5971</v>
      </c>
      <c r="BD1896" s="78" t="s">
        <v>5971</v>
      </c>
      <c r="BE1896" s="78" t="s">
        <v>5971</v>
      </c>
      <c r="BF1896" s="78" t="s">
        <v>5971</v>
      </c>
      <c r="BG1896" s="78" t="s">
        <v>5971</v>
      </c>
      <c r="BH1896" s="75" t="s">
        <v>5971</v>
      </c>
      <c r="BI1896" s="295" t="s">
        <v>2227</v>
      </c>
      <c r="BJ1896" s="546">
        <v>1</v>
      </c>
      <c r="BK1896" s="294" t="s">
        <v>16</v>
      </c>
      <c r="BL1896" s="157" t="s">
        <v>16</v>
      </c>
      <c r="BM1896" s="548" t="s">
        <v>578</v>
      </c>
      <c r="BN1896" s="548" t="s">
        <v>4161</v>
      </c>
      <c r="BO1896" s="157" t="s">
        <v>4311</v>
      </c>
      <c r="BP1896" s="548" t="s">
        <v>4395</v>
      </c>
      <c r="BQ1896" s="157" t="s">
        <v>4309</v>
      </c>
      <c r="BR1896" s="157"/>
    </row>
    <row r="1897" spans="1:70" x14ac:dyDescent="0.25">
      <c r="A1897" s="19" t="s">
        <v>3686</v>
      </c>
      <c r="B1897" s="37" t="s">
        <v>993</v>
      </c>
      <c r="C1897" s="90">
        <v>44399.913043981483</v>
      </c>
      <c r="D1897" s="114">
        <v>44399.663043981483</v>
      </c>
      <c r="E1897" s="38">
        <v>44399</v>
      </c>
      <c r="F1897" s="91">
        <v>2021</v>
      </c>
      <c r="G1897" s="93">
        <v>7</v>
      </c>
      <c r="H1897" s="37" t="s">
        <v>599</v>
      </c>
      <c r="I1897" s="37" t="s">
        <v>2361</v>
      </c>
      <c r="J1897" s="103">
        <v>-92.442669477399846</v>
      </c>
      <c r="K1897" s="40">
        <v>44.621342117939719</v>
      </c>
      <c r="L1897" s="74"/>
      <c r="M1897" s="272" t="s">
        <v>16</v>
      </c>
      <c r="N1897" s="74">
        <v>0</v>
      </c>
      <c r="O1897" s="94"/>
      <c r="P1897" s="118">
        <v>1</v>
      </c>
      <c r="Q1897" s="510">
        <v>180</v>
      </c>
      <c r="R1897" s="513">
        <v>120</v>
      </c>
      <c r="S1897" s="41"/>
      <c r="T1897" s="40"/>
      <c r="U1897" s="40">
        <v>8</v>
      </c>
      <c r="V1897" s="119">
        <v>1</v>
      </c>
      <c r="W1897" s="40">
        <v>100</v>
      </c>
      <c r="X1897" s="119">
        <v>0</v>
      </c>
      <c r="Y1897" s="40"/>
      <c r="Z1897" s="119">
        <v>1</v>
      </c>
      <c r="AA1897" s="368">
        <v>0</v>
      </c>
      <c r="AB1897" s="535">
        <v>5</v>
      </c>
      <c r="AC1897" s="39" t="s">
        <v>160</v>
      </c>
      <c r="AD1897" s="75" t="s">
        <v>10</v>
      </c>
      <c r="AE1897" s="95">
        <v>0</v>
      </c>
      <c r="AF1897" s="75">
        <v>0</v>
      </c>
      <c r="AG1897" s="75">
        <v>0</v>
      </c>
      <c r="AH1897" s="75">
        <v>0</v>
      </c>
      <c r="AI1897" s="75">
        <v>0</v>
      </c>
      <c r="AJ1897" s="75">
        <v>0</v>
      </c>
      <c r="AK1897" s="75">
        <v>0</v>
      </c>
      <c r="AL1897" s="95">
        <v>1</v>
      </c>
      <c r="AM1897" s="92">
        <v>0</v>
      </c>
      <c r="AN1897" s="79" t="s">
        <v>80</v>
      </c>
      <c r="AO1897" s="75">
        <v>1</v>
      </c>
      <c r="AP1897" s="75" t="s">
        <v>83</v>
      </c>
      <c r="AQ1897" s="122">
        <v>1</v>
      </c>
      <c r="AR1897" s="515" t="s">
        <v>10</v>
      </c>
      <c r="AS1897" s="95">
        <v>0</v>
      </c>
      <c r="AT1897" s="75">
        <v>0</v>
      </c>
      <c r="AU1897" s="75">
        <v>0</v>
      </c>
      <c r="AV1897" s="75">
        <v>0</v>
      </c>
      <c r="AW1897" s="123">
        <v>0</v>
      </c>
      <c r="AX1897" s="516"/>
      <c r="AY1897" s="75">
        <v>0</v>
      </c>
      <c r="AZ1897" s="77" t="s">
        <v>131</v>
      </c>
      <c r="BA1897" s="78" t="s">
        <v>131</v>
      </c>
      <c r="BB1897" s="78" t="s">
        <v>131</v>
      </c>
      <c r="BC1897" s="78" t="s">
        <v>131</v>
      </c>
      <c r="BD1897" s="78" t="s">
        <v>131</v>
      </c>
      <c r="BE1897" s="78" t="s">
        <v>131</v>
      </c>
      <c r="BF1897" s="78" t="s">
        <v>131</v>
      </c>
      <c r="BG1897" s="78" t="s">
        <v>132</v>
      </c>
      <c r="BH1897" s="75" t="s">
        <v>5970</v>
      </c>
      <c r="BI1897" s="295" t="s">
        <v>2289</v>
      </c>
      <c r="BJ1897" s="546">
        <v>1</v>
      </c>
      <c r="BK1897" s="294" t="s">
        <v>16</v>
      </c>
      <c r="BL1897" s="157" t="s">
        <v>16</v>
      </c>
      <c r="BM1897" s="548" t="s">
        <v>578</v>
      </c>
      <c r="BN1897" s="548" t="s">
        <v>544</v>
      </c>
      <c r="BO1897" s="157" t="s">
        <v>4283</v>
      </c>
      <c r="BP1897" s="548" t="s">
        <v>2289</v>
      </c>
      <c r="BQ1897" s="157" t="s">
        <v>4214</v>
      </c>
      <c r="BR1897" s="157"/>
    </row>
    <row r="1898" spans="1:70" x14ac:dyDescent="0.25">
      <c r="A1898" s="19" t="s">
        <v>3686</v>
      </c>
      <c r="B1898" s="37" t="s">
        <v>1022</v>
      </c>
      <c r="C1898" s="90">
        <v>44399.683576388888</v>
      </c>
      <c r="D1898" s="114">
        <v>44399.433576388888</v>
      </c>
      <c r="E1898" s="38">
        <v>44399</v>
      </c>
      <c r="F1898" s="91">
        <v>2021</v>
      </c>
      <c r="G1898" s="93">
        <v>7</v>
      </c>
      <c r="H1898" s="37" t="s">
        <v>201</v>
      </c>
      <c r="I1898" s="37"/>
      <c r="J1898" s="103">
        <v>-92.268470989960477</v>
      </c>
      <c r="K1898" s="40">
        <v>44.542878232422638</v>
      </c>
      <c r="L1898" s="74"/>
      <c r="M1898" s="272" t="s">
        <v>1023</v>
      </c>
      <c r="N1898" s="74">
        <v>1</v>
      </c>
      <c r="O1898" s="94"/>
      <c r="P1898" s="118">
        <v>1</v>
      </c>
      <c r="Q1898" s="510">
        <v>120</v>
      </c>
      <c r="R1898" s="513">
        <v>120</v>
      </c>
      <c r="S1898" s="41"/>
      <c r="T1898" s="40"/>
      <c r="U1898" s="40">
        <v>8</v>
      </c>
      <c r="V1898" s="119">
        <v>1</v>
      </c>
      <c r="W1898" s="40">
        <v>0</v>
      </c>
      <c r="X1898" s="119">
        <v>1</v>
      </c>
      <c r="Y1898" s="40">
        <v>48</v>
      </c>
      <c r="Z1898" s="119">
        <v>1</v>
      </c>
      <c r="AA1898" s="368">
        <v>0</v>
      </c>
      <c r="AB1898" s="535">
        <v>2</v>
      </c>
      <c r="AC1898" s="39" t="s">
        <v>162</v>
      </c>
      <c r="AD1898" s="75" t="s">
        <v>10</v>
      </c>
      <c r="AE1898" s="95">
        <v>0</v>
      </c>
      <c r="AF1898" s="75">
        <v>0</v>
      </c>
      <c r="AG1898" s="75">
        <v>0</v>
      </c>
      <c r="AH1898" s="75">
        <v>0</v>
      </c>
      <c r="AI1898" s="75">
        <v>0</v>
      </c>
      <c r="AJ1898" s="75">
        <v>0</v>
      </c>
      <c r="AK1898" s="75">
        <v>0</v>
      </c>
      <c r="AL1898" s="95">
        <v>1</v>
      </c>
      <c r="AM1898" s="92">
        <v>0</v>
      </c>
      <c r="AN1898" s="79" t="s">
        <v>80</v>
      </c>
      <c r="AO1898" s="75">
        <v>1</v>
      </c>
      <c r="AP1898" s="75" t="s">
        <v>83</v>
      </c>
      <c r="AQ1898" s="122">
        <v>1</v>
      </c>
      <c r="AR1898" s="515" t="s">
        <v>10</v>
      </c>
      <c r="AS1898" s="95">
        <v>0</v>
      </c>
      <c r="AT1898" s="75">
        <v>0</v>
      </c>
      <c r="AU1898" s="75">
        <v>0</v>
      </c>
      <c r="AV1898" s="75">
        <v>0</v>
      </c>
      <c r="AW1898" s="123">
        <v>0</v>
      </c>
      <c r="AX1898" s="516" t="s">
        <v>382</v>
      </c>
      <c r="AY1898" s="75">
        <v>1</v>
      </c>
      <c r="AZ1898" s="77" t="s">
        <v>131</v>
      </c>
      <c r="BA1898" s="78" t="s">
        <v>131</v>
      </c>
      <c r="BB1898" s="78" t="s">
        <v>131</v>
      </c>
      <c r="BC1898" s="78" t="s">
        <v>131</v>
      </c>
      <c r="BD1898" s="78" t="s">
        <v>131</v>
      </c>
      <c r="BE1898" s="78" t="s">
        <v>131</v>
      </c>
      <c r="BF1898" s="78" t="s">
        <v>131</v>
      </c>
      <c r="BG1898" s="78" t="s">
        <v>132</v>
      </c>
      <c r="BH1898" s="75" t="s">
        <v>5970</v>
      </c>
      <c r="BI1898" s="295">
        <v>0</v>
      </c>
      <c r="BJ1898" s="546">
        <v>1</v>
      </c>
      <c r="BK1898" s="294">
        <v>1</v>
      </c>
      <c r="BL1898" s="157">
        <v>1</v>
      </c>
      <c r="BM1898" s="548" t="s">
        <v>1340</v>
      </c>
      <c r="BN1898" s="548" t="s">
        <v>578</v>
      </c>
      <c r="BO1898" s="157" t="s">
        <v>4268</v>
      </c>
      <c r="BP1898" s="548" t="s">
        <v>2261</v>
      </c>
      <c r="BQ1898" s="157" t="s">
        <v>4214</v>
      </c>
      <c r="BR1898" s="157"/>
    </row>
    <row r="1899" spans="1:70" x14ac:dyDescent="0.25">
      <c r="A1899" s="19" t="s">
        <v>3686</v>
      </c>
      <c r="B1899" s="37" t="s">
        <v>997</v>
      </c>
      <c r="C1899" s="90">
        <v>44399.648854166669</v>
      </c>
      <c r="D1899" s="114">
        <v>44399.398854166669</v>
      </c>
      <c r="E1899" s="38">
        <v>44399</v>
      </c>
      <c r="F1899" s="91">
        <v>2021</v>
      </c>
      <c r="G1899" s="93">
        <v>7</v>
      </c>
      <c r="H1899" s="37" t="s">
        <v>201</v>
      </c>
      <c r="I1899" s="37"/>
      <c r="J1899" s="103">
        <v>-92.271533890372638</v>
      </c>
      <c r="K1899" s="40">
        <v>44.544350297516189</v>
      </c>
      <c r="L1899" s="74"/>
      <c r="M1899" s="272" t="s">
        <v>998</v>
      </c>
      <c r="N1899" s="74">
        <v>1</v>
      </c>
      <c r="O1899" s="94"/>
      <c r="P1899" s="118">
        <v>1</v>
      </c>
      <c r="Q1899" s="510">
        <v>180</v>
      </c>
      <c r="R1899" s="513">
        <v>180</v>
      </c>
      <c r="S1899" s="41"/>
      <c r="T1899" s="40"/>
      <c r="U1899" s="40">
        <v>7.5</v>
      </c>
      <c r="V1899" s="119">
        <v>1</v>
      </c>
      <c r="W1899" s="40">
        <v>0</v>
      </c>
      <c r="X1899" s="119">
        <v>1</v>
      </c>
      <c r="Y1899" s="40">
        <v>52</v>
      </c>
      <c r="Z1899" s="119">
        <v>1</v>
      </c>
      <c r="AA1899" s="368">
        <v>0</v>
      </c>
      <c r="AB1899" s="535">
        <v>5</v>
      </c>
      <c r="AC1899" s="39" t="s">
        <v>160</v>
      </c>
      <c r="AD1899" s="75" t="s">
        <v>10</v>
      </c>
      <c r="AE1899" s="95">
        <v>0</v>
      </c>
      <c r="AF1899" s="75">
        <v>0</v>
      </c>
      <c r="AG1899" s="75">
        <v>0</v>
      </c>
      <c r="AH1899" s="75">
        <v>0</v>
      </c>
      <c r="AI1899" s="75">
        <v>0</v>
      </c>
      <c r="AJ1899" s="75">
        <v>0</v>
      </c>
      <c r="AK1899" s="75">
        <v>0</v>
      </c>
      <c r="AL1899" s="95">
        <v>1</v>
      </c>
      <c r="AM1899" s="92">
        <v>0</v>
      </c>
      <c r="AN1899" s="79" t="s">
        <v>80</v>
      </c>
      <c r="AO1899" s="75">
        <v>1</v>
      </c>
      <c r="AP1899" s="75" t="s">
        <v>83</v>
      </c>
      <c r="AQ1899" s="122">
        <v>1</v>
      </c>
      <c r="AR1899" s="515" t="s">
        <v>10</v>
      </c>
      <c r="AS1899" s="95">
        <v>0</v>
      </c>
      <c r="AT1899" s="75">
        <v>0</v>
      </c>
      <c r="AU1899" s="75">
        <v>0</v>
      </c>
      <c r="AV1899" s="75">
        <v>0</v>
      </c>
      <c r="AW1899" s="123">
        <v>0</v>
      </c>
      <c r="AX1899" s="516" t="s">
        <v>382</v>
      </c>
      <c r="AY1899" s="75">
        <v>1</v>
      </c>
      <c r="AZ1899" s="77" t="s">
        <v>131</v>
      </c>
      <c r="BA1899" s="78" t="s">
        <v>131</v>
      </c>
      <c r="BB1899" s="78" t="s">
        <v>131</v>
      </c>
      <c r="BC1899" s="78" t="s">
        <v>131</v>
      </c>
      <c r="BD1899" s="78" t="s">
        <v>131</v>
      </c>
      <c r="BE1899" s="78" t="s">
        <v>131</v>
      </c>
      <c r="BF1899" s="78" t="s">
        <v>131</v>
      </c>
      <c r="BG1899" s="78" t="s">
        <v>132</v>
      </c>
      <c r="BH1899" s="75" t="s">
        <v>5970</v>
      </c>
      <c r="BI1899" s="295">
        <v>0</v>
      </c>
      <c r="BJ1899" s="546">
        <v>1</v>
      </c>
      <c r="BK1899" s="294">
        <v>1</v>
      </c>
      <c r="BL1899" s="157">
        <v>1</v>
      </c>
      <c r="BM1899" s="548" t="s">
        <v>1340</v>
      </c>
      <c r="BN1899" s="548" t="s">
        <v>578</v>
      </c>
      <c r="BO1899" s="157" t="s">
        <v>4268</v>
      </c>
      <c r="BP1899" s="548" t="s">
        <v>2261</v>
      </c>
      <c r="BQ1899" s="157" t="s">
        <v>4214</v>
      </c>
      <c r="BR1899" s="157"/>
    </row>
    <row r="1900" spans="1:70" x14ac:dyDescent="0.25">
      <c r="A1900" s="19" t="s">
        <v>3686</v>
      </c>
      <c r="B1900" s="37" t="s">
        <v>973</v>
      </c>
      <c r="C1900" s="90">
        <v>44399.623067129629</v>
      </c>
      <c r="D1900" s="114">
        <v>44399.373067129629</v>
      </c>
      <c r="E1900" s="38">
        <v>44399</v>
      </c>
      <c r="F1900" s="91">
        <v>2021</v>
      </c>
      <c r="G1900" s="93">
        <v>7</v>
      </c>
      <c r="H1900" s="37" t="s">
        <v>201</v>
      </c>
      <c r="I1900" s="37" t="s">
        <v>2362</v>
      </c>
      <c r="J1900" s="103">
        <v>-92.284314644164979</v>
      </c>
      <c r="K1900" s="40">
        <v>44.542230607201873</v>
      </c>
      <c r="L1900" s="74"/>
      <c r="M1900" s="272" t="s">
        <v>974</v>
      </c>
      <c r="N1900" s="74">
        <v>1</v>
      </c>
      <c r="O1900" s="94"/>
      <c r="P1900" s="118">
        <v>1</v>
      </c>
      <c r="Q1900" s="510">
        <v>120</v>
      </c>
      <c r="R1900" s="513">
        <v>180</v>
      </c>
      <c r="S1900" s="41"/>
      <c r="T1900" s="40"/>
      <c r="U1900" s="40">
        <v>8</v>
      </c>
      <c r="V1900" s="119">
        <v>1</v>
      </c>
      <c r="W1900" s="40">
        <v>0</v>
      </c>
      <c r="X1900" s="119">
        <v>1</v>
      </c>
      <c r="Y1900" s="40">
        <v>52</v>
      </c>
      <c r="Z1900" s="119">
        <v>1</v>
      </c>
      <c r="AA1900" s="368">
        <v>0</v>
      </c>
      <c r="AB1900" s="535">
        <v>5</v>
      </c>
      <c r="AC1900" s="39" t="s">
        <v>160</v>
      </c>
      <c r="AD1900" s="75" t="s">
        <v>10</v>
      </c>
      <c r="AE1900" s="95">
        <v>0</v>
      </c>
      <c r="AF1900" s="75">
        <v>0</v>
      </c>
      <c r="AG1900" s="75">
        <v>0</v>
      </c>
      <c r="AH1900" s="75">
        <v>0</v>
      </c>
      <c r="AI1900" s="75">
        <v>0</v>
      </c>
      <c r="AJ1900" s="75">
        <v>0</v>
      </c>
      <c r="AK1900" s="75">
        <v>0</v>
      </c>
      <c r="AL1900" s="95">
        <v>1</v>
      </c>
      <c r="AM1900" s="92">
        <v>0</v>
      </c>
      <c r="AN1900" s="79" t="s">
        <v>80</v>
      </c>
      <c r="AO1900" s="75">
        <v>1</v>
      </c>
      <c r="AP1900" s="75" t="s">
        <v>83</v>
      </c>
      <c r="AQ1900" s="122">
        <v>1</v>
      </c>
      <c r="AR1900" s="515" t="s">
        <v>10</v>
      </c>
      <c r="AS1900" s="95">
        <v>0</v>
      </c>
      <c r="AT1900" s="75">
        <v>0</v>
      </c>
      <c r="AU1900" s="75">
        <v>0</v>
      </c>
      <c r="AV1900" s="75">
        <v>0</v>
      </c>
      <c r="AW1900" s="123">
        <v>0</v>
      </c>
      <c r="AX1900" s="516" t="s">
        <v>382</v>
      </c>
      <c r="AY1900" s="75">
        <v>1</v>
      </c>
      <c r="AZ1900" s="77" t="s">
        <v>131</v>
      </c>
      <c r="BA1900" s="78" t="s">
        <v>131</v>
      </c>
      <c r="BB1900" s="78" t="s">
        <v>131</v>
      </c>
      <c r="BC1900" s="78" t="s">
        <v>131</v>
      </c>
      <c r="BD1900" s="78" t="s">
        <v>131</v>
      </c>
      <c r="BE1900" s="78" t="s">
        <v>131</v>
      </c>
      <c r="BF1900" s="78" t="s">
        <v>131</v>
      </c>
      <c r="BG1900" s="78" t="s">
        <v>132</v>
      </c>
      <c r="BH1900" s="75" t="s">
        <v>5970</v>
      </c>
      <c r="BI1900" s="295" t="s">
        <v>2261</v>
      </c>
      <c r="BJ1900" s="546">
        <v>1</v>
      </c>
      <c r="BK1900" s="294">
        <v>1</v>
      </c>
      <c r="BL1900" s="157">
        <v>1</v>
      </c>
      <c r="BM1900" s="548" t="s">
        <v>1340</v>
      </c>
      <c r="BN1900" s="548" t="s">
        <v>578</v>
      </c>
      <c r="BO1900" s="157" t="s">
        <v>4268</v>
      </c>
      <c r="BP1900" s="548" t="s">
        <v>2261</v>
      </c>
      <c r="BQ1900" s="157" t="s">
        <v>4214</v>
      </c>
      <c r="BR1900" s="157"/>
    </row>
    <row r="1901" spans="1:70" x14ac:dyDescent="0.25">
      <c r="A1901" s="19" t="s">
        <v>3686</v>
      </c>
      <c r="B1901" s="37" t="s">
        <v>1036</v>
      </c>
      <c r="C1901" s="90">
        <v>44398.67763888889</v>
      </c>
      <c r="D1901" s="114">
        <v>44398.42763888889</v>
      </c>
      <c r="E1901" s="38">
        <v>44398</v>
      </c>
      <c r="F1901" s="91">
        <v>2021</v>
      </c>
      <c r="G1901" s="93">
        <v>7</v>
      </c>
      <c r="H1901" s="37" t="s">
        <v>618</v>
      </c>
      <c r="I1901" s="37" t="s">
        <v>753</v>
      </c>
      <c r="J1901" s="103">
        <v>-92.802027199999998</v>
      </c>
      <c r="K1901" s="40">
        <v>44.542705900000001</v>
      </c>
      <c r="L1901" s="74"/>
      <c r="M1901" s="272" t="s">
        <v>16</v>
      </c>
      <c r="N1901" s="74">
        <v>0</v>
      </c>
      <c r="O1901" s="94"/>
      <c r="P1901" s="118">
        <v>1</v>
      </c>
      <c r="Q1901" s="510">
        <v>80</v>
      </c>
      <c r="R1901" s="513">
        <v>120</v>
      </c>
      <c r="S1901" s="41"/>
      <c r="T1901" s="40"/>
      <c r="U1901" s="40">
        <v>7.5</v>
      </c>
      <c r="V1901" s="119">
        <v>1</v>
      </c>
      <c r="W1901" s="40">
        <v>100</v>
      </c>
      <c r="X1901" s="119">
        <v>1</v>
      </c>
      <c r="Y1901" s="40">
        <v>56</v>
      </c>
      <c r="Z1901" s="119">
        <v>1</v>
      </c>
      <c r="AA1901" s="368">
        <v>0</v>
      </c>
      <c r="AB1901" s="535">
        <v>5</v>
      </c>
      <c r="AC1901" s="39" t="s">
        <v>160</v>
      </c>
      <c r="AD1901" s="75" t="s">
        <v>16</v>
      </c>
      <c r="AE1901" s="95">
        <v>-1</v>
      </c>
      <c r="AF1901" s="75">
        <v>-1</v>
      </c>
      <c r="AG1901" s="75">
        <v>-1</v>
      </c>
      <c r="AH1901" s="75">
        <v>-1</v>
      </c>
      <c r="AI1901" s="75">
        <v>-1</v>
      </c>
      <c r="AJ1901" s="75">
        <v>-1</v>
      </c>
      <c r="AK1901" s="75">
        <v>-1</v>
      </c>
      <c r="AL1901" s="95">
        <v>-1</v>
      </c>
      <c r="AM1901" s="92">
        <v>1</v>
      </c>
      <c r="AN1901" s="79" t="s">
        <v>80</v>
      </c>
      <c r="AO1901" s="75">
        <v>1</v>
      </c>
      <c r="AP1901" s="75" t="s">
        <v>83</v>
      </c>
      <c r="AQ1901" s="122">
        <v>1</v>
      </c>
      <c r="AR1901" s="515" t="s">
        <v>10</v>
      </c>
      <c r="AS1901" s="95">
        <v>0</v>
      </c>
      <c r="AT1901" s="75">
        <v>0</v>
      </c>
      <c r="AU1901" s="75">
        <v>0</v>
      </c>
      <c r="AV1901" s="75">
        <v>0</v>
      </c>
      <c r="AW1901" s="123">
        <v>0</v>
      </c>
      <c r="AX1901" s="516"/>
      <c r="AY1901" s="75">
        <v>0</v>
      </c>
      <c r="AZ1901" s="77" t="s">
        <v>5971</v>
      </c>
      <c r="BA1901" s="78" t="s">
        <v>5971</v>
      </c>
      <c r="BB1901" s="78" t="s">
        <v>5971</v>
      </c>
      <c r="BC1901" s="78" t="s">
        <v>5971</v>
      </c>
      <c r="BD1901" s="78" t="s">
        <v>5971</v>
      </c>
      <c r="BE1901" s="78" t="s">
        <v>5971</v>
      </c>
      <c r="BF1901" s="78" t="s">
        <v>5971</v>
      </c>
      <c r="BG1901" s="78" t="s">
        <v>5971</v>
      </c>
      <c r="BH1901" s="75" t="s">
        <v>5971</v>
      </c>
      <c r="BI1901" s="295" t="s">
        <v>2224</v>
      </c>
      <c r="BJ1901" s="546">
        <v>1</v>
      </c>
      <c r="BK1901" s="294">
        <v>1</v>
      </c>
      <c r="BL1901" s="157">
        <v>1</v>
      </c>
      <c r="BM1901" s="548" t="s">
        <v>2343</v>
      </c>
      <c r="BN1901" s="548" t="s">
        <v>4161</v>
      </c>
      <c r="BO1901" s="157" t="s">
        <v>4510</v>
      </c>
      <c r="BP1901" s="548" t="s">
        <v>753</v>
      </c>
      <c r="BQ1901" s="157" t="s">
        <v>4389</v>
      </c>
      <c r="BR1901" s="157"/>
    </row>
    <row r="1902" spans="1:70" x14ac:dyDescent="0.25">
      <c r="A1902" s="19" t="s">
        <v>3686</v>
      </c>
      <c r="B1902" s="37" t="s">
        <v>1040</v>
      </c>
      <c r="C1902" s="90">
        <v>44397.630219907405</v>
      </c>
      <c r="D1902" s="114">
        <v>44397.380219907405</v>
      </c>
      <c r="E1902" s="38">
        <v>44397</v>
      </c>
      <c r="F1902" s="91">
        <v>2021</v>
      </c>
      <c r="G1902" s="93">
        <v>7</v>
      </c>
      <c r="H1902" s="37" t="s">
        <v>625</v>
      </c>
      <c r="I1902" s="37" t="s">
        <v>16</v>
      </c>
      <c r="J1902" s="103">
        <v>-91.581686500000004</v>
      </c>
      <c r="K1902" s="40">
        <v>43.642325700000001</v>
      </c>
      <c r="L1902" s="74"/>
      <c r="M1902" s="272" t="s">
        <v>16</v>
      </c>
      <c r="N1902" s="74">
        <v>0</v>
      </c>
      <c r="O1902" s="94"/>
      <c r="P1902" s="118">
        <v>1</v>
      </c>
      <c r="Q1902" s="510">
        <v>180</v>
      </c>
      <c r="R1902" s="513">
        <v>180</v>
      </c>
      <c r="S1902" s="41"/>
      <c r="T1902" s="40"/>
      <c r="U1902" s="40">
        <v>7</v>
      </c>
      <c r="V1902" s="119">
        <v>1</v>
      </c>
      <c r="W1902" s="40">
        <v>0</v>
      </c>
      <c r="X1902" s="119">
        <v>1</v>
      </c>
      <c r="Y1902" s="40">
        <v>50</v>
      </c>
      <c r="Z1902" s="119">
        <v>1</v>
      </c>
      <c r="AA1902" s="368">
        <v>0</v>
      </c>
      <c r="AB1902" s="535">
        <v>5</v>
      </c>
      <c r="AC1902" s="39" t="s">
        <v>160</v>
      </c>
      <c r="AD1902" s="75" t="s">
        <v>10</v>
      </c>
      <c r="AE1902" s="95">
        <v>0</v>
      </c>
      <c r="AF1902" s="75">
        <v>0</v>
      </c>
      <c r="AG1902" s="75">
        <v>0</v>
      </c>
      <c r="AH1902" s="75">
        <v>0</v>
      </c>
      <c r="AI1902" s="75">
        <v>0</v>
      </c>
      <c r="AJ1902" s="75">
        <v>0</v>
      </c>
      <c r="AK1902" s="75">
        <v>0</v>
      </c>
      <c r="AL1902" s="95">
        <v>1</v>
      </c>
      <c r="AM1902" s="92">
        <v>0</v>
      </c>
      <c r="AN1902" s="79" t="s">
        <v>80</v>
      </c>
      <c r="AO1902" s="75">
        <v>1</v>
      </c>
      <c r="AP1902" s="75" t="s">
        <v>83</v>
      </c>
      <c r="AQ1902" s="122">
        <v>1</v>
      </c>
      <c r="AR1902" s="515" t="s">
        <v>10</v>
      </c>
      <c r="AS1902" s="95">
        <v>0</v>
      </c>
      <c r="AT1902" s="75">
        <v>0</v>
      </c>
      <c r="AU1902" s="75">
        <v>0</v>
      </c>
      <c r="AV1902" s="75">
        <v>0</v>
      </c>
      <c r="AW1902" s="123">
        <v>0</v>
      </c>
      <c r="AX1902" s="516"/>
      <c r="AY1902" s="75">
        <v>0</v>
      </c>
      <c r="AZ1902" s="77" t="s">
        <v>131</v>
      </c>
      <c r="BA1902" s="78" t="s">
        <v>131</v>
      </c>
      <c r="BB1902" s="78" t="s">
        <v>131</v>
      </c>
      <c r="BC1902" s="78" t="s">
        <v>131</v>
      </c>
      <c r="BD1902" s="78" t="s">
        <v>131</v>
      </c>
      <c r="BE1902" s="78" t="s">
        <v>131</v>
      </c>
      <c r="BF1902" s="78" t="s">
        <v>131</v>
      </c>
      <c r="BG1902" s="78" t="s">
        <v>132</v>
      </c>
      <c r="BH1902" s="75" t="s">
        <v>5970</v>
      </c>
      <c r="BI1902" s="295" t="s">
        <v>2259</v>
      </c>
      <c r="BJ1902" s="546">
        <v>1</v>
      </c>
      <c r="BK1902" s="294" t="s">
        <v>16</v>
      </c>
      <c r="BL1902" s="157" t="s">
        <v>16</v>
      </c>
      <c r="BM1902" s="548" t="s">
        <v>1341</v>
      </c>
      <c r="BN1902" s="548" t="s">
        <v>4161</v>
      </c>
      <c r="BO1902" s="157" t="s">
        <v>4233</v>
      </c>
      <c r="BP1902" s="548" t="s">
        <v>307</v>
      </c>
      <c r="BQ1902" s="157" t="s">
        <v>4232</v>
      </c>
      <c r="BR1902" s="157"/>
    </row>
    <row r="1903" spans="1:70" x14ac:dyDescent="0.25">
      <c r="A1903" s="19" t="s">
        <v>3686</v>
      </c>
      <c r="B1903" s="37" t="s">
        <v>1010</v>
      </c>
      <c r="C1903" s="90">
        <v>44396.972534722219</v>
      </c>
      <c r="D1903" s="114">
        <v>44396.722534722219</v>
      </c>
      <c r="E1903" s="38">
        <v>44396</v>
      </c>
      <c r="F1903" s="91">
        <v>2021</v>
      </c>
      <c r="G1903" s="93">
        <v>7</v>
      </c>
      <c r="H1903" s="37" t="s">
        <v>610</v>
      </c>
      <c r="I1903" s="37" t="s">
        <v>16</v>
      </c>
      <c r="J1903" s="103">
        <v>-92.409210693410884</v>
      </c>
      <c r="K1903" s="40">
        <v>43.997075980002478</v>
      </c>
      <c r="L1903" s="74"/>
      <c r="M1903" s="272" t="s">
        <v>16</v>
      </c>
      <c r="N1903" s="74">
        <v>0</v>
      </c>
      <c r="O1903" s="94"/>
      <c r="P1903" s="118">
        <v>0</v>
      </c>
      <c r="Q1903" s="510"/>
      <c r="R1903" s="513"/>
      <c r="S1903" s="41"/>
      <c r="T1903" s="40"/>
      <c r="U1903" s="40"/>
      <c r="V1903" s="119">
        <v>1</v>
      </c>
      <c r="W1903" s="40">
        <v>100</v>
      </c>
      <c r="X1903" s="119">
        <v>1</v>
      </c>
      <c r="Y1903" s="40">
        <v>65</v>
      </c>
      <c r="Z1903" s="119">
        <v>0</v>
      </c>
      <c r="AA1903" s="368" t="s">
        <v>16</v>
      </c>
      <c r="AB1903" s="535" t="s">
        <v>16</v>
      </c>
      <c r="AC1903" s="39"/>
      <c r="AD1903" s="75" t="s">
        <v>10</v>
      </c>
      <c r="AE1903" s="95">
        <v>0</v>
      </c>
      <c r="AF1903" s="75">
        <v>0</v>
      </c>
      <c r="AG1903" s="75">
        <v>0</v>
      </c>
      <c r="AH1903" s="75">
        <v>0</v>
      </c>
      <c r="AI1903" s="75">
        <v>0</v>
      </c>
      <c r="AJ1903" s="75">
        <v>0</v>
      </c>
      <c r="AK1903" s="75">
        <v>0</v>
      </c>
      <c r="AL1903" s="95">
        <v>1</v>
      </c>
      <c r="AM1903" s="92">
        <v>0</v>
      </c>
      <c r="AN1903" s="79"/>
      <c r="AO1903" s="75">
        <v>0</v>
      </c>
      <c r="AP1903" s="75" t="s">
        <v>83</v>
      </c>
      <c r="AQ1903" s="122">
        <v>1</v>
      </c>
      <c r="AR1903" s="515" t="s">
        <v>10</v>
      </c>
      <c r="AS1903" s="95">
        <v>0</v>
      </c>
      <c r="AT1903" s="75">
        <v>0</v>
      </c>
      <c r="AU1903" s="75">
        <v>0</v>
      </c>
      <c r="AV1903" s="75">
        <v>0</v>
      </c>
      <c r="AW1903" s="123">
        <v>0</v>
      </c>
      <c r="AX1903" s="516"/>
      <c r="AY1903" s="75">
        <v>0</v>
      </c>
      <c r="AZ1903" s="77" t="s">
        <v>131</v>
      </c>
      <c r="BA1903" s="78" t="s">
        <v>131</v>
      </c>
      <c r="BB1903" s="78" t="s">
        <v>131</v>
      </c>
      <c r="BC1903" s="78" t="s">
        <v>131</v>
      </c>
      <c r="BD1903" s="78" t="s">
        <v>131</v>
      </c>
      <c r="BE1903" s="78" t="s">
        <v>131</v>
      </c>
      <c r="BF1903" s="78" t="s">
        <v>131</v>
      </c>
      <c r="BG1903" s="78" t="s">
        <v>132</v>
      </c>
      <c r="BH1903" s="75" t="s">
        <v>5970</v>
      </c>
      <c r="BI1903" s="295" t="s">
        <v>16</v>
      </c>
      <c r="BJ1903" s="546" t="s">
        <v>16</v>
      </c>
      <c r="BK1903" s="294" t="s">
        <v>16</v>
      </c>
      <c r="BL1903" s="157" t="s">
        <v>16</v>
      </c>
      <c r="BM1903" s="548" t="s">
        <v>1339</v>
      </c>
      <c r="BN1903" s="548" t="s">
        <v>1339</v>
      </c>
      <c r="BO1903" s="157" t="s">
        <v>4736</v>
      </c>
      <c r="BP1903" s="548" t="s">
        <v>2260</v>
      </c>
      <c r="BQ1903" s="157" t="s">
        <v>4380</v>
      </c>
      <c r="BR1903" s="157"/>
    </row>
    <row r="1904" spans="1:70" x14ac:dyDescent="0.25">
      <c r="A1904" s="19" t="s">
        <v>3686</v>
      </c>
      <c r="B1904" s="37" t="s">
        <v>1030</v>
      </c>
      <c r="C1904" s="90">
        <v>44396.824942129628</v>
      </c>
      <c r="D1904" s="114">
        <v>44396.574942129628</v>
      </c>
      <c r="E1904" s="38">
        <v>44396</v>
      </c>
      <c r="F1904" s="91">
        <v>2021</v>
      </c>
      <c r="G1904" s="93">
        <v>7</v>
      </c>
      <c r="H1904" s="37" t="s">
        <v>610</v>
      </c>
      <c r="I1904" s="37"/>
      <c r="J1904" s="103">
        <v>-92.563673133607395</v>
      </c>
      <c r="K1904" s="40">
        <v>44.50261076889867</v>
      </c>
      <c r="L1904" s="74"/>
      <c r="M1904" s="272" t="s">
        <v>1031</v>
      </c>
      <c r="N1904" s="74">
        <v>1</v>
      </c>
      <c r="O1904" s="94"/>
      <c r="P1904" s="118">
        <v>1</v>
      </c>
      <c r="Q1904" s="510">
        <v>0</v>
      </c>
      <c r="R1904" s="513">
        <v>30</v>
      </c>
      <c r="S1904" s="41"/>
      <c r="T1904" s="40"/>
      <c r="U1904" s="40">
        <v>7</v>
      </c>
      <c r="V1904" s="119">
        <v>1</v>
      </c>
      <c r="W1904" s="40">
        <v>100</v>
      </c>
      <c r="X1904" s="119">
        <v>0</v>
      </c>
      <c r="Y1904" s="40"/>
      <c r="Z1904" s="119">
        <v>0</v>
      </c>
      <c r="AA1904" s="368" t="s">
        <v>16</v>
      </c>
      <c r="AB1904" s="535" t="s">
        <v>16</v>
      </c>
      <c r="AC1904" s="39" t="s">
        <v>160</v>
      </c>
      <c r="AD1904" s="75" t="s">
        <v>16</v>
      </c>
      <c r="AE1904" s="95">
        <v>-1</v>
      </c>
      <c r="AF1904" s="75">
        <v>-1</v>
      </c>
      <c r="AG1904" s="75">
        <v>-1</v>
      </c>
      <c r="AH1904" s="75">
        <v>-1</v>
      </c>
      <c r="AI1904" s="75">
        <v>-1</v>
      </c>
      <c r="AJ1904" s="75">
        <v>-1</v>
      </c>
      <c r="AK1904" s="75">
        <v>-1</v>
      </c>
      <c r="AL1904" s="95">
        <v>-1</v>
      </c>
      <c r="AM1904" s="92">
        <v>1</v>
      </c>
      <c r="AN1904" s="79"/>
      <c r="AO1904" s="75">
        <v>0</v>
      </c>
      <c r="AP1904" s="75"/>
      <c r="AQ1904" s="122">
        <v>0</v>
      </c>
      <c r="AR1904" s="515" t="s">
        <v>16</v>
      </c>
      <c r="AS1904" s="95">
        <v>-1</v>
      </c>
      <c r="AT1904" s="75">
        <v>-1</v>
      </c>
      <c r="AU1904" s="75">
        <v>-1</v>
      </c>
      <c r="AV1904" s="75">
        <v>-1</v>
      </c>
      <c r="AW1904" s="123">
        <v>1</v>
      </c>
      <c r="AX1904" s="516"/>
      <c r="AY1904" s="75">
        <v>0</v>
      </c>
      <c r="AZ1904" s="77" t="s">
        <v>5971</v>
      </c>
      <c r="BA1904" s="78" t="s">
        <v>5971</v>
      </c>
      <c r="BB1904" s="78" t="s">
        <v>5971</v>
      </c>
      <c r="BC1904" s="78" t="s">
        <v>5971</v>
      </c>
      <c r="BD1904" s="78" t="s">
        <v>5971</v>
      </c>
      <c r="BE1904" s="78" t="s">
        <v>5971</v>
      </c>
      <c r="BF1904" s="78" t="s">
        <v>5971</v>
      </c>
      <c r="BG1904" s="78" t="s">
        <v>5971</v>
      </c>
      <c r="BH1904" s="75" t="s">
        <v>5971</v>
      </c>
      <c r="BI1904" s="295" t="s">
        <v>2238</v>
      </c>
      <c r="BJ1904" s="546">
        <v>1</v>
      </c>
      <c r="BK1904" s="294" t="s">
        <v>16</v>
      </c>
      <c r="BL1904" s="157" t="s">
        <v>16</v>
      </c>
      <c r="BM1904" s="548" t="s">
        <v>2343</v>
      </c>
      <c r="BN1904" s="548" t="s">
        <v>1339</v>
      </c>
      <c r="BO1904" s="157" t="s">
        <v>4308</v>
      </c>
      <c r="BP1904" s="548" t="s">
        <v>2238</v>
      </c>
      <c r="BQ1904" s="157" t="s">
        <v>4307</v>
      </c>
      <c r="BR1904" s="157"/>
    </row>
    <row r="1905" spans="1:70" x14ac:dyDescent="0.25">
      <c r="A1905" s="19" t="s">
        <v>3686</v>
      </c>
      <c r="B1905" s="37" t="s">
        <v>983</v>
      </c>
      <c r="C1905" s="90">
        <v>44396.03402777778</v>
      </c>
      <c r="D1905" s="114">
        <v>44395.78402777778</v>
      </c>
      <c r="E1905" s="38">
        <v>44395</v>
      </c>
      <c r="F1905" s="91">
        <v>2021</v>
      </c>
      <c r="G1905" s="93">
        <v>7</v>
      </c>
      <c r="H1905" s="37" t="s">
        <v>965</v>
      </c>
      <c r="I1905" s="37"/>
      <c r="J1905" s="103">
        <v>-92.587635509654405</v>
      </c>
      <c r="K1905" s="40">
        <v>44.895333256934308</v>
      </c>
      <c r="L1905" s="74"/>
      <c r="M1905" s="272" t="s">
        <v>16</v>
      </c>
      <c r="N1905" s="74">
        <v>0</v>
      </c>
      <c r="O1905" s="94"/>
      <c r="P1905" s="118">
        <v>1</v>
      </c>
      <c r="Q1905" s="510">
        <v>180</v>
      </c>
      <c r="R1905" s="513">
        <v>180</v>
      </c>
      <c r="S1905" s="41"/>
      <c r="T1905" s="40"/>
      <c r="U1905" s="40">
        <v>7</v>
      </c>
      <c r="V1905" s="119">
        <v>0</v>
      </c>
      <c r="W1905" s="40"/>
      <c r="X1905" s="119">
        <v>0</v>
      </c>
      <c r="Y1905" s="40"/>
      <c r="Z1905" s="119">
        <v>0</v>
      </c>
      <c r="AA1905" s="368" t="s">
        <v>16</v>
      </c>
      <c r="AB1905" s="535" t="s">
        <v>16</v>
      </c>
      <c r="AC1905" s="39" t="s">
        <v>16</v>
      </c>
      <c r="AD1905" s="75" t="s">
        <v>16</v>
      </c>
      <c r="AE1905" s="95">
        <v>-1</v>
      </c>
      <c r="AF1905" s="75">
        <v>-1</v>
      </c>
      <c r="AG1905" s="75">
        <v>-1</v>
      </c>
      <c r="AH1905" s="75">
        <v>-1</v>
      </c>
      <c r="AI1905" s="75">
        <v>-1</v>
      </c>
      <c r="AJ1905" s="75">
        <v>-1</v>
      </c>
      <c r="AK1905" s="75">
        <v>-1</v>
      </c>
      <c r="AL1905" s="95">
        <v>-1</v>
      </c>
      <c r="AM1905" s="92">
        <v>1</v>
      </c>
      <c r="AN1905" s="79" t="s">
        <v>80</v>
      </c>
      <c r="AO1905" s="75">
        <v>1</v>
      </c>
      <c r="AP1905" s="75" t="s">
        <v>83</v>
      </c>
      <c r="AQ1905" s="122">
        <v>1</v>
      </c>
      <c r="AR1905" s="515" t="s">
        <v>16</v>
      </c>
      <c r="AS1905" s="95">
        <v>-1</v>
      </c>
      <c r="AT1905" s="75">
        <v>-1</v>
      </c>
      <c r="AU1905" s="75">
        <v>-1</v>
      </c>
      <c r="AV1905" s="75">
        <v>-1</v>
      </c>
      <c r="AW1905" s="123">
        <v>1</v>
      </c>
      <c r="AX1905" s="516"/>
      <c r="AY1905" s="75">
        <v>0</v>
      </c>
      <c r="AZ1905" s="77" t="s">
        <v>5971</v>
      </c>
      <c r="BA1905" s="78" t="s">
        <v>5971</v>
      </c>
      <c r="BB1905" s="78" t="s">
        <v>5971</v>
      </c>
      <c r="BC1905" s="78" t="s">
        <v>5971</v>
      </c>
      <c r="BD1905" s="78" t="s">
        <v>5971</v>
      </c>
      <c r="BE1905" s="78" t="s">
        <v>5971</v>
      </c>
      <c r="BF1905" s="78" t="s">
        <v>5971</v>
      </c>
      <c r="BG1905" s="78" t="s">
        <v>5971</v>
      </c>
      <c r="BH1905" s="75" t="s">
        <v>5971</v>
      </c>
      <c r="BI1905" s="295" t="s">
        <v>2227</v>
      </c>
      <c r="BJ1905" s="546">
        <v>1</v>
      </c>
      <c r="BK1905" s="294" t="s">
        <v>16</v>
      </c>
      <c r="BL1905" s="157" t="s">
        <v>16</v>
      </c>
      <c r="BM1905" s="548" t="s">
        <v>578</v>
      </c>
      <c r="BN1905" s="548" t="s">
        <v>4161</v>
      </c>
      <c r="BO1905" s="157" t="s">
        <v>4311</v>
      </c>
      <c r="BP1905" s="548" t="s">
        <v>4395</v>
      </c>
      <c r="BQ1905" s="157" t="s">
        <v>4309</v>
      </c>
      <c r="BR1905" s="157"/>
    </row>
    <row r="1906" spans="1:70" x14ac:dyDescent="0.25">
      <c r="A1906" s="19" t="s">
        <v>3686</v>
      </c>
      <c r="B1906" s="37" t="s">
        <v>1044</v>
      </c>
      <c r="C1906" s="90">
        <v>44394.793182870373</v>
      </c>
      <c r="D1906" s="114">
        <v>44394.543182870373</v>
      </c>
      <c r="E1906" s="38">
        <v>44394</v>
      </c>
      <c r="F1906" s="91">
        <v>2021</v>
      </c>
      <c r="G1906" s="93">
        <v>7</v>
      </c>
      <c r="H1906" s="37" t="s">
        <v>201</v>
      </c>
      <c r="I1906" s="37"/>
      <c r="J1906" s="103">
        <v>-92.732013725246844</v>
      </c>
      <c r="K1906" s="40">
        <v>44.831114670514161</v>
      </c>
      <c r="L1906" s="74"/>
      <c r="M1906" s="272" t="s">
        <v>16</v>
      </c>
      <c r="N1906" s="74">
        <v>0</v>
      </c>
      <c r="O1906" s="94"/>
      <c r="P1906" s="118">
        <v>1</v>
      </c>
      <c r="Q1906" s="510">
        <v>180</v>
      </c>
      <c r="R1906" s="513">
        <v>120</v>
      </c>
      <c r="S1906" s="41"/>
      <c r="T1906" s="40"/>
      <c r="U1906" s="40">
        <v>8</v>
      </c>
      <c r="V1906" s="119">
        <v>1</v>
      </c>
      <c r="W1906" s="40">
        <v>0</v>
      </c>
      <c r="X1906" s="119">
        <v>1</v>
      </c>
      <c r="Y1906" s="40">
        <v>66</v>
      </c>
      <c r="Z1906" s="119">
        <v>1</v>
      </c>
      <c r="AA1906" s="368">
        <v>0</v>
      </c>
      <c r="AB1906" s="535">
        <v>5</v>
      </c>
      <c r="AC1906" s="39" t="s">
        <v>160</v>
      </c>
      <c r="AD1906" s="75" t="s">
        <v>8</v>
      </c>
      <c r="AE1906" s="95">
        <v>0</v>
      </c>
      <c r="AF1906" s="75">
        <v>1</v>
      </c>
      <c r="AG1906" s="75">
        <v>0</v>
      </c>
      <c r="AH1906" s="75">
        <v>0</v>
      </c>
      <c r="AI1906" s="75">
        <v>0</v>
      </c>
      <c r="AJ1906" s="75">
        <v>0</v>
      </c>
      <c r="AK1906" s="75">
        <v>0</v>
      </c>
      <c r="AL1906" s="95">
        <v>0</v>
      </c>
      <c r="AM1906" s="92">
        <v>0</v>
      </c>
      <c r="AN1906" s="79" t="s">
        <v>80</v>
      </c>
      <c r="AO1906" s="75">
        <v>1</v>
      </c>
      <c r="AP1906" s="75" t="s">
        <v>83</v>
      </c>
      <c r="AQ1906" s="122">
        <v>1</v>
      </c>
      <c r="AR1906" s="515" t="s">
        <v>10</v>
      </c>
      <c r="AS1906" s="95">
        <v>0</v>
      </c>
      <c r="AT1906" s="75">
        <v>0</v>
      </c>
      <c r="AU1906" s="75">
        <v>0</v>
      </c>
      <c r="AV1906" s="75">
        <v>0</v>
      </c>
      <c r="AW1906" s="123">
        <v>0</v>
      </c>
      <c r="AX1906" s="516" t="s">
        <v>382</v>
      </c>
      <c r="AY1906" s="75">
        <v>1</v>
      </c>
      <c r="AZ1906" s="77" t="s">
        <v>131</v>
      </c>
      <c r="BA1906" s="78" t="s">
        <v>132</v>
      </c>
      <c r="BB1906" s="78" t="s">
        <v>131</v>
      </c>
      <c r="BC1906" s="78" t="s">
        <v>131</v>
      </c>
      <c r="BD1906" s="78" t="s">
        <v>131</v>
      </c>
      <c r="BE1906" s="78" t="s">
        <v>131</v>
      </c>
      <c r="BF1906" s="78" t="s">
        <v>131</v>
      </c>
      <c r="BG1906" s="78" t="s">
        <v>131</v>
      </c>
      <c r="BH1906" s="75" t="s">
        <v>5970</v>
      </c>
      <c r="BI1906" s="295" t="s">
        <v>2227</v>
      </c>
      <c r="BJ1906" s="546">
        <v>1</v>
      </c>
      <c r="BK1906" s="294" t="s">
        <v>16</v>
      </c>
      <c r="BL1906" s="157" t="s">
        <v>16</v>
      </c>
      <c r="BM1906" s="548" t="s">
        <v>578</v>
      </c>
      <c r="BN1906" s="548" t="s">
        <v>578</v>
      </c>
      <c r="BO1906" s="157" t="s">
        <v>4341</v>
      </c>
      <c r="BP1906" s="548" t="s">
        <v>4343</v>
      </c>
      <c r="BQ1906" s="157" t="s">
        <v>4309</v>
      </c>
      <c r="BR1906" s="157"/>
    </row>
    <row r="1907" spans="1:70" x14ac:dyDescent="0.25">
      <c r="A1907" s="19" t="s">
        <v>3686</v>
      </c>
      <c r="B1907" s="37" t="s">
        <v>1122</v>
      </c>
      <c r="C1907" s="90">
        <v>44392.678807870368</v>
      </c>
      <c r="D1907" s="114">
        <v>44392.428807870368</v>
      </c>
      <c r="E1907" s="38">
        <v>44392</v>
      </c>
      <c r="F1907" s="91">
        <v>2021</v>
      </c>
      <c r="G1907" s="93">
        <v>7</v>
      </c>
      <c r="H1907" s="37" t="s">
        <v>609</v>
      </c>
      <c r="I1907" s="37" t="s">
        <v>16</v>
      </c>
      <c r="J1907" s="103">
        <v>-93.009022130994637</v>
      </c>
      <c r="K1907" s="40">
        <v>44.65728044406832</v>
      </c>
      <c r="L1907" s="74"/>
      <c r="M1907" s="272" t="s">
        <v>16</v>
      </c>
      <c r="N1907" s="74">
        <v>0</v>
      </c>
      <c r="O1907" s="94"/>
      <c r="P1907" s="118">
        <v>0</v>
      </c>
      <c r="Q1907" s="510"/>
      <c r="R1907" s="513"/>
      <c r="S1907" s="41"/>
      <c r="T1907" s="40"/>
      <c r="U1907" s="40"/>
      <c r="V1907" s="119">
        <v>1</v>
      </c>
      <c r="W1907" s="40">
        <v>100</v>
      </c>
      <c r="X1907" s="119">
        <v>1</v>
      </c>
      <c r="Y1907" s="40">
        <v>63</v>
      </c>
      <c r="Z1907" s="119">
        <v>1</v>
      </c>
      <c r="AA1907" s="368">
        <v>0</v>
      </c>
      <c r="AB1907" s="535">
        <v>2</v>
      </c>
      <c r="AC1907" s="39" t="s">
        <v>160</v>
      </c>
      <c r="AD1907" s="75" t="s">
        <v>16</v>
      </c>
      <c r="AE1907" s="95">
        <v>-1</v>
      </c>
      <c r="AF1907" s="75">
        <v>-1</v>
      </c>
      <c r="AG1907" s="75">
        <v>-1</v>
      </c>
      <c r="AH1907" s="75">
        <v>-1</v>
      </c>
      <c r="AI1907" s="75">
        <v>-1</v>
      </c>
      <c r="AJ1907" s="75">
        <v>-1</v>
      </c>
      <c r="AK1907" s="75">
        <v>-1</v>
      </c>
      <c r="AL1907" s="95">
        <v>-1</v>
      </c>
      <c r="AM1907" s="92">
        <v>1</v>
      </c>
      <c r="AN1907" s="79" t="s">
        <v>80</v>
      </c>
      <c r="AO1907" s="75">
        <v>1</v>
      </c>
      <c r="AP1907" s="75" t="s">
        <v>83</v>
      </c>
      <c r="AQ1907" s="122">
        <v>1</v>
      </c>
      <c r="AR1907" s="515" t="s">
        <v>10</v>
      </c>
      <c r="AS1907" s="95">
        <v>0</v>
      </c>
      <c r="AT1907" s="75">
        <v>0</v>
      </c>
      <c r="AU1907" s="75">
        <v>0</v>
      </c>
      <c r="AV1907" s="75">
        <v>0</v>
      </c>
      <c r="AW1907" s="123">
        <v>0</v>
      </c>
      <c r="AX1907" s="516"/>
      <c r="AY1907" s="75">
        <v>0</v>
      </c>
      <c r="AZ1907" s="77" t="s">
        <v>5971</v>
      </c>
      <c r="BA1907" s="78" t="s">
        <v>5971</v>
      </c>
      <c r="BB1907" s="78" t="s">
        <v>5971</v>
      </c>
      <c r="BC1907" s="78" t="s">
        <v>5971</v>
      </c>
      <c r="BD1907" s="78" t="s">
        <v>5971</v>
      </c>
      <c r="BE1907" s="78" t="s">
        <v>5971</v>
      </c>
      <c r="BF1907" s="78" t="s">
        <v>5971</v>
      </c>
      <c r="BG1907" s="78" t="s">
        <v>5971</v>
      </c>
      <c r="BH1907" s="75" t="s">
        <v>5971</v>
      </c>
      <c r="BI1907" s="295" t="s">
        <v>2225</v>
      </c>
      <c r="BJ1907" s="546">
        <v>1</v>
      </c>
      <c r="BK1907" s="294" t="s">
        <v>16</v>
      </c>
      <c r="BL1907" s="157" t="s">
        <v>16</v>
      </c>
      <c r="BM1907" s="548" t="s">
        <v>2343</v>
      </c>
      <c r="BN1907" s="548" t="s">
        <v>4161</v>
      </c>
      <c r="BO1907" s="157" t="s">
        <v>4293</v>
      </c>
      <c r="BP1907" s="548" t="s">
        <v>2225</v>
      </c>
      <c r="BQ1907" s="157" t="s">
        <v>4292</v>
      </c>
      <c r="BR1907" s="157"/>
    </row>
    <row r="1908" spans="1:70" x14ac:dyDescent="0.25">
      <c r="A1908" s="19" t="s">
        <v>3686</v>
      </c>
      <c r="B1908" s="37" t="s">
        <v>934</v>
      </c>
      <c r="C1908" s="90">
        <v>44390.951527777775</v>
      </c>
      <c r="D1908" s="114">
        <v>44390.701527777775</v>
      </c>
      <c r="E1908" s="38">
        <v>44390</v>
      </c>
      <c r="F1908" s="91">
        <v>2021</v>
      </c>
      <c r="G1908" s="93">
        <v>7</v>
      </c>
      <c r="H1908" s="37" t="s">
        <v>623</v>
      </c>
      <c r="I1908" s="37" t="s">
        <v>958</v>
      </c>
      <c r="J1908" s="103">
        <v>-92.575541334312945</v>
      </c>
      <c r="K1908" s="40">
        <v>44.488405007910437</v>
      </c>
      <c r="L1908" s="74"/>
      <c r="M1908" s="272" t="s">
        <v>16</v>
      </c>
      <c r="N1908" s="74">
        <v>0</v>
      </c>
      <c r="O1908" s="94"/>
      <c r="P1908" s="118">
        <v>1</v>
      </c>
      <c r="Q1908" s="510">
        <v>180</v>
      </c>
      <c r="R1908" s="513">
        <v>180</v>
      </c>
      <c r="S1908" s="41"/>
      <c r="T1908" s="40"/>
      <c r="U1908" s="40">
        <v>9</v>
      </c>
      <c r="V1908" s="119">
        <v>1</v>
      </c>
      <c r="W1908" s="40">
        <v>0</v>
      </c>
      <c r="X1908" s="119">
        <v>1</v>
      </c>
      <c r="Y1908" s="40">
        <v>65</v>
      </c>
      <c r="Z1908" s="119">
        <v>1</v>
      </c>
      <c r="AA1908" s="368">
        <v>0</v>
      </c>
      <c r="AB1908" s="535">
        <v>5</v>
      </c>
      <c r="AC1908" s="39" t="s">
        <v>160</v>
      </c>
      <c r="AD1908" s="75" t="s">
        <v>10</v>
      </c>
      <c r="AE1908" s="95">
        <v>0</v>
      </c>
      <c r="AF1908" s="75">
        <v>0</v>
      </c>
      <c r="AG1908" s="75">
        <v>0</v>
      </c>
      <c r="AH1908" s="75">
        <v>0</v>
      </c>
      <c r="AI1908" s="75">
        <v>0</v>
      </c>
      <c r="AJ1908" s="75">
        <v>0</v>
      </c>
      <c r="AK1908" s="75">
        <v>0</v>
      </c>
      <c r="AL1908" s="95">
        <v>1</v>
      </c>
      <c r="AM1908" s="92">
        <v>0</v>
      </c>
      <c r="AN1908" s="79" t="s">
        <v>80</v>
      </c>
      <c r="AO1908" s="75">
        <v>1</v>
      </c>
      <c r="AP1908" s="75" t="s">
        <v>83</v>
      </c>
      <c r="AQ1908" s="122">
        <v>1</v>
      </c>
      <c r="AR1908" s="515" t="s">
        <v>10</v>
      </c>
      <c r="AS1908" s="95">
        <v>0</v>
      </c>
      <c r="AT1908" s="75">
        <v>0</v>
      </c>
      <c r="AU1908" s="75">
        <v>0</v>
      </c>
      <c r="AV1908" s="75">
        <v>0</v>
      </c>
      <c r="AW1908" s="123">
        <v>0</v>
      </c>
      <c r="AX1908" s="516" t="s">
        <v>935</v>
      </c>
      <c r="AY1908" s="75">
        <v>1</v>
      </c>
      <c r="AZ1908" s="77" t="s">
        <v>131</v>
      </c>
      <c r="BA1908" s="78" t="s">
        <v>131</v>
      </c>
      <c r="BB1908" s="78" t="s">
        <v>131</v>
      </c>
      <c r="BC1908" s="78" t="s">
        <v>131</v>
      </c>
      <c r="BD1908" s="78" t="s">
        <v>131</v>
      </c>
      <c r="BE1908" s="78" t="s">
        <v>131</v>
      </c>
      <c r="BF1908" s="78" t="s">
        <v>131</v>
      </c>
      <c r="BG1908" s="78" t="s">
        <v>132</v>
      </c>
      <c r="BH1908" s="75" t="s">
        <v>5970</v>
      </c>
      <c r="BI1908" s="295" t="s">
        <v>2238</v>
      </c>
      <c r="BJ1908" s="546">
        <v>1</v>
      </c>
      <c r="BK1908" s="294" t="s">
        <v>16</v>
      </c>
      <c r="BL1908" s="157" t="s">
        <v>16</v>
      </c>
      <c r="BM1908" s="548" t="s">
        <v>2343</v>
      </c>
      <c r="BN1908" s="548" t="s">
        <v>1339</v>
      </c>
      <c r="BO1908" s="157" t="s">
        <v>4308</v>
      </c>
      <c r="BP1908" s="548" t="s">
        <v>2238</v>
      </c>
      <c r="BQ1908" s="157" t="s">
        <v>4307</v>
      </c>
      <c r="BR1908" s="157"/>
    </row>
    <row r="1909" spans="1:70" x14ac:dyDescent="0.25">
      <c r="A1909" s="19" t="s">
        <v>3686</v>
      </c>
      <c r="B1909" s="37" t="s">
        <v>931</v>
      </c>
      <c r="C1909" s="90">
        <v>44390.934398148151</v>
      </c>
      <c r="D1909" s="114">
        <v>44390.684398148151</v>
      </c>
      <c r="E1909" s="38">
        <v>44390</v>
      </c>
      <c r="F1909" s="91">
        <v>2021</v>
      </c>
      <c r="G1909" s="93">
        <v>7</v>
      </c>
      <c r="H1909" s="37" t="s">
        <v>623</v>
      </c>
      <c r="I1909" s="37" t="s">
        <v>959</v>
      </c>
      <c r="J1909" s="103">
        <v>-92.59739404552856</v>
      </c>
      <c r="K1909" s="40">
        <v>44.47232751179903</v>
      </c>
      <c r="L1909" s="74"/>
      <c r="M1909" s="272" t="s">
        <v>932</v>
      </c>
      <c r="N1909" s="74">
        <v>1</v>
      </c>
      <c r="O1909" s="94"/>
      <c r="P1909" s="118">
        <v>1</v>
      </c>
      <c r="Q1909" s="510">
        <v>120</v>
      </c>
      <c r="R1909" s="513">
        <v>180</v>
      </c>
      <c r="S1909" s="41"/>
      <c r="T1909" s="40"/>
      <c r="U1909" s="40">
        <v>7.5</v>
      </c>
      <c r="V1909" s="119">
        <v>1</v>
      </c>
      <c r="W1909" s="40">
        <v>0</v>
      </c>
      <c r="X1909" s="119">
        <v>1</v>
      </c>
      <c r="Y1909" s="40">
        <v>61</v>
      </c>
      <c r="Z1909" s="119">
        <v>1</v>
      </c>
      <c r="AA1909" s="368">
        <v>0</v>
      </c>
      <c r="AB1909" s="535">
        <v>5</v>
      </c>
      <c r="AC1909" s="39" t="s">
        <v>160</v>
      </c>
      <c r="AD1909" s="75" t="s">
        <v>10</v>
      </c>
      <c r="AE1909" s="95">
        <v>0</v>
      </c>
      <c r="AF1909" s="75">
        <v>0</v>
      </c>
      <c r="AG1909" s="75">
        <v>0</v>
      </c>
      <c r="AH1909" s="75">
        <v>0</v>
      </c>
      <c r="AI1909" s="75">
        <v>0</v>
      </c>
      <c r="AJ1909" s="75">
        <v>0</v>
      </c>
      <c r="AK1909" s="75">
        <v>0</v>
      </c>
      <c r="AL1909" s="95">
        <v>1</v>
      </c>
      <c r="AM1909" s="92">
        <v>0</v>
      </c>
      <c r="AN1909" s="79" t="s">
        <v>80</v>
      </c>
      <c r="AO1909" s="75">
        <v>1</v>
      </c>
      <c r="AP1909" s="75" t="s">
        <v>83</v>
      </c>
      <c r="AQ1909" s="122">
        <v>1</v>
      </c>
      <c r="AR1909" s="515" t="s">
        <v>10</v>
      </c>
      <c r="AS1909" s="95">
        <v>0</v>
      </c>
      <c r="AT1909" s="75">
        <v>0</v>
      </c>
      <c r="AU1909" s="75">
        <v>0</v>
      </c>
      <c r="AV1909" s="75">
        <v>0</v>
      </c>
      <c r="AW1909" s="123">
        <v>0</v>
      </c>
      <c r="AX1909" s="516" t="s">
        <v>933</v>
      </c>
      <c r="AY1909" s="75">
        <v>1</v>
      </c>
      <c r="AZ1909" s="77" t="s">
        <v>131</v>
      </c>
      <c r="BA1909" s="78" t="s">
        <v>131</v>
      </c>
      <c r="BB1909" s="78" t="s">
        <v>131</v>
      </c>
      <c r="BC1909" s="78" t="s">
        <v>131</v>
      </c>
      <c r="BD1909" s="78" t="s">
        <v>131</v>
      </c>
      <c r="BE1909" s="78" t="s">
        <v>131</v>
      </c>
      <c r="BF1909" s="78" t="s">
        <v>131</v>
      </c>
      <c r="BG1909" s="78" t="s">
        <v>132</v>
      </c>
      <c r="BH1909" s="75" t="s">
        <v>5970</v>
      </c>
      <c r="BI1909" s="295" t="s">
        <v>2238</v>
      </c>
      <c r="BJ1909" s="546">
        <v>1</v>
      </c>
      <c r="BK1909" s="294" t="s">
        <v>16</v>
      </c>
      <c r="BL1909" s="157" t="s">
        <v>16</v>
      </c>
      <c r="BM1909" s="548" t="s">
        <v>2343</v>
      </c>
      <c r="BN1909" s="548" t="s">
        <v>1339</v>
      </c>
      <c r="BO1909" s="157" t="s">
        <v>4308</v>
      </c>
      <c r="BP1909" s="548" t="s">
        <v>2238</v>
      </c>
      <c r="BQ1909" s="157" t="s">
        <v>4307</v>
      </c>
      <c r="BR1909" s="157"/>
    </row>
    <row r="1910" spans="1:70" x14ac:dyDescent="0.25">
      <c r="A1910" s="19" t="s">
        <v>3686</v>
      </c>
      <c r="B1910" s="37" t="s">
        <v>929</v>
      </c>
      <c r="C1910" s="90">
        <v>44390.671481481484</v>
      </c>
      <c r="D1910" s="114">
        <v>44390.421481481484</v>
      </c>
      <c r="E1910" s="38">
        <v>44390</v>
      </c>
      <c r="F1910" s="91">
        <v>2021</v>
      </c>
      <c r="G1910" s="93">
        <v>7</v>
      </c>
      <c r="H1910" s="37" t="s">
        <v>461</v>
      </c>
      <c r="I1910" s="37" t="s">
        <v>154</v>
      </c>
      <c r="J1910" s="103">
        <v>-92.155750353973445</v>
      </c>
      <c r="K1910" s="40">
        <v>44.798107625219821</v>
      </c>
      <c r="L1910" s="74"/>
      <c r="M1910" s="272" t="s">
        <v>16</v>
      </c>
      <c r="N1910" s="74">
        <v>0</v>
      </c>
      <c r="O1910" s="94"/>
      <c r="P1910" s="118">
        <v>0</v>
      </c>
      <c r="Q1910" s="510"/>
      <c r="R1910" s="513"/>
      <c r="S1910" s="41"/>
      <c r="T1910" s="40"/>
      <c r="U1910" s="40"/>
      <c r="V1910" s="119">
        <v>1</v>
      </c>
      <c r="W1910" s="40">
        <v>0</v>
      </c>
      <c r="X1910" s="119">
        <v>1</v>
      </c>
      <c r="Y1910" s="40">
        <v>58</v>
      </c>
      <c r="Z1910" s="119">
        <v>0</v>
      </c>
      <c r="AA1910" s="368" t="s">
        <v>16</v>
      </c>
      <c r="AB1910" s="535" t="s">
        <v>16</v>
      </c>
      <c r="AC1910" s="39" t="s">
        <v>160</v>
      </c>
      <c r="AD1910" s="75" t="s">
        <v>16</v>
      </c>
      <c r="AE1910" s="95">
        <v>-1</v>
      </c>
      <c r="AF1910" s="75">
        <v>-1</v>
      </c>
      <c r="AG1910" s="75">
        <v>-1</v>
      </c>
      <c r="AH1910" s="75">
        <v>-1</v>
      </c>
      <c r="AI1910" s="75">
        <v>-1</v>
      </c>
      <c r="AJ1910" s="75">
        <v>-1</v>
      </c>
      <c r="AK1910" s="75">
        <v>-1</v>
      </c>
      <c r="AL1910" s="95">
        <v>-1</v>
      </c>
      <c r="AM1910" s="92">
        <v>1</v>
      </c>
      <c r="AN1910" s="79" t="s">
        <v>80</v>
      </c>
      <c r="AO1910" s="75">
        <v>1</v>
      </c>
      <c r="AP1910" s="75" t="s">
        <v>83</v>
      </c>
      <c r="AQ1910" s="122">
        <v>1</v>
      </c>
      <c r="AR1910" s="515" t="s">
        <v>10</v>
      </c>
      <c r="AS1910" s="95">
        <v>0</v>
      </c>
      <c r="AT1910" s="75">
        <v>0</v>
      </c>
      <c r="AU1910" s="75">
        <v>0</v>
      </c>
      <c r="AV1910" s="75">
        <v>0</v>
      </c>
      <c r="AW1910" s="123">
        <v>0</v>
      </c>
      <c r="AX1910" s="516" t="s">
        <v>930</v>
      </c>
      <c r="AY1910" s="75">
        <v>1</v>
      </c>
      <c r="AZ1910" s="77" t="s">
        <v>5971</v>
      </c>
      <c r="BA1910" s="78" t="s">
        <v>5971</v>
      </c>
      <c r="BB1910" s="78" t="s">
        <v>5971</v>
      </c>
      <c r="BC1910" s="78" t="s">
        <v>5971</v>
      </c>
      <c r="BD1910" s="78" t="s">
        <v>5971</v>
      </c>
      <c r="BE1910" s="78" t="s">
        <v>5971</v>
      </c>
      <c r="BF1910" s="78" t="s">
        <v>5971</v>
      </c>
      <c r="BG1910" s="78" t="s">
        <v>5971</v>
      </c>
      <c r="BH1910" s="75" t="s">
        <v>5971</v>
      </c>
      <c r="BI1910" s="295" t="s">
        <v>2270</v>
      </c>
      <c r="BJ1910" s="546">
        <v>1</v>
      </c>
      <c r="BK1910" s="294">
        <v>1</v>
      </c>
      <c r="BL1910" s="157">
        <v>1</v>
      </c>
      <c r="BM1910" s="548" t="s">
        <v>578</v>
      </c>
      <c r="BN1910" s="548" t="s">
        <v>578</v>
      </c>
      <c r="BO1910" s="157" t="s">
        <v>4317</v>
      </c>
      <c r="BP1910" s="548" t="s">
        <v>2270</v>
      </c>
      <c r="BQ1910" s="157" t="s">
        <v>4316</v>
      </c>
      <c r="BR1910" s="157"/>
    </row>
    <row r="1911" spans="1:70" x14ac:dyDescent="0.25">
      <c r="A1911" s="19" t="s">
        <v>3686</v>
      </c>
      <c r="B1911" s="37" t="s">
        <v>928</v>
      </c>
      <c r="C1911" s="90">
        <v>44387.844537037039</v>
      </c>
      <c r="D1911" s="114">
        <v>44387.594537037039</v>
      </c>
      <c r="E1911" s="38">
        <v>44387</v>
      </c>
      <c r="F1911" s="91">
        <v>2021</v>
      </c>
      <c r="G1911" s="93">
        <v>7</v>
      </c>
      <c r="H1911" s="37" t="s">
        <v>622</v>
      </c>
      <c r="I1911" s="37"/>
      <c r="J1911" s="103">
        <v>-92.267930014144881</v>
      </c>
      <c r="K1911" s="40">
        <v>44.428757457103977</v>
      </c>
      <c r="L1911" s="74"/>
      <c r="M1911" s="272" t="s">
        <v>16</v>
      </c>
      <c r="N1911" s="74">
        <v>0</v>
      </c>
      <c r="O1911" s="94"/>
      <c r="P1911" s="118">
        <v>0</v>
      </c>
      <c r="Q1911" s="510"/>
      <c r="R1911" s="513"/>
      <c r="S1911" s="41"/>
      <c r="T1911" s="40"/>
      <c r="U1911" s="40"/>
      <c r="V1911" s="119">
        <v>1</v>
      </c>
      <c r="W1911" s="40">
        <v>500</v>
      </c>
      <c r="X1911" s="119">
        <v>1</v>
      </c>
      <c r="Y1911" s="40">
        <v>62</v>
      </c>
      <c r="Z1911" s="119">
        <v>0</v>
      </c>
      <c r="AA1911" s="368" t="s">
        <v>16</v>
      </c>
      <c r="AB1911" s="535" t="s">
        <v>16</v>
      </c>
      <c r="AC1911" s="39" t="s">
        <v>160</v>
      </c>
      <c r="AD1911" s="75" t="s">
        <v>16</v>
      </c>
      <c r="AE1911" s="95">
        <v>-1</v>
      </c>
      <c r="AF1911" s="75">
        <v>-1</v>
      </c>
      <c r="AG1911" s="75">
        <v>-1</v>
      </c>
      <c r="AH1911" s="75">
        <v>-1</v>
      </c>
      <c r="AI1911" s="75">
        <v>-1</v>
      </c>
      <c r="AJ1911" s="75">
        <v>-1</v>
      </c>
      <c r="AK1911" s="75">
        <v>-1</v>
      </c>
      <c r="AL1911" s="95">
        <v>-1</v>
      </c>
      <c r="AM1911" s="92">
        <v>1</v>
      </c>
      <c r="AN1911" s="79"/>
      <c r="AO1911" s="75">
        <v>0</v>
      </c>
      <c r="AP1911" s="75"/>
      <c r="AQ1911" s="122">
        <v>0</v>
      </c>
      <c r="AR1911" s="515" t="s">
        <v>16</v>
      </c>
      <c r="AS1911" s="95">
        <v>-1</v>
      </c>
      <c r="AT1911" s="75">
        <v>-1</v>
      </c>
      <c r="AU1911" s="75">
        <v>-1</v>
      </c>
      <c r="AV1911" s="75">
        <v>-1</v>
      </c>
      <c r="AW1911" s="123">
        <v>1</v>
      </c>
      <c r="AX1911" s="516"/>
      <c r="AY1911" s="75">
        <v>0</v>
      </c>
      <c r="AZ1911" s="77" t="s">
        <v>5971</v>
      </c>
      <c r="BA1911" s="78" t="s">
        <v>5971</v>
      </c>
      <c r="BB1911" s="78" t="s">
        <v>5971</v>
      </c>
      <c r="BC1911" s="78" t="s">
        <v>5971</v>
      </c>
      <c r="BD1911" s="78" t="s">
        <v>5971</v>
      </c>
      <c r="BE1911" s="78" t="s">
        <v>5971</v>
      </c>
      <c r="BF1911" s="78" t="s">
        <v>5971</v>
      </c>
      <c r="BG1911" s="78" t="s">
        <v>5971</v>
      </c>
      <c r="BH1911" s="75" t="s">
        <v>5971</v>
      </c>
      <c r="BI1911" s="295" t="s">
        <v>2228</v>
      </c>
      <c r="BJ1911" s="546">
        <v>1</v>
      </c>
      <c r="BK1911" s="294" t="s">
        <v>16</v>
      </c>
      <c r="BL1911" s="157" t="s">
        <v>16</v>
      </c>
      <c r="BM1911" s="548" t="s">
        <v>1339</v>
      </c>
      <c r="BN1911" s="548" t="s">
        <v>1339</v>
      </c>
      <c r="BO1911" s="157" t="s">
        <v>4614</v>
      </c>
      <c r="BP1911" s="548" t="s">
        <v>2228</v>
      </c>
      <c r="BQ1911" s="157" t="s">
        <v>4214</v>
      </c>
      <c r="BR1911" s="157"/>
    </row>
    <row r="1912" spans="1:70" x14ac:dyDescent="0.25">
      <c r="A1912" s="19" t="s">
        <v>3686</v>
      </c>
      <c r="B1912" s="37" t="s">
        <v>927</v>
      </c>
      <c r="C1912" s="90">
        <v>44387.840821759259</v>
      </c>
      <c r="D1912" s="114">
        <v>44387.590821759259</v>
      </c>
      <c r="E1912" s="38">
        <v>44387</v>
      </c>
      <c r="F1912" s="91">
        <v>2021</v>
      </c>
      <c r="G1912" s="93">
        <v>7</v>
      </c>
      <c r="H1912" s="37" t="s">
        <v>622</v>
      </c>
      <c r="I1912" s="37"/>
      <c r="J1912" s="103">
        <v>-92.26783638828644</v>
      </c>
      <c r="K1912" s="40">
        <v>44.428745973896632</v>
      </c>
      <c r="L1912" s="74"/>
      <c r="M1912" s="272" t="s">
        <v>16</v>
      </c>
      <c r="N1912" s="74">
        <v>0</v>
      </c>
      <c r="O1912" s="94"/>
      <c r="P1912" s="118">
        <v>1</v>
      </c>
      <c r="Q1912" s="510">
        <v>180</v>
      </c>
      <c r="R1912" s="513">
        <v>180</v>
      </c>
      <c r="S1912" s="41"/>
      <c r="T1912" s="40"/>
      <c r="U1912" s="40">
        <v>8</v>
      </c>
      <c r="V1912" s="119">
        <v>0</v>
      </c>
      <c r="W1912" s="40"/>
      <c r="X1912" s="119">
        <v>0</v>
      </c>
      <c r="Y1912" s="40"/>
      <c r="Z1912" s="119">
        <v>0</v>
      </c>
      <c r="AA1912" s="368" t="s">
        <v>16</v>
      </c>
      <c r="AB1912" s="535" t="s">
        <v>16</v>
      </c>
      <c r="AC1912" s="39" t="s">
        <v>160</v>
      </c>
      <c r="AD1912" s="75" t="s">
        <v>16</v>
      </c>
      <c r="AE1912" s="95">
        <v>-1</v>
      </c>
      <c r="AF1912" s="75">
        <v>-1</v>
      </c>
      <c r="AG1912" s="75">
        <v>-1</v>
      </c>
      <c r="AH1912" s="75">
        <v>-1</v>
      </c>
      <c r="AI1912" s="75">
        <v>-1</v>
      </c>
      <c r="AJ1912" s="75">
        <v>-1</v>
      </c>
      <c r="AK1912" s="75">
        <v>-1</v>
      </c>
      <c r="AL1912" s="95">
        <v>-1</v>
      </c>
      <c r="AM1912" s="92">
        <v>1</v>
      </c>
      <c r="AN1912" s="79" t="s">
        <v>80</v>
      </c>
      <c r="AO1912" s="75">
        <v>1</v>
      </c>
      <c r="AP1912" s="75" t="s">
        <v>83</v>
      </c>
      <c r="AQ1912" s="122">
        <v>1</v>
      </c>
      <c r="AR1912" s="515" t="s">
        <v>10</v>
      </c>
      <c r="AS1912" s="95">
        <v>0</v>
      </c>
      <c r="AT1912" s="75">
        <v>0</v>
      </c>
      <c r="AU1912" s="75">
        <v>0</v>
      </c>
      <c r="AV1912" s="75">
        <v>0</v>
      </c>
      <c r="AW1912" s="123">
        <v>0</v>
      </c>
      <c r="AX1912" s="516" t="s">
        <v>16</v>
      </c>
      <c r="AY1912" s="75">
        <v>0</v>
      </c>
      <c r="AZ1912" s="77" t="s">
        <v>5971</v>
      </c>
      <c r="BA1912" s="78" t="s">
        <v>5971</v>
      </c>
      <c r="BB1912" s="78" t="s">
        <v>5971</v>
      </c>
      <c r="BC1912" s="78" t="s">
        <v>5971</v>
      </c>
      <c r="BD1912" s="78" t="s">
        <v>5971</v>
      </c>
      <c r="BE1912" s="78" t="s">
        <v>5971</v>
      </c>
      <c r="BF1912" s="78" t="s">
        <v>5971</v>
      </c>
      <c r="BG1912" s="78" t="s">
        <v>5971</v>
      </c>
      <c r="BH1912" s="75" t="s">
        <v>5971</v>
      </c>
      <c r="BI1912" s="295" t="s">
        <v>2228</v>
      </c>
      <c r="BJ1912" s="546">
        <v>1</v>
      </c>
      <c r="BK1912" s="294" t="s">
        <v>16</v>
      </c>
      <c r="BL1912" s="157" t="s">
        <v>16</v>
      </c>
      <c r="BM1912" s="548" t="s">
        <v>1339</v>
      </c>
      <c r="BN1912" s="548" t="s">
        <v>1339</v>
      </c>
      <c r="BO1912" s="157" t="s">
        <v>4614</v>
      </c>
      <c r="BP1912" s="548" t="s">
        <v>2228</v>
      </c>
      <c r="BQ1912" s="157" t="s">
        <v>4214</v>
      </c>
      <c r="BR1912" s="157"/>
    </row>
    <row r="1913" spans="1:70" x14ac:dyDescent="0.25">
      <c r="A1913" s="19" t="s">
        <v>3686</v>
      </c>
      <c r="B1913" s="37" t="s">
        <v>925</v>
      </c>
      <c r="C1913" s="90">
        <v>44387.728043981479</v>
      </c>
      <c r="D1913" s="114">
        <v>44387.478043981479</v>
      </c>
      <c r="E1913" s="38">
        <v>44387</v>
      </c>
      <c r="F1913" s="91">
        <v>2021</v>
      </c>
      <c r="G1913" s="93">
        <v>7</v>
      </c>
      <c r="H1913" s="37" t="s">
        <v>201</v>
      </c>
      <c r="I1913" s="37"/>
      <c r="J1913" s="103">
        <v>-92.732049942753207</v>
      </c>
      <c r="K1913" s="40">
        <v>44.83104554085201</v>
      </c>
      <c r="L1913" s="74"/>
      <c r="M1913" s="272" t="s">
        <v>16</v>
      </c>
      <c r="N1913" s="74">
        <v>0</v>
      </c>
      <c r="O1913" s="94"/>
      <c r="P1913" s="118">
        <v>1</v>
      </c>
      <c r="Q1913" s="510">
        <v>180</v>
      </c>
      <c r="R1913" s="513">
        <v>180</v>
      </c>
      <c r="S1913" s="41"/>
      <c r="T1913" s="40"/>
      <c r="U1913" s="40">
        <v>8</v>
      </c>
      <c r="V1913" s="119">
        <v>1</v>
      </c>
      <c r="W1913" s="40">
        <v>0</v>
      </c>
      <c r="X1913" s="119">
        <v>1</v>
      </c>
      <c r="Y1913" s="40">
        <v>62</v>
      </c>
      <c r="Z1913" s="119">
        <v>1</v>
      </c>
      <c r="AA1913" s="368">
        <v>0</v>
      </c>
      <c r="AB1913" s="535">
        <v>5</v>
      </c>
      <c r="AC1913" s="39" t="s">
        <v>160</v>
      </c>
      <c r="AD1913" s="75" t="s">
        <v>8</v>
      </c>
      <c r="AE1913" s="95">
        <v>0</v>
      </c>
      <c r="AF1913" s="75">
        <v>1</v>
      </c>
      <c r="AG1913" s="75">
        <v>0</v>
      </c>
      <c r="AH1913" s="75">
        <v>0</v>
      </c>
      <c r="AI1913" s="75">
        <v>0</v>
      </c>
      <c r="AJ1913" s="75">
        <v>0</v>
      </c>
      <c r="AK1913" s="75">
        <v>0</v>
      </c>
      <c r="AL1913" s="95">
        <v>0</v>
      </c>
      <c r="AM1913" s="92">
        <v>0</v>
      </c>
      <c r="AN1913" s="79" t="s">
        <v>80</v>
      </c>
      <c r="AO1913" s="75">
        <v>1</v>
      </c>
      <c r="AP1913" s="75" t="s">
        <v>83</v>
      </c>
      <c r="AQ1913" s="122">
        <v>1</v>
      </c>
      <c r="AR1913" s="515" t="s">
        <v>10</v>
      </c>
      <c r="AS1913" s="95">
        <v>0</v>
      </c>
      <c r="AT1913" s="75">
        <v>0</v>
      </c>
      <c r="AU1913" s="75">
        <v>0</v>
      </c>
      <c r="AV1913" s="75">
        <v>0</v>
      </c>
      <c r="AW1913" s="123">
        <v>0</v>
      </c>
      <c r="AX1913" s="516" t="s">
        <v>926</v>
      </c>
      <c r="AY1913" s="75">
        <v>1</v>
      </c>
      <c r="AZ1913" s="77" t="s">
        <v>131</v>
      </c>
      <c r="BA1913" s="78" t="s">
        <v>132</v>
      </c>
      <c r="BB1913" s="78" t="s">
        <v>131</v>
      </c>
      <c r="BC1913" s="78" t="s">
        <v>131</v>
      </c>
      <c r="BD1913" s="78" t="s">
        <v>131</v>
      </c>
      <c r="BE1913" s="78" t="s">
        <v>131</v>
      </c>
      <c r="BF1913" s="78" t="s">
        <v>131</v>
      </c>
      <c r="BG1913" s="78" t="s">
        <v>131</v>
      </c>
      <c r="BH1913" s="75" t="s">
        <v>5970</v>
      </c>
      <c r="BI1913" s="295" t="s">
        <v>2227</v>
      </c>
      <c r="BJ1913" s="546">
        <v>1</v>
      </c>
      <c r="BK1913" s="294" t="s">
        <v>16</v>
      </c>
      <c r="BL1913" s="157" t="s">
        <v>16</v>
      </c>
      <c r="BM1913" s="548" t="s">
        <v>578</v>
      </c>
      <c r="BN1913" s="548" t="s">
        <v>578</v>
      </c>
      <c r="BO1913" s="157" t="s">
        <v>4341</v>
      </c>
      <c r="BP1913" s="548" t="s">
        <v>4343</v>
      </c>
      <c r="BQ1913" s="157" t="s">
        <v>4309</v>
      </c>
      <c r="BR1913" s="157"/>
    </row>
    <row r="1914" spans="1:70" x14ac:dyDescent="0.25">
      <c r="A1914" s="19" t="s">
        <v>3686</v>
      </c>
      <c r="B1914" s="37" t="s">
        <v>923</v>
      </c>
      <c r="C1914" s="90">
        <v>44386.925821759258</v>
      </c>
      <c r="D1914" s="114">
        <v>44386.675821759258</v>
      </c>
      <c r="E1914" s="38">
        <v>44386</v>
      </c>
      <c r="F1914" s="91">
        <v>2021</v>
      </c>
      <c r="G1914" s="93">
        <v>7</v>
      </c>
      <c r="H1914" s="37" t="s">
        <v>612</v>
      </c>
      <c r="I1914" s="37"/>
      <c r="J1914" s="103">
        <v>-93.009153170871258</v>
      </c>
      <c r="K1914" s="40">
        <v>44.657249722788286</v>
      </c>
      <c r="L1914" s="74"/>
      <c r="M1914" s="272" t="s">
        <v>924</v>
      </c>
      <c r="N1914" s="74">
        <v>1</v>
      </c>
      <c r="O1914" s="94"/>
      <c r="P1914" s="118">
        <v>0</v>
      </c>
      <c r="Q1914" s="510"/>
      <c r="R1914" s="513"/>
      <c r="S1914" s="41"/>
      <c r="T1914" s="40"/>
      <c r="U1914" s="40"/>
      <c r="V1914" s="119">
        <v>0</v>
      </c>
      <c r="W1914" s="40"/>
      <c r="X1914" s="119">
        <v>0</v>
      </c>
      <c r="Y1914" s="40"/>
      <c r="Z1914" s="119">
        <v>1</v>
      </c>
      <c r="AA1914" s="368">
        <v>0</v>
      </c>
      <c r="AB1914" s="535">
        <v>10</v>
      </c>
      <c r="AC1914" s="39"/>
      <c r="AD1914" s="75" t="s">
        <v>10</v>
      </c>
      <c r="AE1914" s="95">
        <v>0</v>
      </c>
      <c r="AF1914" s="75">
        <v>0</v>
      </c>
      <c r="AG1914" s="75">
        <v>0</v>
      </c>
      <c r="AH1914" s="75">
        <v>0</v>
      </c>
      <c r="AI1914" s="75">
        <v>0</v>
      </c>
      <c r="AJ1914" s="75">
        <v>0</v>
      </c>
      <c r="AK1914" s="75">
        <v>0</v>
      </c>
      <c r="AL1914" s="95">
        <v>1</v>
      </c>
      <c r="AM1914" s="92">
        <v>0</v>
      </c>
      <c r="AN1914" s="79" t="s">
        <v>80</v>
      </c>
      <c r="AO1914" s="75">
        <v>1</v>
      </c>
      <c r="AP1914" s="75" t="s">
        <v>83</v>
      </c>
      <c r="AQ1914" s="122">
        <v>1</v>
      </c>
      <c r="AR1914" s="515" t="s">
        <v>10</v>
      </c>
      <c r="AS1914" s="95">
        <v>0</v>
      </c>
      <c r="AT1914" s="75">
        <v>0</v>
      </c>
      <c r="AU1914" s="75">
        <v>0</v>
      </c>
      <c r="AV1914" s="75">
        <v>0</v>
      </c>
      <c r="AW1914" s="123">
        <v>0</v>
      </c>
      <c r="AX1914" s="516"/>
      <c r="AY1914" s="75">
        <v>0</v>
      </c>
      <c r="AZ1914" s="77" t="s">
        <v>131</v>
      </c>
      <c r="BA1914" s="78" t="s">
        <v>131</v>
      </c>
      <c r="BB1914" s="78" t="s">
        <v>131</v>
      </c>
      <c r="BC1914" s="78" t="s">
        <v>131</v>
      </c>
      <c r="BD1914" s="78" t="s">
        <v>131</v>
      </c>
      <c r="BE1914" s="78" t="s">
        <v>131</v>
      </c>
      <c r="BF1914" s="78" t="s">
        <v>131</v>
      </c>
      <c r="BG1914" s="78" t="s">
        <v>132</v>
      </c>
      <c r="BH1914" s="75" t="s">
        <v>5970</v>
      </c>
      <c r="BI1914" s="295" t="s">
        <v>2225</v>
      </c>
      <c r="BJ1914" s="546">
        <v>1</v>
      </c>
      <c r="BK1914" s="294" t="s">
        <v>16</v>
      </c>
      <c r="BL1914" s="157" t="s">
        <v>16</v>
      </c>
      <c r="BM1914" s="548" t="s">
        <v>2343</v>
      </c>
      <c r="BN1914" s="548" t="s">
        <v>4161</v>
      </c>
      <c r="BO1914" s="157" t="s">
        <v>4293</v>
      </c>
      <c r="BP1914" s="548" t="s">
        <v>2225</v>
      </c>
      <c r="BQ1914" s="157" t="s">
        <v>4292</v>
      </c>
      <c r="BR1914" s="157"/>
    </row>
    <row r="1915" spans="1:70" x14ac:dyDescent="0.25">
      <c r="A1915" s="19" t="s">
        <v>3686</v>
      </c>
      <c r="B1915" s="37" t="s">
        <v>922</v>
      </c>
      <c r="C1915" s="90">
        <v>44385.804155092592</v>
      </c>
      <c r="D1915" s="114">
        <v>44385.554155092592</v>
      </c>
      <c r="E1915" s="38">
        <v>44385</v>
      </c>
      <c r="F1915" s="91">
        <v>2021</v>
      </c>
      <c r="G1915" s="93">
        <v>7</v>
      </c>
      <c r="H1915" s="37" t="s">
        <v>621</v>
      </c>
      <c r="I1915" s="37" t="s">
        <v>146</v>
      </c>
      <c r="J1915" s="103">
        <v>-92.552077537488699</v>
      </c>
      <c r="K1915" s="40">
        <v>44.758270061616557</v>
      </c>
      <c r="L1915" s="74"/>
      <c r="M1915" s="272" t="s">
        <v>16</v>
      </c>
      <c r="N1915" s="74">
        <v>0</v>
      </c>
      <c r="O1915" s="94"/>
      <c r="P1915" s="118">
        <v>1</v>
      </c>
      <c r="Q1915" s="510">
        <v>180</v>
      </c>
      <c r="R1915" s="513">
        <v>180</v>
      </c>
      <c r="S1915" s="41"/>
      <c r="T1915" s="40"/>
      <c r="U1915" s="40">
        <v>8</v>
      </c>
      <c r="V1915" s="119">
        <v>1</v>
      </c>
      <c r="W1915" s="40">
        <v>0</v>
      </c>
      <c r="X1915" s="119">
        <v>1</v>
      </c>
      <c r="Y1915" s="40">
        <v>57</v>
      </c>
      <c r="Z1915" s="119">
        <v>1</v>
      </c>
      <c r="AA1915" s="368">
        <v>0</v>
      </c>
      <c r="AB1915" s="535">
        <v>2</v>
      </c>
      <c r="AC1915" s="39" t="s">
        <v>160</v>
      </c>
      <c r="AD1915" s="75" t="s">
        <v>16</v>
      </c>
      <c r="AE1915" s="95">
        <v>-1</v>
      </c>
      <c r="AF1915" s="75">
        <v>-1</v>
      </c>
      <c r="AG1915" s="75">
        <v>-1</v>
      </c>
      <c r="AH1915" s="75">
        <v>-1</v>
      </c>
      <c r="AI1915" s="75">
        <v>-1</v>
      </c>
      <c r="AJ1915" s="75">
        <v>-1</v>
      </c>
      <c r="AK1915" s="75">
        <v>-1</v>
      </c>
      <c r="AL1915" s="95">
        <v>-1</v>
      </c>
      <c r="AM1915" s="92">
        <v>1</v>
      </c>
      <c r="AN1915" s="79"/>
      <c r="AO1915" s="75">
        <v>0</v>
      </c>
      <c r="AP1915" s="75"/>
      <c r="AQ1915" s="122">
        <v>0</v>
      </c>
      <c r="AR1915" s="515" t="s">
        <v>16</v>
      </c>
      <c r="AS1915" s="95">
        <v>-1</v>
      </c>
      <c r="AT1915" s="75">
        <v>-1</v>
      </c>
      <c r="AU1915" s="75">
        <v>-1</v>
      </c>
      <c r="AV1915" s="75">
        <v>-1</v>
      </c>
      <c r="AW1915" s="123">
        <v>1</v>
      </c>
      <c r="AX1915" s="516"/>
      <c r="AY1915" s="75">
        <v>0</v>
      </c>
      <c r="AZ1915" s="77" t="s">
        <v>5971</v>
      </c>
      <c r="BA1915" s="78" t="s">
        <v>5971</v>
      </c>
      <c r="BB1915" s="78" t="s">
        <v>5971</v>
      </c>
      <c r="BC1915" s="78" t="s">
        <v>5971</v>
      </c>
      <c r="BD1915" s="78" t="s">
        <v>5971</v>
      </c>
      <c r="BE1915" s="78" t="s">
        <v>5971</v>
      </c>
      <c r="BF1915" s="78" t="s">
        <v>5971</v>
      </c>
      <c r="BG1915" s="78" t="s">
        <v>5971</v>
      </c>
      <c r="BH1915" s="75" t="s">
        <v>5971</v>
      </c>
      <c r="BI1915" s="295" t="s">
        <v>2236</v>
      </c>
      <c r="BJ1915" s="546">
        <v>1</v>
      </c>
      <c r="BK1915" s="294" t="s">
        <v>16</v>
      </c>
      <c r="BL1915" s="157" t="s">
        <v>16</v>
      </c>
      <c r="BM1915" s="548" t="s">
        <v>578</v>
      </c>
      <c r="BN1915" s="548" t="s">
        <v>4161</v>
      </c>
      <c r="BO1915" s="157" t="s">
        <v>4659</v>
      </c>
      <c r="BP1915" s="548" t="s">
        <v>4737</v>
      </c>
      <c r="BQ1915" s="157" t="s">
        <v>4657</v>
      </c>
      <c r="BR1915" s="157"/>
    </row>
    <row r="1916" spans="1:70" x14ac:dyDescent="0.25">
      <c r="A1916" s="19" t="s">
        <v>3686</v>
      </c>
      <c r="B1916" s="37" t="s">
        <v>921</v>
      </c>
      <c r="C1916" s="90">
        <v>44385.755902777775</v>
      </c>
      <c r="D1916" s="114">
        <v>44385.505902777775</v>
      </c>
      <c r="E1916" s="38">
        <v>44385</v>
      </c>
      <c r="F1916" s="91">
        <v>2021</v>
      </c>
      <c r="G1916" s="93">
        <v>7</v>
      </c>
      <c r="H1916" s="37" t="s">
        <v>611</v>
      </c>
      <c r="I1916" s="37"/>
      <c r="J1916" s="103">
        <v>-92.433436</v>
      </c>
      <c r="K1916" s="40">
        <v>44.291833099999998</v>
      </c>
      <c r="L1916" s="74"/>
      <c r="M1916" s="272" t="s">
        <v>16</v>
      </c>
      <c r="N1916" s="74">
        <v>0</v>
      </c>
      <c r="O1916" s="94"/>
      <c r="P1916" s="118">
        <v>1</v>
      </c>
      <c r="Q1916" s="510">
        <v>0</v>
      </c>
      <c r="R1916" s="513">
        <v>60</v>
      </c>
      <c r="S1916" s="41"/>
      <c r="T1916" s="40"/>
      <c r="U1916" s="40">
        <v>7</v>
      </c>
      <c r="V1916" s="119">
        <v>1</v>
      </c>
      <c r="W1916" s="40">
        <v>100</v>
      </c>
      <c r="X1916" s="119">
        <v>1</v>
      </c>
      <c r="Y1916" s="40">
        <v>52</v>
      </c>
      <c r="Z1916" s="119">
        <v>0</v>
      </c>
      <c r="AA1916" s="368" t="s">
        <v>16</v>
      </c>
      <c r="AB1916" s="535" t="s">
        <v>16</v>
      </c>
      <c r="AC1916" s="39" t="s">
        <v>160</v>
      </c>
      <c r="AD1916" s="75" t="s">
        <v>10</v>
      </c>
      <c r="AE1916" s="95">
        <v>0</v>
      </c>
      <c r="AF1916" s="75">
        <v>0</v>
      </c>
      <c r="AG1916" s="75">
        <v>0</v>
      </c>
      <c r="AH1916" s="75">
        <v>0</v>
      </c>
      <c r="AI1916" s="75">
        <v>0</v>
      </c>
      <c r="AJ1916" s="75">
        <v>0</v>
      </c>
      <c r="AK1916" s="75">
        <v>0</v>
      </c>
      <c r="AL1916" s="95">
        <v>1</v>
      </c>
      <c r="AM1916" s="92">
        <v>0</v>
      </c>
      <c r="AN1916" s="79" t="s">
        <v>81</v>
      </c>
      <c r="AO1916" s="75">
        <v>1</v>
      </c>
      <c r="AP1916" s="75" t="s">
        <v>84</v>
      </c>
      <c r="AQ1916" s="122">
        <v>1</v>
      </c>
      <c r="AR1916" s="515" t="s">
        <v>13</v>
      </c>
      <c r="AS1916" s="95">
        <v>1</v>
      </c>
      <c r="AT1916" s="75">
        <v>0</v>
      </c>
      <c r="AU1916" s="75">
        <v>0</v>
      </c>
      <c r="AV1916" s="75">
        <v>0</v>
      </c>
      <c r="AW1916" s="123">
        <v>0</v>
      </c>
      <c r="AX1916" s="516"/>
      <c r="AY1916" s="75">
        <v>0</v>
      </c>
      <c r="AZ1916" s="77" t="s">
        <v>131</v>
      </c>
      <c r="BA1916" s="78" t="s">
        <v>131</v>
      </c>
      <c r="BB1916" s="78" t="s">
        <v>131</v>
      </c>
      <c r="BC1916" s="78" t="s">
        <v>131</v>
      </c>
      <c r="BD1916" s="78" t="s">
        <v>131</v>
      </c>
      <c r="BE1916" s="78" t="s">
        <v>131</v>
      </c>
      <c r="BF1916" s="78" t="s">
        <v>131</v>
      </c>
      <c r="BG1916" s="78" t="s">
        <v>132</v>
      </c>
      <c r="BH1916" s="75" t="s">
        <v>5970</v>
      </c>
      <c r="BI1916" s="295" t="s">
        <v>2234</v>
      </c>
      <c r="BJ1916" s="546">
        <v>1</v>
      </c>
      <c r="BK1916" s="294">
        <v>1</v>
      </c>
      <c r="BL1916" s="157">
        <v>1</v>
      </c>
      <c r="BM1916" s="548" t="s">
        <v>1339</v>
      </c>
      <c r="BN1916" s="548" t="s">
        <v>1339</v>
      </c>
      <c r="BO1916" s="157" t="s">
        <v>4331</v>
      </c>
      <c r="BP1916" s="548" t="s">
        <v>2234</v>
      </c>
      <c r="BQ1916" s="157" t="s">
        <v>4330</v>
      </c>
      <c r="BR1916" s="157"/>
    </row>
    <row r="1917" spans="1:70" x14ac:dyDescent="0.25">
      <c r="A1917" s="19" t="s">
        <v>3686</v>
      </c>
      <c r="B1917" s="37" t="s">
        <v>919</v>
      </c>
      <c r="C1917" s="90">
        <v>44384.896481481483</v>
      </c>
      <c r="D1917" s="114">
        <v>44384.646481481483</v>
      </c>
      <c r="E1917" s="38">
        <v>44384</v>
      </c>
      <c r="F1917" s="91">
        <v>2021</v>
      </c>
      <c r="G1917" s="93">
        <v>7</v>
      </c>
      <c r="H1917" s="37" t="s">
        <v>205</v>
      </c>
      <c r="I1917" s="37" t="s">
        <v>368</v>
      </c>
      <c r="J1917" s="103">
        <v>-92.331506772210474</v>
      </c>
      <c r="K1917" s="40">
        <v>44.746232934197401</v>
      </c>
      <c r="L1917" s="74"/>
      <c r="M1917" s="272" t="s">
        <v>920</v>
      </c>
      <c r="N1917" s="74">
        <v>1</v>
      </c>
      <c r="O1917" s="94"/>
      <c r="P1917" s="118">
        <v>1</v>
      </c>
      <c r="Q1917" s="510">
        <v>180</v>
      </c>
      <c r="R1917" s="513">
        <v>180</v>
      </c>
      <c r="S1917" s="41"/>
      <c r="T1917" s="40"/>
      <c r="U1917" s="40">
        <v>7.5</v>
      </c>
      <c r="V1917" s="119">
        <v>1</v>
      </c>
      <c r="W1917" s="40">
        <v>0</v>
      </c>
      <c r="X1917" s="119">
        <v>1</v>
      </c>
      <c r="Y1917" s="40">
        <v>60</v>
      </c>
      <c r="Z1917" s="119">
        <v>1</v>
      </c>
      <c r="AA1917" s="368">
        <v>0</v>
      </c>
      <c r="AB1917" s="535">
        <v>5</v>
      </c>
      <c r="AC1917" s="39" t="s">
        <v>160</v>
      </c>
      <c r="AD1917" s="75" t="s">
        <v>10</v>
      </c>
      <c r="AE1917" s="95">
        <v>0</v>
      </c>
      <c r="AF1917" s="75">
        <v>0</v>
      </c>
      <c r="AG1917" s="75">
        <v>0</v>
      </c>
      <c r="AH1917" s="75">
        <v>0</v>
      </c>
      <c r="AI1917" s="75">
        <v>0</v>
      </c>
      <c r="AJ1917" s="75">
        <v>0</v>
      </c>
      <c r="AK1917" s="75">
        <v>0</v>
      </c>
      <c r="AL1917" s="95">
        <v>1</v>
      </c>
      <c r="AM1917" s="92">
        <v>0</v>
      </c>
      <c r="AN1917" s="79" t="s">
        <v>80</v>
      </c>
      <c r="AO1917" s="75">
        <v>1</v>
      </c>
      <c r="AP1917" s="75" t="s">
        <v>83</v>
      </c>
      <c r="AQ1917" s="122">
        <v>1</v>
      </c>
      <c r="AR1917" s="515" t="s">
        <v>10</v>
      </c>
      <c r="AS1917" s="95">
        <v>0</v>
      </c>
      <c r="AT1917" s="75">
        <v>0</v>
      </c>
      <c r="AU1917" s="75">
        <v>0</v>
      </c>
      <c r="AV1917" s="75">
        <v>0</v>
      </c>
      <c r="AW1917" s="123">
        <v>0</v>
      </c>
      <c r="AX1917" s="516"/>
      <c r="AY1917" s="75">
        <v>0</v>
      </c>
      <c r="AZ1917" s="77" t="s">
        <v>131</v>
      </c>
      <c r="BA1917" s="78" t="s">
        <v>131</v>
      </c>
      <c r="BB1917" s="78" t="s">
        <v>131</v>
      </c>
      <c r="BC1917" s="78" t="s">
        <v>131</v>
      </c>
      <c r="BD1917" s="78" t="s">
        <v>131</v>
      </c>
      <c r="BE1917" s="78" t="s">
        <v>131</v>
      </c>
      <c r="BF1917" s="78" t="s">
        <v>131</v>
      </c>
      <c r="BG1917" s="78" t="s">
        <v>132</v>
      </c>
      <c r="BH1917" s="75" t="s">
        <v>5970</v>
      </c>
      <c r="BI1917" s="295" t="s">
        <v>2231</v>
      </c>
      <c r="BJ1917" s="546">
        <v>1</v>
      </c>
      <c r="BK1917" s="294">
        <v>1</v>
      </c>
      <c r="BL1917" s="157">
        <v>1</v>
      </c>
      <c r="BM1917" s="548" t="s">
        <v>578</v>
      </c>
      <c r="BN1917" s="548" t="s">
        <v>578</v>
      </c>
      <c r="BO1917" s="157" t="s">
        <v>4213</v>
      </c>
      <c r="BP1917" s="548" t="s">
        <v>4216</v>
      </c>
      <c r="BQ1917" s="157" t="s">
        <v>4212</v>
      </c>
      <c r="BR1917" s="157"/>
    </row>
    <row r="1918" spans="1:70" x14ac:dyDescent="0.25">
      <c r="A1918" s="19" t="s">
        <v>3686</v>
      </c>
      <c r="B1918" s="37" t="s">
        <v>918</v>
      </c>
      <c r="C1918" s="90">
        <v>44384.710532407407</v>
      </c>
      <c r="D1918" s="114">
        <v>44384.460532407407</v>
      </c>
      <c r="E1918" s="38">
        <v>44384</v>
      </c>
      <c r="F1918" s="91">
        <v>2021</v>
      </c>
      <c r="G1918" s="93">
        <v>7</v>
      </c>
      <c r="H1918" s="37" t="s">
        <v>379</v>
      </c>
      <c r="I1918" s="37" t="s">
        <v>642</v>
      </c>
      <c r="J1918" s="103">
        <v>-92.583529425929697</v>
      </c>
      <c r="K1918" s="40">
        <v>44.848815431473902</v>
      </c>
      <c r="L1918" s="74"/>
      <c r="M1918" s="272" t="s">
        <v>16</v>
      </c>
      <c r="N1918" s="74">
        <v>0</v>
      </c>
      <c r="O1918" s="94"/>
      <c r="P1918" s="118">
        <v>1</v>
      </c>
      <c r="Q1918" s="510">
        <v>180</v>
      </c>
      <c r="R1918" s="513">
        <v>180</v>
      </c>
      <c r="S1918" s="41"/>
      <c r="T1918" s="40"/>
      <c r="U1918" s="40">
        <v>8</v>
      </c>
      <c r="V1918" s="119">
        <v>1</v>
      </c>
      <c r="W1918" s="40">
        <v>0</v>
      </c>
      <c r="X1918" s="119">
        <v>1</v>
      </c>
      <c r="Y1918" s="40">
        <v>53</v>
      </c>
      <c r="Z1918" s="119">
        <v>1</v>
      </c>
      <c r="AA1918" s="368">
        <v>0</v>
      </c>
      <c r="AB1918" s="535">
        <v>2</v>
      </c>
      <c r="AC1918" s="39" t="s">
        <v>160</v>
      </c>
      <c r="AD1918" s="75" t="s">
        <v>16</v>
      </c>
      <c r="AE1918" s="95">
        <v>-1</v>
      </c>
      <c r="AF1918" s="75">
        <v>-1</v>
      </c>
      <c r="AG1918" s="75">
        <v>-1</v>
      </c>
      <c r="AH1918" s="75">
        <v>-1</v>
      </c>
      <c r="AI1918" s="75">
        <v>-1</v>
      </c>
      <c r="AJ1918" s="75">
        <v>-1</v>
      </c>
      <c r="AK1918" s="75">
        <v>-1</v>
      </c>
      <c r="AL1918" s="95">
        <v>-1</v>
      </c>
      <c r="AM1918" s="92">
        <v>1</v>
      </c>
      <c r="AN1918" s="79" t="s">
        <v>195</v>
      </c>
      <c r="AO1918" s="75">
        <v>1</v>
      </c>
      <c r="AP1918" s="75" t="s">
        <v>84</v>
      </c>
      <c r="AQ1918" s="122">
        <v>1</v>
      </c>
      <c r="AR1918" s="515" t="s">
        <v>13</v>
      </c>
      <c r="AS1918" s="95">
        <v>1</v>
      </c>
      <c r="AT1918" s="75">
        <v>0</v>
      </c>
      <c r="AU1918" s="75">
        <v>0</v>
      </c>
      <c r="AV1918" s="75">
        <v>0</v>
      </c>
      <c r="AW1918" s="123">
        <v>0</v>
      </c>
      <c r="AX1918" s="516"/>
      <c r="AY1918" s="75">
        <v>0</v>
      </c>
      <c r="AZ1918" s="77" t="s">
        <v>5971</v>
      </c>
      <c r="BA1918" s="78" t="s">
        <v>5971</v>
      </c>
      <c r="BB1918" s="78" t="s">
        <v>5971</v>
      </c>
      <c r="BC1918" s="78" t="s">
        <v>5971</v>
      </c>
      <c r="BD1918" s="78" t="s">
        <v>5971</v>
      </c>
      <c r="BE1918" s="78" t="s">
        <v>5971</v>
      </c>
      <c r="BF1918" s="78" t="s">
        <v>5971</v>
      </c>
      <c r="BG1918" s="78" t="s">
        <v>5971</v>
      </c>
      <c r="BH1918" s="75" t="s">
        <v>5971</v>
      </c>
      <c r="BI1918" s="295" t="s">
        <v>2226</v>
      </c>
      <c r="BJ1918" s="546">
        <v>1</v>
      </c>
      <c r="BK1918" s="294">
        <v>1</v>
      </c>
      <c r="BL1918" s="157">
        <v>1</v>
      </c>
      <c r="BM1918" s="548" t="s">
        <v>578</v>
      </c>
      <c r="BN1918" s="548" t="s">
        <v>578</v>
      </c>
      <c r="BO1918" s="157" t="s">
        <v>4310</v>
      </c>
      <c r="BP1918" s="548" t="s">
        <v>2226</v>
      </c>
      <c r="BQ1918" s="157" t="s">
        <v>4309</v>
      </c>
      <c r="BR1918" s="157"/>
    </row>
    <row r="1919" spans="1:70" x14ac:dyDescent="0.25">
      <c r="A1919" s="19" t="s">
        <v>3686</v>
      </c>
      <c r="B1919" s="37" t="s">
        <v>917</v>
      </c>
      <c r="C1919" s="90">
        <v>44384.680162037039</v>
      </c>
      <c r="D1919" s="114">
        <v>44384.430162037039</v>
      </c>
      <c r="E1919" s="38">
        <v>44384</v>
      </c>
      <c r="F1919" s="91">
        <v>2021</v>
      </c>
      <c r="G1919" s="93">
        <v>7</v>
      </c>
      <c r="H1919" s="37" t="s">
        <v>618</v>
      </c>
      <c r="I1919" s="37" t="s">
        <v>753</v>
      </c>
      <c r="J1919" s="103">
        <v>-92.802214199999995</v>
      </c>
      <c r="K1919" s="40">
        <v>44.543047000000001</v>
      </c>
      <c r="L1919" s="74"/>
      <c r="M1919" s="272" t="s">
        <v>16</v>
      </c>
      <c r="N1919" s="74">
        <v>0</v>
      </c>
      <c r="O1919" s="94"/>
      <c r="P1919" s="118">
        <v>1</v>
      </c>
      <c r="Q1919" s="510">
        <v>80</v>
      </c>
      <c r="R1919" s="513">
        <v>180</v>
      </c>
      <c r="S1919" s="41"/>
      <c r="T1919" s="40"/>
      <c r="U1919" s="40">
        <v>7.5</v>
      </c>
      <c r="V1919" s="119">
        <v>1</v>
      </c>
      <c r="W1919" s="40">
        <v>100</v>
      </c>
      <c r="X1919" s="119">
        <v>1</v>
      </c>
      <c r="Y1919" s="40">
        <v>54</v>
      </c>
      <c r="Z1919" s="119">
        <v>1</v>
      </c>
      <c r="AA1919" s="368">
        <v>0</v>
      </c>
      <c r="AB1919" s="535">
        <v>10</v>
      </c>
      <c r="AC1919" s="39" t="s">
        <v>160</v>
      </c>
      <c r="AD1919" s="75" t="s">
        <v>10</v>
      </c>
      <c r="AE1919" s="95">
        <v>0</v>
      </c>
      <c r="AF1919" s="75">
        <v>0</v>
      </c>
      <c r="AG1919" s="75">
        <v>0</v>
      </c>
      <c r="AH1919" s="75">
        <v>0</v>
      </c>
      <c r="AI1919" s="75">
        <v>0</v>
      </c>
      <c r="AJ1919" s="75">
        <v>0</v>
      </c>
      <c r="AK1919" s="75">
        <v>0</v>
      </c>
      <c r="AL1919" s="95">
        <v>1</v>
      </c>
      <c r="AM1919" s="92">
        <v>0</v>
      </c>
      <c r="AN1919" s="79" t="s">
        <v>81</v>
      </c>
      <c r="AO1919" s="75">
        <v>1</v>
      </c>
      <c r="AP1919" s="75" t="s">
        <v>83</v>
      </c>
      <c r="AQ1919" s="122">
        <v>1</v>
      </c>
      <c r="AR1919" s="515" t="s">
        <v>10</v>
      </c>
      <c r="AS1919" s="95">
        <v>0</v>
      </c>
      <c r="AT1919" s="75">
        <v>0</v>
      </c>
      <c r="AU1919" s="75">
        <v>0</v>
      </c>
      <c r="AV1919" s="75">
        <v>0</v>
      </c>
      <c r="AW1919" s="123">
        <v>0</v>
      </c>
      <c r="AX1919" s="516"/>
      <c r="AY1919" s="75">
        <v>0</v>
      </c>
      <c r="AZ1919" s="77" t="s">
        <v>131</v>
      </c>
      <c r="BA1919" s="78" t="s">
        <v>131</v>
      </c>
      <c r="BB1919" s="78" t="s">
        <v>131</v>
      </c>
      <c r="BC1919" s="78" t="s">
        <v>131</v>
      </c>
      <c r="BD1919" s="78" t="s">
        <v>131</v>
      </c>
      <c r="BE1919" s="78" t="s">
        <v>131</v>
      </c>
      <c r="BF1919" s="78" t="s">
        <v>131</v>
      </c>
      <c r="BG1919" s="78" t="s">
        <v>132</v>
      </c>
      <c r="BH1919" s="75" t="s">
        <v>5970</v>
      </c>
      <c r="BI1919" s="295" t="s">
        <v>2224</v>
      </c>
      <c r="BJ1919" s="546">
        <v>1</v>
      </c>
      <c r="BK1919" s="294">
        <v>1</v>
      </c>
      <c r="BL1919" s="157">
        <v>1</v>
      </c>
      <c r="BM1919" s="548" t="s">
        <v>2343</v>
      </c>
      <c r="BN1919" s="548" t="s">
        <v>4161</v>
      </c>
      <c r="BO1919" s="157" t="s">
        <v>4510</v>
      </c>
      <c r="BP1919" s="548" t="s">
        <v>753</v>
      </c>
      <c r="BQ1919" s="157" t="s">
        <v>4389</v>
      </c>
      <c r="BR1919" s="157"/>
    </row>
    <row r="1920" spans="1:70" x14ac:dyDescent="0.25">
      <c r="A1920" s="19" t="s">
        <v>3686</v>
      </c>
      <c r="B1920" s="37" t="s">
        <v>916</v>
      </c>
      <c r="C1920" s="90">
        <v>44383.627997685187</v>
      </c>
      <c r="D1920" s="114">
        <v>44383.377997685187</v>
      </c>
      <c r="E1920" s="38">
        <v>44383</v>
      </c>
      <c r="F1920" s="91">
        <v>2021</v>
      </c>
      <c r="G1920" s="93">
        <v>7</v>
      </c>
      <c r="H1920" s="37" t="s">
        <v>603</v>
      </c>
      <c r="I1920" s="37" t="s">
        <v>753</v>
      </c>
      <c r="J1920" s="103">
        <v>-92.802849199999997</v>
      </c>
      <c r="K1920" s="40">
        <v>44.543062999999997</v>
      </c>
      <c r="L1920" s="74"/>
      <c r="M1920" s="272" t="s">
        <v>16</v>
      </c>
      <c r="N1920" s="74">
        <v>0</v>
      </c>
      <c r="O1920" s="94"/>
      <c r="P1920" s="118">
        <v>1</v>
      </c>
      <c r="Q1920" s="510">
        <v>120</v>
      </c>
      <c r="R1920" s="513">
        <v>120</v>
      </c>
      <c r="S1920" s="41"/>
      <c r="T1920" s="40"/>
      <c r="U1920" s="40">
        <v>7.5</v>
      </c>
      <c r="V1920" s="119">
        <v>1</v>
      </c>
      <c r="W1920" s="40">
        <v>200</v>
      </c>
      <c r="X1920" s="119">
        <v>1</v>
      </c>
      <c r="Y1920" s="40">
        <v>54</v>
      </c>
      <c r="Z1920" s="119">
        <v>1</v>
      </c>
      <c r="AA1920" s="368">
        <v>0</v>
      </c>
      <c r="AB1920" s="535">
        <v>10</v>
      </c>
      <c r="AC1920" s="39" t="s">
        <v>160</v>
      </c>
      <c r="AD1920" s="75" t="s">
        <v>16</v>
      </c>
      <c r="AE1920" s="95">
        <v>-1</v>
      </c>
      <c r="AF1920" s="75">
        <v>-1</v>
      </c>
      <c r="AG1920" s="75">
        <v>-1</v>
      </c>
      <c r="AH1920" s="75">
        <v>-1</v>
      </c>
      <c r="AI1920" s="75">
        <v>-1</v>
      </c>
      <c r="AJ1920" s="75">
        <v>-1</v>
      </c>
      <c r="AK1920" s="75">
        <v>-1</v>
      </c>
      <c r="AL1920" s="95">
        <v>-1</v>
      </c>
      <c r="AM1920" s="92">
        <v>1</v>
      </c>
      <c r="AN1920" s="79" t="s">
        <v>80</v>
      </c>
      <c r="AO1920" s="75">
        <v>1</v>
      </c>
      <c r="AP1920" s="75" t="s">
        <v>83</v>
      </c>
      <c r="AQ1920" s="122">
        <v>1</v>
      </c>
      <c r="AR1920" s="515" t="s">
        <v>13</v>
      </c>
      <c r="AS1920" s="95">
        <v>1</v>
      </c>
      <c r="AT1920" s="75">
        <v>0</v>
      </c>
      <c r="AU1920" s="75">
        <v>0</v>
      </c>
      <c r="AV1920" s="75">
        <v>0</v>
      </c>
      <c r="AW1920" s="123">
        <v>0</v>
      </c>
      <c r="AX1920" s="516"/>
      <c r="AY1920" s="75">
        <v>0</v>
      </c>
      <c r="AZ1920" s="77" t="s">
        <v>5971</v>
      </c>
      <c r="BA1920" s="78" t="s">
        <v>5971</v>
      </c>
      <c r="BB1920" s="78" t="s">
        <v>5971</v>
      </c>
      <c r="BC1920" s="78" t="s">
        <v>5971</v>
      </c>
      <c r="BD1920" s="78" t="s">
        <v>5971</v>
      </c>
      <c r="BE1920" s="78" t="s">
        <v>5971</v>
      </c>
      <c r="BF1920" s="78" t="s">
        <v>5971</v>
      </c>
      <c r="BG1920" s="78" t="s">
        <v>5971</v>
      </c>
      <c r="BH1920" s="75" t="s">
        <v>5971</v>
      </c>
      <c r="BI1920" s="295" t="s">
        <v>2224</v>
      </c>
      <c r="BJ1920" s="546">
        <v>1</v>
      </c>
      <c r="BK1920" s="294">
        <v>1</v>
      </c>
      <c r="BL1920" s="157">
        <v>1</v>
      </c>
      <c r="BM1920" s="548" t="s">
        <v>2343</v>
      </c>
      <c r="BN1920" s="548" t="s">
        <v>4161</v>
      </c>
      <c r="BO1920" s="157" t="s">
        <v>4510</v>
      </c>
      <c r="BP1920" s="548" t="s">
        <v>753</v>
      </c>
      <c r="BQ1920" s="157" t="s">
        <v>4389</v>
      </c>
      <c r="BR1920" s="157"/>
    </row>
    <row r="1921" spans="1:70" x14ac:dyDescent="0.25">
      <c r="A1921" s="19" t="s">
        <v>3686</v>
      </c>
      <c r="B1921" s="37" t="s">
        <v>915</v>
      </c>
      <c r="C1921" s="90">
        <v>44383.627847222226</v>
      </c>
      <c r="D1921" s="114">
        <v>44383.377847222226</v>
      </c>
      <c r="E1921" s="38">
        <v>44383</v>
      </c>
      <c r="F1921" s="91">
        <v>2021</v>
      </c>
      <c r="G1921" s="93">
        <v>7</v>
      </c>
      <c r="H1921" s="37" t="s">
        <v>603</v>
      </c>
      <c r="I1921" s="37" t="s">
        <v>753</v>
      </c>
      <c r="J1921" s="103">
        <v>-92.802371500000007</v>
      </c>
      <c r="K1921" s="40">
        <v>44.543123199999997</v>
      </c>
      <c r="L1921" s="74"/>
      <c r="M1921" s="272" t="s">
        <v>16</v>
      </c>
      <c r="N1921" s="74">
        <v>0</v>
      </c>
      <c r="O1921" s="94"/>
      <c r="P1921" s="118">
        <v>1</v>
      </c>
      <c r="Q1921" s="510">
        <v>120</v>
      </c>
      <c r="R1921" s="513">
        <v>120</v>
      </c>
      <c r="S1921" s="41"/>
      <c r="T1921" s="40"/>
      <c r="U1921" s="40">
        <v>7.5</v>
      </c>
      <c r="V1921" s="119">
        <v>1</v>
      </c>
      <c r="W1921" s="40">
        <v>200</v>
      </c>
      <c r="X1921" s="119">
        <v>1</v>
      </c>
      <c r="Y1921" s="40">
        <v>54</v>
      </c>
      <c r="Z1921" s="119">
        <v>1</v>
      </c>
      <c r="AA1921" s="368">
        <v>0</v>
      </c>
      <c r="AB1921" s="535">
        <v>10</v>
      </c>
      <c r="AC1921" s="39" t="s">
        <v>160</v>
      </c>
      <c r="AD1921" s="75" t="s">
        <v>16</v>
      </c>
      <c r="AE1921" s="95">
        <v>-1</v>
      </c>
      <c r="AF1921" s="75">
        <v>-1</v>
      </c>
      <c r="AG1921" s="75">
        <v>-1</v>
      </c>
      <c r="AH1921" s="75">
        <v>-1</v>
      </c>
      <c r="AI1921" s="75">
        <v>-1</v>
      </c>
      <c r="AJ1921" s="75">
        <v>-1</v>
      </c>
      <c r="AK1921" s="75">
        <v>-1</v>
      </c>
      <c r="AL1921" s="95">
        <v>-1</v>
      </c>
      <c r="AM1921" s="92">
        <v>1</v>
      </c>
      <c r="AN1921" s="79" t="s">
        <v>80</v>
      </c>
      <c r="AO1921" s="75">
        <v>1</v>
      </c>
      <c r="AP1921" s="75" t="s">
        <v>83</v>
      </c>
      <c r="AQ1921" s="122">
        <v>1</v>
      </c>
      <c r="AR1921" s="515" t="s">
        <v>35</v>
      </c>
      <c r="AS1921" s="95">
        <v>0</v>
      </c>
      <c r="AT1921" s="75">
        <v>1</v>
      </c>
      <c r="AU1921" s="75">
        <v>0</v>
      </c>
      <c r="AV1921" s="75">
        <v>0</v>
      </c>
      <c r="AW1921" s="123">
        <v>0</v>
      </c>
      <c r="AX1921" s="516"/>
      <c r="AY1921" s="75">
        <v>0</v>
      </c>
      <c r="AZ1921" s="77" t="s">
        <v>5971</v>
      </c>
      <c r="BA1921" s="78" t="s">
        <v>5971</v>
      </c>
      <c r="BB1921" s="78" t="s">
        <v>5971</v>
      </c>
      <c r="BC1921" s="78" t="s">
        <v>5971</v>
      </c>
      <c r="BD1921" s="78" t="s">
        <v>5971</v>
      </c>
      <c r="BE1921" s="78" t="s">
        <v>5971</v>
      </c>
      <c r="BF1921" s="78" t="s">
        <v>5971</v>
      </c>
      <c r="BG1921" s="78" t="s">
        <v>5971</v>
      </c>
      <c r="BH1921" s="75" t="s">
        <v>5971</v>
      </c>
      <c r="BI1921" s="295" t="s">
        <v>2224</v>
      </c>
      <c r="BJ1921" s="546">
        <v>1</v>
      </c>
      <c r="BK1921" s="294">
        <v>1</v>
      </c>
      <c r="BL1921" s="157">
        <v>1</v>
      </c>
      <c r="BM1921" s="548" t="s">
        <v>2343</v>
      </c>
      <c r="BN1921" s="548" t="s">
        <v>4161</v>
      </c>
      <c r="BO1921" s="157" t="s">
        <v>4510</v>
      </c>
      <c r="BP1921" s="548" t="s">
        <v>753</v>
      </c>
      <c r="BQ1921" s="157" t="s">
        <v>4389</v>
      </c>
      <c r="BR1921" s="157"/>
    </row>
    <row r="1922" spans="1:70" x14ac:dyDescent="0.25">
      <c r="A1922" s="19" t="s">
        <v>3686</v>
      </c>
      <c r="B1922" s="37" t="s">
        <v>914</v>
      </c>
      <c r="C1922" s="90">
        <v>44379.831967592596</v>
      </c>
      <c r="D1922" s="114">
        <v>44379.581967592596</v>
      </c>
      <c r="E1922" s="38">
        <v>44379</v>
      </c>
      <c r="F1922" s="91">
        <v>2021</v>
      </c>
      <c r="G1922" s="93">
        <v>7</v>
      </c>
      <c r="H1922" s="37" t="s">
        <v>594</v>
      </c>
      <c r="I1922" s="37"/>
      <c r="J1922" s="103">
        <v>-90.990052756860081</v>
      </c>
      <c r="K1922" s="40">
        <v>43.712029123728897</v>
      </c>
      <c r="L1922" s="74"/>
      <c r="M1922" s="272" t="s">
        <v>16</v>
      </c>
      <c r="N1922" s="74">
        <v>0</v>
      </c>
      <c r="O1922" s="94"/>
      <c r="P1922" s="118">
        <v>1</v>
      </c>
      <c r="Q1922" s="510">
        <v>180</v>
      </c>
      <c r="R1922" s="513">
        <v>180</v>
      </c>
      <c r="S1922" s="41"/>
      <c r="T1922" s="40"/>
      <c r="U1922" s="40">
        <v>9</v>
      </c>
      <c r="V1922" s="119">
        <v>1</v>
      </c>
      <c r="W1922" s="40">
        <v>0</v>
      </c>
      <c r="X1922" s="119">
        <v>1</v>
      </c>
      <c r="Y1922" s="40">
        <v>69</v>
      </c>
      <c r="Z1922" s="119">
        <v>0</v>
      </c>
      <c r="AA1922" s="368" t="s">
        <v>16</v>
      </c>
      <c r="AB1922" s="535" t="s">
        <v>16</v>
      </c>
      <c r="AC1922" s="39" t="s">
        <v>160</v>
      </c>
      <c r="AD1922" s="75" t="s">
        <v>16</v>
      </c>
      <c r="AE1922" s="95">
        <v>-1</v>
      </c>
      <c r="AF1922" s="75">
        <v>-1</v>
      </c>
      <c r="AG1922" s="75">
        <v>-1</v>
      </c>
      <c r="AH1922" s="75">
        <v>-1</v>
      </c>
      <c r="AI1922" s="75">
        <v>-1</v>
      </c>
      <c r="AJ1922" s="75">
        <v>-1</v>
      </c>
      <c r="AK1922" s="75">
        <v>-1</v>
      </c>
      <c r="AL1922" s="95">
        <v>-1</v>
      </c>
      <c r="AM1922" s="92">
        <v>1</v>
      </c>
      <c r="AN1922" s="79"/>
      <c r="AO1922" s="75">
        <v>0</v>
      </c>
      <c r="AP1922" s="75"/>
      <c r="AQ1922" s="122">
        <v>0</v>
      </c>
      <c r="AR1922" s="515" t="s">
        <v>16</v>
      </c>
      <c r="AS1922" s="95">
        <v>-1</v>
      </c>
      <c r="AT1922" s="75">
        <v>-1</v>
      </c>
      <c r="AU1922" s="75">
        <v>-1</v>
      </c>
      <c r="AV1922" s="75">
        <v>-1</v>
      </c>
      <c r="AW1922" s="123">
        <v>1</v>
      </c>
      <c r="AX1922" s="516"/>
      <c r="AY1922" s="75">
        <v>0</v>
      </c>
      <c r="AZ1922" s="77" t="s">
        <v>5971</v>
      </c>
      <c r="BA1922" s="78" t="s">
        <v>5971</v>
      </c>
      <c r="BB1922" s="78" t="s">
        <v>5971</v>
      </c>
      <c r="BC1922" s="78" t="s">
        <v>5971</v>
      </c>
      <c r="BD1922" s="78" t="s">
        <v>5971</v>
      </c>
      <c r="BE1922" s="78" t="s">
        <v>5971</v>
      </c>
      <c r="BF1922" s="78" t="s">
        <v>5971</v>
      </c>
      <c r="BG1922" s="78" t="s">
        <v>5971</v>
      </c>
      <c r="BH1922" s="75" t="s">
        <v>5971</v>
      </c>
      <c r="BI1922" s="295" t="s">
        <v>2293</v>
      </c>
      <c r="BJ1922" s="546">
        <v>1</v>
      </c>
      <c r="BK1922" s="294">
        <v>1</v>
      </c>
      <c r="BL1922" s="157">
        <v>1</v>
      </c>
      <c r="BM1922" s="548" t="s">
        <v>1342</v>
      </c>
      <c r="BN1922" s="548" t="s">
        <v>5969</v>
      </c>
      <c r="BO1922" s="157" t="s">
        <v>4385</v>
      </c>
      <c r="BP1922" s="548" t="s">
        <v>4414</v>
      </c>
      <c r="BQ1922" s="157" t="s">
        <v>4383</v>
      </c>
      <c r="BR1922" s="157"/>
    </row>
    <row r="1923" spans="1:70" x14ac:dyDescent="0.25">
      <c r="A1923" s="19" t="s">
        <v>3686</v>
      </c>
      <c r="B1923" s="37" t="s">
        <v>913</v>
      </c>
      <c r="C1923" s="90">
        <v>44379.628784722219</v>
      </c>
      <c r="D1923" s="114">
        <v>44379.378784722219</v>
      </c>
      <c r="E1923" s="38">
        <v>44379</v>
      </c>
      <c r="F1923" s="91">
        <v>2021</v>
      </c>
      <c r="G1923" s="93">
        <v>7</v>
      </c>
      <c r="H1923" s="37" t="s">
        <v>594</v>
      </c>
      <c r="I1923" s="37" t="s">
        <v>16</v>
      </c>
      <c r="J1923" s="103">
        <v>-90.959732869295522</v>
      </c>
      <c r="K1923" s="40">
        <v>43.544094858876797</v>
      </c>
      <c r="L1923" s="74"/>
      <c r="M1923" s="272" t="s">
        <v>16</v>
      </c>
      <c r="N1923" s="74">
        <v>0</v>
      </c>
      <c r="O1923" s="94"/>
      <c r="P1923" s="118">
        <v>1</v>
      </c>
      <c r="Q1923" s="510">
        <v>180</v>
      </c>
      <c r="R1923" s="513">
        <v>180</v>
      </c>
      <c r="S1923" s="41"/>
      <c r="T1923" s="40"/>
      <c r="U1923" s="40">
        <v>7.5</v>
      </c>
      <c r="V1923" s="119">
        <v>1</v>
      </c>
      <c r="W1923" s="40">
        <v>0</v>
      </c>
      <c r="X1923" s="119">
        <v>1</v>
      </c>
      <c r="Y1923" s="40">
        <v>31</v>
      </c>
      <c r="Z1923" s="119">
        <v>1</v>
      </c>
      <c r="AA1923" s="368">
        <v>0</v>
      </c>
      <c r="AB1923" s="535">
        <v>0</v>
      </c>
      <c r="AC1923" s="39" t="s">
        <v>160</v>
      </c>
      <c r="AD1923" s="75" t="s">
        <v>16</v>
      </c>
      <c r="AE1923" s="95">
        <v>-1</v>
      </c>
      <c r="AF1923" s="75">
        <v>-1</v>
      </c>
      <c r="AG1923" s="75">
        <v>-1</v>
      </c>
      <c r="AH1923" s="75">
        <v>-1</v>
      </c>
      <c r="AI1923" s="75">
        <v>-1</v>
      </c>
      <c r="AJ1923" s="75">
        <v>-1</v>
      </c>
      <c r="AK1923" s="75">
        <v>-1</v>
      </c>
      <c r="AL1923" s="95">
        <v>-1</v>
      </c>
      <c r="AM1923" s="92">
        <v>1</v>
      </c>
      <c r="AN1923" s="79"/>
      <c r="AO1923" s="75">
        <v>0</v>
      </c>
      <c r="AP1923" s="75"/>
      <c r="AQ1923" s="122">
        <v>0</v>
      </c>
      <c r="AR1923" s="515" t="s">
        <v>16</v>
      </c>
      <c r="AS1923" s="95">
        <v>-1</v>
      </c>
      <c r="AT1923" s="75">
        <v>-1</v>
      </c>
      <c r="AU1923" s="75">
        <v>-1</v>
      </c>
      <c r="AV1923" s="75">
        <v>-1</v>
      </c>
      <c r="AW1923" s="123">
        <v>1</v>
      </c>
      <c r="AX1923" s="516"/>
      <c r="AY1923" s="75">
        <v>0</v>
      </c>
      <c r="AZ1923" s="77" t="s">
        <v>5971</v>
      </c>
      <c r="BA1923" s="78" t="s">
        <v>5971</v>
      </c>
      <c r="BB1923" s="78" t="s">
        <v>5971</v>
      </c>
      <c r="BC1923" s="78" t="s">
        <v>5971</v>
      </c>
      <c r="BD1923" s="78" t="s">
        <v>5971</v>
      </c>
      <c r="BE1923" s="78" t="s">
        <v>5971</v>
      </c>
      <c r="BF1923" s="78" t="s">
        <v>5971</v>
      </c>
      <c r="BG1923" s="78" t="s">
        <v>5971</v>
      </c>
      <c r="BH1923" s="75" t="s">
        <v>5971</v>
      </c>
      <c r="BI1923" s="295" t="s">
        <v>2267</v>
      </c>
      <c r="BJ1923" s="546">
        <v>1</v>
      </c>
      <c r="BK1923" s="294" t="s">
        <v>16</v>
      </c>
      <c r="BL1923" s="157" t="s">
        <v>16</v>
      </c>
      <c r="BM1923" s="548" t="s">
        <v>1342</v>
      </c>
      <c r="BN1923" s="548" t="s">
        <v>5969</v>
      </c>
      <c r="BO1923" s="157" t="s">
        <v>4611</v>
      </c>
      <c r="BP1923" s="548" t="s">
        <v>4612</v>
      </c>
      <c r="BQ1923" s="157" t="s">
        <v>4610</v>
      </c>
      <c r="BR1923" s="157"/>
    </row>
    <row r="1924" spans="1:70" x14ac:dyDescent="0.25">
      <c r="A1924" s="19" t="s">
        <v>3686</v>
      </c>
      <c r="B1924" s="37" t="s">
        <v>912</v>
      </c>
      <c r="C1924" s="90">
        <v>44378.060879629629</v>
      </c>
      <c r="D1924" s="114">
        <v>44377.810879629629</v>
      </c>
      <c r="E1924" s="38">
        <v>44377</v>
      </c>
      <c r="F1924" s="91">
        <v>2021</v>
      </c>
      <c r="G1924" s="93">
        <v>6</v>
      </c>
      <c r="H1924" s="37" t="s">
        <v>600</v>
      </c>
      <c r="I1924" s="37"/>
      <c r="J1924" s="103">
        <v>-92.115627538217822</v>
      </c>
      <c r="K1924" s="40">
        <v>44.0211938485918</v>
      </c>
      <c r="L1924" s="74"/>
      <c r="M1924" s="272" t="s">
        <v>16</v>
      </c>
      <c r="N1924" s="74">
        <v>0</v>
      </c>
      <c r="O1924" s="94"/>
      <c r="P1924" s="118">
        <v>1</v>
      </c>
      <c r="Q1924" s="510">
        <v>180</v>
      </c>
      <c r="R1924" s="513">
        <v>180</v>
      </c>
      <c r="S1924" s="41"/>
      <c r="T1924" s="40"/>
      <c r="U1924" s="40">
        <v>8</v>
      </c>
      <c r="V1924" s="119">
        <v>1</v>
      </c>
      <c r="W1924" s="40">
        <v>0</v>
      </c>
      <c r="X1924" s="119">
        <v>1</v>
      </c>
      <c r="Y1924" s="40">
        <v>60</v>
      </c>
      <c r="Z1924" s="119">
        <v>1</v>
      </c>
      <c r="AA1924" s="368">
        <v>0</v>
      </c>
      <c r="AB1924" s="535">
        <v>10</v>
      </c>
      <c r="AC1924" s="39" t="s">
        <v>160</v>
      </c>
      <c r="AD1924" s="75" t="s">
        <v>10</v>
      </c>
      <c r="AE1924" s="95">
        <v>0</v>
      </c>
      <c r="AF1924" s="75">
        <v>0</v>
      </c>
      <c r="AG1924" s="75">
        <v>0</v>
      </c>
      <c r="AH1924" s="75">
        <v>0</v>
      </c>
      <c r="AI1924" s="75">
        <v>0</v>
      </c>
      <c r="AJ1924" s="75">
        <v>0</v>
      </c>
      <c r="AK1924" s="75">
        <v>0</v>
      </c>
      <c r="AL1924" s="95">
        <v>1</v>
      </c>
      <c r="AM1924" s="92">
        <v>0</v>
      </c>
      <c r="AN1924" s="79" t="s">
        <v>80</v>
      </c>
      <c r="AO1924" s="75">
        <v>1</v>
      </c>
      <c r="AP1924" s="75" t="s">
        <v>83</v>
      </c>
      <c r="AQ1924" s="122">
        <v>1</v>
      </c>
      <c r="AR1924" s="515" t="s">
        <v>10</v>
      </c>
      <c r="AS1924" s="95">
        <v>0</v>
      </c>
      <c r="AT1924" s="75">
        <v>0</v>
      </c>
      <c r="AU1924" s="75">
        <v>0</v>
      </c>
      <c r="AV1924" s="75">
        <v>0</v>
      </c>
      <c r="AW1924" s="123">
        <v>0</v>
      </c>
      <c r="AX1924" s="516"/>
      <c r="AY1924" s="75">
        <v>0</v>
      </c>
      <c r="AZ1924" s="77" t="s">
        <v>131</v>
      </c>
      <c r="BA1924" s="78" t="s">
        <v>131</v>
      </c>
      <c r="BB1924" s="78" t="s">
        <v>131</v>
      </c>
      <c r="BC1924" s="78" t="s">
        <v>131</v>
      </c>
      <c r="BD1924" s="78" t="s">
        <v>131</v>
      </c>
      <c r="BE1924" s="78" t="s">
        <v>131</v>
      </c>
      <c r="BF1924" s="78" t="s">
        <v>131</v>
      </c>
      <c r="BG1924" s="78" t="s">
        <v>132</v>
      </c>
      <c r="BH1924" s="75" t="s">
        <v>5970</v>
      </c>
      <c r="BI1924" s="295" t="s">
        <v>2262</v>
      </c>
      <c r="BJ1924" s="546">
        <v>1</v>
      </c>
      <c r="BK1924" s="294">
        <v>1</v>
      </c>
      <c r="BL1924" s="157">
        <v>1</v>
      </c>
      <c r="BM1924" s="548" t="s">
        <v>1339</v>
      </c>
      <c r="BN1924" s="548" t="s">
        <v>1339</v>
      </c>
      <c r="BO1924" s="157" t="s">
        <v>4364</v>
      </c>
      <c r="BP1924" s="548" t="s">
        <v>2292</v>
      </c>
      <c r="BQ1924" s="157" t="s">
        <v>4361</v>
      </c>
      <c r="BR1924" s="157"/>
    </row>
    <row r="1925" spans="1:70" x14ac:dyDescent="0.25">
      <c r="A1925" s="19" t="s">
        <v>3686</v>
      </c>
      <c r="B1925" s="37" t="s">
        <v>910</v>
      </c>
      <c r="C1925" s="90">
        <v>44376.840416666666</v>
      </c>
      <c r="D1925" s="114">
        <v>44376.590416666666</v>
      </c>
      <c r="E1925" s="38">
        <v>44376</v>
      </c>
      <c r="F1925" s="91">
        <v>2021</v>
      </c>
      <c r="G1925" s="93">
        <v>6</v>
      </c>
      <c r="H1925" s="37" t="s">
        <v>596</v>
      </c>
      <c r="I1925" s="37" t="s">
        <v>16</v>
      </c>
      <c r="J1925" s="103">
        <v>-92.624746700000003</v>
      </c>
      <c r="K1925" s="40">
        <v>44.861621399999997</v>
      </c>
      <c r="L1925" s="74"/>
      <c r="M1925" s="272" t="s">
        <v>911</v>
      </c>
      <c r="N1925" s="74">
        <v>1</v>
      </c>
      <c r="O1925" s="94"/>
      <c r="P1925" s="118">
        <v>1</v>
      </c>
      <c r="Q1925" s="510">
        <v>80</v>
      </c>
      <c r="R1925" s="513">
        <v>60</v>
      </c>
      <c r="S1925" s="41"/>
      <c r="T1925" s="40"/>
      <c r="U1925" s="40">
        <v>7.5</v>
      </c>
      <c r="V1925" s="119">
        <v>1</v>
      </c>
      <c r="W1925" s="40">
        <v>100</v>
      </c>
      <c r="X1925" s="119">
        <v>1</v>
      </c>
      <c r="Y1925" s="40">
        <v>62</v>
      </c>
      <c r="Z1925" s="119">
        <v>0</v>
      </c>
      <c r="AA1925" s="368" t="s">
        <v>16</v>
      </c>
      <c r="AB1925" s="535" t="s">
        <v>16</v>
      </c>
      <c r="AC1925" s="39" t="s">
        <v>160</v>
      </c>
      <c r="AD1925" s="75" t="s">
        <v>10</v>
      </c>
      <c r="AE1925" s="95">
        <v>0</v>
      </c>
      <c r="AF1925" s="75">
        <v>0</v>
      </c>
      <c r="AG1925" s="75">
        <v>0</v>
      </c>
      <c r="AH1925" s="75">
        <v>0</v>
      </c>
      <c r="AI1925" s="75">
        <v>0</v>
      </c>
      <c r="AJ1925" s="75">
        <v>0</v>
      </c>
      <c r="AK1925" s="75">
        <v>0</v>
      </c>
      <c r="AL1925" s="95">
        <v>1</v>
      </c>
      <c r="AM1925" s="92">
        <v>0</v>
      </c>
      <c r="AN1925" s="79" t="s">
        <v>80</v>
      </c>
      <c r="AO1925" s="75">
        <v>1</v>
      </c>
      <c r="AP1925" s="75" t="s">
        <v>83</v>
      </c>
      <c r="AQ1925" s="122">
        <v>1</v>
      </c>
      <c r="AR1925" s="515" t="s">
        <v>10</v>
      </c>
      <c r="AS1925" s="95">
        <v>0</v>
      </c>
      <c r="AT1925" s="75">
        <v>0</v>
      </c>
      <c r="AU1925" s="75">
        <v>0</v>
      </c>
      <c r="AV1925" s="75">
        <v>0</v>
      </c>
      <c r="AW1925" s="123">
        <v>0</v>
      </c>
      <c r="AX1925" s="516"/>
      <c r="AY1925" s="75">
        <v>0</v>
      </c>
      <c r="AZ1925" s="77" t="s">
        <v>131</v>
      </c>
      <c r="BA1925" s="78" t="s">
        <v>131</v>
      </c>
      <c r="BB1925" s="78" t="s">
        <v>131</v>
      </c>
      <c r="BC1925" s="78" t="s">
        <v>131</v>
      </c>
      <c r="BD1925" s="78" t="s">
        <v>131</v>
      </c>
      <c r="BE1925" s="78" t="s">
        <v>131</v>
      </c>
      <c r="BF1925" s="78" t="s">
        <v>131</v>
      </c>
      <c r="BG1925" s="78" t="s">
        <v>132</v>
      </c>
      <c r="BH1925" s="75" t="s">
        <v>5970</v>
      </c>
      <c r="BI1925" s="295" t="s">
        <v>2227</v>
      </c>
      <c r="BJ1925" s="546">
        <v>1</v>
      </c>
      <c r="BK1925" s="294" t="s">
        <v>16</v>
      </c>
      <c r="BL1925" s="157" t="s">
        <v>16</v>
      </c>
      <c r="BM1925" s="548" t="s">
        <v>578</v>
      </c>
      <c r="BN1925" s="548" t="s">
        <v>578</v>
      </c>
      <c r="BO1925" s="157" t="s">
        <v>4311</v>
      </c>
      <c r="BP1925" s="548" t="s">
        <v>4395</v>
      </c>
      <c r="BQ1925" s="157" t="s">
        <v>4309</v>
      </c>
      <c r="BR1925" s="157"/>
    </row>
    <row r="1926" spans="1:70" x14ac:dyDescent="0.25">
      <c r="A1926" s="19" t="s">
        <v>3686</v>
      </c>
      <c r="B1926" s="37" t="s">
        <v>908</v>
      </c>
      <c r="C1926" s="90">
        <v>44375.773657407408</v>
      </c>
      <c r="D1926" s="114">
        <v>44375.523657407408</v>
      </c>
      <c r="E1926" s="38">
        <v>44375</v>
      </c>
      <c r="F1926" s="91">
        <v>2021</v>
      </c>
      <c r="G1926" s="93">
        <v>6</v>
      </c>
      <c r="H1926" s="37" t="s">
        <v>201</v>
      </c>
      <c r="I1926" s="37"/>
      <c r="J1926" s="103">
        <v>-92.732048113866924</v>
      </c>
      <c r="K1926" s="40">
        <v>44.831061502614361</v>
      </c>
      <c r="L1926" s="74"/>
      <c r="M1926" s="272" t="s">
        <v>16</v>
      </c>
      <c r="N1926" s="74">
        <v>0</v>
      </c>
      <c r="O1926" s="94"/>
      <c r="P1926" s="118">
        <v>1</v>
      </c>
      <c r="Q1926" s="510">
        <v>180</v>
      </c>
      <c r="R1926" s="513">
        <v>120</v>
      </c>
      <c r="S1926" s="41"/>
      <c r="T1926" s="40"/>
      <c r="U1926" s="40">
        <v>8</v>
      </c>
      <c r="V1926" s="119">
        <v>1</v>
      </c>
      <c r="W1926" s="40">
        <v>0</v>
      </c>
      <c r="X1926" s="119">
        <v>1</v>
      </c>
      <c r="Y1926" s="40">
        <v>67</v>
      </c>
      <c r="Z1926" s="119">
        <v>1</v>
      </c>
      <c r="AA1926" s="368">
        <v>0</v>
      </c>
      <c r="AB1926" s="535">
        <v>5</v>
      </c>
      <c r="AC1926" s="39" t="s">
        <v>160</v>
      </c>
      <c r="AD1926" s="75" t="s">
        <v>8</v>
      </c>
      <c r="AE1926" s="95">
        <v>0</v>
      </c>
      <c r="AF1926" s="75">
        <v>1</v>
      </c>
      <c r="AG1926" s="75">
        <v>0</v>
      </c>
      <c r="AH1926" s="75">
        <v>0</v>
      </c>
      <c r="AI1926" s="75">
        <v>0</v>
      </c>
      <c r="AJ1926" s="75">
        <v>0</v>
      </c>
      <c r="AK1926" s="75">
        <v>0</v>
      </c>
      <c r="AL1926" s="95">
        <v>0</v>
      </c>
      <c r="AM1926" s="92">
        <v>0</v>
      </c>
      <c r="AN1926" s="79" t="s">
        <v>80</v>
      </c>
      <c r="AO1926" s="75">
        <v>1</v>
      </c>
      <c r="AP1926" s="75" t="s">
        <v>83</v>
      </c>
      <c r="AQ1926" s="122">
        <v>1</v>
      </c>
      <c r="AR1926" s="515" t="s">
        <v>10</v>
      </c>
      <c r="AS1926" s="95">
        <v>0</v>
      </c>
      <c r="AT1926" s="75">
        <v>0</v>
      </c>
      <c r="AU1926" s="75">
        <v>0</v>
      </c>
      <c r="AV1926" s="75">
        <v>0</v>
      </c>
      <c r="AW1926" s="123">
        <v>0</v>
      </c>
      <c r="AX1926" s="516" t="s">
        <v>909</v>
      </c>
      <c r="AY1926" s="75">
        <v>1</v>
      </c>
      <c r="AZ1926" s="77" t="s">
        <v>131</v>
      </c>
      <c r="BA1926" s="78" t="s">
        <v>132</v>
      </c>
      <c r="BB1926" s="78" t="s">
        <v>131</v>
      </c>
      <c r="BC1926" s="78" t="s">
        <v>131</v>
      </c>
      <c r="BD1926" s="78" t="s">
        <v>131</v>
      </c>
      <c r="BE1926" s="78" t="s">
        <v>131</v>
      </c>
      <c r="BF1926" s="78" t="s">
        <v>131</v>
      </c>
      <c r="BG1926" s="78" t="s">
        <v>131</v>
      </c>
      <c r="BH1926" s="75" t="s">
        <v>5970</v>
      </c>
      <c r="BI1926" s="295" t="s">
        <v>2227</v>
      </c>
      <c r="BJ1926" s="546">
        <v>1</v>
      </c>
      <c r="BK1926" s="294" t="s">
        <v>16</v>
      </c>
      <c r="BL1926" s="157" t="s">
        <v>16</v>
      </c>
      <c r="BM1926" s="548" t="s">
        <v>578</v>
      </c>
      <c r="BN1926" s="548" t="s">
        <v>578</v>
      </c>
      <c r="BO1926" s="157" t="s">
        <v>4341</v>
      </c>
      <c r="BP1926" s="548" t="s">
        <v>4343</v>
      </c>
      <c r="BQ1926" s="157" t="s">
        <v>4309</v>
      </c>
      <c r="BR1926" s="157"/>
    </row>
    <row r="1927" spans="1:70" x14ac:dyDescent="0.25">
      <c r="A1927" s="19" t="s">
        <v>3686</v>
      </c>
      <c r="B1927" s="37" t="s">
        <v>907</v>
      </c>
      <c r="C1927" s="90">
        <v>44374.688402777778</v>
      </c>
      <c r="D1927" s="114">
        <v>44374.438402777778</v>
      </c>
      <c r="E1927" s="38">
        <v>44374</v>
      </c>
      <c r="F1927" s="91">
        <v>2021</v>
      </c>
      <c r="G1927" s="93">
        <v>6</v>
      </c>
      <c r="H1927" s="37" t="s">
        <v>625</v>
      </c>
      <c r="I1927" s="37" t="s">
        <v>753</v>
      </c>
      <c r="J1927" s="103">
        <v>-92.802713999999995</v>
      </c>
      <c r="K1927" s="40">
        <v>44.542926899999998</v>
      </c>
      <c r="L1927" s="74"/>
      <c r="M1927" s="272" t="s">
        <v>16</v>
      </c>
      <c r="N1927" s="74">
        <v>0</v>
      </c>
      <c r="O1927" s="94"/>
      <c r="P1927" s="118">
        <v>1</v>
      </c>
      <c r="Q1927" s="510">
        <v>80</v>
      </c>
      <c r="R1927" s="513">
        <v>120</v>
      </c>
      <c r="S1927" s="41"/>
      <c r="T1927" s="40"/>
      <c r="U1927" s="40">
        <v>7.5</v>
      </c>
      <c r="V1927" s="119">
        <v>1</v>
      </c>
      <c r="W1927" s="40">
        <v>0</v>
      </c>
      <c r="X1927" s="119">
        <v>1</v>
      </c>
      <c r="Y1927" s="40">
        <v>52</v>
      </c>
      <c r="Z1927" s="119">
        <v>1</v>
      </c>
      <c r="AA1927" s="368">
        <v>0</v>
      </c>
      <c r="AB1927" s="535">
        <v>10</v>
      </c>
      <c r="AC1927" s="39" t="s">
        <v>160</v>
      </c>
      <c r="AD1927" s="75" t="s">
        <v>10</v>
      </c>
      <c r="AE1927" s="95">
        <v>0</v>
      </c>
      <c r="AF1927" s="75">
        <v>0</v>
      </c>
      <c r="AG1927" s="75">
        <v>0</v>
      </c>
      <c r="AH1927" s="75">
        <v>0</v>
      </c>
      <c r="AI1927" s="75">
        <v>0</v>
      </c>
      <c r="AJ1927" s="75">
        <v>0</v>
      </c>
      <c r="AK1927" s="75">
        <v>0</v>
      </c>
      <c r="AL1927" s="95">
        <v>1</v>
      </c>
      <c r="AM1927" s="92">
        <v>0</v>
      </c>
      <c r="AN1927" s="79" t="s">
        <v>80</v>
      </c>
      <c r="AO1927" s="75">
        <v>1</v>
      </c>
      <c r="AP1927" s="75" t="s">
        <v>83</v>
      </c>
      <c r="AQ1927" s="122">
        <v>1</v>
      </c>
      <c r="AR1927" s="515" t="s">
        <v>904</v>
      </c>
      <c r="AS1927" s="95">
        <v>1</v>
      </c>
      <c r="AT1927" s="75">
        <v>1</v>
      </c>
      <c r="AU1927" s="75">
        <v>0</v>
      </c>
      <c r="AV1927" s="75">
        <v>0</v>
      </c>
      <c r="AW1927" s="123">
        <v>0</v>
      </c>
      <c r="AX1927" s="516"/>
      <c r="AY1927" s="75">
        <v>0</v>
      </c>
      <c r="AZ1927" s="77" t="s">
        <v>131</v>
      </c>
      <c r="BA1927" s="78" t="s">
        <v>131</v>
      </c>
      <c r="BB1927" s="78" t="s">
        <v>131</v>
      </c>
      <c r="BC1927" s="78" t="s">
        <v>131</v>
      </c>
      <c r="BD1927" s="78" t="s">
        <v>131</v>
      </c>
      <c r="BE1927" s="78" t="s">
        <v>131</v>
      </c>
      <c r="BF1927" s="78" t="s">
        <v>131</v>
      </c>
      <c r="BG1927" s="78" t="s">
        <v>132</v>
      </c>
      <c r="BH1927" s="75" t="s">
        <v>5970</v>
      </c>
      <c r="BI1927" s="295" t="s">
        <v>2224</v>
      </c>
      <c r="BJ1927" s="546">
        <v>1</v>
      </c>
      <c r="BK1927" s="294">
        <v>1</v>
      </c>
      <c r="BL1927" s="157">
        <v>1</v>
      </c>
      <c r="BM1927" s="548" t="s">
        <v>2343</v>
      </c>
      <c r="BN1927" s="548" t="s">
        <v>4161</v>
      </c>
      <c r="BO1927" s="157" t="s">
        <v>4510</v>
      </c>
      <c r="BP1927" s="548" t="s">
        <v>753</v>
      </c>
      <c r="BQ1927" s="157" t="s">
        <v>4389</v>
      </c>
      <c r="BR1927" s="157"/>
    </row>
    <row r="1928" spans="1:70" x14ac:dyDescent="0.25">
      <c r="A1928" s="19" t="s">
        <v>3686</v>
      </c>
      <c r="B1928" s="37" t="s">
        <v>906</v>
      </c>
      <c r="C1928" s="90">
        <v>44374.579409722224</v>
      </c>
      <c r="D1928" s="114">
        <v>44374.329409722224</v>
      </c>
      <c r="E1928" s="38">
        <v>44374</v>
      </c>
      <c r="F1928" s="91">
        <v>2021</v>
      </c>
      <c r="G1928" s="93">
        <v>6</v>
      </c>
      <c r="H1928" s="37" t="s">
        <v>625</v>
      </c>
      <c r="I1928" s="37" t="s">
        <v>753</v>
      </c>
      <c r="J1928" s="103">
        <v>-92.802771399999997</v>
      </c>
      <c r="K1928" s="40">
        <v>44.543127300000002</v>
      </c>
      <c r="L1928" s="74"/>
      <c r="M1928" s="272" t="s">
        <v>16</v>
      </c>
      <c r="N1928" s="74">
        <v>0</v>
      </c>
      <c r="O1928" s="94"/>
      <c r="P1928" s="118">
        <v>1</v>
      </c>
      <c r="Q1928" s="510">
        <v>80</v>
      </c>
      <c r="R1928" s="513">
        <v>120</v>
      </c>
      <c r="S1928" s="41"/>
      <c r="T1928" s="40"/>
      <c r="U1928" s="40">
        <v>7.5</v>
      </c>
      <c r="V1928" s="119">
        <v>1</v>
      </c>
      <c r="W1928" s="40">
        <v>0</v>
      </c>
      <c r="X1928" s="119">
        <v>1</v>
      </c>
      <c r="Y1928" s="40">
        <v>52</v>
      </c>
      <c r="Z1928" s="119">
        <v>1</v>
      </c>
      <c r="AA1928" s="368">
        <v>0</v>
      </c>
      <c r="AB1928" s="535">
        <v>10</v>
      </c>
      <c r="AC1928" s="39" t="s">
        <v>160</v>
      </c>
      <c r="AD1928" s="75" t="s">
        <v>10</v>
      </c>
      <c r="AE1928" s="95">
        <v>0</v>
      </c>
      <c r="AF1928" s="75">
        <v>0</v>
      </c>
      <c r="AG1928" s="75">
        <v>0</v>
      </c>
      <c r="AH1928" s="75">
        <v>0</v>
      </c>
      <c r="AI1928" s="75">
        <v>0</v>
      </c>
      <c r="AJ1928" s="75">
        <v>0</v>
      </c>
      <c r="AK1928" s="75">
        <v>0</v>
      </c>
      <c r="AL1928" s="95">
        <v>1</v>
      </c>
      <c r="AM1928" s="92">
        <v>0</v>
      </c>
      <c r="AN1928" s="79" t="s">
        <v>80</v>
      </c>
      <c r="AO1928" s="75">
        <v>1</v>
      </c>
      <c r="AP1928" s="75" t="s">
        <v>83</v>
      </c>
      <c r="AQ1928" s="122">
        <v>1</v>
      </c>
      <c r="AR1928" s="515" t="s">
        <v>904</v>
      </c>
      <c r="AS1928" s="95">
        <v>1</v>
      </c>
      <c r="AT1928" s="75">
        <v>1</v>
      </c>
      <c r="AU1928" s="75">
        <v>0</v>
      </c>
      <c r="AV1928" s="75">
        <v>0</v>
      </c>
      <c r="AW1928" s="123">
        <v>0</v>
      </c>
      <c r="AX1928" s="516"/>
      <c r="AY1928" s="75">
        <v>0</v>
      </c>
      <c r="AZ1928" s="77" t="s">
        <v>131</v>
      </c>
      <c r="BA1928" s="78" t="s">
        <v>131</v>
      </c>
      <c r="BB1928" s="78" t="s">
        <v>131</v>
      </c>
      <c r="BC1928" s="78" t="s">
        <v>131</v>
      </c>
      <c r="BD1928" s="78" t="s">
        <v>131</v>
      </c>
      <c r="BE1928" s="78" t="s">
        <v>131</v>
      </c>
      <c r="BF1928" s="78" t="s">
        <v>131</v>
      </c>
      <c r="BG1928" s="78" t="s">
        <v>132</v>
      </c>
      <c r="BH1928" s="75" t="s">
        <v>5970</v>
      </c>
      <c r="BI1928" s="295" t="s">
        <v>2224</v>
      </c>
      <c r="BJ1928" s="546">
        <v>1</v>
      </c>
      <c r="BK1928" s="294">
        <v>1</v>
      </c>
      <c r="BL1928" s="157">
        <v>1</v>
      </c>
      <c r="BM1928" s="548" t="s">
        <v>2343</v>
      </c>
      <c r="BN1928" s="548" t="s">
        <v>4161</v>
      </c>
      <c r="BO1928" s="157" t="s">
        <v>4510</v>
      </c>
      <c r="BP1928" s="548" t="s">
        <v>753</v>
      </c>
      <c r="BQ1928" s="157" t="s">
        <v>4389</v>
      </c>
      <c r="BR1928" s="157"/>
    </row>
    <row r="1929" spans="1:70" x14ac:dyDescent="0.25">
      <c r="A1929" s="19" t="s">
        <v>3686</v>
      </c>
      <c r="B1929" s="37" t="s">
        <v>905</v>
      </c>
      <c r="C1929" s="90">
        <v>44374.579386574071</v>
      </c>
      <c r="D1929" s="114">
        <v>44374.329386574071</v>
      </c>
      <c r="E1929" s="38">
        <v>44374</v>
      </c>
      <c r="F1929" s="91">
        <v>2021</v>
      </c>
      <c r="G1929" s="93">
        <v>6</v>
      </c>
      <c r="H1929" s="37" t="s">
        <v>625</v>
      </c>
      <c r="I1929" s="37" t="s">
        <v>753</v>
      </c>
      <c r="J1929" s="103">
        <v>-92.802160599999993</v>
      </c>
      <c r="K1929" s="40">
        <v>44.5430359</v>
      </c>
      <c r="L1929" s="74"/>
      <c r="M1929" s="272" t="s">
        <v>16</v>
      </c>
      <c r="N1929" s="74">
        <v>0</v>
      </c>
      <c r="O1929" s="94"/>
      <c r="P1929" s="118">
        <v>1</v>
      </c>
      <c r="Q1929" s="510">
        <v>80</v>
      </c>
      <c r="R1929" s="513">
        <v>120</v>
      </c>
      <c r="S1929" s="41"/>
      <c r="T1929" s="40"/>
      <c r="U1929" s="40">
        <v>7.5</v>
      </c>
      <c r="V1929" s="119">
        <v>1</v>
      </c>
      <c r="W1929" s="40">
        <v>0</v>
      </c>
      <c r="X1929" s="119">
        <v>1</v>
      </c>
      <c r="Y1929" s="40">
        <v>52</v>
      </c>
      <c r="Z1929" s="119">
        <v>1</v>
      </c>
      <c r="AA1929" s="368">
        <v>0</v>
      </c>
      <c r="AB1929" s="535">
        <v>10</v>
      </c>
      <c r="AC1929" s="39" t="s">
        <v>160</v>
      </c>
      <c r="AD1929" s="75" t="s">
        <v>10</v>
      </c>
      <c r="AE1929" s="95">
        <v>0</v>
      </c>
      <c r="AF1929" s="75">
        <v>0</v>
      </c>
      <c r="AG1929" s="75">
        <v>0</v>
      </c>
      <c r="AH1929" s="75">
        <v>0</v>
      </c>
      <c r="AI1929" s="75">
        <v>0</v>
      </c>
      <c r="AJ1929" s="75">
        <v>0</v>
      </c>
      <c r="AK1929" s="75">
        <v>0</v>
      </c>
      <c r="AL1929" s="95">
        <v>1</v>
      </c>
      <c r="AM1929" s="92">
        <v>0</v>
      </c>
      <c r="AN1929" s="79" t="s">
        <v>80</v>
      </c>
      <c r="AO1929" s="75">
        <v>1</v>
      </c>
      <c r="AP1929" s="75" t="s">
        <v>83</v>
      </c>
      <c r="AQ1929" s="122">
        <v>1</v>
      </c>
      <c r="AR1929" s="515" t="s">
        <v>904</v>
      </c>
      <c r="AS1929" s="95">
        <v>1</v>
      </c>
      <c r="AT1929" s="75">
        <v>1</v>
      </c>
      <c r="AU1929" s="75">
        <v>0</v>
      </c>
      <c r="AV1929" s="75">
        <v>0</v>
      </c>
      <c r="AW1929" s="123">
        <v>0</v>
      </c>
      <c r="AX1929" s="516"/>
      <c r="AY1929" s="75">
        <v>0</v>
      </c>
      <c r="AZ1929" s="77" t="s">
        <v>131</v>
      </c>
      <c r="BA1929" s="78" t="s">
        <v>131</v>
      </c>
      <c r="BB1929" s="78" t="s">
        <v>131</v>
      </c>
      <c r="BC1929" s="78" t="s">
        <v>131</v>
      </c>
      <c r="BD1929" s="78" t="s">
        <v>131</v>
      </c>
      <c r="BE1929" s="78" t="s">
        <v>131</v>
      </c>
      <c r="BF1929" s="78" t="s">
        <v>131</v>
      </c>
      <c r="BG1929" s="78" t="s">
        <v>132</v>
      </c>
      <c r="BH1929" s="75" t="s">
        <v>5970</v>
      </c>
      <c r="BI1929" s="295" t="s">
        <v>2224</v>
      </c>
      <c r="BJ1929" s="546">
        <v>1</v>
      </c>
      <c r="BK1929" s="294">
        <v>1</v>
      </c>
      <c r="BL1929" s="157">
        <v>1</v>
      </c>
      <c r="BM1929" s="548" t="s">
        <v>2343</v>
      </c>
      <c r="BN1929" s="548" t="s">
        <v>4161</v>
      </c>
      <c r="BO1929" s="157" t="s">
        <v>4510</v>
      </c>
      <c r="BP1929" s="548" t="s">
        <v>753</v>
      </c>
      <c r="BQ1929" s="157" t="s">
        <v>4389</v>
      </c>
      <c r="BR1929" s="157"/>
    </row>
    <row r="1930" spans="1:70" x14ac:dyDescent="0.25">
      <c r="A1930" s="19" t="s">
        <v>3686</v>
      </c>
      <c r="B1930" s="37" t="s">
        <v>903</v>
      </c>
      <c r="C1930" s="90">
        <v>44374.56181712963</v>
      </c>
      <c r="D1930" s="114">
        <v>44374.31181712963</v>
      </c>
      <c r="E1930" s="38">
        <v>44374</v>
      </c>
      <c r="F1930" s="91">
        <v>2021</v>
      </c>
      <c r="G1930" s="93">
        <v>6</v>
      </c>
      <c r="H1930" s="37" t="s">
        <v>625</v>
      </c>
      <c r="I1930" s="37" t="s">
        <v>753</v>
      </c>
      <c r="J1930" s="103">
        <v>-92.802161699999999</v>
      </c>
      <c r="K1930" s="40">
        <v>44.543034800000001</v>
      </c>
      <c r="L1930" s="74"/>
      <c r="M1930" s="272" t="s">
        <v>16</v>
      </c>
      <c r="N1930" s="74">
        <v>0</v>
      </c>
      <c r="O1930" s="94"/>
      <c r="P1930" s="118">
        <v>1</v>
      </c>
      <c r="Q1930" s="510">
        <v>80</v>
      </c>
      <c r="R1930" s="513">
        <v>120</v>
      </c>
      <c r="S1930" s="41"/>
      <c r="T1930" s="40"/>
      <c r="U1930" s="40">
        <v>7.5</v>
      </c>
      <c r="V1930" s="119">
        <v>1</v>
      </c>
      <c r="W1930" s="40">
        <v>0</v>
      </c>
      <c r="X1930" s="119">
        <v>1</v>
      </c>
      <c r="Y1930" s="40">
        <v>52</v>
      </c>
      <c r="Z1930" s="119">
        <v>1</v>
      </c>
      <c r="AA1930" s="368">
        <v>0</v>
      </c>
      <c r="AB1930" s="535">
        <v>10</v>
      </c>
      <c r="AC1930" s="39" t="s">
        <v>160</v>
      </c>
      <c r="AD1930" s="75" t="s">
        <v>10</v>
      </c>
      <c r="AE1930" s="95">
        <v>0</v>
      </c>
      <c r="AF1930" s="75">
        <v>0</v>
      </c>
      <c r="AG1930" s="75">
        <v>0</v>
      </c>
      <c r="AH1930" s="75">
        <v>0</v>
      </c>
      <c r="AI1930" s="75">
        <v>0</v>
      </c>
      <c r="AJ1930" s="75">
        <v>0</v>
      </c>
      <c r="AK1930" s="75">
        <v>0</v>
      </c>
      <c r="AL1930" s="95">
        <v>1</v>
      </c>
      <c r="AM1930" s="92">
        <v>0</v>
      </c>
      <c r="AN1930" s="79" t="s">
        <v>81</v>
      </c>
      <c r="AO1930" s="75">
        <v>1</v>
      </c>
      <c r="AP1930" s="75" t="s">
        <v>83</v>
      </c>
      <c r="AQ1930" s="122">
        <v>1</v>
      </c>
      <c r="AR1930" s="515" t="s">
        <v>904</v>
      </c>
      <c r="AS1930" s="95">
        <v>1</v>
      </c>
      <c r="AT1930" s="75">
        <v>1</v>
      </c>
      <c r="AU1930" s="75">
        <v>0</v>
      </c>
      <c r="AV1930" s="75">
        <v>0</v>
      </c>
      <c r="AW1930" s="123">
        <v>0</v>
      </c>
      <c r="AX1930" s="516" t="s">
        <v>754</v>
      </c>
      <c r="AY1930" s="75">
        <v>1</v>
      </c>
      <c r="AZ1930" s="77" t="s">
        <v>131</v>
      </c>
      <c r="BA1930" s="78" t="s">
        <v>131</v>
      </c>
      <c r="BB1930" s="78" t="s">
        <v>131</v>
      </c>
      <c r="BC1930" s="78" t="s">
        <v>131</v>
      </c>
      <c r="BD1930" s="78" t="s">
        <v>131</v>
      </c>
      <c r="BE1930" s="78" t="s">
        <v>131</v>
      </c>
      <c r="BF1930" s="78" t="s">
        <v>131</v>
      </c>
      <c r="BG1930" s="78" t="s">
        <v>132</v>
      </c>
      <c r="BH1930" s="75" t="s">
        <v>5970</v>
      </c>
      <c r="BI1930" s="295" t="s">
        <v>2224</v>
      </c>
      <c r="BJ1930" s="546">
        <v>1</v>
      </c>
      <c r="BK1930" s="294">
        <v>1</v>
      </c>
      <c r="BL1930" s="157">
        <v>1</v>
      </c>
      <c r="BM1930" s="548" t="s">
        <v>2343</v>
      </c>
      <c r="BN1930" s="548" t="s">
        <v>4161</v>
      </c>
      <c r="BO1930" s="157" t="s">
        <v>4510</v>
      </c>
      <c r="BP1930" s="548" t="s">
        <v>753</v>
      </c>
      <c r="BQ1930" s="157" t="s">
        <v>4389</v>
      </c>
      <c r="BR1930" s="157"/>
    </row>
    <row r="1931" spans="1:70" x14ac:dyDescent="0.25">
      <c r="A1931" s="19" t="s">
        <v>3686</v>
      </c>
      <c r="B1931" s="37" t="s">
        <v>901</v>
      </c>
      <c r="C1931" s="90">
        <v>44373.873391203706</v>
      </c>
      <c r="D1931" s="114">
        <v>44373.623391203706</v>
      </c>
      <c r="E1931" s="38">
        <v>44373</v>
      </c>
      <c r="F1931" s="91">
        <v>2021</v>
      </c>
      <c r="G1931" s="93">
        <v>6</v>
      </c>
      <c r="H1931" s="37" t="s">
        <v>596</v>
      </c>
      <c r="I1931" s="37" t="s">
        <v>360</v>
      </c>
      <c r="J1931" s="103">
        <v>-92.643582499999994</v>
      </c>
      <c r="K1931" s="40">
        <v>44.842866700000002</v>
      </c>
      <c r="L1931" s="74"/>
      <c r="M1931" s="272" t="s">
        <v>902</v>
      </c>
      <c r="N1931" s="74">
        <v>1</v>
      </c>
      <c r="O1931" s="94"/>
      <c r="P1931" s="118">
        <v>1</v>
      </c>
      <c r="Q1931" s="510">
        <v>80</v>
      </c>
      <c r="R1931" s="513">
        <v>120</v>
      </c>
      <c r="S1931" s="41"/>
      <c r="T1931" s="40"/>
      <c r="U1931" s="40">
        <v>7.5</v>
      </c>
      <c r="V1931" s="119">
        <v>1</v>
      </c>
      <c r="W1931" s="40">
        <v>100</v>
      </c>
      <c r="X1931" s="119">
        <v>1</v>
      </c>
      <c r="Y1931" s="40">
        <v>56</v>
      </c>
      <c r="Z1931" s="119">
        <v>0</v>
      </c>
      <c r="AA1931" s="368" t="s">
        <v>16</v>
      </c>
      <c r="AB1931" s="535" t="s">
        <v>16</v>
      </c>
      <c r="AC1931" s="39" t="s">
        <v>160</v>
      </c>
      <c r="AD1931" s="75" t="s">
        <v>16</v>
      </c>
      <c r="AE1931" s="95">
        <v>-1</v>
      </c>
      <c r="AF1931" s="75">
        <v>-1</v>
      </c>
      <c r="AG1931" s="75">
        <v>-1</v>
      </c>
      <c r="AH1931" s="75">
        <v>-1</v>
      </c>
      <c r="AI1931" s="75">
        <v>-1</v>
      </c>
      <c r="AJ1931" s="75">
        <v>-1</v>
      </c>
      <c r="AK1931" s="75">
        <v>-1</v>
      </c>
      <c r="AL1931" s="95">
        <v>-1</v>
      </c>
      <c r="AM1931" s="92">
        <v>1</v>
      </c>
      <c r="AN1931" s="79" t="s">
        <v>80</v>
      </c>
      <c r="AO1931" s="75">
        <v>1</v>
      </c>
      <c r="AP1931" s="75" t="s">
        <v>83</v>
      </c>
      <c r="AQ1931" s="122">
        <v>1</v>
      </c>
      <c r="AR1931" s="515" t="s">
        <v>13</v>
      </c>
      <c r="AS1931" s="95">
        <v>1</v>
      </c>
      <c r="AT1931" s="75">
        <v>0</v>
      </c>
      <c r="AU1931" s="75">
        <v>0</v>
      </c>
      <c r="AV1931" s="75">
        <v>0</v>
      </c>
      <c r="AW1931" s="123">
        <v>0</v>
      </c>
      <c r="AX1931" s="516"/>
      <c r="AY1931" s="75">
        <v>0</v>
      </c>
      <c r="AZ1931" s="77" t="s">
        <v>5971</v>
      </c>
      <c r="BA1931" s="78" t="s">
        <v>5971</v>
      </c>
      <c r="BB1931" s="78" t="s">
        <v>5971</v>
      </c>
      <c r="BC1931" s="78" t="s">
        <v>5971</v>
      </c>
      <c r="BD1931" s="78" t="s">
        <v>5971</v>
      </c>
      <c r="BE1931" s="78" t="s">
        <v>5971</v>
      </c>
      <c r="BF1931" s="78" t="s">
        <v>5971</v>
      </c>
      <c r="BG1931" s="78" t="s">
        <v>5971</v>
      </c>
      <c r="BH1931" s="75" t="s">
        <v>5971</v>
      </c>
      <c r="BI1931" s="295" t="s">
        <v>2227</v>
      </c>
      <c r="BJ1931" s="546">
        <v>1</v>
      </c>
      <c r="BK1931" s="294" t="s">
        <v>16</v>
      </c>
      <c r="BL1931" s="157" t="s">
        <v>16</v>
      </c>
      <c r="BM1931" s="548" t="s">
        <v>578</v>
      </c>
      <c r="BN1931" s="548" t="s">
        <v>578</v>
      </c>
      <c r="BO1931" s="157" t="s">
        <v>4341</v>
      </c>
      <c r="BP1931" s="548" t="s">
        <v>4343</v>
      </c>
      <c r="BQ1931" s="157" t="s">
        <v>4309</v>
      </c>
      <c r="BR1931" s="157"/>
    </row>
    <row r="1932" spans="1:70" x14ac:dyDescent="0.25">
      <c r="A1932" s="19" t="s">
        <v>3686</v>
      </c>
      <c r="B1932" s="37" t="s">
        <v>900</v>
      </c>
      <c r="C1932" s="90">
        <v>44372.638275462959</v>
      </c>
      <c r="D1932" s="114">
        <v>44372.388275462959</v>
      </c>
      <c r="E1932" s="38">
        <v>44372</v>
      </c>
      <c r="F1932" s="91">
        <v>2021</v>
      </c>
      <c r="G1932" s="93">
        <v>6</v>
      </c>
      <c r="H1932" s="37" t="s">
        <v>617</v>
      </c>
      <c r="I1932" s="37" t="s">
        <v>2362</v>
      </c>
      <c r="J1932" s="103">
        <v>-92.284191986182762</v>
      </c>
      <c r="K1932" s="40">
        <v>44.542246162813122</v>
      </c>
      <c r="L1932" s="74"/>
      <c r="M1932" s="272" t="s">
        <v>16</v>
      </c>
      <c r="N1932" s="74">
        <v>0</v>
      </c>
      <c r="O1932" s="94"/>
      <c r="P1932" s="118">
        <v>1</v>
      </c>
      <c r="Q1932" s="510">
        <v>80</v>
      </c>
      <c r="R1932" s="513">
        <v>120</v>
      </c>
      <c r="S1932" s="41"/>
      <c r="T1932" s="40"/>
      <c r="U1932" s="40">
        <v>7.5</v>
      </c>
      <c r="V1932" s="119">
        <v>1</v>
      </c>
      <c r="W1932" s="40">
        <v>0</v>
      </c>
      <c r="X1932" s="119">
        <v>1</v>
      </c>
      <c r="Y1932" s="40">
        <v>55</v>
      </c>
      <c r="Z1932" s="119">
        <v>1</v>
      </c>
      <c r="AA1932" s="368">
        <v>0</v>
      </c>
      <c r="AB1932" s="535">
        <v>2</v>
      </c>
      <c r="AC1932" s="39" t="s">
        <v>160</v>
      </c>
      <c r="AD1932" s="75" t="s">
        <v>16</v>
      </c>
      <c r="AE1932" s="95">
        <v>-1</v>
      </c>
      <c r="AF1932" s="75">
        <v>-1</v>
      </c>
      <c r="AG1932" s="75">
        <v>-1</v>
      </c>
      <c r="AH1932" s="75">
        <v>-1</v>
      </c>
      <c r="AI1932" s="75">
        <v>-1</v>
      </c>
      <c r="AJ1932" s="75">
        <v>-1</v>
      </c>
      <c r="AK1932" s="75">
        <v>-1</v>
      </c>
      <c r="AL1932" s="95">
        <v>-1</v>
      </c>
      <c r="AM1932" s="92">
        <v>1</v>
      </c>
      <c r="AN1932" s="79" t="s">
        <v>80</v>
      </c>
      <c r="AO1932" s="75">
        <v>1</v>
      </c>
      <c r="AP1932" s="75" t="s">
        <v>83</v>
      </c>
      <c r="AQ1932" s="122">
        <v>1</v>
      </c>
      <c r="AR1932" s="515" t="s">
        <v>10</v>
      </c>
      <c r="AS1932" s="95">
        <v>0</v>
      </c>
      <c r="AT1932" s="75">
        <v>0</v>
      </c>
      <c r="AU1932" s="75">
        <v>0</v>
      </c>
      <c r="AV1932" s="75">
        <v>0</v>
      </c>
      <c r="AW1932" s="123">
        <v>0</v>
      </c>
      <c r="AX1932" s="516"/>
      <c r="AY1932" s="75">
        <v>0</v>
      </c>
      <c r="AZ1932" s="77" t="s">
        <v>5971</v>
      </c>
      <c r="BA1932" s="78" t="s">
        <v>5971</v>
      </c>
      <c r="BB1932" s="78" t="s">
        <v>5971</v>
      </c>
      <c r="BC1932" s="78" t="s">
        <v>5971</v>
      </c>
      <c r="BD1932" s="78" t="s">
        <v>5971</v>
      </c>
      <c r="BE1932" s="78" t="s">
        <v>5971</v>
      </c>
      <c r="BF1932" s="78" t="s">
        <v>5971</v>
      </c>
      <c r="BG1932" s="78" t="s">
        <v>5971</v>
      </c>
      <c r="BH1932" s="75" t="s">
        <v>5971</v>
      </c>
      <c r="BI1932" s="295" t="s">
        <v>2261</v>
      </c>
      <c r="BJ1932" s="546">
        <v>1</v>
      </c>
      <c r="BK1932" s="294">
        <v>1</v>
      </c>
      <c r="BL1932" s="157">
        <v>1</v>
      </c>
      <c r="BM1932" s="548" t="s">
        <v>1340</v>
      </c>
      <c r="BN1932" s="548" t="s">
        <v>578</v>
      </c>
      <c r="BO1932" s="157" t="s">
        <v>4268</v>
      </c>
      <c r="BP1932" s="548" t="s">
        <v>2261</v>
      </c>
      <c r="BQ1932" s="157" t="s">
        <v>4214</v>
      </c>
      <c r="BR1932" s="157"/>
    </row>
    <row r="1933" spans="1:70" x14ac:dyDescent="0.25">
      <c r="A1933" s="19" t="s">
        <v>3686</v>
      </c>
      <c r="B1933" s="37" t="s">
        <v>898</v>
      </c>
      <c r="C1933" s="90">
        <v>44372.612581018519</v>
      </c>
      <c r="D1933" s="114">
        <v>44372.362581018519</v>
      </c>
      <c r="E1933" s="38">
        <v>44372</v>
      </c>
      <c r="F1933" s="91">
        <v>2021</v>
      </c>
      <c r="G1933" s="93">
        <v>6</v>
      </c>
      <c r="H1933" s="37" t="s">
        <v>619</v>
      </c>
      <c r="I1933" s="37" t="s">
        <v>146</v>
      </c>
      <c r="J1933" s="103">
        <v>-92.225608699999995</v>
      </c>
      <c r="K1933" s="40">
        <v>43.887171100000003</v>
      </c>
      <c r="L1933" s="74"/>
      <c r="M1933" s="272" t="s">
        <v>899</v>
      </c>
      <c r="N1933" s="74">
        <v>1</v>
      </c>
      <c r="O1933" s="94"/>
      <c r="P1933" s="118">
        <v>1</v>
      </c>
      <c r="Q1933" s="510">
        <v>0</v>
      </c>
      <c r="R1933" s="513">
        <v>60</v>
      </c>
      <c r="S1933" s="41"/>
      <c r="T1933" s="40"/>
      <c r="U1933" s="40">
        <v>7</v>
      </c>
      <c r="V1933" s="119">
        <v>1</v>
      </c>
      <c r="W1933" s="40">
        <v>100</v>
      </c>
      <c r="X1933" s="119">
        <v>1</v>
      </c>
      <c r="Y1933" s="40">
        <v>54</v>
      </c>
      <c r="Z1933" s="119">
        <v>1</v>
      </c>
      <c r="AA1933" s="368">
        <v>0</v>
      </c>
      <c r="AB1933" s="535">
        <v>5</v>
      </c>
      <c r="AC1933" s="39" t="s">
        <v>160</v>
      </c>
      <c r="AD1933" s="75" t="s">
        <v>10</v>
      </c>
      <c r="AE1933" s="95">
        <v>0</v>
      </c>
      <c r="AF1933" s="75">
        <v>0</v>
      </c>
      <c r="AG1933" s="75">
        <v>0</v>
      </c>
      <c r="AH1933" s="75">
        <v>0</v>
      </c>
      <c r="AI1933" s="75">
        <v>0</v>
      </c>
      <c r="AJ1933" s="75">
        <v>0</v>
      </c>
      <c r="AK1933" s="75">
        <v>0</v>
      </c>
      <c r="AL1933" s="95">
        <v>1</v>
      </c>
      <c r="AM1933" s="92">
        <v>0</v>
      </c>
      <c r="AN1933" s="79" t="s">
        <v>80</v>
      </c>
      <c r="AO1933" s="75">
        <v>1</v>
      </c>
      <c r="AP1933" s="75" t="s">
        <v>84</v>
      </c>
      <c r="AQ1933" s="122">
        <v>1</v>
      </c>
      <c r="AR1933" s="515" t="s">
        <v>10</v>
      </c>
      <c r="AS1933" s="95">
        <v>0</v>
      </c>
      <c r="AT1933" s="75">
        <v>0</v>
      </c>
      <c r="AU1933" s="75">
        <v>0</v>
      </c>
      <c r="AV1933" s="75">
        <v>0</v>
      </c>
      <c r="AW1933" s="123">
        <v>0</v>
      </c>
      <c r="AX1933" s="516"/>
      <c r="AY1933" s="75">
        <v>0</v>
      </c>
      <c r="AZ1933" s="77" t="s">
        <v>131</v>
      </c>
      <c r="BA1933" s="78" t="s">
        <v>131</v>
      </c>
      <c r="BB1933" s="78" t="s">
        <v>131</v>
      </c>
      <c r="BC1933" s="78" t="s">
        <v>131</v>
      </c>
      <c r="BD1933" s="78" t="s">
        <v>131</v>
      </c>
      <c r="BE1933" s="78" t="s">
        <v>131</v>
      </c>
      <c r="BF1933" s="78" t="s">
        <v>131</v>
      </c>
      <c r="BG1933" s="78" t="s">
        <v>132</v>
      </c>
      <c r="BH1933" s="75" t="s">
        <v>5970</v>
      </c>
      <c r="BI1933" s="295" t="s">
        <v>2243</v>
      </c>
      <c r="BJ1933" s="546">
        <v>1</v>
      </c>
      <c r="BK1933" s="294" t="s">
        <v>16</v>
      </c>
      <c r="BL1933" s="157" t="s">
        <v>16</v>
      </c>
      <c r="BM1933" s="548" t="s">
        <v>1339</v>
      </c>
      <c r="BN1933" s="548" t="s">
        <v>1339</v>
      </c>
      <c r="BO1933" s="157" t="s">
        <v>4697</v>
      </c>
      <c r="BP1933" s="548" t="s">
        <v>2243</v>
      </c>
      <c r="BQ1933" s="157" t="s">
        <v>4673</v>
      </c>
      <c r="BR1933" s="157"/>
    </row>
    <row r="1934" spans="1:70" x14ac:dyDescent="0.25">
      <c r="A1934" s="19" t="s">
        <v>3686</v>
      </c>
      <c r="B1934" s="37" t="s">
        <v>897</v>
      </c>
      <c r="C1934" s="90">
        <v>44372.588506944441</v>
      </c>
      <c r="D1934" s="114">
        <v>44372.338506944441</v>
      </c>
      <c r="E1934" s="38">
        <v>44372</v>
      </c>
      <c r="F1934" s="91">
        <v>2021</v>
      </c>
      <c r="G1934" s="93">
        <v>6</v>
      </c>
      <c r="H1934" s="37" t="s">
        <v>619</v>
      </c>
      <c r="I1934" s="37" t="s">
        <v>146</v>
      </c>
      <c r="J1934" s="103">
        <v>-92.195590300000006</v>
      </c>
      <c r="K1934" s="40">
        <v>43.847746999999998</v>
      </c>
      <c r="L1934" s="74"/>
      <c r="M1934" s="272" t="s">
        <v>16</v>
      </c>
      <c r="N1934" s="74">
        <v>0</v>
      </c>
      <c r="O1934" s="94"/>
      <c r="P1934" s="118">
        <v>1</v>
      </c>
      <c r="Q1934" s="510">
        <v>0</v>
      </c>
      <c r="R1934" s="513">
        <v>60</v>
      </c>
      <c r="S1934" s="41"/>
      <c r="T1934" s="40"/>
      <c r="U1934" s="40">
        <v>7</v>
      </c>
      <c r="V1934" s="119">
        <v>1</v>
      </c>
      <c r="W1934" s="40">
        <v>100</v>
      </c>
      <c r="X1934" s="119">
        <v>1</v>
      </c>
      <c r="Y1934" s="40">
        <v>64</v>
      </c>
      <c r="Z1934" s="119">
        <v>1</v>
      </c>
      <c r="AA1934" s="368">
        <v>0</v>
      </c>
      <c r="AB1934" s="535">
        <v>0</v>
      </c>
      <c r="AC1934" s="39" t="s">
        <v>160</v>
      </c>
      <c r="AD1934" s="75" t="s">
        <v>10</v>
      </c>
      <c r="AE1934" s="95">
        <v>0</v>
      </c>
      <c r="AF1934" s="75">
        <v>0</v>
      </c>
      <c r="AG1934" s="75">
        <v>0</v>
      </c>
      <c r="AH1934" s="75">
        <v>0</v>
      </c>
      <c r="AI1934" s="75">
        <v>0</v>
      </c>
      <c r="AJ1934" s="75">
        <v>0</v>
      </c>
      <c r="AK1934" s="75">
        <v>0</v>
      </c>
      <c r="AL1934" s="95">
        <v>1</v>
      </c>
      <c r="AM1934" s="92">
        <v>0</v>
      </c>
      <c r="AN1934" s="79" t="s">
        <v>80</v>
      </c>
      <c r="AO1934" s="75">
        <v>1</v>
      </c>
      <c r="AP1934" s="75" t="s">
        <v>84</v>
      </c>
      <c r="AQ1934" s="122">
        <v>1</v>
      </c>
      <c r="AR1934" s="515" t="s">
        <v>10</v>
      </c>
      <c r="AS1934" s="95">
        <v>0</v>
      </c>
      <c r="AT1934" s="75">
        <v>0</v>
      </c>
      <c r="AU1934" s="75">
        <v>0</v>
      </c>
      <c r="AV1934" s="75">
        <v>0</v>
      </c>
      <c r="AW1934" s="123">
        <v>0</v>
      </c>
      <c r="AX1934" s="516"/>
      <c r="AY1934" s="75">
        <v>0</v>
      </c>
      <c r="AZ1934" s="77" t="s">
        <v>131</v>
      </c>
      <c r="BA1934" s="78" t="s">
        <v>131</v>
      </c>
      <c r="BB1934" s="78" t="s">
        <v>131</v>
      </c>
      <c r="BC1934" s="78" t="s">
        <v>131</v>
      </c>
      <c r="BD1934" s="78" t="s">
        <v>131</v>
      </c>
      <c r="BE1934" s="78" t="s">
        <v>131</v>
      </c>
      <c r="BF1934" s="78" t="s">
        <v>131</v>
      </c>
      <c r="BG1934" s="78" t="s">
        <v>132</v>
      </c>
      <c r="BH1934" s="75" t="s">
        <v>5970</v>
      </c>
      <c r="BI1934" s="295" t="s">
        <v>2243</v>
      </c>
      <c r="BJ1934" s="546">
        <v>1</v>
      </c>
      <c r="BK1934" s="294" t="s">
        <v>16</v>
      </c>
      <c r="BL1934" s="157" t="s">
        <v>16</v>
      </c>
      <c r="BM1934" s="548" t="s">
        <v>1339</v>
      </c>
      <c r="BN1934" s="548" t="s">
        <v>1339</v>
      </c>
      <c r="BO1934" s="157" t="s">
        <v>4697</v>
      </c>
      <c r="BP1934" s="548" t="s">
        <v>2243</v>
      </c>
      <c r="BQ1934" s="157" t="s">
        <v>4673</v>
      </c>
      <c r="BR1934" s="157"/>
    </row>
    <row r="1935" spans="1:70" x14ac:dyDescent="0.25">
      <c r="A1935" s="19" t="s">
        <v>3686</v>
      </c>
      <c r="B1935" s="37" t="s">
        <v>896</v>
      </c>
      <c r="C1935" s="90">
        <v>44371.8747337963</v>
      </c>
      <c r="D1935" s="114">
        <v>44371.6247337963</v>
      </c>
      <c r="E1935" s="38">
        <v>44371</v>
      </c>
      <c r="F1935" s="91">
        <v>2021</v>
      </c>
      <c r="G1935" s="93">
        <v>6</v>
      </c>
      <c r="H1935" s="37" t="s">
        <v>621</v>
      </c>
      <c r="I1935" s="37" t="s">
        <v>960</v>
      </c>
      <c r="J1935" s="103">
        <v>-93.009013719943354</v>
      </c>
      <c r="K1935" s="40">
        <v>44.657257399563363</v>
      </c>
      <c r="L1935" s="74"/>
      <c r="M1935" s="272" t="s">
        <v>16</v>
      </c>
      <c r="N1935" s="74">
        <v>0</v>
      </c>
      <c r="O1935" s="94"/>
      <c r="P1935" s="118">
        <v>1</v>
      </c>
      <c r="Q1935" s="510">
        <v>120</v>
      </c>
      <c r="R1935" s="513">
        <v>180</v>
      </c>
      <c r="S1935" s="41"/>
      <c r="T1935" s="40"/>
      <c r="U1935" s="40">
        <v>8</v>
      </c>
      <c r="V1935" s="119">
        <v>1</v>
      </c>
      <c r="W1935" s="40">
        <v>200</v>
      </c>
      <c r="X1935" s="119">
        <v>1</v>
      </c>
      <c r="Y1935" s="40">
        <v>70</v>
      </c>
      <c r="Z1935" s="119">
        <v>1</v>
      </c>
      <c r="AA1935" s="368">
        <v>0</v>
      </c>
      <c r="AB1935" s="535">
        <v>5</v>
      </c>
      <c r="AC1935" s="39" t="s">
        <v>160</v>
      </c>
      <c r="AD1935" s="75" t="s">
        <v>16</v>
      </c>
      <c r="AE1935" s="95">
        <v>-1</v>
      </c>
      <c r="AF1935" s="75">
        <v>-1</v>
      </c>
      <c r="AG1935" s="75">
        <v>-1</v>
      </c>
      <c r="AH1935" s="75">
        <v>-1</v>
      </c>
      <c r="AI1935" s="75">
        <v>-1</v>
      </c>
      <c r="AJ1935" s="75">
        <v>-1</v>
      </c>
      <c r="AK1935" s="75">
        <v>-1</v>
      </c>
      <c r="AL1935" s="95">
        <v>-1</v>
      </c>
      <c r="AM1935" s="92">
        <v>1</v>
      </c>
      <c r="AN1935" s="79" t="s">
        <v>80</v>
      </c>
      <c r="AO1935" s="75">
        <v>1</v>
      </c>
      <c r="AP1935" s="75" t="s">
        <v>83</v>
      </c>
      <c r="AQ1935" s="122">
        <v>1</v>
      </c>
      <c r="AR1935" s="515" t="s">
        <v>10</v>
      </c>
      <c r="AS1935" s="95">
        <v>0</v>
      </c>
      <c r="AT1935" s="75">
        <v>0</v>
      </c>
      <c r="AU1935" s="75">
        <v>0</v>
      </c>
      <c r="AV1935" s="75">
        <v>0</v>
      </c>
      <c r="AW1935" s="123">
        <v>0</v>
      </c>
      <c r="AX1935" s="516"/>
      <c r="AY1935" s="75">
        <v>0</v>
      </c>
      <c r="AZ1935" s="77" t="s">
        <v>5971</v>
      </c>
      <c r="BA1935" s="78" t="s">
        <v>5971</v>
      </c>
      <c r="BB1935" s="78" t="s">
        <v>5971</v>
      </c>
      <c r="BC1935" s="78" t="s">
        <v>5971</v>
      </c>
      <c r="BD1935" s="78" t="s">
        <v>5971</v>
      </c>
      <c r="BE1935" s="78" t="s">
        <v>5971</v>
      </c>
      <c r="BF1935" s="78" t="s">
        <v>5971</v>
      </c>
      <c r="BG1935" s="78" t="s">
        <v>5971</v>
      </c>
      <c r="BH1935" s="75" t="s">
        <v>5971</v>
      </c>
      <c r="BI1935" s="295" t="s">
        <v>2225</v>
      </c>
      <c r="BJ1935" s="546">
        <v>1</v>
      </c>
      <c r="BK1935" s="294" t="s">
        <v>16</v>
      </c>
      <c r="BL1935" s="157" t="s">
        <v>16</v>
      </c>
      <c r="BM1935" s="548" t="s">
        <v>2343</v>
      </c>
      <c r="BN1935" s="548" t="s">
        <v>4161</v>
      </c>
      <c r="BO1935" s="157" t="s">
        <v>4293</v>
      </c>
      <c r="BP1935" s="548" t="s">
        <v>2225</v>
      </c>
      <c r="BQ1935" s="157" t="s">
        <v>4292</v>
      </c>
      <c r="BR1935" s="157"/>
    </row>
    <row r="1936" spans="1:70" x14ac:dyDescent="0.25">
      <c r="A1936" s="19" t="s">
        <v>3686</v>
      </c>
      <c r="B1936" s="37" t="s">
        <v>895</v>
      </c>
      <c r="C1936" s="90">
        <v>44370.659826388888</v>
      </c>
      <c r="D1936" s="114">
        <v>44370.409826388888</v>
      </c>
      <c r="E1936" s="38">
        <v>44370</v>
      </c>
      <c r="F1936" s="91">
        <v>2021</v>
      </c>
      <c r="G1936" s="93">
        <v>6</v>
      </c>
      <c r="H1936" s="37" t="s">
        <v>594</v>
      </c>
      <c r="I1936" s="37"/>
      <c r="J1936" s="103">
        <v>-90.958573423363816</v>
      </c>
      <c r="K1936" s="40">
        <v>43.548571816210938</v>
      </c>
      <c r="L1936" s="74"/>
      <c r="M1936" s="272" t="s">
        <v>16</v>
      </c>
      <c r="N1936" s="74">
        <v>0</v>
      </c>
      <c r="O1936" s="94"/>
      <c r="P1936" s="118">
        <v>1</v>
      </c>
      <c r="Q1936" s="510">
        <v>180</v>
      </c>
      <c r="R1936" s="513">
        <v>180</v>
      </c>
      <c r="S1936" s="41"/>
      <c r="T1936" s="40"/>
      <c r="U1936" s="40">
        <v>8</v>
      </c>
      <c r="V1936" s="119">
        <v>1</v>
      </c>
      <c r="W1936" s="40">
        <v>0</v>
      </c>
      <c r="X1936" s="119">
        <v>1</v>
      </c>
      <c r="Y1936" s="40">
        <v>52</v>
      </c>
      <c r="Z1936" s="119">
        <v>0</v>
      </c>
      <c r="AA1936" s="368" t="s">
        <v>16</v>
      </c>
      <c r="AB1936" s="535" t="s">
        <v>16</v>
      </c>
      <c r="AC1936" s="39" t="s">
        <v>160</v>
      </c>
      <c r="AD1936" s="75" t="s">
        <v>16</v>
      </c>
      <c r="AE1936" s="95">
        <v>-1</v>
      </c>
      <c r="AF1936" s="75">
        <v>-1</v>
      </c>
      <c r="AG1936" s="75">
        <v>-1</v>
      </c>
      <c r="AH1936" s="75">
        <v>-1</v>
      </c>
      <c r="AI1936" s="75">
        <v>-1</v>
      </c>
      <c r="AJ1936" s="75">
        <v>-1</v>
      </c>
      <c r="AK1936" s="75">
        <v>-1</v>
      </c>
      <c r="AL1936" s="95">
        <v>-1</v>
      </c>
      <c r="AM1936" s="92">
        <v>1</v>
      </c>
      <c r="AN1936" s="79"/>
      <c r="AO1936" s="75">
        <v>0</v>
      </c>
      <c r="AP1936" s="75"/>
      <c r="AQ1936" s="122">
        <v>0</v>
      </c>
      <c r="AR1936" s="515" t="s">
        <v>16</v>
      </c>
      <c r="AS1936" s="95">
        <v>-1</v>
      </c>
      <c r="AT1936" s="75">
        <v>-1</v>
      </c>
      <c r="AU1936" s="75">
        <v>-1</v>
      </c>
      <c r="AV1936" s="75">
        <v>-1</v>
      </c>
      <c r="AW1936" s="123">
        <v>1</v>
      </c>
      <c r="AX1936" s="516"/>
      <c r="AY1936" s="75">
        <v>0</v>
      </c>
      <c r="AZ1936" s="77" t="s">
        <v>5971</v>
      </c>
      <c r="BA1936" s="78" t="s">
        <v>5971</v>
      </c>
      <c r="BB1936" s="78" t="s">
        <v>5971</v>
      </c>
      <c r="BC1936" s="78" t="s">
        <v>5971</v>
      </c>
      <c r="BD1936" s="78" t="s">
        <v>5971</v>
      </c>
      <c r="BE1936" s="78" t="s">
        <v>5971</v>
      </c>
      <c r="BF1936" s="78" t="s">
        <v>5971</v>
      </c>
      <c r="BG1936" s="78" t="s">
        <v>5971</v>
      </c>
      <c r="BH1936" s="75" t="s">
        <v>5971</v>
      </c>
      <c r="BI1936" s="295" t="s">
        <v>2267</v>
      </c>
      <c r="BJ1936" s="546">
        <v>1</v>
      </c>
      <c r="BK1936" s="294" t="s">
        <v>16</v>
      </c>
      <c r="BL1936" s="157" t="s">
        <v>16</v>
      </c>
      <c r="BM1936" s="548" t="s">
        <v>1342</v>
      </c>
      <c r="BN1936" s="548" t="s">
        <v>5969</v>
      </c>
      <c r="BO1936" s="157" t="s">
        <v>4611</v>
      </c>
      <c r="BP1936" s="548" t="s">
        <v>4612</v>
      </c>
      <c r="BQ1936" s="157" t="s">
        <v>4610</v>
      </c>
      <c r="BR1936" s="157"/>
    </row>
    <row r="1937" spans="1:70" x14ac:dyDescent="0.25">
      <c r="A1937" s="19" t="s">
        <v>3686</v>
      </c>
      <c r="B1937" s="37" t="s">
        <v>894</v>
      </c>
      <c r="C1937" s="90">
        <v>44369.976365740738</v>
      </c>
      <c r="D1937" s="114">
        <v>44369.726365740738</v>
      </c>
      <c r="E1937" s="38">
        <v>44369</v>
      </c>
      <c r="F1937" s="91">
        <v>2021</v>
      </c>
      <c r="G1937" s="93">
        <v>6</v>
      </c>
      <c r="H1937" s="37" t="s">
        <v>625</v>
      </c>
      <c r="I1937" s="37" t="s">
        <v>753</v>
      </c>
      <c r="J1937" s="103">
        <v>-92.8021435</v>
      </c>
      <c r="K1937" s="40">
        <v>44.543096499999997</v>
      </c>
      <c r="L1937" s="74"/>
      <c r="M1937" s="272" t="s">
        <v>16</v>
      </c>
      <c r="N1937" s="74">
        <v>0</v>
      </c>
      <c r="O1937" s="94"/>
      <c r="P1937" s="118">
        <v>1</v>
      </c>
      <c r="Q1937" s="510">
        <v>80</v>
      </c>
      <c r="R1937" s="513">
        <v>120</v>
      </c>
      <c r="S1937" s="41"/>
      <c r="T1937" s="40"/>
      <c r="U1937" s="40">
        <v>7.5</v>
      </c>
      <c r="V1937" s="119">
        <v>1</v>
      </c>
      <c r="W1937" s="40">
        <v>0</v>
      </c>
      <c r="X1937" s="119">
        <v>1</v>
      </c>
      <c r="Y1937" s="40">
        <v>60</v>
      </c>
      <c r="Z1937" s="119">
        <v>1</v>
      </c>
      <c r="AA1937" s="368">
        <v>0</v>
      </c>
      <c r="AB1937" s="535">
        <v>5</v>
      </c>
      <c r="AC1937" s="39" t="s">
        <v>160</v>
      </c>
      <c r="AD1937" s="75" t="s">
        <v>10</v>
      </c>
      <c r="AE1937" s="95">
        <v>0</v>
      </c>
      <c r="AF1937" s="75">
        <v>0</v>
      </c>
      <c r="AG1937" s="75">
        <v>0</v>
      </c>
      <c r="AH1937" s="75">
        <v>0</v>
      </c>
      <c r="AI1937" s="75">
        <v>0</v>
      </c>
      <c r="AJ1937" s="75">
        <v>0</v>
      </c>
      <c r="AK1937" s="75">
        <v>0</v>
      </c>
      <c r="AL1937" s="95">
        <v>1</v>
      </c>
      <c r="AM1937" s="92">
        <v>0</v>
      </c>
      <c r="AN1937" s="79" t="s">
        <v>81</v>
      </c>
      <c r="AO1937" s="75">
        <v>1</v>
      </c>
      <c r="AP1937" s="75" t="s">
        <v>83</v>
      </c>
      <c r="AQ1937" s="122">
        <v>1</v>
      </c>
      <c r="AR1937" s="515" t="s">
        <v>10</v>
      </c>
      <c r="AS1937" s="95">
        <v>0</v>
      </c>
      <c r="AT1937" s="75">
        <v>0</v>
      </c>
      <c r="AU1937" s="75">
        <v>0</v>
      </c>
      <c r="AV1937" s="75">
        <v>0</v>
      </c>
      <c r="AW1937" s="123">
        <v>0</v>
      </c>
      <c r="AX1937" s="516" t="s">
        <v>754</v>
      </c>
      <c r="AY1937" s="75">
        <v>1</v>
      </c>
      <c r="AZ1937" s="77" t="s">
        <v>131</v>
      </c>
      <c r="BA1937" s="78" t="s">
        <v>131</v>
      </c>
      <c r="BB1937" s="78" t="s">
        <v>131</v>
      </c>
      <c r="BC1937" s="78" t="s">
        <v>131</v>
      </c>
      <c r="BD1937" s="78" t="s">
        <v>131</v>
      </c>
      <c r="BE1937" s="78" t="s">
        <v>131</v>
      </c>
      <c r="BF1937" s="78" t="s">
        <v>131</v>
      </c>
      <c r="BG1937" s="78" t="s">
        <v>132</v>
      </c>
      <c r="BH1937" s="75" t="s">
        <v>5970</v>
      </c>
      <c r="BI1937" s="295" t="s">
        <v>16</v>
      </c>
      <c r="BJ1937" s="546">
        <v>1</v>
      </c>
      <c r="BK1937" s="294">
        <v>1</v>
      </c>
      <c r="BL1937" s="157">
        <v>1</v>
      </c>
      <c r="BM1937" s="548" t="s">
        <v>2343</v>
      </c>
      <c r="BN1937" s="548" t="s">
        <v>4161</v>
      </c>
      <c r="BO1937" s="157" t="s">
        <v>4510</v>
      </c>
      <c r="BP1937" s="548" t="s">
        <v>753</v>
      </c>
      <c r="BQ1937" s="157" t="s">
        <v>4389</v>
      </c>
      <c r="BR1937" s="157"/>
    </row>
    <row r="1938" spans="1:70" x14ac:dyDescent="0.25">
      <c r="A1938" s="19" t="s">
        <v>3686</v>
      </c>
      <c r="B1938" s="37" t="s">
        <v>892</v>
      </c>
      <c r="C1938" s="90">
        <v>44369.751782407409</v>
      </c>
      <c r="D1938" s="114">
        <v>44369.501782407409</v>
      </c>
      <c r="E1938" s="38">
        <v>44369</v>
      </c>
      <c r="F1938" s="91">
        <v>2021</v>
      </c>
      <c r="G1938" s="93">
        <v>6</v>
      </c>
      <c r="H1938" s="37" t="s">
        <v>302</v>
      </c>
      <c r="I1938" s="37"/>
      <c r="J1938" s="103">
        <v>-92.144184449518846</v>
      </c>
      <c r="K1938" s="40">
        <v>44.236667940286189</v>
      </c>
      <c r="L1938" s="74"/>
      <c r="M1938" s="272" t="s">
        <v>16</v>
      </c>
      <c r="N1938" s="74">
        <v>0</v>
      </c>
      <c r="O1938" s="94"/>
      <c r="P1938" s="118">
        <v>1</v>
      </c>
      <c r="Q1938" s="510">
        <v>180</v>
      </c>
      <c r="R1938" s="513">
        <v>180</v>
      </c>
      <c r="S1938" s="41"/>
      <c r="T1938" s="40"/>
      <c r="U1938" s="40">
        <v>9</v>
      </c>
      <c r="V1938" s="119">
        <v>1</v>
      </c>
      <c r="W1938" s="40">
        <v>0</v>
      </c>
      <c r="X1938" s="119">
        <v>0</v>
      </c>
      <c r="Y1938" s="40"/>
      <c r="Z1938" s="119">
        <v>1</v>
      </c>
      <c r="AA1938" s="368">
        <v>0</v>
      </c>
      <c r="AB1938" s="535">
        <v>2</v>
      </c>
      <c r="AC1938" s="39" t="s">
        <v>160</v>
      </c>
      <c r="AD1938" s="75" t="s">
        <v>10</v>
      </c>
      <c r="AE1938" s="95">
        <v>0</v>
      </c>
      <c r="AF1938" s="75">
        <v>0</v>
      </c>
      <c r="AG1938" s="75">
        <v>0</v>
      </c>
      <c r="AH1938" s="75">
        <v>0</v>
      </c>
      <c r="AI1938" s="75">
        <v>0</v>
      </c>
      <c r="AJ1938" s="75">
        <v>0</v>
      </c>
      <c r="AK1938" s="75">
        <v>0</v>
      </c>
      <c r="AL1938" s="95">
        <v>1</v>
      </c>
      <c r="AM1938" s="92">
        <v>0</v>
      </c>
      <c r="AN1938" s="79" t="s">
        <v>80</v>
      </c>
      <c r="AO1938" s="75">
        <v>1</v>
      </c>
      <c r="AP1938" s="75" t="s">
        <v>84</v>
      </c>
      <c r="AQ1938" s="122">
        <v>1</v>
      </c>
      <c r="AR1938" s="515" t="s">
        <v>13</v>
      </c>
      <c r="AS1938" s="95">
        <v>1</v>
      </c>
      <c r="AT1938" s="75">
        <v>0</v>
      </c>
      <c r="AU1938" s="75">
        <v>0</v>
      </c>
      <c r="AV1938" s="75">
        <v>0</v>
      </c>
      <c r="AW1938" s="123">
        <v>0</v>
      </c>
      <c r="AX1938" s="516" t="s">
        <v>893</v>
      </c>
      <c r="AY1938" s="75">
        <v>1</v>
      </c>
      <c r="AZ1938" s="77" t="s">
        <v>131</v>
      </c>
      <c r="BA1938" s="78" t="s">
        <v>131</v>
      </c>
      <c r="BB1938" s="78" t="s">
        <v>131</v>
      </c>
      <c r="BC1938" s="78" t="s">
        <v>131</v>
      </c>
      <c r="BD1938" s="78" t="s">
        <v>131</v>
      </c>
      <c r="BE1938" s="78" t="s">
        <v>131</v>
      </c>
      <c r="BF1938" s="78" t="s">
        <v>131</v>
      </c>
      <c r="BG1938" s="78" t="s">
        <v>132</v>
      </c>
      <c r="BH1938" s="75" t="s">
        <v>5970</v>
      </c>
      <c r="BI1938" s="295" t="s">
        <v>317</v>
      </c>
      <c r="BJ1938" s="546">
        <v>1</v>
      </c>
      <c r="BK1938" s="294">
        <v>1</v>
      </c>
      <c r="BL1938" s="157">
        <v>1</v>
      </c>
      <c r="BM1938" s="548" t="s">
        <v>1339</v>
      </c>
      <c r="BN1938" s="548" t="s">
        <v>4160</v>
      </c>
      <c r="BO1938" s="157" t="s">
        <v>4358</v>
      </c>
      <c r="BP1938" s="548" t="s">
        <v>317</v>
      </c>
      <c r="BQ1938" s="157" t="s">
        <v>4330</v>
      </c>
      <c r="BR1938" s="157"/>
    </row>
    <row r="1939" spans="1:70" x14ac:dyDescent="0.25">
      <c r="A1939" s="19" t="s">
        <v>3686</v>
      </c>
      <c r="B1939" s="37" t="s">
        <v>1034</v>
      </c>
      <c r="C1939" s="90">
        <v>44369.584768518522</v>
      </c>
      <c r="D1939" s="114">
        <v>44369.334768518522</v>
      </c>
      <c r="E1939" s="38">
        <v>44369</v>
      </c>
      <c r="F1939" s="91">
        <v>2021</v>
      </c>
      <c r="G1939" s="93">
        <v>6</v>
      </c>
      <c r="H1939" s="37" t="s">
        <v>475</v>
      </c>
      <c r="I1939" s="37"/>
      <c r="J1939" s="103">
        <v>-92.224375046875537</v>
      </c>
      <c r="K1939" s="40">
        <v>43.622038713696988</v>
      </c>
      <c r="L1939" s="74"/>
      <c r="M1939" s="272" t="s">
        <v>16</v>
      </c>
      <c r="N1939" s="74">
        <v>0</v>
      </c>
      <c r="O1939" s="94"/>
      <c r="P1939" s="118">
        <v>1</v>
      </c>
      <c r="Q1939" s="510">
        <v>180</v>
      </c>
      <c r="R1939" s="513">
        <v>180</v>
      </c>
      <c r="S1939" s="41"/>
      <c r="T1939" s="40"/>
      <c r="U1939" s="40">
        <v>7.5</v>
      </c>
      <c r="V1939" s="119">
        <v>1</v>
      </c>
      <c r="W1939" s="40">
        <v>0</v>
      </c>
      <c r="X1939" s="119">
        <v>1</v>
      </c>
      <c r="Y1939" s="40">
        <v>0</v>
      </c>
      <c r="Z1939" s="119">
        <v>1</v>
      </c>
      <c r="AA1939" s="368">
        <v>0</v>
      </c>
      <c r="AB1939" s="535">
        <v>5</v>
      </c>
      <c r="AC1939" s="39" t="s">
        <v>160</v>
      </c>
      <c r="AD1939" s="75" t="s">
        <v>10</v>
      </c>
      <c r="AE1939" s="95">
        <v>0</v>
      </c>
      <c r="AF1939" s="75">
        <v>0</v>
      </c>
      <c r="AG1939" s="75">
        <v>0</v>
      </c>
      <c r="AH1939" s="75">
        <v>0</v>
      </c>
      <c r="AI1939" s="75">
        <v>0</v>
      </c>
      <c r="AJ1939" s="75">
        <v>0</v>
      </c>
      <c r="AK1939" s="75">
        <v>0</v>
      </c>
      <c r="AL1939" s="95">
        <v>1</v>
      </c>
      <c r="AM1939" s="92">
        <v>0</v>
      </c>
      <c r="AN1939" s="79" t="s">
        <v>81</v>
      </c>
      <c r="AO1939" s="75">
        <v>1</v>
      </c>
      <c r="AP1939" s="75" t="s">
        <v>83</v>
      </c>
      <c r="AQ1939" s="122">
        <v>1</v>
      </c>
      <c r="AR1939" s="515" t="s">
        <v>10</v>
      </c>
      <c r="AS1939" s="95">
        <v>0</v>
      </c>
      <c r="AT1939" s="75">
        <v>0</v>
      </c>
      <c r="AU1939" s="75">
        <v>0</v>
      </c>
      <c r="AV1939" s="75">
        <v>0</v>
      </c>
      <c r="AW1939" s="123">
        <v>0</v>
      </c>
      <c r="AX1939" s="516" t="s">
        <v>1035</v>
      </c>
      <c r="AY1939" s="75">
        <v>1</v>
      </c>
      <c r="AZ1939" s="77" t="s">
        <v>131</v>
      </c>
      <c r="BA1939" s="78" t="s">
        <v>131</v>
      </c>
      <c r="BB1939" s="78" t="s">
        <v>131</v>
      </c>
      <c r="BC1939" s="78" t="s">
        <v>131</v>
      </c>
      <c r="BD1939" s="78" t="s">
        <v>131</v>
      </c>
      <c r="BE1939" s="78" t="s">
        <v>131</v>
      </c>
      <c r="BF1939" s="78" t="s">
        <v>131</v>
      </c>
      <c r="BG1939" s="78" t="s">
        <v>132</v>
      </c>
      <c r="BH1939" s="75" t="s">
        <v>5970</v>
      </c>
      <c r="BI1939" s="295" t="s">
        <v>2232</v>
      </c>
      <c r="BJ1939" s="546">
        <v>1</v>
      </c>
      <c r="BK1939" s="294" t="s">
        <v>16</v>
      </c>
      <c r="BL1939" s="157" t="s">
        <v>16</v>
      </c>
      <c r="BM1939" s="548" t="s">
        <v>1339</v>
      </c>
      <c r="BN1939" s="548" t="s">
        <v>1339</v>
      </c>
      <c r="BO1939" s="157" t="s">
        <v>4719</v>
      </c>
      <c r="BP1939" s="548" t="s">
        <v>2232</v>
      </c>
      <c r="BQ1939" s="157" t="s">
        <v>4229</v>
      </c>
      <c r="BR1939" s="157"/>
    </row>
    <row r="1940" spans="1:70" x14ac:dyDescent="0.25">
      <c r="A1940" s="19" t="s">
        <v>3686</v>
      </c>
      <c r="B1940" s="37" t="s">
        <v>890</v>
      </c>
      <c r="C1940" s="90">
        <v>44369.522974537038</v>
      </c>
      <c r="D1940" s="114">
        <v>44369.272974537038</v>
      </c>
      <c r="E1940" s="38">
        <v>44369</v>
      </c>
      <c r="F1940" s="91">
        <v>2021</v>
      </c>
      <c r="G1940" s="93">
        <v>6</v>
      </c>
      <c r="H1940" s="37" t="s">
        <v>475</v>
      </c>
      <c r="I1940" s="37" t="s">
        <v>16</v>
      </c>
      <c r="J1940" s="103">
        <v>-92.278104052033527</v>
      </c>
      <c r="K1940" s="40">
        <v>43.793082051019923</v>
      </c>
      <c r="L1940" s="74"/>
      <c r="M1940" s="272" t="s">
        <v>16</v>
      </c>
      <c r="N1940" s="74">
        <v>0</v>
      </c>
      <c r="O1940" s="94"/>
      <c r="P1940" s="118">
        <v>1</v>
      </c>
      <c r="Q1940" s="510">
        <v>180</v>
      </c>
      <c r="R1940" s="513">
        <v>180</v>
      </c>
      <c r="S1940" s="41"/>
      <c r="T1940" s="40"/>
      <c r="U1940" s="40">
        <v>8</v>
      </c>
      <c r="V1940" s="119">
        <v>1</v>
      </c>
      <c r="W1940" s="40">
        <v>0</v>
      </c>
      <c r="X1940" s="119">
        <v>1</v>
      </c>
      <c r="Y1940" s="40">
        <v>0</v>
      </c>
      <c r="Z1940" s="119">
        <v>1</v>
      </c>
      <c r="AA1940" s="368">
        <v>0</v>
      </c>
      <c r="AB1940" s="535">
        <v>5</v>
      </c>
      <c r="AC1940" s="39" t="s">
        <v>160</v>
      </c>
      <c r="AD1940" s="75" t="s">
        <v>10</v>
      </c>
      <c r="AE1940" s="95">
        <v>0</v>
      </c>
      <c r="AF1940" s="75">
        <v>0</v>
      </c>
      <c r="AG1940" s="75">
        <v>0</v>
      </c>
      <c r="AH1940" s="75">
        <v>0</v>
      </c>
      <c r="AI1940" s="75">
        <v>0</v>
      </c>
      <c r="AJ1940" s="75">
        <v>0</v>
      </c>
      <c r="AK1940" s="75">
        <v>0</v>
      </c>
      <c r="AL1940" s="95">
        <v>1</v>
      </c>
      <c r="AM1940" s="92">
        <v>0</v>
      </c>
      <c r="AN1940" s="79" t="s">
        <v>195</v>
      </c>
      <c r="AO1940" s="75">
        <v>1</v>
      </c>
      <c r="AP1940" s="75" t="s">
        <v>84</v>
      </c>
      <c r="AQ1940" s="122">
        <v>1</v>
      </c>
      <c r="AR1940" s="515" t="s">
        <v>10</v>
      </c>
      <c r="AS1940" s="95">
        <v>0</v>
      </c>
      <c r="AT1940" s="75">
        <v>0</v>
      </c>
      <c r="AU1940" s="75">
        <v>0</v>
      </c>
      <c r="AV1940" s="75">
        <v>0</v>
      </c>
      <c r="AW1940" s="123">
        <v>0</v>
      </c>
      <c r="AX1940" s="516" t="s">
        <v>891</v>
      </c>
      <c r="AY1940" s="75">
        <v>1</v>
      </c>
      <c r="AZ1940" s="77" t="s">
        <v>131</v>
      </c>
      <c r="BA1940" s="78" t="s">
        <v>131</v>
      </c>
      <c r="BB1940" s="78" t="s">
        <v>131</v>
      </c>
      <c r="BC1940" s="78" t="s">
        <v>131</v>
      </c>
      <c r="BD1940" s="78" t="s">
        <v>131</v>
      </c>
      <c r="BE1940" s="78" t="s">
        <v>131</v>
      </c>
      <c r="BF1940" s="78" t="s">
        <v>131</v>
      </c>
      <c r="BG1940" s="78" t="s">
        <v>132</v>
      </c>
      <c r="BH1940" s="75" t="s">
        <v>5970</v>
      </c>
      <c r="BI1940" s="295" t="s">
        <v>2251</v>
      </c>
      <c r="BJ1940" s="546">
        <v>1</v>
      </c>
      <c r="BK1940" s="294">
        <v>1</v>
      </c>
      <c r="BL1940" s="157">
        <v>1</v>
      </c>
      <c r="BM1940" s="548" t="s">
        <v>1339</v>
      </c>
      <c r="BN1940" s="548" t="s">
        <v>1339</v>
      </c>
      <c r="BO1940" s="157" t="s">
        <v>4329</v>
      </c>
      <c r="BP1940" s="548" t="s">
        <v>4228</v>
      </c>
      <c r="BQ1940" s="157" t="s">
        <v>4226</v>
      </c>
      <c r="BR1940" s="157"/>
    </row>
    <row r="1941" spans="1:70" x14ac:dyDescent="0.25">
      <c r="A1941" s="19" t="s">
        <v>3686</v>
      </c>
      <c r="B1941" s="37" t="s">
        <v>888</v>
      </c>
      <c r="C1941" s="90">
        <v>44368.963518518518</v>
      </c>
      <c r="D1941" s="114">
        <v>44368.713518518518</v>
      </c>
      <c r="E1941" s="38">
        <v>44368</v>
      </c>
      <c r="F1941" s="91">
        <v>2021</v>
      </c>
      <c r="G1941" s="93">
        <v>6</v>
      </c>
      <c r="H1941" s="37" t="s">
        <v>608</v>
      </c>
      <c r="I1941" s="37" t="s">
        <v>16</v>
      </c>
      <c r="J1941" s="103">
        <v>-92.369226045136799</v>
      </c>
      <c r="K1941" s="40">
        <v>44.79043990621129</v>
      </c>
      <c r="L1941" s="74"/>
      <c r="M1941" s="272" t="s">
        <v>16</v>
      </c>
      <c r="N1941" s="74">
        <v>0</v>
      </c>
      <c r="O1941" s="94"/>
      <c r="P1941" s="118">
        <v>1</v>
      </c>
      <c r="Q1941" s="510">
        <v>0</v>
      </c>
      <c r="R1941" s="513">
        <v>60</v>
      </c>
      <c r="S1941" s="41"/>
      <c r="T1941" s="40"/>
      <c r="U1941" s="40">
        <v>7</v>
      </c>
      <c r="V1941" s="119">
        <v>0</v>
      </c>
      <c r="W1941" s="40"/>
      <c r="X1941" s="119">
        <v>1</v>
      </c>
      <c r="Y1941" s="40">
        <v>63</v>
      </c>
      <c r="Z1941" s="119">
        <v>1</v>
      </c>
      <c r="AA1941" s="368">
        <v>0</v>
      </c>
      <c r="AB1941" s="535">
        <v>0</v>
      </c>
      <c r="AC1941" s="39" t="s">
        <v>160</v>
      </c>
      <c r="AD1941" s="75" t="s">
        <v>16</v>
      </c>
      <c r="AE1941" s="95">
        <v>-1</v>
      </c>
      <c r="AF1941" s="75">
        <v>-1</v>
      </c>
      <c r="AG1941" s="75">
        <v>-1</v>
      </c>
      <c r="AH1941" s="75">
        <v>-1</v>
      </c>
      <c r="AI1941" s="75">
        <v>-1</v>
      </c>
      <c r="AJ1941" s="75">
        <v>-1</v>
      </c>
      <c r="AK1941" s="75">
        <v>-1</v>
      </c>
      <c r="AL1941" s="95">
        <v>-1</v>
      </c>
      <c r="AM1941" s="92">
        <v>1</v>
      </c>
      <c r="AN1941" s="79" t="s">
        <v>80</v>
      </c>
      <c r="AO1941" s="75">
        <v>1</v>
      </c>
      <c r="AP1941" s="75" t="s">
        <v>83</v>
      </c>
      <c r="AQ1941" s="122">
        <v>1</v>
      </c>
      <c r="AR1941" s="515" t="s">
        <v>10</v>
      </c>
      <c r="AS1941" s="95">
        <v>0</v>
      </c>
      <c r="AT1941" s="75">
        <v>0</v>
      </c>
      <c r="AU1941" s="75">
        <v>0</v>
      </c>
      <c r="AV1941" s="75">
        <v>0</v>
      </c>
      <c r="AW1941" s="123">
        <v>0</v>
      </c>
      <c r="AX1941" s="516" t="s">
        <v>889</v>
      </c>
      <c r="AY1941" s="75">
        <v>1</v>
      </c>
      <c r="AZ1941" s="77" t="s">
        <v>5971</v>
      </c>
      <c r="BA1941" s="78" t="s">
        <v>5971</v>
      </c>
      <c r="BB1941" s="78" t="s">
        <v>5971</v>
      </c>
      <c r="BC1941" s="78" t="s">
        <v>5971</v>
      </c>
      <c r="BD1941" s="78" t="s">
        <v>5971</v>
      </c>
      <c r="BE1941" s="78" t="s">
        <v>5971</v>
      </c>
      <c r="BF1941" s="78" t="s">
        <v>5971</v>
      </c>
      <c r="BG1941" s="78" t="s">
        <v>5971</v>
      </c>
      <c r="BH1941" s="75" t="s">
        <v>5971</v>
      </c>
      <c r="BI1941" s="295" t="s">
        <v>16</v>
      </c>
      <c r="BJ1941" s="546">
        <v>1</v>
      </c>
      <c r="BK1941" s="294">
        <v>1</v>
      </c>
      <c r="BL1941" s="157">
        <v>1</v>
      </c>
      <c r="BM1941" s="548" t="s">
        <v>578</v>
      </c>
      <c r="BN1941" s="548" t="s">
        <v>578</v>
      </c>
      <c r="BO1941" s="157" t="s">
        <v>4213</v>
      </c>
      <c r="BP1941" s="548" t="s">
        <v>4216</v>
      </c>
      <c r="BQ1941" s="157" t="s">
        <v>4212</v>
      </c>
      <c r="BR1941" s="157"/>
    </row>
    <row r="1942" spans="1:70" x14ac:dyDescent="0.25">
      <c r="A1942" s="19" t="s">
        <v>3686</v>
      </c>
      <c r="B1942" s="37" t="s">
        <v>886</v>
      </c>
      <c r="C1942" s="90">
        <v>44368.787129629629</v>
      </c>
      <c r="D1942" s="114">
        <v>44368.537129629629</v>
      </c>
      <c r="E1942" s="38">
        <v>44368</v>
      </c>
      <c r="F1942" s="91">
        <v>2021</v>
      </c>
      <c r="G1942" s="93">
        <v>6</v>
      </c>
      <c r="H1942" s="37" t="s">
        <v>201</v>
      </c>
      <c r="I1942" s="37"/>
      <c r="J1942" s="103">
        <v>-92.732079478598095</v>
      </c>
      <c r="K1942" s="40">
        <v>44.831093980911319</v>
      </c>
      <c r="L1942" s="74"/>
      <c r="M1942" s="272" t="s">
        <v>16</v>
      </c>
      <c r="N1942" s="74">
        <v>0</v>
      </c>
      <c r="O1942" s="94"/>
      <c r="P1942" s="118">
        <v>1</v>
      </c>
      <c r="Q1942" s="510">
        <v>180</v>
      </c>
      <c r="R1942" s="513">
        <v>180</v>
      </c>
      <c r="S1942" s="41"/>
      <c r="T1942" s="40"/>
      <c r="U1942" s="40">
        <v>8</v>
      </c>
      <c r="V1942" s="119">
        <v>1</v>
      </c>
      <c r="W1942" s="40">
        <v>0</v>
      </c>
      <c r="X1942" s="119">
        <v>1</v>
      </c>
      <c r="Y1942" s="40">
        <v>60</v>
      </c>
      <c r="Z1942" s="119">
        <v>1</v>
      </c>
      <c r="AA1942" s="368">
        <v>0</v>
      </c>
      <c r="AB1942" s="535">
        <v>5</v>
      </c>
      <c r="AC1942" s="39" t="s">
        <v>160</v>
      </c>
      <c r="AD1942" s="75" t="s">
        <v>8</v>
      </c>
      <c r="AE1942" s="95">
        <v>0</v>
      </c>
      <c r="AF1942" s="75">
        <v>1</v>
      </c>
      <c r="AG1942" s="75">
        <v>0</v>
      </c>
      <c r="AH1942" s="75">
        <v>0</v>
      </c>
      <c r="AI1942" s="75">
        <v>0</v>
      </c>
      <c r="AJ1942" s="75">
        <v>0</v>
      </c>
      <c r="AK1942" s="75">
        <v>0</v>
      </c>
      <c r="AL1942" s="95">
        <v>0</v>
      </c>
      <c r="AM1942" s="92">
        <v>0</v>
      </c>
      <c r="AN1942" s="79" t="s">
        <v>80</v>
      </c>
      <c r="AO1942" s="75">
        <v>1</v>
      </c>
      <c r="AP1942" s="75" t="s">
        <v>83</v>
      </c>
      <c r="AQ1942" s="122">
        <v>1</v>
      </c>
      <c r="AR1942" s="515" t="s">
        <v>13</v>
      </c>
      <c r="AS1942" s="95">
        <v>1</v>
      </c>
      <c r="AT1942" s="75">
        <v>0</v>
      </c>
      <c r="AU1942" s="75">
        <v>0</v>
      </c>
      <c r="AV1942" s="75">
        <v>0</v>
      </c>
      <c r="AW1942" s="123">
        <v>0</v>
      </c>
      <c r="AX1942" s="516" t="s">
        <v>887</v>
      </c>
      <c r="AY1942" s="75">
        <v>1</v>
      </c>
      <c r="AZ1942" s="77" t="s">
        <v>131</v>
      </c>
      <c r="BA1942" s="78" t="s">
        <v>132</v>
      </c>
      <c r="BB1942" s="78" t="s">
        <v>131</v>
      </c>
      <c r="BC1942" s="78" t="s">
        <v>131</v>
      </c>
      <c r="BD1942" s="78" t="s">
        <v>131</v>
      </c>
      <c r="BE1942" s="78" t="s">
        <v>131</v>
      </c>
      <c r="BF1942" s="78" t="s">
        <v>131</v>
      </c>
      <c r="BG1942" s="78" t="s">
        <v>131</v>
      </c>
      <c r="BH1942" s="75" t="s">
        <v>5970</v>
      </c>
      <c r="BI1942" s="295" t="s">
        <v>2227</v>
      </c>
      <c r="BJ1942" s="546">
        <v>1</v>
      </c>
      <c r="BK1942" s="294" t="s">
        <v>16</v>
      </c>
      <c r="BL1942" s="157" t="s">
        <v>16</v>
      </c>
      <c r="BM1942" s="548" t="s">
        <v>578</v>
      </c>
      <c r="BN1942" s="548" t="s">
        <v>578</v>
      </c>
      <c r="BO1942" s="157" t="s">
        <v>4341</v>
      </c>
      <c r="BP1942" s="548" t="s">
        <v>4343</v>
      </c>
      <c r="BQ1942" s="157" t="s">
        <v>4309</v>
      </c>
      <c r="BR1942" s="157"/>
    </row>
    <row r="1943" spans="1:70" x14ac:dyDescent="0.25">
      <c r="A1943" s="19" t="s">
        <v>3686</v>
      </c>
      <c r="B1943" s="37" t="s">
        <v>885</v>
      </c>
      <c r="C1943" s="90">
        <v>44367.054050925923</v>
      </c>
      <c r="D1943" s="114">
        <v>44366.804050925923</v>
      </c>
      <c r="E1943" s="38">
        <v>44366</v>
      </c>
      <c r="F1943" s="91">
        <v>2021</v>
      </c>
      <c r="G1943" s="93">
        <v>6</v>
      </c>
      <c r="H1943" s="37" t="s">
        <v>610</v>
      </c>
      <c r="I1943" s="37" t="s">
        <v>16</v>
      </c>
      <c r="J1943" s="103">
        <v>-92.563633555244721</v>
      </c>
      <c r="K1943" s="40">
        <v>44.50261749758311</v>
      </c>
      <c r="L1943" s="74"/>
      <c r="M1943" s="272" t="s">
        <v>16</v>
      </c>
      <c r="N1943" s="74">
        <v>0</v>
      </c>
      <c r="O1943" s="94"/>
      <c r="P1943" s="118">
        <v>1</v>
      </c>
      <c r="Q1943" s="510">
        <v>180</v>
      </c>
      <c r="R1943" s="513">
        <v>120</v>
      </c>
      <c r="S1943" s="41"/>
      <c r="T1943" s="40"/>
      <c r="U1943" s="40">
        <v>8</v>
      </c>
      <c r="V1943" s="119">
        <v>1</v>
      </c>
      <c r="W1943" s="40">
        <v>200</v>
      </c>
      <c r="X1943" s="119">
        <v>1</v>
      </c>
      <c r="Y1943" s="40">
        <v>64</v>
      </c>
      <c r="Z1943" s="119">
        <v>1</v>
      </c>
      <c r="AA1943" s="368">
        <v>0</v>
      </c>
      <c r="AB1943" s="535">
        <v>0</v>
      </c>
      <c r="AC1943" s="39" t="s">
        <v>160</v>
      </c>
      <c r="AD1943" s="75" t="s">
        <v>551</v>
      </c>
      <c r="AE1943" s="95">
        <v>0</v>
      </c>
      <c r="AF1943" s="75">
        <v>0</v>
      </c>
      <c r="AG1943" s="75">
        <v>0</v>
      </c>
      <c r="AH1943" s="75">
        <v>0</v>
      </c>
      <c r="AI1943" s="75">
        <v>1</v>
      </c>
      <c r="AJ1943" s="75">
        <v>0</v>
      </c>
      <c r="AK1943" s="75">
        <v>0</v>
      </c>
      <c r="AL1943" s="95">
        <v>0</v>
      </c>
      <c r="AM1943" s="92">
        <v>0</v>
      </c>
      <c r="AN1943" s="79"/>
      <c r="AO1943" s="75">
        <v>0</v>
      </c>
      <c r="AP1943" s="75" t="s">
        <v>83</v>
      </c>
      <c r="AQ1943" s="122">
        <v>1</v>
      </c>
      <c r="AR1943" s="515" t="s">
        <v>10</v>
      </c>
      <c r="AS1943" s="95">
        <v>0</v>
      </c>
      <c r="AT1943" s="75">
        <v>0</v>
      </c>
      <c r="AU1943" s="75">
        <v>0</v>
      </c>
      <c r="AV1943" s="75">
        <v>0</v>
      </c>
      <c r="AW1943" s="123">
        <v>0</v>
      </c>
      <c r="AX1943" s="516"/>
      <c r="AY1943" s="75">
        <v>0</v>
      </c>
      <c r="AZ1943" s="77" t="s">
        <v>131</v>
      </c>
      <c r="BA1943" s="78" t="s">
        <v>131</v>
      </c>
      <c r="BB1943" s="78" t="s">
        <v>131</v>
      </c>
      <c r="BC1943" s="78" t="s">
        <v>131</v>
      </c>
      <c r="BD1943" s="78" t="s">
        <v>132</v>
      </c>
      <c r="BE1943" s="78" t="s">
        <v>131</v>
      </c>
      <c r="BF1943" s="78" t="s">
        <v>131</v>
      </c>
      <c r="BG1943" s="78" t="s">
        <v>131</v>
      </c>
      <c r="BH1943" s="75" t="s">
        <v>5970</v>
      </c>
      <c r="BI1943" s="295" t="s">
        <v>2238</v>
      </c>
      <c r="BJ1943" s="546">
        <v>1</v>
      </c>
      <c r="BK1943" s="294" t="s">
        <v>16</v>
      </c>
      <c r="BL1943" s="157" t="s">
        <v>16</v>
      </c>
      <c r="BM1943" s="548" t="s">
        <v>2343</v>
      </c>
      <c r="BN1943" s="548" t="s">
        <v>1339</v>
      </c>
      <c r="BO1943" s="157" t="s">
        <v>4308</v>
      </c>
      <c r="BP1943" s="548" t="s">
        <v>2238</v>
      </c>
      <c r="BQ1943" s="157" t="s">
        <v>4307</v>
      </c>
      <c r="BR1943" s="157"/>
    </row>
    <row r="1944" spans="1:70" x14ac:dyDescent="0.25">
      <c r="A1944" s="19" t="s">
        <v>3686</v>
      </c>
      <c r="B1944" s="37" t="s">
        <v>884</v>
      </c>
      <c r="C1944" s="90">
        <v>44366.815370370372</v>
      </c>
      <c r="D1944" s="114">
        <v>44366.565370370372</v>
      </c>
      <c r="E1944" s="38">
        <v>44366</v>
      </c>
      <c r="F1944" s="91">
        <v>2021</v>
      </c>
      <c r="G1944" s="93">
        <v>6</v>
      </c>
      <c r="H1944" s="37" t="s">
        <v>622</v>
      </c>
      <c r="I1944" s="37"/>
      <c r="J1944" s="103">
        <v>-92.267921716060741</v>
      </c>
      <c r="K1944" s="40">
        <v>44.428713158745715</v>
      </c>
      <c r="L1944" s="74"/>
      <c r="M1944" s="272" t="s">
        <v>16</v>
      </c>
      <c r="N1944" s="74">
        <v>0</v>
      </c>
      <c r="O1944" s="94"/>
      <c r="P1944" s="118">
        <v>1</v>
      </c>
      <c r="Q1944" s="510">
        <v>80</v>
      </c>
      <c r="R1944" s="513">
        <v>120</v>
      </c>
      <c r="S1944" s="41"/>
      <c r="T1944" s="40"/>
      <c r="U1944" s="40">
        <v>8</v>
      </c>
      <c r="V1944" s="119">
        <v>1</v>
      </c>
      <c r="W1944" s="40">
        <v>200</v>
      </c>
      <c r="X1944" s="119">
        <v>0</v>
      </c>
      <c r="Y1944" s="40"/>
      <c r="Z1944" s="119">
        <v>0</v>
      </c>
      <c r="AA1944" s="368" t="s">
        <v>16</v>
      </c>
      <c r="AB1944" s="535" t="s">
        <v>16</v>
      </c>
      <c r="AC1944" s="39" t="s">
        <v>160</v>
      </c>
      <c r="AD1944" s="75" t="s">
        <v>16</v>
      </c>
      <c r="AE1944" s="95">
        <v>-1</v>
      </c>
      <c r="AF1944" s="75">
        <v>-1</v>
      </c>
      <c r="AG1944" s="75">
        <v>-1</v>
      </c>
      <c r="AH1944" s="75">
        <v>-1</v>
      </c>
      <c r="AI1944" s="75">
        <v>-1</v>
      </c>
      <c r="AJ1944" s="75">
        <v>-1</v>
      </c>
      <c r="AK1944" s="75">
        <v>-1</v>
      </c>
      <c r="AL1944" s="95">
        <v>-1</v>
      </c>
      <c r="AM1944" s="92">
        <v>1</v>
      </c>
      <c r="AN1944" s="79"/>
      <c r="AO1944" s="75">
        <v>0</v>
      </c>
      <c r="AP1944" s="75"/>
      <c r="AQ1944" s="122">
        <v>0</v>
      </c>
      <c r="AR1944" s="515" t="s">
        <v>16</v>
      </c>
      <c r="AS1944" s="95">
        <v>-1</v>
      </c>
      <c r="AT1944" s="75">
        <v>-1</v>
      </c>
      <c r="AU1944" s="75">
        <v>-1</v>
      </c>
      <c r="AV1944" s="75">
        <v>-1</v>
      </c>
      <c r="AW1944" s="123">
        <v>1</v>
      </c>
      <c r="AX1944" s="516"/>
      <c r="AY1944" s="75">
        <v>0</v>
      </c>
      <c r="AZ1944" s="77" t="s">
        <v>5971</v>
      </c>
      <c r="BA1944" s="78" t="s">
        <v>5971</v>
      </c>
      <c r="BB1944" s="78" t="s">
        <v>5971</v>
      </c>
      <c r="BC1944" s="78" t="s">
        <v>5971</v>
      </c>
      <c r="BD1944" s="78" t="s">
        <v>5971</v>
      </c>
      <c r="BE1944" s="78" t="s">
        <v>5971</v>
      </c>
      <c r="BF1944" s="78" t="s">
        <v>5971</v>
      </c>
      <c r="BG1944" s="78" t="s">
        <v>5971</v>
      </c>
      <c r="BH1944" s="75" t="s">
        <v>5971</v>
      </c>
      <c r="BI1944" s="295" t="s">
        <v>2228</v>
      </c>
      <c r="BJ1944" s="546">
        <v>1</v>
      </c>
      <c r="BK1944" s="294" t="s">
        <v>16</v>
      </c>
      <c r="BL1944" s="157" t="s">
        <v>16</v>
      </c>
      <c r="BM1944" s="548" t="s">
        <v>1339</v>
      </c>
      <c r="BN1944" s="548" t="s">
        <v>1339</v>
      </c>
      <c r="BO1944" s="157" t="s">
        <v>4614</v>
      </c>
      <c r="BP1944" s="548" t="s">
        <v>2228</v>
      </c>
      <c r="BQ1944" s="157" t="s">
        <v>4214</v>
      </c>
      <c r="BR1944" s="157"/>
    </row>
    <row r="1945" spans="1:70" x14ac:dyDescent="0.25">
      <c r="A1945" s="19" t="s">
        <v>3686</v>
      </c>
      <c r="B1945" s="37" t="s">
        <v>883</v>
      </c>
      <c r="C1945" s="90">
        <v>44366.602951388886</v>
      </c>
      <c r="D1945" s="114">
        <v>44366.352951388886</v>
      </c>
      <c r="E1945" s="38">
        <v>44366</v>
      </c>
      <c r="F1945" s="91">
        <v>2021</v>
      </c>
      <c r="G1945" s="93">
        <v>6</v>
      </c>
      <c r="H1945" s="37" t="s">
        <v>615</v>
      </c>
      <c r="I1945" s="37"/>
      <c r="J1945" s="103">
        <v>-91.483820800000004</v>
      </c>
      <c r="K1945" s="40">
        <v>45.035971199999999</v>
      </c>
      <c r="L1945" s="74"/>
      <c r="M1945" s="272" t="s">
        <v>16</v>
      </c>
      <c r="N1945" s="74">
        <v>0</v>
      </c>
      <c r="O1945" s="94"/>
      <c r="P1945" s="118">
        <v>1</v>
      </c>
      <c r="Q1945" s="510">
        <v>40</v>
      </c>
      <c r="R1945" s="513">
        <v>30</v>
      </c>
      <c r="S1945" s="41"/>
      <c r="T1945" s="40"/>
      <c r="U1945" s="40">
        <v>6.5</v>
      </c>
      <c r="V1945" s="119">
        <v>1</v>
      </c>
      <c r="W1945" s="40">
        <v>1000</v>
      </c>
      <c r="X1945" s="119">
        <v>1</v>
      </c>
      <c r="Y1945" s="40">
        <v>59</v>
      </c>
      <c r="Z1945" s="119">
        <v>1</v>
      </c>
      <c r="AA1945" s="368">
        <v>0</v>
      </c>
      <c r="AB1945" s="535">
        <v>5</v>
      </c>
      <c r="AC1945" s="39" t="s">
        <v>160</v>
      </c>
      <c r="AD1945" s="75" t="s">
        <v>10</v>
      </c>
      <c r="AE1945" s="95">
        <v>0</v>
      </c>
      <c r="AF1945" s="75">
        <v>0</v>
      </c>
      <c r="AG1945" s="75">
        <v>0</v>
      </c>
      <c r="AH1945" s="75">
        <v>0</v>
      </c>
      <c r="AI1945" s="75">
        <v>0</v>
      </c>
      <c r="AJ1945" s="75">
        <v>0</v>
      </c>
      <c r="AK1945" s="75">
        <v>0</v>
      </c>
      <c r="AL1945" s="95">
        <v>1</v>
      </c>
      <c r="AM1945" s="92">
        <v>0</v>
      </c>
      <c r="AN1945" s="79" t="s">
        <v>81</v>
      </c>
      <c r="AO1945" s="75">
        <v>1</v>
      </c>
      <c r="AP1945" s="75" t="s">
        <v>84</v>
      </c>
      <c r="AQ1945" s="122">
        <v>1</v>
      </c>
      <c r="AR1945" s="515" t="s">
        <v>10</v>
      </c>
      <c r="AS1945" s="95">
        <v>0</v>
      </c>
      <c r="AT1945" s="75">
        <v>0</v>
      </c>
      <c r="AU1945" s="75">
        <v>0</v>
      </c>
      <c r="AV1945" s="75">
        <v>0</v>
      </c>
      <c r="AW1945" s="123">
        <v>0</v>
      </c>
      <c r="AX1945" s="516"/>
      <c r="AY1945" s="75">
        <v>0</v>
      </c>
      <c r="AZ1945" s="77" t="s">
        <v>131</v>
      </c>
      <c r="BA1945" s="78" t="s">
        <v>131</v>
      </c>
      <c r="BB1945" s="78" t="s">
        <v>131</v>
      </c>
      <c r="BC1945" s="78" t="s">
        <v>131</v>
      </c>
      <c r="BD1945" s="78" t="s">
        <v>131</v>
      </c>
      <c r="BE1945" s="78" t="s">
        <v>131</v>
      </c>
      <c r="BF1945" s="78" t="s">
        <v>131</v>
      </c>
      <c r="BG1945" s="78" t="s">
        <v>132</v>
      </c>
      <c r="BH1945" s="75" t="s">
        <v>5970</v>
      </c>
      <c r="BI1945" s="295" t="s">
        <v>4740</v>
      </c>
      <c r="BJ1945" s="546">
        <v>1</v>
      </c>
      <c r="BK1945" s="294" t="s">
        <v>16</v>
      </c>
      <c r="BL1945" s="157" t="s">
        <v>16</v>
      </c>
      <c r="BM1945" s="548" t="s">
        <v>1340</v>
      </c>
      <c r="BN1945" s="548" t="s">
        <v>4161</v>
      </c>
      <c r="BO1945" s="157" t="s">
        <v>4739</v>
      </c>
      <c r="BP1945" s="548" t="s">
        <v>2238</v>
      </c>
      <c r="BQ1945" s="157" t="s">
        <v>4738</v>
      </c>
      <c r="BR1945" s="157"/>
    </row>
    <row r="1946" spans="1:70" x14ac:dyDescent="0.25">
      <c r="A1946" s="19" t="s">
        <v>3686</v>
      </c>
      <c r="B1946" s="37" t="s">
        <v>882</v>
      </c>
      <c r="C1946" s="90">
        <v>44365.90347222222</v>
      </c>
      <c r="D1946" s="114">
        <v>44365.65347222222</v>
      </c>
      <c r="E1946" s="38">
        <v>44365</v>
      </c>
      <c r="F1946" s="91">
        <v>2021</v>
      </c>
      <c r="G1946" s="93">
        <v>6</v>
      </c>
      <c r="H1946" s="37" t="s">
        <v>615</v>
      </c>
      <c r="I1946" s="37"/>
      <c r="J1946" s="103">
        <v>-91.630333800000002</v>
      </c>
      <c r="K1946" s="40">
        <v>44.9020668</v>
      </c>
      <c r="L1946" s="74"/>
      <c r="M1946" s="272" t="s">
        <v>16</v>
      </c>
      <c r="N1946" s="74">
        <v>0</v>
      </c>
      <c r="O1946" s="94"/>
      <c r="P1946" s="118">
        <v>1</v>
      </c>
      <c r="Q1946" s="510">
        <v>40</v>
      </c>
      <c r="R1946" s="513">
        <v>30</v>
      </c>
      <c r="S1946" s="41"/>
      <c r="T1946" s="40"/>
      <c r="U1946" s="40">
        <v>7</v>
      </c>
      <c r="V1946" s="119">
        <v>1</v>
      </c>
      <c r="W1946" s="40">
        <v>1000</v>
      </c>
      <c r="X1946" s="119">
        <v>1</v>
      </c>
      <c r="Y1946" s="40">
        <v>66</v>
      </c>
      <c r="Z1946" s="119">
        <v>1</v>
      </c>
      <c r="AA1946" s="368">
        <v>0</v>
      </c>
      <c r="AB1946" s="535">
        <v>5</v>
      </c>
      <c r="AC1946" s="39" t="s">
        <v>160</v>
      </c>
      <c r="AD1946" s="75" t="s">
        <v>10</v>
      </c>
      <c r="AE1946" s="95">
        <v>0</v>
      </c>
      <c r="AF1946" s="75">
        <v>0</v>
      </c>
      <c r="AG1946" s="75">
        <v>0</v>
      </c>
      <c r="AH1946" s="75">
        <v>0</v>
      </c>
      <c r="AI1946" s="75">
        <v>0</v>
      </c>
      <c r="AJ1946" s="75">
        <v>0</v>
      </c>
      <c r="AK1946" s="75">
        <v>0</v>
      </c>
      <c r="AL1946" s="95">
        <v>1</v>
      </c>
      <c r="AM1946" s="92">
        <v>0</v>
      </c>
      <c r="AN1946" s="79" t="s">
        <v>81</v>
      </c>
      <c r="AO1946" s="75">
        <v>1</v>
      </c>
      <c r="AP1946" s="75" t="s">
        <v>83</v>
      </c>
      <c r="AQ1946" s="122">
        <v>1</v>
      </c>
      <c r="AR1946" s="515" t="s">
        <v>10</v>
      </c>
      <c r="AS1946" s="95">
        <v>0</v>
      </c>
      <c r="AT1946" s="75">
        <v>0</v>
      </c>
      <c r="AU1946" s="75">
        <v>0</v>
      </c>
      <c r="AV1946" s="75">
        <v>0</v>
      </c>
      <c r="AW1946" s="123">
        <v>0</v>
      </c>
      <c r="AX1946" s="516"/>
      <c r="AY1946" s="75">
        <v>0</v>
      </c>
      <c r="AZ1946" s="77" t="s">
        <v>131</v>
      </c>
      <c r="BA1946" s="78" t="s">
        <v>131</v>
      </c>
      <c r="BB1946" s="78" t="s">
        <v>131</v>
      </c>
      <c r="BC1946" s="78" t="s">
        <v>131</v>
      </c>
      <c r="BD1946" s="78" t="s">
        <v>131</v>
      </c>
      <c r="BE1946" s="78" t="s">
        <v>131</v>
      </c>
      <c r="BF1946" s="78" t="s">
        <v>131</v>
      </c>
      <c r="BG1946" s="78" t="s">
        <v>132</v>
      </c>
      <c r="BH1946" s="75" t="s">
        <v>5970</v>
      </c>
      <c r="BI1946" s="295" t="s">
        <v>2246</v>
      </c>
      <c r="BJ1946" s="546">
        <v>1</v>
      </c>
      <c r="BK1946" s="294">
        <v>1</v>
      </c>
      <c r="BL1946" s="157">
        <v>1</v>
      </c>
      <c r="BM1946" s="548" t="s">
        <v>1340</v>
      </c>
      <c r="BN1946" s="548" t="s">
        <v>4161</v>
      </c>
      <c r="BO1946" s="157" t="s">
        <v>4631</v>
      </c>
      <c r="BP1946" s="548" t="s">
        <v>4632</v>
      </c>
      <c r="BQ1946" s="157" t="s">
        <v>4630</v>
      </c>
      <c r="BR1946" s="157"/>
    </row>
    <row r="1947" spans="1:70" x14ac:dyDescent="0.25">
      <c r="A1947" s="19" t="s">
        <v>3686</v>
      </c>
      <c r="B1947" s="37" t="s">
        <v>880</v>
      </c>
      <c r="C1947" s="90">
        <v>44364.013564814813</v>
      </c>
      <c r="D1947" s="114">
        <v>44363.763564814813</v>
      </c>
      <c r="E1947" s="38">
        <v>44363</v>
      </c>
      <c r="F1947" s="91">
        <v>2021</v>
      </c>
      <c r="G1947" s="93">
        <v>6</v>
      </c>
      <c r="H1947" s="37" t="s">
        <v>606</v>
      </c>
      <c r="I1947" s="37"/>
      <c r="J1947" s="103">
        <v>-92.143994048990706</v>
      </c>
      <c r="K1947" s="40">
        <v>44.23665308357657</v>
      </c>
      <c r="L1947" s="74"/>
      <c r="M1947" s="272" t="s">
        <v>16</v>
      </c>
      <c r="N1947" s="74">
        <v>0</v>
      </c>
      <c r="O1947" s="94"/>
      <c r="P1947" s="118">
        <v>1</v>
      </c>
      <c r="Q1947" s="510">
        <v>180</v>
      </c>
      <c r="R1947" s="513">
        <v>180</v>
      </c>
      <c r="S1947" s="41"/>
      <c r="T1947" s="40"/>
      <c r="U1947" s="40">
        <v>8</v>
      </c>
      <c r="V1947" s="119">
        <v>1</v>
      </c>
      <c r="W1947" s="40">
        <v>100</v>
      </c>
      <c r="X1947" s="119">
        <v>1</v>
      </c>
      <c r="Y1947" s="40">
        <v>60</v>
      </c>
      <c r="Z1947" s="119">
        <v>1</v>
      </c>
      <c r="AA1947" s="368">
        <v>0</v>
      </c>
      <c r="AB1947" s="535">
        <v>5</v>
      </c>
      <c r="AC1947" s="39" t="s">
        <v>160</v>
      </c>
      <c r="AD1947" s="75" t="s">
        <v>10</v>
      </c>
      <c r="AE1947" s="95">
        <v>0</v>
      </c>
      <c r="AF1947" s="75">
        <v>0</v>
      </c>
      <c r="AG1947" s="75">
        <v>0</v>
      </c>
      <c r="AH1947" s="75">
        <v>0</v>
      </c>
      <c r="AI1947" s="75">
        <v>0</v>
      </c>
      <c r="AJ1947" s="75">
        <v>0</v>
      </c>
      <c r="AK1947" s="75">
        <v>0</v>
      </c>
      <c r="AL1947" s="95">
        <v>1</v>
      </c>
      <c r="AM1947" s="92">
        <v>0</v>
      </c>
      <c r="AN1947" s="79" t="s">
        <v>80</v>
      </c>
      <c r="AO1947" s="75">
        <v>1</v>
      </c>
      <c r="AP1947" s="75" t="s">
        <v>83</v>
      </c>
      <c r="AQ1947" s="122">
        <v>1</v>
      </c>
      <c r="AR1947" s="515" t="s">
        <v>10</v>
      </c>
      <c r="AS1947" s="95">
        <v>0</v>
      </c>
      <c r="AT1947" s="75">
        <v>0</v>
      </c>
      <c r="AU1947" s="75">
        <v>0</v>
      </c>
      <c r="AV1947" s="75">
        <v>0</v>
      </c>
      <c r="AW1947" s="123">
        <v>0</v>
      </c>
      <c r="AX1947" s="516" t="s">
        <v>881</v>
      </c>
      <c r="AY1947" s="75">
        <v>1</v>
      </c>
      <c r="AZ1947" s="77" t="s">
        <v>131</v>
      </c>
      <c r="BA1947" s="78" t="s">
        <v>131</v>
      </c>
      <c r="BB1947" s="78" t="s">
        <v>131</v>
      </c>
      <c r="BC1947" s="78" t="s">
        <v>131</v>
      </c>
      <c r="BD1947" s="78" t="s">
        <v>131</v>
      </c>
      <c r="BE1947" s="78" t="s">
        <v>131</v>
      </c>
      <c r="BF1947" s="78" t="s">
        <v>131</v>
      </c>
      <c r="BG1947" s="78" t="s">
        <v>132</v>
      </c>
      <c r="BH1947" s="75" t="s">
        <v>5970</v>
      </c>
      <c r="BI1947" s="295" t="s">
        <v>317</v>
      </c>
      <c r="BJ1947" s="546">
        <v>1</v>
      </c>
      <c r="BK1947" s="294">
        <v>1</v>
      </c>
      <c r="BL1947" s="157">
        <v>1</v>
      </c>
      <c r="BM1947" s="548" t="s">
        <v>1339</v>
      </c>
      <c r="BN1947" s="548" t="s">
        <v>1339</v>
      </c>
      <c r="BO1947" s="157" t="s">
        <v>4358</v>
      </c>
      <c r="BP1947" s="548" t="s">
        <v>317</v>
      </c>
      <c r="BQ1947" s="157" t="s">
        <v>4330</v>
      </c>
      <c r="BR1947" s="157"/>
    </row>
    <row r="1948" spans="1:70" x14ac:dyDescent="0.25">
      <c r="A1948" s="19" t="s">
        <v>3686</v>
      </c>
      <c r="B1948" s="37" t="s">
        <v>877</v>
      </c>
      <c r="C1948" s="90">
        <v>44363.053298611114</v>
      </c>
      <c r="D1948" s="114">
        <v>44362.803298611114</v>
      </c>
      <c r="E1948" s="38">
        <v>44362</v>
      </c>
      <c r="F1948" s="91">
        <v>2021</v>
      </c>
      <c r="G1948" s="93">
        <v>6</v>
      </c>
      <c r="H1948" s="37" t="s">
        <v>260</v>
      </c>
      <c r="I1948" s="37" t="s">
        <v>337</v>
      </c>
      <c r="J1948" s="103">
        <v>-92.645023805184806</v>
      </c>
      <c r="K1948" s="40">
        <v>44.84358198527903</v>
      </c>
      <c r="L1948" s="74"/>
      <c r="M1948" s="272" t="s">
        <v>878</v>
      </c>
      <c r="N1948" s="74">
        <v>1</v>
      </c>
      <c r="O1948" s="94"/>
      <c r="P1948" s="118">
        <v>1</v>
      </c>
      <c r="Q1948" s="510">
        <v>0</v>
      </c>
      <c r="R1948" s="513">
        <v>30</v>
      </c>
      <c r="S1948" s="41"/>
      <c r="T1948" s="40"/>
      <c r="U1948" s="40">
        <v>7</v>
      </c>
      <c r="V1948" s="119">
        <v>1</v>
      </c>
      <c r="W1948" s="40">
        <v>200</v>
      </c>
      <c r="X1948" s="119">
        <v>1</v>
      </c>
      <c r="Y1948" s="40">
        <v>64</v>
      </c>
      <c r="Z1948" s="119">
        <v>1</v>
      </c>
      <c r="AA1948" s="368">
        <v>0</v>
      </c>
      <c r="AB1948" s="535">
        <v>5</v>
      </c>
      <c r="AC1948" s="39" t="s">
        <v>160</v>
      </c>
      <c r="AD1948" s="75" t="s">
        <v>10</v>
      </c>
      <c r="AE1948" s="95">
        <v>0</v>
      </c>
      <c r="AF1948" s="75">
        <v>0</v>
      </c>
      <c r="AG1948" s="75">
        <v>0</v>
      </c>
      <c r="AH1948" s="75">
        <v>0</v>
      </c>
      <c r="AI1948" s="75">
        <v>0</v>
      </c>
      <c r="AJ1948" s="75">
        <v>0</v>
      </c>
      <c r="AK1948" s="75">
        <v>0</v>
      </c>
      <c r="AL1948" s="95">
        <v>1</v>
      </c>
      <c r="AM1948" s="92">
        <v>0</v>
      </c>
      <c r="AN1948" s="79" t="s">
        <v>80</v>
      </c>
      <c r="AO1948" s="75">
        <v>1</v>
      </c>
      <c r="AP1948" s="75" t="s">
        <v>83</v>
      </c>
      <c r="AQ1948" s="122">
        <v>1</v>
      </c>
      <c r="AR1948" s="515" t="s">
        <v>10</v>
      </c>
      <c r="AS1948" s="95">
        <v>0</v>
      </c>
      <c r="AT1948" s="75">
        <v>0</v>
      </c>
      <c r="AU1948" s="75">
        <v>0</v>
      </c>
      <c r="AV1948" s="75">
        <v>0</v>
      </c>
      <c r="AW1948" s="123">
        <v>0</v>
      </c>
      <c r="AX1948" s="516" t="s">
        <v>879</v>
      </c>
      <c r="AY1948" s="75">
        <v>1</v>
      </c>
      <c r="AZ1948" s="77" t="s">
        <v>131</v>
      </c>
      <c r="BA1948" s="78" t="s">
        <v>131</v>
      </c>
      <c r="BB1948" s="78" t="s">
        <v>131</v>
      </c>
      <c r="BC1948" s="78" t="s">
        <v>131</v>
      </c>
      <c r="BD1948" s="78" t="s">
        <v>131</v>
      </c>
      <c r="BE1948" s="78" t="s">
        <v>131</v>
      </c>
      <c r="BF1948" s="78" t="s">
        <v>131</v>
      </c>
      <c r="BG1948" s="78" t="s">
        <v>132</v>
      </c>
      <c r="BH1948" s="75" t="s">
        <v>5970</v>
      </c>
      <c r="BI1948" s="295" t="s">
        <v>2227</v>
      </c>
      <c r="BJ1948" s="546">
        <v>1</v>
      </c>
      <c r="BK1948" s="294" t="s">
        <v>16</v>
      </c>
      <c r="BL1948" s="157" t="s">
        <v>16</v>
      </c>
      <c r="BM1948" s="548" t="s">
        <v>578</v>
      </c>
      <c r="BN1948" s="548" t="s">
        <v>578</v>
      </c>
      <c r="BO1948" s="157" t="s">
        <v>4341</v>
      </c>
      <c r="BP1948" s="548" t="s">
        <v>4343</v>
      </c>
      <c r="BQ1948" s="157" t="s">
        <v>4309</v>
      </c>
      <c r="BR1948" s="157"/>
    </row>
    <row r="1949" spans="1:70" x14ac:dyDescent="0.25">
      <c r="A1949" s="19" t="s">
        <v>3686</v>
      </c>
      <c r="B1949" s="37" t="s">
        <v>876</v>
      </c>
      <c r="C1949" s="90">
        <v>44363.015972222223</v>
      </c>
      <c r="D1949" s="114">
        <v>44362.765972222223</v>
      </c>
      <c r="E1949" s="38">
        <v>44362</v>
      </c>
      <c r="F1949" s="91">
        <v>2021</v>
      </c>
      <c r="G1949" s="93">
        <v>6</v>
      </c>
      <c r="H1949" s="37" t="s">
        <v>601</v>
      </c>
      <c r="I1949" s="37" t="s">
        <v>960</v>
      </c>
      <c r="J1949" s="103">
        <v>-93.009188426178483</v>
      </c>
      <c r="K1949" s="40">
        <v>44.657216933799575</v>
      </c>
      <c r="L1949" s="74"/>
      <c r="M1949" s="272" t="s">
        <v>16</v>
      </c>
      <c r="N1949" s="74">
        <v>0</v>
      </c>
      <c r="O1949" s="94"/>
      <c r="P1949" s="118">
        <v>1</v>
      </c>
      <c r="Q1949" s="510">
        <v>120</v>
      </c>
      <c r="R1949" s="513">
        <v>120</v>
      </c>
      <c r="S1949" s="41"/>
      <c r="T1949" s="40"/>
      <c r="U1949" s="40">
        <v>7.5</v>
      </c>
      <c r="V1949" s="119">
        <v>1</v>
      </c>
      <c r="W1949" s="40">
        <v>200</v>
      </c>
      <c r="X1949" s="119">
        <v>1</v>
      </c>
      <c r="Y1949" s="40">
        <v>68</v>
      </c>
      <c r="Z1949" s="119">
        <v>1</v>
      </c>
      <c r="AA1949" s="368">
        <v>0</v>
      </c>
      <c r="AB1949" s="535">
        <v>10</v>
      </c>
      <c r="AC1949" s="39" t="s">
        <v>160</v>
      </c>
      <c r="AD1949" s="75" t="s">
        <v>10</v>
      </c>
      <c r="AE1949" s="95">
        <v>0</v>
      </c>
      <c r="AF1949" s="75">
        <v>0</v>
      </c>
      <c r="AG1949" s="75">
        <v>0</v>
      </c>
      <c r="AH1949" s="75">
        <v>0</v>
      </c>
      <c r="AI1949" s="75">
        <v>0</v>
      </c>
      <c r="AJ1949" s="75">
        <v>0</v>
      </c>
      <c r="AK1949" s="75">
        <v>0</v>
      </c>
      <c r="AL1949" s="95">
        <v>1</v>
      </c>
      <c r="AM1949" s="92">
        <v>0</v>
      </c>
      <c r="AN1949" s="79" t="s">
        <v>80</v>
      </c>
      <c r="AO1949" s="75">
        <v>1</v>
      </c>
      <c r="AP1949" s="75" t="s">
        <v>83</v>
      </c>
      <c r="AQ1949" s="122">
        <v>1</v>
      </c>
      <c r="AR1949" s="515" t="s">
        <v>10</v>
      </c>
      <c r="AS1949" s="95">
        <v>0</v>
      </c>
      <c r="AT1949" s="75">
        <v>0</v>
      </c>
      <c r="AU1949" s="75">
        <v>0</v>
      </c>
      <c r="AV1949" s="75">
        <v>0</v>
      </c>
      <c r="AW1949" s="123">
        <v>0</v>
      </c>
      <c r="AX1949" s="516"/>
      <c r="AY1949" s="75">
        <v>0</v>
      </c>
      <c r="AZ1949" s="77" t="s">
        <v>131</v>
      </c>
      <c r="BA1949" s="78" t="s">
        <v>131</v>
      </c>
      <c r="BB1949" s="78" t="s">
        <v>131</v>
      </c>
      <c r="BC1949" s="78" t="s">
        <v>131</v>
      </c>
      <c r="BD1949" s="78" t="s">
        <v>131</v>
      </c>
      <c r="BE1949" s="78" t="s">
        <v>131</v>
      </c>
      <c r="BF1949" s="78" t="s">
        <v>131</v>
      </c>
      <c r="BG1949" s="78" t="s">
        <v>132</v>
      </c>
      <c r="BH1949" s="75" t="s">
        <v>5970</v>
      </c>
      <c r="BI1949" s="295" t="s">
        <v>2225</v>
      </c>
      <c r="BJ1949" s="546">
        <v>1</v>
      </c>
      <c r="BK1949" s="294" t="s">
        <v>16</v>
      </c>
      <c r="BL1949" s="157" t="s">
        <v>16</v>
      </c>
      <c r="BM1949" s="548" t="s">
        <v>2343</v>
      </c>
      <c r="BN1949" s="548" t="s">
        <v>4161</v>
      </c>
      <c r="BO1949" s="157" t="s">
        <v>4293</v>
      </c>
      <c r="BP1949" s="548" t="s">
        <v>2225</v>
      </c>
      <c r="BQ1949" s="157" t="s">
        <v>4292</v>
      </c>
      <c r="BR1949" s="157"/>
    </row>
    <row r="1950" spans="1:70" x14ac:dyDescent="0.25">
      <c r="A1950" s="19" t="s">
        <v>3686</v>
      </c>
      <c r="B1950" s="37" t="s">
        <v>873</v>
      </c>
      <c r="C1950" s="90">
        <v>44362.992673611108</v>
      </c>
      <c r="D1950" s="114">
        <v>44362.742673611108</v>
      </c>
      <c r="E1950" s="38">
        <v>44362</v>
      </c>
      <c r="F1950" s="91">
        <v>2021</v>
      </c>
      <c r="G1950" s="93">
        <v>6</v>
      </c>
      <c r="H1950" s="37" t="s">
        <v>624</v>
      </c>
      <c r="I1950" s="37" t="s">
        <v>960</v>
      </c>
      <c r="J1950" s="103">
        <v>-93.008988674584558</v>
      </c>
      <c r="K1950" s="40">
        <v>44.657264490918031</v>
      </c>
      <c r="L1950" s="74"/>
      <c r="M1950" s="272" t="s">
        <v>874</v>
      </c>
      <c r="N1950" s="74">
        <v>1</v>
      </c>
      <c r="O1950" s="94"/>
      <c r="P1950" s="118">
        <v>1</v>
      </c>
      <c r="Q1950" s="510">
        <v>180</v>
      </c>
      <c r="R1950" s="513">
        <v>120</v>
      </c>
      <c r="S1950" s="41"/>
      <c r="T1950" s="40"/>
      <c r="U1950" s="40">
        <v>8</v>
      </c>
      <c r="V1950" s="119">
        <v>1</v>
      </c>
      <c r="W1950" s="40">
        <v>200</v>
      </c>
      <c r="X1950" s="119">
        <v>1</v>
      </c>
      <c r="Y1950" s="40">
        <v>68</v>
      </c>
      <c r="Z1950" s="119">
        <v>1</v>
      </c>
      <c r="AA1950" s="368">
        <v>0</v>
      </c>
      <c r="AB1950" s="535">
        <v>5</v>
      </c>
      <c r="AC1950" s="39" t="s">
        <v>160</v>
      </c>
      <c r="AD1950" s="75" t="s">
        <v>10</v>
      </c>
      <c r="AE1950" s="95">
        <v>0</v>
      </c>
      <c r="AF1950" s="75">
        <v>0</v>
      </c>
      <c r="AG1950" s="75">
        <v>0</v>
      </c>
      <c r="AH1950" s="75">
        <v>0</v>
      </c>
      <c r="AI1950" s="75">
        <v>0</v>
      </c>
      <c r="AJ1950" s="75">
        <v>0</v>
      </c>
      <c r="AK1950" s="75">
        <v>0</v>
      </c>
      <c r="AL1950" s="95">
        <v>1</v>
      </c>
      <c r="AM1950" s="92">
        <v>0</v>
      </c>
      <c r="AN1950" s="79" t="s">
        <v>16</v>
      </c>
      <c r="AO1950" s="75">
        <v>0</v>
      </c>
      <c r="AP1950" s="75" t="s">
        <v>83</v>
      </c>
      <c r="AQ1950" s="122">
        <v>1</v>
      </c>
      <c r="AR1950" s="515" t="s">
        <v>10</v>
      </c>
      <c r="AS1950" s="95">
        <v>0</v>
      </c>
      <c r="AT1950" s="75">
        <v>0</v>
      </c>
      <c r="AU1950" s="75">
        <v>0</v>
      </c>
      <c r="AV1950" s="75">
        <v>0</v>
      </c>
      <c r="AW1950" s="123">
        <v>0</v>
      </c>
      <c r="AX1950" s="516" t="s">
        <v>875</v>
      </c>
      <c r="AY1950" s="75">
        <v>1</v>
      </c>
      <c r="AZ1950" s="77" t="s">
        <v>131</v>
      </c>
      <c r="BA1950" s="78" t="s">
        <v>131</v>
      </c>
      <c r="BB1950" s="78" t="s">
        <v>131</v>
      </c>
      <c r="BC1950" s="78" t="s">
        <v>131</v>
      </c>
      <c r="BD1950" s="78" t="s">
        <v>131</v>
      </c>
      <c r="BE1950" s="78" t="s">
        <v>131</v>
      </c>
      <c r="BF1950" s="78" t="s">
        <v>131</v>
      </c>
      <c r="BG1950" s="78" t="s">
        <v>132</v>
      </c>
      <c r="BH1950" s="75" t="s">
        <v>5970</v>
      </c>
      <c r="BI1950" s="295" t="s">
        <v>2225</v>
      </c>
      <c r="BJ1950" s="546">
        <v>1</v>
      </c>
      <c r="BK1950" s="294" t="s">
        <v>16</v>
      </c>
      <c r="BL1950" s="157" t="s">
        <v>16</v>
      </c>
      <c r="BM1950" s="548" t="s">
        <v>2343</v>
      </c>
      <c r="BN1950" s="548" t="s">
        <v>4161</v>
      </c>
      <c r="BO1950" s="157" t="s">
        <v>4293</v>
      </c>
      <c r="BP1950" s="548" t="s">
        <v>2225</v>
      </c>
      <c r="BQ1950" s="157" t="s">
        <v>4292</v>
      </c>
      <c r="BR1950" s="157"/>
    </row>
    <row r="1951" spans="1:70" x14ac:dyDescent="0.25">
      <c r="A1951" s="19" t="s">
        <v>3686</v>
      </c>
      <c r="B1951" s="37" t="s">
        <v>872</v>
      </c>
      <c r="C1951" s="90">
        <v>44362.992442129631</v>
      </c>
      <c r="D1951" s="114">
        <v>44362.742442129631</v>
      </c>
      <c r="E1951" s="38">
        <v>44362</v>
      </c>
      <c r="F1951" s="91">
        <v>2021</v>
      </c>
      <c r="G1951" s="93">
        <v>6</v>
      </c>
      <c r="H1951" s="37" t="s">
        <v>604</v>
      </c>
      <c r="I1951" s="37" t="s">
        <v>16</v>
      </c>
      <c r="J1951" s="103">
        <v>-93.009051606145675</v>
      </c>
      <c r="K1951" s="40">
        <v>44.65729034044282</v>
      </c>
      <c r="L1951" s="74"/>
      <c r="M1951" s="272" t="s">
        <v>16</v>
      </c>
      <c r="N1951" s="74">
        <v>0</v>
      </c>
      <c r="O1951" s="94"/>
      <c r="P1951" s="118">
        <v>1</v>
      </c>
      <c r="Q1951" s="510">
        <v>120</v>
      </c>
      <c r="R1951" s="513">
        <v>30</v>
      </c>
      <c r="S1951" s="41"/>
      <c r="T1951" s="40"/>
      <c r="U1951" s="40">
        <v>7.5</v>
      </c>
      <c r="V1951" s="119">
        <v>1</v>
      </c>
      <c r="W1951" s="40">
        <v>200</v>
      </c>
      <c r="X1951" s="119">
        <v>1</v>
      </c>
      <c r="Y1951" s="40">
        <v>68</v>
      </c>
      <c r="Z1951" s="119">
        <v>1</v>
      </c>
      <c r="AA1951" s="368">
        <v>0</v>
      </c>
      <c r="AB1951" s="535">
        <v>10</v>
      </c>
      <c r="AC1951" s="39" t="s">
        <v>160</v>
      </c>
      <c r="AD1951" s="75" t="s">
        <v>10</v>
      </c>
      <c r="AE1951" s="95">
        <v>0</v>
      </c>
      <c r="AF1951" s="75">
        <v>0</v>
      </c>
      <c r="AG1951" s="75">
        <v>0</v>
      </c>
      <c r="AH1951" s="75">
        <v>0</v>
      </c>
      <c r="AI1951" s="75">
        <v>0</v>
      </c>
      <c r="AJ1951" s="75">
        <v>0</v>
      </c>
      <c r="AK1951" s="75">
        <v>0</v>
      </c>
      <c r="AL1951" s="95">
        <v>1</v>
      </c>
      <c r="AM1951" s="92">
        <v>0</v>
      </c>
      <c r="AN1951" s="79" t="s">
        <v>80</v>
      </c>
      <c r="AO1951" s="75">
        <v>1</v>
      </c>
      <c r="AP1951" s="75" t="s">
        <v>83</v>
      </c>
      <c r="AQ1951" s="122">
        <v>1</v>
      </c>
      <c r="AR1951" s="515" t="s">
        <v>10</v>
      </c>
      <c r="AS1951" s="95">
        <v>0</v>
      </c>
      <c r="AT1951" s="75">
        <v>0</v>
      </c>
      <c r="AU1951" s="75">
        <v>0</v>
      </c>
      <c r="AV1951" s="75">
        <v>0</v>
      </c>
      <c r="AW1951" s="123">
        <v>0</v>
      </c>
      <c r="AX1951" s="516"/>
      <c r="AY1951" s="75">
        <v>0</v>
      </c>
      <c r="AZ1951" s="77" t="s">
        <v>131</v>
      </c>
      <c r="BA1951" s="78" t="s">
        <v>131</v>
      </c>
      <c r="BB1951" s="78" t="s">
        <v>131</v>
      </c>
      <c r="BC1951" s="78" t="s">
        <v>131</v>
      </c>
      <c r="BD1951" s="78" t="s">
        <v>131</v>
      </c>
      <c r="BE1951" s="78" t="s">
        <v>131</v>
      </c>
      <c r="BF1951" s="78" t="s">
        <v>131</v>
      </c>
      <c r="BG1951" s="78" t="s">
        <v>132</v>
      </c>
      <c r="BH1951" s="75" t="s">
        <v>5970</v>
      </c>
      <c r="BI1951" s="295" t="s">
        <v>2225</v>
      </c>
      <c r="BJ1951" s="546">
        <v>1</v>
      </c>
      <c r="BK1951" s="294" t="s">
        <v>16</v>
      </c>
      <c r="BL1951" s="157" t="s">
        <v>16</v>
      </c>
      <c r="BM1951" s="548" t="s">
        <v>2343</v>
      </c>
      <c r="BN1951" s="548" t="s">
        <v>4161</v>
      </c>
      <c r="BO1951" s="157" t="s">
        <v>4293</v>
      </c>
      <c r="BP1951" s="548" t="s">
        <v>2225</v>
      </c>
      <c r="BQ1951" s="157" t="s">
        <v>4292</v>
      </c>
      <c r="BR1951" s="157"/>
    </row>
    <row r="1952" spans="1:70" x14ac:dyDescent="0.25">
      <c r="A1952" s="19" t="s">
        <v>3686</v>
      </c>
      <c r="B1952" s="37" t="s">
        <v>871</v>
      </c>
      <c r="C1952" s="90">
        <v>44362.992372685185</v>
      </c>
      <c r="D1952" s="114">
        <v>44362.742372685185</v>
      </c>
      <c r="E1952" s="38">
        <v>44362</v>
      </c>
      <c r="F1952" s="91">
        <v>2021</v>
      </c>
      <c r="G1952" s="93">
        <v>6</v>
      </c>
      <c r="H1952" s="37" t="s">
        <v>623</v>
      </c>
      <c r="I1952" s="37" t="s">
        <v>960</v>
      </c>
      <c r="J1952" s="103">
        <v>-93.008922524836834</v>
      </c>
      <c r="K1952" s="40">
        <v>44.657270894427462</v>
      </c>
      <c r="L1952" s="74"/>
      <c r="M1952" s="272" t="s">
        <v>16</v>
      </c>
      <c r="N1952" s="74">
        <v>0</v>
      </c>
      <c r="O1952" s="94"/>
      <c r="P1952" s="118">
        <v>0</v>
      </c>
      <c r="Q1952" s="510"/>
      <c r="R1952" s="513"/>
      <c r="S1952" s="41"/>
      <c r="T1952" s="40"/>
      <c r="U1952" s="40"/>
      <c r="V1952" s="119">
        <v>1</v>
      </c>
      <c r="W1952" s="40">
        <v>200</v>
      </c>
      <c r="X1952" s="119">
        <v>1</v>
      </c>
      <c r="Y1952" s="40">
        <v>68</v>
      </c>
      <c r="Z1952" s="119">
        <v>0</v>
      </c>
      <c r="AA1952" s="368" t="s">
        <v>16</v>
      </c>
      <c r="AB1952" s="535" t="s">
        <v>16</v>
      </c>
      <c r="AC1952" s="39" t="s">
        <v>160</v>
      </c>
      <c r="AD1952" s="75" t="s">
        <v>10</v>
      </c>
      <c r="AE1952" s="95">
        <v>0</v>
      </c>
      <c r="AF1952" s="75">
        <v>0</v>
      </c>
      <c r="AG1952" s="75">
        <v>0</v>
      </c>
      <c r="AH1952" s="75">
        <v>0</v>
      </c>
      <c r="AI1952" s="75">
        <v>0</v>
      </c>
      <c r="AJ1952" s="75">
        <v>0</v>
      </c>
      <c r="AK1952" s="75">
        <v>0</v>
      </c>
      <c r="AL1952" s="95">
        <v>1</v>
      </c>
      <c r="AM1952" s="92">
        <v>0</v>
      </c>
      <c r="AN1952" s="79" t="s">
        <v>80</v>
      </c>
      <c r="AO1952" s="75">
        <v>1</v>
      </c>
      <c r="AP1952" s="75" t="s">
        <v>83</v>
      </c>
      <c r="AQ1952" s="122">
        <v>1</v>
      </c>
      <c r="AR1952" s="515" t="s">
        <v>10</v>
      </c>
      <c r="AS1952" s="95">
        <v>0</v>
      </c>
      <c r="AT1952" s="75">
        <v>0</v>
      </c>
      <c r="AU1952" s="75">
        <v>0</v>
      </c>
      <c r="AV1952" s="75">
        <v>0</v>
      </c>
      <c r="AW1952" s="123">
        <v>0</v>
      </c>
      <c r="AX1952" s="516"/>
      <c r="AY1952" s="75">
        <v>0</v>
      </c>
      <c r="AZ1952" s="77" t="s">
        <v>131</v>
      </c>
      <c r="BA1952" s="78" t="s">
        <v>131</v>
      </c>
      <c r="BB1952" s="78" t="s">
        <v>131</v>
      </c>
      <c r="BC1952" s="78" t="s">
        <v>131</v>
      </c>
      <c r="BD1952" s="78" t="s">
        <v>131</v>
      </c>
      <c r="BE1952" s="78" t="s">
        <v>131</v>
      </c>
      <c r="BF1952" s="78" t="s">
        <v>131</v>
      </c>
      <c r="BG1952" s="78" t="s">
        <v>132</v>
      </c>
      <c r="BH1952" s="75" t="s">
        <v>5970</v>
      </c>
      <c r="BI1952" s="295" t="s">
        <v>2225</v>
      </c>
      <c r="BJ1952" s="546">
        <v>1</v>
      </c>
      <c r="BK1952" s="294" t="s">
        <v>16</v>
      </c>
      <c r="BL1952" s="157" t="s">
        <v>16</v>
      </c>
      <c r="BM1952" s="548" t="s">
        <v>2343</v>
      </c>
      <c r="BN1952" s="548" t="s">
        <v>1339</v>
      </c>
      <c r="BO1952" s="157" t="s">
        <v>4293</v>
      </c>
      <c r="BP1952" s="548" t="s">
        <v>2225</v>
      </c>
      <c r="BQ1952" s="157" t="s">
        <v>4292</v>
      </c>
      <c r="BR1952" s="157"/>
    </row>
    <row r="1953" spans="1:70" x14ac:dyDescent="0.25">
      <c r="A1953" s="19" t="s">
        <v>3686</v>
      </c>
      <c r="B1953" s="37" t="s">
        <v>870</v>
      </c>
      <c r="C1953" s="90">
        <v>44360.660787037035</v>
      </c>
      <c r="D1953" s="114">
        <v>44360.410787037035</v>
      </c>
      <c r="E1953" s="38">
        <v>44360</v>
      </c>
      <c r="F1953" s="91">
        <v>2021</v>
      </c>
      <c r="G1953" s="93">
        <v>6</v>
      </c>
      <c r="H1953" s="37" t="s">
        <v>622</v>
      </c>
      <c r="I1953" s="37"/>
      <c r="J1953" s="103">
        <v>-92.267755586739881</v>
      </c>
      <c r="K1953" s="40">
        <v>44.428647779900977</v>
      </c>
      <c r="L1953" s="74"/>
      <c r="M1953" s="272" t="s">
        <v>16</v>
      </c>
      <c r="N1953" s="74">
        <v>0</v>
      </c>
      <c r="O1953" s="94"/>
      <c r="P1953" s="118">
        <v>1</v>
      </c>
      <c r="Q1953" s="510">
        <v>180</v>
      </c>
      <c r="R1953" s="513">
        <v>180</v>
      </c>
      <c r="S1953" s="41"/>
      <c r="T1953" s="40"/>
      <c r="U1953" s="40">
        <v>8</v>
      </c>
      <c r="V1953" s="119">
        <v>1</v>
      </c>
      <c r="W1953" s="40">
        <v>2500</v>
      </c>
      <c r="X1953" s="119">
        <v>1</v>
      </c>
      <c r="Y1953" s="40">
        <v>55</v>
      </c>
      <c r="Z1953" s="119">
        <v>1</v>
      </c>
      <c r="AA1953" s="368">
        <v>0</v>
      </c>
      <c r="AB1953" s="535">
        <v>0</v>
      </c>
      <c r="AC1953" s="39" t="s">
        <v>160</v>
      </c>
      <c r="AD1953" s="75" t="s">
        <v>16</v>
      </c>
      <c r="AE1953" s="95">
        <v>-1</v>
      </c>
      <c r="AF1953" s="75">
        <v>-1</v>
      </c>
      <c r="AG1953" s="75">
        <v>-1</v>
      </c>
      <c r="AH1953" s="75">
        <v>-1</v>
      </c>
      <c r="AI1953" s="75">
        <v>-1</v>
      </c>
      <c r="AJ1953" s="75">
        <v>-1</v>
      </c>
      <c r="AK1953" s="75">
        <v>-1</v>
      </c>
      <c r="AL1953" s="95">
        <v>-1</v>
      </c>
      <c r="AM1953" s="92">
        <v>1</v>
      </c>
      <c r="AN1953" s="79"/>
      <c r="AO1953" s="75">
        <v>0</v>
      </c>
      <c r="AP1953" s="75"/>
      <c r="AQ1953" s="122">
        <v>0</v>
      </c>
      <c r="AR1953" s="515" t="s">
        <v>16</v>
      </c>
      <c r="AS1953" s="95">
        <v>-1</v>
      </c>
      <c r="AT1953" s="75">
        <v>-1</v>
      </c>
      <c r="AU1953" s="75">
        <v>-1</v>
      </c>
      <c r="AV1953" s="75">
        <v>-1</v>
      </c>
      <c r="AW1953" s="123">
        <v>1</v>
      </c>
      <c r="AX1953" s="516"/>
      <c r="AY1953" s="75">
        <v>0</v>
      </c>
      <c r="AZ1953" s="77" t="s">
        <v>5971</v>
      </c>
      <c r="BA1953" s="78" t="s">
        <v>5971</v>
      </c>
      <c r="BB1953" s="78" t="s">
        <v>5971</v>
      </c>
      <c r="BC1953" s="78" t="s">
        <v>5971</v>
      </c>
      <c r="BD1953" s="78" t="s">
        <v>5971</v>
      </c>
      <c r="BE1953" s="78" t="s">
        <v>5971</v>
      </c>
      <c r="BF1953" s="78" t="s">
        <v>5971</v>
      </c>
      <c r="BG1953" s="78" t="s">
        <v>5971</v>
      </c>
      <c r="BH1953" s="75" t="s">
        <v>5971</v>
      </c>
      <c r="BI1953" s="295" t="s">
        <v>16</v>
      </c>
      <c r="BJ1953" s="546">
        <v>1</v>
      </c>
      <c r="BK1953" s="294" t="s">
        <v>16</v>
      </c>
      <c r="BL1953" s="157" t="s">
        <v>16</v>
      </c>
      <c r="BM1953" s="548" t="s">
        <v>1339</v>
      </c>
      <c r="BN1953" s="548" t="s">
        <v>1339</v>
      </c>
      <c r="BO1953" s="157" t="s">
        <v>4614</v>
      </c>
      <c r="BP1953" s="548" t="s">
        <v>2228</v>
      </c>
      <c r="BQ1953" s="157" t="s">
        <v>4214</v>
      </c>
      <c r="BR1953" s="157"/>
    </row>
    <row r="1954" spans="1:70" x14ac:dyDescent="0.25">
      <c r="A1954" s="19" t="s">
        <v>3686</v>
      </c>
      <c r="B1954" s="37" t="s">
        <v>869</v>
      </c>
      <c r="C1954" s="90">
        <v>44360.013148148151</v>
      </c>
      <c r="D1954" s="114">
        <v>44359.763148148151</v>
      </c>
      <c r="E1954" s="38">
        <v>44359</v>
      </c>
      <c r="F1954" s="91">
        <v>2021</v>
      </c>
      <c r="G1954" s="93">
        <v>6</v>
      </c>
      <c r="H1954" s="37" t="s">
        <v>599</v>
      </c>
      <c r="I1954" s="37"/>
      <c r="J1954" s="103">
        <v>-92.443029647779113</v>
      </c>
      <c r="K1954" s="40">
        <v>44.621414411854573</v>
      </c>
      <c r="L1954" s="74"/>
      <c r="M1954" s="272" t="s">
        <v>16</v>
      </c>
      <c r="N1954" s="74">
        <v>0</v>
      </c>
      <c r="O1954" s="94"/>
      <c r="P1954" s="118">
        <v>1</v>
      </c>
      <c r="Q1954" s="510">
        <v>40</v>
      </c>
      <c r="R1954" s="513">
        <v>0</v>
      </c>
      <c r="S1954" s="41"/>
      <c r="T1954" s="40"/>
      <c r="U1954" s="40">
        <v>7</v>
      </c>
      <c r="V1954" s="119">
        <v>1</v>
      </c>
      <c r="W1954" s="40">
        <v>300</v>
      </c>
      <c r="X1954" s="119">
        <v>1</v>
      </c>
      <c r="Y1954" s="40">
        <v>0</v>
      </c>
      <c r="Z1954" s="119">
        <v>1</v>
      </c>
      <c r="AA1954" s="368">
        <v>0</v>
      </c>
      <c r="AB1954" s="535">
        <v>2</v>
      </c>
      <c r="AC1954" s="39" t="s">
        <v>160</v>
      </c>
      <c r="AD1954" s="75" t="s">
        <v>10</v>
      </c>
      <c r="AE1954" s="95">
        <v>0</v>
      </c>
      <c r="AF1954" s="75">
        <v>0</v>
      </c>
      <c r="AG1954" s="75">
        <v>0</v>
      </c>
      <c r="AH1954" s="75">
        <v>0</v>
      </c>
      <c r="AI1954" s="75">
        <v>0</v>
      </c>
      <c r="AJ1954" s="75">
        <v>0</v>
      </c>
      <c r="AK1954" s="75">
        <v>0</v>
      </c>
      <c r="AL1954" s="95">
        <v>1</v>
      </c>
      <c r="AM1954" s="92">
        <v>0</v>
      </c>
      <c r="AN1954" s="79" t="s">
        <v>81</v>
      </c>
      <c r="AO1954" s="75">
        <v>1</v>
      </c>
      <c r="AP1954" s="75" t="s">
        <v>83</v>
      </c>
      <c r="AQ1954" s="122">
        <v>1</v>
      </c>
      <c r="AR1954" s="515" t="s">
        <v>10</v>
      </c>
      <c r="AS1954" s="95">
        <v>0</v>
      </c>
      <c r="AT1954" s="75">
        <v>0</v>
      </c>
      <c r="AU1954" s="75">
        <v>0</v>
      </c>
      <c r="AV1954" s="75">
        <v>0</v>
      </c>
      <c r="AW1954" s="123">
        <v>0</v>
      </c>
      <c r="AX1954" s="516"/>
      <c r="AY1954" s="75">
        <v>0</v>
      </c>
      <c r="AZ1954" s="77" t="s">
        <v>131</v>
      </c>
      <c r="BA1954" s="78" t="s">
        <v>131</v>
      </c>
      <c r="BB1954" s="78" t="s">
        <v>131</v>
      </c>
      <c r="BC1954" s="78" t="s">
        <v>131</v>
      </c>
      <c r="BD1954" s="78" t="s">
        <v>131</v>
      </c>
      <c r="BE1954" s="78" t="s">
        <v>131</v>
      </c>
      <c r="BF1954" s="78" t="s">
        <v>131</v>
      </c>
      <c r="BG1954" s="78" t="s">
        <v>132</v>
      </c>
      <c r="BH1954" s="75" t="s">
        <v>5970</v>
      </c>
      <c r="BI1954" s="295" t="s">
        <v>16</v>
      </c>
      <c r="BJ1954" s="546">
        <v>1</v>
      </c>
      <c r="BK1954" s="294" t="s">
        <v>16</v>
      </c>
      <c r="BL1954" s="157" t="s">
        <v>16</v>
      </c>
      <c r="BM1954" s="548" t="s">
        <v>578</v>
      </c>
      <c r="BN1954" s="548" t="s">
        <v>544</v>
      </c>
      <c r="BO1954" s="157" t="s">
        <v>4283</v>
      </c>
      <c r="BP1954" s="548" t="s">
        <v>2289</v>
      </c>
      <c r="BQ1954" s="157" t="s">
        <v>4214</v>
      </c>
      <c r="BR1954" s="157"/>
    </row>
    <row r="1955" spans="1:70" x14ac:dyDescent="0.25">
      <c r="A1955" s="19" t="s">
        <v>3686</v>
      </c>
      <c r="B1955" s="37" t="s">
        <v>868</v>
      </c>
      <c r="C1955" s="90">
        <v>44356.66815972222</v>
      </c>
      <c r="D1955" s="114">
        <v>44356.41815972222</v>
      </c>
      <c r="E1955" s="38">
        <v>44356</v>
      </c>
      <c r="F1955" s="91">
        <v>2021</v>
      </c>
      <c r="G1955" s="93">
        <v>6</v>
      </c>
      <c r="H1955" s="37" t="s">
        <v>598</v>
      </c>
      <c r="I1955" s="37" t="s">
        <v>16</v>
      </c>
      <c r="J1955" s="103">
        <v>-91.823967017780404</v>
      </c>
      <c r="K1955" s="40">
        <v>43.642295631996141</v>
      </c>
      <c r="L1955" s="74"/>
      <c r="M1955" s="272" t="s">
        <v>16</v>
      </c>
      <c r="N1955" s="74">
        <v>0</v>
      </c>
      <c r="O1955" s="94"/>
      <c r="P1955" s="118">
        <v>1</v>
      </c>
      <c r="Q1955" s="510">
        <v>180</v>
      </c>
      <c r="R1955" s="513">
        <v>120</v>
      </c>
      <c r="S1955" s="41"/>
      <c r="T1955" s="40"/>
      <c r="U1955" s="40">
        <v>8</v>
      </c>
      <c r="V1955" s="119">
        <v>1</v>
      </c>
      <c r="W1955" s="40">
        <v>100</v>
      </c>
      <c r="X1955" s="119">
        <v>1</v>
      </c>
      <c r="Y1955" s="40">
        <v>66</v>
      </c>
      <c r="Z1955" s="119">
        <v>1</v>
      </c>
      <c r="AA1955" s="368">
        <v>0</v>
      </c>
      <c r="AB1955" s="535">
        <v>5</v>
      </c>
      <c r="AC1955" s="39" t="s">
        <v>160</v>
      </c>
      <c r="AD1955" s="75" t="s">
        <v>10</v>
      </c>
      <c r="AE1955" s="95">
        <v>0</v>
      </c>
      <c r="AF1955" s="75">
        <v>0</v>
      </c>
      <c r="AG1955" s="75">
        <v>0</v>
      </c>
      <c r="AH1955" s="75">
        <v>0</v>
      </c>
      <c r="AI1955" s="75">
        <v>0</v>
      </c>
      <c r="AJ1955" s="75">
        <v>0</v>
      </c>
      <c r="AK1955" s="75">
        <v>0</v>
      </c>
      <c r="AL1955" s="95">
        <v>1</v>
      </c>
      <c r="AM1955" s="92">
        <v>0</v>
      </c>
      <c r="AN1955" s="79" t="s">
        <v>81</v>
      </c>
      <c r="AO1955" s="75">
        <v>1</v>
      </c>
      <c r="AP1955" s="75" t="s">
        <v>83</v>
      </c>
      <c r="AQ1955" s="122">
        <v>1</v>
      </c>
      <c r="AR1955" s="515" t="s">
        <v>10</v>
      </c>
      <c r="AS1955" s="95">
        <v>0</v>
      </c>
      <c r="AT1955" s="75">
        <v>0</v>
      </c>
      <c r="AU1955" s="75">
        <v>0</v>
      </c>
      <c r="AV1955" s="75">
        <v>0</v>
      </c>
      <c r="AW1955" s="123">
        <v>0</v>
      </c>
      <c r="AX1955" s="516"/>
      <c r="AY1955" s="75">
        <v>0</v>
      </c>
      <c r="AZ1955" s="77" t="s">
        <v>131</v>
      </c>
      <c r="BA1955" s="78" t="s">
        <v>131</v>
      </c>
      <c r="BB1955" s="78" t="s">
        <v>131</v>
      </c>
      <c r="BC1955" s="78" t="s">
        <v>131</v>
      </c>
      <c r="BD1955" s="78" t="s">
        <v>131</v>
      </c>
      <c r="BE1955" s="78" t="s">
        <v>131</v>
      </c>
      <c r="BF1955" s="78" t="s">
        <v>131</v>
      </c>
      <c r="BG1955" s="78" t="s">
        <v>132</v>
      </c>
      <c r="BH1955" s="75" t="s">
        <v>5970</v>
      </c>
      <c r="BI1955" s="295" t="s">
        <v>16</v>
      </c>
      <c r="BJ1955" s="546">
        <v>1</v>
      </c>
      <c r="BK1955" s="294">
        <v>1</v>
      </c>
      <c r="BL1955" s="157">
        <v>1</v>
      </c>
      <c r="BM1955" s="548" t="s">
        <v>1341</v>
      </c>
      <c r="BN1955" s="548" t="s">
        <v>1339</v>
      </c>
      <c r="BO1955" s="157" t="s">
        <v>4418</v>
      </c>
      <c r="BP1955" s="548" t="s">
        <v>4419</v>
      </c>
      <c r="BQ1955" s="157" t="s">
        <v>4232</v>
      </c>
      <c r="BR1955" s="157"/>
    </row>
    <row r="1956" spans="1:70" x14ac:dyDescent="0.25">
      <c r="A1956" s="19" t="s">
        <v>3686</v>
      </c>
      <c r="B1956" s="37" t="s">
        <v>866</v>
      </c>
      <c r="C1956" s="90">
        <v>44355.647083333337</v>
      </c>
      <c r="D1956" s="114">
        <v>44355.397083333337</v>
      </c>
      <c r="E1956" s="38">
        <v>44355</v>
      </c>
      <c r="F1956" s="91">
        <v>2021</v>
      </c>
      <c r="G1956" s="93">
        <v>6</v>
      </c>
      <c r="H1956" s="37" t="s">
        <v>618</v>
      </c>
      <c r="I1956" s="37" t="s">
        <v>753</v>
      </c>
      <c r="J1956" s="103">
        <v>-92.802001899999993</v>
      </c>
      <c r="K1956" s="40">
        <v>44.543075999999999</v>
      </c>
      <c r="L1956" s="74"/>
      <c r="M1956" s="272" t="s">
        <v>867</v>
      </c>
      <c r="N1956" s="74">
        <v>1</v>
      </c>
      <c r="O1956" s="94"/>
      <c r="P1956" s="118">
        <v>1</v>
      </c>
      <c r="Q1956" s="510">
        <v>80</v>
      </c>
      <c r="R1956" s="513">
        <v>120</v>
      </c>
      <c r="S1956" s="41"/>
      <c r="T1956" s="40"/>
      <c r="U1956" s="40">
        <v>7.5</v>
      </c>
      <c r="V1956" s="119">
        <v>1</v>
      </c>
      <c r="W1956" s="40">
        <v>0</v>
      </c>
      <c r="X1956" s="119">
        <v>1</v>
      </c>
      <c r="Y1956" s="40">
        <v>56</v>
      </c>
      <c r="Z1956" s="119">
        <v>1</v>
      </c>
      <c r="AA1956" s="368">
        <v>0</v>
      </c>
      <c r="AB1956" s="535">
        <v>10</v>
      </c>
      <c r="AC1956" s="39" t="s">
        <v>160</v>
      </c>
      <c r="AD1956" s="75" t="s">
        <v>10</v>
      </c>
      <c r="AE1956" s="95">
        <v>0</v>
      </c>
      <c r="AF1956" s="75">
        <v>0</v>
      </c>
      <c r="AG1956" s="75">
        <v>0</v>
      </c>
      <c r="AH1956" s="75">
        <v>0</v>
      </c>
      <c r="AI1956" s="75">
        <v>0</v>
      </c>
      <c r="AJ1956" s="75">
        <v>0</v>
      </c>
      <c r="AK1956" s="75">
        <v>0</v>
      </c>
      <c r="AL1956" s="95">
        <v>1</v>
      </c>
      <c r="AM1956" s="92">
        <v>0</v>
      </c>
      <c r="AN1956" s="79" t="s">
        <v>80</v>
      </c>
      <c r="AO1956" s="75">
        <v>1</v>
      </c>
      <c r="AP1956" s="75" t="s">
        <v>83</v>
      </c>
      <c r="AQ1956" s="122">
        <v>1</v>
      </c>
      <c r="AR1956" s="515" t="s">
        <v>10</v>
      </c>
      <c r="AS1956" s="95">
        <v>0</v>
      </c>
      <c r="AT1956" s="75">
        <v>0</v>
      </c>
      <c r="AU1956" s="75">
        <v>0</v>
      </c>
      <c r="AV1956" s="75">
        <v>0</v>
      </c>
      <c r="AW1956" s="123">
        <v>0</v>
      </c>
      <c r="AX1956" s="516"/>
      <c r="AY1956" s="75">
        <v>0</v>
      </c>
      <c r="AZ1956" s="77" t="s">
        <v>131</v>
      </c>
      <c r="BA1956" s="78" t="s">
        <v>131</v>
      </c>
      <c r="BB1956" s="78" t="s">
        <v>131</v>
      </c>
      <c r="BC1956" s="78" t="s">
        <v>131</v>
      </c>
      <c r="BD1956" s="78" t="s">
        <v>131</v>
      </c>
      <c r="BE1956" s="78" t="s">
        <v>131</v>
      </c>
      <c r="BF1956" s="78" t="s">
        <v>131</v>
      </c>
      <c r="BG1956" s="78" t="s">
        <v>132</v>
      </c>
      <c r="BH1956" s="75" t="s">
        <v>5970</v>
      </c>
      <c r="BI1956" s="295" t="s">
        <v>2224</v>
      </c>
      <c r="BJ1956" s="546">
        <v>1</v>
      </c>
      <c r="BK1956" s="294">
        <v>1</v>
      </c>
      <c r="BL1956" s="157">
        <v>1</v>
      </c>
      <c r="BM1956" s="548" t="s">
        <v>2343</v>
      </c>
      <c r="BN1956" s="548" t="s">
        <v>4161</v>
      </c>
      <c r="BO1956" s="157" t="s">
        <v>4510</v>
      </c>
      <c r="BP1956" s="548" t="s">
        <v>753</v>
      </c>
      <c r="BQ1956" s="157" t="s">
        <v>4389</v>
      </c>
      <c r="BR1956" s="157"/>
    </row>
    <row r="1957" spans="1:70" x14ac:dyDescent="0.25">
      <c r="A1957" s="19" t="s">
        <v>3686</v>
      </c>
      <c r="B1957" s="37" t="s">
        <v>864</v>
      </c>
      <c r="C1957" s="90">
        <v>44354.962951388887</v>
      </c>
      <c r="D1957" s="114">
        <v>44354.712951388887</v>
      </c>
      <c r="E1957" s="38">
        <v>44354</v>
      </c>
      <c r="F1957" s="91">
        <v>2021</v>
      </c>
      <c r="G1957" s="93">
        <v>6</v>
      </c>
      <c r="H1957" s="37" t="s">
        <v>609</v>
      </c>
      <c r="I1957" s="37"/>
      <c r="J1957" s="103">
        <v>-93.008951282877263</v>
      </c>
      <c r="K1957" s="40">
        <v>44.657278493441837</v>
      </c>
      <c r="L1957" s="74"/>
      <c r="M1957" s="272" t="s">
        <v>16</v>
      </c>
      <c r="N1957" s="74">
        <v>0</v>
      </c>
      <c r="O1957" s="94"/>
      <c r="P1957" s="118">
        <v>1</v>
      </c>
      <c r="Q1957" s="510">
        <v>40</v>
      </c>
      <c r="R1957" s="513">
        <v>120</v>
      </c>
      <c r="S1957" s="41"/>
      <c r="T1957" s="40"/>
      <c r="U1957" s="40">
        <v>6</v>
      </c>
      <c r="V1957" s="119">
        <v>1</v>
      </c>
      <c r="W1957" s="40">
        <v>100</v>
      </c>
      <c r="X1957" s="119">
        <v>1</v>
      </c>
      <c r="Y1957" s="40">
        <v>71</v>
      </c>
      <c r="Z1957" s="119">
        <v>1</v>
      </c>
      <c r="AA1957" s="368">
        <v>0</v>
      </c>
      <c r="AB1957" s="535">
        <v>10</v>
      </c>
      <c r="AC1957" s="39" t="s">
        <v>160</v>
      </c>
      <c r="AD1957" s="75" t="s">
        <v>16</v>
      </c>
      <c r="AE1957" s="95">
        <v>-1</v>
      </c>
      <c r="AF1957" s="75">
        <v>-1</v>
      </c>
      <c r="AG1957" s="75">
        <v>-1</v>
      </c>
      <c r="AH1957" s="75">
        <v>-1</v>
      </c>
      <c r="AI1957" s="75">
        <v>-1</v>
      </c>
      <c r="AJ1957" s="75">
        <v>-1</v>
      </c>
      <c r="AK1957" s="75">
        <v>-1</v>
      </c>
      <c r="AL1957" s="95">
        <v>-1</v>
      </c>
      <c r="AM1957" s="92">
        <v>1</v>
      </c>
      <c r="AN1957" s="79"/>
      <c r="AO1957" s="75">
        <v>0</v>
      </c>
      <c r="AP1957" s="75"/>
      <c r="AQ1957" s="122">
        <v>0</v>
      </c>
      <c r="AR1957" s="515" t="s">
        <v>16</v>
      </c>
      <c r="AS1957" s="95">
        <v>-1</v>
      </c>
      <c r="AT1957" s="75">
        <v>-1</v>
      </c>
      <c r="AU1957" s="75">
        <v>-1</v>
      </c>
      <c r="AV1957" s="75">
        <v>-1</v>
      </c>
      <c r="AW1957" s="123">
        <v>1</v>
      </c>
      <c r="AX1957" s="516" t="s">
        <v>865</v>
      </c>
      <c r="AY1957" s="75">
        <v>1</v>
      </c>
      <c r="AZ1957" s="77" t="s">
        <v>5971</v>
      </c>
      <c r="BA1957" s="78" t="s">
        <v>5971</v>
      </c>
      <c r="BB1957" s="78" t="s">
        <v>5971</v>
      </c>
      <c r="BC1957" s="78" t="s">
        <v>5971</v>
      </c>
      <c r="BD1957" s="78" t="s">
        <v>5971</v>
      </c>
      <c r="BE1957" s="78" t="s">
        <v>5971</v>
      </c>
      <c r="BF1957" s="78" t="s">
        <v>5971</v>
      </c>
      <c r="BG1957" s="78" t="s">
        <v>5971</v>
      </c>
      <c r="BH1957" s="75" t="s">
        <v>5971</v>
      </c>
      <c r="BI1957" s="295" t="s">
        <v>2225</v>
      </c>
      <c r="BJ1957" s="546">
        <v>1</v>
      </c>
      <c r="BK1957" s="294" t="s">
        <v>16</v>
      </c>
      <c r="BL1957" s="157" t="s">
        <v>16</v>
      </c>
      <c r="BM1957" s="548" t="s">
        <v>2343</v>
      </c>
      <c r="BN1957" s="548" t="s">
        <v>4161</v>
      </c>
      <c r="BO1957" s="157" t="s">
        <v>4293</v>
      </c>
      <c r="BP1957" s="548" t="s">
        <v>2225</v>
      </c>
      <c r="BQ1957" s="157" t="s">
        <v>4292</v>
      </c>
      <c r="BR1957" s="157"/>
    </row>
    <row r="1958" spans="1:70" x14ac:dyDescent="0.25">
      <c r="A1958" s="19" t="s">
        <v>3686</v>
      </c>
      <c r="B1958" s="37" t="s">
        <v>862</v>
      </c>
      <c r="C1958" s="90">
        <v>44354.903402777774</v>
      </c>
      <c r="D1958" s="114">
        <v>44354.653402777774</v>
      </c>
      <c r="E1958" s="38">
        <v>44354</v>
      </c>
      <c r="F1958" s="91">
        <v>2021</v>
      </c>
      <c r="G1958" s="93">
        <v>6</v>
      </c>
      <c r="H1958" s="37" t="s">
        <v>615</v>
      </c>
      <c r="I1958" s="37"/>
      <c r="J1958" s="103">
        <v>-92.563653299999999</v>
      </c>
      <c r="K1958" s="40">
        <v>44.502575</v>
      </c>
      <c r="L1958" s="74"/>
      <c r="M1958" s="272" t="s">
        <v>863</v>
      </c>
      <c r="N1958" s="74">
        <v>1</v>
      </c>
      <c r="O1958" s="94"/>
      <c r="P1958" s="118">
        <v>1</v>
      </c>
      <c r="Q1958" s="510">
        <v>80</v>
      </c>
      <c r="R1958" s="513">
        <v>120</v>
      </c>
      <c r="S1958" s="41"/>
      <c r="T1958" s="40"/>
      <c r="U1958" s="40">
        <v>7.5</v>
      </c>
      <c r="V1958" s="119">
        <v>1</v>
      </c>
      <c r="W1958" s="40">
        <v>100</v>
      </c>
      <c r="X1958" s="119">
        <v>1</v>
      </c>
      <c r="Y1958" s="40">
        <v>68</v>
      </c>
      <c r="Z1958" s="119">
        <v>1</v>
      </c>
      <c r="AA1958" s="368">
        <v>0</v>
      </c>
      <c r="AB1958" s="535">
        <v>2</v>
      </c>
      <c r="AC1958" s="39" t="s">
        <v>160</v>
      </c>
      <c r="AD1958" s="75" t="s">
        <v>10</v>
      </c>
      <c r="AE1958" s="95">
        <v>0</v>
      </c>
      <c r="AF1958" s="75">
        <v>0</v>
      </c>
      <c r="AG1958" s="75">
        <v>0</v>
      </c>
      <c r="AH1958" s="75">
        <v>0</v>
      </c>
      <c r="AI1958" s="75">
        <v>0</v>
      </c>
      <c r="AJ1958" s="75">
        <v>0</v>
      </c>
      <c r="AK1958" s="75">
        <v>0</v>
      </c>
      <c r="AL1958" s="95">
        <v>1</v>
      </c>
      <c r="AM1958" s="92">
        <v>0</v>
      </c>
      <c r="AN1958" s="79" t="s">
        <v>81</v>
      </c>
      <c r="AO1958" s="75">
        <v>1</v>
      </c>
      <c r="AP1958" s="75" t="s">
        <v>83</v>
      </c>
      <c r="AQ1958" s="122">
        <v>1</v>
      </c>
      <c r="AR1958" s="515" t="s">
        <v>10</v>
      </c>
      <c r="AS1958" s="95">
        <v>0</v>
      </c>
      <c r="AT1958" s="75">
        <v>0</v>
      </c>
      <c r="AU1958" s="75">
        <v>0</v>
      </c>
      <c r="AV1958" s="75">
        <v>0</v>
      </c>
      <c r="AW1958" s="123">
        <v>0</v>
      </c>
      <c r="AX1958" s="516" t="s">
        <v>861</v>
      </c>
      <c r="AY1958" s="75">
        <v>1</v>
      </c>
      <c r="AZ1958" s="77" t="s">
        <v>131</v>
      </c>
      <c r="BA1958" s="78" t="s">
        <v>131</v>
      </c>
      <c r="BB1958" s="78" t="s">
        <v>131</v>
      </c>
      <c r="BC1958" s="78" t="s">
        <v>131</v>
      </c>
      <c r="BD1958" s="78" t="s">
        <v>131</v>
      </c>
      <c r="BE1958" s="78" t="s">
        <v>131</v>
      </c>
      <c r="BF1958" s="78" t="s">
        <v>131</v>
      </c>
      <c r="BG1958" s="78" t="s">
        <v>132</v>
      </c>
      <c r="BH1958" s="75" t="s">
        <v>5970</v>
      </c>
      <c r="BI1958" s="295" t="s">
        <v>2238</v>
      </c>
      <c r="BJ1958" s="546">
        <v>1</v>
      </c>
      <c r="BK1958" s="294" t="s">
        <v>16</v>
      </c>
      <c r="BL1958" s="157" t="s">
        <v>16</v>
      </c>
      <c r="BM1958" s="548" t="s">
        <v>2343</v>
      </c>
      <c r="BN1958" s="548" t="s">
        <v>4161</v>
      </c>
      <c r="BO1958" s="157" t="s">
        <v>4308</v>
      </c>
      <c r="BP1958" s="548" t="s">
        <v>2238</v>
      </c>
      <c r="BQ1958" s="157" t="s">
        <v>4307</v>
      </c>
      <c r="BR1958" s="157"/>
    </row>
    <row r="1959" spans="1:70" x14ac:dyDescent="0.25">
      <c r="A1959" s="19" t="s">
        <v>3686</v>
      </c>
      <c r="B1959" s="37" t="s">
        <v>859</v>
      </c>
      <c r="C1959" s="90">
        <v>44354.903356481482</v>
      </c>
      <c r="D1959" s="114">
        <v>44354.653356481482</v>
      </c>
      <c r="E1959" s="38">
        <v>44354</v>
      </c>
      <c r="F1959" s="91">
        <v>2021</v>
      </c>
      <c r="G1959" s="93">
        <v>6</v>
      </c>
      <c r="H1959" s="37" t="s">
        <v>615</v>
      </c>
      <c r="I1959" s="37"/>
      <c r="J1959" s="103">
        <v>-92.563642200000004</v>
      </c>
      <c r="K1959" s="40">
        <v>44.502643999999997</v>
      </c>
      <c r="L1959" s="74"/>
      <c r="M1959" s="272" t="s">
        <v>860</v>
      </c>
      <c r="N1959" s="74">
        <v>1</v>
      </c>
      <c r="O1959" s="94"/>
      <c r="P1959" s="118">
        <v>1</v>
      </c>
      <c r="Q1959" s="510">
        <v>80</v>
      </c>
      <c r="R1959" s="513">
        <v>120</v>
      </c>
      <c r="S1959" s="41"/>
      <c r="T1959" s="40"/>
      <c r="U1959" s="40">
        <v>7.5</v>
      </c>
      <c r="V1959" s="119">
        <v>1</v>
      </c>
      <c r="W1959" s="40">
        <v>100</v>
      </c>
      <c r="X1959" s="119">
        <v>1</v>
      </c>
      <c r="Y1959" s="40">
        <v>68</v>
      </c>
      <c r="Z1959" s="119">
        <v>1</v>
      </c>
      <c r="AA1959" s="368">
        <v>0</v>
      </c>
      <c r="AB1959" s="535">
        <v>2</v>
      </c>
      <c r="AC1959" s="39" t="s">
        <v>160</v>
      </c>
      <c r="AD1959" s="75" t="s">
        <v>10</v>
      </c>
      <c r="AE1959" s="95">
        <v>0</v>
      </c>
      <c r="AF1959" s="75">
        <v>0</v>
      </c>
      <c r="AG1959" s="75">
        <v>0</v>
      </c>
      <c r="AH1959" s="75">
        <v>0</v>
      </c>
      <c r="AI1959" s="75">
        <v>0</v>
      </c>
      <c r="AJ1959" s="75">
        <v>0</v>
      </c>
      <c r="AK1959" s="75">
        <v>0</v>
      </c>
      <c r="AL1959" s="95">
        <v>1</v>
      </c>
      <c r="AM1959" s="92">
        <v>0</v>
      </c>
      <c r="AN1959" s="79" t="s">
        <v>81</v>
      </c>
      <c r="AO1959" s="75">
        <v>1</v>
      </c>
      <c r="AP1959" s="75" t="s">
        <v>83</v>
      </c>
      <c r="AQ1959" s="122">
        <v>1</v>
      </c>
      <c r="AR1959" s="515" t="s">
        <v>10</v>
      </c>
      <c r="AS1959" s="95">
        <v>0</v>
      </c>
      <c r="AT1959" s="75">
        <v>0</v>
      </c>
      <c r="AU1959" s="75">
        <v>0</v>
      </c>
      <c r="AV1959" s="75">
        <v>0</v>
      </c>
      <c r="AW1959" s="123">
        <v>0</v>
      </c>
      <c r="AX1959" s="516" t="s">
        <v>861</v>
      </c>
      <c r="AY1959" s="75">
        <v>1</v>
      </c>
      <c r="AZ1959" s="77" t="s">
        <v>131</v>
      </c>
      <c r="BA1959" s="78" t="s">
        <v>131</v>
      </c>
      <c r="BB1959" s="78" t="s">
        <v>131</v>
      </c>
      <c r="BC1959" s="78" t="s">
        <v>131</v>
      </c>
      <c r="BD1959" s="78" t="s">
        <v>131</v>
      </c>
      <c r="BE1959" s="78" t="s">
        <v>131</v>
      </c>
      <c r="BF1959" s="78" t="s">
        <v>131</v>
      </c>
      <c r="BG1959" s="78" t="s">
        <v>132</v>
      </c>
      <c r="BH1959" s="75" t="s">
        <v>5970</v>
      </c>
      <c r="BI1959" s="295" t="s">
        <v>2238</v>
      </c>
      <c r="BJ1959" s="546">
        <v>1</v>
      </c>
      <c r="BK1959" s="294" t="s">
        <v>16</v>
      </c>
      <c r="BL1959" s="157" t="s">
        <v>16</v>
      </c>
      <c r="BM1959" s="548" t="s">
        <v>2343</v>
      </c>
      <c r="BN1959" s="548" t="s">
        <v>4161</v>
      </c>
      <c r="BO1959" s="157" t="s">
        <v>4308</v>
      </c>
      <c r="BP1959" s="548" t="s">
        <v>2238</v>
      </c>
      <c r="BQ1959" s="157" t="s">
        <v>4307</v>
      </c>
      <c r="BR1959" s="157"/>
    </row>
    <row r="1960" spans="1:70" x14ac:dyDescent="0.25">
      <c r="A1960" s="19" t="s">
        <v>3686</v>
      </c>
      <c r="B1960" s="37" t="s">
        <v>856</v>
      </c>
      <c r="C1960" s="90">
        <v>44354.883344907408</v>
      </c>
      <c r="D1960" s="114">
        <v>44354.633344907408</v>
      </c>
      <c r="E1960" s="38">
        <v>44354</v>
      </c>
      <c r="F1960" s="91">
        <v>2021</v>
      </c>
      <c r="G1960" s="93">
        <v>6</v>
      </c>
      <c r="H1960" s="37" t="s">
        <v>615</v>
      </c>
      <c r="I1960" s="37" t="s">
        <v>16</v>
      </c>
      <c r="J1960" s="103">
        <v>-92.575412299999996</v>
      </c>
      <c r="K1960" s="40">
        <v>44.488341800000001</v>
      </c>
      <c r="L1960" s="74"/>
      <c r="M1960" s="272" t="s">
        <v>857</v>
      </c>
      <c r="N1960" s="74">
        <v>1</v>
      </c>
      <c r="O1960" s="94"/>
      <c r="P1960" s="118">
        <v>1</v>
      </c>
      <c r="Q1960" s="510">
        <v>80</v>
      </c>
      <c r="R1960" s="513">
        <v>120</v>
      </c>
      <c r="S1960" s="41"/>
      <c r="T1960" s="40"/>
      <c r="U1960" s="40">
        <v>8</v>
      </c>
      <c r="V1960" s="119">
        <v>1</v>
      </c>
      <c r="W1960" s="40">
        <v>200</v>
      </c>
      <c r="X1960" s="119">
        <v>1</v>
      </c>
      <c r="Y1960" s="40">
        <v>68</v>
      </c>
      <c r="Z1960" s="119">
        <v>1</v>
      </c>
      <c r="AA1960" s="368">
        <v>0</v>
      </c>
      <c r="AB1960" s="535">
        <v>5</v>
      </c>
      <c r="AC1960" s="39" t="s">
        <v>160</v>
      </c>
      <c r="AD1960" s="75" t="s">
        <v>10</v>
      </c>
      <c r="AE1960" s="95">
        <v>0</v>
      </c>
      <c r="AF1960" s="75">
        <v>0</v>
      </c>
      <c r="AG1960" s="75">
        <v>0</v>
      </c>
      <c r="AH1960" s="75">
        <v>0</v>
      </c>
      <c r="AI1960" s="75">
        <v>0</v>
      </c>
      <c r="AJ1960" s="75">
        <v>0</v>
      </c>
      <c r="AK1960" s="75">
        <v>0</v>
      </c>
      <c r="AL1960" s="95">
        <v>1</v>
      </c>
      <c r="AM1960" s="92">
        <v>0</v>
      </c>
      <c r="AN1960" s="79" t="s">
        <v>81</v>
      </c>
      <c r="AO1960" s="75">
        <v>1</v>
      </c>
      <c r="AP1960" s="75" t="s">
        <v>83</v>
      </c>
      <c r="AQ1960" s="122">
        <v>1</v>
      </c>
      <c r="AR1960" s="515" t="s">
        <v>10</v>
      </c>
      <c r="AS1960" s="95">
        <v>0</v>
      </c>
      <c r="AT1960" s="75">
        <v>0</v>
      </c>
      <c r="AU1960" s="75">
        <v>0</v>
      </c>
      <c r="AV1960" s="75">
        <v>0</v>
      </c>
      <c r="AW1960" s="123">
        <v>0</v>
      </c>
      <c r="AX1960" s="516" t="s">
        <v>858</v>
      </c>
      <c r="AY1960" s="75">
        <v>1</v>
      </c>
      <c r="AZ1960" s="77" t="s">
        <v>131</v>
      </c>
      <c r="BA1960" s="78" t="s">
        <v>131</v>
      </c>
      <c r="BB1960" s="78" t="s">
        <v>131</v>
      </c>
      <c r="BC1960" s="78" t="s">
        <v>131</v>
      </c>
      <c r="BD1960" s="78" t="s">
        <v>131</v>
      </c>
      <c r="BE1960" s="78" t="s">
        <v>131</v>
      </c>
      <c r="BF1960" s="78" t="s">
        <v>131</v>
      </c>
      <c r="BG1960" s="78" t="s">
        <v>132</v>
      </c>
      <c r="BH1960" s="75" t="s">
        <v>5970</v>
      </c>
      <c r="BI1960" s="295" t="s">
        <v>2238</v>
      </c>
      <c r="BJ1960" s="546">
        <v>1</v>
      </c>
      <c r="BK1960" s="294" t="s">
        <v>16</v>
      </c>
      <c r="BL1960" s="157" t="s">
        <v>16</v>
      </c>
      <c r="BM1960" s="548" t="s">
        <v>2343</v>
      </c>
      <c r="BN1960" s="548" t="s">
        <v>4161</v>
      </c>
      <c r="BO1960" s="157" t="s">
        <v>4308</v>
      </c>
      <c r="BP1960" s="548" t="s">
        <v>2238</v>
      </c>
      <c r="BQ1960" s="157" t="s">
        <v>4307</v>
      </c>
      <c r="BR1960" s="157"/>
    </row>
    <row r="1961" spans="1:70" x14ac:dyDescent="0.25">
      <c r="A1961" s="19" t="s">
        <v>3686</v>
      </c>
      <c r="B1961" s="37" t="s">
        <v>854</v>
      </c>
      <c r="C1961" s="90">
        <v>44354.861574074072</v>
      </c>
      <c r="D1961" s="114">
        <v>44354.611574074072</v>
      </c>
      <c r="E1961" s="38">
        <v>44354</v>
      </c>
      <c r="F1961" s="91">
        <v>2021</v>
      </c>
      <c r="G1961" s="93">
        <v>6</v>
      </c>
      <c r="H1961" s="37" t="s">
        <v>615</v>
      </c>
      <c r="I1961" s="37" t="s">
        <v>16</v>
      </c>
      <c r="J1961" s="103">
        <v>-92.597325699999999</v>
      </c>
      <c r="K1961" s="40">
        <v>44.472379699999998</v>
      </c>
      <c r="L1961" s="74"/>
      <c r="M1961" s="272" t="s">
        <v>16</v>
      </c>
      <c r="N1961" s="74">
        <v>0</v>
      </c>
      <c r="O1961" s="94"/>
      <c r="P1961" s="118">
        <v>1</v>
      </c>
      <c r="Q1961" s="510">
        <v>80</v>
      </c>
      <c r="R1961" s="513">
        <v>120</v>
      </c>
      <c r="S1961" s="41"/>
      <c r="T1961" s="40"/>
      <c r="U1961" s="40">
        <v>8.5</v>
      </c>
      <c r="V1961" s="119">
        <v>1</v>
      </c>
      <c r="W1961" s="40">
        <v>300</v>
      </c>
      <c r="X1961" s="119">
        <v>1</v>
      </c>
      <c r="Y1961" s="40">
        <v>61</v>
      </c>
      <c r="Z1961" s="119">
        <v>1</v>
      </c>
      <c r="AA1961" s="368">
        <v>0</v>
      </c>
      <c r="AB1961" s="535">
        <v>5</v>
      </c>
      <c r="AC1961" s="39"/>
      <c r="AD1961" s="75" t="s">
        <v>10</v>
      </c>
      <c r="AE1961" s="95">
        <v>0</v>
      </c>
      <c r="AF1961" s="75">
        <v>0</v>
      </c>
      <c r="AG1961" s="75">
        <v>0</v>
      </c>
      <c r="AH1961" s="75">
        <v>0</v>
      </c>
      <c r="AI1961" s="75">
        <v>0</v>
      </c>
      <c r="AJ1961" s="75">
        <v>0</v>
      </c>
      <c r="AK1961" s="75">
        <v>0</v>
      </c>
      <c r="AL1961" s="95">
        <v>1</v>
      </c>
      <c r="AM1961" s="92">
        <v>0</v>
      </c>
      <c r="AN1961" s="79" t="s">
        <v>81</v>
      </c>
      <c r="AO1961" s="75">
        <v>1</v>
      </c>
      <c r="AP1961" s="75" t="s">
        <v>83</v>
      </c>
      <c r="AQ1961" s="122">
        <v>1</v>
      </c>
      <c r="AR1961" s="515" t="s">
        <v>10</v>
      </c>
      <c r="AS1961" s="95">
        <v>0</v>
      </c>
      <c r="AT1961" s="75">
        <v>0</v>
      </c>
      <c r="AU1961" s="75">
        <v>0</v>
      </c>
      <c r="AV1961" s="75">
        <v>0</v>
      </c>
      <c r="AW1961" s="123">
        <v>0</v>
      </c>
      <c r="AX1961" s="516" t="s">
        <v>855</v>
      </c>
      <c r="AY1961" s="75">
        <v>1</v>
      </c>
      <c r="AZ1961" s="77" t="s">
        <v>131</v>
      </c>
      <c r="BA1961" s="78" t="s">
        <v>131</v>
      </c>
      <c r="BB1961" s="78" t="s">
        <v>131</v>
      </c>
      <c r="BC1961" s="78" t="s">
        <v>131</v>
      </c>
      <c r="BD1961" s="78" t="s">
        <v>131</v>
      </c>
      <c r="BE1961" s="78" t="s">
        <v>131</v>
      </c>
      <c r="BF1961" s="78" t="s">
        <v>131</v>
      </c>
      <c r="BG1961" s="78" t="s">
        <v>132</v>
      </c>
      <c r="BH1961" s="75" t="s">
        <v>5970</v>
      </c>
      <c r="BI1961" s="295" t="s">
        <v>2238</v>
      </c>
      <c r="BJ1961" s="546">
        <v>1</v>
      </c>
      <c r="BK1961" s="294" t="s">
        <v>16</v>
      </c>
      <c r="BL1961" s="157" t="s">
        <v>16</v>
      </c>
      <c r="BM1961" s="548" t="s">
        <v>2343</v>
      </c>
      <c r="BN1961" s="548" t="s">
        <v>4161</v>
      </c>
      <c r="BO1961" s="157" t="s">
        <v>4308</v>
      </c>
      <c r="BP1961" s="548" t="s">
        <v>2238</v>
      </c>
      <c r="BQ1961" s="157" t="s">
        <v>4307</v>
      </c>
      <c r="BR1961" s="157"/>
    </row>
    <row r="1962" spans="1:70" x14ac:dyDescent="0.25">
      <c r="A1962" s="19" t="s">
        <v>3686</v>
      </c>
      <c r="B1962" s="37" t="s">
        <v>851</v>
      </c>
      <c r="C1962" s="90">
        <v>44354.710347222222</v>
      </c>
      <c r="D1962" s="114">
        <v>44354.460347222222</v>
      </c>
      <c r="E1962" s="38">
        <v>44354</v>
      </c>
      <c r="F1962" s="91">
        <v>2021</v>
      </c>
      <c r="G1962" s="93">
        <v>6</v>
      </c>
      <c r="H1962" s="37" t="s">
        <v>611</v>
      </c>
      <c r="I1962" s="37"/>
      <c r="J1962" s="103">
        <v>-92.433322099999998</v>
      </c>
      <c r="K1962" s="40">
        <v>44.291795200000003</v>
      </c>
      <c r="L1962" s="74"/>
      <c r="M1962" s="272" t="s">
        <v>852</v>
      </c>
      <c r="N1962" s="74">
        <v>1</v>
      </c>
      <c r="O1962" s="94"/>
      <c r="P1962" s="118">
        <v>1</v>
      </c>
      <c r="Q1962" s="510">
        <v>0</v>
      </c>
      <c r="R1962" s="513">
        <v>60</v>
      </c>
      <c r="S1962" s="41"/>
      <c r="T1962" s="40"/>
      <c r="U1962" s="40">
        <v>7</v>
      </c>
      <c r="V1962" s="119">
        <v>0</v>
      </c>
      <c r="W1962" s="40"/>
      <c r="X1962" s="119">
        <v>1</v>
      </c>
      <c r="Y1962" s="40">
        <v>57</v>
      </c>
      <c r="Z1962" s="119">
        <v>1</v>
      </c>
      <c r="AA1962" s="368">
        <v>0</v>
      </c>
      <c r="AB1962" s="535">
        <v>1</v>
      </c>
      <c r="AC1962" s="39" t="s">
        <v>160</v>
      </c>
      <c r="AD1962" s="75" t="s">
        <v>10</v>
      </c>
      <c r="AE1962" s="95">
        <v>0</v>
      </c>
      <c r="AF1962" s="75">
        <v>0</v>
      </c>
      <c r="AG1962" s="75">
        <v>0</v>
      </c>
      <c r="AH1962" s="75">
        <v>0</v>
      </c>
      <c r="AI1962" s="75">
        <v>0</v>
      </c>
      <c r="AJ1962" s="75">
        <v>0</v>
      </c>
      <c r="AK1962" s="75">
        <v>0</v>
      </c>
      <c r="AL1962" s="95">
        <v>1</v>
      </c>
      <c r="AM1962" s="92">
        <v>0</v>
      </c>
      <c r="AN1962" s="79" t="s">
        <v>80</v>
      </c>
      <c r="AO1962" s="75">
        <v>1</v>
      </c>
      <c r="AP1962" s="75" t="s">
        <v>83</v>
      </c>
      <c r="AQ1962" s="122">
        <v>1</v>
      </c>
      <c r="AR1962" s="515" t="s">
        <v>10</v>
      </c>
      <c r="AS1962" s="95">
        <v>0</v>
      </c>
      <c r="AT1962" s="75">
        <v>0</v>
      </c>
      <c r="AU1962" s="75">
        <v>0</v>
      </c>
      <c r="AV1962" s="75">
        <v>0</v>
      </c>
      <c r="AW1962" s="123">
        <v>0</v>
      </c>
      <c r="AX1962" s="516" t="s">
        <v>853</v>
      </c>
      <c r="AY1962" s="75">
        <v>1</v>
      </c>
      <c r="AZ1962" s="77" t="s">
        <v>131</v>
      </c>
      <c r="BA1962" s="78" t="s">
        <v>131</v>
      </c>
      <c r="BB1962" s="78" t="s">
        <v>131</v>
      </c>
      <c r="BC1962" s="78" t="s">
        <v>131</v>
      </c>
      <c r="BD1962" s="78" t="s">
        <v>131</v>
      </c>
      <c r="BE1962" s="78" t="s">
        <v>131</v>
      </c>
      <c r="BF1962" s="78" t="s">
        <v>131</v>
      </c>
      <c r="BG1962" s="78" t="s">
        <v>132</v>
      </c>
      <c r="BH1962" s="75" t="s">
        <v>5970</v>
      </c>
      <c r="BI1962" s="295" t="s">
        <v>2234</v>
      </c>
      <c r="BJ1962" s="546">
        <v>1</v>
      </c>
      <c r="BK1962" s="294">
        <v>1</v>
      </c>
      <c r="BL1962" s="157">
        <v>1</v>
      </c>
      <c r="BM1962" s="548" t="s">
        <v>1339</v>
      </c>
      <c r="BN1962" s="548" t="s">
        <v>1339</v>
      </c>
      <c r="BO1962" s="157" t="s">
        <v>4331</v>
      </c>
      <c r="BP1962" s="548" t="s">
        <v>2234</v>
      </c>
      <c r="BQ1962" s="157" t="s">
        <v>4330</v>
      </c>
      <c r="BR1962" s="157"/>
    </row>
    <row r="1963" spans="1:70" x14ac:dyDescent="0.25">
      <c r="A1963" s="19" t="s">
        <v>3686</v>
      </c>
      <c r="B1963" s="37" t="s">
        <v>849</v>
      </c>
      <c r="C1963" s="90">
        <v>44350.824814814812</v>
      </c>
      <c r="D1963" s="114">
        <v>44350.574814814812</v>
      </c>
      <c r="E1963" s="38">
        <v>44350</v>
      </c>
      <c r="F1963" s="91">
        <v>2021</v>
      </c>
      <c r="G1963" s="93">
        <v>6</v>
      </c>
      <c r="H1963" s="37" t="s">
        <v>464</v>
      </c>
      <c r="I1963" s="37" t="s">
        <v>349</v>
      </c>
      <c r="J1963" s="103">
        <v>-93.167159499999997</v>
      </c>
      <c r="K1963" s="40">
        <v>45.001359999999998</v>
      </c>
      <c r="L1963" s="74"/>
      <c r="M1963" s="272" t="s">
        <v>16</v>
      </c>
      <c r="N1963" s="74">
        <v>0</v>
      </c>
      <c r="O1963" s="94"/>
      <c r="P1963" s="118">
        <v>0</v>
      </c>
      <c r="Q1963" s="510"/>
      <c r="R1963" s="513"/>
      <c r="S1963" s="41"/>
      <c r="T1963" s="40"/>
      <c r="U1963" s="40"/>
      <c r="V1963" s="119">
        <v>1</v>
      </c>
      <c r="W1963" s="40">
        <v>0</v>
      </c>
      <c r="X1963" s="119">
        <v>1</v>
      </c>
      <c r="Y1963" s="40">
        <v>56</v>
      </c>
      <c r="Z1963" s="119">
        <v>0</v>
      </c>
      <c r="AA1963" s="368" t="s">
        <v>16</v>
      </c>
      <c r="AB1963" s="535" t="s">
        <v>16</v>
      </c>
      <c r="AC1963" s="39" t="s">
        <v>160</v>
      </c>
      <c r="AD1963" s="75" t="s">
        <v>10</v>
      </c>
      <c r="AE1963" s="95">
        <v>0</v>
      </c>
      <c r="AF1963" s="75">
        <v>0</v>
      </c>
      <c r="AG1963" s="75">
        <v>0</v>
      </c>
      <c r="AH1963" s="75">
        <v>0</v>
      </c>
      <c r="AI1963" s="75">
        <v>0</v>
      </c>
      <c r="AJ1963" s="75">
        <v>0</v>
      </c>
      <c r="AK1963" s="75">
        <v>0</v>
      </c>
      <c r="AL1963" s="95">
        <v>1</v>
      </c>
      <c r="AM1963" s="92">
        <v>0</v>
      </c>
      <c r="AN1963" s="79" t="s">
        <v>80</v>
      </c>
      <c r="AO1963" s="75">
        <v>1</v>
      </c>
      <c r="AP1963" s="75" t="s">
        <v>83</v>
      </c>
      <c r="AQ1963" s="122">
        <v>1</v>
      </c>
      <c r="AR1963" s="515" t="s">
        <v>10</v>
      </c>
      <c r="AS1963" s="95">
        <v>0</v>
      </c>
      <c r="AT1963" s="75">
        <v>0</v>
      </c>
      <c r="AU1963" s="75">
        <v>0</v>
      </c>
      <c r="AV1963" s="75">
        <v>0</v>
      </c>
      <c r="AW1963" s="123">
        <v>0</v>
      </c>
      <c r="AX1963" s="516" t="s">
        <v>850</v>
      </c>
      <c r="AY1963" s="75">
        <v>1</v>
      </c>
      <c r="AZ1963" s="77" t="s">
        <v>131</v>
      </c>
      <c r="BA1963" s="78" t="s">
        <v>131</v>
      </c>
      <c r="BB1963" s="78" t="s">
        <v>131</v>
      </c>
      <c r="BC1963" s="78" t="s">
        <v>131</v>
      </c>
      <c r="BD1963" s="78" t="s">
        <v>131</v>
      </c>
      <c r="BE1963" s="78" t="s">
        <v>131</v>
      </c>
      <c r="BF1963" s="78" t="s">
        <v>131</v>
      </c>
      <c r="BG1963" s="78" t="s">
        <v>132</v>
      </c>
      <c r="BH1963" s="75" t="s">
        <v>5970</v>
      </c>
      <c r="BI1963" s="295" t="s">
        <v>16</v>
      </c>
      <c r="BJ1963" s="546" t="s">
        <v>16</v>
      </c>
      <c r="BK1963" s="294" t="s">
        <v>16</v>
      </c>
      <c r="BL1963" s="157" t="s">
        <v>16</v>
      </c>
      <c r="BM1963" s="548" t="s">
        <v>2343</v>
      </c>
      <c r="BN1963" s="548" t="s">
        <v>578</v>
      </c>
      <c r="BO1963" s="157" t="s">
        <v>4742</v>
      </c>
      <c r="BP1963" s="548" t="s">
        <v>4743</v>
      </c>
      <c r="BQ1963" s="157" t="s">
        <v>4741</v>
      </c>
      <c r="BR1963" s="157"/>
    </row>
    <row r="1964" spans="1:70" x14ac:dyDescent="0.25">
      <c r="A1964" s="19" t="s">
        <v>3686</v>
      </c>
      <c r="B1964" s="37" t="s">
        <v>847</v>
      </c>
      <c r="C1964" s="90">
        <v>44349.85</v>
      </c>
      <c r="D1964" s="114">
        <v>44349.599999999999</v>
      </c>
      <c r="E1964" s="38">
        <v>44349</v>
      </c>
      <c r="F1964" s="91">
        <v>2021</v>
      </c>
      <c r="G1964" s="93">
        <v>6</v>
      </c>
      <c r="H1964" s="37" t="s">
        <v>201</v>
      </c>
      <c r="I1964" s="37"/>
      <c r="J1964" s="103">
        <v>-92.732091326605783</v>
      </c>
      <c r="K1964" s="40">
        <v>44.831085929965141</v>
      </c>
      <c r="L1964" s="74"/>
      <c r="M1964" s="272" t="s">
        <v>16</v>
      </c>
      <c r="N1964" s="74">
        <v>0</v>
      </c>
      <c r="O1964" s="94"/>
      <c r="P1964" s="118">
        <v>1</v>
      </c>
      <c r="Q1964" s="510">
        <v>180</v>
      </c>
      <c r="R1964" s="513">
        <v>120</v>
      </c>
      <c r="S1964" s="41"/>
      <c r="T1964" s="40"/>
      <c r="U1964" s="40">
        <v>7.5</v>
      </c>
      <c r="V1964" s="119">
        <v>1</v>
      </c>
      <c r="W1964" s="40">
        <v>0</v>
      </c>
      <c r="X1964" s="119">
        <v>1</v>
      </c>
      <c r="Y1964" s="40">
        <v>62</v>
      </c>
      <c r="Z1964" s="119">
        <v>1</v>
      </c>
      <c r="AA1964" s="368">
        <v>0</v>
      </c>
      <c r="AB1964" s="535">
        <v>5</v>
      </c>
      <c r="AC1964" s="39" t="s">
        <v>160</v>
      </c>
      <c r="AD1964" s="75" t="s">
        <v>8</v>
      </c>
      <c r="AE1964" s="95">
        <v>0</v>
      </c>
      <c r="AF1964" s="75">
        <v>1</v>
      </c>
      <c r="AG1964" s="75">
        <v>0</v>
      </c>
      <c r="AH1964" s="75">
        <v>0</v>
      </c>
      <c r="AI1964" s="75">
        <v>0</v>
      </c>
      <c r="AJ1964" s="75">
        <v>0</v>
      </c>
      <c r="AK1964" s="75">
        <v>0</v>
      </c>
      <c r="AL1964" s="95">
        <v>0</v>
      </c>
      <c r="AM1964" s="92">
        <v>0</v>
      </c>
      <c r="AN1964" s="79" t="s">
        <v>80</v>
      </c>
      <c r="AO1964" s="75">
        <v>1</v>
      </c>
      <c r="AP1964" s="75" t="s">
        <v>83</v>
      </c>
      <c r="AQ1964" s="122">
        <v>1</v>
      </c>
      <c r="AR1964" s="515" t="s">
        <v>10</v>
      </c>
      <c r="AS1964" s="95">
        <v>0</v>
      </c>
      <c r="AT1964" s="75">
        <v>0</v>
      </c>
      <c r="AU1964" s="75">
        <v>0</v>
      </c>
      <c r="AV1964" s="75">
        <v>0</v>
      </c>
      <c r="AW1964" s="123">
        <v>0</v>
      </c>
      <c r="AX1964" s="516" t="s">
        <v>848</v>
      </c>
      <c r="AY1964" s="75">
        <v>1</v>
      </c>
      <c r="AZ1964" s="77" t="s">
        <v>131</v>
      </c>
      <c r="BA1964" s="78" t="s">
        <v>132</v>
      </c>
      <c r="BB1964" s="78" t="s">
        <v>131</v>
      </c>
      <c r="BC1964" s="78" t="s">
        <v>131</v>
      </c>
      <c r="BD1964" s="78" t="s">
        <v>131</v>
      </c>
      <c r="BE1964" s="78" t="s">
        <v>131</v>
      </c>
      <c r="BF1964" s="78" t="s">
        <v>131</v>
      </c>
      <c r="BG1964" s="78" t="s">
        <v>131</v>
      </c>
      <c r="BH1964" s="75" t="s">
        <v>5970</v>
      </c>
      <c r="BI1964" s="295" t="s">
        <v>2227</v>
      </c>
      <c r="BJ1964" s="546">
        <v>1</v>
      </c>
      <c r="BK1964" s="294" t="s">
        <v>16</v>
      </c>
      <c r="BL1964" s="157" t="s">
        <v>16</v>
      </c>
      <c r="BM1964" s="548" t="s">
        <v>578</v>
      </c>
      <c r="BN1964" s="548" t="s">
        <v>578</v>
      </c>
      <c r="BO1964" s="157" t="s">
        <v>4341</v>
      </c>
      <c r="BP1964" s="548" t="s">
        <v>4343</v>
      </c>
      <c r="BQ1964" s="157" t="s">
        <v>4309</v>
      </c>
      <c r="BR1964" s="157"/>
    </row>
    <row r="1965" spans="1:70" x14ac:dyDescent="0.25">
      <c r="A1965" s="19" t="s">
        <v>3686</v>
      </c>
      <c r="B1965" s="37" t="s">
        <v>845</v>
      </c>
      <c r="C1965" s="90">
        <v>44348.751932870371</v>
      </c>
      <c r="D1965" s="114">
        <v>44348.501932870371</v>
      </c>
      <c r="E1965" s="38">
        <v>44348</v>
      </c>
      <c r="F1965" s="91">
        <v>2021</v>
      </c>
      <c r="G1965" s="93">
        <v>6</v>
      </c>
      <c r="H1965" s="37" t="s">
        <v>603</v>
      </c>
      <c r="I1965" s="37" t="s">
        <v>753</v>
      </c>
      <c r="J1965" s="103">
        <v>-92.803208499999997</v>
      </c>
      <c r="K1965" s="40">
        <v>44.542819199999997</v>
      </c>
      <c r="L1965" s="74"/>
      <c r="M1965" s="272" t="s">
        <v>846</v>
      </c>
      <c r="N1965" s="74">
        <v>1</v>
      </c>
      <c r="O1965" s="94"/>
      <c r="P1965" s="118">
        <v>1</v>
      </c>
      <c r="Q1965" s="510">
        <v>80</v>
      </c>
      <c r="R1965" s="513">
        <v>180</v>
      </c>
      <c r="S1965" s="41"/>
      <c r="T1965" s="40"/>
      <c r="U1965" s="40">
        <v>7.5</v>
      </c>
      <c r="V1965" s="119">
        <v>1</v>
      </c>
      <c r="W1965" s="40">
        <v>500</v>
      </c>
      <c r="X1965" s="119">
        <v>1</v>
      </c>
      <c r="Y1965" s="40">
        <v>57</v>
      </c>
      <c r="Z1965" s="119">
        <v>0</v>
      </c>
      <c r="AA1965" s="368" t="s">
        <v>16</v>
      </c>
      <c r="AB1965" s="535" t="s">
        <v>16</v>
      </c>
      <c r="AC1965" s="39" t="s">
        <v>160</v>
      </c>
      <c r="AD1965" s="75" t="s">
        <v>16</v>
      </c>
      <c r="AE1965" s="95">
        <v>-1</v>
      </c>
      <c r="AF1965" s="75">
        <v>-1</v>
      </c>
      <c r="AG1965" s="75">
        <v>-1</v>
      </c>
      <c r="AH1965" s="75">
        <v>-1</v>
      </c>
      <c r="AI1965" s="75">
        <v>-1</v>
      </c>
      <c r="AJ1965" s="75">
        <v>-1</v>
      </c>
      <c r="AK1965" s="75">
        <v>-1</v>
      </c>
      <c r="AL1965" s="95">
        <v>-1</v>
      </c>
      <c r="AM1965" s="92">
        <v>1</v>
      </c>
      <c r="AN1965" s="79" t="s">
        <v>81</v>
      </c>
      <c r="AO1965" s="75">
        <v>1</v>
      </c>
      <c r="AP1965" s="75" t="s">
        <v>83</v>
      </c>
      <c r="AQ1965" s="122">
        <v>1</v>
      </c>
      <c r="AR1965" s="515" t="s">
        <v>10</v>
      </c>
      <c r="AS1965" s="95">
        <v>0</v>
      </c>
      <c r="AT1965" s="75">
        <v>0</v>
      </c>
      <c r="AU1965" s="75">
        <v>0</v>
      </c>
      <c r="AV1965" s="75">
        <v>0</v>
      </c>
      <c r="AW1965" s="123">
        <v>0</v>
      </c>
      <c r="AX1965" s="516"/>
      <c r="AY1965" s="75">
        <v>0</v>
      </c>
      <c r="AZ1965" s="77" t="s">
        <v>5971</v>
      </c>
      <c r="BA1965" s="78" t="s">
        <v>5971</v>
      </c>
      <c r="BB1965" s="78" t="s">
        <v>5971</v>
      </c>
      <c r="BC1965" s="78" t="s">
        <v>5971</v>
      </c>
      <c r="BD1965" s="78" t="s">
        <v>5971</v>
      </c>
      <c r="BE1965" s="78" t="s">
        <v>5971</v>
      </c>
      <c r="BF1965" s="78" t="s">
        <v>5971</v>
      </c>
      <c r="BG1965" s="78" t="s">
        <v>5971</v>
      </c>
      <c r="BH1965" s="75" t="s">
        <v>5971</v>
      </c>
      <c r="BI1965" s="295" t="s">
        <v>2224</v>
      </c>
      <c r="BJ1965" s="546">
        <v>1</v>
      </c>
      <c r="BK1965" s="294">
        <v>1</v>
      </c>
      <c r="BL1965" s="157">
        <v>1</v>
      </c>
      <c r="BM1965" s="548" t="s">
        <v>2343</v>
      </c>
      <c r="BN1965" s="548" t="s">
        <v>4161</v>
      </c>
      <c r="BO1965" s="157" t="s">
        <v>4510</v>
      </c>
      <c r="BP1965" s="548" t="s">
        <v>753</v>
      </c>
      <c r="BQ1965" s="157" t="s">
        <v>4389</v>
      </c>
      <c r="BR1965" s="157"/>
    </row>
    <row r="1966" spans="1:70" x14ac:dyDescent="0.25">
      <c r="A1966" s="19" t="s">
        <v>3686</v>
      </c>
      <c r="B1966" s="37" t="s">
        <v>844</v>
      </c>
      <c r="C1966" s="90">
        <v>44347.731481481482</v>
      </c>
      <c r="D1966" s="114">
        <v>44347.481481481482</v>
      </c>
      <c r="E1966" s="38">
        <v>44347</v>
      </c>
      <c r="F1966" s="91">
        <v>2021</v>
      </c>
      <c r="G1966" s="93">
        <v>5</v>
      </c>
      <c r="H1966" s="37" t="s">
        <v>214</v>
      </c>
      <c r="I1966" s="37"/>
      <c r="J1966" s="103">
        <v>-92.359187033151954</v>
      </c>
      <c r="K1966" s="40">
        <v>44.788483075457847</v>
      </c>
      <c r="L1966" s="74"/>
      <c r="M1966" s="272" t="s">
        <v>16</v>
      </c>
      <c r="N1966" s="74">
        <v>0</v>
      </c>
      <c r="O1966" s="94"/>
      <c r="P1966" s="118">
        <v>1</v>
      </c>
      <c r="Q1966" s="510">
        <v>0</v>
      </c>
      <c r="R1966" s="513">
        <v>30</v>
      </c>
      <c r="S1966" s="41"/>
      <c r="T1966" s="40"/>
      <c r="U1966" s="40">
        <v>7</v>
      </c>
      <c r="V1966" s="119">
        <v>0</v>
      </c>
      <c r="W1966" s="40"/>
      <c r="X1966" s="119">
        <v>1</v>
      </c>
      <c r="Y1966" s="40">
        <v>56</v>
      </c>
      <c r="Z1966" s="119">
        <v>0</v>
      </c>
      <c r="AA1966" s="368" t="s">
        <v>16</v>
      </c>
      <c r="AB1966" s="535" t="s">
        <v>16</v>
      </c>
      <c r="AC1966" s="39" t="s">
        <v>160</v>
      </c>
      <c r="AD1966" s="75" t="s">
        <v>10</v>
      </c>
      <c r="AE1966" s="95">
        <v>0</v>
      </c>
      <c r="AF1966" s="75">
        <v>0</v>
      </c>
      <c r="AG1966" s="75">
        <v>0</v>
      </c>
      <c r="AH1966" s="75">
        <v>0</v>
      </c>
      <c r="AI1966" s="75">
        <v>0</v>
      </c>
      <c r="AJ1966" s="75">
        <v>0</v>
      </c>
      <c r="AK1966" s="75">
        <v>0</v>
      </c>
      <c r="AL1966" s="95">
        <v>1</v>
      </c>
      <c r="AM1966" s="92">
        <v>0</v>
      </c>
      <c r="AN1966" s="79" t="s">
        <v>80</v>
      </c>
      <c r="AO1966" s="75">
        <v>1</v>
      </c>
      <c r="AP1966" s="75" t="s">
        <v>83</v>
      </c>
      <c r="AQ1966" s="122">
        <v>1</v>
      </c>
      <c r="AR1966" s="515" t="s">
        <v>10</v>
      </c>
      <c r="AS1966" s="95">
        <v>0</v>
      </c>
      <c r="AT1966" s="75">
        <v>0</v>
      </c>
      <c r="AU1966" s="75">
        <v>0</v>
      </c>
      <c r="AV1966" s="75">
        <v>0</v>
      </c>
      <c r="AW1966" s="123">
        <v>0</v>
      </c>
      <c r="AX1966" s="516"/>
      <c r="AY1966" s="75">
        <v>0</v>
      </c>
      <c r="AZ1966" s="77" t="s">
        <v>131</v>
      </c>
      <c r="BA1966" s="78" t="s">
        <v>131</v>
      </c>
      <c r="BB1966" s="78" t="s">
        <v>131</v>
      </c>
      <c r="BC1966" s="78" t="s">
        <v>131</v>
      </c>
      <c r="BD1966" s="78" t="s">
        <v>131</v>
      </c>
      <c r="BE1966" s="78" t="s">
        <v>131</v>
      </c>
      <c r="BF1966" s="78" t="s">
        <v>131</v>
      </c>
      <c r="BG1966" s="78" t="s">
        <v>132</v>
      </c>
      <c r="BH1966" s="75" t="s">
        <v>5970</v>
      </c>
      <c r="BI1966" s="295" t="s">
        <v>2231</v>
      </c>
      <c r="BJ1966" s="546">
        <v>1</v>
      </c>
      <c r="BK1966" s="294">
        <v>1</v>
      </c>
      <c r="BL1966" s="157">
        <v>1</v>
      </c>
      <c r="BM1966" s="548" t="s">
        <v>578</v>
      </c>
      <c r="BN1966" s="548" t="s">
        <v>578</v>
      </c>
      <c r="BO1966" s="157" t="s">
        <v>4213</v>
      </c>
      <c r="BP1966" s="548" t="s">
        <v>4216</v>
      </c>
      <c r="BQ1966" s="157" t="s">
        <v>4212</v>
      </c>
      <c r="BR1966" s="157"/>
    </row>
    <row r="1967" spans="1:70" x14ac:dyDescent="0.25">
      <c r="A1967" s="19" t="s">
        <v>3686</v>
      </c>
      <c r="B1967" s="37" t="s">
        <v>843</v>
      </c>
      <c r="C1967" s="90">
        <v>44345.863796296297</v>
      </c>
      <c r="D1967" s="114">
        <v>44345.613796296297</v>
      </c>
      <c r="E1967" s="38">
        <v>44345</v>
      </c>
      <c r="F1967" s="91">
        <v>2021</v>
      </c>
      <c r="G1967" s="93">
        <v>5</v>
      </c>
      <c r="H1967" s="37" t="s">
        <v>600</v>
      </c>
      <c r="I1967" s="37"/>
      <c r="J1967" s="103">
        <v>-92.11583598455428</v>
      </c>
      <c r="K1967" s="40">
        <v>44.021138518109261</v>
      </c>
      <c r="L1967" s="74"/>
      <c r="M1967" s="272" t="s">
        <v>16</v>
      </c>
      <c r="N1967" s="74">
        <v>0</v>
      </c>
      <c r="O1967" s="94"/>
      <c r="P1967" s="118">
        <v>1</v>
      </c>
      <c r="Q1967" s="510">
        <v>120</v>
      </c>
      <c r="R1967" s="513">
        <v>180</v>
      </c>
      <c r="S1967" s="41"/>
      <c r="T1967" s="40"/>
      <c r="U1967" s="40">
        <v>8</v>
      </c>
      <c r="V1967" s="119">
        <v>1</v>
      </c>
      <c r="W1967" s="40">
        <v>0</v>
      </c>
      <c r="X1967" s="119">
        <v>1</v>
      </c>
      <c r="Y1967" s="40">
        <v>58</v>
      </c>
      <c r="Z1967" s="119">
        <v>1</v>
      </c>
      <c r="AA1967" s="368">
        <v>0</v>
      </c>
      <c r="AB1967" s="535">
        <v>10</v>
      </c>
      <c r="AC1967" s="39" t="s">
        <v>160</v>
      </c>
      <c r="AD1967" s="75" t="s">
        <v>16</v>
      </c>
      <c r="AE1967" s="95">
        <v>-1</v>
      </c>
      <c r="AF1967" s="75">
        <v>-1</v>
      </c>
      <c r="AG1967" s="75">
        <v>-1</v>
      </c>
      <c r="AH1967" s="75">
        <v>-1</v>
      </c>
      <c r="AI1967" s="75">
        <v>-1</v>
      </c>
      <c r="AJ1967" s="75">
        <v>-1</v>
      </c>
      <c r="AK1967" s="75">
        <v>-1</v>
      </c>
      <c r="AL1967" s="95">
        <v>-1</v>
      </c>
      <c r="AM1967" s="92">
        <v>1</v>
      </c>
      <c r="AN1967" s="79" t="s">
        <v>80</v>
      </c>
      <c r="AO1967" s="75">
        <v>1</v>
      </c>
      <c r="AP1967" s="75"/>
      <c r="AQ1967" s="122">
        <v>0</v>
      </c>
      <c r="AR1967" s="515" t="s">
        <v>10</v>
      </c>
      <c r="AS1967" s="95">
        <v>0</v>
      </c>
      <c r="AT1967" s="75">
        <v>0</v>
      </c>
      <c r="AU1967" s="75">
        <v>0</v>
      </c>
      <c r="AV1967" s="75">
        <v>0</v>
      </c>
      <c r="AW1967" s="123">
        <v>0</v>
      </c>
      <c r="AX1967" s="516"/>
      <c r="AY1967" s="75">
        <v>0</v>
      </c>
      <c r="AZ1967" s="77" t="s">
        <v>5971</v>
      </c>
      <c r="BA1967" s="78" t="s">
        <v>5971</v>
      </c>
      <c r="BB1967" s="78" t="s">
        <v>5971</v>
      </c>
      <c r="BC1967" s="78" t="s">
        <v>5971</v>
      </c>
      <c r="BD1967" s="78" t="s">
        <v>5971</v>
      </c>
      <c r="BE1967" s="78" t="s">
        <v>5971</v>
      </c>
      <c r="BF1967" s="78" t="s">
        <v>5971</v>
      </c>
      <c r="BG1967" s="78" t="s">
        <v>5971</v>
      </c>
      <c r="BH1967" s="75" t="s">
        <v>5971</v>
      </c>
      <c r="BI1967" s="295" t="s">
        <v>2262</v>
      </c>
      <c r="BJ1967" s="546">
        <v>1</v>
      </c>
      <c r="BK1967" s="294">
        <v>1</v>
      </c>
      <c r="BL1967" s="157">
        <v>1</v>
      </c>
      <c r="BM1967" s="548" t="s">
        <v>1339</v>
      </c>
      <c r="BN1967" s="548" t="s">
        <v>1339</v>
      </c>
      <c r="BO1967" s="157" t="s">
        <v>4364</v>
      </c>
      <c r="BP1967" s="548" t="s">
        <v>2292</v>
      </c>
      <c r="BQ1967" s="157" t="s">
        <v>4361</v>
      </c>
      <c r="BR1967" s="157"/>
    </row>
    <row r="1968" spans="1:70" x14ac:dyDescent="0.25">
      <c r="A1968" s="19" t="s">
        <v>3686</v>
      </c>
      <c r="B1968" s="37" t="s">
        <v>840</v>
      </c>
      <c r="C1968" s="90">
        <v>44344.908229166664</v>
      </c>
      <c r="D1968" s="114">
        <v>44344.658229166664</v>
      </c>
      <c r="E1968" s="38">
        <v>44344</v>
      </c>
      <c r="F1968" s="91">
        <v>2021</v>
      </c>
      <c r="G1968" s="93">
        <v>5</v>
      </c>
      <c r="H1968" s="37" t="s">
        <v>260</v>
      </c>
      <c r="I1968" s="37" t="s">
        <v>337</v>
      </c>
      <c r="J1968" s="103">
        <v>-92.644987950762726</v>
      </c>
      <c r="K1968" s="40">
        <v>44.843604655387864</v>
      </c>
      <c r="L1968" s="74"/>
      <c r="M1968" s="272" t="s">
        <v>841</v>
      </c>
      <c r="N1968" s="74">
        <v>1</v>
      </c>
      <c r="O1968" s="94"/>
      <c r="P1968" s="118">
        <v>1</v>
      </c>
      <c r="Q1968" s="510">
        <v>80</v>
      </c>
      <c r="R1968" s="513">
        <v>120</v>
      </c>
      <c r="S1968" s="41"/>
      <c r="T1968" s="40"/>
      <c r="U1968" s="40">
        <v>7.5</v>
      </c>
      <c r="V1968" s="119">
        <v>1</v>
      </c>
      <c r="W1968" s="40">
        <v>200</v>
      </c>
      <c r="X1968" s="119">
        <v>1</v>
      </c>
      <c r="Y1968" s="40">
        <v>54</v>
      </c>
      <c r="Z1968" s="119">
        <v>1</v>
      </c>
      <c r="AA1968" s="368">
        <v>0</v>
      </c>
      <c r="AB1968" s="535">
        <v>5</v>
      </c>
      <c r="AC1968" s="39" t="s">
        <v>160</v>
      </c>
      <c r="AD1968" s="75" t="s">
        <v>10</v>
      </c>
      <c r="AE1968" s="95">
        <v>0</v>
      </c>
      <c r="AF1968" s="75">
        <v>0</v>
      </c>
      <c r="AG1968" s="75">
        <v>0</v>
      </c>
      <c r="AH1968" s="75">
        <v>0</v>
      </c>
      <c r="AI1968" s="75">
        <v>0</v>
      </c>
      <c r="AJ1968" s="75">
        <v>0</v>
      </c>
      <c r="AK1968" s="75">
        <v>0</v>
      </c>
      <c r="AL1968" s="95">
        <v>1</v>
      </c>
      <c r="AM1968" s="92">
        <v>0</v>
      </c>
      <c r="AN1968" s="79" t="s">
        <v>195</v>
      </c>
      <c r="AO1968" s="75">
        <v>1</v>
      </c>
      <c r="AP1968" s="75" t="s">
        <v>84</v>
      </c>
      <c r="AQ1968" s="122">
        <v>1</v>
      </c>
      <c r="AR1968" s="515" t="s">
        <v>13</v>
      </c>
      <c r="AS1968" s="95">
        <v>1</v>
      </c>
      <c r="AT1968" s="75">
        <v>0</v>
      </c>
      <c r="AU1968" s="75">
        <v>0</v>
      </c>
      <c r="AV1968" s="75">
        <v>0</v>
      </c>
      <c r="AW1968" s="123">
        <v>0</v>
      </c>
      <c r="AX1968" s="516" t="s">
        <v>842</v>
      </c>
      <c r="AY1968" s="75">
        <v>1</v>
      </c>
      <c r="AZ1968" s="77" t="s">
        <v>131</v>
      </c>
      <c r="BA1968" s="78" t="s">
        <v>131</v>
      </c>
      <c r="BB1968" s="78" t="s">
        <v>131</v>
      </c>
      <c r="BC1968" s="78" t="s">
        <v>131</v>
      </c>
      <c r="BD1968" s="78" t="s">
        <v>131</v>
      </c>
      <c r="BE1968" s="78" t="s">
        <v>131</v>
      </c>
      <c r="BF1968" s="78" t="s">
        <v>131</v>
      </c>
      <c r="BG1968" s="78" t="s">
        <v>132</v>
      </c>
      <c r="BH1968" s="75" t="s">
        <v>5970</v>
      </c>
      <c r="BI1968" s="295" t="s">
        <v>2227</v>
      </c>
      <c r="BJ1968" s="546">
        <v>1</v>
      </c>
      <c r="BK1968" s="294" t="s">
        <v>16</v>
      </c>
      <c r="BL1968" s="157" t="s">
        <v>16</v>
      </c>
      <c r="BM1968" s="548" t="s">
        <v>578</v>
      </c>
      <c r="BN1968" s="548" t="s">
        <v>578</v>
      </c>
      <c r="BO1968" s="157" t="s">
        <v>4341</v>
      </c>
      <c r="BP1968" s="548" t="s">
        <v>4343</v>
      </c>
      <c r="BQ1968" s="157" t="s">
        <v>4309</v>
      </c>
      <c r="BR1968" s="157"/>
    </row>
    <row r="1969" spans="1:70" x14ac:dyDescent="0.25">
      <c r="A1969" s="19" t="s">
        <v>3686</v>
      </c>
      <c r="B1969" s="37" t="s">
        <v>839</v>
      </c>
      <c r="C1969" s="90">
        <v>44344.838912037034</v>
      </c>
      <c r="D1969" s="114">
        <v>44344.588912037034</v>
      </c>
      <c r="E1969" s="38">
        <v>44344</v>
      </c>
      <c r="F1969" s="91">
        <v>2021</v>
      </c>
      <c r="G1969" s="93">
        <v>5</v>
      </c>
      <c r="H1969" s="37" t="s">
        <v>619</v>
      </c>
      <c r="I1969" s="37"/>
      <c r="J1969" s="103">
        <v>-92.225657900000002</v>
      </c>
      <c r="K1969" s="40">
        <v>43.887196199999998</v>
      </c>
      <c r="L1969" s="74"/>
      <c r="M1969" s="272" t="s">
        <v>16</v>
      </c>
      <c r="N1969" s="74">
        <v>0</v>
      </c>
      <c r="O1969" s="94"/>
      <c r="P1969" s="118">
        <v>1</v>
      </c>
      <c r="Q1969" s="510">
        <v>120</v>
      </c>
      <c r="R1969" s="513">
        <v>180</v>
      </c>
      <c r="S1969" s="41"/>
      <c r="T1969" s="40"/>
      <c r="U1969" s="40">
        <v>8</v>
      </c>
      <c r="V1969" s="119">
        <v>1</v>
      </c>
      <c r="W1969" s="40">
        <v>0</v>
      </c>
      <c r="X1969" s="119">
        <v>1</v>
      </c>
      <c r="Y1969" s="40">
        <v>52</v>
      </c>
      <c r="Z1969" s="119">
        <v>1</v>
      </c>
      <c r="AA1969" s="368">
        <v>0</v>
      </c>
      <c r="AB1969" s="535">
        <v>5</v>
      </c>
      <c r="AC1969" s="39" t="s">
        <v>160</v>
      </c>
      <c r="AD1969" s="75" t="s">
        <v>10</v>
      </c>
      <c r="AE1969" s="95">
        <v>0</v>
      </c>
      <c r="AF1969" s="75">
        <v>0</v>
      </c>
      <c r="AG1969" s="75">
        <v>0</v>
      </c>
      <c r="AH1969" s="75">
        <v>0</v>
      </c>
      <c r="AI1969" s="75">
        <v>0</v>
      </c>
      <c r="AJ1969" s="75">
        <v>0</v>
      </c>
      <c r="AK1969" s="75">
        <v>0</v>
      </c>
      <c r="AL1969" s="95">
        <v>1</v>
      </c>
      <c r="AM1969" s="92">
        <v>0</v>
      </c>
      <c r="AN1969" s="79" t="s">
        <v>80</v>
      </c>
      <c r="AO1969" s="75">
        <v>1</v>
      </c>
      <c r="AP1969" s="75" t="s">
        <v>83</v>
      </c>
      <c r="AQ1969" s="122">
        <v>1</v>
      </c>
      <c r="AR1969" s="515" t="s">
        <v>13</v>
      </c>
      <c r="AS1969" s="95">
        <v>1</v>
      </c>
      <c r="AT1969" s="75">
        <v>0</v>
      </c>
      <c r="AU1969" s="75">
        <v>0</v>
      </c>
      <c r="AV1969" s="75">
        <v>0</v>
      </c>
      <c r="AW1969" s="123">
        <v>0</v>
      </c>
      <c r="AX1969" s="516"/>
      <c r="AY1969" s="75">
        <v>0</v>
      </c>
      <c r="AZ1969" s="77" t="s">
        <v>131</v>
      </c>
      <c r="BA1969" s="78" t="s">
        <v>131</v>
      </c>
      <c r="BB1969" s="78" t="s">
        <v>131</v>
      </c>
      <c r="BC1969" s="78" t="s">
        <v>131</v>
      </c>
      <c r="BD1969" s="78" t="s">
        <v>131</v>
      </c>
      <c r="BE1969" s="78" t="s">
        <v>131</v>
      </c>
      <c r="BF1969" s="78" t="s">
        <v>131</v>
      </c>
      <c r="BG1969" s="78" t="s">
        <v>132</v>
      </c>
      <c r="BH1969" s="75" t="s">
        <v>5970</v>
      </c>
      <c r="BI1969" s="295" t="s">
        <v>2243</v>
      </c>
      <c r="BJ1969" s="546">
        <v>1</v>
      </c>
      <c r="BK1969" s="294" t="s">
        <v>16</v>
      </c>
      <c r="BL1969" s="157" t="s">
        <v>16</v>
      </c>
      <c r="BM1969" s="548" t="s">
        <v>1339</v>
      </c>
      <c r="BN1969" s="548" t="s">
        <v>1339</v>
      </c>
      <c r="BO1969" s="157" t="s">
        <v>4697</v>
      </c>
      <c r="BP1969" s="548" t="s">
        <v>2243</v>
      </c>
      <c r="BQ1969" s="157" t="s">
        <v>4673</v>
      </c>
      <c r="BR1969" s="157"/>
    </row>
    <row r="1970" spans="1:70" x14ac:dyDescent="0.25">
      <c r="A1970" s="19" t="s">
        <v>3686</v>
      </c>
      <c r="B1970" s="37" t="s">
        <v>837</v>
      </c>
      <c r="C1970" s="90">
        <v>44344.825509259259</v>
      </c>
      <c r="D1970" s="114">
        <v>44344.575509259259</v>
      </c>
      <c r="E1970" s="38">
        <v>44344</v>
      </c>
      <c r="F1970" s="91">
        <v>2021</v>
      </c>
      <c r="G1970" s="93">
        <v>5</v>
      </c>
      <c r="H1970" s="37" t="s">
        <v>619</v>
      </c>
      <c r="I1970" s="37"/>
      <c r="J1970" s="103">
        <v>-92.195632500000002</v>
      </c>
      <c r="K1970" s="40">
        <v>43.847710999999997</v>
      </c>
      <c r="L1970" s="74"/>
      <c r="M1970" s="272" t="s">
        <v>838</v>
      </c>
      <c r="N1970" s="74">
        <v>1</v>
      </c>
      <c r="O1970" s="94"/>
      <c r="P1970" s="118">
        <v>1</v>
      </c>
      <c r="Q1970" s="510">
        <v>80</v>
      </c>
      <c r="R1970" s="513">
        <v>120</v>
      </c>
      <c r="S1970" s="41"/>
      <c r="T1970" s="40"/>
      <c r="U1970" s="40">
        <v>7.5</v>
      </c>
      <c r="V1970" s="119">
        <v>1</v>
      </c>
      <c r="W1970" s="40">
        <v>0</v>
      </c>
      <c r="X1970" s="119">
        <v>1</v>
      </c>
      <c r="Y1970" s="40">
        <v>54</v>
      </c>
      <c r="Z1970" s="119">
        <v>1</v>
      </c>
      <c r="AA1970" s="368">
        <v>0</v>
      </c>
      <c r="AB1970" s="535">
        <v>5</v>
      </c>
      <c r="AC1970" s="39" t="s">
        <v>160</v>
      </c>
      <c r="AD1970" s="75" t="s">
        <v>10</v>
      </c>
      <c r="AE1970" s="95">
        <v>0</v>
      </c>
      <c r="AF1970" s="75">
        <v>0</v>
      </c>
      <c r="AG1970" s="75">
        <v>0</v>
      </c>
      <c r="AH1970" s="75">
        <v>0</v>
      </c>
      <c r="AI1970" s="75">
        <v>0</v>
      </c>
      <c r="AJ1970" s="75">
        <v>0</v>
      </c>
      <c r="AK1970" s="75">
        <v>0</v>
      </c>
      <c r="AL1970" s="95">
        <v>1</v>
      </c>
      <c r="AM1970" s="92">
        <v>0</v>
      </c>
      <c r="AN1970" s="79" t="s">
        <v>80</v>
      </c>
      <c r="AO1970" s="75">
        <v>1</v>
      </c>
      <c r="AP1970" s="75" t="s">
        <v>84</v>
      </c>
      <c r="AQ1970" s="122">
        <v>1</v>
      </c>
      <c r="AR1970" s="515" t="s">
        <v>16</v>
      </c>
      <c r="AS1970" s="95">
        <v>-1</v>
      </c>
      <c r="AT1970" s="75">
        <v>-1</v>
      </c>
      <c r="AU1970" s="75">
        <v>-1</v>
      </c>
      <c r="AV1970" s="75">
        <v>-1</v>
      </c>
      <c r="AW1970" s="123">
        <v>1</v>
      </c>
      <c r="AX1970" s="516"/>
      <c r="AY1970" s="75">
        <v>0</v>
      </c>
      <c r="AZ1970" s="77" t="s">
        <v>131</v>
      </c>
      <c r="BA1970" s="78" t="s">
        <v>131</v>
      </c>
      <c r="BB1970" s="78" t="s">
        <v>131</v>
      </c>
      <c r="BC1970" s="78" t="s">
        <v>131</v>
      </c>
      <c r="BD1970" s="78" t="s">
        <v>131</v>
      </c>
      <c r="BE1970" s="78" t="s">
        <v>131</v>
      </c>
      <c r="BF1970" s="78" t="s">
        <v>131</v>
      </c>
      <c r="BG1970" s="78" t="s">
        <v>132</v>
      </c>
      <c r="BH1970" s="75" t="s">
        <v>5970</v>
      </c>
      <c r="BI1970" s="295" t="s">
        <v>2243</v>
      </c>
      <c r="BJ1970" s="546">
        <v>1</v>
      </c>
      <c r="BK1970" s="294" t="s">
        <v>16</v>
      </c>
      <c r="BL1970" s="157" t="s">
        <v>16</v>
      </c>
      <c r="BM1970" s="548" t="s">
        <v>1339</v>
      </c>
      <c r="BN1970" s="548" t="s">
        <v>1339</v>
      </c>
      <c r="BO1970" s="157" t="s">
        <v>4697</v>
      </c>
      <c r="BP1970" s="548" t="s">
        <v>2243</v>
      </c>
      <c r="BQ1970" s="157" t="s">
        <v>4673</v>
      </c>
      <c r="BR1970" s="157"/>
    </row>
    <row r="1971" spans="1:70" x14ac:dyDescent="0.25">
      <c r="A1971" s="19" t="s">
        <v>3686</v>
      </c>
      <c r="B1971" s="37" t="s">
        <v>835</v>
      </c>
      <c r="C1971" s="90">
        <v>44342.984872685185</v>
      </c>
      <c r="D1971" s="114">
        <v>44342.734872685185</v>
      </c>
      <c r="E1971" s="38">
        <v>44342</v>
      </c>
      <c r="F1971" s="91">
        <v>2021</v>
      </c>
      <c r="G1971" s="93">
        <v>5</v>
      </c>
      <c r="H1971" s="37" t="s">
        <v>606</v>
      </c>
      <c r="I1971" s="37" t="s">
        <v>16</v>
      </c>
      <c r="J1971" s="103">
        <v>-92.14401470325852</v>
      </c>
      <c r="K1971" s="40">
        <v>44.23663032759513</v>
      </c>
      <c r="L1971" s="74"/>
      <c r="M1971" s="272" t="s">
        <v>16</v>
      </c>
      <c r="N1971" s="74">
        <v>0</v>
      </c>
      <c r="O1971" s="94"/>
      <c r="P1971" s="118">
        <v>1</v>
      </c>
      <c r="Q1971" s="510">
        <v>180</v>
      </c>
      <c r="R1971" s="513">
        <v>180</v>
      </c>
      <c r="S1971" s="41"/>
      <c r="T1971" s="40"/>
      <c r="U1971" s="40">
        <v>8</v>
      </c>
      <c r="V1971" s="119">
        <v>1</v>
      </c>
      <c r="W1971" s="40">
        <v>100</v>
      </c>
      <c r="X1971" s="119">
        <v>1</v>
      </c>
      <c r="Y1971" s="40">
        <v>57</v>
      </c>
      <c r="Z1971" s="119">
        <v>1</v>
      </c>
      <c r="AA1971" s="368">
        <v>0</v>
      </c>
      <c r="AB1971" s="535">
        <v>5</v>
      </c>
      <c r="AC1971" s="39" t="s">
        <v>160</v>
      </c>
      <c r="AD1971" s="75" t="s">
        <v>10</v>
      </c>
      <c r="AE1971" s="95">
        <v>0</v>
      </c>
      <c r="AF1971" s="75">
        <v>0</v>
      </c>
      <c r="AG1971" s="75">
        <v>0</v>
      </c>
      <c r="AH1971" s="75">
        <v>0</v>
      </c>
      <c r="AI1971" s="75">
        <v>0</v>
      </c>
      <c r="AJ1971" s="75">
        <v>0</v>
      </c>
      <c r="AK1971" s="75">
        <v>0</v>
      </c>
      <c r="AL1971" s="95">
        <v>1</v>
      </c>
      <c r="AM1971" s="92">
        <v>0</v>
      </c>
      <c r="AN1971" s="79" t="s">
        <v>81</v>
      </c>
      <c r="AO1971" s="75">
        <v>1</v>
      </c>
      <c r="AP1971" s="75" t="s">
        <v>83</v>
      </c>
      <c r="AQ1971" s="122">
        <v>1</v>
      </c>
      <c r="AR1971" s="515" t="s">
        <v>10</v>
      </c>
      <c r="AS1971" s="95">
        <v>0</v>
      </c>
      <c r="AT1971" s="75">
        <v>0</v>
      </c>
      <c r="AU1971" s="75">
        <v>0</v>
      </c>
      <c r="AV1971" s="75">
        <v>0</v>
      </c>
      <c r="AW1971" s="123">
        <v>0</v>
      </c>
      <c r="AX1971" s="516" t="s">
        <v>836</v>
      </c>
      <c r="AY1971" s="75">
        <v>1</v>
      </c>
      <c r="AZ1971" s="77" t="s">
        <v>131</v>
      </c>
      <c r="BA1971" s="78" t="s">
        <v>131</v>
      </c>
      <c r="BB1971" s="78" t="s">
        <v>131</v>
      </c>
      <c r="BC1971" s="78" t="s">
        <v>131</v>
      </c>
      <c r="BD1971" s="78" t="s">
        <v>131</v>
      </c>
      <c r="BE1971" s="78" t="s">
        <v>131</v>
      </c>
      <c r="BF1971" s="78" t="s">
        <v>131</v>
      </c>
      <c r="BG1971" s="78" t="s">
        <v>132</v>
      </c>
      <c r="BH1971" s="75" t="s">
        <v>5970</v>
      </c>
      <c r="BI1971" s="295" t="s">
        <v>317</v>
      </c>
      <c r="BJ1971" s="546">
        <v>1</v>
      </c>
      <c r="BK1971" s="294">
        <v>1</v>
      </c>
      <c r="BL1971" s="157">
        <v>1</v>
      </c>
      <c r="BM1971" s="548" t="s">
        <v>1339</v>
      </c>
      <c r="BN1971" s="548" t="s">
        <v>1339</v>
      </c>
      <c r="BO1971" s="157" t="s">
        <v>4358</v>
      </c>
      <c r="BP1971" s="548" t="s">
        <v>317</v>
      </c>
      <c r="BQ1971" s="157" t="s">
        <v>4330</v>
      </c>
      <c r="BR1971" s="157"/>
    </row>
    <row r="1972" spans="1:70" x14ac:dyDescent="0.25">
      <c r="A1972" s="19" t="s">
        <v>3686</v>
      </c>
      <c r="B1972" s="37" t="s">
        <v>833</v>
      </c>
      <c r="C1972" s="90">
        <v>44342.582407407404</v>
      </c>
      <c r="D1972" s="114">
        <v>44342.332407407404</v>
      </c>
      <c r="E1972" s="38">
        <v>44342</v>
      </c>
      <c r="F1972" s="91">
        <v>2021</v>
      </c>
      <c r="G1972" s="93">
        <v>5</v>
      </c>
      <c r="H1972" s="37" t="s">
        <v>612</v>
      </c>
      <c r="I1972" s="37"/>
      <c r="J1972" s="103">
        <v>-93.008965709867525</v>
      </c>
      <c r="K1972" s="40">
        <v>44.657189688806241</v>
      </c>
      <c r="L1972" s="74"/>
      <c r="M1972" s="272" t="s">
        <v>834</v>
      </c>
      <c r="N1972" s="74">
        <v>1</v>
      </c>
      <c r="O1972" s="94"/>
      <c r="P1972" s="118">
        <v>1</v>
      </c>
      <c r="Q1972" s="510">
        <v>120</v>
      </c>
      <c r="R1972" s="513">
        <v>120</v>
      </c>
      <c r="S1972" s="41"/>
      <c r="T1972" s="40"/>
      <c r="U1972" s="40">
        <v>7</v>
      </c>
      <c r="V1972" s="119">
        <v>1</v>
      </c>
      <c r="W1972" s="40">
        <v>0</v>
      </c>
      <c r="X1972" s="119">
        <v>1</v>
      </c>
      <c r="Y1972" s="40">
        <v>59</v>
      </c>
      <c r="Z1972" s="119">
        <v>1</v>
      </c>
      <c r="AA1972" s="368">
        <v>0</v>
      </c>
      <c r="AB1972" s="535">
        <v>0</v>
      </c>
      <c r="AC1972" s="39" t="s">
        <v>160</v>
      </c>
      <c r="AD1972" s="75" t="s">
        <v>10</v>
      </c>
      <c r="AE1972" s="95">
        <v>0</v>
      </c>
      <c r="AF1972" s="75">
        <v>0</v>
      </c>
      <c r="AG1972" s="75">
        <v>0</v>
      </c>
      <c r="AH1972" s="75">
        <v>0</v>
      </c>
      <c r="AI1972" s="75">
        <v>0</v>
      </c>
      <c r="AJ1972" s="75">
        <v>0</v>
      </c>
      <c r="AK1972" s="75">
        <v>0</v>
      </c>
      <c r="AL1972" s="95">
        <v>1</v>
      </c>
      <c r="AM1972" s="92">
        <v>0</v>
      </c>
      <c r="AN1972" s="79" t="s">
        <v>81</v>
      </c>
      <c r="AO1972" s="75">
        <v>1</v>
      </c>
      <c r="AP1972" s="75" t="s">
        <v>84</v>
      </c>
      <c r="AQ1972" s="122">
        <v>1</v>
      </c>
      <c r="AR1972" s="515" t="s">
        <v>13</v>
      </c>
      <c r="AS1972" s="95">
        <v>1</v>
      </c>
      <c r="AT1972" s="75">
        <v>0</v>
      </c>
      <c r="AU1972" s="75">
        <v>0</v>
      </c>
      <c r="AV1972" s="75">
        <v>0</v>
      </c>
      <c r="AW1972" s="123">
        <v>0</v>
      </c>
      <c r="AX1972" s="516"/>
      <c r="AY1972" s="75">
        <v>0</v>
      </c>
      <c r="AZ1972" s="77" t="s">
        <v>131</v>
      </c>
      <c r="BA1972" s="78" t="s">
        <v>131</v>
      </c>
      <c r="BB1972" s="78" t="s">
        <v>131</v>
      </c>
      <c r="BC1972" s="78" t="s">
        <v>131</v>
      </c>
      <c r="BD1972" s="78" t="s">
        <v>131</v>
      </c>
      <c r="BE1972" s="78" t="s">
        <v>131</v>
      </c>
      <c r="BF1972" s="78" t="s">
        <v>131</v>
      </c>
      <c r="BG1972" s="78" t="s">
        <v>132</v>
      </c>
      <c r="BH1972" s="75" t="s">
        <v>5970</v>
      </c>
      <c r="BI1972" s="295" t="s">
        <v>16</v>
      </c>
      <c r="BJ1972" s="546">
        <v>1</v>
      </c>
      <c r="BK1972" s="294" t="s">
        <v>16</v>
      </c>
      <c r="BL1972" s="157" t="s">
        <v>16</v>
      </c>
      <c r="BM1972" s="548" t="s">
        <v>2343</v>
      </c>
      <c r="BN1972" s="548" t="s">
        <v>4161</v>
      </c>
      <c r="BO1972" s="157" t="s">
        <v>4293</v>
      </c>
      <c r="BP1972" s="548" t="s">
        <v>2225</v>
      </c>
      <c r="BQ1972" s="157" t="s">
        <v>4292</v>
      </c>
      <c r="BR1972" s="157"/>
    </row>
    <row r="1973" spans="1:70" x14ac:dyDescent="0.25">
      <c r="A1973" s="19" t="s">
        <v>3686</v>
      </c>
      <c r="B1973" s="37" t="s">
        <v>832</v>
      </c>
      <c r="C1973" s="90">
        <v>44341.74962962963</v>
      </c>
      <c r="D1973" s="114">
        <v>44341.49962962963</v>
      </c>
      <c r="E1973" s="38">
        <v>44341</v>
      </c>
      <c r="F1973" s="91">
        <v>2021</v>
      </c>
      <c r="G1973" s="93">
        <v>5</v>
      </c>
      <c r="H1973" s="37" t="s">
        <v>302</v>
      </c>
      <c r="I1973" s="37"/>
      <c r="J1973" s="103">
        <v>-92.143954267740483</v>
      </c>
      <c r="K1973" s="40">
        <v>44.236927048540039</v>
      </c>
      <c r="L1973" s="74"/>
      <c r="M1973" s="272" t="s">
        <v>16</v>
      </c>
      <c r="N1973" s="74">
        <v>0</v>
      </c>
      <c r="O1973" s="94"/>
      <c r="P1973" s="118">
        <v>1</v>
      </c>
      <c r="Q1973" s="510">
        <v>180</v>
      </c>
      <c r="R1973" s="513">
        <v>180</v>
      </c>
      <c r="S1973" s="41"/>
      <c r="T1973" s="40"/>
      <c r="U1973" s="40">
        <v>8</v>
      </c>
      <c r="V1973" s="119">
        <v>1</v>
      </c>
      <c r="W1973" s="40">
        <v>0</v>
      </c>
      <c r="X1973" s="119">
        <v>0</v>
      </c>
      <c r="Y1973" s="40"/>
      <c r="Z1973" s="119">
        <v>1</v>
      </c>
      <c r="AA1973" s="368">
        <v>0</v>
      </c>
      <c r="AB1973" s="535">
        <v>5</v>
      </c>
      <c r="AC1973" s="39" t="s">
        <v>160</v>
      </c>
      <c r="AD1973" s="75" t="s">
        <v>10</v>
      </c>
      <c r="AE1973" s="95">
        <v>0</v>
      </c>
      <c r="AF1973" s="75">
        <v>0</v>
      </c>
      <c r="AG1973" s="75">
        <v>0</v>
      </c>
      <c r="AH1973" s="75">
        <v>0</v>
      </c>
      <c r="AI1973" s="75">
        <v>0</v>
      </c>
      <c r="AJ1973" s="75">
        <v>0</v>
      </c>
      <c r="AK1973" s="75">
        <v>0</v>
      </c>
      <c r="AL1973" s="95">
        <v>1</v>
      </c>
      <c r="AM1973" s="92">
        <v>0</v>
      </c>
      <c r="AN1973" s="79" t="s">
        <v>80</v>
      </c>
      <c r="AO1973" s="75">
        <v>1</v>
      </c>
      <c r="AP1973" s="75" t="s">
        <v>83</v>
      </c>
      <c r="AQ1973" s="122">
        <v>1</v>
      </c>
      <c r="AR1973" s="515" t="s">
        <v>10</v>
      </c>
      <c r="AS1973" s="95">
        <v>0</v>
      </c>
      <c r="AT1973" s="75">
        <v>0</v>
      </c>
      <c r="AU1973" s="75">
        <v>0</v>
      </c>
      <c r="AV1973" s="75">
        <v>0</v>
      </c>
      <c r="AW1973" s="123">
        <v>0</v>
      </c>
      <c r="AX1973" s="516"/>
      <c r="AY1973" s="75">
        <v>0</v>
      </c>
      <c r="AZ1973" s="77" t="s">
        <v>131</v>
      </c>
      <c r="BA1973" s="78" t="s">
        <v>131</v>
      </c>
      <c r="BB1973" s="78" t="s">
        <v>131</v>
      </c>
      <c r="BC1973" s="78" t="s">
        <v>131</v>
      </c>
      <c r="BD1973" s="78" t="s">
        <v>131</v>
      </c>
      <c r="BE1973" s="78" t="s">
        <v>131</v>
      </c>
      <c r="BF1973" s="78" t="s">
        <v>131</v>
      </c>
      <c r="BG1973" s="78" t="s">
        <v>132</v>
      </c>
      <c r="BH1973" s="75" t="s">
        <v>5970</v>
      </c>
      <c r="BI1973" s="295" t="s">
        <v>16</v>
      </c>
      <c r="BJ1973" s="546">
        <v>1</v>
      </c>
      <c r="BK1973" s="294">
        <v>1</v>
      </c>
      <c r="BL1973" s="157">
        <v>1</v>
      </c>
      <c r="BM1973" s="548" t="s">
        <v>1339</v>
      </c>
      <c r="BN1973" s="548" t="s">
        <v>4160</v>
      </c>
      <c r="BO1973" s="157" t="s">
        <v>4358</v>
      </c>
      <c r="BP1973" s="548" t="s">
        <v>317</v>
      </c>
      <c r="BQ1973" s="157" t="s">
        <v>4330</v>
      </c>
      <c r="BR1973" s="157"/>
    </row>
    <row r="1974" spans="1:70" x14ac:dyDescent="0.25">
      <c r="A1974" s="19" t="s">
        <v>3686</v>
      </c>
      <c r="B1974" s="37" t="s">
        <v>831</v>
      </c>
      <c r="C1974" s="90">
        <v>44341.637256944443</v>
      </c>
      <c r="D1974" s="114">
        <v>44341.387256944443</v>
      </c>
      <c r="E1974" s="38">
        <v>44341</v>
      </c>
      <c r="F1974" s="91">
        <v>2021</v>
      </c>
      <c r="G1974" s="93">
        <v>5</v>
      </c>
      <c r="H1974" s="37" t="s">
        <v>302</v>
      </c>
      <c r="I1974" s="37"/>
      <c r="J1974" s="103">
        <v>-92.026141728579915</v>
      </c>
      <c r="K1974" s="40">
        <v>44.217089066288821</v>
      </c>
      <c r="L1974" s="74"/>
      <c r="M1974" s="272" t="s">
        <v>16</v>
      </c>
      <c r="N1974" s="74">
        <v>0</v>
      </c>
      <c r="O1974" s="94"/>
      <c r="P1974" s="118">
        <v>1</v>
      </c>
      <c r="Q1974" s="510">
        <v>180</v>
      </c>
      <c r="R1974" s="513">
        <v>180</v>
      </c>
      <c r="S1974" s="41"/>
      <c r="T1974" s="40"/>
      <c r="U1974" s="40">
        <v>7.5</v>
      </c>
      <c r="V1974" s="119">
        <v>1</v>
      </c>
      <c r="W1974" s="40">
        <v>100</v>
      </c>
      <c r="X1974" s="119">
        <v>0</v>
      </c>
      <c r="Y1974" s="40"/>
      <c r="Z1974" s="119">
        <v>1</v>
      </c>
      <c r="AA1974" s="368">
        <v>0</v>
      </c>
      <c r="AB1974" s="535">
        <v>5</v>
      </c>
      <c r="AC1974" s="39" t="s">
        <v>160</v>
      </c>
      <c r="AD1974" s="75" t="s">
        <v>10</v>
      </c>
      <c r="AE1974" s="95">
        <v>0</v>
      </c>
      <c r="AF1974" s="75">
        <v>0</v>
      </c>
      <c r="AG1974" s="75">
        <v>0</v>
      </c>
      <c r="AH1974" s="75">
        <v>0</v>
      </c>
      <c r="AI1974" s="75">
        <v>0</v>
      </c>
      <c r="AJ1974" s="75">
        <v>0</v>
      </c>
      <c r="AK1974" s="75">
        <v>0</v>
      </c>
      <c r="AL1974" s="95">
        <v>1</v>
      </c>
      <c r="AM1974" s="92">
        <v>0</v>
      </c>
      <c r="AN1974" s="79" t="s">
        <v>80</v>
      </c>
      <c r="AO1974" s="75">
        <v>1</v>
      </c>
      <c r="AP1974" s="75" t="s">
        <v>83</v>
      </c>
      <c r="AQ1974" s="122">
        <v>1</v>
      </c>
      <c r="AR1974" s="515" t="s">
        <v>10</v>
      </c>
      <c r="AS1974" s="95">
        <v>0</v>
      </c>
      <c r="AT1974" s="75">
        <v>0</v>
      </c>
      <c r="AU1974" s="75">
        <v>0</v>
      </c>
      <c r="AV1974" s="75">
        <v>0</v>
      </c>
      <c r="AW1974" s="123">
        <v>0</v>
      </c>
      <c r="AX1974" s="516"/>
      <c r="AY1974" s="75">
        <v>0</v>
      </c>
      <c r="AZ1974" s="77" t="s">
        <v>131</v>
      </c>
      <c r="BA1974" s="78" t="s">
        <v>131</v>
      </c>
      <c r="BB1974" s="78" t="s">
        <v>131</v>
      </c>
      <c r="BC1974" s="78" t="s">
        <v>131</v>
      </c>
      <c r="BD1974" s="78" t="s">
        <v>131</v>
      </c>
      <c r="BE1974" s="78" t="s">
        <v>131</v>
      </c>
      <c r="BF1974" s="78" t="s">
        <v>131</v>
      </c>
      <c r="BG1974" s="78" t="s">
        <v>132</v>
      </c>
      <c r="BH1974" s="75" t="s">
        <v>5970</v>
      </c>
      <c r="BI1974" s="295" t="s">
        <v>16</v>
      </c>
      <c r="BJ1974" s="546">
        <v>1</v>
      </c>
      <c r="BK1974" s="294">
        <v>1</v>
      </c>
      <c r="BL1974" s="157">
        <v>1</v>
      </c>
      <c r="BM1974" s="548" t="s">
        <v>1341</v>
      </c>
      <c r="BN1974" s="548" t="s">
        <v>4160</v>
      </c>
      <c r="BO1974" s="157" t="s">
        <v>4507</v>
      </c>
      <c r="BP1974" s="548" t="s">
        <v>2256</v>
      </c>
      <c r="BQ1974" s="157" t="s">
        <v>4269</v>
      </c>
      <c r="BR1974" s="157"/>
    </row>
    <row r="1975" spans="1:70" x14ac:dyDescent="0.25">
      <c r="A1975" s="19" t="s">
        <v>3686</v>
      </c>
      <c r="B1975" s="37" t="s">
        <v>830</v>
      </c>
      <c r="C1975" s="90">
        <v>44341.619699074072</v>
      </c>
      <c r="D1975" s="114">
        <v>44341.369699074072</v>
      </c>
      <c r="E1975" s="38">
        <v>44341</v>
      </c>
      <c r="F1975" s="91">
        <v>2021</v>
      </c>
      <c r="G1975" s="93">
        <v>5</v>
      </c>
      <c r="H1975" s="37" t="s">
        <v>302</v>
      </c>
      <c r="I1975" s="37"/>
      <c r="J1975" s="103">
        <v>-91.930977422829656</v>
      </c>
      <c r="K1975" s="40">
        <v>44.15706875272506</v>
      </c>
      <c r="L1975" s="74"/>
      <c r="M1975" s="272" t="s">
        <v>16</v>
      </c>
      <c r="N1975" s="74">
        <v>0</v>
      </c>
      <c r="O1975" s="94"/>
      <c r="P1975" s="118">
        <v>1</v>
      </c>
      <c r="Q1975" s="510">
        <v>180</v>
      </c>
      <c r="R1975" s="513">
        <v>180</v>
      </c>
      <c r="S1975" s="41"/>
      <c r="T1975" s="40"/>
      <c r="U1975" s="40">
        <v>7.5</v>
      </c>
      <c r="V1975" s="119">
        <v>1</v>
      </c>
      <c r="W1975" s="40">
        <v>100</v>
      </c>
      <c r="X1975" s="119">
        <v>0</v>
      </c>
      <c r="Y1975" s="40"/>
      <c r="Z1975" s="119">
        <v>1</v>
      </c>
      <c r="AA1975" s="368">
        <v>0</v>
      </c>
      <c r="AB1975" s="535">
        <v>5</v>
      </c>
      <c r="AC1975" s="39" t="s">
        <v>160</v>
      </c>
      <c r="AD1975" s="75" t="s">
        <v>10</v>
      </c>
      <c r="AE1975" s="95">
        <v>0</v>
      </c>
      <c r="AF1975" s="75">
        <v>0</v>
      </c>
      <c r="AG1975" s="75">
        <v>0</v>
      </c>
      <c r="AH1975" s="75">
        <v>0</v>
      </c>
      <c r="AI1975" s="75">
        <v>0</v>
      </c>
      <c r="AJ1975" s="75">
        <v>0</v>
      </c>
      <c r="AK1975" s="75">
        <v>0</v>
      </c>
      <c r="AL1975" s="95">
        <v>1</v>
      </c>
      <c r="AM1975" s="92">
        <v>0</v>
      </c>
      <c r="AN1975" s="79" t="s">
        <v>80</v>
      </c>
      <c r="AO1975" s="75">
        <v>1</v>
      </c>
      <c r="AP1975" s="75" t="s">
        <v>83</v>
      </c>
      <c r="AQ1975" s="122">
        <v>1</v>
      </c>
      <c r="AR1975" s="515" t="s">
        <v>10</v>
      </c>
      <c r="AS1975" s="95">
        <v>0</v>
      </c>
      <c r="AT1975" s="75">
        <v>0</v>
      </c>
      <c r="AU1975" s="75">
        <v>0</v>
      </c>
      <c r="AV1975" s="75">
        <v>0</v>
      </c>
      <c r="AW1975" s="123">
        <v>0</v>
      </c>
      <c r="AX1975" s="516"/>
      <c r="AY1975" s="75">
        <v>0</v>
      </c>
      <c r="AZ1975" s="77" t="s">
        <v>131</v>
      </c>
      <c r="BA1975" s="78" t="s">
        <v>131</v>
      </c>
      <c r="BB1975" s="78" t="s">
        <v>131</v>
      </c>
      <c r="BC1975" s="78" t="s">
        <v>131</v>
      </c>
      <c r="BD1975" s="78" t="s">
        <v>131</v>
      </c>
      <c r="BE1975" s="78" t="s">
        <v>131</v>
      </c>
      <c r="BF1975" s="78" t="s">
        <v>131</v>
      </c>
      <c r="BG1975" s="78" t="s">
        <v>132</v>
      </c>
      <c r="BH1975" s="75" t="s">
        <v>5970</v>
      </c>
      <c r="BI1975" s="295" t="s">
        <v>2254</v>
      </c>
      <c r="BJ1975" s="546">
        <v>1</v>
      </c>
      <c r="BK1975" s="294">
        <v>1</v>
      </c>
      <c r="BL1975" s="157">
        <v>1</v>
      </c>
      <c r="BM1975" s="548" t="s">
        <v>1341</v>
      </c>
      <c r="BN1975" s="548" t="s">
        <v>4160</v>
      </c>
      <c r="BO1975" s="157" t="s">
        <v>4655</v>
      </c>
      <c r="BP1975" s="548" t="s">
        <v>2254</v>
      </c>
      <c r="BQ1975" s="157" t="s">
        <v>4361</v>
      </c>
      <c r="BR1975" s="157"/>
    </row>
    <row r="1976" spans="1:70" x14ac:dyDescent="0.25">
      <c r="A1976" s="19" t="s">
        <v>3686</v>
      </c>
      <c r="B1976" s="37" t="s">
        <v>829</v>
      </c>
      <c r="C1976" s="90">
        <v>44340.872534722221</v>
      </c>
      <c r="D1976" s="114">
        <v>44340.622534722221</v>
      </c>
      <c r="E1976" s="38">
        <v>44340</v>
      </c>
      <c r="F1976" s="91">
        <v>2021</v>
      </c>
      <c r="G1976" s="93">
        <v>5</v>
      </c>
      <c r="H1976" s="37" t="s">
        <v>302</v>
      </c>
      <c r="I1976" s="37"/>
      <c r="J1976" s="103">
        <v>-92.115662422736719</v>
      </c>
      <c r="K1976" s="40">
        <v>44.020685315464533</v>
      </c>
      <c r="L1976" s="74"/>
      <c r="M1976" s="272" t="s">
        <v>16</v>
      </c>
      <c r="N1976" s="74">
        <v>0</v>
      </c>
      <c r="O1976" s="94"/>
      <c r="P1976" s="118">
        <v>1</v>
      </c>
      <c r="Q1976" s="510">
        <v>180</v>
      </c>
      <c r="R1976" s="513">
        <v>120</v>
      </c>
      <c r="S1976" s="41"/>
      <c r="T1976" s="40"/>
      <c r="U1976" s="40">
        <v>8</v>
      </c>
      <c r="V1976" s="119">
        <v>1</v>
      </c>
      <c r="W1976" s="40">
        <v>0</v>
      </c>
      <c r="X1976" s="119">
        <v>0</v>
      </c>
      <c r="Y1976" s="40"/>
      <c r="Z1976" s="119">
        <v>1</v>
      </c>
      <c r="AA1976" s="368">
        <v>0</v>
      </c>
      <c r="AB1976" s="535">
        <v>5</v>
      </c>
      <c r="AC1976" s="39" t="s">
        <v>160</v>
      </c>
      <c r="AD1976" s="75" t="s">
        <v>10</v>
      </c>
      <c r="AE1976" s="95">
        <v>0</v>
      </c>
      <c r="AF1976" s="75">
        <v>0</v>
      </c>
      <c r="AG1976" s="75">
        <v>0</v>
      </c>
      <c r="AH1976" s="75">
        <v>0</v>
      </c>
      <c r="AI1976" s="75">
        <v>0</v>
      </c>
      <c r="AJ1976" s="75">
        <v>0</v>
      </c>
      <c r="AK1976" s="75">
        <v>0</v>
      </c>
      <c r="AL1976" s="95">
        <v>1</v>
      </c>
      <c r="AM1976" s="92">
        <v>0</v>
      </c>
      <c r="AN1976" s="79" t="s">
        <v>80</v>
      </c>
      <c r="AO1976" s="75">
        <v>1</v>
      </c>
      <c r="AP1976" s="75" t="s">
        <v>83</v>
      </c>
      <c r="AQ1976" s="122">
        <v>1</v>
      </c>
      <c r="AR1976" s="515" t="s">
        <v>10</v>
      </c>
      <c r="AS1976" s="95">
        <v>0</v>
      </c>
      <c r="AT1976" s="75">
        <v>0</v>
      </c>
      <c r="AU1976" s="75">
        <v>0</v>
      </c>
      <c r="AV1976" s="75">
        <v>0</v>
      </c>
      <c r="AW1976" s="123">
        <v>0</v>
      </c>
      <c r="AX1976" s="516"/>
      <c r="AY1976" s="75">
        <v>0</v>
      </c>
      <c r="AZ1976" s="77" t="s">
        <v>131</v>
      </c>
      <c r="BA1976" s="78" t="s">
        <v>131</v>
      </c>
      <c r="BB1976" s="78" t="s">
        <v>131</v>
      </c>
      <c r="BC1976" s="78" t="s">
        <v>131</v>
      </c>
      <c r="BD1976" s="78" t="s">
        <v>131</v>
      </c>
      <c r="BE1976" s="78" t="s">
        <v>131</v>
      </c>
      <c r="BF1976" s="78" t="s">
        <v>131</v>
      </c>
      <c r="BG1976" s="78" t="s">
        <v>132</v>
      </c>
      <c r="BH1976" s="75" t="s">
        <v>5970</v>
      </c>
      <c r="BI1976" s="295" t="s">
        <v>16</v>
      </c>
      <c r="BJ1976" s="546">
        <v>1</v>
      </c>
      <c r="BK1976" s="294">
        <v>1</v>
      </c>
      <c r="BL1976" s="157">
        <v>1</v>
      </c>
      <c r="BM1976" s="548" t="s">
        <v>1339</v>
      </c>
      <c r="BN1976" s="548" t="s">
        <v>4160</v>
      </c>
      <c r="BO1976" s="157" t="s">
        <v>4364</v>
      </c>
      <c r="BP1976" s="548" t="s">
        <v>2292</v>
      </c>
      <c r="BQ1976" s="157" t="s">
        <v>4361</v>
      </c>
      <c r="BR1976" s="157"/>
    </row>
    <row r="1977" spans="1:70" x14ac:dyDescent="0.25">
      <c r="A1977" s="19" t="s">
        <v>3686</v>
      </c>
      <c r="B1977" s="37" t="s">
        <v>828</v>
      </c>
      <c r="C1977" s="90">
        <v>44340.801724537036</v>
      </c>
      <c r="D1977" s="114">
        <v>44340.551724537036</v>
      </c>
      <c r="E1977" s="38">
        <v>44340</v>
      </c>
      <c r="F1977" s="91">
        <v>2021</v>
      </c>
      <c r="G1977" s="93">
        <v>5</v>
      </c>
      <c r="H1977" s="37" t="s">
        <v>302</v>
      </c>
      <c r="I1977" s="37"/>
      <c r="J1977" s="103">
        <v>-92.054638822951716</v>
      </c>
      <c r="K1977" s="40">
        <v>43.652358900306382</v>
      </c>
      <c r="L1977" s="74"/>
      <c r="M1977" s="272" t="s">
        <v>16</v>
      </c>
      <c r="N1977" s="74">
        <v>0</v>
      </c>
      <c r="O1977" s="94"/>
      <c r="P1977" s="118">
        <v>1</v>
      </c>
      <c r="Q1977" s="510">
        <v>120</v>
      </c>
      <c r="R1977" s="513">
        <v>180</v>
      </c>
      <c r="S1977" s="41"/>
      <c r="T1977" s="40"/>
      <c r="U1977" s="40">
        <v>8</v>
      </c>
      <c r="V1977" s="119">
        <v>1</v>
      </c>
      <c r="W1977" s="40">
        <v>0</v>
      </c>
      <c r="X1977" s="119">
        <v>0</v>
      </c>
      <c r="Y1977" s="40"/>
      <c r="Z1977" s="119">
        <v>1</v>
      </c>
      <c r="AA1977" s="368">
        <v>0</v>
      </c>
      <c r="AB1977" s="535">
        <v>5</v>
      </c>
      <c r="AC1977" s="39" t="s">
        <v>160</v>
      </c>
      <c r="AD1977" s="75" t="s">
        <v>8</v>
      </c>
      <c r="AE1977" s="95">
        <v>0</v>
      </c>
      <c r="AF1977" s="75">
        <v>1</v>
      </c>
      <c r="AG1977" s="75">
        <v>0</v>
      </c>
      <c r="AH1977" s="75">
        <v>0</v>
      </c>
      <c r="AI1977" s="75">
        <v>0</v>
      </c>
      <c r="AJ1977" s="75">
        <v>0</v>
      </c>
      <c r="AK1977" s="75">
        <v>0</v>
      </c>
      <c r="AL1977" s="95">
        <v>0</v>
      </c>
      <c r="AM1977" s="92">
        <v>0</v>
      </c>
      <c r="AN1977" s="79" t="s">
        <v>80</v>
      </c>
      <c r="AO1977" s="75">
        <v>1</v>
      </c>
      <c r="AP1977" s="75" t="s">
        <v>83</v>
      </c>
      <c r="AQ1977" s="122">
        <v>1</v>
      </c>
      <c r="AR1977" s="515" t="s">
        <v>10</v>
      </c>
      <c r="AS1977" s="95">
        <v>0</v>
      </c>
      <c r="AT1977" s="75">
        <v>0</v>
      </c>
      <c r="AU1977" s="75">
        <v>0</v>
      </c>
      <c r="AV1977" s="75">
        <v>0</v>
      </c>
      <c r="AW1977" s="123">
        <v>0</v>
      </c>
      <c r="AX1977" s="516"/>
      <c r="AY1977" s="75">
        <v>0</v>
      </c>
      <c r="AZ1977" s="77" t="s">
        <v>131</v>
      </c>
      <c r="BA1977" s="78" t="s">
        <v>132</v>
      </c>
      <c r="BB1977" s="78" t="s">
        <v>131</v>
      </c>
      <c r="BC1977" s="78" t="s">
        <v>131</v>
      </c>
      <c r="BD1977" s="78" t="s">
        <v>131</v>
      </c>
      <c r="BE1977" s="78" t="s">
        <v>131</v>
      </c>
      <c r="BF1977" s="78" t="s">
        <v>131</v>
      </c>
      <c r="BG1977" s="78" t="s">
        <v>131</v>
      </c>
      <c r="BH1977" s="75" t="s">
        <v>5970</v>
      </c>
      <c r="BI1977" s="295" t="s">
        <v>2269</v>
      </c>
      <c r="BJ1977" s="546">
        <v>1</v>
      </c>
      <c r="BK1977" s="294" t="s">
        <v>16</v>
      </c>
      <c r="BL1977" s="157" t="s">
        <v>16</v>
      </c>
      <c r="BM1977" s="548" t="s">
        <v>1339</v>
      </c>
      <c r="BN1977" s="548" t="s">
        <v>4160</v>
      </c>
      <c r="BO1977" s="157" t="s">
        <v>4528</v>
      </c>
      <c r="BP1977" s="548" t="s">
        <v>2269</v>
      </c>
      <c r="BQ1977" s="157" t="s">
        <v>4229</v>
      </c>
      <c r="BR1977" s="157"/>
    </row>
    <row r="1978" spans="1:70" x14ac:dyDescent="0.25">
      <c r="A1978" s="19" t="s">
        <v>3686</v>
      </c>
      <c r="B1978" s="37" t="s">
        <v>827</v>
      </c>
      <c r="C1978" s="90">
        <v>44340.697256944448</v>
      </c>
      <c r="D1978" s="114">
        <v>44340.447256944448</v>
      </c>
      <c r="E1978" s="38">
        <v>44340</v>
      </c>
      <c r="F1978" s="91">
        <v>2021</v>
      </c>
      <c r="G1978" s="93">
        <v>5</v>
      </c>
      <c r="H1978" s="37" t="s">
        <v>302</v>
      </c>
      <c r="I1978" s="37" t="s">
        <v>16</v>
      </c>
      <c r="J1978" s="103">
        <v>-92.072243569831656</v>
      </c>
      <c r="K1978" s="40">
        <v>43.859220293300147</v>
      </c>
      <c r="L1978" s="74"/>
      <c r="M1978" s="272" t="s">
        <v>16</v>
      </c>
      <c r="N1978" s="74">
        <v>0</v>
      </c>
      <c r="O1978" s="94"/>
      <c r="P1978" s="118">
        <v>1</v>
      </c>
      <c r="Q1978" s="510">
        <v>180</v>
      </c>
      <c r="R1978" s="513">
        <v>120</v>
      </c>
      <c r="S1978" s="41"/>
      <c r="T1978" s="40"/>
      <c r="U1978" s="40">
        <v>8</v>
      </c>
      <c r="V1978" s="119">
        <v>1</v>
      </c>
      <c r="W1978" s="40">
        <v>0</v>
      </c>
      <c r="X1978" s="119">
        <v>0</v>
      </c>
      <c r="Y1978" s="40"/>
      <c r="Z1978" s="119">
        <v>1</v>
      </c>
      <c r="AA1978" s="368">
        <v>0</v>
      </c>
      <c r="AB1978" s="535">
        <v>5</v>
      </c>
      <c r="AC1978" s="39" t="s">
        <v>160</v>
      </c>
      <c r="AD1978" s="75" t="s">
        <v>10</v>
      </c>
      <c r="AE1978" s="95">
        <v>0</v>
      </c>
      <c r="AF1978" s="75">
        <v>0</v>
      </c>
      <c r="AG1978" s="75">
        <v>0</v>
      </c>
      <c r="AH1978" s="75">
        <v>0</v>
      </c>
      <c r="AI1978" s="75">
        <v>0</v>
      </c>
      <c r="AJ1978" s="75">
        <v>0</v>
      </c>
      <c r="AK1978" s="75">
        <v>0</v>
      </c>
      <c r="AL1978" s="95">
        <v>1</v>
      </c>
      <c r="AM1978" s="92">
        <v>0</v>
      </c>
      <c r="AN1978" s="79" t="s">
        <v>80</v>
      </c>
      <c r="AO1978" s="75">
        <v>1</v>
      </c>
      <c r="AP1978" s="75" t="s">
        <v>83</v>
      </c>
      <c r="AQ1978" s="122">
        <v>1</v>
      </c>
      <c r="AR1978" s="515" t="s">
        <v>10</v>
      </c>
      <c r="AS1978" s="95">
        <v>0</v>
      </c>
      <c r="AT1978" s="75">
        <v>0</v>
      </c>
      <c r="AU1978" s="75">
        <v>0</v>
      </c>
      <c r="AV1978" s="75">
        <v>0</v>
      </c>
      <c r="AW1978" s="123">
        <v>0</v>
      </c>
      <c r="AX1978" s="516"/>
      <c r="AY1978" s="75">
        <v>0</v>
      </c>
      <c r="AZ1978" s="77" t="s">
        <v>131</v>
      </c>
      <c r="BA1978" s="78" t="s">
        <v>131</v>
      </c>
      <c r="BB1978" s="78" t="s">
        <v>131</v>
      </c>
      <c r="BC1978" s="78" t="s">
        <v>131</v>
      </c>
      <c r="BD1978" s="78" t="s">
        <v>131</v>
      </c>
      <c r="BE1978" s="78" t="s">
        <v>131</v>
      </c>
      <c r="BF1978" s="78" t="s">
        <v>131</v>
      </c>
      <c r="BG1978" s="78" t="s">
        <v>132</v>
      </c>
      <c r="BH1978" s="75" t="s">
        <v>5970</v>
      </c>
      <c r="BI1978" s="295" t="s">
        <v>2235</v>
      </c>
      <c r="BJ1978" s="546">
        <v>1</v>
      </c>
      <c r="BK1978" s="294" t="s">
        <v>16</v>
      </c>
      <c r="BL1978" s="157" t="s">
        <v>16</v>
      </c>
      <c r="BM1978" s="548" t="s">
        <v>1339</v>
      </c>
      <c r="BN1978" s="548" t="s">
        <v>4160</v>
      </c>
      <c r="BO1978" s="157" t="s">
        <v>4695</v>
      </c>
      <c r="BP1978" s="548" t="s">
        <v>2235</v>
      </c>
      <c r="BQ1978" s="157" t="s">
        <v>4319</v>
      </c>
      <c r="BR1978" s="157"/>
    </row>
    <row r="1979" spans="1:70" x14ac:dyDescent="0.25">
      <c r="A1979" s="19" t="s">
        <v>3686</v>
      </c>
      <c r="B1979" s="37" t="s">
        <v>826</v>
      </c>
      <c r="C1979" s="90">
        <v>44340.665995370371</v>
      </c>
      <c r="D1979" s="114">
        <v>44340.415995370371</v>
      </c>
      <c r="E1979" s="38">
        <v>44340</v>
      </c>
      <c r="F1979" s="91">
        <v>2021</v>
      </c>
      <c r="G1979" s="93">
        <v>5</v>
      </c>
      <c r="H1979" s="37" t="s">
        <v>302</v>
      </c>
      <c r="I1979" s="37" t="s">
        <v>16</v>
      </c>
      <c r="J1979" s="103">
        <v>-91.80068861403096</v>
      </c>
      <c r="K1979" s="40">
        <v>44.010167097411099</v>
      </c>
      <c r="L1979" s="74"/>
      <c r="M1979" s="272" t="s">
        <v>16</v>
      </c>
      <c r="N1979" s="74">
        <v>0</v>
      </c>
      <c r="O1979" s="94"/>
      <c r="P1979" s="118">
        <v>1</v>
      </c>
      <c r="Q1979" s="510">
        <v>180</v>
      </c>
      <c r="R1979" s="513">
        <v>180</v>
      </c>
      <c r="S1979" s="41"/>
      <c r="T1979" s="40"/>
      <c r="U1979" s="40">
        <v>8</v>
      </c>
      <c r="V1979" s="119">
        <v>1</v>
      </c>
      <c r="W1979" s="40">
        <v>500</v>
      </c>
      <c r="X1979" s="119">
        <v>0</v>
      </c>
      <c r="Y1979" s="40"/>
      <c r="Z1979" s="119">
        <v>0</v>
      </c>
      <c r="AA1979" s="368" t="s">
        <v>16</v>
      </c>
      <c r="AB1979" s="535" t="s">
        <v>16</v>
      </c>
      <c r="AC1979" s="39" t="s">
        <v>160</v>
      </c>
      <c r="AD1979" s="75" t="s">
        <v>10</v>
      </c>
      <c r="AE1979" s="95">
        <v>0</v>
      </c>
      <c r="AF1979" s="75">
        <v>0</v>
      </c>
      <c r="AG1979" s="75">
        <v>0</v>
      </c>
      <c r="AH1979" s="75">
        <v>0</v>
      </c>
      <c r="AI1979" s="75">
        <v>0</v>
      </c>
      <c r="AJ1979" s="75">
        <v>0</v>
      </c>
      <c r="AK1979" s="75">
        <v>0</v>
      </c>
      <c r="AL1979" s="95">
        <v>1</v>
      </c>
      <c r="AM1979" s="92">
        <v>0</v>
      </c>
      <c r="AN1979" s="79" t="s">
        <v>80</v>
      </c>
      <c r="AO1979" s="75">
        <v>1</v>
      </c>
      <c r="AP1979" s="75" t="s">
        <v>83</v>
      </c>
      <c r="AQ1979" s="122">
        <v>1</v>
      </c>
      <c r="AR1979" s="515" t="s">
        <v>10</v>
      </c>
      <c r="AS1979" s="95">
        <v>0</v>
      </c>
      <c r="AT1979" s="75">
        <v>0</v>
      </c>
      <c r="AU1979" s="75">
        <v>0</v>
      </c>
      <c r="AV1979" s="75">
        <v>0</v>
      </c>
      <c r="AW1979" s="123">
        <v>0</v>
      </c>
      <c r="AX1979" s="516"/>
      <c r="AY1979" s="75">
        <v>0</v>
      </c>
      <c r="AZ1979" s="77" t="s">
        <v>131</v>
      </c>
      <c r="BA1979" s="78" t="s">
        <v>131</v>
      </c>
      <c r="BB1979" s="78" t="s">
        <v>131</v>
      </c>
      <c r="BC1979" s="78" t="s">
        <v>131</v>
      </c>
      <c r="BD1979" s="78" t="s">
        <v>131</v>
      </c>
      <c r="BE1979" s="78" t="s">
        <v>131</v>
      </c>
      <c r="BF1979" s="78" t="s">
        <v>131</v>
      </c>
      <c r="BG1979" s="78" t="s">
        <v>132</v>
      </c>
      <c r="BH1979" s="75" t="s">
        <v>5970</v>
      </c>
      <c r="BI1979" s="295" t="s">
        <v>313</v>
      </c>
      <c r="BJ1979" s="546">
        <v>1</v>
      </c>
      <c r="BK1979" s="294">
        <v>1</v>
      </c>
      <c r="BL1979" s="157">
        <v>1</v>
      </c>
      <c r="BM1979" s="548" t="s">
        <v>1341</v>
      </c>
      <c r="BN1979" s="548" t="s">
        <v>4160</v>
      </c>
      <c r="BO1979" s="157" t="s">
        <v>4360</v>
      </c>
      <c r="BP1979" s="548" t="s">
        <v>313</v>
      </c>
      <c r="BQ1979" s="157" t="s">
        <v>4359</v>
      </c>
      <c r="BR1979" s="157"/>
    </row>
    <row r="1980" spans="1:70" x14ac:dyDescent="0.25">
      <c r="A1980" s="19" t="s">
        <v>3686</v>
      </c>
      <c r="B1980" s="37" t="s">
        <v>824</v>
      </c>
      <c r="C1980" s="90">
        <v>44340.626979166664</v>
      </c>
      <c r="D1980" s="114">
        <v>44340.376979166664</v>
      </c>
      <c r="E1980" s="38">
        <v>44340</v>
      </c>
      <c r="F1980" s="91">
        <v>2021</v>
      </c>
      <c r="G1980" s="93">
        <v>5</v>
      </c>
      <c r="H1980" s="37" t="s">
        <v>602</v>
      </c>
      <c r="I1980" s="37"/>
      <c r="J1980" s="103">
        <v>-91.979559899999998</v>
      </c>
      <c r="K1980" s="40">
        <v>44.070364499999997</v>
      </c>
      <c r="L1980" s="74"/>
      <c r="M1980" s="272" t="s">
        <v>825</v>
      </c>
      <c r="N1980" s="74">
        <v>1</v>
      </c>
      <c r="O1980" s="94"/>
      <c r="P1980" s="118">
        <v>1</v>
      </c>
      <c r="Q1980" s="510">
        <v>120</v>
      </c>
      <c r="R1980" s="513">
        <v>120</v>
      </c>
      <c r="S1980" s="41"/>
      <c r="T1980" s="40"/>
      <c r="U1980" s="40">
        <v>7.5</v>
      </c>
      <c r="V1980" s="119">
        <v>1</v>
      </c>
      <c r="W1980" s="40">
        <v>200</v>
      </c>
      <c r="X1980" s="119">
        <v>1</v>
      </c>
      <c r="Y1980" s="40">
        <v>60</v>
      </c>
      <c r="Z1980" s="119">
        <v>1</v>
      </c>
      <c r="AA1980" s="368">
        <v>0</v>
      </c>
      <c r="AB1980" s="535">
        <v>2</v>
      </c>
      <c r="AC1980" s="39" t="s">
        <v>160</v>
      </c>
      <c r="AD1980" s="75" t="s">
        <v>10</v>
      </c>
      <c r="AE1980" s="95">
        <v>0</v>
      </c>
      <c r="AF1980" s="75">
        <v>0</v>
      </c>
      <c r="AG1980" s="75">
        <v>0</v>
      </c>
      <c r="AH1980" s="75">
        <v>0</v>
      </c>
      <c r="AI1980" s="75">
        <v>0</v>
      </c>
      <c r="AJ1980" s="75">
        <v>0</v>
      </c>
      <c r="AK1980" s="75">
        <v>0</v>
      </c>
      <c r="AL1980" s="95">
        <v>1</v>
      </c>
      <c r="AM1980" s="92">
        <v>0</v>
      </c>
      <c r="AN1980" s="79" t="s">
        <v>80</v>
      </c>
      <c r="AO1980" s="75">
        <v>1</v>
      </c>
      <c r="AP1980" s="75" t="s">
        <v>83</v>
      </c>
      <c r="AQ1980" s="122">
        <v>1</v>
      </c>
      <c r="AR1980" s="515" t="s">
        <v>13</v>
      </c>
      <c r="AS1980" s="95">
        <v>1</v>
      </c>
      <c r="AT1980" s="75">
        <v>0</v>
      </c>
      <c r="AU1980" s="75">
        <v>0</v>
      </c>
      <c r="AV1980" s="75">
        <v>0</v>
      </c>
      <c r="AW1980" s="123">
        <v>0</v>
      </c>
      <c r="AX1980" s="516" t="s">
        <v>16</v>
      </c>
      <c r="AY1980" s="75">
        <v>0</v>
      </c>
      <c r="AZ1980" s="77" t="s">
        <v>131</v>
      </c>
      <c r="BA1980" s="78" t="s">
        <v>131</v>
      </c>
      <c r="BB1980" s="78" t="s">
        <v>131</v>
      </c>
      <c r="BC1980" s="78" t="s">
        <v>131</v>
      </c>
      <c r="BD1980" s="78" t="s">
        <v>131</v>
      </c>
      <c r="BE1980" s="78" t="s">
        <v>131</v>
      </c>
      <c r="BF1980" s="78" t="s">
        <v>131</v>
      </c>
      <c r="BG1980" s="78" t="s">
        <v>132</v>
      </c>
      <c r="BH1980" s="75" t="s">
        <v>5970</v>
      </c>
      <c r="BI1980" s="295" t="s">
        <v>2255</v>
      </c>
      <c r="BJ1980" s="546">
        <v>1</v>
      </c>
      <c r="BK1980" s="294" t="s">
        <v>16</v>
      </c>
      <c r="BL1980" s="157" t="s">
        <v>16</v>
      </c>
      <c r="BM1980" s="548" t="s">
        <v>1341</v>
      </c>
      <c r="BN1980" s="548" t="s">
        <v>1339</v>
      </c>
      <c r="BO1980" s="157" t="s">
        <v>4362</v>
      </c>
      <c r="BP1980" s="548" t="s">
        <v>4363</v>
      </c>
      <c r="BQ1980" s="157" t="s">
        <v>4361</v>
      </c>
      <c r="BR1980" s="157"/>
    </row>
    <row r="1981" spans="1:70" x14ac:dyDescent="0.25">
      <c r="A1981" s="19" t="s">
        <v>3686</v>
      </c>
      <c r="B1981" s="37" t="s">
        <v>823</v>
      </c>
      <c r="C1981" s="90">
        <v>44339.837685185186</v>
      </c>
      <c r="D1981" s="114">
        <v>44339.587685185186</v>
      </c>
      <c r="E1981" s="38">
        <v>44339</v>
      </c>
      <c r="F1981" s="91">
        <v>2021</v>
      </c>
      <c r="G1981" s="93">
        <v>5</v>
      </c>
      <c r="H1981" s="37" t="s">
        <v>205</v>
      </c>
      <c r="I1981" s="37" t="s">
        <v>368</v>
      </c>
      <c r="J1981" s="103">
        <v>-92.331431613854022</v>
      </c>
      <c r="K1981" s="40">
        <v>44.746292224413267</v>
      </c>
      <c r="L1981" s="74"/>
      <c r="M1981" s="272" t="s">
        <v>16</v>
      </c>
      <c r="N1981" s="74">
        <v>0</v>
      </c>
      <c r="O1981" s="94"/>
      <c r="P1981" s="118">
        <v>1</v>
      </c>
      <c r="Q1981" s="510">
        <v>180</v>
      </c>
      <c r="R1981" s="513">
        <v>120</v>
      </c>
      <c r="S1981" s="41"/>
      <c r="T1981" s="40"/>
      <c r="U1981" s="40">
        <v>7.5</v>
      </c>
      <c r="V1981" s="119">
        <v>1</v>
      </c>
      <c r="W1981" s="40">
        <v>0</v>
      </c>
      <c r="X1981" s="119">
        <v>1</v>
      </c>
      <c r="Y1981" s="40">
        <v>61</v>
      </c>
      <c r="Z1981" s="119">
        <v>1</v>
      </c>
      <c r="AA1981" s="368">
        <v>0</v>
      </c>
      <c r="AB1981" s="535">
        <v>5</v>
      </c>
      <c r="AC1981" s="39" t="s">
        <v>160</v>
      </c>
      <c r="AD1981" s="75" t="s">
        <v>10</v>
      </c>
      <c r="AE1981" s="95">
        <v>0</v>
      </c>
      <c r="AF1981" s="75">
        <v>0</v>
      </c>
      <c r="AG1981" s="75">
        <v>0</v>
      </c>
      <c r="AH1981" s="75">
        <v>0</v>
      </c>
      <c r="AI1981" s="75">
        <v>0</v>
      </c>
      <c r="AJ1981" s="75">
        <v>0</v>
      </c>
      <c r="AK1981" s="75">
        <v>0</v>
      </c>
      <c r="AL1981" s="95">
        <v>1</v>
      </c>
      <c r="AM1981" s="92">
        <v>0</v>
      </c>
      <c r="AN1981" s="79" t="s">
        <v>80</v>
      </c>
      <c r="AO1981" s="75">
        <v>1</v>
      </c>
      <c r="AP1981" s="75" t="s">
        <v>84</v>
      </c>
      <c r="AQ1981" s="122">
        <v>1</v>
      </c>
      <c r="AR1981" s="515" t="s">
        <v>13</v>
      </c>
      <c r="AS1981" s="95">
        <v>1</v>
      </c>
      <c r="AT1981" s="75">
        <v>0</v>
      </c>
      <c r="AU1981" s="75">
        <v>0</v>
      </c>
      <c r="AV1981" s="75">
        <v>0</v>
      </c>
      <c r="AW1981" s="123">
        <v>0</v>
      </c>
      <c r="AX1981" s="516"/>
      <c r="AY1981" s="75">
        <v>0</v>
      </c>
      <c r="AZ1981" s="77" t="s">
        <v>131</v>
      </c>
      <c r="BA1981" s="78" t="s">
        <v>131</v>
      </c>
      <c r="BB1981" s="78" t="s">
        <v>131</v>
      </c>
      <c r="BC1981" s="78" t="s">
        <v>131</v>
      </c>
      <c r="BD1981" s="78" t="s">
        <v>131</v>
      </c>
      <c r="BE1981" s="78" t="s">
        <v>131</v>
      </c>
      <c r="BF1981" s="78" t="s">
        <v>131</v>
      </c>
      <c r="BG1981" s="78" t="s">
        <v>132</v>
      </c>
      <c r="BH1981" s="75" t="s">
        <v>5970</v>
      </c>
      <c r="BI1981" s="295" t="s">
        <v>2231</v>
      </c>
      <c r="BJ1981" s="546">
        <v>1</v>
      </c>
      <c r="BK1981" s="294">
        <v>1</v>
      </c>
      <c r="BL1981" s="157">
        <v>1</v>
      </c>
      <c r="BM1981" s="548" t="s">
        <v>578</v>
      </c>
      <c r="BN1981" s="548" t="s">
        <v>578</v>
      </c>
      <c r="BO1981" s="157" t="s">
        <v>4213</v>
      </c>
      <c r="BP1981" s="548" t="s">
        <v>4216</v>
      </c>
      <c r="BQ1981" s="157" t="s">
        <v>4212</v>
      </c>
      <c r="BR1981" s="157"/>
    </row>
    <row r="1982" spans="1:70" x14ac:dyDescent="0.25">
      <c r="A1982" s="19" t="s">
        <v>3686</v>
      </c>
      <c r="B1982" s="37" t="s">
        <v>822</v>
      </c>
      <c r="C1982" s="90">
        <v>44339.62976851852</v>
      </c>
      <c r="D1982" s="114">
        <v>44339.37976851852</v>
      </c>
      <c r="E1982" s="38">
        <v>44339</v>
      </c>
      <c r="F1982" s="91">
        <v>2021</v>
      </c>
      <c r="G1982" s="93">
        <v>5</v>
      </c>
      <c r="H1982" s="37" t="s">
        <v>379</v>
      </c>
      <c r="I1982" s="37" t="s">
        <v>642</v>
      </c>
      <c r="J1982" s="103">
        <v>-92.583378076290714</v>
      </c>
      <c r="K1982" s="40">
        <v>44.848811380090616</v>
      </c>
      <c r="L1982" s="74"/>
      <c r="M1982" s="272" t="s">
        <v>16</v>
      </c>
      <c r="N1982" s="74">
        <v>0</v>
      </c>
      <c r="O1982" s="94"/>
      <c r="P1982" s="118">
        <v>1</v>
      </c>
      <c r="Q1982" s="510">
        <v>180</v>
      </c>
      <c r="R1982" s="513">
        <v>180</v>
      </c>
      <c r="S1982" s="41"/>
      <c r="T1982" s="40"/>
      <c r="U1982" s="40">
        <v>8</v>
      </c>
      <c r="V1982" s="119">
        <v>1</v>
      </c>
      <c r="W1982" s="40">
        <v>0</v>
      </c>
      <c r="X1982" s="119">
        <v>1</v>
      </c>
      <c r="Y1982" s="40">
        <v>53</v>
      </c>
      <c r="Z1982" s="119">
        <v>1</v>
      </c>
      <c r="AA1982" s="368">
        <v>0</v>
      </c>
      <c r="AB1982" s="535">
        <v>2</v>
      </c>
      <c r="AC1982" s="39" t="s">
        <v>160</v>
      </c>
      <c r="AD1982" s="75" t="s">
        <v>16</v>
      </c>
      <c r="AE1982" s="95">
        <v>-1</v>
      </c>
      <c r="AF1982" s="75">
        <v>-1</v>
      </c>
      <c r="AG1982" s="75">
        <v>-1</v>
      </c>
      <c r="AH1982" s="75">
        <v>-1</v>
      </c>
      <c r="AI1982" s="75">
        <v>-1</v>
      </c>
      <c r="AJ1982" s="75">
        <v>-1</v>
      </c>
      <c r="AK1982" s="75">
        <v>-1</v>
      </c>
      <c r="AL1982" s="95">
        <v>-1</v>
      </c>
      <c r="AM1982" s="92">
        <v>1</v>
      </c>
      <c r="AN1982" s="79" t="s">
        <v>81</v>
      </c>
      <c r="AO1982" s="75">
        <v>1</v>
      </c>
      <c r="AP1982" s="75" t="s">
        <v>84</v>
      </c>
      <c r="AQ1982" s="122">
        <v>1</v>
      </c>
      <c r="AR1982" s="515" t="s">
        <v>13</v>
      </c>
      <c r="AS1982" s="95">
        <v>1</v>
      </c>
      <c r="AT1982" s="75">
        <v>0</v>
      </c>
      <c r="AU1982" s="75">
        <v>0</v>
      </c>
      <c r="AV1982" s="75">
        <v>0</v>
      </c>
      <c r="AW1982" s="123">
        <v>0</v>
      </c>
      <c r="AX1982" s="516"/>
      <c r="AY1982" s="75">
        <v>0</v>
      </c>
      <c r="AZ1982" s="77" t="s">
        <v>5971</v>
      </c>
      <c r="BA1982" s="78" t="s">
        <v>5971</v>
      </c>
      <c r="BB1982" s="78" t="s">
        <v>5971</v>
      </c>
      <c r="BC1982" s="78" t="s">
        <v>5971</v>
      </c>
      <c r="BD1982" s="78" t="s">
        <v>5971</v>
      </c>
      <c r="BE1982" s="78" t="s">
        <v>5971</v>
      </c>
      <c r="BF1982" s="78" t="s">
        <v>5971</v>
      </c>
      <c r="BG1982" s="78" t="s">
        <v>5971</v>
      </c>
      <c r="BH1982" s="75" t="s">
        <v>5971</v>
      </c>
      <c r="BI1982" s="295" t="s">
        <v>2226</v>
      </c>
      <c r="BJ1982" s="546">
        <v>1</v>
      </c>
      <c r="BK1982" s="294">
        <v>1</v>
      </c>
      <c r="BL1982" s="157">
        <v>1</v>
      </c>
      <c r="BM1982" s="548" t="s">
        <v>578</v>
      </c>
      <c r="BN1982" s="548" t="s">
        <v>578</v>
      </c>
      <c r="BO1982" s="157" t="s">
        <v>4310</v>
      </c>
      <c r="BP1982" s="548" t="s">
        <v>2226</v>
      </c>
      <c r="BQ1982" s="157" t="s">
        <v>4309</v>
      </c>
      <c r="BR1982" s="157"/>
    </row>
    <row r="1983" spans="1:70" x14ac:dyDescent="0.25">
      <c r="A1983" s="19" t="s">
        <v>3686</v>
      </c>
      <c r="B1983" s="37" t="s">
        <v>819</v>
      </c>
      <c r="C1983" s="90">
        <v>44338.639108796298</v>
      </c>
      <c r="D1983" s="114">
        <v>44338.389108796298</v>
      </c>
      <c r="E1983" s="38">
        <v>44338</v>
      </c>
      <c r="F1983" s="91">
        <v>2021</v>
      </c>
      <c r="G1983" s="93">
        <v>5</v>
      </c>
      <c r="H1983" s="37" t="s">
        <v>201</v>
      </c>
      <c r="I1983" s="37"/>
      <c r="J1983" s="103">
        <v>-92.732059427907942</v>
      </c>
      <c r="K1983" s="40">
        <v>44.831127422068747</v>
      </c>
      <c r="L1983" s="74"/>
      <c r="M1983" s="272" t="s">
        <v>820</v>
      </c>
      <c r="N1983" s="74">
        <v>1</v>
      </c>
      <c r="O1983" s="94"/>
      <c r="P1983" s="118">
        <v>1</v>
      </c>
      <c r="Q1983" s="510">
        <v>180</v>
      </c>
      <c r="R1983" s="513">
        <v>120</v>
      </c>
      <c r="S1983" s="41"/>
      <c r="T1983" s="40"/>
      <c r="U1983" s="40">
        <v>7</v>
      </c>
      <c r="V1983" s="119">
        <v>1</v>
      </c>
      <c r="W1983" s="40">
        <v>100</v>
      </c>
      <c r="X1983" s="119">
        <v>1</v>
      </c>
      <c r="Y1983" s="40">
        <v>63</v>
      </c>
      <c r="Z1983" s="119">
        <v>1</v>
      </c>
      <c r="AA1983" s="368">
        <v>0</v>
      </c>
      <c r="AB1983" s="535">
        <v>5</v>
      </c>
      <c r="AC1983" s="39" t="s">
        <v>160</v>
      </c>
      <c r="AD1983" s="75" t="s">
        <v>8</v>
      </c>
      <c r="AE1983" s="95">
        <v>0</v>
      </c>
      <c r="AF1983" s="75">
        <v>1</v>
      </c>
      <c r="AG1983" s="75">
        <v>0</v>
      </c>
      <c r="AH1983" s="75">
        <v>0</v>
      </c>
      <c r="AI1983" s="75">
        <v>0</v>
      </c>
      <c r="AJ1983" s="75">
        <v>0</v>
      </c>
      <c r="AK1983" s="75">
        <v>0</v>
      </c>
      <c r="AL1983" s="95">
        <v>0</v>
      </c>
      <c r="AM1983" s="92">
        <v>0</v>
      </c>
      <c r="AN1983" s="79" t="s">
        <v>81</v>
      </c>
      <c r="AO1983" s="75">
        <v>1</v>
      </c>
      <c r="AP1983" s="75" t="s">
        <v>84</v>
      </c>
      <c r="AQ1983" s="122">
        <v>1</v>
      </c>
      <c r="AR1983" s="515" t="s">
        <v>13</v>
      </c>
      <c r="AS1983" s="95">
        <v>1</v>
      </c>
      <c r="AT1983" s="75">
        <v>0</v>
      </c>
      <c r="AU1983" s="75">
        <v>0</v>
      </c>
      <c r="AV1983" s="75">
        <v>0</v>
      </c>
      <c r="AW1983" s="123">
        <v>0</v>
      </c>
      <c r="AX1983" s="516" t="s">
        <v>821</v>
      </c>
      <c r="AY1983" s="75">
        <v>1</v>
      </c>
      <c r="AZ1983" s="77" t="s">
        <v>131</v>
      </c>
      <c r="BA1983" s="78" t="s">
        <v>132</v>
      </c>
      <c r="BB1983" s="78" t="s">
        <v>131</v>
      </c>
      <c r="BC1983" s="78" t="s">
        <v>131</v>
      </c>
      <c r="BD1983" s="78" t="s">
        <v>131</v>
      </c>
      <c r="BE1983" s="78" t="s">
        <v>131</v>
      </c>
      <c r="BF1983" s="78" t="s">
        <v>131</v>
      </c>
      <c r="BG1983" s="78" t="s">
        <v>131</v>
      </c>
      <c r="BH1983" s="75" t="s">
        <v>5970</v>
      </c>
      <c r="BI1983" s="295" t="s">
        <v>16</v>
      </c>
      <c r="BJ1983" s="546">
        <v>1</v>
      </c>
      <c r="BK1983" s="294" t="s">
        <v>16</v>
      </c>
      <c r="BL1983" s="157" t="s">
        <v>16</v>
      </c>
      <c r="BM1983" s="548" t="s">
        <v>578</v>
      </c>
      <c r="BN1983" s="548" t="s">
        <v>578</v>
      </c>
      <c r="BO1983" s="157" t="s">
        <v>4341</v>
      </c>
      <c r="BP1983" s="548" t="s">
        <v>4343</v>
      </c>
      <c r="BQ1983" s="157" t="s">
        <v>4309</v>
      </c>
      <c r="BR1983" s="157"/>
    </row>
    <row r="1984" spans="1:70" x14ac:dyDescent="0.25">
      <c r="A1984" s="19" t="s">
        <v>3686</v>
      </c>
      <c r="B1984" s="37" t="s">
        <v>817</v>
      </c>
      <c r="C1984" s="90">
        <v>44337.750601851854</v>
      </c>
      <c r="D1984" s="114">
        <v>44337.500601851854</v>
      </c>
      <c r="E1984" s="38">
        <v>44337</v>
      </c>
      <c r="F1984" s="91">
        <v>2021</v>
      </c>
      <c r="G1984" s="93">
        <v>5</v>
      </c>
      <c r="H1984" s="37" t="s">
        <v>475</v>
      </c>
      <c r="I1984" s="37"/>
      <c r="J1984" s="103">
        <v>-91.6111947410662</v>
      </c>
      <c r="K1984" s="40">
        <v>43.633400048169896</v>
      </c>
      <c r="L1984" s="74"/>
      <c r="M1984" s="272" t="s">
        <v>16</v>
      </c>
      <c r="N1984" s="74">
        <v>0</v>
      </c>
      <c r="O1984" s="94"/>
      <c r="P1984" s="118">
        <v>1</v>
      </c>
      <c r="Q1984" s="510">
        <v>180</v>
      </c>
      <c r="R1984" s="513">
        <v>120</v>
      </c>
      <c r="S1984" s="41"/>
      <c r="T1984" s="40"/>
      <c r="U1984" s="40">
        <v>8</v>
      </c>
      <c r="V1984" s="119">
        <v>1</v>
      </c>
      <c r="W1984" s="40">
        <v>0</v>
      </c>
      <c r="X1984" s="119">
        <v>1</v>
      </c>
      <c r="Y1984" s="40">
        <v>0</v>
      </c>
      <c r="Z1984" s="119">
        <v>1</v>
      </c>
      <c r="AA1984" s="368">
        <v>0</v>
      </c>
      <c r="AB1984" s="535">
        <v>5</v>
      </c>
      <c r="AC1984" s="39" t="s">
        <v>160</v>
      </c>
      <c r="AD1984" s="75" t="s">
        <v>10</v>
      </c>
      <c r="AE1984" s="95">
        <v>0</v>
      </c>
      <c r="AF1984" s="75">
        <v>0</v>
      </c>
      <c r="AG1984" s="75">
        <v>0</v>
      </c>
      <c r="AH1984" s="75">
        <v>0</v>
      </c>
      <c r="AI1984" s="75">
        <v>0</v>
      </c>
      <c r="AJ1984" s="75">
        <v>0</v>
      </c>
      <c r="AK1984" s="75">
        <v>0</v>
      </c>
      <c r="AL1984" s="95">
        <v>1</v>
      </c>
      <c r="AM1984" s="92">
        <v>0</v>
      </c>
      <c r="AN1984" s="79" t="s">
        <v>80</v>
      </c>
      <c r="AO1984" s="75">
        <v>1</v>
      </c>
      <c r="AP1984" s="75" t="s">
        <v>83</v>
      </c>
      <c r="AQ1984" s="122">
        <v>1</v>
      </c>
      <c r="AR1984" s="515" t="s">
        <v>13</v>
      </c>
      <c r="AS1984" s="95">
        <v>1</v>
      </c>
      <c r="AT1984" s="75">
        <v>0</v>
      </c>
      <c r="AU1984" s="75">
        <v>0</v>
      </c>
      <c r="AV1984" s="75">
        <v>0</v>
      </c>
      <c r="AW1984" s="123">
        <v>0</v>
      </c>
      <c r="AX1984" s="516" t="s">
        <v>818</v>
      </c>
      <c r="AY1984" s="75">
        <v>1</v>
      </c>
      <c r="AZ1984" s="77" t="s">
        <v>131</v>
      </c>
      <c r="BA1984" s="78" t="s">
        <v>131</v>
      </c>
      <c r="BB1984" s="78" t="s">
        <v>131</v>
      </c>
      <c r="BC1984" s="78" t="s">
        <v>131</v>
      </c>
      <c r="BD1984" s="78" t="s">
        <v>131</v>
      </c>
      <c r="BE1984" s="78" t="s">
        <v>131</v>
      </c>
      <c r="BF1984" s="78" t="s">
        <v>131</v>
      </c>
      <c r="BG1984" s="78" t="s">
        <v>132</v>
      </c>
      <c r="BH1984" s="75" t="s">
        <v>5970</v>
      </c>
      <c r="BI1984" s="295" t="s">
        <v>2285</v>
      </c>
      <c r="BJ1984" s="546">
        <v>1</v>
      </c>
      <c r="BK1984" s="294">
        <v>1</v>
      </c>
      <c r="BL1984" s="157">
        <v>1</v>
      </c>
      <c r="BM1984" s="548" t="s">
        <v>1341</v>
      </c>
      <c r="BN1984" s="548" t="s">
        <v>1339</v>
      </c>
      <c r="BO1984" s="157" t="s">
        <v>4233</v>
      </c>
      <c r="BP1984" s="548" t="s">
        <v>307</v>
      </c>
      <c r="BQ1984" s="157" t="s">
        <v>4232</v>
      </c>
      <c r="BR1984" s="157"/>
    </row>
    <row r="1985" spans="1:70" x14ac:dyDescent="0.25">
      <c r="A1985" s="19" t="s">
        <v>3686</v>
      </c>
      <c r="B1985" s="37" t="s">
        <v>816</v>
      </c>
      <c r="C1985" s="90">
        <v>44337.748124999998</v>
      </c>
      <c r="D1985" s="114">
        <v>44337.498124999998</v>
      </c>
      <c r="E1985" s="38">
        <v>44337</v>
      </c>
      <c r="F1985" s="91">
        <v>2021</v>
      </c>
      <c r="G1985" s="93">
        <v>5</v>
      </c>
      <c r="H1985" s="37" t="s">
        <v>461</v>
      </c>
      <c r="I1985" s="37" t="s">
        <v>154</v>
      </c>
      <c r="J1985" s="103">
        <v>-92.147042597106562</v>
      </c>
      <c r="K1985" s="40">
        <v>44.793158698067515</v>
      </c>
      <c r="L1985" s="74"/>
      <c r="M1985" s="272" t="s">
        <v>16</v>
      </c>
      <c r="N1985" s="74">
        <v>0</v>
      </c>
      <c r="O1985" s="94"/>
      <c r="P1985" s="118">
        <v>1</v>
      </c>
      <c r="Q1985" s="510">
        <v>0</v>
      </c>
      <c r="R1985" s="513">
        <v>30</v>
      </c>
      <c r="S1985" s="41"/>
      <c r="T1985" s="40"/>
      <c r="U1985" s="40">
        <v>7</v>
      </c>
      <c r="V1985" s="119">
        <v>1</v>
      </c>
      <c r="W1985" s="40">
        <v>100</v>
      </c>
      <c r="X1985" s="119">
        <v>1</v>
      </c>
      <c r="Y1985" s="40">
        <v>53</v>
      </c>
      <c r="Z1985" s="119">
        <v>0</v>
      </c>
      <c r="AA1985" s="368" t="s">
        <v>16</v>
      </c>
      <c r="AB1985" s="535" t="s">
        <v>16</v>
      </c>
      <c r="AC1985" s="39" t="s">
        <v>160</v>
      </c>
      <c r="AD1985" s="75" t="s">
        <v>10</v>
      </c>
      <c r="AE1985" s="95">
        <v>0</v>
      </c>
      <c r="AF1985" s="75">
        <v>0</v>
      </c>
      <c r="AG1985" s="75">
        <v>0</v>
      </c>
      <c r="AH1985" s="75">
        <v>0</v>
      </c>
      <c r="AI1985" s="75">
        <v>0</v>
      </c>
      <c r="AJ1985" s="75">
        <v>0</v>
      </c>
      <c r="AK1985" s="75">
        <v>0</v>
      </c>
      <c r="AL1985" s="95">
        <v>1</v>
      </c>
      <c r="AM1985" s="92">
        <v>0</v>
      </c>
      <c r="AN1985" s="79" t="s">
        <v>80</v>
      </c>
      <c r="AO1985" s="75">
        <v>1</v>
      </c>
      <c r="AP1985" s="75" t="s">
        <v>83</v>
      </c>
      <c r="AQ1985" s="122">
        <v>1</v>
      </c>
      <c r="AR1985" s="515" t="s">
        <v>13</v>
      </c>
      <c r="AS1985" s="95">
        <v>1</v>
      </c>
      <c r="AT1985" s="75">
        <v>0</v>
      </c>
      <c r="AU1985" s="75">
        <v>0</v>
      </c>
      <c r="AV1985" s="75">
        <v>0</v>
      </c>
      <c r="AW1985" s="123">
        <v>0</v>
      </c>
      <c r="AX1985" s="516"/>
      <c r="AY1985" s="75">
        <v>0</v>
      </c>
      <c r="AZ1985" s="77" t="s">
        <v>131</v>
      </c>
      <c r="BA1985" s="78" t="s">
        <v>131</v>
      </c>
      <c r="BB1985" s="78" t="s">
        <v>131</v>
      </c>
      <c r="BC1985" s="78" t="s">
        <v>131</v>
      </c>
      <c r="BD1985" s="78" t="s">
        <v>131</v>
      </c>
      <c r="BE1985" s="78" t="s">
        <v>131</v>
      </c>
      <c r="BF1985" s="78" t="s">
        <v>131</v>
      </c>
      <c r="BG1985" s="78" t="s">
        <v>132</v>
      </c>
      <c r="BH1985" s="75" t="s">
        <v>5970</v>
      </c>
      <c r="BI1985" s="295" t="s">
        <v>2270</v>
      </c>
      <c r="BJ1985" s="546">
        <v>1</v>
      </c>
      <c r="BK1985" s="294">
        <v>1</v>
      </c>
      <c r="BL1985" s="157">
        <v>1</v>
      </c>
      <c r="BM1985" s="548" t="s">
        <v>578</v>
      </c>
      <c r="BN1985" s="548" t="s">
        <v>578</v>
      </c>
      <c r="BO1985" s="157" t="s">
        <v>4317</v>
      </c>
      <c r="BP1985" s="548" t="s">
        <v>2270</v>
      </c>
      <c r="BQ1985" s="157" t="s">
        <v>4316</v>
      </c>
      <c r="BR1985" s="157"/>
    </row>
    <row r="1986" spans="1:70" x14ac:dyDescent="0.25">
      <c r="A1986" s="19" t="s">
        <v>3686</v>
      </c>
      <c r="B1986" s="37" t="s">
        <v>814</v>
      </c>
      <c r="C1986" s="90">
        <v>44337.715949074074</v>
      </c>
      <c r="D1986" s="114">
        <v>44337.465949074074</v>
      </c>
      <c r="E1986" s="38">
        <v>44337</v>
      </c>
      <c r="F1986" s="91">
        <v>2021</v>
      </c>
      <c r="G1986" s="93">
        <v>5</v>
      </c>
      <c r="H1986" s="37" t="s">
        <v>475</v>
      </c>
      <c r="I1986" s="37"/>
      <c r="J1986" s="103">
        <v>-91.580666005696713</v>
      </c>
      <c r="K1986" s="40">
        <v>43.641487034078352</v>
      </c>
      <c r="L1986" s="74"/>
      <c r="M1986" s="272" t="s">
        <v>16</v>
      </c>
      <c r="N1986" s="74">
        <v>0</v>
      </c>
      <c r="O1986" s="94"/>
      <c r="P1986" s="118">
        <v>1</v>
      </c>
      <c r="Q1986" s="510">
        <v>180</v>
      </c>
      <c r="R1986" s="513">
        <v>180</v>
      </c>
      <c r="S1986" s="41"/>
      <c r="T1986" s="40"/>
      <c r="U1986" s="40">
        <v>8</v>
      </c>
      <c r="V1986" s="119">
        <v>1</v>
      </c>
      <c r="W1986" s="40">
        <v>0</v>
      </c>
      <c r="X1986" s="119">
        <v>1</v>
      </c>
      <c r="Y1986" s="40">
        <v>0</v>
      </c>
      <c r="Z1986" s="119">
        <v>1</v>
      </c>
      <c r="AA1986" s="368">
        <v>0</v>
      </c>
      <c r="AB1986" s="535">
        <v>5</v>
      </c>
      <c r="AC1986" s="39" t="s">
        <v>160</v>
      </c>
      <c r="AD1986" s="75" t="s">
        <v>10</v>
      </c>
      <c r="AE1986" s="95">
        <v>0</v>
      </c>
      <c r="AF1986" s="75">
        <v>0</v>
      </c>
      <c r="AG1986" s="75">
        <v>0</v>
      </c>
      <c r="AH1986" s="75">
        <v>0</v>
      </c>
      <c r="AI1986" s="75">
        <v>0</v>
      </c>
      <c r="AJ1986" s="75">
        <v>0</v>
      </c>
      <c r="AK1986" s="75">
        <v>0</v>
      </c>
      <c r="AL1986" s="95">
        <v>1</v>
      </c>
      <c r="AM1986" s="92">
        <v>0</v>
      </c>
      <c r="AN1986" s="79" t="s">
        <v>80</v>
      </c>
      <c r="AO1986" s="75">
        <v>1</v>
      </c>
      <c r="AP1986" s="75" t="s">
        <v>83</v>
      </c>
      <c r="AQ1986" s="122">
        <v>1</v>
      </c>
      <c r="AR1986" s="515" t="s">
        <v>13</v>
      </c>
      <c r="AS1986" s="95">
        <v>1</v>
      </c>
      <c r="AT1986" s="75">
        <v>0</v>
      </c>
      <c r="AU1986" s="75">
        <v>0</v>
      </c>
      <c r="AV1986" s="75">
        <v>0</v>
      </c>
      <c r="AW1986" s="123">
        <v>0</v>
      </c>
      <c r="AX1986" s="516" t="s">
        <v>815</v>
      </c>
      <c r="AY1986" s="75">
        <v>1</v>
      </c>
      <c r="AZ1986" s="77" t="s">
        <v>131</v>
      </c>
      <c r="BA1986" s="78" t="s">
        <v>131</v>
      </c>
      <c r="BB1986" s="78" t="s">
        <v>131</v>
      </c>
      <c r="BC1986" s="78" t="s">
        <v>131</v>
      </c>
      <c r="BD1986" s="78" t="s">
        <v>131</v>
      </c>
      <c r="BE1986" s="78" t="s">
        <v>131</v>
      </c>
      <c r="BF1986" s="78" t="s">
        <v>131</v>
      </c>
      <c r="BG1986" s="78" t="s">
        <v>132</v>
      </c>
      <c r="BH1986" s="75" t="s">
        <v>5970</v>
      </c>
      <c r="BI1986" s="295" t="s">
        <v>2259</v>
      </c>
      <c r="BJ1986" s="546">
        <v>1</v>
      </c>
      <c r="BK1986" s="294" t="s">
        <v>16</v>
      </c>
      <c r="BL1986" s="157" t="s">
        <v>16</v>
      </c>
      <c r="BM1986" s="548" t="s">
        <v>1341</v>
      </c>
      <c r="BN1986" s="548" t="s">
        <v>1339</v>
      </c>
      <c r="BO1986" s="157" t="s">
        <v>4233</v>
      </c>
      <c r="BP1986" s="548" t="s">
        <v>307</v>
      </c>
      <c r="BQ1986" s="157" t="s">
        <v>4232</v>
      </c>
      <c r="BR1986" s="157"/>
    </row>
    <row r="1987" spans="1:70" x14ac:dyDescent="0.25">
      <c r="A1987" s="19" t="s">
        <v>3686</v>
      </c>
      <c r="B1987" s="37" t="s">
        <v>813</v>
      </c>
      <c r="C1987" s="90">
        <v>44336.705659722225</v>
      </c>
      <c r="D1987" s="114">
        <v>44336.455659722225</v>
      </c>
      <c r="E1987" s="38">
        <v>44336</v>
      </c>
      <c r="F1987" s="91">
        <v>2021</v>
      </c>
      <c r="G1987" s="93">
        <v>5</v>
      </c>
      <c r="H1987" s="37" t="s">
        <v>624</v>
      </c>
      <c r="I1987" s="37"/>
      <c r="J1987" s="103">
        <v>-92.844217876058835</v>
      </c>
      <c r="K1987" s="40">
        <v>45.070651145694157</v>
      </c>
      <c r="L1987" s="74"/>
      <c r="M1987" s="272" t="s">
        <v>16</v>
      </c>
      <c r="N1987" s="74">
        <v>0</v>
      </c>
      <c r="O1987" s="94"/>
      <c r="P1987" s="118">
        <v>0</v>
      </c>
      <c r="Q1987" s="510"/>
      <c r="R1987" s="513"/>
      <c r="S1987" s="41"/>
      <c r="T1987" s="40"/>
      <c r="U1987" s="40"/>
      <c r="V1987" s="119">
        <v>1</v>
      </c>
      <c r="W1987" s="40">
        <v>100</v>
      </c>
      <c r="X1987" s="119">
        <v>0</v>
      </c>
      <c r="Y1987" s="40"/>
      <c r="Z1987" s="119">
        <v>0</v>
      </c>
      <c r="AA1987" s="368" t="s">
        <v>16</v>
      </c>
      <c r="AB1987" s="535" t="s">
        <v>16</v>
      </c>
      <c r="AC1987" s="39"/>
      <c r="AD1987" s="75" t="s">
        <v>16</v>
      </c>
      <c r="AE1987" s="95">
        <v>-1</v>
      </c>
      <c r="AF1987" s="75">
        <v>-1</v>
      </c>
      <c r="AG1987" s="75">
        <v>-1</v>
      </c>
      <c r="AH1987" s="75">
        <v>-1</v>
      </c>
      <c r="AI1987" s="75">
        <v>-1</v>
      </c>
      <c r="AJ1987" s="75">
        <v>-1</v>
      </c>
      <c r="AK1987" s="75">
        <v>-1</v>
      </c>
      <c r="AL1987" s="95">
        <v>-1</v>
      </c>
      <c r="AM1987" s="92">
        <v>1</v>
      </c>
      <c r="AN1987" s="79"/>
      <c r="AO1987" s="75">
        <v>0</v>
      </c>
      <c r="AP1987" s="75"/>
      <c r="AQ1987" s="122">
        <v>0</v>
      </c>
      <c r="AR1987" s="515" t="s">
        <v>16</v>
      </c>
      <c r="AS1987" s="95">
        <v>-1</v>
      </c>
      <c r="AT1987" s="75">
        <v>-1</v>
      </c>
      <c r="AU1987" s="75">
        <v>-1</v>
      </c>
      <c r="AV1987" s="75">
        <v>-1</v>
      </c>
      <c r="AW1987" s="123">
        <v>1</v>
      </c>
      <c r="AX1987" s="516"/>
      <c r="AY1987" s="75">
        <v>0</v>
      </c>
      <c r="AZ1987" s="77" t="s">
        <v>5971</v>
      </c>
      <c r="BA1987" s="78" t="s">
        <v>5971</v>
      </c>
      <c r="BB1987" s="78" t="s">
        <v>5971</v>
      </c>
      <c r="BC1987" s="78" t="s">
        <v>5971</v>
      </c>
      <c r="BD1987" s="78" t="s">
        <v>5971</v>
      </c>
      <c r="BE1987" s="78" t="s">
        <v>5971</v>
      </c>
      <c r="BF1987" s="78" t="s">
        <v>5971</v>
      </c>
      <c r="BG1987" s="78" t="s">
        <v>5971</v>
      </c>
      <c r="BH1987" s="75" t="s">
        <v>5971</v>
      </c>
      <c r="BI1987" s="295" t="s">
        <v>2273</v>
      </c>
      <c r="BJ1987" s="546">
        <v>1</v>
      </c>
      <c r="BK1987" s="294" t="s">
        <v>16</v>
      </c>
      <c r="BL1987" s="157" t="s">
        <v>16</v>
      </c>
      <c r="BM1987" s="548" t="s">
        <v>2343</v>
      </c>
      <c r="BN1987" s="548" t="s">
        <v>4161</v>
      </c>
      <c r="BO1987" s="157" t="s">
        <v>4286</v>
      </c>
      <c r="BP1987" s="548" t="s">
        <v>2273</v>
      </c>
      <c r="BQ1987" s="157" t="s">
        <v>4285</v>
      </c>
      <c r="BR1987" s="157"/>
    </row>
    <row r="1988" spans="1:70" x14ac:dyDescent="0.25">
      <c r="A1988" s="19" t="s">
        <v>3686</v>
      </c>
      <c r="B1988" s="37" t="s">
        <v>811</v>
      </c>
      <c r="C1988" s="90">
        <v>44336.694618055553</v>
      </c>
      <c r="D1988" s="114">
        <v>44336.444618055553</v>
      </c>
      <c r="E1988" s="38">
        <v>44336</v>
      </c>
      <c r="F1988" s="91">
        <v>2021</v>
      </c>
      <c r="G1988" s="93">
        <v>5</v>
      </c>
      <c r="H1988" s="37" t="s">
        <v>624</v>
      </c>
      <c r="I1988" s="37"/>
      <c r="J1988" s="103">
        <v>-92.844186791000283</v>
      </c>
      <c r="K1988" s="40">
        <v>45.070578229502942</v>
      </c>
      <c r="L1988" s="74"/>
      <c r="M1988" s="272" t="s">
        <v>812</v>
      </c>
      <c r="N1988" s="74">
        <v>1</v>
      </c>
      <c r="O1988" s="94"/>
      <c r="P1988" s="118">
        <v>1</v>
      </c>
      <c r="Q1988" s="510">
        <v>0</v>
      </c>
      <c r="R1988" s="513">
        <v>30</v>
      </c>
      <c r="S1988" s="41"/>
      <c r="T1988" s="40"/>
      <c r="U1988" s="40">
        <v>7</v>
      </c>
      <c r="V1988" s="119">
        <v>0</v>
      </c>
      <c r="W1988" s="40"/>
      <c r="X1988" s="119">
        <v>1</v>
      </c>
      <c r="Y1988" s="40">
        <v>60</v>
      </c>
      <c r="Z1988" s="119">
        <v>1</v>
      </c>
      <c r="AA1988" s="368">
        <v>0</v>
      </c>
      <c r="AB1988" s="535">
        <v>0</v>
      </c>
      <c r="AC1988" s="39"/>
      <c r="AD1988" s="75" t="s">
        <v>10</v>
      </c>
      <c r="AE1988" s="95">
        <v>0</v>
      </c>
      <c r="AF1988" s="75">
        <v>0</v>
      </c>
      <c r="AG1988" s="75">
        <v>0</v>
      </c>
      <c r="AH1988" s="75">
        <v>0</v>
      </c>
      <c r="AI1988" s="75">
        <v>0</v>
      </c>
      <c r="AJ1988" s="75">
        <v>0</v>
      </c>
      <c r="AK1988" s="75">
        <v>0</v>
      </c>
      <c r="AL1988" s="95">
        <v>1</v>
      </c>
      <c r="AM1988" s="92">
        <v>0</v>
      </c>
      <c r="AN1988" s="79" t="s">
        <v>81</v>
      </c>
      <c r="AO1988" s="75">
        <v>1</v>
      </c>
      <c r="AP1988" s="75" t="s">
        <v>84</v>
      </c>
      <c r="AQ1988" s="122">
        <v>1</v>
      </c>
      <c r="AR1988" s="515" t="s">
        <v>13</v>
      </c>
      <c r="AS1988" s="95">
        <v>1</v>
      </c>
      <c r="AT1988" s="75">
        <v>0</v>
      </c>
      <c r="AU1988" s="75">
        <v>0</v>
      </c>
      <c r="AV1988" s="75">
        <v>0</v>
      </c>
      <c r="AW1988" s="123">
        <v>0</v>
      </c>
      <c r="AX1988" s="516"/>
      <c r="AY1988" s="75">
        <v>0</v>
      </c>
      <c r="AZ1988" s="77" t="s">
        <v>131</v>
      </c>
      <c r="BA1988" s="78" t="s">
        <v>131</v>
      </c>
      <c r="BB1988" s="78" t="s">
        <v>131</v>
      </c>
      <c r="BC1988" s="78" t="s">
        <v>131</v>
      </c>
      <c r="BD1988" s="78" t="s">
        <v>131</v>
      </c>
      <c r="BE1988" s="78" t="s">
        <v>131</v>
      </c>
      <c r="BF1988" s="78" t="s">
        <v>131</v>
      </c>
      <c r="BG1988" s="78" t="s">
        <v>132</v>
      </c>
      <c r="BH1988" s="75" t="s">
        <v>5970</v>
      </c>
      <c r="BI1988" s="295" t="s">
        <v>16</v>
      </c>
      <c r="BJ1988" s="546">
        <v>1</v>
      </c>
      <c r="BK1988" s="294" t="s">
        <v>16</v>
      </c>
      <c r="BL1988" s="157" t="s">
        <v>16</v>
      </c>
      <c r="BM1988" s="548" t="s">
        <v>2343</v>
      </c>
      <c r="BN1988" s="548" t="s">
        <v>4161</v>
      </c>
      <c r="BO1988" s="157" t="s">
        <v>4286</v>
      </c>
      <c r="BP1988" s="548" t="s">
        <v>2273</v>
      </c>
      <c r="BQ1988" s="157" t="s">
        <v>4285</v>
      </c>
      <c r="BR1988" s="157"/>
    </row>
    <row r="1989" spans="1:70" x14ac:dyDescent="0.25">
      <c r="A1989" s="19" t="s">
        <v>3686</v>
      </c>
      <c r="B1989" s="37" t="s">
        <v>810</v>
      </c>
      <c r="C1989" s="90">
        <v>44335.940995370373</v>
      </c>
      <c r="D1989" s="114">
        <v>44335.690995370373</v>
      </c>
      <c r="E1989" s="38">
        <v>44335</v>
      </c>
      <c r="F1989" s="91">
        <v>2021</v>
      </c>
      <c r="G1989" s="93">
        <v>5</v>
      </c>
      <c r="H1989" s="37" t="s">
        <v>622</v>
      </c>
      <c r="I1989" s="37"/>
      <c r="J1989" s="103">
        <v>-92.267920123499138</v>
      </c>
      <c r="K1989" s="40">
        <v>44.428658299189458</v>
      </c>
      <c r="L1989" s="74"/>
      <c r="M1989" s="272" t="s">
        <v>16</v>
      </c>
      <c r="N1989" s="74">
        <v>0</v>
      </c>
      <c r="O1989" s="94"/>
      <c r="P1989" s="118">
        <v>1</v>
      </c>
      <c r="Q1989" s="510">
        <v>80</v>
      </c>
      <c r="R1989" s="513">
        <v>120</v>
      </c>
      <c r="S1989" s="41"/>
      <c r="T1989" s="40"/>
      <c r="U1989" s="40">
        <v>8</v>
      </c>
      <c r="V1989" s="119">
        <v>0</v>
      </c>
      <c r="W1989" s="40"/>
      <c r="X1989" s="119">
        <v>0</v>
      </c>
      <c r="Y1989" s="40"/>
      <c r="Z1989" s="119">
        <v>0</v>
      </c>
      <c r="AA1989" s="368" t="s">
        <v>16</v>
      </c>
      <c r="AB1989" s="535" t="s">
        <v>16</v>
      </c>
      <c r="AC1989" s="39" t="s">
        <v>160</v>
      </c>
      <c r="AD1989" s="75" t="s">
        <v>16</v>
      </c>
      <c r="AE1989" s="95">
        <v>-1</v>
      </c>
      <c r="AF1989" s="75">
        <v>-1</v>
      </c>
      <c r="AG1989" s="75">
        <v>-1</v>
      </c>
      <c r="AH1989" s="75">
        <v>-1</v>
      </c>
      <c r="AI1989" s="75">
        <v>-1</v>
      </c>
      <c r="AJ1989" s="75">
        <v>-1</v>
      </c>
      <c r="AK1989" s="75">
        <v>-1</v>
      </c>
      <c r="AL1989" s="95">
        <v>-1</v>
      </c>
      <c r="AM1989" s="92">
        <v>1</v>
      </c>
      <c r="AN1989" s="79"/>
      <c r="AO1989" s="75">
        <v>0</v>
      </c>
      <c r="AP1989" s="75"/>
      <c r="AQ1989" s="122">
        <v>0</v>
      </c>
      <c r="AR1989" s="515" t="s">
        <v>16</v>
      </c>
      <c r="AS1989" s="95">
        <v>-1</v>
      </c>
      <c r="AT1989" s="75">
        <v>-1</v>
      </c>
      <c r="AU1989" s="75">
        <v>-1</v>
      </c>
      <c r="AV1989" s="75">
        <v>-1</v>
      </c>
      <c r="AW1989" s="123">
        <v>1</v>
      </c>
      <c r="AX1989" s="516"/>
      <c r="AY1989" s="75">
        <v>0</v>
      </c>
      <c r="AZ1989" s="77" t="s">
        <v>5971</v>
      </c>
      <c r="BA1989" s="78" t="s">
        <v>5971</v>
      </c>
      <c r="BB1989" s="78" t="s">
        <v>5971</v>
      </c>
      <c r="BC1989" s="78" t="s">
        <v>5971</v>
      </c>
      <c r="BD1989" s="78" t="s">
        <v>5971</v>
      </c>
      <c r="BE1989" s="78" t="s">
        <v>5971</v>
      </c>
      <c r="BF1989" s="78" t="s">
        <v>5971</v>
      </c>
      <c r="BG1989" s="78" t="s">
        <v>5971</v>
      </c>
      <c r="BH1989" s="75" t="s">
        <v>5971</v>
      </c>
      <c r="BI1989" s="295" t="s">
        <v>2228</v>
      </c>
      <c r="BJ1989" s="546">
        <v>1</v>
      </c>
      <c r="BK1989" s="294" t="s">
        <v>16</v>
      </c>
      <c r="BL1989" s="157" t="s">
        <v>16</v>
      </c>
      <c r="BM1989" s="548" t="s">
        <v>1339</v>
      </c>
      <c r="BN1989" s="548" t="s">
        <v>1339</v>
      </c>
      <c r="BO1989" s="157" t="s">
        <v>4614</v>
      </c>
      <c r="BP1989" s="548" t="s">
        <v>2228</v>
      </c>
      <c r="BQ1989" s="157" t="s">
        <v>4214</v>
      </c>
      <c r="BR1989" s="157"/>
    </row>
    <row r="1990" spans="1:70" x14ac:dyDescent="0.25">
      <c r="A1990" s="19" t="s">
        <v>3686</v>
      </c>
      <c r="B1990" s="37" t="s">
        <v>809</v>
      </c>
      <c r="C1990" s="90">
        <v>44334.095312500001</v>
      </c>
      <c r="D1990" s="114">
        <v>44333.845312500001</v>
      </c>
      <c r="E1990" s="38">
        <v>44333</v>
      </c>
      <c r="F1990" s="91">
        <v>2021</v>
      </c>
      <c r="G1990" s="93">
        <v>5</v>
      </c>
      <c r="H1990" s="37" t="s">
        <v>625</v>
      </c>
      <c r="I1990" s="37"/>
      <c r="J1990" s="103">
        <v>-92.850343100000003</v>
      </c>
      <c r="K1990" s="40">
        <v>44.729119500000003</v>
      </c>
      <c r="L1990" s="74"/>
      <c r="M1990" s="272" t="s">
        <v>16</v>
      </c>
      <c r="N1990" s="74">
        <v>0</v>
      </c>
      <c r="O1990" s="94"/>
      <c r="P1990" s="118">
        <v>1</v>
      </c>
      <c r="Q1990" s="510">
        <v>80</v>
      </c>
      <c r="R1990" s="513">
        <v>180</v>
      </c>
      <c r="S1990" s="41"/>
      <c r="T1990" s="40"/>
      <c r="U1990" s="40">
        <v>7.5</v>
      </c>
      <c r="V1990" s="119">
        <v>1</v>
      </c>
      <c r="W1990" s="40">
        <v>0</v>
      </c>
      <c r="X1990" s="119">
        <v>1</v>
      </c>
      <c r="Y1990" s="40">
        <v>58</v>
      </c>
      <c r="Z1990" s="119">
        <v>1</v>
      </c>
      <c r="AA1990" s="368">
        <v>0</v>
      </c>
      <c r="AB1990" s="535">
        <v>2</v>
      </c>
      <c r="AC1990" s="39" t="s">
        <v>161</v>
      </c>
      <c r="AD1990" s="75" t="s">
        <v>16</v>
      </c>
      <c r="AE1990" s="95">
        <v>-1</v>
      </c>
      <c r="AF1990" s="75">
        <v>-1</v>
      </c>
      <c r="AG1990" s="75">
        <v>-1</v>
      </c>
      <c r="AH1990" s="75">
        <v>-1</v>
      </c>
      <c r="AI1990" s="75">
        <v>-1</v>
      </c>
      <c r="AJ1990" s="75">
        <v>-1</v>
      </c>
      <c r="AK1990" s="75">
        <v>-1</v>
      </c>
      <c r="AL1990" s="95">
        <v>-1</v>
      </c>
      <c r="AM1990" s="92">
        <v>1</v>
      </c>
      <c r="AN1990" s="79" t="s">
        <v>16</v>
      </c>
      <c r="AO1990" s="75">
        <v>0</v>
      </c>
      <c r="AP1990" s="75" t="s">
        <v>83</v>
      </c>
      <c r="AQ1990" s="122">
        <v>1</v>
      </c>
      <c r="AR1990" s="515" t="s">
        <v>10</v>
      </c>
      <c r="AS1990" s="95">
        <v>0</v>
      </c>
      <c r="AT1990" s="75">
        <v>0</v>
      </c>
      <c r="AU1990" s="75">
        <v>0</v>
      </c>
      <c r="AV1990" s="75">
        <v>0</v>
      </c>
      <c r="AW1990" s="123">
        <v>0</v>
      </c>
      <c r="AX1990" s="516"/>
      <c r="AY1990" s="75">
        <v>0</v>
      </c>
      <c r="AZ1990" s="77" t="s">
        <v>5971</v>
      </c>
      <c r="BA1990" s="78" t="s">
        <v>5971</v>
      </c>
      <c r="BB1990" s="78" t="s">
        <v>5971</v>
      </c>
      <c r="BC1990" s="78" t="s">
        <v>5971</v>
      </c>
      <c r="BD1990" s="78" t="s">
        <v>5971</v>
      </c>
      <c r="BE1990" s="78" t="s">
        <v>5971</v>
      </c>
      <c r="BF1990" s="78" t="s">
        <v>5971</v>
      </c>
      <c r="BG1990" s="78" t="s">
        <v>5971</v>
      </c>
      <c r="BH1990" s="75" t="s">
        <v>5971</v>
      </c>
      <c r="BI1990" s="295" t="s">
        <v>2233</v>
      </c>
      <c r="BJ1990" s="546" t="s">
        <v>16</v>
      </c>
      <c r="BK1990" s="294" t="s">
        <v>16</v>
      </c>
      <c r="BL1990" s="157" t="s">
        <v>16</v>
      </c>
      <c r="BM1990" s="548" t="s">
        <v>2343</v>
      </c>
      <c r="BN1990" s="548" t="s">
        <v>4161</v>
      </c>
      <c r="BO1990" s="157" t="s">
        <v>4744</v>
      </c>
      <c r="BP1990" s="548" t="s">
        <v>4745</v>
      </c>
      <c r="BQ1990" s="157" t="s">
        <v>4292</v>
      </c>
      <c r="BR1990" s="157"/>
    </row>
    <row r="1991" spans="1:70" x14ac:dyDescent="0.25">
      <c r="A1991" s="19" t="s">
        <v>3686</v>
      </c>
      <c r="B1991" s="37" t="s">
        <v>808</v>
      </c>
      <c r="C1991" s="90">
        <v>44333.921678240738</v>
      </c>
      <c r="D1991" s="114">
        <v>44333.671678240738</v>
      </c>
      <c r="E1991" s="38">
        <v>44333</v>
      </c>
      <c r="F1991" s="91">
        <v>2021</v>
      </c>
      <c r="G1991" s="93">
        <v>5</v>
      </c>
      <c r="H1991" s="37" t="s">
        <v>597</v>
      </c>
      <c r="I1991" s="37"/>
      <c r="J1991" s="103">
        <v>-93.008998899999995</v>
      </c>
      <c r="K1991" s="40">
        <v>44.657305800000003</v>
      </c>
      <c r="L1991" s="74"/>
      <c r="M1991" s="272" t="s">
        <v>16</v>
      </c>
      <c r="N1991" s="74">
        <v>0</v>
      </c>
      <c r="O1991" s="94"/>
      <c r="P1991" s="118">
        <v>1</v>
      </c>
      <c r="Q1991" s="510">
        <v>80</v>
      </c>
      <c r="R1991" s="513">
        <v>120</v>
      </c>
      <c r="S1991" s="41"/>
      <c r="T1991" s="40"/>
      <c r="U1991" s="40">
        <v>7.5</v>
      </c>
      <c r="V1991" s="119">
        <v>1</v>
      </c>
      <c r="W1991" s="40">
        <v>1000</v>
      </c>
      <c r="X1991" s="119">
        <v>1</v>
      </c>
      <c r="Y1991" s="40">
        <v>64</v>
      </c>
      <c r="Z1991" s="119">
        <v>1</v>
      </c>
      <c r="AA1991" s="368">
        <v>0</v>
      </c>
      <c r="AB1991" s="535">
        <v>5</v>
      </c>
      <c r="AC1991" s="39" t="s">
        <v>160</v>
      </c>
      <c r="AD1991" s="75" t="s">
        <v>365</v>
      </c>
      <c r="AE1991" s="95">
        <v>0</v>
      </c>
      <c r="AF1991" s="75">
        <v>1</v>
      </c>
      <c r="AG1991" s="75">
        <v>1</v>
      </c>
      <c r="AH1991" s="75">
        <v>0</v>
      </c>
      <c r="AI1991" s="75">
        <v>0</v>
      </c>
      <c r="AJ1991" s="75">
        <v>0</v>
      </c>
      <c r="AK1991" s="75">
        <v>0</v>
      </c>
      <c r="AL1991" s="95">
        <v>0</v>
      </c>
      <c r="AM1991" s="92">
        <v>0</v>
      </c>
      <c r="AN1991" s="79" t="s">
        <v>81</v>
      </c>
      <c r="AO1991" s="75">
        <v>1</v>
      </c>
      <c r="AP1991" s="75" t="s">
        <v>83</v>
      </c>
      <c r="AQ1991" s="122">
        <v>1</v>
      </c>
      <c r="AR1991" s="515" t="s">
        <v>10</v>
      </c>
      <c r="AS1991" s="95">
        <v>0</v>
      </c>
      <c r="AT1991" s="75">
        <v>0</v>
      </c>
      <c r="AU1991" s="75">
        <v>0</v>
      </c>
      <c r="AV1991" s="75">
        <v>0</v>
      </c>
      <c r="AW1991" s="123">
        <v>0</v>
      </c>
      <c r="AX1991" s="516"/>
      <c r="AY1991" s="75">
        <v>0</v>
      </c>
      <c r="AZ1991" s="77" t="s">
        <v>131</v>
      </c>
      <c r="BA1991" s="78" t="s">
        <v>132</v>
      </c>
      <c r="BB1991" s="78" t="s">
        <v>132</v>
      </c>
      <c r="BC1991" s="78" t="s">
        <v>131</v>
      </c>
      <c r="BD1991" s="78" t="s">
        <v>131</v>
      </c>
      <c r="BE1991" s="78" t="s">
        <v>131</v>
      </c>
      <c r="BF1991" s="78" t="s">
        <v>131</v>
      </c>
      <c r="BG1991" s="78" t="s">
        <v>131</v>
      </c>
      <c r="BH1991" s="75" t="s">
        <v>5970</v>
      </c>
      <c r="BI1991" s="295" t="s">
        <v>2225</v>
      </c>
      <c r="BJ1991" s="546">
        <v>1</v>
      </c>
      <c r="BK1991" s="294" t="s">
        <v>16</v>
      </c>
      <c r="BL1991" s="157" t="s">
        <v>16</v>
      </c>
      <c r="BM1991" s="548" t="s">
        <v>2343</v>
      </c>
      <c r="BN1991" s="548" t="s">
        <v>4161</v>
      </c>
      <c r="BO1991" s="157" t="s">
        <v>4293</v>
      </c>
      <c r="BP1991" s="548" t="s">
        <v>2225</v>
      </c>
      <c r="BQ1991" s="157" t="s">
        <v>4292</v>
      </c>
      <c r="BR1991" s="157"/>
    </row>
    <row r="1992" spans="1:70" x14ac:dyDescent="0.25">
      <c r="A1992" s="19" t="s">
        <v>3686</v>
      </c>
      <c r="B1992" s="37" t="s">
        <v>807</v>
      </c>
      <c r="C1992" s="90">
        <v>44333.917453703703</v>
      </c>
      <c r="D1992" s="114">
        <v>44333.667453703703</v>
      </c>
      <c r="E1992" s="38">
        <v>44333</v>
      </c>
      <c r="F1992" s="91">
        <v>2021</v>
      </c>
      <c r="G1992" s="93">
        <v>5</v>
      </c>
      <c r="H1992" s="37" t="s">
        <v>597</v>
      </c>
      <c r="I1992" s="37"/>
      <c r="J1992" s="103">
        <v>-93.008998500000004</v>
      </c>
      <c r="K1992" s="40">
        <v>44.657302600000001</v>
      </c>
      <c r="L1992" s="74"/>
      <c r="M1992" s="272" t="s">
        <v>16</v>
      </c>
      <c r="N1992" s="74">
        <v>0</v>
      </c>
      <c r="O1992" s="94"/>
      <c r="P1992" s="118">
        <v>1</v>
      </c>
      <c r="Q1992" s="510">
        <v>0</v>
      </c>
      <c r="R1992" s="513">
        <v>60</v>
      </c>
      <c r="S1992" s="41"/>
      <c r="T1992" s="40"/>
      <c r="U1992" s="40">
        <v>7</v>
      </c>
      <c r="V1992" s="119">
        <v>0</v>
      </c>
      <c r="W1992" s="40"/>
      <c r="X1992" s="119">
        <v>0</v>
      </c>
      <c r="Y1992" s="40"/>
      <c r="Z1992" s="119">
        <v>0</v>
      </c>
      <c r="AA1992" s="368" t="s">
        <v>16</v>
      </c>
      <c r="AB1992" s="535" t="s">
        <v>16</v>
      </c>
      <c r="AC1992" s="39"/>
      <c r="AD1992" s="75" t="s">
        <v>16</v>
      </c>
      <c r="AE1992" s="95">
        <v>-1</v>
      </c>
      <c r="AF1992" s="75">
        <v>-1</v>
      </c>
      <c r="AG1992" s="75">
        <v>-1</v>
      </c>
      <c r="AH1992" s="75">
        <v>-1</v>
      </c>
      <c r="AI1992" s="75">
        <v>-1</v>
      </c>
      <c r="AJ1992" s="75">
        <v>-1</v>
      </c>
      <c r="AK1992" s="75">
        <v>-1</v>
      </c>
      <c r="AL1992" s="95">
        <v>-1</v>
      </c>
      <c r="AM1992" s="92">
        <v>1</v>
      </c>
      <c r="AN1992" s="79"/>
      <c r="AO1992" s="75">
        <v>0</v>
      </c>
      <c r="AP1992" s="75"/>
      <c r="AQ1992" s="122">
        <v>0</v>
      </c>
      <c r="AR1992" s="515" t="s">
        <v>16</v>
      </c>
      <c r="AS1992" s="95">
        <v>-1</v>
      </c>
      <c r="AT1992" s="75">
        <v>-1</v>
      </c>
      <c r="AU1992" s="75">
        <v>-1</v>
      </c>
      <c r="AV1992" s="75">
        <v>-1</v>
      </c>
      <c r="AW1992" s="123">
        <v>1</v>
      </c>
      <c r="AX1992" s="516"/>
      <c r="AY1992" s="75">
        <v>0</v>
      </c>
      <c r="AZ1992" s="77" t="s">
        <v>5971</v>
      </c>
      <c r="BA1992" s="78" t="s">
        <v>5971</v>
      </c>
      <c r="BB1992" s="78" t="s">
        <v>5971</v>
      </c>
      <c r="BC1992" s="78" t="s">
        <v>5971</v>
      </c>
      <c r="BD1992" s="78" t="s">
        <v>5971</v>
      </c>
      <c r="BE1992" s="78" t="s">
        <v>5971</v>
      </c>
      <c r="BF1992" s="78" t="s">
        <v>5971</v>
      </c>
      <c r="BG1992" s="78" t="s">
        <v>5971</v>
      </c>
      <c r="BH1992" s="75" t="s">
        <v>5971</v>
      </c>
      <c r="BI1992" s="295" t="s">
        <v>2225</v>
      </c>
      <c r="BJ1992" s="546">
        <v>1</v>
      </c>
      <c r="BK1992" s="294" t="s">
        <v>16</v>
      </c>
      <c r="BL1992" s="157" t="s">
        <v>16</v>
      </c>
      <c r="BM1992" s="548" t="s">
        <v>2343</v>
      </c>
      <c r="BN1992" s="548" t="s">
        <v>4161</v>
      </c>
      <c r="BO1992" s="157" t="s">
        <v>4293</v>
      </c>
      <c r="BP1992" s="548" t="s">
        <v>2225</v>
      </c>
      <c r="BQ1992" s="157" t="s">
        <v>4292</v>
      </c>
      <c r="BR1992" s="157"/>
    </row>
    <row r="1993" spans="1:70" x14ac:dyDescent="0.25">
      <c r="A1993" s="19" t="s">
        <v>3686</v>
      </c>
      <c r="B1993" s="37" t="s">
        <v>806</v>
      </c>
      <c r="C1993" s="90">
        <v>44333.63244212963</v>
      </c>
      <c r="D1993" s="114">
        <v>44333.38244212963</v>
      </c>
      <c r="E1993" s="38">
        <v>44333</v>
      </c>
      <c r="F1993" s="91">
        <v>2021</v>
      </c>
      <c r="G1993" s="93">
        <v>5</v>
      </c>
      <c r="H1993" s="37" t="s">
        <v>612</v>
      </c>
      <c r="I1993" s="37"/>
      <c r="J1993" s="103">
        <v>-93.151797914677701</v>
      </c>
      <c r="K1993" s="40">
        <v>44.640131905119645</v>
      </c>
      <c r="L1993" s="74"/>
      <c r="M1993" s="272" t="s">
        <v>16</v>
      </c>
      <c r="N1993" s="74">
        <v>0</v>
      </c>
      <c r="O1993" s="94"/>
      <c r="P1993" s="118">
        <v>1</v>
      </c>
      <c r="Q1993" s="510">
        <v>80</v>
      </c>
      <c r="R1993" s="513">
        <v>180</v>
      </c>
      <c r="S1993" s="41"/>
      <c r="T1993" s="40"/>
      <c r="U1993" s="40">
        <v>7.5</v>
      </c>
      <c r="V1993" s="119">
        <v>1</v>
      </c>
      <c r="W1993" s="40">
        <v>0</v>
      </c>
      <c r="X1993" s="119">
        <v>1</v>
      </c>
      <c r="Y1993" s="40">
        <v>52</v>
      </c>
      <c r="Z1993" s="119">
        <v>1</v>
      </c>
      <c r="AA1993" s="368">
        <v>0</v>
      </c>
      <c r="AB1993" s="535">
        <v>2</v>
      </c>
      <c r="AC1993" s="39"/>
      <c r="AD1993" s="75" t="s">
        <v>365</v>
      </c>
      <c r="AE1993" s="95">
        <v>0</v>
      </c>
      <c r="AF1993" s="75">
        <v>1</v>
      </c>
      <c r="AG1993" s="75">
        <v>1</v>
      </c>
      <c r="AH1993" s="75">
        <v>0</v>
      </c>
      <c r="AI1993" s="75">
        <v>0</v>
      </c>
      <c r="AJ1993" s="75">
        <v>0</v>
      </c>
      <c r="AK1993" s="75">
        <v>0</v>
      </c>
      <c r="AL1993" s="95">
        <v>0</v>
      </c>
      <c r="AM1993" s="92">
        <v>0</v>
      </c>
      <c r="AN1993" s="79"/>
      <c r="AO1993" s="75">
        <v>0</v>
      </c>
      <c r="AP1993" s="75" t="s">
        <v>84</v>
      </c>
      <c r="AQ1993" s="122">
        <v>1</v>
      </c>
      <c r="AR1993" s="515" t="s">
        <v>16</v>
      </c>
      <c r="AS1993" s="95">
        <v>-1</v>
      </c>
      <c r="AT1993" s="75">
        <v>-1</v>
      </c>
      <c r="AU1993" s="75">
        <v>-1</v>
      </c>
      <c r="AV1993" s="75">
        <v>-1</v>
      </c>
      <c r="AW1993" s="123">
        <v>1</v>
      </c>
      <c r="AX1993" s="516"/>
      <c r="AY1993" s="75">
        <v>0</v>
      </c>
      <c r="AZ1993" s="77" t="s">
        <v>131</v>
      </c>
      <c r="BA1993" s="78" t="s">
        <v>132</v>
      </c>
      <c r="BB1993" s="78" t="s">
        <v>132</v>
      </c>
      <c r="BC1993" s="78" t="s">
        <v>131</v>
      </c>
      <c r="BD1993" s="78" t="s">
        <v>131</v>
      </c>
      <c r="BE1993" s="78" t="s">
        <v>131</v>
      </c>
      <c r="BF1993" s="78" t="s">
        <v>131</v>
      </c>
      <c r="BG1993" s="78" t="s">
        <v>131</v>
      </c>
      <c r="BH1993" s="75" t="s">
        <v>5970</v>
      </c>
      <c r="BI1993" s="295" t="s">
        <v>2233</v>
      </c>
      <c r="BJ1993" s="546">
        <v>1</v>
      </c>
      <c r="BK1993" s="294" t="s">
        <v>16</v>
      </c>
      <c r="BL1993" s="157" t="s">
        <v>16</v>
      </c>
      <c r="BM1993" s="548" t="s">
        <v>2343</v>
      </c>
      <c r="BN1993" s="548" t="s">
        <v>4161</v>
      </c>
      <c r="BO1993" s="157" t="s">
        <v>4685</v>
      </c>
      <c r="BP1993" s="548" t="s">
        <v>4686</v>
      </c>
      <c r="BQ1993" s="157" t="s">
        <v>4292</v>
      </c>
      <c r="BR1993" s="157"/>
    </row>
    <row r="1994" spans="1:70" x14ac:dyDescent="0.25">
      <c r="A1994" s="19" t="s">
        <v>3686</v>
      </c>
      <c r="B1994" s="37" t="s">
        <v>805</v>
      </c>
      <c r="C1994" s="90">
        <v>44333.629374999997</v>
      </c>
      <c r="D1994" s="114">
        <v>44333.379374999997</v>
      </c>
      <c r="E1994" s="38">
        <v>44333</v>
      </c>
      <c r="F1994" s="91">
        <v>2021</v>
      </c>
      <c r="G1994" s="93">
        <v>5</v>
      </c>
      <c r="H1994" s="37" t="s">
        <v>621</v>
      </c>
      <c r="I1994" s="37"/>
      <c r="J1994" s="103">
        <v>-93.151586204853984</v>
      </c>
      <c r="K1994" s="40">
        <v>44.640707625117749</v>
      </c>
      <c r="L1994" s="74"/>
      <c r="M1994" s="272" t="s">
        <v>16</v>
      </c>
      <c r="N1994" s="74">
        <v>0</v>
      </c>
      <c r="O1994" s="94"/>
      <c r="P1994" s="118">
        <v>1</v>
      </c>
      <c r="Q1994" s="510">
        <v>120</v>
      </c>
      <c r="R1994" s="513">
        <v>180</v>
      </c>
      <c r="S1994" s="41"/>
      <c r="T1994" s="40"/>
      <c r="U1994" s="40">
        <v>8</v>
      </c>
      <c r="V1994" s="119">
        <v>0</v>
      </c>
      <c r="W1994" s="40"/>
      <c r="X1994" s="119">
        <v>0</v>
      </c>
      <c r="Y1994" s="40"/>
      <c r="Z1994" s="119">
        <v>1</v>
      </c>
      <c r="AA1994" s="368">
        <v>0</v>
      </c>
      <c r="AB1994" s="535">
        <v>2</v>
      </c>
      <c r="AC1994" s="39" t="s">
        <v>160</v>
      </c>
      <c r="AD1994" s="75" t="s">
        <v>16</v>
      </c>
      <c r="AE1994" s="95">
        <v>-1</v>
      </c>
      <c r="AF1994" s="75">
        <v>-1</v>
      </c>
      <c r="AG1994" s="75">
        <v>-1</v>
      </c>
      <c r="AH1994" s="75">
        <v>-1</v>
      </c>
      <c r="AI1994" s="75">
        <v>-1</v>
      </c>
      <c r="AJ1994" s="75">
        <v>-1</v>
      </c>
      <c r="AK1994" s="75">
        <v>-1</v>
      </c>
      <c r="AL1994" s="95">
        <v>-1</v>
      </c>
      <c r="AM1994" s="92">
        <v>1</v>
      </c>
      <c r="AN1994" s="79"/>
      <c r="AO1994" s="75">
        <v>0</v>
      </c>
      <c r="AP1994" s="75"/>
      <c r="AQ1994" s="122">
        <v>0</v>
      </c>
      <c r="AR1994" s="515" t="s">
        <v>16</v>
      </c>
      <c r="AS1994" s="95">
        <v>-1</v>
      </c>
      <c r="AT1994" s="75">
        <v>-1</v>
      </c>
      <c r="AU1994" s="75">
        <v>-1</v>
      </c>
      <c r="AV1994" s="75">
        <v>-1</v>
      </c>
      <c r="AW1994" s="123">
        <v>1</v>
      </c>
      <c r="AX1994" s="516"/>
      <c r="AY1994" s="75">
        <v>0</v>
      </c>
      <c r="AZ1994" s="77" t="s">
        <v>5971</v>
      </c>
      <c r="BA1994" s="78" t="s">
        <v>5971</v>
      </c>
      <c r="BB1994" s="78" t="s">
        <v>5971</v>
      </c>
      <c r="BC1994" s="78" t="s">
        <v>5971</v>
      </c>
      <c r="BD1994" s="78" t="s">
        <v>5971</v>
      </c>
      <c r="BE1994" s="78" t="s">
        <v>5971</v>
      </c>
      <c r="BF1994" s="78" t="s">
        <v>5971</v>
      </c>
      <c r="BG1994" s="78" t="s">
        <v>5971</v>
      </c>
      <c r="BH1994" s="75" t="s">
        <v>5971</v>
      </c>
      <c r="BI1994" s="295" t="s">
        <v>2233</v>
      </c>
      <c r="BJ1994" s="546">
        <v>1</v>
      </c>
      <c r="BK1994" s="294" t="s">
        <v>16</v>
      </c>
      <c r="BL1994" s="157" t="s">
        <v>16</v>
      </c>
      <c r="BM1994" s="548" t="s">
        <v>2343</v>
      </c>
      <c r="BN1994" s="548" t="s">
        <v>4161</v>
      </c>
      <c r="BO1994" s="157" t="s">
        <v>4685</v>
      </c>
      <c r="BP1994" s="548" t="s">
        <v>4686</v>
      </c>
      <c r="BQ1994" s="157" t="s">
        <v>4292</v>
      </c>
      <c r="BR1994" s="157"/>
    </row>
    <row r="1995" spans="1:70" x14ac:dyDescent="0.25">
      <c r="A1995" s="19" t="s">
        <v>3686</v>
      </c>
      <c r="B1995" s="37" t="s">
        <v>802</v>
      </c>
      <c r="C1995" s="90">
        <v>44333.627511574072</v>
      </c>
      <c r="D1995" s="114">
        <v>44333.377511574072</v>
      </c>
      <c r="E1995" s="38">
        <v>44333</v>
      </c>
      <c r="F1995" s="91">
        <v>2021</v>
      </c>
      <c r="G1995" s="93">
        <v>5</v>
      </c>
      <c r="H1995" s="37" t="s">
        <v>597</v>
      </c>
      <c r="I1995" s="37"/>
      <c r="J1995" s="103">
        <v>-93.151378899999997</v>
      </c>
      <c r="K1995" s="40">
        <v>44.641138900000001</v>
      </c>
      <c r="L1995" s="74"/>
      <c r="M1995" s="272" t="s">
        <v>16</v>
      </c>
      <c r="N1995" s="74">
        <v>0</v>
      </c>
      <c r="O1995" s="94"/>
      <c r="P1995" s="118">
        <v>1</v>
      </c>
      <c r="Q1995" s="510">
        <v>120</v>
      </c>
      <c r="R1995" s="513">
        <v>120</v>
      </c>
      <c r="S1995" s="41"/>
      <c r="T1995" s="40"/>
      <c r="U1995" s="40">
        <v>7.5</v>
      </c>
      <c r="V1995" s="119">
        <v>0</v>
      </c>
      <c r="W1995" s="40"/>
      <c r="X1995" s="119">
        <v>0</v>
      </c>
      <c r="Y1995" s="40"/>
      <c r="Z1995" s="119">
        <v>1</v>
      </c>
      <c r="AA1995" s="368">
        <v>0</v>
      </c>
      <c r="AB1995" s="535">
        <v>1</v>
      </c>
      <c r="AC1995" s="39" t="s">
        <v>160</v>
      </c>
      <c r="AD1995" s="75" t="s">
        <v>803</v>
      </c>
      <c r="AE1995" s="95">
        <v>0</v>
      </c>
      <c r="AF1995" s="75">
        <v>1</v>
      </c>
      <c r="AG1995" s="75">
        <v>1</v>
      </c>
      <c r="AH1995" s="75">
        <v>1</v>
      </c>
      <c r="AI1995" s="75">
        <v>0</v>
      </c>
      <c r="AJ1995" s="75">
        <v>0</v>
      </c>
      <c r="AK1995" s="75">
        <v>0</v>
      </c>
      <c r="AL1995" s="95">
        <v>0</v>
      </c>
      <c r="AM1995" s="92">
        <v>0</v>
      </c>
      <c r="AN1995" s="79" t="s">
        <v>80</v>
      </c>
      <c r="AO1995" s="75">
        <v>1</v>
      </c>
      <c r="AP1995" s="75" t="s">
        <v>84</v>
      </c>
      <c r="AQ1995" s="122">
        <v>1</v>
      </c>
      <c r="AR1995" s="515" t="s">
        <v>10</v>
      </c>
      <c r="AS1995" s="95">
        <v>0</v>
      </c>
      <c r="AT1995" s="75">
        <v>0</v>
      </c>
      <c r="AU1995" s="75">
        <v>0</v>
      </c>
      <c r="AV1995" s="75">
        <v>0</v>
      </c>
      <c r="AW1995" s="123">
        <v>0</v>
      </c>
      <c r="AX1995" s="516" t="s">
        <v>804</v>
      </c>
      <c r="AY1995" s="75">
        <v>1</v>
      </c>
      <c r="AZ1995" s="77" t="s">
        <v>131</v>
      </c>
      <c r="BA1995" s="78" t="s">
        <v>132</v>
      </c>
      <c r="BB1995" s="78" t="s">
        <v>132</v>
      </c>
      <c r="BC1995" s="78" t="s">
        <v>132</v>
      </c>
      <c r="BD1995" s="78" t="s">
        <v>131</v>
      </c>
      <c r="BE1995" s="78" t="s">
        <v>131</v>
      </c>
      <c r="BF1995" s="78" t="s">
        <v>131</v>
      </c>
      <c r="BG1995" s="78" t="s">
        <v>131</v>
      </c>
      <c r="BH1995" s="75" t="s">
        <v>5970</v>
      </c>
      <c r="BI1995" s="295" t="s">
        <v>2233</v>
      </c>
      <c r="BJ1995" s="546">
        <v>1</v>
      </c>
      <c r="BK1995" s="294" t="s">
        <v>16</v>
      </c>
      <c r="BL1995" s="157" t="s">
        <v>16</v>
      </c>
      <c r="BM1995" s="548" t="s">
        <v>2343</v>
      </c>
      <c r="BN1995" s="548" t="s">
        <v>4161</v>
      </c>
      <c r="BO1995" s="157" t="s">
        <v>4685</v>
      </c>
      <c r="BP1995" s="548" t="s">
        <v>4686</v>
      </c>
      <c r="BQ1995" s="157" t="s">
        <v>4292</v>
      </c>
      <c r="BR1995" s="157"/>
    </row>
    <row r="1996" spans="1:70" x14ac:dyDescent="0.25">
      <c r="A1996" s="19" t="s">
        <v>3686</v>
      </c>
      <c r="B1996" s="37" t="s">
        <v>801</v>
      </c>
      <c r="C1996" s="90">
        <v>44332.917893518519</v>
      </c>
      <c r="D1996" s="114">
        <v>44332.667893518519</v>
      </c>
      <c r="E1996" s="38">
        <v>44332</v>
      </c>
      <c r="F1996" s="91">
        <v>2021</v>
      </c>
      <c r="G1996" s="93">
        <v>5</v>
      </c>
      <c r="H1996" s="37" t="s">
        <v>610</v>
      </c>
      <c r="I1996" s="37"/>
      <c r="J1996" s="103">
        <v>-92.563675125360234</v>
      </c>
      <c r="K1996" s="40">
        <v>44.502606767058971</v>
      </c>
      <c r="L1996" s="74"/>
      <c r="M1996" s="272" t="s">
        <v>16</v>
      </c>
      <c r="N1996" s="74">
        <v>0</v>
      </c>
      <c r="O1996" s="94"/>
      <c r="P1996" s="118">
        <v>1</v>
      </c>
      <c r="Q1996" s="510">
        <v>180</v>
      </c>
      <c r="R1996" s="513">
        <v>120</v>
      </c>
      <c r="S1996" s="41"/>
      <c r="T1996" s="40"/>
      <c r="U1996" s="40">
        <v>9</v>
      </c>
      <c r="V1996" s="119">
        <v>1</v>
      </c>
      <c r="W1996" s="40">
        <v>0</v>
      </c>
      <c r="X1996" s="119">
        <v>1</v>
      </c>
      <c r="Y1996" s="40">
        <v>57</v>
      </c>
      <c r="Z1996" s="119">
        <v>1</v>
      </c>
      <c r="AA1996" s="368">
        <v>0</v>
      </c>
      <c r="AB1996" s="535">
        <v>5</v>
      </c>
      <c r="AC1996" s="39" t="s">
        <v>160</v>
      </c>
      <c r="AD1996" s="75" t="s">
        <v>10</v>
      </c>
      <c r="AE1996" s="95">
        <v>0</v>
      </c>
      <c r="AF1996" s="75">
        <v>0</v>
      </c>
      <c r="AG1996" s="75">
        <v>0</v>
      </c>
      <c r="AH1996" s="75">
        <v>0</v>
      </c>
      <c r="AI1996" s="75">
        <v>0</v>
      </c>
      <c r="AJ1996" s="75">
        <v>0</v>
      </c>
      <c r="AK1996" s="75">
        <v>0</v>
      </c>
      <c r="AL1996" s="95">
        <v>1</v>
      </c>
      <c r="AM1996" s="92">
        <v>0</v>
      </c>
      <c r="AN1996" s="79" t="s">
        <v>81</v>
      </c>
      <c r="AO1996" s="75">
        <v>1</v>
      </c>
      <c r="AP1996" s="75" t="s">
        <v>83</v>
      </c>
      <c r="AQ1996" s="122">
        <v>1</v>
      </c>
      <c r="AR1996" s="515" t="s">
        <v>10</v>
      </c>
      <c r="AS1996" s="95">
        <v>0</v>
      </c>
      <c r="AT1996" s="75">
        <v>0</v>
      </c>
      <c r="AU1996" s="75">
        <v>0</v>
      </c>
      <c r="AV1996" s="75">
        <v>0</v>
      </c>
      <c r="AW1996" s="123">
        <v>0</v>
      </c>
      <c r="AX1996" s="516"/>
      <c r="AY1996" s="75">
        <v>0</v>
      </c>
      <c r="AZ1996" s="77" t="s">
        <v>131</v>
      </c>
      <c r="BA1996" s="78" t="s">
        <v>131</v>
      </c>
      <c r="BB1996" s="78" t="s">
        <v>131</v>
      </c>
      <c r="BC1996" s="78" t="s">
        <v>131</v>
      </c>
      <c r="BD1996" s="78" t="s">
        <v>131</v>
      </c>
      <c r="BE1996" s="78" t="s">
        <v>131</v>
      </c>
      <c r="BF1996" s="78" t="s">
        <v>131</v>
      </c>
      <c r="BG1996" s="78" t="s">
        <v>132</v>
      </c>
      <c r="BH1996" s="75" t="s">
        <v>5970</v>
      </c>
      <c r="BI1996" s="295" t="s">
        <v>16</v>
      </c>
      <c r="BJ1996" s="546">
        <v>1</v>
      </c>
      <c r="BK1996" s="294" t="s">
        <v>16</v>
      </c>
      <c r="BL1996" s="157" t="s">
        <v>16</v>
      </c>
      <c r="BM1996" s="548" t="s">
        <v>2343</v>
      </c>
      <c r="BN1996" s="548" t="s">
        <v>1339</v>
      </c>
      <c r="BO1996" s="157" t="s">
        <v>4308</v>
      </c>
      <c r="BP1996" s="548" t="s">
        <v>2238</v>
      </c>
      <c r="BQ1996" s="157" t="s">
        <v>4307</v>
      </c>
      <c r="BR1996" s="157"/>
    </row>
    <row r="1997" spans="1:70" x14ac:dyDescent="0.25">
      <c r="A1997" s="19" t="s">
        <v>3686</v>
      </c>
      <c r="B1997" s="37" t="s">
        <v>800</v>
      </c>
      <c r="C1997" s="90">
        <v>44332.829606481479</v>
      </c>
      <c r="D1997" s="114">
        <v>44332.579606481479</v>
      </c>
      <c r="E1997" s="38">
        <v>44332</v>
      </c>
      <c r="F1997" s="91">
        <v>2021</v>
      </c>
      <c r="G1997" s="93">
        <v>5</v>
      </c>
      <c r="H1997" s="37" t="s">
        <v>600</v>
      </c>
      <c r="I1997" s="37" t="s">
        <v>16</v>
      </c>
      <c r="J1997" s="103">
        <v>-92.115768140835726</v>
      </c>
      <c r="K1997" s="40">
        <v>44.021164647112059</v>
      </c>
      <c r="L1997" s="74"/>
      <c r="M1997" s="272" t="s">
        <v>16</v>
      </c>
      <c r="N1997" s="74">
        <v>0</v>
      </c>
      <c r="O1997" s="94"/>
      <c r="P1997" s="118">
        <v>1</v>
      </c>
      <c r="Q1997" s="510">
        <v>180</v>
      </c>
      <c r="R1997" s="513">
        <v>120</v>
      </c>
      <c r="S1997" s="41"/>
      <c r="T1997" s="40"/>
      <c r="U1997" s="40">
        <v>8</v>
      </c>
      <c r="V1997" s="119">
        <v>1</v>
      </c>
      <c r="W1997" s="40">
        <v>0</v>
      </c>
      <c r="X1997" s="119">
        <v>1</v>
      </c>
      <c r="Y1997" s="40">
        <v>58</v>
      </c>
      <c r="Z1997" s="119">
        <v>1</v>
      </c>
      <c r="AA1997" s="368">
        <v>0</v>
      </c>
      <c r="AB1997" s="535">
        <v>10</v>
      </c>
      <c r="AC1997" s="39" t="s">
        <v>160</v>
      </c>
      <c r="AD1997" s="75" t="s">
        <v>16</v>
      </c>
      <c r="AE1997" s="95">
        <v>-1</v>
      </c>
      <c r="AF1997" s="75">
        <v>-1</v>
      </c>
      <c r="AG1997" s="75">
        <v>-1</v>
      </c>
      <c r="AH1997" s="75">
        <v>-1</v>
      </c>
      <c r="AI1997" s="75">
        <v>-1</v>
      </c>
      <c r="AJ1997" s="75">
        <v>-1</v>
      </c>
      <c r="AK1997" s="75">
        <v>-1</v>
      </c>
      <c r="AL1997" s="95">
        <v>-1</v>
      </c>
      <c r="AM1997" s="92">
        <v>1</v>
      </c>
      <c r="AN1997" s="79" t="s">
        <v>80</v>
      </c>
      <c r="AO1997" s="75">
        <v>1</v>
      </c>
      <c r="AP1997" s="75" t="s">
        <v>83</v>
      </c>
      <c r="AQ1997" s="122">
        <v>1</v>
      </c>
      <c r="AR1997" s="515" t="s">
        <v>10</v>
      </c>
      <c r="AS1997" s="95">
        <v>0</v>
      </c>
      <c r="AT1997" s="75">
        <v>0</v>
      </c>
      <c r="AU1997" s="75">
        <v>0</v>
      </c>
      <c r="AV1997" s="75">
        <v>0</v>
      </c>
      <c r="AW1997" s="123">
        <v>0</v>
      </c>
      <c r="AX1997" s="516"/>
      <c r="AY1997" s="75">
        <v>0</v>
      </c>
      <c r="AZ1997" s="77" t="s">
        <v>5971</v>
      </c>
      <c r="BA1997" s="78" t="s">
        <v>5971</v>
      </c>
      <c r="BB1997" s="78" t="s">
        <v>5971</v>
      </c>
      <c r="BC1997" s="78" t="s">
        <v>5971</v>
      </c>
      <c r="BD1997" s="78" t="s">
        <v>5971</v>
      </c>
      <c r="BE1997" s="78" t="s">
        <v>5971</v>
      </c>
      <c r="BF1997" s="78" t="s">
        <v>5971</v>
      </c>
      <c r="BG1997" s="78" t="s">
        <v>5971</v>
      </c>
      <c r="BH1997" s="75" t="s">
        <v>5971</v>
      </c>
      <c r="BI1997" s="295" t="s">
        <v>2262</v>
      </c>
      <c r="BJ1997" s="546">
        <v>1</v>
      </c>
      <c r="BK1997" s="294">
        <v>1</v>
      </c>
      <c r="BL1997" s="157">
        <v>1</v>
      </c>
      <c r="BM1997" s="548" t="s">
        <v>1339</v>
      </c>
      <c r="BN1997" s="548" t="s">
        <v>1339</v>
      </c>
      <c r="BO1997" s="157" t="s">
        <v>4364</v>
      </c>
      <c r="BP1997" s="548" t="s">
        <v>2292</v>
      </c>
      <c r="BQ1997" s="157" t="s">
        <v>4361</v>
      </c>
      <c r="BR1997" s="157"/>
    </row>
    <row r="1998" spans="1:70" x14ac:dyDescent="0.25">
      <c r="A1998" s="19" t="s">
        <v>3686</v>
      </c>
      <c r="B1998" s="37" t="s">
        <v>798</v>
      </c>
      <c r="C1998" s="90">
        <v>44332.738009259258</v>
      </c>
      <c r="D1998" s="114">
        <v>44332.488009259258</v>
      </c>
      <c r="E1998" s="38">
        <v>44332</v>
      </c>
      <c r="F1998" s="91">
        <v>2021</v>
      </c>
      <c r="G1998" s="93">
        <v>5</v>
      </c>
      <c r="H1998" s="37" t="s">
        <v>605</v>
      </c>
      <c r="I1998" s="37"/>
      <c r="J1998" s="103">
        <v>-90.945223100000007</v>
      </c>
      <c r="K1998" s="40">
        <v>43.700218200000002</v>
      </c>
      <c r="L1998" s="74"/>
      <c r="M1998" s="272" t="s">
        <v>799</v>
      </c>
      <c r="N1998" s="74">
        <v>1</v>
      </c>
      <c r="O1998" s="94"/>
      <c r="P1998" s="118">
        <v>1</v>
      </c>
      <c r="Q1998" s="510">
        <v>0</v>
      </c>
      <c r="R1998" s="513">
        <v>60</v>
      </c>
      <c r="S1998" s="41"/>
      <c r="T1998" s="40"/>
      <c r="U1998" s="40">
        <v>7</v>
      </c>
      <c r="V1998" s="119">
        <v>0</v>
      </c>
      <c r="W1998" s="40"/>
      <c r="X1998" s="119">
        <v>0</v>
      </c>
      <c r="Y1998" s="40"/>
      <c r="Z1998" s="119">
        <v>1</v>
      </c>
      <c r="AA1998" s="368">
        <v>0</v>
      </c>
      <c r="AB1998" s="535">
        <v>0</v>
      </c>
      <c r="AC1998" s="39" t="s">
        <v>160</v>
      </c>
      <c r="AD1998" s="75" t="s">
        <v>8</v>
      </c>
      <c r="AE1998" s="95">
        <v>0</v>
      </c>
      <c r="AF1998" s="75">
        <v>1</v>
      </c>
      <c r="AG1998" s="75">
        <v>0</v>
      </c>
      <c r="AH1998" s="75">
        <v>0</v>
      </c>
      <c r="AI1998" s="75">
        <v>0</v>
      </c>
      <c r="AJ1998" s="75">
        <v>0</v>
      </c>
      <c r="AK1998" s="75">
        <v>0</v>
      </c>
      <c r="AL1998" s="95">
        <v>0</v>
      </c>
      <c r="AM1998" s="92">
        <v>0</v>
      </c>
      <c r="AN1998" s="79" t="s">
        <v>80</v>
      </c>
      <c r="AO1998" s="75">
        <v>1</v>
      </c>
      <c r="AP1998" s="75" t="s">
        <v>83</v>
      </c>
      <c r="AQ1998" s="122">
        <v>1</v>
      </c>
      <c r="AR1998" s="515" t="s">
        <v>10</v>
      </c>
      <c r="AS1998" s="95">
        <v>0</v>
      </c>
      <c r="AT1998" s="75">
        <v>0</v>
      </c>
      <c r="AU1998" s="75">
        <v>0</v>
      </c>
      <c r="AV1998" s="75">
        <v>0</v>
      </c>
      <c r="AW1998" s="123">
        <v>0</v>
      </c>
      <c r="AX1998" s="516"/>
      <c r="AY1998" s="75">
        <v>0</v>
      </c>
      <c r="AZ1998" s="77" t="s">
        <v>131</v>
      </c>
      <c r="BA1998" s="78" t="s">
        <v>132</v>
      </c>
      <c r="BB1998" s="78" t="s">
        <v>131</v>
      </c>
      <c r="BC1998" s="78" t="s">
        <v>131</v>
      </c>
      <c r="BD1998" s="78" t="s">
        <v>131</v>
      </c>
      <c r="BE1998" s="78" t="s">
        <v>131</v>
      </c>
      <c r="BF1998" s="78" t="s">
        <v>131</v>
      </c>
      <c r="BG1998" s="78" t="s">
        <v>131</v>
      </c>
      <c r="BH1998" s="75" t="s">
        <v>5970</v>
      </c>
      <c r="BI1998" s="295" t="s">
        <v>16</v>
      </c>
      <c r="BJ1998" s="546">
        <v>1</v>
      </c>
      <c r="BK1998" s="294" t="s">
        <v>16</v>
      </c>
      <c r="BL1998" s="157" t="s">
        <v>16</v>
      </c>
      <c r="BM1998" s="548" t="s">
        <v>1342</v>
      </c>
      <c r="BN1998" s="548" t="s">
        <v>1342</v>
      </c>
      <c r="BO1998" s="157" t="s">
        <v>4385</v>
      </c>
      <c r="BP1998" s="548" t="s">
        <v>4414</v>
      </c>
      <c r="BQ1998" s="157" t="s">
        <v>4383</v>
      </c>
      <c r="BR1998" s="157"/>
    </row>
    <row r="1999" spans="1:70" x14ac:dyDescent="0.25">
      <c r="A1999" s="19" t="s">
        <v>3686</v>
      </c>
      <c r="B1999" s="37" t="s">
        <v>797</v>
      </c>
      <c r="C1999" s="90">
        <v>44332.615949074076</v>
      </c>
      <c r="D1999" s="114">
        <v>44332.365949074076</v>
      </c>
      <c r="E1999" s="38">
        <v>44332</v>
      </c>
      <c r="F1999" s="91">
        <v>2021</v>
      </c>
      <c r="G1999" s="93">
        <v>5</v>
      </c>
      <c r="H1999" s="37" t="s">
        <v>615</v>
      </c>
      <c r="I1999" s="37"/>
      <c r="J1999" s="103">
        <v>-91.611662800000005</v>
      </c>
      <c r="K1999" s="40">
        <v>43.631706800000003</v>
      </c>
      <c r="L1999" s="74"/>
      <c r="M1999" s="272" t="s">
        <v>16</v>
      </c>
      <c r="N1999" s="74">
        <v>0</v>
      </c>
      <c r="O1999" s="94"/>
      <c r="P1999" s="118">
        <v>1</v>
      </c>
      <c r="Q1999" s="510">
        <v>120</v>
      </c>
      <c r="R1999" s="513">
        <v>120</v>
      </c>
      <c r="S1999" s="41"/>
      <c r="T1999" s="40"/>
      <c r="U1999" s="40">
        <v>7.5</v>
      </c>
      <c r="V1999" s="119">
        <v>1</v>
      </c>
      <c r="W1999" s="40">
        <v>0</v>
      </c>
      <c r="X1999" s="119">
        <v>1</v>
      </c>
      <c r="Y1999" s="40">
        <v>51</v>
      </c>
      <c r="Z1999" s="119">
        <v>1</v>
      </c>
      <c r="AA1999" s="368">
        <v>0</v>
      </c>
      <c r="AB1999" s="535">
        <v>2</v>
      </c>
      <c r="AC1999" s="39" t="s">
        <v>160</v>
      </c>
      <c r="AD1999" s="75" t="s">
        <v>10</v>
      </c>
      <c r="AE1999" s="95">
        <v>0</v>
      </c>
      <c r="AF1999" s="75">
        <v>0</v>
      </c>
      <c r="AG1999" s="75">
        <v>0</v>
      </c>
      <c r="AH1999" s="75">
        <v>0</v>
      </c>
      <c r="AI1999" s="75">
        <v>0</v>
      </c>
      <c r="AJ1999" s="75">
        <v>0</v>
      </c>
      <c r="AK1999" s="75">
        <v>0</v>
      </c>
      <c r="AL1999" s="95">
        <v>1</v>
      </c>
      <c r="AM1999" s="92">
        <v>0</v>
      </c>
      <c r="AN1999" s="79" t="s">
        <v>80</v>
      </c>
      <c r="AO1999" s="75">
        <v>1</v>
      </c>
      <c r="AP1999" s="75" t="s">
        <v>83</v>
      </c>
      <c r="AQ1999" s="122">
        <v>1</v>
      </c>
      <c r="AR1999" s="515" t="s">
        <v>10</v>
      </c>
      <c r="AS1999" s="95">
        <v>0</v>
      </c>
      <c r="AT1999" s="75">
        <v>0</v>
      </c>
      <c r="AU1999" s="75">
        <v>0</v>
      </c>
      <c r="AV1999" s="75">
        <v>0</v>
      </c>
      <c r="AW1999" s="123">
        <v>0</v>
      </c>
      <c r="AX1999" s="516"/>
      <c r="AY1999" s="75">
        <v>0</v>
      </c>
      <c r="AZ1999" s="77" t="s">
        <v>131</v>
      </c>
      <c r="BA1999" s="78" t="s">
        <v>131</v>
      </c>
      <c r="BB1999" s="78" t="s">
        <v>131</v>
      </c>
      <c r="BC1999" s="78" t="s">
        <v>131</v>
      </c>
      <c r="BD1999" s="78" t="s">
        <v>131</v>
      </c>
      <c r="BE1999" s="78" t="s">
        <v>131</v>
      </c>
      <c r="BF1999" s="78" t="s">
        <v>131</v>
      </c>
      <c r="BG1999" s="78" t="s">
        <v>132</v>
      </c>
      <c r="BH1999" s="75" t="s">
        <v>5970</v>
      </c>
      <c r="BI1999" s="295" t="s">
        <v>2285</v>
      </c>
      <c r="BJ1999" s="546">
        <v>1</v>
      </c>
      <c r="BK1999" s="294">
        <v>1</v>
      </c>
      <c r="BL1999" s="157">
        <v>1</v>
      </c>
      <c r="BM1999" s="548" t="s">
        <v>1341</v>
      </c>
      <c r="BN1999" s="548" t="s">
        <v>4161</v>
      </c>
      <c r="BO1999" s="157" t="s">
        <v>4233</v>
      </c>
      <c r="BP1999" s="548" t="s">
        <v>307</v>
      </c>
      <c r="BQ1999" s="157" t="s">
        <v>4232</v>
      </c>
      <c r="BR1999" s="157"/>
    </row>
    <row r="2000" spans="1:70" x14ac:dyDescent="0.25">
      <c r="A2000" s="19" t="s">
        <v>3686</v>
      </c>
      <c r="B2000" s="37" t="s">
        <v>796</v>
      </c>
      <c r="C2000" s="90">
        <v>44332.580312500002</v>
      </c>
      <c r="D2000" s="114">
        <v>44332.330312500002</v>
      </c>
      <c r="E2000" s="38">
        <v>44332</v>
      </c>
      <c r="F2000" s="91">
        <v>2021</v>
      </c>
      <c r="G2000" s="93">
        <v>5</v>
      </c>
      <c r="H2000" s="37" t="s">
        <v>615</v>
      </c>
      <c r="I2000" s="37"/>
      <c r="J2000" s="103">
        <v>-91.610611899999995</v>
      </c>
      <c r="K2000" s="40">
        <v>43.625783300000002</v>
      </c>
      <c r="L2000" s="74"/>
      <c r="M2000" s="272" t="s">
        <v>16</v>
      </c>
      <c r="N2000" s="74">
        <v>0</v>
      </c>
      <c r="O2000" s="94"/>
      <c r="P2000" s="118">
        <v>1</v>
      </c>
      <c r="Q2000" s="510">
        <v>80</v>
      </c>
      <c r="R2000" s="513">
        <v>180</v>
      </c>
      <c r="S2000" s="41"/>
      <c r="T2000" s="40"/>
      <c r="U2000" s="40">
        <v>7.5</v>
      </c>
      <c r="V2000" s="119">
        <v>1</v>
      </c>
      <c r="W2000" s="40">
        <v>100</v>
      </c>
      <c r="X2000" s="119">
        <v>1</v>
      </c>
      <c r="Y2000" s="40">
        <v>50</v>
      </c>
      <c r="Z2000" s="119">
        <v>1</v>
      </c>
      <c r="AA2000" s="368">
        <v>0</v>
      </c>
      <c r="AB2000" s="535">
        <v>5</v>
      </c>
      <c r="AC2000" s="39" t="s">
        <v>160</v>
      </c>
      <c r="AD2000" s="75" t="s">
        <v>10</v>
      </c>
      <c r="AE2000" s="95">
        <v>0</v>
      </c>
      <c r="AF2000" s="75">
        <v>0</v>
      </c>
      <c r="AG2000" s="75">
        <v>0</v>
      </c>
      <c r="AH2000" s="75">
        <v>0</v>
      </c>
      <c r="AI2000" s="75">
        <v>0</v>
      </c>
      <c r="AJ2000" s="75">
        <v>0</v>
      </c>
      <c r="AK2000" s="75">
        <v>0</v>
      </c>
      <c r="AL2000" s="95">
        <v>1</v>
      </c>
      <c r="AM2000" s="92">
        <v>0</v>
      </c>
      <c r="AN2000" s="79" t="s">
        <v>80</v>
      </c>
      <c r="AO2000" s="75">
        <v>1</v>
      </c>
      <c r="AP2000" s="75" t="s">
        <v>83</v>
      </c>
      <c r="AQ2000" s="122">
        <v>1</v>
      </c>
      <c r="AR2000" s="515" t="s">
        <v>10</v>
      </c>
      <c r="AS2000" s="95">
        <v>0</v>
      </c>
      <c r="AT2000" s="75">
        <v>0</v>
      </c>
      <c r="AU2000" s="75">
        <v>0</v>
      </c>
      <c r="AV2000" s="75">
        <v>0</v>
      </c>
      <c r="AW2000" s="123">
        <v>0</v>
      </c>
      <c r="AX2000" s="516"/>
      <c r="AY2000" s="75">
        <v>0</v>
      </c>
      <c r="AZ2000" s="77" t="s">
        <v>131</v>
      </c>
      <c r="BA2000" s="78" t="s">
        <v>131</v>
      </c>
      <c r="BB2000" s="78" t="s">
        <v>131</v>
      </c>
      <c r="BC2000" s="78" t="s">
        <v>131</v>
      </c>
      <c r="BD2000" s="78" t="s">
        <v>131</v>
      </c>
      <c r="BE2000" s="78" t="s">
        <v>131</v>
      </c>
      <c r="BF2000" s="78" t="s">
        <v>131</v>
      </c>
      <c r="BG2000" s="78" t="s">
        <v>132</v>
      </c>
      <c r="BH2000" s="75" t="s">
        <v>5970</v>
      </c>
      <c r="BI2000" s="295" t="s">
        <v>2285</v>
      </c>
      <c r="BJ2000" s="546">
        <v>1</v>
      </c>
      <c r="BK2000" s="294">
        <v>1</v>
      </c>
      <c r="BL2000" s="157">
        <v>1</v>
      </c>
      <c r="BM2000" s="548" t="s">
        <v>1341</v>
      </c>
      <c r="BN2000" s="548" t="s">
        <v>4161</v>
      </c>
      <c r="BO2000" s="157" t="s">
        <v>4233</v>
      </c>
      <c r="BP2000" s="548" t="s">
        <v>307</v>
      </c>
      <c r="BQ2000" s="157" t="s">
        <v>4232</v>
      </c>
      <c r="BR2000" s="157"/>
    </row>
    <row r="2001" spans="1:70" x14ac:dyDescent="0.25">
      <c r="A2001" s="19" t="s">
        <v>3686</v>
      </c>
      <c r="B2001" s="37" t="s">
        <v>795</v>
      </c>
      <c r="C2001" s="90">
        <v>44331.674490740741</v>
      </c>
      <c r="D2001" s="114">
        <v>44331.424490740741</v>
      </c>
      <c r="E2001" s="38">
        <v>44331</v>
      </c>
      <c r="F2001" s="91">
        <v>2021</v>
      </c>
      <c r="G2001" s="93">
        <v>5</v>
      </c>
      <c r="H2001" s="37" t="s">
        <v>612</v>
      </c>
      <c r="I2001" s="37"/>
      <c r="J2001" s="103">
        <v>-93.008949249130524</v>
      </c>
      <c r="K2001" s="40">
        <v>44.657290231740262</v>
      </c>
      <c r="L2001" s="74"/>
      <c r="M2001" s="272" t="s">
        <v>16</v>
      </c>
      <c r="N2001" s="74">
        <v>0</v>
      </c>
      <c r="O2001" s="94"/>
      <c r="P2001" s="118">
        <v>0</v>
      </c>
      <c r="Q2001" s="510"/>
      <c r="R2001" s="513"/>
      <c r="S2001" s="41"/>
      <c r="T2001" s="40"/>
      <c r="U2001" s="40"/>
      <c r="V2001" s="119">
        <v>1</v>
      </c>
      <c r="W2001" s="40">
        <v>0</v>
      </c>
      <c r="X2001" s="119">
        <v>1</v>
      </c>
      <c r="Y2001" s="40">
        <v>52</v>
      </c>
      <c r="Z2001" s="119">
        <v>0</v>
      </c>
      <c r="AA2001" s="368" t="s">
        <v>16</v>
      </c>
      <c r="AB2001" s="535" t="s">
        <v>16</v>
      </c>
      <c r="AC2001" s="39"/>
      <c r="AD2001" s="75" t="s">
        <v>16</v>
      </c>
      <c r="AE2001" s="95">
        <v>-1</v>
      </c>
      <c r="AF2001" s="75">
        <v>-1</v>
      </c>
      <c r="AG2001" s="75">
        <v>-1</v>
      </c>
      <c r="AH2001" s="75">
        <v>-1</v>
      </c>
      <c r="AI2001" s="75">
        <v>-1</v>
      </c>
      <c r="AJ2001" s="75">
        <v>-1</v>
      </c>
      <c r="AK2001" s="75">
        <v>-1</v>
      </c>
      <c r="AL2001" s="95">
        <v>-1</v>
      </c>
      <c r="AM2001" s="92">
        <v>1</v>
      </c>
      <c r="AN2001" s="79" t="s">
        <v>80</v>
      </c>
      <c r="AO2001" s="75">
        <v>1</v>
      </c>
      <c r="AP2001" s="75" t="s">
        <v>83</v>
      </c>
      <c r="AQ2001" s="122">
        <v>1</v>
      </c>
      <c r="AR2001" s="515" t="s">
        <v>10</v>
      </c>
      <c r="AS2001" s="95">
        <v>0</v>
      </c>
      <c r="AT2001" s="75">
        <v>0</v>
      </c>
      <c r="AU2001" s="75">
        <v>0</v>
      </c>
      <c r="AV2001" s="75">
        <v>0</v>
      </c>
      <c r="AW2001" s="123">
        <v>0</v>
      </c>
      <c r="AX2001" s="516"/>
      <c r="AY2001" s="75">
        <v>0</v>
      </c>
      <c r="AZ2001" s="77" t="s">
        <v>5971</v>
      </c>
      <c r="BA2001" s="78" t="s">
        <v>5971</v>
      </c>
      <c r="BB2001" s="78" t="s">
        <v>5971</v>
      </c>
      <c r="BC2001" s="78" t="s">
        <v>5971</v>
      </c>
      <c r="BD2001" s="78" t="s">
        <v>5971</v>
      </c>
      <c r="BE2001" s="78" t="s">
        <v>5971</v>
      </c>
      <c r="BF2001" s="78" t="s">
        <v>5971</v>
      </c>
      <c r="BG2001" s="78" t="s">
        <v>5971</v>
      </c>
      <c r="BH2001" s="75" t="s">
        <v>5971</v>
      </c>
      <c r="BI2001" s="295" t="s">
        <v>2225</v>
      </c>
      <c r="BJ2001" s="546">
        <v>1</v>
      </c>
      <c r="BK2001" s="294" t="s">
        <v>16</v>
      </c>
      <c r="BL2001" s="157" t="s">
        <v>16</v>
      </c>
      <c r="BM2001" s="548" t="s">
        <v>2343</v>
      </c>
      <c r="BN2001" s="548" t="s">
        <v>4161</v>
      </c>
      <c r="BO2001" s="157" t="s">
        <v>4293</v>
      </c>
      <c r="BP2001" s="548" t="s">
        <v>2225</v>
      </c>
      <c r="BQ2001" s="157" t="s">
        <v>4292</v>
      </c>
      <c r="BR2001" s="157"/>
    </row>
    <row r="2002" spans="1:70" x14ac:dyDescent="0.25">
      <c r="A2002" s="19" t="s">
        <v>3686</v>
      </c>
      <c r="B2002" s="37" t="s">
        <v>794</v>
      </c>
      <c r="C2002" s="90">
        <v>44331.658437500002</v>
      </c>
      <c r="D2002" s="114">
        <v>44331.408437500002</v>
      </c>
      <c r="E2002" s="38">
        <v>44331</v>
      </c>
      <c r="F2002" s="91">
        <v>2021</v>
      </c>
      <c r="G2002" s="93">
        <v>5</v>
      </c>
      <c r="H2002" s="37" t="s">
        <v>612</v>
      </c>
      <c r="I2002" s="37"/>
      <c r="J2002" s="103">
        <v>-93.008709503521999</v>
      </c>
      <c r="K2002" s="40">
        <v>44.65734184482703</v>
      </c>
      <c r="L2002" s="74"/>
      <c r="M2002" s="272" t="s">
        <v>16</v>
      </c>
      <c r="N2002" s="74">
        <v>0</v>
      </c>
      <c r="O2002" s="94"/>
      <c r="P2002" s="118">
        <v>0</v>
      </c>
      <c r="Q2002" s="510"/>
      <c r="R2002" s="513"/>
      <c r="S2002" s="41"/>
      <c r="T2002" s="40"/>
      <c r="U2002" s="40"/>
      <c r="V2002" s="119">
        <v>0</v>
      </c>
      <c r="W2002" s="40"/>
      <c r="X2002" s="119">
        <v>0</v>
      </c>
      <c r="Y2002" s="40"/>
      <c r="Z2002" s="119">
        <v>0</v>
      </c>
      <c r="AA2002" s="368" t="s">
        <v>16</v>
      </c>
      <c r="AB2002" s="535" t="s">
        <v>16</v>
      </c>
      <c r="AC2002" s="39"/>
      <c r="AD2002" s="75" t="s">
        <v>16</v>
      </c>
      <c r="AE2002" s="95">
        <v>-1</v>
      </c>
      <c r="AF2002" s="75">
        <v>-1</v>
      </c>
      <c r="AG2002" s="75">
        <v>-1</v>
      </c>
      <c r="AH2002" s="75">
        <v>-1</v>
      </c>
      <c r="AI2002" s="75">
        <v>-1</v>
      </c>
      <c r="AJ2002" s="75">
        <v>-1</v>
      </c>
      <c r="AK2002" s="75">
        <v>-1</v>
      </c>
      <c r="AL2002" s="95">
        <v>-1</v>
      </c>
      <c r="AM2002" s="92">
        <v>1</v>
      </c>
      <c r="AN2002" s="79"/>
      <c r="AO2002" s="75">
        <v>0</v>
      </c>
      <c r="AP2002" s="75" t="s">
        <v>83</v>
      </c>
      <c r="AQ2002" s="122">
        <v>1</v>
      </c>
      <c r="AR2002" s="515" t="s">
        <v>10</v>
      </c>
      <c r="AS2002" s="95">
        <v>0</v>
      </c>
      <c r="AT2002" s="75">
        <v>0</v>
      </c>
      <c r="AU2002" s="75">
        <v>0</v>
      </c>
      <c r="AV2002" s="75">
        <v>0</v>
      </c>
      <c r="AW2002" s="123">
        <v>0</v>
      </c>
      <c r="AX2002" s="516"/>
      <c r="AY2002" s="75">
        <v>0</v>
      </c>
      <c r="AZ2002" s="77" t="s">
        <v>5971</v>
      </c>
      <c r="BA2002" s="78" t="s">
        <v>5971</v>
      </c>
      <c r="BB2002" s="78" t="s">
        <v>5971</v>
      </c>
      <c r="BC2002" s="78" t="s">
        <v>5971</v>
      </c>
      <c r="BD2002" s="78" t="s">
        <v>5971</v>
      </c>
      <c r="BE2002" s="78" t="s">
        <v>5971</v>
      </c>
      <c r="BF2002" s="78" t="s">
        <v>5971</v>
      </c>
      <c r="BG2002" s="78" t="s">
        <v>5971</v>
      </c>
      <c r="BH2002" s="75" t="s">
        <v>5971</v>
      </c>
      <c r="BI2002" s="295" t="s">
        <v>2225</v>
      </c>
      <c r="BJ2002" s="546">
        <v>1</v>
      </c>
      <c r="BK2002" s="294" t="s">
        <v>16</v>
      </c>
      <c r="BL2002" s="157" t="s">
        <v>16</v>
      </c>
      <c r="BM2002" s="548" t="s">
        <v>2343</v>
      </c>
      <c r="BN2002" s="548" t="s">
        <v>4161</v>
      </c>
      <c r="BO2002" s="157" t="s">
        <v>4293</v>
      </c>
      <c r="BP2002" s="548" t="s">
        <v>2225</v>
      </c>
      <c r="BQ2002" s="157" t="s">
        <v>4292</v>
      </c>
      <c r="BR2002" s="157"/>
    </row>
    <row r="2003" spans="1:70" x14ac:dyDescent="0.25">
      <c r="A2003" s="19" t="s">
        <v>3686</v>
      </c>
      <c r="B2003" s="37" t="s">
        <v>793</v>
      </c>
      <c r="C2003" s="90">
        <v>44331.657754629632</v>
      </c>
      <c r="D2003" s="114">
        <v>44331.407754629632</v>
      </c>
      <c r="E2003" s="38">
        <v>44331</v>
      </c>
      <c r="F2003" s="91">
        <v>2021</v>
      </c>
      <c r="G2003" s="93">
        <v>5</v>
      </c>
      <c r="H2003" s="37" t="s">
        <v>612</v>
      </c>
      <c r="I2003" s="37"/>
      <c r="J2003" s="103">
        <v>-93.008753028788604</v>
      </c>
      <c r="K2003" s="40">
        <v>44.657290691385285</v>
      </c>
      <c r="L2003" s="74"/>
      <c r="M2003" s="272" t="s">
        <v>16</v>
      </c>
      <c r="N2003" s="74">
        <v>0</v>
      </c>
      <c r="O2003" s="94"/>
      <c r="P2003" s="118">
        <v>1</v>
      </c>
      <c r="Q2003" s="510">
        <v>180</v>
      </c>
      <c r="R2003" s="513">
        <v>180</v>
      </c>
      <c r="S2003" s="41"/>
      <c r="T2003" s="40"/>
      <c r="U2003" s="40">
        <v>7.5</v>
      </c>
      <c r="V2003" s="119">
        <v>1</v>
      </c>
      <c r="W2003" s="40">
        <v>0</v>
      </c>
      <c r="X2003" s="119">
        <v>1</v>
      </c>
      <c r="Y2003" s="40">
        <v>52</v>
      </c>
      <c r="Z2003" s="119">
        <v>1</v>
      </c>
      <c r="AA2003" s="368">
        <v>0</v>
      </c>
      <c r="AB2003" s="535">
        <v>10</v>
      </c>
      <c r="AC2003" s="39" t="s">
        <v>160</v>
      </c>
      <c r="AD2003" s="75" t="s">
        <v>10</v>
      </c>
      <c r="AE2003" s="95">
        <v>0</v>
      </c>
      <c r="AF2003" s="75">
        <v>0</v>
      </c>
      <c r="AG2003" s="75">
        <v>0</v>
      </c>
      <c r="AH2003" s="75">
        <v>0</v>
      </c>
      <c r="AI2003" s="75">
        <v>0</v>
      </c>
      <c r="AJ2003" s="75">
        <v>0</v>
      </c>
      <c r="AK2003" s="75">
        <v>0</v>
      </c>
      <c r="AL2003" s="95">
        <v>1</v>
      </c>
      <c r="AM2003" s="92">
        <v>0</v>
      </c>
      <c r="AN2003" s="79"/>
      <c r="AO2003" s="75">
        <v>0</v>
      </c>
      <c r="AP2003" s="75"/>
      <c r="AQ2003" s="122">
        <v>0</v>
      </c>
      <c r="AR2003" s="515" t="s">
        <v>16</v>
      </c>
      <c r="AS2003" s="95">
        <v>-1</v>
      </c>
      <c r="AT2003" s="75">
        <v>-1</v>
      </c>
      <c r="AU2003" s="75">
        <v>-1</v>
      </c>
      <c r="AV2003" s="75">
        <v>-1</v>
      </c>
      <c r="AW2003" s="123">
        <v>1</v>
      </c>
      <c r="AX2003" s="516"/>
      <c r="AY2003" s="75">
        <v>0</v>
      </c>
      <c r="AZ2003" s="77" t="s">
        <v>131</v>
      </c>
      <c r="BA2003" s="78" t="s">
        <v>131</v>
      </c>
      <c r="BB2003" s="78" t="s">
        <v>131</v>
      </c>
      <c r="BC2003" s="78" t="s">
        <v>131</v>
      </c>
      <c r="BD2003" s="78" t="s">
        <v>131</v>
      </c>
      <c r="BE2003" s="78" t="s">
        <v>131</v>
      </c>
      <c r="BF2003" s="78" t="s">
        <v>131</v>
      </c>
      <c r="BG2003" s="78" t="s">
        <v>132</v>
      </c>
      <c r="BH2003" s="75" t="s">
        <v>5970</v>
      </c>
      <c r="BI2003" s="295" t="s">
        <v>2225</v>
      </c>
      <c r="BJ2003" s="546">
        <v>1</v>
      </c>
      <c r="BK2003" s="294" t="s">
        <v>16</v>
      </c>
      <c r="BL2003" s="157" t="s">
        <v>16</v>
      </c>
      <c r="BM2003" s="548" t="s">
        <v>2343</v>
      </c>
      <c r="BN2003" s="548" t="s">
        <v>4161</v>
      </c>
      <c r="BO2003" s="157" t="s">
        <v>4293</v>
      </c>
      <c r="BP2003" s="548" t="s">
        <v>2225</v>
      </c>
      <c r="BQ2003" s="157" t="s">
        <v>4292</v>
      </c>
      <c r="BR2003" s="157"/>
    </row>
    <row r="2004" spans="1:70" x14ac:dyDescent="0.25">
      <c r="A2004" s="19" t="s">
        <v>3686</v>
      </c>
      <c r="B2004" s="37" t="s">
        <v>792</v>
      </c>
      <c r="C2004" s="90">
        <v>44331.655428240738</v>
      </c>
      <c r="D2004" s="114">
        <v>44331.405428240738</v>
      </c>
      <c r="E2004" s="38">
        <v>44331</v>
      </c>
      <c r="F2004" s="91">
        <v>2021</v>
      </c>
      <c r="G2004" s="93">
        <v>5</v>
      </c>
      <c r="H2004" s="37" t="s">
        <v>621</v>
      </c>
      <c r="I2004" s="37"/>
      <c r="J2004" s="103">
        <v>-93.008802328345354</v>
      </c>
      <c r="K2004" s="40">
        <v>44.65734335598038</v>
      </c>
      <c r="L2004" s="74"/>
      <c r="M2004" s="272" t="s">
        <v>16</v>
      </c>
      <c r="N2004" s="74">
        <v>0</v>
      </c>
      <c r="O2004" s="94"/>
      <c r="P2004" s="118">
        <v>0</v>
      </c>
      <c r="Q2004" s="510"/>
      <c r="R2004" s="513"/>
      <c r="S2004" s="41"/>
      <c r="T2004" s="40"/>
      <c r="U2004" s="40"/>
      <c r="V2004" s="119">
        <v>0</v>
      </c>
      <c r="W2004" s="40"/>
      <c r="X2004" s="119">
        <v>1</v>
      </c>
      <c r="Y2004" s="40">
        <v>52</v>
      </c>
      <c r="Z2004" s="119">
        <v>0</v>
      </c>
      <c r="AA2004" s="368" t="s">
        <v>16</v>
      </c>
      <c r="AB2004" s="535" t="s">
        <v>16</v>
      </c>
      <c r="AC2004" s="39"/>
      <c r="AD2004" s="75" t="s">
        <v>16</v>
      </c>
      <c r="AE2004" s="95">
        <v>-1</v>
      </c>
      <c r="AF2004" s="75">
        <v>-1</v>
      </c>
      <c r="AG2004" s="75">
        <v>-1</v>
      </c>
      <c r="AH2004" s="75">
        <v>-1</v>
      </c>
      <c r="AI2004" s="75">
        <v>-1</v>
      </c>
      <c r="AJ2004" s="75">
        <v>-1</v>
      </c>
      <c r="AK2004" s="75">
        <v>-1</v>
      </c>
      <c r="AL2004" s="95">
        <v>-1</v>
      </c>
      <c r="AM2004" s="92">
        <v>1</v>
      </c>
      <c r="AN2004" s="79"/>
      <c r="AO2004" s="75">
        <v>0</v>
      </c>
      <c r="AP2004" s="75"/>
      <c r="AQ2004" s="122">
        <v>0</v>
      </c>
      <c r="AR2004" s="515" t="s">
        <v>16</v>
      </c>
      <c r="AS2004" s="95">
        <v>-1</v>
      </c>
      <c r="AT2004" s="75">
        <v>-1</v>
      </c>
      <c r="AU2004" s="75">
        <v>-1</v>
      </c>
      <c r="AV2004" s="75">
        <v>-1</v>
      </c>
      <c r="AW2004" s="123">
        <v>1</v>
      </c>
      <c r="AX2004" s="516"/>
      <c r="AY2004" s="75">
        <v>0</v>
      </c>
      <c r="AZ2004" s="77" t="s">
        <v>5971</v>
      </c>
      <c r="BA2004" s="78" t="s">
        <v>5971</v>
      </c>
      <c r="BB2004" s="78" t="s">
        <v>5971</v>
      </c>
      <c r="BC2004" s="78" t="s">
        <v>5971</v>
      </c>
      <c r="BD2004" s="78" t="s">
        <v>5971</v>
      </c>
      <c r="BE2004" s="78" t="s">
        <v>5971</v>
      </c>
      <c r="BF2004" s="78" t="s">
        <v>5971</v>
      </c>
      <c r="BG2004" s="78" t="s">
        <v>5971</v>
      </c>
      <c r="BH2004" s="75" t="s">
        <v>5971</v>
      </c>
      <c r="BI2004" s="295" t="s">
        <v>2225</v>
      </c>
      <c r="BJ2004" s="546">
        <v>1</v>
      </c>
      <c r="BK2004" s="294" t="s">
        <v>16</v>
      </c>
      <c r="BL2004" s="157" t="s">
        <v>16</v>
      </c>
      <c r="BM2004" s="548" t="s">
        <v>2343</v>
      </c>
      <c r="BN2004" s="548" t="s">
        <v>4161</v>
      </c>
      <c r="BO2004" s="157" t="s">
        <v>4293</v>
      </c>
      <c r="BP2004" s="548" t="s">
        <v>2225</v>
      </c>
      <c r="BQ2004" s="157" t="s">
        <v>4292</v>
      </c>
      <c r="BR2004" s="157"/>
    </row>
    <row r="2005" spans="1:70" x14ac:dyDescent="0.25">
      <c r="A2005" s="19" t="s">
        <v>3686</v>
      </c>
      <c r="B2005" s="37" t="s">
        <v>791</v>
      </c>
      <c r="C2005" s="90">
        <v>44331.654178240744</v>
      </c>
      <c r="D2005" s="114">
        <v>44331.404178240744</v>
      </c>
      <c r="E2005" s="38">
        <v>44331</v>
      </c>
      <c r="F2005" s="91">
        <v>2021</v>
      </c>
      <c r="G2005" s="93">
        <v>5</v>
      </c>
      <c r="H2005" s="37" t="s">
        <v>621</v>
      </c>
      <c r="I2005" s="37"/>
      <c r="J2005" s="103">
        <v>-93.008770477113316</v>
      </c>
      <c r="K2005" s="40">
        <v>44.657351402607425</v>
      </c>
      <c r="L2005" s="74"/>
      <c r="M2005" s="272" t="s">
        <v>16</v>
      </c>
      <c r="N2005" s="74">
        <v>0</v>
      </c>
      <c r="O2005" s="94"/>
      <c r="P2005" s="118">
        <v>0</v>
      </c>
      <c r="Q2005" s="510"/>
      <c r="R2005" s="513"/>
      <c r="S2005" s="41"/>
      <c r="T2005" s="40"/>
      <c r="U2005" s="40"/>
      <c r="V2005" s="119">
        <v>1</v>
      </c>
      <c r="W2005" s="40">
        <v>0</v>
      </c>
      <c r="X2005" s="119">
        <v>0</v>
      </c>
      <c r="Y2005" s="40"/>
      <c r="Z2005" s="119">
        <v>0</v>
      </c>
      <c r="AA2005" s="368" t="s">
        <v>16</v>
      </c>
      <c r="AB2005" s="535" t="s">
        <v>16</v>
      </c>
      <c r="AC2005" s="39"/>
      <c r="AD2005" s="75" t="s">
        <v>16</v>
      </c>
      <c r="AE2005" s="95">
        <v>-1</v>
      </c>
      <c r="AF2005" s="75">
        <v>-1</v>
      </c>
      <c r="AG2005" s="75">
        <v>-1</v>
      </c>
      <c r="AH2005" s="75">
        <v>-1</v>
      </c>
      <c r="AI2005" s="75">
        <v>-1</v>
      </c>
      <c r="AJ2005" s="75">
        <v>-1</v>
      </c>
      <c r="AK2005" s="75">
        <v>-1</v>
      </c>
      <c r="AL2005" s="95">
        <v>-1</v>
      </c>
      <c r="AM2005" s="92">
        <v>1</v>
      </c>
      <c r="AN2005" s="79"/>
      <c r="AO2005" s="75">
        <v>0</v>
      </c>
      <c r="AP2005" s="75"/>
      <c r="AQ2005" s="122">
        <v>0</v>
      </c>
      <c r="AR2005" s="515" t="s">
        <v>16</v>
      </c>
      <c r="AS2005" s="95">
        <v>-1</v>
      </c>
      <c r="AT2005" s="75">
        <v>-1</v>
      </c>
      <c r="AU2005" s="75">
        <v>-1</v>
      </c>
      <c r="AV2005" s="75">
        <v>-1</v>
      </c>
      <c r="AW2005" s="123">
        <v>1</v>
      </c>
      <c r="AX2005" s="516"/>
      <c r="AY2005" s="75">
        <v>0</v>
      </c>
      <c r="AZ2005" s="77" t="s">
        <v>5971</v>
      </c>
      <c r="BA2005" s="78" t="s">
        <v>5971</v>
      </c>
      <c r="BB2005" s="78" t="s">
        <v>5971</v>
      </c>
      <c r="BC2005" s="78" t="s">
        <v>5971</v>
      </c>
      <c r="BD2005" s="78" t="s">
        <v>5971</v>
      </c>
      <c r="BE2005" s="78" t="s">
        <v>5971</v>
      </c>
      <c r="BF2005" s="78" t="s">
        <v>5971</v>
      </c>
      <c r="BG2005" s="78" t="s">
        <v>5971</v>
      </c>
      <c r="BH2005" s="75" t="s">
        <v>5971</v>
      </c>
      <c r="BI2005" s="295" t="s">
        <v>2225</v>
      </c>
      <c r="BJ2005" s="546">
        <v>1</v>
      </c>
      <c r="BK2005" s="294" t="s">
        <v>16</v>
      </c>
      <c r="BL2005" s="157" t="s">
        <v>16</v>
      </c>
      <c r="BM2005" s="548" t="s">
        <v>2343</v>
      </c>
      <c r="BN2005" s="548" t="s">
        <v>4161</v>
      </c>
      <c r="BO2005" s="157" t="s">
        <v>4293</v>
      </c>
      <c r="BP2005" s="548" t="s">
        <v>2225</v>
      </c>
      <c r="BQ2005" s="157" t="s">
        <v>4292</v>
      </c>
      <c r="BR2005" s="157"/>
    </row>
    <row r="2006" spans="1:70" x14ac:dyDescent="0.25">
      <c r="A2006" s="19" t="s">
        <v>3686</v>
      </c>
      <c r="B2006" s="37" t="s">
        <v>790</v>
      </c>
      <c r="C2006" s="90">
        <v>44331.648923611108</v>
      </c>
      <c r="D2006" s="114">
        <v>44331.398923611108</v>
      </c>
      <c r="E2006" s="38">
        <v>44331</v>
      </c>
      <c r="F2006" s="91">
        <v>2021</v>
      </c>
      <c r="G2006" s="93">
        <v>5</v>
      </c>
      <c r="H2006" s="37" t="s">
        <v>621</v>
      </c>
      <c r="I2006" s="37" t="s">
        <v>16</v>
      </c>
      <c r="J2006" s="103">
        <v>-93.008782211777756</v>
      </c>
      <c r="K2006" s="40">
        <v>44.65733820110993</v>
      </c>
      <c r="L2006" s="74"/>
      <c r="M2006" s="272" t="s">
        <v>16</v>
      </c>
      <c r="N2006" s="74">
        <v>0</v>
      </c>
      <c r="O2006" s="94"/>
      <c r="P2006" s="118">
        <v>0</v>
      </c>
      <c r="Q2006" s="510"/>
      <c r="R2006" s="513"/>
      <c r="S2006" s="41"/>
      <c r="T2006" s="40"/>
      <c r="U2006" s="40"/>
      <c r="V2006" s="119">
        <v>0</v>
      </c>
      <c r="W2006" s="40"/>
      <c r="X2006" s="119">
        <v>0</v>
      </c>
      <c r="Y2006" s="40"/>
      <c r="Z2006" s="119">
        <v>1</v>
      </c>
      <c r="AA2006" s="368">
        <v>0</v>
      </c>
      <c r="AB2006" s="535">
        <v>5</v>
      </c>
      <c r="AC2006" s="39"/>
      <c r="AD2006" s="75" t="s">
        <v>16</v>
      </c>
      <c r="AE2006" s="95">
        <v>-1</v>
      </c>
      <c r="AF2006" s="75">
        <v>-1</v>
      </c>
      <c r="AG2006" s="75">
        <v>-1</v>
      </c>
      <c r="AH2006" s="75">
        <v>-1</v>
      </c>
      <c r="AI2006" s="75">
        <v>-1</v>
      </c>
      <c r="AJ2006" s="75">
        <v>-1</v>
      </c>
      <c r="AK2006" s="75">
        <v>-1</v>
      </c>
      <c r="AL2006" s="95">
        <v>-1</v>
      </c>
      <c r="AM2006" s="92">
        <v>1</v>
      </c>
      <c r="AN2006" s="79"/>
      <c r="AO2006" s="75">
        <v>0</v>
      </c>
      <c r="AP2006" s="75"/>
      <c r="AQ2006" s="122">
        <v>0</v>
      </c>
      <c r="AR2006" s="515" t="s">
        <v>16</v>
      </c>
      <c r="AS2006" s="95">
        <v>-1</v>
      </c>
      <c r="AT2006" s="75">
        <v>-1</v>
      </c>
      <c r="AU2006" s="75">
        <v>-1</v>
      </c>
      <c r="AV2006" s="75">
        <v>-1</v>
      </c>
      <c r="AW2006" s="123">
        <v>1</v>
      </c>
      <c r="AX2006" s="516"/>
      <c r="AY2006" s="75">
        <v>0</v>
      </c>
      <c r="AZ2006" s="77" t="s">
        <v>5971</v>
      </c>
      <c r="BA2006" s="78" t="s">
        <v>5971</v>
      </c>
      <c r="BB2006" s="78" t="s">
        <v>5971</v>
      </c>
      <c r="BC2006" s="78" t="s">
        <v>5971</v>
      </c>
      <c r="BD2006" s="78" t="s">
        <v>5971</v>
      </c>
      <c r="BE2006" s="78" t="s">
        <v>5971</v>
      </c>
      <c r="BF2006" s="78" t="s">
        <v>5971</v>
      </c>
      <c r="BG2006" s="78" t="s">
        <v>5971</v>
      </c>
      <c r="BH2006" s="75" t="s">
        <v>5971</v>
      </c>
      <c r="BI2006" s="295" t="s">
        <v>2225</v>
      </c>
      <c r="BJ2006" s="546">
        <v>1</v>
      </c>
      <c r="BK2006" s="294" t="s">
        <v>16</v>
      </c>
      <c r="BL2006" s="157" t="s">
        <v>16</v>
      </c>
      <c r="BM2006" s="548" t="s">
        <v>2343</v>
      </c>
      <c r="BN2006" s="548" t="s">
        <v>4161</v>
      </c>
      <c r="BO2006" s="157" t="s">
        <v>4293</v>
      </c>
      <c r="BP2006" s="548" t="s">
        <v>2225</v>
      </c>
      <c r="BQ2006" s="157" t="s">
        <v>4292</v>
      </c>
      <c r="BR2006" s="157"/>
    </row>
    <row r="2007" spans="1:70" x14ac:dyDescent="0.25">
      <c r="A2007" s="19" t="s">
        <v>3686</v>
      </c>
      <c r="B2007" s="37" t="s">
        <v>789</v>
      </c>
      <c r="C2007" s="90">
        <v>44331.647407407407</v>
      </c>
      <c r="D2007" s="114">
        <v>44331.397407407407</v>
      </c>
      <c r="E2007" s="38">
        <v>44331</v>
      </c>
      <c r="F2007" s="91">
        <v>2021</v>
      </c>
      <c r="G2007" s="93">
        <v>5</v>
      </c>
      <c r="H2007" s="37" t="s">
        <v>621</v>
      </c>
      <c r="I2007" s="37"/>
      <c r="J2007" s="103">
        <v>-93.008716749114001</v>
      </c>
      <c r="K2007" s="40">
        <v>44.657397251617773</v>
      </c>
      <c r="L2007" s="74"/>
      <c r="M2007" s="272" t="s">
        <v>16</v>
      </c>
      <c r="N2007" s="74">
        <v>0</v>
      </c>
      <c r="O2007" s="94"/>
      <c r="P2007" s="118">
        <v>1</v>
      </c>
      <c r="Q2007" s="510">
        <v>180</v>
      </c>
      <c r="R2007" s="513">
        <v>180</v>
      </c>
      <c r="S2007" s="41"/>
      <c r="T2007" s="40"/>
      <c r="U2007" s="40">
        <v>8</v>
      </c>
      <c r="V2007" s="119">
        <v>0</v>
      </c>
      <c r="W2007" s="40"/>
      <c r="X2007" s="119">
        <v>0</v>
      </c>
      <c r="Y2007" s="40"/>
      <c r="Z2007" s="119">
        <v>0</v>
      </c>
      <c r="AA2007" s="368" t="s">
        <v>16</v>
      </c>
      <c r="AB2007" s="535" t="s">
        <v>16</v>
      </c>
      <c r="AC2007" s="39" t="s">
        <v>160</v>
      </c>
      <c r="AD2007" s="75" t="s">
        <v>16</v>
      </c>
      <c r="AE2007" s="95">
        <v>-1</v>
      </c>
      <c r="AF2007" s="75">
        <v>-1</v>
      </c>
      <c r="AG2007" s="75">
        <v>-1</v>
      </c>
      <c r="AH2007" s="75">
        <v>-1</v>
      </c>
      <c r="AI2007" s="75">
        <v>-1</v>
      </c>
      <c r="AJ2007" s="75">
        <v>-1</v>
      </c>
      <c r="AK2007" s="75">
        <v>-1</v>
      </c>
      <c r="AL2007" s="95">
        <v>-1</v>
      </c>
      <c r="AM2007" s="92">
        <v>1</v>
      </c>
      <c r="AN2007" s="79"/>
      <c r="AO2007" s="75">
        <v>0</v>
      </c>
      <c r="AP2007" s="75"/>
      <c r="AQ2007" s="122">
        <v>0</v>
      </c>
      <c r="AR2007" s="515" t="s">
        <v>16</v>
      </c>
      <c r="AS2007" s="95">
        <v>-1</v>
      </c>
      <c r="AT2007" s="75">
        <v>-1</v>
      </c>
      <c r="AU2007" s="75">
        <v>-1</v>
      </c>
      <c r="AV2007" s="75">
        <v>-1</v>
      </c>
      <c r="AW2007" s="123">
        <v>1</v>
      </c>
      <c r="AX2007" s="516"/>
      <c r="AY2007" s="75">
        <v>0</v>
      </c>
      <c r="AZ2007" s="77" t="s">
        <v>5971</v>
      </c>
      <c r="BA2007" s="78" t="s">
        <v>5971</v>
      </c>
      <c r="BB2007" s="78" t="s">
        <v>5971</v>
      </c>
      <c r="BC2007" s="78" t="s">
        <v>5971</v>
      </c>
      <c r="BD2007" s="78" t="s">
        <v>5971</v>
      </c>
      <c r="BE2007" s="78" t="s">
        <v>5971</v>
      </c>
      <c r="BF2007" s="78" t="s">
        <v>5971</v>
      </c>
      <c r="BG2007" s="78" t="s">
        <v>5971</v>
      </c>
      <c r="BH2007" s="75" t="s">
        <v>5971</v>
      </c>
      <c r="BI2007" s="295" t="s">
        <v>2225</v>
      </c>
      <c r="BJ2007" s="546">
        <v>1</v>
      </c>
      <c r="BK2007" s="294" t="s">
        <v>16</v>
      </c>
      <c r="BL2007" s="157" t="s">
        <v>16</v>
      </c>
      <c r="BM2007" s="548" t="s">
        <v>2343</v>
      </c>
      <c r="BN2007" s="548" t="s">
        <v>4161</v>
      </c>
      <c r="BO2007" s="157" t="s">
        <v>4293</v>
      </c>
      <c r="BP2007" s="548" t="s">
        <v>2225</v>
      </c>
      <c r="BQ2007" s="157" t="s">
        <v>4292</v>
      </c>
      <c r="BR2007" s="157"/>
    </row>
    <row r="2008" spans="1:70" x14ac:dyDescent="0.25">
      <c r="A2008" s="19" t="s">
        <v>3686</v>
      </c>
      <c r="B2008" s="37" t="s">
        <v>788</v>
      </c>
      <c r="C2008" s="90">
        <v>44330.747847222221</v>
      </c>
      <c r="D2008" s="114">
        <v>44330.497847222221</v>
      </c>
      <c r="E2008" s="38">
        <v>44330</v>
      </c>
      <c r="F2008" s="91">
        <v>2021</v>
      </c>
      <c r="G2008" s="93">
        <v>5</v>
      </c>
      <c r="H2008" s="37" t="s">
        <v>205</v>
      </c>
      <c r="I2008" s="37" t="s">
        <v>368</v>
      </c>
      <c r="J2008" s="103">
        <v>-92.33151422763946</v>
      </c>
      <c r="K2008" s="40">
        <v>44.746186498543224</v>
      </c>
      <c r="L2008" s="74"/>
      <c r="M2008" s="272" t="s">
        <v>16</v>
      </c>
      <c r="N2008" s="74">
        <v>0</v>
      </c>
      <c r="O2008" s="94"/>
      <c r="P2008" s="118">
        <v>1</v>
      </c>
      <c r="Q2008" s="510">
        <v>180</v>
      </c>
      <c r="R2008" s="513">
        <v>120</v>
      </c>
      <c r="S2008" s="41"/>
      <c r="T2008" s="40"/>
      <c r="U2008" s="40">
        <v>7.5</v>
      </c>
      <c r="V2008" s="119">
        <v>1</v>
      </c>
      <c r="W2008" s="40">
        <v>0</v>
      </c>
      <c r="X2008" s="119">
        <v>1</v>
      </c>
      <c r="Y2008" s="40">
        <v>54</v>
      </c>
      <c r="Z2008" s="119">
        <v>1</v>
      </c>
      <c r="AA2008" s="368">
        <v>0</v>
      </c>
      <c r="AB2008" s="535">
        <v>2</v>
      </c>
      <c r="AC2008" s="39" t="s">
        <v>160</v>
      </c>
      <c r="AD2008" s="75" t="s">
        <v>10</v>
      </c>
      <c r="AE2008" s="95">
        <v>0</v>
      </c>
      <c r="AF2008" s="75">
        <v>0</v>
      </c>
      <c r="AG2008" s="75">
        <v>0</v>
      </c>
      <c r="AH2008" s="75">
        <v>0</v>
      </c>
      <c r="AI2008" s="75">
        <v>0</v>
      </c>
      <c r="AJ2008" s="75">
        <v>0</v>
      </c>
      <c r="AK2008" s="75">
        <v>0</v>
      </c>
      <c r="AL2008" s="95">
        <v>1</v>
      </c>
      <c r="AM2008" s="92">
        <v>0</v>
      </c>
      <c r="AN2008" s="79" t="s">
        <v>80</v>
      </c>
      <c r="AO2008" s="75">
        <v>1</v>
      </c>
      <c r="AP2008" s="75" t="s">
        <v>83</v>
      </c>
      <c r="AQ2008" s="122">
        <v>1</v>
      </c>
      <c r="AR2008" s="515" t="s">
        <v>10</v>
      </c>
      <c r="AS2008" s="95">
        <v>0</v>
      </c>
      <c r="AT2008" s="75">
        <v>0</v>
      </c>
      <c r="AU2008" s="75">
        <v>0</v>
      </c>
      <c r="AV2008" s="75">
        <v>0</v>
      </c>
      <c r="AW2008" s="123">
        <v>0</v>
      </c>
      <c r="AX2008" s="516"/>
      <c r="AY2008" s="75">
        <v>0</v>
      </c>
      <c r="AZ2008" s="77" t="s">
        <v>131</v>
      </c>
      <c r="BA2008" s="78" t="s">
        <v>131</v>
      </c>
      <c r="BB2008" s="78" t="s">
        <v>131</v>
      </c>
      <c r="BC2008" s="78" t="s">
        <v>131</v>
      </c>
      <c r="BD2008" s="78" t="s">
        <v>131</v>
      </c>
      <c r="BE2008" s="78" t="s">
        <v>131</v>
      </c>
      <c r="BF2008" s="78" t="s">
        <v>131</v>
      </c>
      <c r="BG2008" s="78" t="s">
        <v>132</v>
      </c>
      <c r="BH2008" s="75" t="s">
        <v>5970</v>
      </c>
      <c r="BI2008" s="295" t="s">
        <v>2231</v>
      </c>
      <c r="BJ2008" s="546">
        <v>1</v>
      </c>
      <c r="BK2008" s="294">
        <v>1</v>
      </c>
      <c r="BL2008" s="157">
        <v>1</v>
      </c>
      <c r="BM2008" s="548" t="s">
        <v>578</v>
      </c>
      <c r="BN2008" s="548" t="s">
        <v>578</v>
      </c>
      <c r="BO2008" s="157" t="s">
        <v>4213</v>
      </c>
      <c r="BP2008" s="548" t="s">
        <v>4216</v>
      </c>
      <c r="BQ2008" s="157" t="s">
        <v>4212</v>
      </c>
      <c r="BR2008" s="157"/>
    </row>
    <row r="2009" spans="1:70" x14ac:dyDescent="0.25">
      <c r="A2009" s="19" t="s">
        <v>3686</v>
      </c>
      <c r="B2009" s="37" t="s">
        <v>786</v>
      </c>
      <c r="C2009" s="90">
        <v>44330.738310185188</v>
      </c>
      <c r="D2009" s="114">
        <v>44330.488310185188</v>
      </c>
      <c r="E2009" s="38">
        <v>44330</v>
      </c>
      <c r="F2009" s="91">
        <v>2021</v>
      </c>
      <c r="G2009" s="93">
        <v>5</v>
      </c>
      <c r="H2009" s="37" t="s">
        <v>619</v>
      </c>
      <c r="I2009" s="37"/>
      <c r="J2009" s="103">
        <v>-92.225585899999999</v>
      </c>
      <c r="K2009" s="40">
        <v>43.887154099999997</v>
      </c>
      <c r="L2009" s="74"/>
      <c r="M2009" s="272" t="s">
        <v>787</v>
      </c>
      <c r="N2009" s="74">
        <v>1</v>
      </c>
      <c r="O2009" s="94"/>
      <c r="P2009" s="118">
        <v>1</v>
      </c>
      <c r="Q2009" s="510">
        <v>80</v>
      </c>
      <c r="R2009" s="513">
        <v>180</v>
      </c>
      <c r="S2009" s="41"/>
      <c r="T2009" s="40"/>
      <c r="U2009" s="40">
        <v>7.5</v>
      </c>
      <c r="V2009" s="119">
        <v>1</v>
      </c>
      <c r="W2009" s="40">
        <v>0</v>
      </c>
      <c r="X2009" s="119">
        <v>1</v>
      </c>
      <c r="Y2009" s="40">
        <v>51</v>
      </c>
      <c r="Z2009" s="119">
        <v>1</v>
      </c>
      <c r="AA2009" s="368">
        <v>0</v>
      </c>
      <c r="AB2009" s="535">
        <v>5</v>
      </c>
      <c r="AC2009" s="39" t="s">
        <v>160</v>
      </c>
      <c r="AD2009" s="75" t="s">
        <v>10</v>
      </c>
      <c r="AE2009" s="95">
        <v>0</v>
      </c>
      <c r="AF2009" s="75">
        <v>0</v>
      </c>
      <c r="AG2009" s="75">
        <v>0</v>
      </c>
      <c r="AH2009" s="75">
        <v>0</v>
      </c>
      <c r="AI2009" s="75">
        <v>0</v>
      </c>
      <c r="AJ2009" s="75">
        <v>0</v>
      </c>
      <c r="AK2009" s="75">
        <v>0</v>
      </c>
      <c r="AL2009" s="95">
        <v>1</v>
      </c>
      <c r="AM2009" s="92">
        <v>0</v>
      </c>
      <c r="AN2009" s="79" t="s">
        <v>80</v>
      </c>
      <c r="AO2009" s="75">
        <v>1</v>
      </c>
      <c r="AP2009" s="75" t="s">
        <v>83</v>
      </c>
      <c r="AQ2009" s="122">
        <v>1</v>
      </c>
      <c r="AR2009" s="515" t="s">
        <v>10</v>
      </c>
      <c r="AS2009" s="95">
        <v>0</v>
      </c>
      <c r="AT2009" s="75">
        <v>0</v>
      </c>
      <c r="AU2009" s="75">
        <v>0</v>
      </c>
      <c r="AV2009" s="75">
        <v>0</v>
      </c>
      <c r="AW2009" s="123">
        <v>0</v>
      </c>
      <c r="AX2009" s="516"/>
      <c r="AY2009" s="75">
        <v>0</v>
      </c>
      <c r="AZ2009" s="77" t="s">
        <v>131</v>
      </c>
      <c r="BA2009" s="78" t="s">
        <v>131</v>
      </c>
      <c r="BB2009" s="78" t="s">
        <v>131</v>
      </c>
      <c r="BC2009" s="78" t="s">
        <v>131</v>
      </c>
      <c r="BD2009" s="78" t="s">
        <v>131</v>
      </c>
      <c r="BE2009" s="78" t="s">
        <v>131</v>
      </c>
      <c r="BF2009" s="78" t="s">
        <v>131</v>
      </c>
      <c r="BG2009" s="78" t="s">
        <v>132</v>
      </c>
      <c r="BH2009" s="75" t="s">
        <v>5970</v>
      </c>
      <c r="BI2009" s="295" t="s">
        <v>2243</v>
      </c>
      <c r="BJ2009" s="546">
        <v>1</v>
      </c>
      <c r="BK2009" s="294" t="s">
        <v>16</v>
      </c>
      <c r="BL2009" s="157" t="s">
        <v>16</v>
      </c>
      <c r="BM2009" s="548" t="s">
        <v>1339</v>
      </c>
      <c r="BN2009" s="548" t="s">
        <v>1339</v>
      </c>
      <c r="BO2009" s="157" t="s">
        <v>4697</v>
      </c>
      <c r="BP2009" s="548" t="s">
        <v>2243</v>
      </c>
      <c r="BQ2009" s="157" t="s">
        <v>4673</v>
      </c>
      <c r="BR2009" s="157"/>
    </row>
    <row r="2010" spans="1:70" x14ac:dyDescent="0.25">
      <c r="A2010" s="19" t="s">
        <v>3686</v>
      </c>
      <c r="B2010" s="37" t="s">
        <v>784</v>
      </c>
      <c r="C2010" s="90">
        <v>44330.724618055552</v>
      </c>
      <c r="D2010" s="114">
        <v>44330.474618055552</v>
      </c>
      <c r="E2010" s="38">
        <v>44330</v>
      </c>
      <c r="F2010" s="91">
        <v>2021</v>
      </c>
      <c r="G2010" s="93">
        <v>5</v>
      </c>
      <c r="H2010" s="37" t="s">
        <v>619</v>
      </c>
      <c r="I2010" s="37"/>
      <c r="J2010" s="103">
        <v>-92.195562199999998</v>
      </c>
      <c r="K2010" s="40">
        <v>43.847725599999997</v>
      </c>
      <c r="L2010" s="74"/>
      <c r="M2010" s="272" t="s">
        <v>785</v>
      </c>
      <c r="N2010" s="74">
        <v>1</v>
      </c>
      <c r="O2010" s="94"/>
      <c r="P2010" s="118">
        <v>1</v>
      </c>
      <c r="Q2010" s="510">
        <v>120</v>
      </c>
      <c r="R2010" s="513">
        <v>120</v>
      </c>
      <c r="S2010" s="41"/>
      <c r="T2010" s="40"/>
      <c r="U2010" s="40">
        <v>7.5</v>
      </c>
      <c r="V2010" s="119">
        <v>1</v>
      </c>
      <c r="W2010" s="40">
        <v>0</v>
      </c>
      <c r="X2010" s="119">
        <v>1</v>
      </c>
      <c r="Y2010" s="40">
        <v>54</v>
      </c>
      <c r="Z2010" s="119">
        <v>1</v>
      </c>
      <c r="AA2010" s="368">
        <v>0</v>
      </c>
      <c r="AB2010" s="535">
        <v>5</v>
      </c>
      <c r="AC2010" s="39" t="s">
        <v>160</v>
      </c>
      <c r="AD2010" s="75" t="s">
        <v>10</v>
      </c>
      <c r="AE2010" s="95">
        <v>0</v>
      </c>
      <c r="AF2010" s="75">
        <v>0</v>
      </c>
      <c r="AG2010" s="75">
        <v>0</v>
      </c>
      <c r="AH2010" s="75">
        <v>0</v>
      </c>
      <c r="AI2010" s="75">
        <v>0</v>
      </c>
      <c r="AJ2010" s="75">
        <v>0</v>
      </c>
      <c r="AK2010" s="75">
        <v>0</v>
      </c>
      <c r="AL2010" s="95">
        <v>1</v>
      </c>
      <c r="AM2010" s="92">
        <v>0</v>
      </c>
      <c r="AN2010" s="79" t="s">
        <v>80</v>
      </c>
      <c r="AO2010" s="75">
        <v>1</v>
      </c>
      <c r="AP2010" s="75" t="s">
        <v>83</v>
      </c>
      <c r="AQ2010" s="122">
        <v>1</v>
      </c>
      <c r="AR2010" s="515" t="s">
        <v>10</v>
      </c>
      <c r="AS2010" s="95">
        <v>0</v>
      </c>
      <c r="AT2010" s="75">
        <v>0</v>
      </c>
      <c r="AU2010" s="75">
        <v>0</v>
      </c>
      <c r="AV2010" s="75">
        <v>0</v>
      </c>
      <c r="AW2010" s="123">
        <v>0</v>
      </c>
      <c r="AX2010" s="516"/>
      <c r="AY2010" s="75">
        <v>0</v>
      </c>
      <c r="AZ2010" s="77" t="s">
        <v>131</v>
      </c>
      <c r="BA2010" s="78" t="s">
        <v>131</v>
      </c>
      <c r="BB2010" s="78" t="s">
        <v>131</v>
      </c>
      <c r="BC2010" s="78" t="s">
        <v>131</v>
      </c>
      <c r="BD2010" s="78" t="s">
        <v>131</v>
      </c>
      <c r="BE2010" s="78" t="s">
        <v>131</v>
      </c>
      <c r="BF2010" s="78" t="s">
        <v>131</v>
      </c>
      <c r="BG2010" s="78" t="s">
        <v>132</v>
      </c>
      <c r="BH2010" s="75" t="s">
        <v>5970</v>
      </c>
      <c r="BI2010" s="295" t="s">
        <v>2243</v>
      </c>
      <c r="BJ2010" s="546">
        <v>1</v>
      </c>
      <c r="BK2010" s="294" t="s">
        <v>16</v>
      </c>
      <c r="BL2010" s="157" t="s">
        <v>16</v>
      </c>
      <c r="BM2010" s="548" t="s">
        <v>1339</v>
      </c>
      <c r="BN2010" s="548" t="s">
        <v>1339</v>
      </c>
      <c r="BO2010" s="157" t="s">
        <v>4697</v>
      </c>
      <c r="BP2010" s="548" t="s">
        <v>2243</v>
      </c>
      <c r="BQ2010" s="157" t="s">
        <v>4673</v>
      </c>
      <c r="BR2010" s="157"/>
    </row>
    <row r="2011" spans="1:70" x14ac:dyDescent="0.25">
      <c r="A2011" s="19" t="s">
        <v>3686</v>
      </c>
      <c r="B2011" s="37" t="s">
        <v>783</v>
      </c>
      <c r="C2011" s="90">
        <v>44330.713159722225</v>
      </c>
      <c r="D2011" s="114">
        <v>44330.463159722225</v>
      </c>
      <c r="E2011" s="38">
        <v>44330</v>
      </c>
      <c r="F2011" s="91">
        <v>2021</v>
      </c>
      <c r="G2011" s="93">
        <v>5</v>
      </c>
      <c r="H2011" s="37" t="s">
        <v>617</v>
      </c>
      <c r="I2011" s="37" t="s">
        <v>2362</v>
      </c>
      <c r="J2011" s="103">
        <v>-92.284117160102056</v>
      </c>
      <c r="K2011" s="40">
        <v>44.542215022181914</v>
      </c>
      <c r="L2011" s="74"/>
      <c r="M2011" s="272" t="s">
        <v>16</v>
      </c>
      <c r="N2011" s="74">
        <v>0</v>
      </c>
      <c r="O2011" s="94"/>
      <c r="P2011" s="118">
        <v>1</v>
      </c>
      <c r="Q2011" s="510">
        <v>180</v>
      </c>
      <c r="R2011" s="513">
        <v>180</v>
      </c>
      <c r="S2011" s="41"/>
      <c r="T2011" s="40"/>
      <c r="U2011" s="40">
        <v>7.5</v>
      </c>
      <c r="V2011" s="119">
        <v>1</v>
      </c>
      <c r="W2011" s="40">
        <v>0</v>
      </c>
      <c r="X2011" s="119">
        <v>1</v>
      </c>
      <c r="Y2011" s="40">
        <v>57</v>
      </c>
      <c r="Z2011" s="119">
        <v>1</v>
      </c>
      <c r="AA2011" s="368">
        <v>0</v>
      </c>
      <c r="AB2011" s="535">
        <v>2</v>
      </c>
      <c r="AC2011" s="39" t="s">
        <v>160</v>
      </c>
      <c r="AD2011" s="75" t="s">
        <v>16</v>
      </c>
      <c r="AE2011" s="95">
        <v>-1</v>
      </c>
      <c r="AF2011" s="75">
        <v>-1</v>
      </c>
      <c r="AG2011" s="75">
        <v>-1</v>
      </c>
      <c r="AH2011" s="75">
        <v>-1</v>
      </c>
      <c r="AI2011" s="75">
        <v>-1</v>
      </c>
      <c r="AJ2011" s="75">
        <v>-1</v>
      </c>
      <c r="AK2011" s="75">
        <v>-1</v>
      </c>
      <c r="AL2011" s="95">
        <v>-1</v>
      </c>
      <c r="AM2011" s="92">
        <v>1</v>
      </c>
      <c r="AN2011" s="79" t="s">
        <v>80</v>
      </c>
      <c r="AO2011" s="75">
        <v>1</v>
      </c>
      <c r="AP2011" s="75" t="s">
        <v>83</v>
      </c>
      <c r="AQ2011" s="122">
        <v>1</v>
      </c>
      <c r="AR2011" s="515" t="s">
        <v>10</v>
      </c>
      <c r="AS2011" s="95">
        <v>0</v>
      </c>
      <c r="AT2011" s="75">
        <v>0</v>
      </c>
      <c r="AU2011" s="75">
        <v>0</v>
      </c>
      <c r="AV2011" s="75">
        <v>0</v>
      </c>
      <c r="AW2011" s="123">
        <v>0</v>
      </c>
      <c r="AX2011" s="516"/>
      <c r="AY2011" s="75">
        <v>0</v>
      </c>
      <c r="AZ2011" s="77" t="s">
        <v>5971</v>
      </c>
      <c r="BA2011" s="78" t="s">
        <v>5971</v>
      </c>
      <c r="BB2011" s="78" t="s">
        <v>5971</v>
      </c>
      <c r="BC2011" s="78" t="s">
        <v>5971</v>
      </c>
      <c r="BD2011" s="78" t="s">
        <v>5971</v>
      </c>
      <c r="BE2011" s="78" t="s">
        <v>5971</v>
      </c>
      <c r="BF2011" s="78" t="s">
        <v>5971</v>
      </c>
      <c r="BG2011" s="78" t="s">
        <v>5971</v>
      </c>
      <c r="BH2011" s="75" t="s">
        <v>5971</v>
      </c>
      <c r="BI2011" s="295" t="s">
        <v>2261</v>
      </c>
      <c r="BJ2011" s="546">
        <v>1</v>
      </c>
      <c r="BK2011" s="294">
        <v>1</v>
      </c>
      <c r="BL2011" s="157">
        <v>1</v>
      </c>
      <c r="BM2011" s="548" t="s">
        <v>1340</v>
      </c>
      <c r="BN2011" s="548" t="s">
        <v>578</v>
      </c>
      <c r="BO2011" s="157" t="s">
        <v>4268</v>
      </c>
      <c r="BP2011" s="548" t="s">
        <v>2261</v>
      </c>
      <c r="BQ2011" s="157" t="s">
        <v>4214</v>
      </c>
      <c r="BR2011" s="157"/>
    </row>
    <row r="2012" spans="1:70" x14ac:dyDescent="0.25">
      <c r="A2012" s="19" t="s">
        <v>3686</v>
      </c>
      <c r="B2012" s="37" t="s">
        <v>781</v>
      </c>
      <c r="C2012" s="90">
        <v>44330.695763888885</v>
      </c>
      <c r="D2012" s="114">
        <v>44330.445763888885</v>
      </c>
      <c r="E2012" s="38">
        <v>44330</v>
      </c>
      <c r="F2012" s="91">
        <v>2021</v>
      </c>
      <c r="G2012" s="93">
        <v>5</v>
      </c>
      <c r="H2012" s="37" t="s">
        <v>615</v>
      </c>
      <c r="I2012" s="37" t="s">
        <v>16</v>
      </c>
      <c r="J2012" s="103">
        <v>-92.844157499999994</v>
      </c>
      <c r="K2012" s="40">
        <v>45.070594499999999</v>
      </c>
      <c r="L2012" s="74"/>
      <c r="M2012" s="272" t="s">
        <v>16</v>
      </c>
      <c r="N2012" s="74">
        <v>0</v>
      </c>
      <c r="O2012" s="94"/>
      <c r="P2012" s="118">
        <v>1</v>
      </c>
      <c r="Q2012" s="510">
        <v>80</v>
      </c>
      <c r="R2012" s="513">
        <v>180</v>
      </c>
      <c r="S2012" s="41"/>
      <c r="T2012" s="40"/>
      <c r="U2012" s="40">
        <v>7.5</v>
      </c>
      <c r="V2012" s="119">
        <v>1</v>
      </c>
      <c r="W2012" s="40">
        <v>0</v>
      </c>
      <c r="X2012" s="119">
        <v>1</v>
      </c>
      <c r="Y2012" s="40">
        <v>51</v>
      </c>
      <c r="Z2012" s="119">
        <v>1</v>
      </c>
      <c r="AA2012" s="368">
        <v>0</v>
      </c>
      <c r="AB2012" s="535">
        <v>0</v>
      </c>
      <c r="AC2012" s="39" t="s">
        <v>160</v>
      </c>
      <c r="AD2012" s="75" t="s">
        <v>10</v>
      </c>
      <c r="AE2012" s="95">
        <v>0</v>
      </c>
      <c r="AF2012" s="75">
        <v>0</v>
      </c>
      <c r="AG2012" s="75">
        <v>0</v>
      </c>
      <c r="AH2012" s="75">
        <v>0</v>
      </c>
      <c r="AI2012" s="75">
        <v>0</v>
      </c>
      <c r="AJ2012" s="75">
        <v>0</v>
      </c>
      <c r="AK2012" s="75">
        <v>0</v>
      </c>
      <c r="AL2012" s="95">
        <v>1</v>
      </c>
      <c r="AM2012" s="92">
        <v>0</v>
      </c>
      <c r="AN2012" s="79" t="s">
        <v>80</v>
      </c>
      <c r="AO2012" s="75">
        <v>1</v>
      </c>
      <c r="AP2012" s="75" t="s">
        <v>83</v>
      </c>
      <c r="AQ2012" s="122">
        <v>1</v>
      </c>
      <c r="AR2012" s="515" t="s">
        <v>10</v>
      </c>
      <c r="AS2012" s="95">
        <v>0</v>
      </c>
      <c r="AT2012" s="75">
        <v>0</v>
      </c>
      <c r="AU2012" s="75">
        <v>0</v>
      </c>
      <c r="AV2012" s="75">
        <v>0</v>
      </c>
      <c r="AW2012" s="123">
        <v>0</v>
      </c>
      <c r="AX2012" s="516" t="s">
        <v>782</v>
      </c>
      <c r="AY2012" s="75">
        <v>1</v>
      </c>
      <c r="AZ2012" s="77" t="s">
        <v>131</v>
      </c>
      <c r="BA2012" s="78" t="s">
        <v>131</v>
      </c>
      <c r="BB2012" s="78" t="s">
        <v>131</v>
      </c>
      <c r="BC2012" s="78" t="s">
        <v>131</v>
      </c>
      <c r="BD2012" s="78" t="s">
        <v>131</v>
      </c>
      <c r="BE2012" s="78" t="s">
        <v>131</v>
      </c>
      <c r="BF2012" s="78" t="s">
        <v>131</v>
      </c>
      <c r="BG2012" s="78" t="s">
        <v>132</v>
      </c>
      <c r="BH2012" s="75" t="s">
        <v>5970</v>
      </c>
      <c r="BI2012" s="295" t="s">
        <v>2273</v>
      </c>
      <c r="BJ2012" s="546">
        <v>1</v>
      </c>
      <c r="BK2012" s="294" t="s">
        <v>16</v>
      </c>
      <c r="BL2012" s="157" t="s">
        <v>16</v>
      </c>
      <c r="BM2012" s="548" t="s">
        <v>2343</v>
      </c>
      <c r="BN2012" s="548" t="s">
        <v>4161</v>
      </c>
      <c r="BO2012" s="157" t="s">
        <v>4286</v>
      </c>
      <c r="BP2012" s="548" t="s">
        <v>2273</v>
      </c>
      <c r="BQ2012" s="157" t="s">
        <v>4285</v>
      </c>
      <c r="BR2012" s="157"/>
    </row>
    <row r="2013" spans="1:70" x14ac:dyDescent="0.25">
      <c r="A2013" s="19" t="s">
        <v>3686</v>
      </c>
      <c r="B2013" s="37" t="s">
        <v>779</v>
      </c>
      <c r="C2013" s="90">
        <v>44330.654652777775</v>
      </c>
      <c r="D2013" s="114">
        <v>44330.404652777775</v>
      </c>
      <c r="E2013" s="38">
        <v>44330</v>
      </c>
      <c r="F2013" s="91">
        <v>2021</v>
      </c>
      <c r="G2013" s="93">
        <v>5</v>
      </c>
      <c r="H2013" s="37" t="s">
        <v>475</v>
      </c>
      <c r="I2013" s="37"/>
      <c r="J2013" s="103">
        <v>-92.224661121230781</v>
      </c>
      <c r="K2013" s="40">
        <v>43.621424278284998</v>
      </c>
      <c r="L2013" s="74"/>
      <c r="M2013" s="272" t="s">
        <v>16</v>
      </c>
      <c r="N2013" s="74">
        <v>0</v>
      </c>
      <c r="O2013" s="94"/>
      <c r="P2013" s="118">
        <v>1</v>
      </c>
      <c r="Q2013" s="510">
        <v>180</v>
      </c>
      <c r="R2013" s="513">
        <v>180</v>
      </c>
      <c r="S2013" s="41"/>
      <c r="T2013" s="40"/>
      <c r="U2013" s="40">
        <v>8</v>
      </c>
      <c r="V2013" s="119">
        <v>1</v>
      </c>
      <c r="W2013" s="40">
        <v>0</v>
      </c>
      <c r="X2013" s="119">
        <v>1</v>
      </c>
      <c r="Y2013" s="40">
        <v>0</v>
      </c>
      <c r="Z2013" s="119">
        <v>1</v>
      </c>
      <c r="AA2013" s="368">
        <v>0</v>
      </c>
      <c r="AB2013" s="535">
        <v>5</v>
      </c>
      <c r="AC2013" s="39" t="s">
        <v>160</v>
      </c>
      <c r="AD2013" s="75" t="s">
        <v>10</v>
      </c>
      <c r="AE2013" s="95">
        <v>0</v>
      </c>
      <c r="AF2013" s="75">
        <v>0</v>
      </c>
      <c r="AG2013" s="75">
        <v>0</v>
      </c>
      <c r="AH2013" s="75">
        <v>0</v>
      </c>
      <c r="AI2013" s="75">
        <v>0</v>
      </c>
      <c r="AJ2013" s="75">
        <v>0</v>
      </c>
      <c r="AK2013" s="75">
        <v>0</v>
      </c>
      <c r="AL2013" s="95">
        <v>1</v>
      </c>
      <c r="AM2013" s="92">
        <v>0</v>
      </c>
      <c r="AN2013" s="79" t="s">
        <v>80</v>
      </c>
      <c r="AO2013" s="75">
        <v>1</v>
      </c>
      <c r="AP2013" s="75" t="s">
        <v>83</v>
      </c>
      <c r="AQ2013" s="122">
        <v>1</v>
      </c>
      <c r="AR2013" s="515" t="s">
        <v>10</v>
      </c>
      <c r="AS2013" s="95">
        <v>0</v>
      </c>
      <c r="AT2013" s="75">
        <v>0</v>
      </c>
      <c r="AU2013" s="75">
        <v>0</v>
      </c>
      <c r="AV2013" s="75">
        <v>0</v>
      </c>
      <c r="AW2013" s="123">
        <v>0</v>
      </c>
      <c r="AX2013" s="516" t="s">
        <v>780</v>
      </c>
      <c r="AY2013" s="75">
        <v>1</v>
      </c>
      <c r="AZ2013" s="77" t="s">
        <v>131</v>
      </c>
      <c r="BA2013" s="78" t="s">
        <v>131</v>
      </c>
      <c r="BB2013" s="78" t="s">
        <v>131</v>
      </c>
      <c r="BC2013" s="78" t="s">
        <v>131</v>
      </c>
      <c r="BD2013" s="78" t="s">
        <v>131</v>
      </c>
      <c r="BE2013" s="78" t="s">
        <v>131</v>
      </c>
      <c r="BF2013" s="78" t="s">
        <v>131</v>
      </c>
      <c r="BG2013" s="78" t="s">
        <v>132</v>
      </c>
      <c r="BH2013" s="75" t="s">
        <v>5970</v>
      </c>
      <c r="BI2013" s="295" t="s">
        <v>16</v>
      </c>
      <c r="BJ2013" s="546">
        <v>1</v>
      </c>
      <c r="BK2013" s="294" t="s">
        <v>16</v>
      </c>
      <c r="BL2013" s="157" t="s">
        <v>16</v>
      </c>
      <c r="BM2013" s="548" t="s">
        <v>1339</v>
      </c>
      <c r="BN2013" s="548" t="s">
        <v>1339</v>
      </c>
      <c r="BO2013" s="157" t="s">
        <v>4719</v>
      </c>
      <c r="BP2013" s="548" t="s">
        <v>2232</v>
      </c>
      <c r="BQ2013" s="157" t="s">
        <v>4229</v>
      </c>
      <c r="BR2013" s="157"/>
    </row>
    <row r="2014" spans="1:70" x14ac:dyDescent="0.25">
      <c r="A2014" s="19" t="s">
        <v>3686</v>
      </c>
      <c r="B2014" s="37" t="s">
        <v>778</v>
      </c>
      <c r="C2014" s="90">
        <v>44329.777905092589</v>
      </c>
      <c r="D2014" s="114">
        <v>44329.527905092589</v>
      </c>
      <c r="E2014" s="38">
        <v>44329</v>
      </c>
      <c r="F2014" s="91">
        <v>2021</v>
      </c>
      <c r="G2014" s="93">
        <v>5</v>
      </c>
      <c r="H2014" s="37" t="s">
        <v>599</v>
      </c>
      <c r="I2014" s="37" t="s">
        <v>2361</v>
      </c>
      <c r="J2014" s="103">
        <v>-92.443001149308344</v>
      </c>
      <c r="K2014" s="40">
        <v>44.621384907555409</v>
      </c>
      <c r="L2014" s="74"/>
      <c r="M2014" s="272" t="s">
        <v>16</v>
      </c>
      <c r="N2014" s="74">
        <v>0</v>
      </c>
      <c r="O2014" s="94"/>
      <c r="P2014" s="118">
        <v>1</v>
      </c>
      <c r="Q2014" s="510">
        <v>180</v>
      </c>
      <c r="R2014" s="513">
        <v>120</v>
      </c>
      <c r="S2014" s="41"/>
      <c r="T2014" s="40"/>
      <c r="U2014" s="40">
        <v>8</v>
      </c>
      <c r="V2014" s="119">
        <v>1</v>
      </c>
      <c r="W2014" s="40">
        <v>2500</v>
      </c>
      <c r="X2014" s="119">
        <v>1</v>
      </c>
      <c r="Y2014" s="40">
        <v>0</v>
      </c>
      <c r="Z2014" s="119">
        <v>1</v>
      </c>
      <c r="AA2014" s="368">
        <v>0</v>
      </c>
      <c r="AB2014" s="535">
        <v>2</v>
      </c>
      <c r="AC2014" s="39" t="s">
        <v>160</v>
      </c>
      <c r="AD2014" s="75" t="s">
        <v>10</v>
      </c>
      <c r="AE2014" s="95">
        <v>0</v>
      </c>
      <c r="AF2014" s="75">
        <v>0</v>
      </c>
      <c r="AG2014" s="75">
        <v>0</v>
      </c>
      <c r="AH2014" s="75">
        <v>0</v>
      </c>
      <c r="AI2014" s="75">
        <v>0</v>
      </c>
      <c r="AJ2014" s="75">
        <v>0</v>
      </c>
      <c r="AK2014" s="75">
        <v>0</v>
      </c>
      <c r="AL2014" s="95">
        <v>1</v>
      </c>
      <c r="AM2014" s="92">
        <v>0</v>
      </c>
      <c r="AN2014" s="79" t="s">
        <v>81</v>
      </c>
      <c r="AO2014" s="75">
        <v>1</v>
      </c>
      <c r="AP2014" s="75" t="s">
        <v>83</v>
      </c>
      <c r="AQ2014" s="122">
        <v>1</v>
      </c>
      <c r="AR2014" s="515" t="s">
        <v>10</v>
      </c>
      <c r="AS2014" s="95">
        <v>0</v>
      </c>
      <c r="AT2014" s="75">
        <v>0</v>
      </c>
      <c r="AU2014" s="75">
        <v>0</v>
      </c>
      <c r="AV2014" s="75">
        <v>0</v>
      </c>
      <c r="AW2014" s="123">
        <v>0</v>
      </c>
      <c r="AX2014" s="516"/>
      <c r="AY2014" s="75">
        <v>0</v>
      </c>
      <c r="AZ2014" s="77" t="s">
        <v>131</v>
      </c>
      <c r="BA2014" s="78" t="s">
        <v>131</v>
      </c>
      <c r="BB2014" s="78" t="s">
        <v>131</v>
      </c>
      <c r="BC2014" s="78" t="s">
        <v>131</v>
      </c>
      <c r="BD2014" s="78" t="s">
        <v>131</v>
      </c>
      <c r="BE2014" s="78" t="s">
        <v>131</v>
      </c>
      <c r="BF2014" s="78" t="s">
        <v>131</v>
      </c>
      <c r="BG2014" s="78" t="s">
        <v>132</v>
      </c>
      <c r="BH2014" s="75" t="s">
        <v>5970</v>
      </c>
      <c r="BI2014" s="295" t="s">
        <v>2289</v>
      </c>
      <c r="BJ2014" s="546">
        <v>1</v>
      </c>
      <c r="BK2014" s="294" t="s">
        <v>16</v>
      </c>
      <c r="BL2014" s="157" t="s">
        <v>16</v>
      </c>
      <c r="BM2014" s="548" t="s">
        <v>578</v>
      </c>
      <c r="BN2014" s="548" t="s">
        <v>544</v>
      </c>
      <c r="BO2014" s="157" t="s">
        <v>4283</v>
      </c>
      <c r="BP2014" s="548" t="s">
        <v>2289</v>
      </c>
      <c r="BQ2014" s="157" t="s">
        <v>4214</v>
      </c>
      <c r="BR2014" s="157"/>
    </row>
    <row r="2015" spans="1:70" x14ac:dyDescent="0.25">
      <c r="A2015" s="19" t="s">
        <v>3686</v>
      </c>
      <c r="B2015" s="37" t="s">
        <v>777</v>
      </c>
      <c r="C2015" s="90">
        <v>44328.862083333333</v>
      </c>
      <c r="D2015" s="114">
        <v>44328.612083333333</v>
      </c>
      <c r="E2015" s="38">
        <v>44328</v>
      </c>
      <c r="F2015" s="91">
        <v>2021</v>
      </c>
      <c r="G2015" s="93">
        <v>5</v>
      </c>
      <c r="H2015" s="37" t="s">
        <v>622</v>
      </c>
      <c r="I2015" s="37"/>
      <c r="J2015" s="103">
        <v>-92.276551891204221</v>
      </c>
      <c r="K2015" s="40">
        <v>44.431232968386659</v>
      </c>
      <c r="L2015" s="74"/>
      <c r="M2015" s="272" t="s">
        <v>16</v>
      </c>
      <c r="N2015" s="74">
        <v>0</v>
      </c>
      <c r="O2015" s="94"/>
      <c r="P2015" s="118">
        <v>0</v>
      </c>
      <c r="Q2015" s="510"/>
      <c r="R2015" s="513"/>
      <c r="S2015" s="41"/>
      <c r="T2015" s="40"/>
      <c r="U2015" s="40"/>
      <c r="V2015" s="119">
        <v>1</v>
      </c>
      <c r="W2015" s="40">
        <v>200</v>
      </c>
      <c r="X2015" s="119">
        <v>0</v>
      </c>
      <c r="Y2015" s="40"/>
      <c r="Z2015" s="119">
        <v>1</v>
      </c>
      <c r="AA2015" s="368">
        <v>0</v>
      </c>
      <c r="AB2015" s="535">
        <v>0</v>
      </c>
      <c r="AC2015" s="39" t="s">
        <v>160</v>
      </c>
      <c r="AD2015" s="75" t="s">
        <v>16</v>
      </c>
      <c r="AE2015" s="95">
        <v>-1</v>
      </c>
      <c r="AF2015" s="75">
        <v>-1</v>
      </c>
      <c r="AG2015" s="75">
        <v>-1</v>
      </c>
      <c r="AH2015" s="75">
        <v>-1</v>
      </c>
      <c r="AI2015" s="75">
        <v>-1</v>
      </c>
      <c r="AJ2015" s="75">
        <v>-1</v>
      </c>
      <c r="AK2015" s="75">
        <v>-1</v>
      </c>
      <c r="AL2015" s="95">
        <v>-1</v>
      </c>
      <c r="AM2015" s="92">
        <v>1</v>
      </c>
      <c r="AN2015" s="79"/>
      <c r="AO2015" s="75">
        <v>0</v>
      </c>
      <c r="AP2015" s="75"/>
      <c r="AQ2015" s="122">
        <v>0</v>
      </c>
      <c r="AR2015" s="515" t="s">
        <v>16</v>
      </c>
      <c r="AS2015" s="95">
        <v>-1</v>
      </c>
      <c r="AT2015" s="75">
        <v>-1</v>
      </c>
      <c r="AU2015" s="75">
        <v>-1</v>
      </c>
      <c r="AV2015" s="75">
        <v>-1</v>
      </c>
      <c r="AW2015" s="123">
        <v>1</v>
      </c>
      <c r="AX2015" s="516"/>
      <c r="AY2015" s="75">
        <v>0</v>
      </c>
      <c r="AZ2015" s="77" t="s">
        <v>5971</v>
      </c>
      <c r="BA2015" s="78" t="s">
        <v>5971</v>
      </c>
      <c r="BB2015" s="78" t="s">
        <v>5971</v>
      </c>
      <c r="BC2015" s="78" t="s">
        <v>5971</v>
      </c>
      <c r="BD2015" s="78" t="s">
        <v>5971</v>
      </c>
      <c r="BE2015" s="78" t="s">
        <v>5971</v>
      </c>
      <c r="BF2015" s="78" t="s">
        <v>5971</v>
      </c>
      <c r="BG2015" s="78" t="s">
        <v>5971</v>
      </c>
      <c r="BH2015" s="75" t="s">
        <v>5971</v>
      </c>
      <c r="BI2015" s="295" t="s">
        <v>2228</v>
      </c>
      <c r="BJ2015" s="546">
        <v>1</v>
      </c>
      <c r="BK2015" s="294" t="s">
        <v>16</v>
      </c>
      <c r="BL2015" s="157" t="s">
        <v>16</v>
      </c>
      <c r="BM2015" s="548" t="s">
        <v>1339</v>
      </c>
      <c r="BN2015" s="548" t="s">
        <v>1339</v>
      </c>
      <c r="BO2015" s="157" t="s">
        <v>4614</v>
      </c>
      <c r="BP2015" s="548" t="s">
        <v>2228</v>
      </c>
      <c r="BQ2015" s="157" t="s">
        <v>4214</v>
      </c>
      <c r="BR2015" s="157"/>
    </row>
    <row r="2016" spans="1:70" x14ac:dyDescent="0.25">
      <c r="A2016" s="19" t="s">
        <v>3686</v>
      </c>
      <c r="B2016" s="37" t="s">
        <v>776</v>
      </c>
      <c r="C2016" s="90">
        <v>44328.852696759262</v>
      </c>
      <c r="D2016" s="114">
        <v>44328.602696759262</v>
      </c>
      <c r="E2016" s="38">
        <v>44328</v>
      </c>
      <c r="F2016" s="91">
        <v>2021</v>
      </c>
      <c r="G2016" s="93">
        <v>5</v>
      </c>
      <c r="H2016" s="37" t="s">
        <v>622</v>
      </c>
      <c r="I2016" s="37"/>
      <c r="J2016" s="103">
        <v>-92.276539485987513</v>
      </c>
      <c r="K2016" s="40">
        <v>44.431189927313874</v>
      </c>
      <c r="L2016" s="74"/>
      <c r="M2016" s="272" t="s">
        <v>16</v>
      </c>
      <c r="N2016" s="74">
        <v>0</v>
      </c>
      <c r="O2016" s="94"/>
      <c r="P2016" s="118">
        <v>1</v>
      </c>
      <c r="Q2016" s="510">
        <v>180</v>
      </c>
      <c r="R2016" s="513">
        <v>120</v>
      </c>
      <c r="S2016" s="41"/>
      <c r="T2016" s="40"/>
      <c r="U2016" s="40">
        <v>8</v>
      </c>
      <c r="V2016" s="119">
        <v>0</v>
      </c>
      <c r="W2016" s="40"/>
      <c r="X2016" s="119">
        <v>0</v>
      </c>
      <c r="Y2016" s="40"/>
      <c r="Z2016" s="119">
        <v>0</v>
      </c>
      <c r="AA2016" s="368" t="s">
        <v>16</v>
      </c>
      <c r="AB2016" s="535" t="s">
        <v>16</v>
      </c>
      <c r="AC2016" s="39" t="s">
        <v>160</v>
      </c>
      <c r="AD2016" s="75" t="s">
        <v>16</v>
      </c>
      <c r="AE2016" s="95">
        <v>-1</v>
      </c>
      <c r="AF2016" s="75">
        <v>-1</v>
      </c>
      <c r="AG2016" s="75">
        <v>-1</v>
      </c>
      <c r="AH2016" s="75">
        <v>-1</v>
      </c>
      <c r="AI2016" s="75">
        <v>-1</v>
      </c>
      <c r="AJ2016" s="75">
        <v>-1</v>
      </c>
      <c r="AK2016" s="75">
        <v>-1</v>
      </c>
      <c r="AL2016" s="95">
        <v>-1</v>
      </c>
      <c r="AM2016" s="92">
        <v>1</v>
      </c>
      <c r="AN2016" s="79"/>
      <c r="AO2016" s="75">
        <v>0</v>
      </c>
      <c r="AP2016" s="75"/>
      <c r="AQ2016" s="122">
        <v>0</v>
      </c>
      <c r="AR2016" s="515" t="s">
        <v>16</v>
      </c>
      <c r="AS2016" s="95">
        <v>-1</v>
      </c>
      <c r="AT2016" s="75">
        <v>-1</v>
      </c>
      <c r="AU2016" s="75">
        <v>-1</v>
      </c>
      <c r="AV2016" s="75">
        <v>-1</v>
      </c>
      <c r="AW2016" s="123">
        <v>1</v>
      </c>
      <c r="AX2016" s="516"/>
      <c r="AY2016" s="75">
        <v>0</v>
      </c>
      <c r="AZ2016" s="77" t="s">
        <v>5971</v>
      </c>
      <c r="BA2016" s="78" t="s">
        <v>5971</v>
      </c>
      <c r="BB2016" s="78" t="s">
        <v>5971</v>
      </c>
      <c r="BC2016" s="78" t="s">
        <v>5971</v>
      </c>
      <c r="BD2016" s="78" t="s">
        <v>5971</v>
      </c>
      <c r="BE2016" s="78" t="s">
        <v>5971</v>
      </c>
      <c r="BF2016" s="78" t="s">
        <v>5971</v>
      </c>
      <c r="BG2016" s="78" t="s">
        <v>5971</v>
      </c>
      <c r="BH2016" s="75" t="s">
        <v>5971</v>
      </c>
      <c r="BI2016" s="295" t="s">
        <v>2228</v>
      </c>
      <c r="BJ2016" s="546">
        <v>1</v>
      </c>
      <c r="BK2016" s="294" t="s">
        <v>16</v>
      </c>
      <c r="BL2016" s="157" t="s">
        <v>16</v>
      </c>
      <c r="BM2016" s="548" t="s">
        <v>1339</v>
      </c>
      <c r="BN2016" s="548" t="s">
        <v>1339</v>
      </c>
      <c r="BO2016" s="157" t="s">
        <v>4614</v>
      </c>
      <c r="BP2016" s="548" t="s">
        <v>2228</v>
      </c>
      <c r="BQ2016" s="157" t="s">
        <v>4214</v>
      </c>
      <c r="BR2016" s="157"/>
    </row>
    <row r="2017" spans="1:70" x14ac:dyDescent="0.25">
      <c r="A2017" s="19" t="s">
        <v>3686</v>
      </c>
      <c r="B2017" s="37" t="s">
        <v>773</v>
      </c>
      <c r="C2017" s="90">
        <v>44328.680486111109</v>
      </c>
      <c r="D2017" s="114">
        <v>44328.430486111109</v>
      </c>
      <c r="E2017" s="38">
        <v>44328</v>
      </c>
      <c r="F2017" s="91">
        <v>2021</v>
      </c>
      <c r="G2017" s="93">
        <v>5</v>
      </c>
      <c r="H2017" s="37" t="s">
        <v>624</v>
      </c>
      <c r="I2017" s="37"/>
      <c r="J2017" s="103">
        <v>-92.844147053929817</v>
      </c>
      <c r="K2017" s="40">
        <v>45.070650759327599</v>
      </c>
      <c r="L2017" s="74"/>
      <c r="M2017" s="272" t="s">
        <v>774</v>
      </c>
      <c r="N2017" s="74">
        <v>1</v>
      </c>
      <c r="O2017" s="94"/>
      <c r="P2017" s="118">
        <v>1</v>
      </c>
      <c r="Q2017" s="510">
        <v>120</v>
      </c>
      <c r="R2017" s="513">
        <v>120</v>
      </c>
      <c r="S2017" s="41"/>
      <c r="T2017" s="40"/>
      <c r="U2017" s="40">
        <v>7.5</v>
      </c>
      <c r="V2017" s="119">
        <v>0</v>
      </c>
      <c r="W2017" s="40"/>
      <c r="X2017" s="119">
        <v>1</v>
      </c>
      <c r="Y2017" s="40">
        <v>50</v>
      </c>
      <c r="Z2017" s="119">
        <v>1</v>
      </c>
      <c r="AA2017" s="368">
        <v>0</v>
      </c>
      <c r="AB2017" s="535">
        <v>0</v>
      </c>
      <c r="AC2017" s="39" t="s">
        <v>160</v>
      </c>
      <c r="AD2017" s="75" t="s">
        <v>10</v>
      </c>
      <c r="AE2017" s="95">
        <v>0</v>
      </c>
      <c r="AF2017" s="75">
        <v>0</v>
      </c>
      <c r="AG2017" s="75">
        <v>0</v>
      </c>
      <c r="AH2017" s="75">
        <v>0</v>
      </c>
      <c r="AI2017" s="75">
        <v>0</v>
      </c>
      <c r="AJ2017" s="75">
        <v>0</v>
      </c>
      <c r="AK2017" s="75">
        <v>0</v>
      </c>
      <c r="AL2017" s="95">
        <v>1</v>
      </c>
      <c r="AM2017" s="92">
        <v>0</v>
      </c>
      <c r="AN2017" s="79" t="s">
        <v>80</v>
      </c>
      <c r="AO2017" s="75">
        <v>1</v>
      </c>
      <c r="AP2017" s="75" t="s">
        <v>83</v>
      </c>
      <c r="AQ2017" s="122">
        <v>1</v>
      </c>
      <c r="AR2017" s="515" t="s">
        <v>10</v>
      </c>
      <c r="AS2017" s="95">
        <v>0</v>
      </c>
      <c r="AT2017" s="75">
        <v>0</v>
      </c>
      <c r="AU2017" s="75">
        <v>0</v>
      </c>
      <c r="AV2017" s="75">
        <v>0</v>
      </c>
      <c r="AW2017" s="123">
        <v>0</v>
      </c>
      <c r="AX2017" s="516" t="s">
        <v>775</v>
      </c>
      <c r="AY2017" s="75">
        <v>1</v>
      </c>
      <c r="AZ2017" s="77" t="s">
        <v>131</v>
      </c>
      <c r="BA2017" s="78" t="s">
        <v>131</v>
      </c>
      <c r="BB2017" s="78" t="s">
        <v>131</v>
      </c>
      <c r="BC2017" s="78" t="s">
        <v>131</v>
      </c>
      <c r="BD2017" s="78" t="s">
        <v>131</v>
      </c>
      <c r="BE2017" s="78" t="s">
        <v>131</v>
      </c>
      <c r="BF2017" s="78" t="s">
        <v>131</v>
      </c>
      <c r="BG2017" s="78" t="s">
        <v>132</v>
      </c>
      <c r="BH2017" s="75" t="s">
        <v>5970</v>
      </c>
      <c r="BI2017" s="295" t="s">
        <v>2273</v>
      </c>
      <c r="BJ2017" s="546">
        <v>1</v>
      </c>
      <c r="BK2017" s="294" t="s">
        <v>16</v>
      </c>
      <c r="BL2017" s="157" t="s">
        <v>16</v>
      </c>
      <c r="BM2017" s="548" t="s">
        <v>2343</v>
      </c>
      <c r="BN2017" s="548" t="s">
        <v>4161</v>
      </c>
      <c r="BO2017" s="157" t="s">
        <v>4286</v>
      </c>
      <c r="BP2017" s="548" t="s">
        <v>2273</v>
      </c>
      <c r="BQ2017" s="157" t="s">
        <v>4285</v>
      </c>
      <c r="BR2017" s="157"/>
    </row>
    <row r="2018" spans="1:70" x14ac:dyDescent="0.25">
      <c r="A2018" s="19" t="s">
        <v>3686</v>
      </c>
      <c r="B2018" s="37" t="s">
        <v>772</v>
      </c>
      <c r="C2018" s="90">
        <v>44328.678460648145</v>
      </c>
      <c r="D2018" s="114">
        <v>44328.428460648145</v>
      </c>
      <c r="E2018" s="38">
        <v>44328</v>
      </c>
      <c r="F2018" s="91">
        <v>2021</v>
      </c>
      <c r="G2018" s="93">
        <v>5</v>
      </c>
      <c r="H2018" s="37" t="s">
        <v>597</v>
      </c>
      <c r="I2018" s="37"/>
      <c r="J2018" s="103">
        <v>-92.8442151</v>
      </c>
      <c r="K2018" s="40">
        <v>45.070673599999999</v>
      </c>
      <c r="L2018" s="74"/>
      <c r="M2018" s="272" t="s">
        <v>16</v>
      </c>
      <c r="N2018" s="74">
        <v>0</v>
      </c>
      <c r="O2018" s="94"/>
      <c r="P2018" s="118">
        <v>1</v>
      </c>
      <c r="Q2018" s="510">
        <v>0</v>
      </c>
      <c r="R2018" s="513">
        <v>60</v>
      </c>
      <c r="S2018" s="41"/>
      <c r="T2018" s="40"/>
      <c r="U2018" s="40">
        <v>7</v>
      </c>
      <c r="V2018" s="119">
        <v>0</v>
      </c>
      <c r="W2018" s="40"/>
      <c r="X2018" s="119">
        <v>1</v>
      </c>
      <c r="Y2018" s="40">
        <v>52</v>
      </c>
      <c r="Z2018" s="119">
        <v>1</v>
      </c>
      <c r="AA2018" s="368">
        <v>0</v>
      </c>
      <c r="AB2018" s="535">
        <v>0</v>
      </c>
      <c r="AC2018" s="39" t="s">
        <v>160</v>
      </c>
      <c r="AD2018" s="75" t="s">
        <v>16</v>
      </c>
      <c r="AE2018" s="95">
        <v>-1</v>
      </c>
      <c r="AF2018" s="75">
        <v>-1</v>
      </c>
      <c r="AG2018" s="75">
        <v>-1</v>
      </c>
      <c r="AH2018" s="75">
        <v>-1</v>
      </c>
      <c r="AI2018" s="75">
        <v>-1</v>
      </c>
      <c r="AJ2018" s="75">
        <v>-1</v>
      </c>
      <c r="AK2018" s="75">
        <v>-1</v>
      </c>
      <c r="AL2018" s="95">
        <v>-1</v>
      </c>
      <c r="AM2018" s="92">
        <v>1</v>
      </c>
      <c r="AN2018" s="79"/>
      <c r="AO2018" s="75">
        <v>0</v>
      </c>
      <c r="AP2018" s="75"/>
      <c r="AQ2018" s="122">
        <v>0</v>
      </c>
      <c r="AR2018" s="515" t="s">
        <v>16</v>
      </c>
      <c r="AS2018" s="95">
        <v>-1</v>
      </c>
      <c r="AT2018" s="75">
        <v>-1</v>
      </c>
      <c r="AU2018" s="75">
        <v>-1</v>
      </c>
      <c r="AV2018" s="75">
        <v>-1</v>
      </c>
      <c r="AW2018" s="123">
        <v>1</v>
      </c>
      <c r="AX2018" s="516"/>
      <c r="AY2018" s="75">
        <v>0</v>
      </c>
      <c r="AZ2018" s="77" t="s">
        <v>5971</v>
      </c>
      <c r="BA2018" s="78" t="s">
        <v>5971</v>
      </c>
      <c r="BB2018" s="78" t="s">
        <v>5971</v>
      </c>
      <c r="BC2018" s="78" t="s">
        <v>5971</v>
      </c>
      <c r="BD2018" s="78" t="s">
        <v>5971</v>
      </c>
      <c r="BE2018" s="78" t="s">
        <v>5971</v>
      </c>
      <c r="BF2018" s="78" t="s">
        <v>5971</v>
      </c>
      <c r="BG2018" s="78" t="s">
        <v>5971</v>
      </c>
      <c r="BH2018" s="75" t="s">
        <v>5971</v>
      </c>
      <c r="BI2018" s="295" t="s">
        <v>2273</v>
      </c>
      <c r="BJ2018" s="546">
        <v>1</v>
      </c>
      <c r="BK2018" s="294" t="s">
        <v>16</v>
      </c>
      <c r="BL2018" s="157" t="s">
        <v>16</v>
      </c>
      <c r="BM2018" s="548" t="s">
        <v>2343</v>
      </c>
      <c r="BN2018" s="548" t="s">
        <v>4161</v>
      </c>
      <c r="BO2018" s="157" t="s">
        <v>4286</v>
      </c>
      <c r="BP2018" s="548" t="s">
        <v>2273</v>
      </c>
      <c r="BQ2018" s="157" t="s">
        <v>4285</v>
      </c>
      <c r="BR2018" s="157"/>
    </row>
    <row r="2019" spans="1:70" x14ac:dyDescent="0.25">
      <c r="A2019" s="19" t="s">
        <v>3686</v>
      </c>
      <c r="B2019" s="37" t="s">
        <v>769</v>
      </c>
      <c r="C2019" s="90">
        <v>44325.74077546296</v>
      </c>
      <c r="D2019" s="114">
        <v>44325.49077546296</v>
      </c>
      <c r="E2019" s="38">
        <v>44325</v>
      </c>
      <c r="F2019" s="91">
        <v>2021</v>
      </c>
      <c r="G2019" s="93">
        <v>5</v>
      </c>
      <c r="H2019" s="37" t="s">
        <v>260</v>
      </c>
      <c r="I2019" s="37" t="s">
        <v>337</v>
      </c>
      <c r="J2019" s="103">
        <v>-92.644951820803755</v>
      </c>
      <c r="K2019" s="40">
        <v>44.843495934118067</v>
      </c>
      <c r="L2019" s="74"/>
      <c r="M2019" s="272" t="s">
        <v>770</v>
      </c>
      <c r="N2019" s="74">
        <v>1</v>
      </c>
      <c r="O2019" s="94"/>
      <c r="P2019" s="118">
        <v>1</v>
      </c>
      <c r="Q2019" s="510">
        <v>180</v>
      </c>
      <c r="R2019" s="513">
        <v>180</v>
      </c>
      <c r="S2019" s="41"/>
      <c r="T2019" s="40"/>
      <c r="U2019" s="40">
        <v>7</v>
      </c>
      <c r="V2019" s="119">
        <v>1</v>
      </c>
      <c r="W2019" s="40">
        <v>0</v>
      </c>
      <c r="X2019" s="119">
        <v>1</v>
      </c>
      <c r="Y2019" s="40">
        <v>51</v>
      </c>
      <c r="Z2019" s="119">
        <v>1</v>
      </c>
      <c r="AA2019" s="368">
        <v>0</v>
      </c>
      <c r="AB2019" s="535">
        <v>5</v>
      </c>
      <c r="AC2019" s="39" t="s">
        <v>160</v>
      </c>
      <c r="AD2019" s="75" t="s">
        <v>10</v>
      </c>
      <c r="AE2019" s="95">
        <v>0</v>
      </c>
      <c r="AF2019" s="75">
        <v>0</v>
      </c>
      <c r="AG2019" s="75">
        <v>0</v>
      </c>
      <c r="AH2019" s="75">
        <v>0</v>
      </c>
      <c r="AI2019" s="75">
        <v>0</v>
      </c>
      <c r="AJ2019" s="75">
        <v>0</v>
      </c>
      <c r="AK2019" s="75">
        <v>0</v>
      </c>
      <c r="AL2019" s="95">
        <v>1</v>
      </c>
      <c r="AM2019" s="92">
        <v>0</v>
      </c>
      <c r="AN2019" s="79" t="s">
        <v>80</v>
      </c>
      <c r="AO2019" s="75">
        <v>1</v>
      </c>
      <c r="AP2019" s="75" t="s">
        <v>83</v>
      </c>
      <c r="AQ2019" s="122">
        <v>1</v>
      </c>
      <c r="AR2019" s="515" t="s">
        <v>10</v>
      </c>
      <c r="AS2019" s="95">
        <v>0</v>
      </c>
      <c r="AT2019" s="75">
        <v>0</v>
      </c>
      <c r="AU2019" s="75">
        <v>0</v>
      </c>
      <c r="AV2019" s="75">
        <v>0</v>
      </c>
      <c r="AW2019" s="123">
        <v>0</v>
      </c>
      <c r="AX2019" s="516" t="s">
        <v>771</v>
      </c>
      <c r="AY2019" s="75">
        <v>1</v>
      </c>
      <c r="AZ2019" s="77" t="s">
        <v>131</v>
      </c>
      <c r="BA2019" s="78" t="s">
        <v>131</v>
      </c>
      <c r="BB2019" s="78" t="s">
        <v>131</v>
      </c>
      <c r="BC2019" s="78" t="s">
        <v>131</v>
      </c>
      <c r="BD2019" s="78" t="s">
        <v>131</v>
      </c>
      <c r="BE2019" s="78" t="s">
        <v>131</v>
      </c>
      <c r="BF2019" s="78" t="s">
        <v>131</v>
      </c>
      <c r="BG2019" s="78" t="s">
        <v>132</v>
      </c>
      <c r="BH2019" s="75" t="s">
        <v>5970</v>
      </c>
      <c r="BI2019" s="295" t="s">
        <v>2227</v>
      </c>
      <c r="BJ2019" s="546">
        <v>1</v>
      </c>
      <c r="BK2019" s="294" t="s">
        <v>16</v>
      </c>
      <c r="BL2019" s="157" t="s">
        <v>16</v>
      </c>
      <c r="BM2019" s="548" t="s">
        <v>578</v>
      </c>
      <c r="BN2019" s="548" t="s">
        <v>578</v>
      </c>
      <c r="BO2019" s="157" t="s">
        <v>4341</v>
      </c>
      <c r="BP2019" s="548" t="s">
        <v>4343</v>
      </c>
      <c r="BQ2019" s="157" t="s">
        <v>4309</v>
      </c>
      <c r="BR2019" s="157"/>
    </row>
    <row r="2020" spans="1:70" x14ac:dyDescent="0.25">
      <c r="A2020" s="19" t="s">
        <v>3686</v>
      </c>
      <c r="B2020" s="37" t="s">
        <v>766</v>
      </c>
      <c r="C2020" s="90">
        <v>44324.898576388892</v>
      </c>
      <c r="D2020" s="114">
        <v>44324.648576388892</v>
      </c>
      <c r="E2020" s="38">
        <v>44324</v>
      </c>
      <c r="F2020" s="91">
        <v>2021</v>
      </c>
      <c r="G2020" s="93">
        <v>5</v>
      </c>
      <c r="H2020" s="37" t="s">
        <v>260</v>
      </c>
      <c r="I2020" s="37" t="s">
        <v>337</v>
      </c>
      <c r="J2020" s="103">
        <v>-92.644980507026077</v>
      </c>
      <c r="K2020" s="40">
        <v>44.843591680546922</v>
      </c>
      <c r="L2020" s="74"/>
      <c r="M2020" s="272" t="s">
        <v>767</v>
      </c>
      <c r="N2020" s="74">
        <v>1</v>
      </c>
      <c r="O2020" s="94"/>
      <c r="P2020" s="118">
        <v>1</v>
      </c>
      <c r="Q2020" s="510">
        <v>0</v>
      </c>
      <c r="R2020" s="513">
        <v>30</v>
      </c>
      <c r="S2020" s="41"/>
      <c r="T2020" s="40"/>
      <c r="U2020" s="40">
        <v>7</v>
      </c>
      <c r="V2020" s="119">
        <v>1</v>
      </c>
      <c r="W2020" s="40">
        <v>100</v>
      </c>
      <c r="X2020" s="119">
        <v>1</v>
      </c>
      <c r="Y2020" s="40">
        <v>52</v>
      </c>
      <c r="Z2020" s="119">
        <v>1</v>
      </c>
      <c r="AA2020" s="368">
        <v>0</v>
      </c>
      <c r="AB2020" s="535">
        <v>5</v>
      </c>
      <c r="AC2020" s="39" t="s">
        <v>160</v>
      </c>
      <c r="AD2020" s="75" t="s">
        <v>10</v>
      </c>
      <c r="AE2020" s="95">
        <v>0</v>
      </c>
      <c r="AF2020" s="75">
        <v>0</v>
      </c>
      <c r="AG2020" s="75">
        <v>0</v>
      </c>
      <c r="AH2020" s="75">
        <v>0</v>
      </c>
      <c r="AI2020" s="75">
        <v>0</v>
      </c>
      <c r="AJ2020" s="75">
        <v>0</v>
      </c>
      <c r="AK2020" s="75">
        <v>0</v>
      </c>
      <c r="AL2020" s="95">
        <v>1</v>
      </c>
      <c r="AM2020" s="92">
        <v>0</v>
      </c>
      <c r="AN2020" s="79" t="s">
        <v>80</v>
      </c>
      <c r="AO2020" s="75">
        <v>1</v>
      </c>
      <c r="AP2020" s="75" t="s">
        <v>83</v>
      </c>
      <c r="AQ2020" s="122">
        <v>1</v>
      </c>
      <c r="AR2020" s="515" t="s">
        <v>10</v>
      </c>
      <c r="AS2020" s="95">
        <v>0</v>
      </c>
      <c r="AT2020" s="75">
        <v>0</v>
      </c>
      <c r="AU2020" s="75">
        <v>0</v>
      </c>
      <c r="AV2020" s="75">
        <v>0</v>
      </c>
      <c r="AW2020" s="123">
        <v>0</v>
      </c>
      <c r="AX2020" s="516" t="s">
        <v>768</v>
      </c>
      <c r="AY2020" s="75">
        <v>1</v>
      </c>
      <c r="AZ2020" s="77" t="s">
        <v>131</v>
      </c>
      <c r="BA2020" s="78" t="s">
        <v>131</v>
      </c>
      <c r="BB2020" s="78" t="s">
        <v>131</v>
      </c>
      <c r="BC2020" s="78" t="s">
        <v>131</v>
      </c>
      <c r="BD2020" s="78" t="s">
        <v>131</v>
      </c>
      <c r="BE2020" s="78" t="s">
        <v>131</v>
      </c>
      <c r="BF2020" s="78" t="s">
        <v>131</v>
      </c>
      <c r="BG2020" s="78" t="s">
        <v>132</v>
      </c>
      <c r="BH2020" s="75" t="s">
        <v>5970</v>
      </c>
      <c r="BI2020" s="295" t="s">
        <v>16</v>
      </c>
      <c r="BJ2020" s="546">
        <v>1</v>
      </c>
      <c r="BK2020" s="294" t="s">
        <v>16</v>
      </c>
      <c r="BL2020" s="157" t="s">
        <v>16</v>
      </c>
      <c r="BM2020" s="548" t="s">
        <v>578</v>
      </c>
      <c r="BN2020" s="548" t="s">
        <v>578</v>
      </c>
      <c r="BO2020" s="157" t="s">
        <v>4341</v>
      </c>
      <c r="BP2020" s="548" t="s">
        <v>4343</v>
      </c>
      <c r="BQ2020" s="157" t="s">
        <v>4309</v>
      </c>
      <c r="BR2020" s="157"/>
    </row>
    <row r="2021" spans="1:70" x14ac:dyDescent="0.25">
      <c r="A2021" s="19" t="s">
        <v>3686</v>
      </c>
      <c r="B2021" s="37" t="s">
        <v>764</v>
      </c>
      <c r="C2021" s="90">
        <v>44323.711041666669</v>
      </c>
      <c r="D2021" s="114">
        <v>44323.461041666669</v>
      </c>
      <c r="E2021" s="38">
        <v>44323</v>
      </c>
      <c r="F2021" s="91">
        <v>2021</v>
      </c>
      <c r="G2021" s="93">
        <v>5</v>
      </c>
      <c r="H2021" s="37" t="s">
        <v>624</v>
      </c>
      <c r="I2021" s="37" t="s">
        <v>16</v>
      </c>
      <c r="J2021" s="103">
        <v>-92.844318394450525</v>
      </c>
      <c r="K2021" s="40">
        <v>45.070715200089232</v>
      </c>
      <c r="L2021" s="74"/>
      <c r="M2021" s="272" t="s">
        <v>765</v>
      </c>
      <c r="N2021" s="74">
        <v>1</v>
      </c>
      <c r="O2021" s="94"/>
      <c r="P2021" s="118">
        <v>1</v>
      </c>
      <c r="Q2021" s="510">
        <v>180</v>
      </c>
      <c r="R2021" s="513">
        <v>120</v>
      </c>
      <c r="S2021" s="41"/>
      <c r="T2021" s="40"/>
      <c r="U2021" s="40">
        <v>7</v>
      </c>
      <c r="V2021" s="119">
        <v>0</v>
      </c>
      <c r="W2021" s="40"/>
      <c r="X2021" s="119">
        <v>1</v>
      </c>
      <c r="Y2021" s="40">
        <v>50</v>
      </c>
      <c r="Z2021" s="119">
        <v>1</v>
      </c>
      <c r="AA2021" s="368">
        <v>0</v>
      </c>
      <c r="AB2021" s="535">
        <v>0</v>
      </c>
      <c r="AC2021" s="39" t="s">
        <v>160</v>
      </c>
      <c r="AD2021" s="75" t="s">
        <v>10</v>
      </c>
      <c r="AE2021" s="95">
        <v>0</v>
      </c>
      <c r="AF2021" s="75">
        <v>0</v>
      </c>
      <c r="AG2021" s="75">
        <v>0</v>
      </c>
      <c r="AH2021" s="75">
        <v>0</v>
      </c>
      <c r="AI2021" s="75">
        <v>0</v>
      </c>
      <c r="AJ2021" s="75">
        <v>0</v>
      </c>
      <c r="AK2021" s="75">
        <v>0</v>
      </c>
      <c r="AL2021" s="95">
        <v>1</v>
      </c>
      <c r="AM2021" s="92">
        <v>0</v>
      </c>
      <c r="AN2021" s="79" t="s">
        <v>80</v>
      </c>
      <c r="AO2021" s="75">
        <v>1</v>
      </c>
      <c r="AP2021" s="75" t="s">
        <v>83</v>
      </c>
      <c r="AQ2021" s="122">
        <v>1</v>
      </c>
      <c r="AR2021" s="515" t="s">
        <v>10</v>
      </c>
      <c r="AS2021" s="95">
        <v>0</v>
      </c>
      <c r="AT2021" s="75">
        <v>0</v>
      </c>
      <c r="AU2021" s="75">
        <v>0</v>
      </c>
      <c r="AV2021" s="75">
        <v>0</v>
      </c>
      <c r="AW2021" s="123">
        <v>0</v>
      </c>
      <c r="AX2021" s="516"/>
      <c r="AY2021" s="75">
        <v>0</v>
      </c>
      <c r="AZ2021" s="77" t="s">
        <v>131</v>
      </c>
      <c r="BA2021" s="78" t="s">
        <v>131</v>
      </c>
      <c r="BB2021" s="78" t="s">
        <v>131</v>
      </c>
      <c r="BC2021" s="78" t="s">
        <v>131</v>
      </c>
      <c r="BD2021" s="78" t="s">
        <v>131</v>
      </c>
      <c r="BE2021" s="78" t="s">
        <v>131</v>
      </c>
      <c r="BF2021" s="78" t="s">
        <v>131</v>
      </c>
      <c r="BG2021" s="78" t="s">
        <v>132</v>
      </c>
      <c r="BH2021" s="75" t="s">
        <v>5970</v>
      </c>
      <c r="BI2021" s="295" t="s">
        <v>2273</v>
      </c>
      <c r="BJ2021" s="546">
        <v>1</v>
      </c>
      <c r="BK2021" s="294" t="s">
        <v>16</v>
      </c>
      <c r="BL2021" s="157" t="s">
        <v>16</v>
      </c>
      <c r="BM2021" s="548" t="s">
        <v>2343</v>
      </c>
      <c r="BN2021" s="548" t="s">
        <v>4161</v>
      </c>
      <c r="BO2021" s="157" t="s">
        <v>4286</v>
      </c>
      <c r="BP2021" s="548" t="s">
        <v>2273</v>
      </c>
      <c r="BQ2021" s="157" t="s">
        <v>4285</v>
      </c>
      <c r="BR2021" s="157"/>
    </row>
    <row r="2022" spans="1:70" x14ac:dyDescent="0.25">
      <c r="A2022" s="19" t="s">
        <v>3686</v>
      </c>
      <c r="B2022" s="37" t="s">
        <v>763</v>
      </c>
      <c r="C2022" s="90">
        <v>44323.640960648147</v>
      </c>
      <c r="D2022" s="114">
        <v>44323.390960648147</v>
      </c>
      <c r="E2022" s="38">
        <v>44323</v>
      </c>
      <c r="F2022" s="91">
        <v>2021</v>
      </c>
      <c r="G2022" s="93">
        <v>5</v>
      </c>
      <c r="H2022" s="37" t="s">
        <v>624</v>
      </c>
      <c r="I2022" s="37"/>
      <c r="J2022" s="103">
        <v>-92.844316782516273</v>
      </c>
      <c r="K2022" s="40">
        <v>45.070531996940325</v>
      </c>
      <c r="L2022" s="74"/>
      <c r="M2022" s="272" t="s">
        <v>16</v>
      </c>
      <c r="N2022" s="74">
        <v>0</v>
      </c>
      <c r="O2022" s="94"/>
      <c r="P2022" s="118">
        <v>1</v>
      </c>
      <c r="Q2022" s="510">
        <v>0</v>
      </c>
      <c r="R2022" s="513">
        <v>30</v>
      </c>
      <c r="S2022" s="41"/>
      <c r="T2022" s="40"/>
      <c r="U2022" s="40">
        <v>7</v>
      </c>
      <c r="V2022" s="119">
        <v>0</v>
      </c>
      <c r="W2022" s="40"/>
      <c r="X2022" s="119">
        <v>1</v>
      </c>
      <c r="Y2022" s="40">
        <v>45</v>
      </c>
      <c r="Z2022" s="119">
        <v>1</v>
      </c>
      <c r="AA2022" s="368">
        <v>0</v>
      </c>
      <c r="AB2022" s="535">
        <v>0</v>
      </c>
      <c r="AC2022" s="39" t="s">
        <v>16</v>
      </c>
      <c r="AD2022" s="75" t="s">
        <v>9</v>
      </c>
      <c r="AE2022" s="95">
        <v>0</v>
      </c>
      <c r="AF2022" s="75">
        <v>0</v>
      </c>
      <c r="AG2022" s="75">
        <v>1</v>
      </c>
      <c r="AH2022" s="75">
        <v>0</v>
      </c>
      <c r="AI2022" s="75">
        <v>0</v>
      </c>
      <c r="AJ2022" s="75">
        <v>0</v>
      </c>
      <c r="AK2022" s="75">
        <v>0</v>
      </c>
      <c r="AL2022" s="95">
        <v>0</v>
      </c>
      <c r="AM2022" s="92">
        <v>0</v>
      </c>
      <c r="AN2022" s="79" t="s">
        <v>80</v>
      </c>
      <c r="AO2022" s="75">
        <v>1</v>
      </c>
      <c r="AP2022" s="75" t="s">
        <v>83</v>
      </c>
      <c r="AQ2022" s="122">
        <v>1</v>
      </c>
      <c r="AR2022" s="515" t="s">
        <v>10</v>
      </c>
      <c r="AS2022" s="95">
        <v>0</v>
      </c>
      <c r="AT2022" s="75">
        <v>0</v>
      </c>
      <c r="AU2022" s="75">
        <v>0</v>
      </c>
      <c r="AV2022" s="75">
        <v>0</v>
      </c>
      <c r="AW2022" s="123">
        <v>0</v>
      </c>
      <c r="AX2022" s="516"/>
      <c r="AY2022" s="75">
        <v>0</v>
      </c>
      <c r="AZ2022" s="77" t="s">
        <v>131</v>
      </c>
      <c r="BA2022" s="78" t="s">
        <v>131</v>
      </c>
      <c r="BB2022" s="78" t="s">
        <v>132</v>
      </c>
      <c r="BC2022" s="78" t="s">
        <v>131</v>
      </c>
      <c r="BD2022" s="78" t="s">
        <v>131</v>
      </c>
      <c r="BE2022" s="78" t="s">
        <v>131</v>
      </c>
      <c r="BF2022" s="78" t="s">
        <v>131</v>
      </c>
      <c r="BG2022" s="78" t="s">
        <v>131</v>
      </c>
      <c r="BH2022" s="75" t="s">
        <v>5970</v>
      </c>
      <c r="BI2022" s="295" t="s">
        <v>16</v>
      </c>
      <c r="BJ2022" s="546">
        <v>1</v>
      </c>
      <c r="BK2022" s="294" t="s">
        <v>16</v>
      </c>
      <c r="BL2022" s="157" t="s">
        <v>16</v>
      </c>
      <c r="BM2022" s="548" t="s">
        <v>2343</v>
      </c>
      <c r="BN2022" s="548" t="s">
        <v>4161</v>
      </c>
      <c r="BO2022" s="157" t="s">
        <v>4286</v>
      </c>
      <c r="BP2022" s="548" t="s">
        <v>2273</v>
      </c>
      <c r="BQ2022" s="157" t="s">
        <v>4285</v>
      </c>
      <c r="BR2022" s="157"/>
    </row>
    <row r="2023" spans="1:70" x14ac:dyDescent="0.25">
      <c r="A2023" s="19" t="s">
        <v>3686</v>
      </c>
      <c r="B2023" s="37" t="s">
        <v>760</v>
      </c>
      <c r="C2023" s="90">
        <v>44323.637384259258</v>
      </c>
      <c r="D2023" s="114">
        <v>44323.387384259258</v>
      </c>
      <c r="E2023" s="38">
        <v>44323</v>
      </c>
      <c r="F2023" s="91">
        <v>2021</v>
      </c>
      <c r="G2023" s="93">
        <v>5</v>
      </c>
      <c r="H2023" s="37" t="s">
        <v>405</v>
      </c>
      <c r="I2023" s="37"/>
      <c r="J2023" s="103">
        <v>-92.844169680115598</v>
      </c>
      <c r="K2023" s="40">
        <v>45.07064414680476</v>
      </c>
      <c r="L2023" s="74"/>
      <c r="M2023" s="272" t="s">
        <v>761</v>
      </c>
      <c r="N2023" s="74">
        <v>1</v>
      </c>
      <c r="O2023" s="94"/>
      <c r="P2023" s="118">
        <v>1</v>
      </c>
      <c r="Q2023" s="510">
        <v>120</v>
      </c>
      <c r="R2023" s="513">
        <v>180</v>
      </c>
      <c r="S2023" s="41"/>
      <c r="T2023" s="40"/>
      <c r="U2023" s="40">
        <v>7</v>
      </c>
      <c r="V2023" s="119">
        <v>0</v>
      </c>
      <c r="W2023" s="40"/>
      <c r="X2023" s="119">
        <v>1</v>
      </c>
      <c r="Y2023" s="40">
        <v>0</v>
      </c>
      <c r="Z2023" s="119">
        <v>1</v>
      </c>
      <c r="AA2023" s="368">
        <v>0</v>
      </c>
      <c r="AB2023" s="535">
        <v>0</v>
      </c>
      <c r="AC2023" s="39" t="s">
        <v>160</v>
      </c>
      <c r="AD2023" s="75" t="s">
        <v>8</v>
      </c>
      <c r="AE2023" s="95">
        <v>0</v>
      </c>
      <c r="AF2023" s="75">
        <v>1</v>
      </c>
      <c r="AG2023" s="75">
        <v>0</v>
      </c>
      <c r="AH2023" s="75">
        <v>0</v>
      </c>
      <c r="AI2023" s="75">
        <v>0</v>
      </c>
      <c r="AJ2023" s="75">
        <v>0</v>
      </c>
      <c r="AK2023" s="75">
        <v>0</v>
      </c>
      <c r="AL2023" s="95">
        <v>0</v>
      </c>
      <c r="AM2023" s="92">
        <v>0</v>
      </c>
      <c r="AN2023" s="79" t="s">
        <v>80</v>
      </c>
      <c r="AO2023" s="75">
        <v>1</v>
      </c>
      <c r="AP2023" s="75" t="s">
        <v>83</v>
      </c>
      <c r="AQ2023" s="122">
        <v>1</v>
      </c>
      <c r="AR2023" s="515" t="s">
        <v>10</v>
      </c>
      <c r="AS2023" s="95">
        <v>0</v>
      </c>
      <c r="AT2023" s="75">
        <v>0</v>
      </c>
      <c r="AU2023" s="75">
        <v>0</v>
      </c>
      <c r="AV2023" s="75">
        <v>0</v>
      </c>
      <c r="AW2023" s="123">
        <v>0</v>
      </c>
      <c r="AX2023" s="516" t="s">
        <v>762</v>
      </c>
      <c r="AY2023" s="75">
        <v>1</v>
      </c>
      <c r="AZ2023" s="77" t="s">
        <v>131</v>
      </c>
      <c r="BA2023" s="78" t="s">
        <v>132</v>
      </c>
      <c r="BB2023" s="78" t="s">
        <v>131</v>
      </c>
      <c r="BC2023" s="78" t="s">
        <v>131</v>
      </c>
      <c r="BD2023" s="78" t="s">
        <v>131</v>
      </c>
      <c r="BE2023" s="78" t="s">
        <v>131</v>
      </c>
      <c r="BF2023" s="78" t="s">
        <v>131</v>
      </c>
      <c r="BG2023" s="78" t="s">
        <v>131</v>
      </c>
      <c r="BH2023" s="75" t="s">
        <v>5970</v>
      </c>
      <c r="BI2023" s="295" t="s">
        <v>2273</v>
      </c>
      <c r="BJ2023" s="546">
        <v>1</v>
      </c>
      <c r="BK2023" s="294" t="s">
        <v>16</v>
      </c>
      <c r="BL2023" s="157" t="s">
        <v>16</v>
      </c>
      <c r="BM2023" s="548" t="s">
        <v>2343</v>
      </c>
      <c r="BN2023" s="548" t="s">
        <v>4161</v>
      </c>
      <c r="BO2023" s="157" t="s">
        <v>4286</v>
      </c>
      <c r="BP2023" s="548" t="s">
        <v>2273</v>
      </c>
      <c r="BQ2023" s="157" t="s">
        <v>4285</v>
      </c>
      <c r="BR2023" s="157"/>
    </row>
    <row r="2024" spans="1:70" x14ac:dyDescent="0.25">
      <c r="A2024" s="19" t="s">
        <v>3686</v>
      </c>
      <c r="B2024" s="37" t="s">
        <v>759</v>
      </c>
      <c r="C2024" s="90">
        <v>44322.086296296293</v>
      </c>
      <c r="D2024" s="114">
        <v>44321.836296296293</v>
      </c>
      <c r="E2024" s="38">
        <v>44321</v>
      </c>
      <c r="F2024" s="91">
        <v>2021</v>
      </c>
      <c r="G2024" s="93">
        <v>5</v>
      </c>
      <c r="H2024" s="37" t="s">
        <v>622</v>
      </c>
      <c r="I2024" s="37"/>
      <c r="J2024" s="103">
        <v>-92.268024478193624</v>
      </c>
      <c r="K2024" s="40">
        <v>44.428684534546385</v>
      </c>
      <c r="L2024" s="74"/>
      <c r="M2024" s="272" t="s">
        <v>16</v>
      </c>
      <c r="N2024" s="74">
        <v>0</v>
      </c>
      <c r="O2024" s="94"/>
      <c r="P2024" s="118">
        <v>1</v>
      </c>
      <c r="Q2024" s="510">
        <v>0</v>
      </c>
      <c r="R2024" s="513">
        <v>30</v>
      </c>
      <c r="S2024" s="41"/>
      <c r="T2024" s="40"/>
      <c r="U2024" s="40">
        <v>7.5</v>
      </c>
      <c r="V2024" s="119">
        <v>0</v>
      </c>
      <c r="W2024" s="40"/>
      <c r="X2024" s="119">
        <v>0</v>
      </c>
      <c r="Y2024" s="40"/>
      <c r="Z2024" s="119">
        <v>0</v>
      </c>
      <c r="AA2024" s="368" t="s">
        <v>16</v>
      </c>
      <c r="AB2024" s="535" t="s">
        <v>16</v>
      </c>
      <c r="AC2024" s="39" t="s">
        <v>160</v>
      </c>
      <c r="AD2024" s="75" t="s">
        <v>16</v>
      </c>
      <c r="AE2024" s="95">
        <v>-1</v>
      </c>
      <c r="AF2024" s="75">
        <v>-1</v>
      </c>
      <c r="AG2024" s="75">
        <v>-1</v>
      </c>
      <c r="AH2024" s="75">
        <v>-1</v>
      </c>
      <c r="AI2024" s="75">
        <v>-1</v>
      </c>
      <c r="AJ2024" s="75">
        <v>-1</v>
      </c>
      <c r="AK2024" s="75">
        <v>-1</v>
      </c>
      <c r="AL2024" s="95">
        <v>-1</v>
      </c>
      <c r="AM2024" s="92">
        <v>1</v>
      </c>
      <c r="AN2024" s="79" t="s">
        <v>80</v>
      </c>
      <c r="AO2024" s="75">
        <v>1</v>
      </c>
      <c r="AP2024" s="75"/>
      <c r="AQ2024" s="122">
        <v>0</v>
      </c>
      <c r="AR2024" s="515" t="s">
        <v>10</v>
      </c>
      <c r="AS2024" s="95">
        <v>0</v>
      </c>
      <c r="AT2024" s="75">
        <v>0</v>
      </c>
      <c r="AU2024" s="75">
        <v>0</v>
      </c>
      <c r="AV2024" s="75">
        <v>0</v>
      </c>
      <c r="AW2024" s="123">
        <v>0</v>
      </c>
      <c r="AX2024" s="516"/>
      <c r="AY2024" s="75">
        <v>0</v>
      </c>
      <c r="AZ2024" s="77" t="s">
        <v>5971</v>
      </c>
      <c r="BA2024" s="78" t="s">
        <v>5971</v>
      </c>
      <c r="BB2024" s="78" t="s">
        <v>5971</v>
      </c>
      <c r="BC2024" s="78" t="s">
        <v>5971</v>
      </c>
      <c r="BD2024" s="78" t="s">
        <v>5971</v>
      </c>
      <c r="BE2024" s="78" t="s">
        <v>5971</v>
      </c>
      <c r="BF2024" s="78" t="s">
        <v>5971</v>
      </c>
      <c r="BG2024" s="78" t="s">
        <v>5971</v>
      </c>
      <c r="BH2024" s="75" t="s">
        <v>5971</v>
      </c>
      <c r="BI2024" s="295" t="s">
        <v>2228</v>
      </c>
      <c r="BJ2024" s="546">
        <v>1</v>
      </c>
      <c r="BK2024" s="294" t="s">
        <v>16</v>
      </c>
      <c r="BL2024" s="157" t="s">
        <v>16</v>
      </c>
      <c r="BM2024" s="548" t="s">
        <v>1339</v>
      </c>
      <c r="BN2024" s="548" t="s">
        <v>1339</v>
      </c>
      <c r="BO2024" s="157" t="s">
        <v>4614</v>
      </c>
      <c r="BP2024" s="548" t="s">
        <v>2228</v>
      </c>
      <c r="BQ2024" s="157" t="s">
        <v>4214</v>
      </c>
      <c r="BR2024" s="157"/>
    </row>
    <row r="2025" spans="1:70" x14ac:dyDescent="0.25">
      <c r="A2025" s="19" t="s">
        <v>3686</v>
      </c>
      <c r="B2025" s="37" t="s">
        <v>757</v>
      </c>
      <c r="C2025" s="90">
        <v>44321.797442129631</v>
      </c>
      <c r="D2025" s="114">
        <v>44321.547442129631</v>
      </c>
      <c r="E2025" s="38">
        <v>44321</v>
      </c>
      <c r="F2025" s="91">
        <v>2021</v>
      </c>
      <c r="G2025" s="93">
        <v>5</v>
      </c>
      <c r="H2025" s="37" t="s">
        <v>598</v>
      </c>
      <c r="I2025" s="37"/>
      <c r="J2025" s="103">
        <v>-91.823835467872996</v>
      </c>
      <c r="K2025" s="40">
        <v>43.642526823483209</v>
      </c>
      <c r="L2025" s="74"/>
      <c r="M2025" s="272" t="s">
        <v>16</v>
      </c>
      <c r="N2025" s="74">
        <v>0</v>
      </c>
      <c r="O2025" s="94"/>
      <c r="P2025" s="118">
        <v>1</v>
      </c>
      <c r="Q2025" s="510">
        <v>120</v>
      </c>
      <c r="R2025" s="513">
        <v>0</v>
      </c>
      <c r="S2025" s="41"/>
      <c r="T2025" s="40"/>
      <c r="U2025" s="40">
        <v>7.5</v>
      </c>
      <c r="V2025" s="119">
        <v>1</v>
      </c>
      <c r="W2025" s="40">
        <v>100</v>
      </c>
      <c r="X2025" s="119">
        <v>1</v>
      </c>
      <c r="Y2025" s="40">
        <v>56</v>
      </c>
      <c r="Z2025" s="119">
        <v>1</v>
      </c>
      <c r="AA2025" s="368">
        <v>0</v>
      </c>
      <c r="AB2025" s="535">
        <v>5</v>
      </c>
      <c r="AC2025" s="39" t="s">
        <v>160</v>
      </c>
      <c r="AD2025" s="75" t="s">
        <v>10</v>
      </c>
      <c r="AE2025" s="95">
        <v>0</v>
      </c>
      <c r="AF2025" s="75">
        <v>0</v>
      </c>
      <c r="AG2025" s="75">
        <v>0</v>
      </c>
      <c r="AH2025" s="75">
        <v>0</v>
      </c>
      <c r="AI2025" s="75">
        <v>0</v>
      </c>
      <c r="AJ2025" s="75">
        <v>0</v>
      </c>
      <c r="AK2025" s="75">
        <v>0</v>
      </c>
      <c r="AL2025" s="95">
        <v>1</v>
      </c>
      <c r="AM2025" s="92">
        <v>0</v>
      </c>
      <c r="AN2025" s="79" t="s">
        <v>195</v>
      </c>
      <c r="AO2025" s="75">
        <v>1</v>
      </c>
      <c r="AP2025" s="75" t="s">
        <v>85</v>
      </c>
      <c r="AQ2025" s="122">
        <v>1</v>
      </c>
      <c r="AR2025" s="515" t="s">
        <v>10</v>
      </c>
      <c r="AS2025" s="95">
        <v>0</v>
      </c>
      <c r="AT2025" s="75">
        <v>0</v>
      </c>
      <c r="AU2025" s="75">
        <v>0</v>
      </c>
      <c r="AV2025" s="75">
        <v>0</v>
      </c>
      <c r="AW2025" s="123">
        <v>0</v>
      </c>
      <c r="AX2025" s="516" t="s">
        <v>758</v>
      </c>
      <c r="AY2025" s="75">
        <v>1</v>
      </c>
      <c r="AZ2025" s="77" t="s">
        <v>131</v>
      </c>
      <c r="BA2025" s="78" t="s">
        <v>131</v>
      </c>
      <c r="BB2025" s="78" t="s">
        <v>131</v>
      </c>
      <c r="BC2025" s="78" t="s">
        <v>131</v>
      </c>
      <c r="BD2025" s="78" t="s">
        <v>131</v>
      </c>
      <c r="BE2025" s="78" t="s">
        <v>131</v>
      </c>
      <c r="BF2025" s="78" t="s">
        <v>131</v>
      </c>
      <c r="BG2025" s="78" t="s">
        <v>132</v>
      </c>
      <c r="BH2025" s="75" t="s">
        <v>5970</v>
      </c>
      <c r="BI2025" s="295" t="s">
        <v>2249</v>
      </c>
      <c r="BJ2025" s="546">
        <v>1</v>
      </c>
      <c r="BK2025" s="294">
        <v>1</v>
      </c>
      <c r="BL2025" s="157">
        <v>1</v>
      </c>
      <c r="BM2025" s="548" t="s">
        <v>1341</v>
      </c>
      <c r="BN2025" s="548" t="s">
        <v>1339</v>
      </c>
      <c r="BO2025" s="157" t="s">
        <v>4418</v>
      </c>
      <c r="BP2025" s="548" t="s">
        <v>4419</v>
      </c>
      <c r="BQ2025" s="157" t="s">
        <v>4232</v>
      </c>
      <c r="BR2025" s="157"/>
    </row>
    <row r="2026" spans="1:70" x14ac:dyDescent="0.25">
      <c r="A2026" s="19" t="s">
        <v>3686</v>
      </c>
      <c r="B2026" s="37" t="s">
        <v>756</v>
      </c>
      <c r="C2026" s="90">
        <v>44319.989884259259</v>
      </c>
      <c r="D2026" s="114">
        <v>44319.739884259259</v>
      </c>
      <c r="E2026" s="38">
        <v>44319</v>
      </c>
      <c r="F2026" s="91">
        <v>2021</v>
      </c>
      <c r="G2026" s="93">
        <v>5</v>
      </c>
      <c r="H2026" s="37" t="s">
        <v>595</v>
      </c>
      <c r="I2026" s="37" t="s">
        <v>16</v>
      </c>
      <c r="J2026" s="103">
        <v>-92.074243319181804</v>
      </c>
      <c r="K2026" s="40">
        <v>43.88108723418523</v>
      </c>
      <c r="L2026" s="74"/>
      <c r="M2026" s="272" t="s">
        <v>16</v>
      </c>
      <c r="N2026" s="74">
        <v>0</v>
      </c>
      <c r="O2026" s="94"/>
      <c r="P2026" s="118">
        <v>1</v>
      </c>
      <c r="Q2026" s="510">
        <v>80</v>
      </c>
      <c r="R2026" s="513">
        <v>180</v>
      </c>
      <c r="S2026" s="41"/>
      <c r="T2026" s="40"/>
      <c r="U2026" s="40">
        <v>7</v>
      </c>
      <c r="V2026" s="119">
        <v>1</v>
      </c>
      <c r="W2026" s="40">
        <v>200</v>
      </c>
      <c r="X2026" s="119">
        <v>1</v>
      </c>
      <c r="Y2026" s="40">
        <v>47</v>
      </c>
      <c r="Z2026" s="119">
        <v>1</v>
      </c>
      <c r="AA2026" s="368">
        <v>0</v>
      </c>
      <c r="AB2026" s="535">
        <v>2</v>
      </c>
      <c r="AC2026" s="39" t="s">
        <v>160</v>
      </c>
      <c r="AD2026" s="75" t="s">
        <v>10</v>
      </c>
      <c r="AE2026" s="95">
        <v>0</v>
      </c>
      <c r="AF2026" s="75">
        <v>0</v>
      </c>
      <c r="AG2026" s="75">
        <v>0</v>
      </c>
      <c r="AH2026" s="75">
        <v>0</v>
      </c>
      <c r="AI2026" s="75">
        <v>0</v>
      </c>
      <c r="AJ2026" s="75">
        <v>0</v>
      </c>
      <c r="AK2026" s="75">
        <v>0</v>
      </c>
      <c r="AL2026" s="95">
        <v>1</v>
      </c>
      <c r="AM2026" s="92">
        <v>0</v>
      </c>
      <c r="AN2026" s="79"/>
      <c r="AO2026" s="75">
        <v>0</v>
      </c>
      <c r="AP2026" s="75" t="s">
        <v>84</v>
      </c>
      <c r="AQ2026" s="122">
        <v>1</v>
      </c>
      <c r="AR2026" s="515" t="s">
        <v>13</v>
      </c>
      <c r="AS2026" s="95">
        <v>1</v>
      </c>
      <c r="AT2026" s="75">
        <v>0</v>
      </c>
      <c r="AU2026" s="75">
        <v>0</v>
      </c>
      <c r="AV2026" s="75">
        <v>0</v>
      </c>
      <c r="AW2026" s="123">
        <v>0</v>
      </c>
      <c r="AX2026" s="516"/>
      <c r="AY2026" s="75">
        <v>0</v>
      </c>
      <c r="AZ2026" s="77" t="s">
        <v>131</v>
      </c>
      <c r="BA2026" s="78" t="s">
        <v>131</v>
      </c>
      <c r="BB2026" s="78" t="s">
        <v>131</v>
      </c>
      <c r="BC2026" s="78" t="s">
        <v>131</v>
      </c>
      <c r="BD2026" s="78" t="s">
        <v>131</v>
      </c>
      <c r="BE2026" s="78" t="s">
        <v>131</v>
      </c>
      <c r="BF2026" s="78" t="s">
        <v>131</v>
      </c>
      <c r="BG2026" s="78" t="s">
        <v>132</v>
      </c>
      <c r="BH2026" s="75" t="s">
        <v>5970</v>
      </c>
      <c r="BI2026" s="295" t="s">
        <v>2235</v>
      </c>
      <c r="BJ2026" s="546">
        <v>1</v>
      </c>
      <c r="BK2026" s="294" t="s">
        <v>16</v>
      </c>
      <c r="BL2026" s="157" t="s">
        <v>16</v>
      </c>
      <c r="BM2026" s="548" t="s">
        <v>1339</v>
      </c>
      <c r="BN2026" s="548" t="s">
        <v>544</v>
      </c>
      <c r="BO2026" s="157" t="s">
        <v>4695</v>
      </c>
      <c r="BP2026" s="548" t="s">
        <v>2235</v>
      </c>
      <c r="BQ2026" s="157" t="s">
        <v>4319</v>
      </c>
      <c r="BR2026" s="157"/>
    </row>
    <row r="2027" spans="1:70" x14ac:dyDescent="0.25">
      <c r="A2027" s="19" t="s">
        <v>3686</v>
      </c>
      <c r="B2027" s="37" t="s">
        <v>755</v>
      </c>
      <c r="C2027" s="90">
        <v>44319.957777777781</v>
      </c>
      <c r="D2027" s="114">
        <v>44319.707777777781</v>
      </c>
      <c r="E2027" s="38">
        <v>44319</v>
      </c>
      <c r="F2027" s="91">
        <v>2021</v>
      </c>
      <c r="G2027" s="93">
        <v>5</v>
      </c>
      <c r="H2027" s="37" t="s">
        <v>595</v>
      </c>
      <c r="I2027" s="37" t="s">
        <v>146</v>
      </c>
      <c r="J2027" s="103">
        <v>-92.045837962469676</v>
      </c>
      <c r="K2027" s="40">
        <v>43.841422157990102</v>
      </c>
      <c r="L2027" s="74"/>
      <c r="M2027" s="272" t="s">
        <v>16</v>
      </c>
      <c r="N2027" s="74">
        <v>0</v>
      </c>
      <c r="O2027" s="94"/>
      <c r="P2027" s="118">
        <v>1</v>
      </c>
      <c r="Q2027" s="510">
        <v>180</v>
      </c>
      <c r="R2027" s="513">
        <v>180</v>
      </c>
      <c r="S2027" s="41"/>
      <c r="T2027" s="40"/>
      <c r="U2027" s="40">
        <v>7</v>
      </c>
      <c r="V2027" s="119">
        <v>1</v>
      </c>
      <c r="W2027" s="40">
        <v>100</v>
      </c>
      <c r="X2027" s="119">
        <v>1</v>
      </c>
      <c r="Y2027" s="40">
        <v>46</v>
      </c>
      <c r="Z2027" s="119">
        <v>1</v>
      </c>
      <c r="AA2027" s="368">
        <v>0</v>
      </c>
      <c r="AB2027" s="535">
        <v>5</v>
      </c>
      <c r="AC2027" s="39" t="s">
        <v>160</v>
      </c>
      <c r="AD2027" s="75" t="s">
        <v>16</v>
      </c>
      <c r="AE2027" s="95">
        <v>-1</v>
      </c>
      <c r="AF2027" s="75">
        <v>-1</v>
      </c>
      <c r="AG2027" s="75">
        <v>-1</v>
      </c>
      <c r="AH2027" s="75">
        <v>-1</v>
      </c>
      <c r="AI2027" s="75">
        <v>-1</v>
      </c>
      <c r="AJ2027" s="75">
        <v>-1</v>
      </c>
      <c r="AK2027" s="75">
        <v>-1</v>
      </c>
      <c r="AL2027" s="95">
        <v>-1</v>
      </c>
      <c r="AM2027" s="92">
        <v>1</v>
      </c>
      <c r="AN2027" s="79"/>
      <c r="AO2027" s="75">
        <v>0</v>
      </c>
      <c r="AP2027" s="75" t="s">
        <v>84</v>
      </c>
      <c r="AQ2027" s="122">
        <v>1</v>
      </c>
      <c r="AR2027" s="515" t="s">
        <v>13</v>
      </c>
      <c r="AS2027" s="95">
        <v>1</v>
      </c>
      <c r="AT2027" s="75">
        <v>0</v>
      </c>
      <c r="AU2027" s="75">
        <v>0</v>
      </c>
      <c r="AV2027" s="75">
        <v>0</v>
      </c>
      <c r="AW2027" s="123">
        <v>0</v>
      </c>
      <c r="AX2027" s="516"/>
      <c r="AY2027" s="75">
        <v>0</v>
      </c>
      <c r="AZ2027" s="77" t="s">
        <v>5971</v>
      </c>
      <c r="BA2027" s="78" t="s">
        <v>5971</v>
      </c>
      <c r="BB2027" s="78" t="s">
        <v>5971</v>
      </c>
      <c r="BC2027" s="78" t="s">
        <v>5971</v>
      </c>
      <c r="BD2027" s="78" t="s">
        <v>5971</v>
      </c>
      <c r="BE2027" s="78" t="s">
        <v>5971</v>
      </c>
      <c r="BF2027" s="78" t="s">
        <v>5971</v>
      </c>
      <c r="BG2027" s="78" t="s">
        <v>5971</v>
      </c>
      <c r="BH2027" s="75" t="s">
        <v>5971</v>
      </c>
      <c r="BI2027" s="295" t="s">
        <v>2235</v>
      </c>
      <c r="BJ2027" s="546">
        <v>1</v>
      </c>
      <c r="BK2027" s="294" t="s">
        <v>16</v>
      </c>
      <c r="BL2027" s="157" t="s">
        <v>16</v>
      </c>
      <c r="BM2027" s="548" t="s">
        <v>1339</v>
      </c>
      <c r="BN2027" s="548" t="s">
        <v>544</v>
      </c>
      <c r="BO2027" s="157" t="s">
        <v>4695</v>
      </c>
      <c r="BP2027" s="548" t="s">
        <v>2235</v>
      </c>
      <c r="BQ2027" s="157" t="s">
        <v>4319</v>
      </c>
      <c r="BR2027" s="157"/>
    </row>
    <row r="2028" spans="1:70" x14ac:dyDescent="0.25">
      <c r="A2028" s="19" t="s">
        <v>3686</v>
      </c>
      <c r="B2028" s="37" t="s">
        <v>752</v>
      </c>
      <c r="C2028" s="90">
        <v>44319.726145833331</v>
      </c>
      <c r="D2028" s="114">
        <v>44319.476145833331</v>
      </c>
      <c r="E2028" s="38">
        <v>44319</v>
      </c>
      <c r="F2028" s="91">
        <v>2021</v>
      </c>
      <c r="G2028" s="93">
        <v>5</v>
      </c>
      <c r="H2028" s="37" t="s">
        <v>625</v>
      </c>
      <c r="I2028" s="37" t="s">
        <v>753</v>
      </c>
      <c r="J2028" s="103">
        <v>-92.802135899999996</v>
      </c>
      <c r="K2028" s="40">
        <v>44.543069600000003</v>
      </c>
      <c r="L2028" s="74"/>
      <c r="M2028" s="272" t="s">
        <v>16</v>
      </c>
      <c r="N2028" s="74">
        <v>0</v>
      </c>
      <c r="O2028" s="94"/>
      <c r="P2028" s="118">
        <v>0</v>
      </c>
      <c r="Q2028" s="510"/>
      <c r="R2028" s="513"/>
      <c r="S2028" s="41"/>
      <c r="T2028" s="40"/>
      <c r="U2028" s="40"/>
      <c r="V2028" s="119">
        <v>0</v>
      </c>
      <c r="W2028" s="40"/>
      <c r="X2028" s="119">
        <v>1</v>
      </c>
      <c r="Y2028" s="40">
        <v>54</v>
      </c>
      <c r="Z2028" s="119">
        <v>0</v>
      </c>
      <c r="AA2028" s="368" t="s">
        <v>16</v>
      </c>
      <c r="AB2028" s="535" t="s">
        <v>16</v>
      </c>
      <c r="AC2028" s="39" t="s">
        <v>160</v>
      </c>
      <c r="AD2028" s="75" t="s">
        <v>10</v>
      </c>
      <c r="AE2028" s="95">
        <v>0</v>
      </c>
      <c r="AF2028" s="75">
        <v>0</v>
      </c>
      <c r="AG2028" s="75">
        <v>0</v>
      </c>
      <c r="AH2028" s="75">
        <v>0</v>
      </c>
      <c r="AI2028" s="75">
        <v>0</v>
      </c>
      <c r="AJ2028" s="75">
        <v>0</v>
      </c>
      <c r="AK2028" s="75">
        <v>0</v>
      </c>
      <c r="AL2028" s="95">
        <v>1</v>
      </c>
      <c r="AM2028" s="92">
        <v>0</v>
      </c>
      <c r="AN2028" s="79" t="s">
        <v>81</v>
      </c>
      <c r="AO2028" s="75">
        <v>1</v>
      </c>
      <c r="AP2028" s="75" t="s">
        <v>83</v>
      </c>
      <c r="AQ2028" s="122">
        <v>1</v>
      </c>
      <c r="AR2028" s="515" t="s">
        <v>10</v>
      </c>
      <c r="AS2028" s="95">
        <v>0</v>
      </c>
      <c r="AT2028" s="75">
        <v>0</v>
      </c>
      <c r="AU2028" s="75">
        <v>0</v>
      </c>
      <c r="AV2028" s="75">
        <v>0</v>
      </c>
      <c r="AW2028" s="123">
        <v>0</v>
      </c>
      <c r="AX2028" s="516" t="s">
        <v>754</v>
      </c>
      <c r="AY2028" s="75">
        <v>1</v>
      </c>
      <c r="AZ2028" s="77" t="s">
        <v>131</v>
      </c>
      <c r="BA2028" s="78" t="s">
        <v>131</v>
      </c>
      <c r="BB2028" s="78" t="s">
        <v>131</v>
      </c>
      <c r="BC2028" s="78" t="s">
        <v>131</v>
      </c>
      <c r="BD2028" s="78" t="s">
        <v>131</v>
      </c>
      <c r="BE2028" s="78" t="s">
        <v>131</v>
      </c>
      <c r="BF2028" s="78" t="s">
        <v>131</v>
      </c>
      <c r="BG2028" s="78" t="s">
        <v>132</v>
      </c>
      <c r="BH2028" s="75" t="s">
        <v>5970</v>
      </c>
      <c r="BI2028" s="295" t="s">
        <v>16</v>
      </c>
      <c r="BJ2028" s="546">
        <v>1</v>
      </c>
      <c r="BK2028" s="294">
        <v>1</v>
      </c>
      <c r="BL2028" s="157">
        <v>1</v>
      </c>
      <c r="BM2028" s="548" t="s">
        <v>2343</v>
      </c>
      <c r="BN2028" s="548" t="s">
        <v>4161</v>
      </c>
      <c r="BO2028" s="157" t="s">
        <v>4510</v>
      </c>
      <c r="BP2028" s="548" t="s">
        <v>753</v>
      </c>
      <c r="BQ2028" s="157" t="s">
        <v>4389</v>
      </c>
      <c r="BR2028" s="157"/>
    </row>
    <row r="2029" spans="1:70" x14ac:dyDescent="0.25">
      <c r="A2029" s="19" t="s">
        <v>3686</v>
      </c>
      <c r="B2029" s="37" t="s">
        <v>751</v>
      </c>
      <c r="C2029" s="90">
        <v>44317.929282407407</v>
      </c>
      <c r="D2029" s="114">
        <v>44317.679282407407</v>
      </c>
      <c r="E2029" s="38">
        <v>44317</v>
      </c>
      <c r="F2029" s="91">
        <v>2021</v>
      </c>
      <c r="G2029" s="93">
        <v>5</v>
      </c>
      <c r="H2029" s="37" t="s">
        <v>615</v>
      </c>
      <c r="I2029" s="37"/>
      <c r="J2029" s="103">
        <v>-91.980447600000005</v>
      </c>
      <c r="K2029" s="40">
        <v>43.7781746</v>
      </c>
      <c r="L2029" s="74"/>
      <c r="M2029" s="272" t="s">
        <v>16</v>
      </c>
      <c r="N2029" s="74">
        <v>0</v>
      </c>
      <c r="O2029" s="94"/>
      <c r="P2029" s="118">
        <v>0</v>
      </c>
      <c r="Q2029" s="510"/>
      <c r="R2029" s="513"/>
      <c r="S2029" s="41"/>
      <c r="T2029" s="40"/>
      <c r="U2029" s="40"/>
      <c r="V2029" s="119">
        <v>0</v>
      </c>
      <c r="W2029" s="40"/>
      <c r="X2029" s="119">
        <v>0</v>
      </c>
      <c r="Y2029" s="40"/>
      <c r="Z2029" s="119">
        <v>0</v>
      </c>
      <c r="AA2029" s="368" t="s">
        <v>16</v>
      </c>
      <c r="AB2029" s="535" t="s">
        <v>16</v>
      </c>
      <c r="AC2029" s="39"/>
      <c r="AD2029" s="75" t="s">
        <v>16</v>
      </c>
      <c r="AE2029" s="95">
        <v>-1</v>
      </c>
      <c r="AF2029" s="75">
        <v>-1</v>
      </c>
      <c r="AG2029" s="75">
        <v>-1</v>
      </c>
      <c r="AH2029" s="75">
        <v>-1</v>
      </c>
      <c r="AI2029" s="75">
        <v>-1</v>
      </c>
      <c r="AJ2029" s="75">
        <v>-1</v>
      </c>
      <c r="AK2029" s="75">
        <v>-1</v>
      </c>
      <c r="AL2029" s="95">
        <v>-1</v>
      </c>
      <c r="AM2029" s="92">
        <v>1</v>
      </c>
      <c r="AN2029" s="79"/>
      <c r="AO2029" s="75">
        <v>0</v>
      </c>
      <c r="AP2029" s="75"/>
      <c r="AQ2029" s="122">
        <v>0</v>
      </c>
      <c r="AR2029" s="515" t="s">
        <v>16</v>
      </c>
      <c r="AS2029" s="95">
        <v>-1</v>
      </c>
      <c r="AT2029" s="75">
        <v>-1</v>
      </c>
      <c r="AU2029" s="75">
        <v>-1</v>
      </c>
      <c r="AV2029" s="75">
        <v>-1</v>
      </c>
      <c r="AW2029" s="123">
        <v>1</v>
      </c>
      <c r="AX2029" s="516"/>
      <c r="AY2029" s="75">
        <v>0</v>
      </c>
      <c r="AZ2029" s="77" t="s">
        <v>5971</v>
      </c>
      <c r="BA2029" s="78" t="s">
        <v>5971</v>
      </c>
      <c r="BB2029" s="78" t="s">
        <v>5971</v>
      </c>
      <c r="BC2029" s="78" t="s">
        <v>5971</v>
      </c>
      <c r="BD2029" s="78" t="s">
        <v>5971</v>
      </c>
      <c r="BE2029" s="78" t="s">
        <v>5971</v>
      </c>
      <c r="BF2029" s="78" t="s">
        <v>5971</v>
      </c>
      <c r="BG2029" s="78" t="s">
        <v>5971</v>
      </c>
      <c r="BH2029" s="75" t="s">
        <v>5971</v>
      </c>
      <c r="BI2029" s="295" t="s">
        <v>2252</v>
      </c>
      <c r="BJ2029" s="546">
        <v>1</v>
      </c>
      <c r="BK2029" s="294" t="s">
        <v>16</v>
      </c>
      <c r="BL2029" s="157" t="s">
        <v>16</v>
      </c>
      <c r="BM2029" s="548" t="s">
        <v>1339</v>
      </c>
      <c r="BN2029" s="548" t="s">
        <v>4161</v>
      </c>
      <c r="BO2029" s="157" t="s">
        <v>4643</v>
      </c>
      <c r="BP2029" s="548" t="s">
        <v>4644</v>
      </c>
      <c r="BQ2029" s="157" t="s">
        <v>4319</v>
      </c>
      <c r="BR2029" s="157"/>
    </row>
    <row r="2030" spans="1:70" x14ac:dyDescent="0.25">
      <c r="A2030" s="19" t="s">
        <v>3686</v>
      </c>
      <c r="B2030" s="37" t="s">
        <v>750</v>
      </c>
      <c r="C2030" s="90">
        <v>44317.929201388892</v>
      </c>
      <c r="D2030" s="114">
        <v>44317.679201388892</v>
      </c>
      <c r="E2030" s="38">
        <v>44317</v>
      </c>
      <c r="F2030" s="91">
        <v>2021</v>
      </c>
      <c r="G2030" s="93">
        <v>5</v>
      </c>
      <c r="H2030" s="37" t="s">
        <v>615</v>
      </c>
      <c r="I2030" s="37"/>
      <c r="J2030" s="103">
        <v>-91.9803079</v>
      </c>
      <c r="K2030" s="40">
        <v>43.778136799999999</v>
      </c>
      <c r="L2030" s="74"/>
      <c r="M2030" s="272" t="s">
        <v>16</v>
      </c>
      <c r="N2030" s="74">
        <v>0</v>
      </c>
      <c r="O2030" s="94"/>
      <c r="P2030" s="118">
        <v>1</v>
      </c>
      <c r="Q2030" s="510">
        <v>80</v>
      </c>
      <c r="R2030" s="513">
        <v>120</v>
      </c>
      <c r="S2030" s="41"/>
      <c r="T2030" s="40"/>
      <c r="U2030" s="40">
        <v>8</v>
      </c>
      <c r="V2030" s="119">
        <v>1</v>
      </c>
      <c r="W2030" s="40">
        <v>0</v>
      </c>
      <c r="X2030" s="119">
        <v>1</v>
      </c>
      <c r="Y2030" s="40">
        <v>58</v>
      </c>
      <c r="Z2030" s="119">
        <v>0</v>
      </c>
      <c r="AA2030" s="368" t="s">
        <v>16</v>
      </c>
      <c r="AB2030" s="535" t="s">
        <v>16</v>
      </c>
      <c r="AC2030" s="39" t="s">
        <v>160</v>
      </c>
      <c r="AD2030" s="75" t="s">
        <v>427</v>
      </c>
      <c r="AE2030" s="95">
        <v>0</v>
      </c>
      <c r="AF2030" s="75">
        <v>0</v>
      </c>
      <c r="AG2030" s="75">
        <v>0</v>
      </c>
      <c r="AH2030" s="75">
        <v>0</v>
      </c>
      <c r="AI2030" s="75">
        <v>0</v>
      </c>
      <c r="AJ2030" s="75">
        <v>1</v>
      </c>
      <c r="AK2030" s="75">
        <v>0</v>
      </c>
      <c r="AL2030" s="95">
        <v>0</v>
      </c>
      <c r="AM2030" s="92">
        <v>0</v>
      </c>
      <c r="AN2030" s="79" t="s">
        <v>80</v>
      </c>
      <c r="AO2030" s="75">
        <v>1</v>
      </c>
      <c r="AP2030" s="75" t="s">
        <v>83</v>
      </c>
      <c r="AQ2030" s="122">
        <v>1</v>
      </c>
      <c r="AR2030" s="515" t="s">
        <v>10</v>
      </c>
      <c r="AS2030" s="95">
        <v>0</v>
      </c>
      <c r="AT2030" s="75">
        <v>0</v>
      </c>
      <c r="AU2030" s="75">
        <v>0</v>
      </c>
      <c r="AV2030" s="75">
        <v>0</v>
      </c>
      <c r="AW2030" s="123">
        <v>0</v>
      </c>
      <c r="AX2030" s="516"/>
      <c r="AY2030" s="75">
        <v>0</v>
      </c>
      <c r="AZ2030" s="77" t="s">
        <v>131</v>
      </c>
      <c r="BA2030" s="78" t="s">
        <v>131</v>
      </c>
      <c r="BB2030" s="78" t="s">
        <v>131</v>
      </c>
      <c r="BC2030" s="78" t="s">
        <v>131</v>
      </c>
      <c r="BD2030" s="78" t="s">
        <v>131</v>
      </c>
      <c r="BE2030" s="78" t="s">
        <v>132</v>
      </c>
      <c r="BF2030" s="78" t="s">
        <v>131</v>
      </c>
      <c r="BG2030" s="78" t="s">
        <v>131</v>
      </c>
      <c r="BH2030" s="75" t="s">
        <v>5970</v>
      </c>
      <c r="BI2030" s="295" t="s">
        <v>2252</v>
      </c>
      <c r="BJ2030" s="546">
        <v>1</v>
      </c>
      <c r="BK2030" s="294" t="s">
        <v>16</v>
      </c>
      <c r="BL2030" s="157" t="s">
        <v>16</v>
      </c>
      <c r="BM2030" s="548" t="s">
        <v>1339</v>
      </c>
      <c r="BN2030" s="548" t="s">
        <v>4161</v>
      </c>
      <c r="BO2030" s="157" t="s">
        <v>4643</v>
      </c>
      <c r="BP2030" s="548" t="s">
        <v>4644</v>
      </c>
      <c r="BQ2030" s="157" t="s">
        <v>4319</v>
      </c>
      <c r="BR2030" s="157"/>
    </row>
    <row r="2031" spans="1:70" x14ac:dyDescent="0.25">
      <c r="A2031" s="19" t="s">
        <v>3686</v>
      </c>
      <c r="B2031" s="37" t="s">
        <v>749</v>
      </c>
      <c r="C2031" s="90">
        <v>44317.917523148149</v>
      </c>
      <c r="D2031" s="114">
        <v>44317.667523148149</v>
      </c>
      <c r="E2031" s="38">
        <v>44317</v>
      </c>
      <c r="F2031" s="91">
        <v>2021</v>
      </c>
      <c r="G2031" s="93">
        <v>5</v>
      </c>
      <c r="H2031" s="37" t="s">
        <v>600</v>
      </c>
      <c r="I2031" s="37"/>
      <c r="J2031" s="103">
        <v>-92.115133906407138</v>
      </c>
      <c r="K2031" s="40">
        <v>44.022228823073334</v>
      </c>
      <c r="L2031" s="74"/>
      <c r="M2031" s="272" t="s">
        <v>16</v>
      </c>
      <c r="N2031" s="74">
        <v>0</v>
      </c>
      <c r="O2031" s="94"/>
      <c r="P2031" s="118">
        <v>1</v>
      </c>
      <c r="Q2031" s="510">
        <v>180</v>
      </c>
      <c r="R2031" s="513">
        <v>120</v>
      </c>
      <c r="S2031" s="41"/>
      <c r="T2031" s="40"/>
      <c r="U2031" s="40">
        <v>8</v>
      </c>
      <c r="V2031" s="119">
        <v>1</v>
      </c>
      <c r="W2031" s="40">
        <v>0</v>
      </c>
      <c r="X2031" s="119">
        <v>1</v>
      </c>
      <c r="Y2031" s="40">
        <v>56</v>
      </c>
      <c r="Z2031" s="119">
        <v>1</v>
      </c>
      <c r="AA2031" s="368">
        <v>0</v>
      </c>
      <c r="AB2031" s="535">
        <v>10</v>
      </c>
      <c r="AC2031" s="39" t="s">
        <v>160</v>
      </c>
      <c r="AD2031" s="75" t="s">
        <v>16</v>
      </c>
      <c r="AE2031" s="95">
        <v>-1</v>
      </c>
      <c r="AF2031" s="75">
        <v>-1</v>
      </c>
      <c r="AG2031" s="75">
        <v>-1</v>
      </c>
      <c r="AH2031" s="75">
        <v>-1</v>
      </c>
      <c r="AI2031" s="75">
        <v>-1</v>
      </c>
      <c r="AJ2031" s="75">
        <v>-1</v>
      </c>
      <c r="AK2031" s="75">
        <v>-1</v>
      </c>
      <c r="AL2031" s="95">
        <v>-1</v>
      </c>
      <c r="AM2031" s="92">
        <v>1</v>
      </c>
      <c r="AN2031" s="79" t="s">
        <v>80</v>
      </c>
      <c r="AO2031" s="75">
        <v>1</v>
      </c>
      <c r="AP2031" s="75" t="s">
        <v>83</v>
      </c>
      <c r="AQ2031" s="122">
        <v>1</v>
      </c>
      <c r="AR2031" s="515" t="s">
        <v>10</v>
      </c>
      <c r="AS2031" s="95">
        <v>0</v>
      </c>
      <c r="AT2031" s="75">
        <v>0</v>
      </c>
      <c r="AU2031" s="75">
        <v>0</v>
      </c>
      <c r="AV2031" s="75">
        <v>0</v>
      </c>
      <c r="AW2031" s="123">
        <v>0</v>
      </c>
      <c r="AX2031" s="516"/>
      <c r="AY2031" s="75">
        <v>0</v>
      </c>
      <c r="AZ2031" s="77" t="s">
        <v>5971</v>
      </c>
      <c r="BA2031" s="78" t="s">
        <v>5971</v>
      </c>
      <c r="BB2031" s="78" t="s">
        <v>5971</v>
      </c>
      <c r="BC2031" s="78" t="s">
        <v>5971</v>
      </c>
      <c r="BD2031" s="78" t="s">
        <v>5971</v>
      </c>
      <c r="BE2031" s="78" t="s">
        <v>5971</v>
      </c>
      <c r="BF2031" s="78" t="s">
        <v>5971</v>
      </c>
      <c r="BG2031" s="78" t="s">
        <v>5971</v>
      </c>
      <c r="BH2031" s="75" t="s">
        <v>5971</v>
      </c>
      <c r="BI2031" s="295" t="s">
        <v>2262</v>
      </c>
      <c r="BJ2031" s="546">
        <v>1</v>
      </c>
      <c r="BK2031" s="294">
        <v>1</v>
      </c>
      <c r="BL2031" s="157">
        <v>1</v>
      </c>
      <c r="BM2031" s="548" t="s">
        <v>1339</v>
      </c>
      <c r="BN2031" s="548" t="s">
        <v>1339</v>
      </c>
      <c r="BO2031" s="157" t="s">
        <v>4364</v>
      </c>
      <c r="BP2031" s="548" t="s">
        <v>2292</v>
      </c>
      <c r="BQ2031" s="157" t="s">
        <v>4361</v>
      </c>
      <c r="BR2031" s="157"/>
    </row>
    <row r="2032" spans="1:70" x14ac:dyDescent="0.25">
      <c r="A2032" s="19" t="s">
        <v>3686</v>
      </c>
      <c r="B2032" s="37" t="s">
        <v>748</v>
      </c>
      <c r="C2032" s="90">
        <v>44317.602013888885</v>
      </c>
      <c r="D2032" s="114">
        <v>44317.352013888885</v>
      </c>
      <c r="E2032" s="38">
        <v>44317</v>
      </c>
      <c r="F2032" s="91">
        <v>2021</v>
      </c>
      <c r="G2032" s="93">
        <v>5</v>
      </c>
      <c r="H2032" s="37" t="s">
        <v>615</v>
      </c>
      <c r="I2032" s="37" t="s">
        <v>16</v>
      </c>
      <c r="J2032" s="103">
        <v>-91.781352100000007</v>
      </c>
      <c r="K2032" s="40">
        <v>43.659127699999999</v>
      </c>
      <c r="L2032" s="74"/>
      <c r="M2032" s="272" t="s">
        <v>16</v>
      </c>
      <c r="N2032" s="74">
        <v>0</v>
      </c>
      <c r="O2032" s="94"/>
      <c r="P2032" s="118">
        <v>1</v>
      </c>
      <c r="Q2032" s="510">
        <v>80</v>
      </c>
      <c r="R2032" s="513">
        <v>120</v>
      </c>
      <c r="S2032" s="41"/>
      <c r="T2032" s="40"/>
      <c r="U2032" s="40">
        <v>8</v>
      </c>
      <c r="V2032" s="119">
        <v>0</v>
      </c>
      <c r="W2032" s="40"/>
      <c r="X2032" s="119">
        <v>1</v>
      </c>
      <c r="Y2032" s="40">
        <v>48</v>
      </c>
      <c r="Z2032" s="119">
        <v>0</v>
      </c>
      <c r="AA2032" s="368" t="s">
        <v>16</v>
      </c>
      <c r="AB2032" s="535" t="s">
        <v>16</v>
      </c>
      <c r="AC2032" s="39" t="s">
        <v>160</v>
      </c>
      <c r="AD2032" s="75" t="s">
        <v>10</v>
      </c>
      <c r="AE2032" s="95">
        <v>0</v>
      </c>
      <c r="AF2032" s="75">
        <v>0</v>
      </c>
      <c r="AG2032" s="75">
        <v>0</v>
      </c>
      <c r="AH2032" s="75">
        <v>0</v>
      </c>
      <c r="AI2032" s="75">
        <v>0</v>
      </c>
      <c r="AJ2032" s="75">
        <v>0</v>
      </c>
      <c r="AK2032" s="75">
        <v>0</v>
      </c>
      <c r="AL2032" s="95">
        <v>1</v>
      </c>
      <c r="AM2032" s="92">
        <v>0</v>
      </c>
      <c r="AN2032" s="79" t="s">
        <v>81</v>
      </c>
      <c r="AO2032" s="75">
        <v>1</v>
      </c>
      <c r="AP2032" s="75" t="s">
        <v>83</v>
      </c>
      <c r="AQ2032" s="122">
        <v>1</v>
      </c>
      <c r="AR2032" s="515" t="s">
        <v>10</v>
      </c>
      <c r="AS2032" s="95">
        <v>0</v>
      </c>
      <c r="AT2032" s="75">
        <v>0</v>
      </c>
      <c r="AU2032" s="75">
        <v>0</v>
      </c>
      <c r="AV2032" s="75">
        <v>0</v>
      </c>
      <c r="AW2032" s="123">
        <v>0</v>
      </c>
      <c r="AX2032" s="516"/>
      <c r="AY2032" s="75">
        <v>0</v>
      </c>
      <c r="AZ2032" s="77" t="s">
        <v>131</v>
      </c>
      <c r="BA2032" s="78" t="s">
        <v>131</v>
      </c>
      <c r="BB2032" s="78" t="s">
        <v>131</v>
      </c>
      <c r="BC2032" s="78" t="s">
        <v>131</v>
      </c>
      <c r="BD2032" s="78" t="s">
        <v>131</v>
      </c>
      <c r="BE2032" s="78" t="s">
        <v>131</v>
      </c>
      <c r="BF2032" s="78" t="s">
        <v>131</v>
      </c>
      <c r="BG2032" s="78" t="s">
        <v>132</v>
      </c>
      <c r="BH2032" s="75" t="s">
        <v>5970</v>
      </c>
      <c r="BI2032" s="295" t="s">
        <v>16</v>
      </c>
      <c r="BJ2032" s="546">
        <v>1</v>
      </c>
      <c r="BK2032" s="294">
        <v>1</v>
      </c>
      <c r="BL2032" s="157">
        <v>1</v>
      </c>
      <c r="BM2032" s="548" t="s">
        <v>1341</v>
      </c>
      <c r="BN2032" s="548" t="s">
        <v>4161</v>
      </c>
      <c r="BO2032" s="157" t="s">
        <v>4418</v>
      </c>
      <c r="BP2032" s="548" t="s">
        <v>4419</v>
      </c>
      <c r="BQ2032" s="157" t="s">
        <v>4232</v>
      </c>
      <c r="BR2032" s="157"/>
    </row>
    <row r="2033" spans="1:70" x14ac:dyDescent="0.25">
      <c r="A2033" s="19" t="s">
        <v>3686</v>
      </c>
      <c r="B2033" s="37" t="s">
        <v>747</v>
      </c>
      <c r="C2033" s="90">
        <v>44317.601909722223</v>
      </c>
      <c r="D2033" s="114">
        <v>44317.351909722223</v>
      </c>
      <c r="E2033" s="38">
        <v>44317</v>
      </c>
      <c r="F2033" s="91">
        <v>2021</v>
      </c>
      <c r="G2033" s="93">
        <v>5</v>
      </c>
      <c r="H2033" s="37" t="s">
        <v>615</v>
      </c>
      <c r="I2033" s="37"/>
      <c r="J2033" s="103">
        <v>-91.790297499999994</v>
      </c>
      <c r="K2033" s="40">
        <v>43.639523500000003</v>
      </c>
      <c r="L2033" s="74"/>
      <c r="M2033" s="272" t="s">
        <v>16</v>
      </c>
      <c r="N2033" s="74">
        <v>0</v>
      </c>
      <c r="O2033" s="94"/>
      <c r="P2033" s="118">
        <v>0</v>
      </c>
      <c r="Q2033" s="510"/>
      <c r="R2033" s="513"/>
      <c r="S2033" s="41"/>
      <c r="T2033" s="40"/>
      <c r="U2033" s="40"/>
      <c r="V2033" s="119">
        <v>0</v>
      </c>
      <c r="W2033" s="40"/>
      <c r="X2033" s="119">
        <v>0</v>
      </c>
      <c r="Y2033" s="40"/>
      <c r="Z2033" s="119">
        <v>0</v>
      </c>
      <c r="AA2033" s="368" t="s">
        <v>16</v>
      </c>
      <c r="AB2033" s="535" t="s">
        <v>16</v>
      </c>
      <c r="AC2033" s="39"/>
      <c r="AD2033" s="75" t="s">
        <v>16</v>
      </c>
      <c r="AE2033" s="95">
        <v>-1</v>
      </c>
      <c r="AF2033" s="75">
        <v>-1</v>
      </c>
      <c r="AG2033" s="75">
        <v>-1</v>
      </c>
      <c r="AH2033" s="75">
        <v>-1</v>
      </c>
      <c r="AI2033" s="75">
        <v>-1</v>
      </c>
      <c r="AJ2033" s="75">
        <v>-1</v>
      </c>
      <c r="AK2033" s="75">
        <v>-1</v>
      </c>
      <c r="AL2033" s="95">
        <v>-1</v>
      </c>
      <c r="AM2033" s="92">
        <v>1</v>
      </c>
      <c r="AN2033" s="79"/>
      <c r="AO2033" s="75">
        <v>0</v>
      </c>
      <c r="AP2033" s="75"/>
      <c r="AQ2033" s="122">
        <v>0</v>
      </c>
      <c r="AR2033" s="515" t="s">
        <v>16</v>
      </c>
      <c r="AS2033" s="95">
        <v>-1</v>
      </c>
      <c r="AT2033" s="75">
        <v>-1</v>
      </c>
      <c r="AU2033" s="75">
        <v>-1</v>
      </c>
      <c r="AV2033" s="75">
        <v>-1</v>
      </c>
      <c r="AW2033" s="123">
        <v>1</v>
      </c>
      <c r="AX2033" s="516"/>
      <c r="AY2033" s="75">
        <v>0</v>
      </c>
      <c r="AZ2033" s="77" t="s">
        <v>5971</v>
      </c>
      <c r="BA2033" s="78" t="s">
        <v>5971</v>
      </c>
      <c r="BB2033" s="78" t="s">
        <v>5971</v>
      </c>
      <c r="BC2033" s="78" t="s">
        <v>5971</v>
      </c>
      <c r="BD2033" s="78" t="s">
        <v>5971</v>
      </c>
      <c r="BE2033" s="78" t="s">
        <v>5971</v>
      </c>
      <c r="BF2033" s="78" t="s">
        <v>5971</v>
      </c>
      <c r="BG2033" s="78" t="s">
        <v>5971</v>
      </c>
      <c r="BH2033" s="75" t="s">
        <v>5971</v>
      </c>
      <c r="BI2033" s="295">
        <v>0</v>
      </c>
      <c r="BJ2033" s="546" t="s">
        <v>16</v>
      </c>
      <c r="BK2033" s="294" t="s">
        <v>16</v>
      </c>
      <c r="BL2033" s="157" t="s">
        <v>16</v>
      </c>
      <c r="BM2033" s="548" t="s">
        <v>1341</v>
      </c>
      <c r="BN2033" s="548" t="s">
        <v>4161</v>
      </c>
      <c r="BO2033" s="157" t="s">
        <v>4418</v>
      </c>
      <c r="BP2033" s="548" t="s">
        <v>4419</v>
      </c>
      <c r="BQ2033" s="157" t="s">
        <v>4232</v>
      </c>
      <c r="BR2033" s="157"/>
    </row>
    <row r="2034" spans="1:70" x14ac:dyDescent="0.25">
      <c r="A2034" s="19" t="s">
        <v>3686</v>
      </c>
      <c r="B2034" s="37" t="s">
        <v>746</v>
      </c>
      <c r="C2034" s="90">
        <v>44317.57435185185</v>
      </c>
      <c r="D2034" s="114">
        <v>44317.32435185185</v>
      </c>
      <c r="E2034" s="38">
        <v>44317</v>
      </c>
      <c r="F2034" s="91">
        <v>2021</v>
      </c>
      <c r="G2034" s="93">
        <v>5</v>
      </c>
      <c r="H2034" s="37" t="s">
        <v>615</v>
      </c>
      <c r="I2034" s="37" t="s">
        <v>16</v>
      </c>
      <c r="J2034" s="103">
        <v>-91.784232299999999</v>
      </c>
      <c r="K2034" s="40">
        <v>43.662472999999999</v>
      </c>
      <c r="L2034" s="74"/>
      <c r="M2034" s="272" t="s">
        <v>16</v>
      </c>
      <c r="N2034" s="74">
        <v>0</v>
      </c>
      <c r="O2034" s="94"/>
      <c r="P2034" s="118">
        <v>1</v>
      </c>
      <c r="Q2034" s="510">
        <v>80</v>
      </c>
      <c r="R2034" s="513">
        <v>120</v>
      </c>
      <c r="S2034" s="41"/>
      <c r="T2034" s="40"/>
      <c r="U2034" s="40">
        <v>8</v>
      </c>
      <c r="V2034" s="119">
        <v>0</v>
      </c>
      <c r="W2034" s="40"/>
      <c r="X2034" s="119">
        <v>1</v>
      </c>
      <c r="Y2034" s="40">
        <v>48</v>
      </c>
      <c r="Z2034" s="119">
        <v>0</v>
      </c>
      <c r="AA2034" s="368" t="s">
        <v>16</v>
      </c>
      <c r="AB2034" s="535" t="s">
        <v>16</v>
      </c>
      <c r="AC2034" s="39" t="s">
        <v>160</v>
      </c>
      <c r="AD2034" s="75" t="s">
        <v>10</v>
      </c>
      <c r="AE2034" s="95">
        <v>0</v>
      </c>
      <c r="AF2034" s="75">
        <v>0</v>
      </c>
      <c r="AG2034" s="75">
        <v>0</v>
      </c>
      <c r="AH2034" s="75">
        <v>0</v>
      </c>
      <c r="AI2034" s="75">
        <v>0</v>
      </c>
      <c r="AJ2034" s="75">
        <v>0</v>
      </c>
      <c r="AK2034" s="75">
        <v>0</v>
      </c>
      <c r="AL2034" s="95">
        <v>1</v>
      </c>
      <c r="AM2034" s="92">
        <v>0</v>
      </c>
      <c r="AN2034" s="79" t="s">
        <v>81</v>
      </c>
      <c r="AO2034" s="75">
        <v>1</v>
      </c>
      <c r="AP2034" s="75" t="s">
        <v>83</v>
      </c>
      <c r="AQ2034" s="122">
        <v>1</v>
      </c>
      <c r="AR2034" s="515" t="s">
        <v>10</v>
      </c>
      <c r="AS2034" s="95">
        <v>0</v>
      </c>
      <c r="AT2034" s="75">
        <v>0</v>
      </c>
      <c r="AU2034" s="75">
        <v>0</v>
      </c>
      <c r="AV2034" s="75">
        <v>0</v>
      </c>
      <c r="AW2034" s="123">
        <v>0</v>
      </c>
      <c r="AX2034" s="516"/>
      <c r="AY2034" s="75">
        <v>0</v>
      </c>
      <c r="AZ2034" s="77" t="s">
        <v>131</v>
      </c>
      <c r="BA2034" s="78" t="s">
        <v>131</v>
      </c>
      <c r="BB2034" s="78" t="s">
        <v>131</v>
      </c>
      <c r="BC2034" s="78" t="s">
        <v>131</v>
      </c>
      <c r="BD2034" s="78" t="s">
        <v>131</v>
      </c>
      <c r="BE2034" s="78" t="s">
        <v>131</v>
      </c>
      <c r="BF2034" s="78" t="s">
        <v>131</v>
      </c>
      <c r="BG2034" s="78" t="s">
        <v>132</v>
      </c>
      <c r="BH2034" s="75" t="s">
        <v>5970</v>
      </c>
      <c r="BI2034" s="295" t="s">
        <v>2249</v>
      </c>
      <c r="BJ2034" s="546">
        <v>1</v>
      </c>
      <c r="BK2034" s="294">
        <v>1</v>
      </c>
      <c r="BL2034" s="157">
        <v>1</v>
      </c>
      <c r="BM2034" s="548" t="s">
        <v>1341</v>
      </c>
      <c r="BN2034" s="548" t="s">
        <v>4161</v>
      </c>
      <c r="BO2034" s="157" t="s">
        <v>4418</v>
      </c>
      <c r="BP2034" s="548" t="s">
        <v>4419</v>
      </c>
      <c r="BQ2034" s="157" t="s">
        <v>4232</v>
      </c>
      <c r="BR2034" s="157"/>
    </row>
    <row r="2035" spans="1:70" x14ac:dyDescent="0.25">
      <c r="A2035" s="19" t="s">
        <v>3686</v>
      </c>
      <c r="B2035" s="37" t="s">
        <v>745</v>
      </c>
      <c r="C2035" s="90">
        <v>44317.571377314816</v>
      </c>
      <c r="D2035" s="114">
        <v>44317.321377314816</v>
      </c>
      <c r="E2035" s="38">
        <v>44317</v>
      </c>
      <c r="F2035" s="91">
        <v>2021</v>
      </c>
      <c r="G2035" s="93">
        <v>5</v>
      </c>
      <c r="H2035" s="37" t="s">
        <v>615</v>
      </c>
      <c r="I2035" s="37" t="s">
        <v>16</v>
      </c>
      <c r="J2035" s="103">
        <v>-91.784525700000003</v>
      </c>
      <c r="K2035" s="40">
        <v>43.662572099999998</v>
      </c>
      <c r="L2035" s="74"/>
      <c r="M2035" s="272" t="s">
        <v>16</v>
      </c>
      <c r="N2035" s="74">
        <v>0</v>
      </c>
      <c r="O2035" s="94"/>
      <c r="P2035" s="118">
        <v>1</v>
      </c>
      <c r="Q2035" s="510">
        <v>80</v>
      </c>
      <c r="R2035" s="513">
        <v>120</v>
      </c>
      <c r="S2035" s="41"/>
      <c r="T2035" s="40"/>
      <c r="U2035" s="40">
        <v>8</v>
      </c>
      <c r="V2035" s="119">
        <v>0</v>
      </c>
      <c r="W2035" s="40"/>
      <c r="X2035" s="119">
        <v>1</v>
      </c>
      <c r="Y2035" s="40">
        <v>48</v>
      </c>
      <c r="Z2035" s="119">
        <v>0</v>
      </c>
      <c r="AA2035" s="368" t="s">
        <v>16</v>
      </c>
      <c r="AB2035" s="535" t="s">
        <v>16</v>
      </c>
      <c r="AC2035" s="39" t="s">
        <v>160</v>
      </c>
      <c r="AD2035" s="75" t="s">
        <v>10</v>
      </c>
      <c r="AE2035" s="95">
        <v>0</v>
      </c>
      <c r="AF2035" s="75">
        <v>0</v>
      </c>
      <c r="AG2035" s="75">
        <v>0</v>
      </c>
      <c r="AH2035" s="75">
        <v>0</v>
      </c>
      <c r="AI2035" s="75">
        <v>0</v>
      </c>
      <c r="AJ2035" s="75">
        <v>0</v>
      </c>
      <c r="AK2035" s="75">
        <v>0</v>
      </c>
      <c r="AL2035" s="95">
        <v>1</v>
      </c>
      <c r="AM2035" s="92">
        <v>0</v>
      </c>
      <c r="AN2035" s="79" t="s">
        <v>81</v>
      </c>
      <c r="AO2035" s="75">
        <v>1</v>
      </c>
      <c r="AP2035" s="75" t="s">
        <v>83</v>
      </c>
      <c r="AQ2035" s="122">
        <v>1</v>
      </c>
      <c r="AR2035" s="515" t="s">
        <v>10</v>
      </c>
      <c r="AS2035" s="95">
        <v>0</v>
      </c>
      <c r="AT2035" s="75">
        <v>0</v>
      </c>
      <c r="AU2035" s="75">
        <v>0</v>
      </c>
      <c r="AV2035" s="75">
        <v>0</v>
      </c>
      <c r="AW2035" s="123">
        <v>0</v>
      </c>
      <c r="AX2035" s="516"/>
      <c r="AY2035" s="75">
        <v>0</v>
      </c>
      <c r="AZ2035" s="77" t="s">
        <v>131</v>
      </c>
      <c r="BA2035" s="78" t="s">
        <v>131</v>
      </c>
      <c r="BB2035" s="78" t="s">
        <v>131</v>
      </c>
      <c r="BC2035" s="78" t="s">
        <v>131</v>
      </c>
      <c r="BD2035" s="78" t="s">
        <v>131</v>
      </c>
      <c r="BE2035" s="78" t="s">
        <v>131</v>
      </c>
      <c r="BF2035" s="78" t="s">
        <v>131</v>
      </c>
      <c r="BG2035" s="78" t="s">
        <v>132</v>
      </c>
      <c r="BH2035" s="75" t="s">
        <v>5970</v>
      </c>
      <c r="BI2035" s="295" t="s">
        <v>16</v>
      </c>
      <c r="BJ2035" s="546">
        <v>1</v>
      </c>
      <c r="BK2035" s="294">
        <v>1</v>
      </c>
      <c r="BL2035" s="157">
        <v>1</v>
      </c>
      <c r="BM2035" s="548" t="s">
        <v>1341</v>
      </c>
      <c r="BN2035" s="548" t="s">
        <v>4161</v>
      </c>
      <c r="BO2035" s="157" t="s">
        <v>4418</v>
      </c>
      <c r="BP2035" s="548" t="s">
        <v>4419</v>
      </c>
      <c r="BQ2035" s="157" t="s">
        <v>4232</v>
      </c>
      <c r="BR2035" s="157"/>
    </row>
    <row r="2036" spans="1:70" x14ac:dyDescent="0.25">
      <c r="A2036" s="19" t="s">
        <v>3686</v>
      </c>
      <c r="B2036" s="37" t="s">
        <v>744</v>
      </c>
      <c r="C2036" s="90">
        <v>44317.567418981482</v>
      </c>
      <c r="D2036" s="114">
        <v>44317.317418981482</v>
      </c>
      <c r="E2036" s="38">
        <v>44317</v>
      </c>
      <c r="F2036" s="91">
        <v>2021</v>
      </c>
      <c r="G2036" s="93">
        <v>5</v>
      </c>
      <c r="H2036" s="37" t="s">
        <v>615</v>
      </c>
      <c r="I2036" s="37" t="s">
        <v>16</v>
      </c>
      <c r="J2036" s="103">
        <v>-91.784938800000006</v>
      </c>
      <c r="K2036" s="40">
        <v>43.664136499999998</v>
      </c>
      <c r="L2036" s="74"/>
      <c r="M2036" s="272" t="s">
        <v>16</v>
      </c>
      <c r="N2036" s="74">
        <v>0</v>
      </c>
      <c r="O2036" s="94"/>
      <c r="P2036" s="118">
        <v>1</v>
      </c>
      <c r="Q2036" s="510">
        <v>80</v>
      </c>
      <c r="R2036" s="513">
        <v>120</v>
      </c>
      <c r="S2036" s="41"/>
      <c r="T2036" s="40"/>
      <c r="U2036" s="40">
        <v>8</v>
      </c>
      <c r="V2036" s="119">
        <v>0</v>
      </c>
      <c r="W2036" s="40"/>
      <c r="X2036" s="119">
        <v>1</v>
      </c>
      <c r="Y2036" s="40">
        <v>48</v>
      </c>
      <c r="Z2036" s="119">
        <v>0</v>
      </c>
      <c r="AA2036" s="368" t="s">
        <v>16</v>
      </c>
      <c r="AB2036" s="535" t="s">
        <v>16</v>
      </c>
      <c r="AC2036" s="39" t="s">
        <v>160</v>
      </c>
      <c r="AD2036" s="75" t="s">
        <v>10</v>
      </c>
      <c r="AE2036" s="95">
        <v>0</v>
      </c>
      <c r="AF2036" s="75">
        <v>0</v>
      </c>
      <c r="AG2036" s="75">
        <v>0</v>
      </c>
      <c r="AH2036" s="75">
        <v>0</v>
      </c>
      <c r="AI2036" s="75">
        <v>0</v>
      </c>
      <c r="AJ2036" s="75">
        <v>0</v>
      </c>
      <c r="AK2036" s="75">
        <v>0</v>
      </c>
      <c r="AL2036" s="95">
        <v>1</v>
      </c>
      <c r="AM2036" s="92">
        <v>0</v>
      </c>
      <c r="AN2036" s="79" t="s">
        <v>81</v>
      </c>
      <c r="AO2036" s="75">
        <v>1</v>
      </c>
      <c r="AP2036" s="75" t="s">
        <v>83</v>
      </c>
      <c r="AQ2036" s="122">
        <v>1</v>
      </c>
      <c r="AR2036" s="515" t="s">
        <v>10</v>
      </c>
      <c r="AS2036" s="95">
        <v>0</v>
      </c>
      <c r="AT2036" s="75">
        <v>0</v>
      </c>
      <c r="AU2036" s="75">
        <v>0</v>
      </c>
      <c r="AV2036" s="75">
        <v>0</v>
      </c>
      <c r="AW2036" s="123">
        <v>0</v>
      </c>
      <c r="AX2036" s="516"/>
      <c r="AY2036" s="75">
        <v>0</v>
      </c>
      <c r="AZ2036" s="77" t="s">
        <v>131</v>
      </c>
      <c r="BA2036" s="78" t="s">
        <v>131</v>
      </c>
      <c r="BB2036" s="78" t="s">
        <v>131</v>
      </c>
      <c r="BC2036" s="78" t="s">
        <v>131</v>
      </c>
      <c r="BD2036" s="78" t="s">
        <v>131</v>
      </c>
      <c r="BE2036" s="78" t="s">
        <v>131</v>
      </c>
      <c r="BF2036" s="78" t="s">
        <v>131</v>
      </c>
      <c r="BG2036" s="78" t="s">
        <v>132</v>
      </c>
      <c r="BH2036" s="75" t="s">
        <v>5970</v>
      </c>
      <c r="BI2036" s="295" t="s">
        <v>2249</v>
      </c>
      <c r="BJ2036" s="546">
        <v>1</v>
      </c>
      <c r="BK2036" s="294">
        <v>1</v>
      </c>
      <c r="BL2036" s="157">
        <v>1</v>
      </c>
      <c r="BM2036" s="548" t="s">
        <v>1341</v>
      </c>
      <c r="BN2036" s="548" t="s">
        <v>4161</v>
      </c>
      <c r="BO2036" s="157" t="s">
        <v>4418</v>
      </c>
      <c r="BP2036" s="548" t="s">
        <v>4419</v>
      </c>
      <c r="BQ2036" s="157" t="s">
        <v>4232</v>
      </c>
      <c r="BR2036" s="157"/>
    </row>
    <row r="2037" spans="1:70" x14ac:dyDescent="0.25">
      <c r="A2037" s="19" t="s">
        <v>3686</v>
      </c>
      <c r="B2037" s="37" t="s">
        <v>741</v>
      </c>
      <c r="C2037" s="90">
        <v>44316.624143518522</v>
      </c>
      <c r="D2037" s="114">
        <v>44316.374143518522</v>
      </c>
      <c r="E2037" s="38">
        <v>44316</v>
      </c>
      <c r="F2037" s="91">
        <v>2021</v>
      </c>
      <c r="G2037" s="93">
        <v>4</v>
      </c>
      <c r="H2037" s="37" t="s">
        <v>624</v>
      </c>
      <c r="I2037" s="37"/>
      <c r="J2037" s="103">
        <v>-92.844196506503181</v>
      </c>
      <c r="K2037" s="40">
        <v>45.070680434321751</v>
      </c>
      <c r="L2037" s="74"/>
      <c r="M2037" s="272" t="s">
        <v>742</v>
      </c>
      <c r="N2037" s="74">
        <v>1</v>
      </c>
      <c r="O2037" s="94"/>
      <c r="P2037" s="118">
        <v>1</v>
      </c>
      <c r="Q2037" s="510">
        <v>180</v>
      </c>
      <c r="R2037" s="513">
        <v>60</v>
      </c>
      <c r="S2037" s="41"/>
      <c r="T2037" s="40"/>
      <c r="U2037" s="40">
        <v>7</v>
      </c>
      <c r="V2037" s="119">
        <v>0</v>
      </c>
      <c r="W2037" s="40"/>
      <c r="X2037" s="119">
        <v>0</v>
      </c>
      <c r="Y2037" s="40"/>
      <c r="Z2037" s="119">
        <v>1</v>
      </c>
      <c r="AA2037" s="368">
        <v>0</v>
      </c>
      <c r="AB2037" s="535">
        <v>0</v>
      </c>
      <c r="AC2037" s="39" t="s">
        <v>160</v>
      </c>
      <c r="AD2037" s="75" t="s">
        <v>10</v>
      </c>
      <c r="AE2037" s="95">
        <v>0</v>
      </c>
      <c r="AF2037" s="75">
        <v>0</v>
      </c>
      <c r="AG2037" s="75">
        <v>0</v>
      </c>
      <c r="AH2037" s="75">
        <v>0</v>
      </c>
      <c r="AI2037" s="75">
        <v>0</v>
      </c>
      <c r="AJ2037" s="75">
        <v>0</v>
      </c>
      <c r="AK2037" s="75">
        <v>0</v>
      </c>
      <c r="AL2037" s="95">
        <v>1</v>
      </c>
      <c r="AM2037" s="92">
        <v>0</v>
      </c>
      <c r="AN2037" s="79" t="s">
        <v>80</v>
      </c>
      <c r="AO2037" s="75">
        <v>1</v>
      </c>
      <c r="AP2037" s="75" t="s">
        <v>83</v>
      </c>
      <c r="AQ2037" s="122">
        <v>1</v>
      </c>
      <c r="AR2037" s="515" t="s">
        <v>10</v>
      </c>
      <c r="AS2037" s="95">
        <v>0</v>
      </c>
      <c r="AT2037" s="75">
        <v>0</v>
      </c>
      <c r="AU2037" s="75">
        <v>0</v>
      </c>
      <c r="AV2037" s="75">
        <v>0</v>
      </c>
      <c r="AW2037" s="123">
        <v>0</v>
      </c>
      <c r="AX2037" s="516" t="s">
        <v>743</v>
      </c>
      <c r="AY2037" s="75">
        <v>1</v>
      </c>
      <c r="AZ2037" s="77" t="s">
        <v>131</v>
      </c>
      <c r="BA2037" s="78" t="s">
        <v>131</v>
      </c>
      <c r="BB2037" s="78" t="s">
        <v>131</v>
      </c>
      <c r="BC2037" s="78" t="s">
        <v>131</v>
      </c>
      <c r="BD2037" s="78" t="s">
        <v>131</v>
      </c>
      <c r="BE2037" s="78" t="s">
        <v>131</v>
      </c>
      <c r="BF2037" s="78" t="s">
        <v>131</v>
      </c>
      <c r="BG2037" s="78" t="s">
        <v>132</v>
      </c>
      <c r="BH2037" s="75" t="s">
        <v>5970</v>
      </c>
      <c r="BI2037" s="295" t="s">
        <v>2273</v>
      </c>
      <c r="BJ2037" s="546">
        <v>1</v>
      </c>
      <c r="BK2037" s="294" t="s">
        <v>16</v>
      </c>
      <c r="BL2037" s="157" t="s">
        <v>16</v>
      </c>
      <c r="BM2037" s="548" t="s">
        <v>2343</v>
      </c>
      <c r="BN2037" s="548" t="s">
        <v>4161</v>
      </c>
      <c r="BO2037" s="157" t="s">
        <v>4286</v>
      </c>
      <c r="BP2037" s="548" t="s">
        <v>2273</v>
      </c>
      <c r="BQ2037" s="157" t="s">
        <v>4285</v>
      </c>
      <c r="BR2037" s="157"/>
    </row>
    <row r="2038" spans="1:70" x14ac:dyDescent="0.25">
      <c r="A2038" s="19" t="s">
        <v>3686</v>
      </c>
      <c r="B2038" s="37" t="s">
        <v>740</v>
      </c>
      <c r="C2038" s="90">
        <v>44316.621168981481</v>
      </c>
      <c r="D2038" s="114">
        <v>44316.371168981481</v>
      </c>
      <c r="E2038" s="38">
        <v>44316</v>
      </c>
      <c r="F2038" s="91">
        <v>2021</v>
      </c>
      <c r="G2038" s="93">
        <v>4</v>
      </c>
      <c r="H2038" s="37" t="s">
        <v>620</v>
      </c>
      <c r="I2038" s="37"/>
      <c r="J2038" s="103">
        <v>-92.844337288000446</v>
      </c>
      <c r="K2038" s="40">
        <v>45.070723285181977</v>
      </c>
      <c r="L2038" s="74"/>
      <c r="M2038" s="272" t="s">
        <v>16</v>
      </c>
      <c r="N2038" s="74">
        <v>0</v>
      </c>
      <c r="O2038" s="94"/>
      <c r="P2038" s="118">
        <v>1</v>
      </c>
      <c r="Q2038" s="510">
        <v>120</v>
      </c>
      <c r="R2038" s="513">
        <v>60</v>
      </c>
      <c r="S2038" s="41"/>
      <c r="T2038" s="40"/>
      <c r="U2038" s="40">
        <v>8</v>
      </c>
      <c r="V2038" s="119">
        <v>0</v>
      </c>
      <c r="W2038" s="40"/>
      <c r="X2038" s="119">
        <v>0</v>
      </c>
      <c r="Y2038" s="40"/>
      <c r="Z2038" s="119">
        <v>1</v>
      </c>
      <c r="AA2038" s="368">
        <v>0</v>
      </c>
      <c r="AB2038" s="535">
        <v>0</v>
      </c>
      <c r="AC2038" s="39"/>
      <c r="AD2038" s="75" t="s">
        <v>16</v>
      </c>
      <c r="AE2038" s="95">
        <v>-1</v>
      </c>
      <c r="AF2038" s="75">
        <v>-1</v>
      </c>
      <c r="AG2038" s="75">
        <v>-1</v>
      </c>
      <c r="AH2038" s="75">
        <v>-1</v>
      </c>
      <c r="AI2038" s="75">
        <v>-1</v>
      </c>
      <c r="AJ2038" s="75">
        <v>-1</v>
      </c>
      <c r="AK2038" s="75">
        <v>-1</v>
      </c>
      <c r="AL2038" s="95">
        <v>-1</v>
      </c>
      <c r="AM2038" s="92">
        <v>1</v>
      </c>
      <c r="AN2038" s="79"/>
      <c r="AO2038" s="75">
        <v>0</v>
      </c>
      <c r="AP2038" s="75"/>
      <c r="AQ2038" s="122">
        <v>0</v>
      </c>
      <c r="AR2038" s="515" t="s">
        <v>16</v>
      </c>
      <c r="AS2038" s="95">
        <v>-1</v>
      </c>
      <c r="AT2038" s="75">
        <v>-1</v>
      </c>
      <c r="AU2038" s="75">
        <v>-1</v>
      </c>
      <c r="AV2038" s="75">
        <v>-1</v>
      </c>
      <c r="AW2038" s="123">
        <v>1</v>
      </c>
      <c r="AX2038" s="516"/>
      <c r="AY2038" s="75">
        <v>0</v>
      </c>
      <c r="AZ2038" s="77" t="s">
        <v>5971</v>
      </c>
      <c r="BA2038" s="78" t="s">
        <v>5971</v>
      </c>
      <c r="BB2038" s="78" t="s">
        <v>5971</v>
      </c>
      <c r="BC2038" s="78" t="s">
        <v>5971</v>
      </c>
      <c r="BD2038" s="78" t="s">
        <v>5971</v>
      </c>
      <c r="BE2038" s="78" t="s">
        <v>5971</v>
      </c>
      <c r="BF2038" s="78" t="s">
        <v>5971</v>
      </c>
      <c r="BG2038" s="78" t="s">
        <v>5971</v>
      </c>
      <c r="BH2038" s="75" t="s">
        <v>5971</v>
      </c>
      <c r="BI2038" s="295" t="s">
        <v>16</v>
      </c>
      <c r="BJ2038" s="546">
        <v>1</v>
      </c>
      <c r="BK2038" s="294" t="s">
        <v>16</v>
      </c>
      <c r="BL2038" s="157" t="s">
        <v>16</v>
      </c>
      <c r="BM2038" s="548" t="s">
        <v>2343</v>
      </c>
      <c r="BN2038" s="548" t="s">
        <v>544</v>
      </c>
      <c r="BO2038" s="157" t="s">
        <v>4286</v>
      </c>
      <c r="BP2038" s="548" t="s">
        <v>2273</v>
      </c>
      <c r="BQ2038" s="157" t="s">
        <v>4285</v>
      </c>
      <c r="BR2038" s="157"/>
    </row>
    <row r="2039" spans="1:70" x14ac:dyDescent="0.25">
      <c r="A2039" s="19" t="s">
        <v>3686</v>
      </c>
      <c r="B2039" s="37" t="s">
        <v>739</v>
      </c>
      <c r="C2039" s="90">
        <v>44315.744733796295</v>
      </c>
      <c r="D2039" s="114">
        <v>44315.494733796295</v>
      </c>
      <c r="E2039" s="38">
        <v>44315</v>
      </c>
      <c r="F2039" s="91">
        <v>2021</v>
      </c>
      <c r="G2039" s="93">
        <v>4</v>
      </c>
      <c r="H2039" s="37" t="s">
        <v>218</v>
      </c>
      <c r="I2039" s="37"/>
      <c r="J2039" s="103">
        <v>-92.268533711803485</v>
      </c>
      <c r="K2039" s="40">
        <v>44.542888757656307</v>
      </c>
      <c r="L2039" s="74"/>
      <c r="M2039" s="272" t="s">
        <v>16</v>
      </c>
      <c r="N2039" s="74">
        <v>0</v>
      </c>
      <c r="O2039" s="94"/>
      <c r="P2039" s="118">
        <v>1</v>
      </c>
      <c r="Q2039" s="510">
        <v>120</v>
      </c>
      <c r="R2039" s="513">
        <v>180</v>
      </c>
      <c r="S2039" s="41"/>
      <c r="T2039" s="40"/>
      <c r="U2039" s="40">
        <v>7.5</v>
      </c>
      <c r="V2039" s="119">
        <v>1</v>
      </c>
      <c r="W2039" s="40">
        <v>0</v>
      </c>
      <c r="X2039" s="119">
        <v>1</v>
      </c>
      <c r="Y2039" s="40">
        <v>47</v>
      </c>
      <c r="Z2039" s="119">
        <v>1</v>
      </c>
      <c r="AA2039" s="368">
        <v>0</v>
      </c>
      <c r="AB2039" s="535">
        <v>2</v>
      </c>
      <c r="AC2039" s="39" t="s">
        <v>162</v>
      </c>
      <c r="AD2039" s="75" t="s">
        <v>10</v>
      </c>
      <c r="AE2039" s="95">
        <v>0</v>
      </c>
      <c r="AF2039" s="75">
        <v>0</v>
      </c>
      <c r="AG2039" s="75">
        <v>0</v>
      </c>
      <c r="AH2039" s="75">
        <v>0</v>
      </c>
      <c r="AI2039" s="75">
        <v>0</v>
      </c>
      <c r="AJ2039" s="75">
        <v>0</v>
      </c>
      <c r="AK2039" s="75">
        <v>0</v>
      </c>
      <c r="AL2039" s="95">
        <v>1</v>
      </c>
      <c r="AM2039" s="92">
        <v>0</v>
      </c>
      <c r="AN2039" s="79" t="s">
        <v>80</v>
      </c>
      <c r="AO2039" s="75">
        <v>1</v>
      </c>
      <c r="AP2039" s="75" t="s">
        <v>83</v>
      </c>
      <c r="AQ2039" s="122">
        <v>1</v>
      </c>
      <c r="AR2039" s="515" t="s">
        <v>10</v>
      </c>
      <c r="AS2039" s="95">
        <v>0</v>
      </c>
      <c r="AT2039" s="75">
        <v>0</v>
      </c>
      <c r="AU2039" s="75">
        <v>0</v>
      </c>
      <c r="AV2039" s="75">
        <v>0</v>
      </c>
      <c r="AW2039" s="123">
        <v>0</v>
      </c>
      <c r="AX2039" s="516"/>
      <c r="AY2039" s="75">
        <v>0</v>
      </c>
      <c r="AZ2039" s="77" t="s">
        <v>131</v>
      </c>
      <c r="BA2039" s="78" t="s">
        <v>131</v>
      </c>
      <c r="BB2039" s="78" t="s">
        <v>131</v>
      </c>
      <c r="BC2039" s="78" t="s">
        <v>131</v>
      </c>
      <c r="BD2039" s="78" t="s">
        <v>131</v>
      </c>
      <c r="BE2039" s="78" t="s">
        <v>131</v>
      </c>
      <c r="BF2039" s="78" t="s">
        <v>131</v>
      </c>
      <c r="BG2039" s="78" t="s">
        <v>132</v>
      </c>
      <c r="BH2039" s="75" t="s">
        <v>5970</v>
      </c>
      <c r="BI2039" s="295">
        <v>0</v>
      </c>
      <c r="BJ2039" s="546">
        <v>1</v>
      </c>
      <c r="BK2039" s="294">
        <v>1</v>
      </c>
      <c r="BL2039" s="157">
        <v>1</v>
      </c>
      <c r="BM2039" s="548" t="s">
        <v>1340</v>
      </c>
      <c r="BN2039" s="548" t="s">
        <v>578</v>
      </c>
      <c r="BO2039" s="157" t="s">
        <v>4268</v>
      </c>
      <c r="BP2039" s="548" t="s">
        <v>2261</v>
      </c>
      <c r="BQ2039" s="157" t="s">
        <v>4214</v>
      </c>
      <c r="BR2039" s="157"/>
    </row>
    <row r="2040" spans="1:70" x14ac:dyDescent="0.25">
      <c r="A2040" s="19" t="s">
        <v>3686</v>
      </c>
      <c r="B2040" s="37" t="s">
        <v>738</v>
      </c>
      <c r="C2040" s="90">
        <v>44315.718842592592</v>
      </c>
      <c r="D2040" s="114">
        <v>44315.468842592592</v>
      </c>
      <c r="E2040" s="38">
        <v>44315</v>
      </c>
      <c r="F2040" s="91">
        <v>2021</v>
      </c>
      <c r="G2040" s="93">
        <v>4</v>
      </c>
      <c r="H2040" s="37" t="s">
        <v>218</v>
      </c>
      <c r="I2040" s="37"/>
      <c r="J2040" s="103">
        <v>-92.271521225553101</v>
      </c>
      <c r="K2040" s="40">
        <v>44.544327648468581</v>
      </c>
      <c r="L2040" s="74"/>
      <c r="M2040" s="272" t="s">
        <v>16</v>
      </c>
      <c r="N2040" s="74">
        <v>0</v>
      </c>
      <c r="O2040" s="94"/>
      <c r="P2040" s="118">
        <v>1</v>
      </c>
      <c r="Q2040" s="510">
        <v>180</v>
      </c>
      <c r="R2040" s="513">
        <v>180</v>
      </c>
      <c r="S2040" s="41"/>
      <c r="T2040" s="40"/>
      <c r="U2040" s="40">
        <v>8</v>
      </c>
      <c r="V2040" s="119">
        <v>1</v>
      </c>
      <c r="W2040" s="40">
        <v>0</v>
      </c>
      <c r="X2040" s="119">
        <v>1</v>
      </c>
      <c r="Y2040" s="40">
        <v>52</v>
      </c>
      <c r="Z2040" s="119">
        <v>1</v>
      </c>
      <c r="AA2040" s="368">
        <v>0</v>
      </c>
      <c r="AB2040" s="535">
        <v>5</v>
      </c>
      <c r="AC2040" s="39" t="s">
        <v>160</v>
      </c>
      <c r="AD2040" s="75" t="s">
        <v>10</v>
      </c>
      <c r="AE2040" s="95">
        <v>0</v>
      </c>
      <c r="AF2040" s="75">
        <v>0</v>
      </c>
      <c r="AG2040" s="75">
        <v>0</v>
      </c>
      <c r="AH2040" s="75">
        <v>0</v>
      </c>
      <c r="AI2040" s="75">
        <v>0</v>
      </c>
      <c r="AJ2040" s="75">
        <v>0</v>
      </c>
      <c r="AK2040" s="75">
        <v>0</v>
      </c>
      <c r="AL2040" s="95">
        <v>1</v>
      </c>
      <c r="AM2040" s="92">
        <v>0</v>
      </c>
      <c r="AN2040" s="79" t="s">
        <v>80</v>
      </c>
      <c r="AO2040" s="75">
        <v>1</v>
      </c>
      <c r="AP2040" s="75" t="s">
        <v>83</v>
      </c>
      <c r="AQ2040" s="122">
        <v>1</v>
      </c>
      <c r="AR2040" s="515" t="s">
        <v>10</v>
      </c>
      <c r="AS2040" s="95">
        <v>0</v>
      </c>
      <c r="AT2040" s="75">
        <v>0</v>
      </c>
      <c r="AU2040" s="75">
        <v>0</v>
      </c>
      <c r="AV2040" s="75">
        <v>0</v>
      </c>
      <c r="AW2040" s="123">
        <v>0</v>
      </c>
      <c r="AX2040" s="516"/>
      <c r="AY2040" s="75">
        <v>0</v>
      </c>
      <c r="AZ2040" s="77" t="s">
        <v>131</v>
      </c>
      <c r="BA2040" s="78" t="s">
        <v>131</v>
      </c>
      <c r="BB2040" s="78" t="s">
        <v>131</v>
      </c>
      <c r="BC2040" s="78" t="s">
        <v>131</v>
      </c>
      <c r="BD2040" s="78" t="s">
        <v>131</v>
      </c>
      <c r="BE2040" s="78" t="s">
        <v>131</v>
      </c>
      <c r="BF2040" s="78" t="s">
        <v>131</v>
      </c>
      <c r="BG2040" s="78" t="s">
        <v>132</v>
      </c>
      <c r="BH2040" s="75" t="s">
        <v>5970</v>
      </c>
      <c r="BI2040" s="295">
        <v>0</v>
      </c>
      <c r="BJ2040" s="546">
        <v>1</v>
      </c>
      <c r="BK2040" s="294">
        <v>1</v>
      </c>
      <c r="BL2040" s="157">
        <v>1</v>
      </c>
      <c r="BM2040" s="548" t="s">
        <v>1340</v>
      </c>
      <c r="BN2040" s="548" t="s">
        <v>578</v>
      </c>
      <c r="BO2040" s="157" t="s">
        <v>4268</v>
      </c>
      <c r="BP2040" s="548" t="s">
        <v>2261</v>
      </c>
      <c r="BQ2040" s="157" t="s">
        <v>4214</v>
      </c>
      <c r="BR2040" s="157"/>
    </row>
    <row r="2041" spans="1:70" x14ac:dyDescent="0.25">
      <c r="A2041" s="19" t="s">
        <v>3686</v>
      </c>
      <c r="B2041" s="37" t="s">
        <v>737</v>
      </c>
      <c r="C2041" s="90">
        <v>44315.699016203704</v>
      </c>
      <c r="D2041" s="114">
        <v>44315.449016203704</v>
      </c>
      <c r="E2041" s="38">
        <v>44315</v>
      </c>
      <c r="F2041" s="91">
        <v>2021</v>
      </c>
      <c r="G2041" s="93">
        <v>4</v>
      </c>
      <c r="H2041" s="37" t="s">
        <v>218</v>
      </c>
      <c r="I2041" s="37"/>
      <c r="J2041" s="103">
        <v>-92.284327899449096</v>
      </c>
      <c r="K2041" s="40">
        <v>44.542235429524936</v>
      </c>
      <c r="L2041" s="74"/>
      <c r="M2041" s="272" t="s">
        <v>16</v>
      </c>
      <c r="N2041" s="74">
        <v>0</v>
      </c>
      <c r="O2041" s="94"/>
      <c r="P2041" s="118">
        <v>1</v>
      </c>
      <c r="Q2041" s="510">
        <v>180</v>
      </c>
      <c r="R2041" s="513">
        <v>120</v>
      </c>
      <c r="S2041" s="41"/>
      <c r="T2041" s="40"/>
      <c r="U2041" s="40">
        <v>7.5</v>
      </c>
      <c r="V2041" s="119">
        <v>1</v>
      </c>
      <c r="W2041" s="40">
        <v>0</v>
      </c>
      <c r="X2041" s="119">
        <v>1</v>
      </c>
      <c r="Y2041" s="40">
        <v>50</v>
      </c>
      <c r="Z2041" s="119">
        <v>1</v>
      </c>
      <c r="AA2041" s="368">
        <v>0</v>
      </c>
      <c r="AB2041" s="535">
        <v>5</v>
      </c>
      <c r="AC2041" s="39" t="s">
        <v>160</v>
      </c>
      <c r="AD2041" s="75" t="s">
        <v>10</v>
      </c>
      <c r="AE2041" s="95">
        <v>0</v>
      </c>
      <c r="AF2041" s="75">
        <v>0</v>
      </c>
      <c r="AG2041" s="75">
        <v>0</v>
      </c>
      <c r="AH2041" s="75">
        <v>0</v>
      </c>
      <c r="AI2041" s="75">
        <v>0</v>
      </c>
      <c r="AJ2041" s="75">
        <v>0</v>
      </c>
      <c r="AK2041" s="75">
        <v>0</v>
      </c>
      <c r="AL2041" s="95">
        <v>1</v>
      </c>
      <c r="AM2041" s="92">
        <v>0</v>
      </c>
      <c r="AN2041" s="79" t="s">
        <v>80</v>
      </c>
      <c r="AO2041" s="75">
        <v>1</v>
      </c>
      <c r="AP2041" s="75" t="s">
        <v>83</v>
      </c>
      <c r="AQ2041" s="122">
        <v>1</v>
      </c>
      <c r="AR2041" s="515" t="s">
        <v>10</v>
      </c>
      <c r="AS2041" s="95">
        <v>0</v>
      </c>
      <c r="AT2041" s="75">
        <v>0</v>
      </c>
      <c r="AU2041" s="75">
        <v>0</v>
      </c>
      <c r="AV2041" s="75">
        <v>0</v>
      </c>
      <c r="AW2041" s="123">
        <v>0</v>
      </c>
      <c r="AX2041" s="516"/>
      <c r="AY2041" s="75">
        <v>0</v>
      </c>
      <c r="AZ2041" s="77" t="s">
        <v>131</v>
      </c>
      <c r="BA2041" s="78" t="s">
        <v>131</v>
      </c>
      <c r="BB2041" s="78" t="s">
        <v>131</v>
      </c>
      <c r="BC2041" s="78" t="s">
        <v>131</v>
      </c>
      <c r="BD2041" s="78" t="s">
        <v>131</v>
      </c>
      <c r="BE2041" s="78" t="s">
        <v>131</v>
      </c>
      <c r="BF2041" s="78" t="s">
        <v>131</v>
      </c>
      <c r="BG2041" s="78" t="s">
        <v>132</v>
      </c>
      <c r="BH2041" s="75" t="s">
        <v>5970</v>
      </c>
      <c r="BI2041" s="295" t="s">
        <v>2261</v>
      </c>
      <c r="BJ2041" s="546">
        <v>1</v>
      </c>
      <c r="BK2041" s="294">
        <v>1</v>
      </c>
      <c r="BL2041" s="157">
        <v>1</v>
      </c>
      <c r="BM2041" s="548" t="s">
        <v>1340</v>
      </c>
      <c r="BN2041" s="548" t="s">
        <v>578</v>
      </c>
      <c r="BO2041" s="157" t="s">
        <v>4268</v>
      </c>
      <c r="BP2041" s="548" t="s">
        <v>2261</v>
      </c>
      <c r="BQ2041" s="157" t="s">
        <v>4214</v>
      </c>
      <c r="BR2041" s="157"/>
    </row>
    <row r="2042" spans="1:70" x14ac:dyDescent="0.25">
      <c r="A2042" s="19" t="s">
        <v>3686</v>
      </c>
      <c r="B2042" s="37" t="s">
        <v>734</v>
      </c>
      <c r="C2042" s="90">
        <v>44313.794525462959</v>
      </c>
      <c r="D2042" s="114">
        <v>44313.544525462959</v>
      </c>
      <c r="E2042" s="38">
        <v>44313</v>
      </c>
      <c r="F2042" s="91">
        <v>2021</v>
      </c>
      <c r="G2042" s="93">
        <v>4</v>
      </c>
      <c r="H2042" s="37" t="s">
        <v>201</v>
      </c>
      <c r="I2042" s="37" t="s">
        <v>16</v>
      </c>
      <c r="J2042" s="103">
        <v>-92.631981372555899</v>
      </c>
      <c r="K2042" s="40">
        <v>44.85204517057057</v>
      </c>
      <c r="L2042" s="74"/>
      <c r="M2042" s="272" t="s">
        <v>735</v>
      </c>
      <c r="N2042" s="74">
        <v>1</v>
      </c>
      <c r="O2042" s="94"/>
      <c r="P2042" s="118">
        <v>1</v>
      </c>
      <c r="Q2042" s="510">
        <v>180</v>
      </c>
      <c r="R2042" s="513">
        <v>180</v>
      </c>
      <c r="S2042" s="41"/>
      <c r="T2042" s="40"/>
      <c r="U2042" s="40">
        <v>7.5</v>
      </c>
      <c r="V2042" s="119">
        <v>1</v>
      </c>
      <c r="W2042" s="40">
        <v>0</v>
      </c>
      <c r="X2042" s="119">
        <v>1</v>
      </c>
      <c r="Y2042" s="40">
        <v>48</v>
      </c>
      <c r="Z2042" s="119">
        <v>1</v>
      </c>
      <c r="AA2042" s="368">
        <v>0</v>
      </c>
      <c r="AB2042" s="535">
        <v>5</v>
      </c>
      <c r="AC2042" s="39" t="s">
        <v>160</v>
      </c>
      <c r="AD2042" s="75" t="s">
        <v>10</v>
      </c>
      <c r="AE2042" s="95">
        <v>0</v>
      </c>
      <c r="AF2042" s="75">
        <v>0</v>
      </c>
      <c r="AG2042" s="75">
        <v>0</v>
      </c>
      <c r="AH2042" s="75">
        <v>0</v>
      </c>
      <c r="AI2042" s="75">
        <v>0</v>
      </c>
      <c r="AJ2042" s="75">
        <v>0</v>
      </c>
      <c r="AK2042" s="75">
        <v>0</v>
      </c>
      <c r="AL2042" s="95">
        <v>1</v>
      </c>
      <c r="AM2042" s="92">
        <v>0</v>
      </c>
      <c r="AN2042" s="79" t="s">
        <v>80</v>
      </c>
      <c r="AO2042" s="75">
        <v>1</v>
      </c>
      <c r="AP2042" s="75" t="s">
        <v>83</v>
      </c>
      <c r="AQ2042" s="122">
        <v>1</v>
      </c>
      <c r="AR2042" s="515" t="s">
        <v>35</v>
      </c>
      <c r="AS2042" s="95">
        <v>0</v>
      </c>
      <c r="AT2042" s="75">
        <v>1</v>
      </c>
      <c r="AU2042" s="75">
        <v>0</v>
      </c>
      <c r="AV2042" s="75">
        <v>0</v>
      </c>
      <c r="AW2042" s="123">
        <v>0</v>
      </c>
      <c r="AX2042" s="516" t="s">
        <v>736</v>
      </c>
      <c r="AY2042" s="75">
        <v>1</v>
      </c>
      <c r="AZ2042" s="77" t="s">
        <v>131</v>
      </c>
      <c r="BA2042" s="78" t="s">
        <v>131</v>
      </c>
      <c r="BB2042" s="78" t="s">
        <v>131</v>
      </c>
      <c r="BC2042" s="78" t="s">
        <v>131</v>
      </c>
      <c r="BD2042" s="78" t="s">
        <v>131</v>
      </c>
      <c r="BE2042" s="78" t="s">
        <v>131</v>
      </c>
      <c r="BF2042" s="78" t="s">
        <v>131</v>
      </c>
      <c r="BG2042" s="78" t="s">
        <v>132</v>
      </c>
      <c r="BH2042" s="75" t="s">
        <v>5970</v>
      </c>
      <c r="BI2042" s="295" t="s">
        <v>2227</v>
      </c>
      <c r="BJ2042" s="546">
        <v>1</v>
      </c>
      <c r="BK2042" s="294">
        <v>1</v>
      </c>
      <c r="BL2042" s="157">
        <v>1</v>
      </c>
      <c r="BM2042" s="548" t="s">
        <v>578</v>
      </c>
      <c r="BN2042" s="548" t="s">
        <v>578</v>
      </c>
      <c r="BO2042" s="157" t="s">
        <v>4310</v>
      </c>
      <c r="BP2042" s="548" t="s">
        <v>2226</v>
      </c>
      <c r="BQ2042" s="157" t="s">
        <v>4309</v>
      </c>
      <c r="BR2042" s="157"/>
    </row>
    <row r="2043" spans="1:70" x14ac:dyDescent="0.25">
      <c r="A2043" s="19" t="s">
        <v>3686</v>
      </c>
      <c r="B2043" s="37" t="s">
        <v>731</v>
      </c>
      <c r="C2043" s="90">
        <v>44312.865671296298</v>
      </c>
      <c r="D2043" s="114">
        <v>44312.615671296298</v>
      </c>
      <c r="E2043" s="38">
        <v>44312</v>
      </c>
      <c r="F2043" s="91">
        <v>2021</v>
      </c>
      <c r="G2043" s="93">
        <v>4</v>
      </c>
      <c r="H2043" s="37" t="s">
        <v>619</v>
      </c>
      <c r="I2043" s="37"/>
      <c r="J2043" s="103">
        <v>-92.225690700000001</v>
      </c>
      <c r="K2043" s="40">
        <v>43.887206300000003</v>
      </c>
      <c r="L2043" s="74"/>
      <c r="M2043" s="272" t="s">
        <v>732</v>
      </c>
      <c r="N2043" s="74">
        <v>1</v>
      </c>
      <c r="O2043" s="94"/>
      <c r="P2043" s="118">
        <v>1</v>
      </c>
      <c r="Q2043" s="510">
        <v>80</v>
      </c>
      <c r="R2043" s="513">
        <v>180</v>
      </c>
      <c r="S2043" s="41"/>
      <c r="T2043" s="40"/>
      <c r="U2043" s="40">
        <v>7</v>
      </c>
      <c r="V2043" s="119">
        <v>1</v>
      </c>
      <c r="W2043" s="40">
        <v>0</v>
      </c>
      <c r="X2043" s="119">
        <v>1</v>
      </c>
      <c r="Y2043" s="40">
        <v>49</v>
      </c>
      <c r="Z2043" s="119">
        <v>1</v>
      </c>
      <c r="AA2043" s="368">
        <v>0</v>
      </c>
      <c r="AB2043" s="535">
        <v>2</v>
      </c>
      <c r="AC2043" s="39" t="s">
        <v>160</v>
      </c>
      <c r="AD2043" s="75" t="s">
        <v>16</v>
      </c>
      <c r="AE2043" s="95">
        <v>-1</v>
      </c>
      <c r="AF2043" s="75">
        <v>-1</v>
      </c>
      <c r="AG2043" s="75">
        <v>-1</v>
      </c>
      <c r="AH2043" s="75">
        <v>-1</v>
      </c>
      <c r="AI2043" s="75">
        <v>-1</v>
      </c>
      <c r="AJ2043" s="75">
        <v>-1</v>
      </c>
      <c r="AK2043" s="75">
        <v>-1</v>
      </c>
      <c r="AL2043" s="95">
        <v>-1</v>
      </c>
      <c r="AM2043" s="92">
        <v>1</v>
      </c>
      <c r="AN2043" s="79" t="s">
        <v>80</v>
      </c>
      <c r="AO2043" s="75">
        <v>1</v>
      </c>
      <c r="AP2043" s="75" t="s">
        <v>83</v>
      </c>
      <c r="AQ2043" s="122">
        <v>1</v>
      </c>
      <c r="AR2043" s="515" t="s">
        <v>10</v>
      </c>
      <c r="AS2043" s="95">
        <v>0</v>
      </c>
      <c r="AT2043" s="75">
        <v>0</v>
      </c>
      <c r="AU2043" s="75">
        <v>0</v>
      </c>
      <c r="AV2043" s="75">
        <v>0</v>
      </c>
      <c r="AW2043" s="123">
        <v>0</v>
      </c>
      <c r="AX2043" s="516" t="s">
        <v>733</v>
      </c>
      <c r="AY2043" s="75">
        <v>1</v>
      </c>
      <c r="AZ2043" s="77" t="s">
        <v>5971</v>
      </c>
      <c r="BA2043" s="78" t="s">
        <v>5971</v>
      </c>
      <c r="BB2043" s="78" t="s">
        <v>5971</v>
      </c>
      <c r="BC2043" s="78" t="s">
        <v>5971</v>
      </c>
      <c r="BD2043" s="78" t="s">
        <v>5971</v>
      </c>
      <c r="BE2043" s="78" t="s">
        <v>5971</v>
      </c>
      <c r="BF2043" s="78" t="s">
        <v>5971</v>
      </c>
      <c r="BG2043" s="78" t="s">
        <v>5971</v>
      </c>
      <c r="BH2043" s="75" t="s">
        <v>5971</v>
      </c>
      <c r="BI2043" s="295" t="s">
        <v>2243</v>
      </c>
      <c r="BJ2043" s="546">
        <v>1</v>
      </c>
      <c r="BK2043" s="294" t="s">
        <v>16</v>
      </c>
      <c r="BL2043" s="157" t="s">
        <v>16</v>
      </c>
      <c r="BM2043" s="548" t="s">
        <v>1339</v>
      </c>
      <c r="BN2043" s="548" t="s">
        <v>1339</v>
      </c>
      <c r="BO2043" s="157" t="s">
        <v>4697</v>
      </c>
      <c r="BP2043" s="548" t="s">
        <v>2243</v>
      </c>
      <c r="BQ2043" s="157" t="s">
        <v>4673</v>
      </c>
      <c r="BR2043" s="157"/>
    </row>
    <row r="2044" spans="1:70" x14ac:dyDescent="0.25">
      <c r="A2044" s="19" t="s">
        <v>3686</v>
      </c>
      <c r="B2044" s="37" t="s">
        <v>729</v>
      </c>
      <c r="C2044" s="90">
        <v>44312.854097222225</v>
      </c>
      <c r="D2044" s="114">
        <v>44312.604097222225</v>
      </c>
      <c r="E2044" s="38">
        <v>44312</v>
      </c>
      <c r="F2044" s="91">
        <v>2021</v>
      </c>
      <c r="G2044" s="93">
        <v>4</v>
      </c>
      <c r="H2044" s="37" t="s">
        <v>405</v>
      </c>
      <c r="I2044" s="37"/>
      <c r="J2044" s="103">
        <v>-92.35547312543946</v>
      </c>
      <c r="K2044" s="40">
        <v>44.706767373759959</v>
      </c>
      <c r="L2044" s="74"/>
      <c r="M2044" s="272" t="s">
        <v>16</v>
      </c>
      <c r="N2044" s="74">
        <v>0</v>
      </c>
      <c r="O2044" s="94"/>
      <c r="P2044" s="118">
        <v>1</v>
      </c>
      <c r="Q2044" s="510">
        <v>180</v>
      </c>
      <c r="R2044" s="513">
        <v>180</v>
      </c>
      <c r="S2044" s="41"/>
      <c r="T2044" s="40"/>
      <c r="U2044" s="40">
        <v>7</v>
      </c>
      <c r="V2044" s="119">
        <v>0</v>
      </c>
      <c r="W2044" s="40"/>
      <c r="X2044" s="119">
        <v>1</v>
      </c>
      <c r="Y2044" s="40">
        <v>0</v>
      </c>
      <c r="Z2044" s="119">
        <v>1</v>
      </c>
      <c r="AA2044" s="368">
        <v>0</v>
      </c>
      <c r="AB2044" s="535">
        <v>5</v>
      </c>
      <c r="AC2044" s="39" t="s">
        <v>160</v>
      </c>
      <c r="AD2044" s="75" t="s">
        <v>16</v>
      </c>
      <c r="AE2044" s="95">
        <v>-1</v>
      </c>
      <c r="AF2044" s="75">
        <v>-1</v>
      </c>
      <c r="AG2044" s="75">
        <v>-1</v>
      </c>
      <c r="AH2044" s="75">
        <v>-1</v>
      </c>
      <c r="AI2044" s="75">
        <v>-1</v>
      </c>
      <c r="AJ2044" s="75">
        <v>-1</v>
      </c>
      <c r="AK2044" s="75">
        <v>-1</v>
      </c>
      <c r="AL2044" s="95">
        <v>-1</v>
      </c>
      <c r="AM2044" s="92">
        <v>1</v>
      </c>
      <c r="AN2044" s="79" t="s">
        <v>80</v>
      </c>
      <c r="AO2044" s="75">
        <v>1</v>
      </c>
      <c r="AP2044" s="75" t="s">
        <v>83</v>
      </c>
      <c r="AQ2044" s="122">
        <v>1</v>
      </c>
      <c r="AR2044" s="515" t="s">
        <v>13</v>
      </c>
      <c r="AS2044" s="95">
        <v>1</v>
      </c>
      <c r="AT2044" s="75">
        <v>0</v>
      </c>
      <c r="AU2044" s="75">
        <v>0</v>
      </c>
      <c r="AV2044" s="75">
        <v>0</v>
      </c>
      <c r="AW2044" s="123">
        <v>0</v>
      </c>
      <c r="AX2044" s="516" t="s">
        <v>730</v>
      </c>
      <c r="AY2044" s="75">
        <v>1</v>
      </c>
      <c r="AZ2044" s="77" t="s">
        <v>5971</v>
      </c>
      <c r="BA2044" s="78" t="s">
        <v>5971</v>
      </c>
      <c r="BB2044" s="78" t="s">
        <v>5971</v>
      </c>
      <c r="BC2044" s="78" t="s">
        <v>5971</v>
      </c>
      <c r="BD2044" s="78" t="s">
        <v>5971</v>
      </c>
      <c r="BE2044" s="78" t="s">
        <v>5971</v>
      </c>
      <c r="BF2044" s="78" t="s">
        <v>5971</v>
      </c>
      <c r="BG2044" s="78" t="s">
        <v>5971</v>
      </c>
      <c r="BH2044" s="75" t="s">
        <v>5971</v>
      </c>
      <c r="BI2044" s="295" t="s">
        <v>2278</v>
      </c>
      <c r="BJ2044" s="546">
        <v>1</v>
      </c>
      <c r="BK2044" s="294">
        <v>1</v>
      </c>
      <c r="BL2044" s="157">
        <v>1</v>
      </c>
      <c r="BM2044" s="548" t="s">
        <v>578</v>
      </c>
      <c r="BN2044" s="548" t="s">
        <v>4161</v>
      </c>
      <c r="BO2044" s="157" t="s">
        <v>4746</v>
      </c>
      <c r="BP2044" s="548" t="s">
        <v>2278</v>
      </c>
      <c r="BQ2044" s="157" t="s">
        <v>4212</v>
      </c>
      <c r="BR2044" s="157"/>
    </row>
    <row r="2045" spans="1:70" x14ac:dyDescent="0.25">
      <c r="A2045" s="19" t="s">
        <v>3686</v>
      </c>
      <c r="B2045" s="37" t="s">
        <v>728</v>
      </c>
      <c r="C2045" s="90">
        <v>44312.651898148149</v>
      </c>
      <c r="D2045" s="114">
        <v>44312.401898148149</v>
      </c>
      <c r="E2045" s="38">
        <v>44312</v>
      </c>
      <c r="F2045" s="91">
        <v>2021</v>
      </c>
      <c r="G2045" s="93">
        <v>4</v>
      </c>
      <c r="H2045" s="37" t="s">
        <v>611</v>
      </c>
      <c r="I2045" s="37" t="s">
        <v>16</v>
      </c>
      <c r="J2045" s="103">
        <v>-92.433273200000002</v>
      </c>
      <c r="K2045" s="40">
        <v>44.291818999999997</v>
      </c>
      <c r="L2045" s="74"/>
      <c r="M2045" s="272" t="s">
        <v>16</v>
      </c>
      <c r="N2045" s="74">
        <v>0</v>
      </c>
      <c r="O2045" s="94"/>
      <c r="P2045" s="118">
        <v>1</v>
      </c>
      <c r="Q2045" s="510">
        <v>0</v>
      </c>
      <c r="R2045" s="513">
        <v>60</v>
      </c>
      <c r="S2045" s="41"/>
      <c r="T2045" s="40"/>
      <c r="U2045" s="40">
        <v>7.5</v>
      </c>
      <c r="V2045" s="119">
        <v>1</v>
      </c>
      <c r="W2045" s="40">
        <v>100</v>
      </c>
      <c r="X2045" s="119">
        <v>1</v>
      </c>
      <c r="Y2045" s="40">
        <v>46</v>
      </c>
      <c r="Z2045" s="119">
        <v>1</v>
      </c>
      <c r="AA2045" s="368">
        <v>0</v>
      </c>
      <c r="AB2045" s="535">
        <v>5</v>
      </c>
      <c r="AC2045" s="39" t="s">
        <v>160</v>
      </c>
      <c r="AD2045" s="75" t="s">
        <v>10</v>
      </c>
      <c r="AE2045" s="95">
        <v>0</v>
      </c>
      <c r="AF2045" s="75">
        <v>0</v>
      </c>
      <c r="AG2045" s="75">
        <v>0</v>
      </c>
      <c r="AH2045" s="75">
        <v>0</v>
      </c>
      <c r="AI2045" s="75">
        <v>0</v>
      </c>
      <c r="AJ2045" s="75">
        <v>0</v>
      </c>
      <c r="AK2045" s="75">
        <v>0</v>
      </c>
      <c r="AL2045" s="95">
        <v>1</v>
      </c>
      <c r="AM2045" s="92">
        <v>0</v>
      </c>
      <c r="AN2045" s="79" t="s">
        <v>80</v>
      </c>
      <c r="AO2045" s="75">
        <v>1</v>
      </c>
      <c r="AP2045" s="75" t="s">
        <v>83</v>
      </c>
      <c r="AQ2045" s="122">
        <v>1</v>
      </c>
      <c r="AR2045" s="515" t="s">
        <v>10</v>
      </c>
      <c r="AS2045" s="95">
        <v>0</v>
      </c>
      <c r="AT2045" s="75">
        <v>0</v>
      </c>
      <c r="AU2045" s="75">
        <v>0</v>
      </c>
      <c r="AV2045" s="75">
        <v>0</v>
      </c>
      <c r="AW2045" s="123">
        <v>0</v>
      </c>
      <c r="AX2045" s="516"/>
      <c r="AY2045" s="75">
        <v>0</v>
      </c>
      <c r="AZ2045" s="77" t="s">
        <v>131</v>
      </c>
      <c r="BA2045" s="78" t="s">
        <v>131</v>
      </c>
      <c r="BB2045" s="78" t="s">
        <v>131</v>
      </c>
      <c r="BC2045" s="78" t="s">
        <v>131</v>
      </c>
      <c r="BD2045" s="78" t="s">
        <v>131</v>
      </c>
      <c r="BE2045" s="78" t="s">
        <v>131</v>
      </c>
      <c r="BF2045" s="78" t="s">
        <v>131</v>
      </c>
      <c r="BG2045" s="78" t="s">
        <v>132</v>
      </c>
      <c r="BH2045" s="75" t="s">
        <v>5970</v>
      </c>
      <c r="BI2045" s="295" t="s">
        <v>2234</v>
      </c>
      <c r="BJ2045" s="546">
        <v>1</v>
      </c>
      <c r="BK2045" s="294">
        <v>1</v>
      </c>
      <c r="BL2045" s="157">
        <v>1</v>
      </c>
      <c r="BM2045" s="548" t="s">
        <v>1339</v>
      </c>
      <c r="BN2045" s="548" t="s">
        <v>1339</v>
      </c>
      <c r="BO2045" s="157" t="s">
        <v>4331</v>
      </c>
      <c r="BP2045" s="548" t="s">
        <v>2234</v>
      </c>
      <c r="BQ2045" s="157" t="s">
        <v>4330</v>
      </c>
      <c r="BR2045" s="157"/>
    </row>
    <row r="2046" spans="1:70" x14ac:dyDescent="0.25">
      <c r="A2046" s="19" t="s">
        <v>3686</v>
      </c>
      <c r="B2046" s="37" t="s">
        <v>727</v>
      </c>
      <c r="C2046" s="90">
        <v>44311.528553240743</v>
      </c>
      <c r="D2046" s="114">
        <v>44311.278553240743</v>
      </c>
      <c r="E2046" s="38">
        <v>44311</v>
      </c>
      <c r="F2046" s="91">
        <v>2021</v>
      </c>
      <c r="G2046" s="93">
        <v>4</v>
      </c>
      <c r="H2046" s="37" t="s">
        <v>610</v>
      </c>
      <c r="I2046" s="37"/>
      <c r="J2046" s="103">
        <v>-92.409256139728598</v>
      </c>
      <c r="K2046" s="40">
        <v>43.997053430699573</v>
      </c>
      <c r="L2046" s="74"/>
      <c r="M2046" s="272" t="s">
        <v>16</v>
      </c>
      <c r="N2046" s="74">
        <v>0</v>
      </c>
      <c r="O2046" s="94"/>
      <c r="P2046" s="118">
        <v>0</v>
      </c>
      <c r="Q2046" s="510"/>
      <c r="R2046" s="513"/>
      <c r="S2046" s="41"/>
      <c r="T2046" s="40"/>
      <c r="U2046" s="40"/>
      <c r="V2046" s="119">
        <v>0</v>
      </c>
      <c r="W2046" s="40"/>
      <c r="X2046" s="119">
        <v>1</v>
      </c>
      <c r="Y2046" s="40">
        <v>47</v>
      </c>
      <c r="Z2046" s="119">
        <v>0</v>
      </c>
      <c r="AA2046" s="368" t="s">
        <v>16</v>
      </c>
      <c r="AB2046" s="535" t="s">
        <v>16</v>
      </c>
      <c r="AC2046" s="39" t="s">
        <v>16</v>
      </c>
      <c r="AD2046" s="75" t="s">
        <v>16</v>
      </c>
      <c r="AE2046" s="95">
        <v>-1</v>
      </c>
      <c r="AF2046" s="75">
        <v>-1</v>
      </c>
      <c r="AG2046" s="75">
        <v>-1</v>
      </c>
      <c r="AH2046" s="75">
        <v>-1</v>
      </c>
      <c r="AI2046" s="75">
        <v>-1</v>
      </c>
      <c r="AJ2046" s="75">
        <v>-1</v>
      </c>
      <c r="AK2046" s="75">
        <v>-1</v>
      </c>
      <c r="AL2046" s="95">
        <v>-1</v>
      </c>
      <c r="AM2046" s="92">
        <v>1</v>
      </c>
      <c r="AN2046" s="79"/>
      <c r="AO2046" s="75">
        <v>0</v>
      </c>
      <c r="AP2046" s="75"/>
      <c r="AQ2046" s="122">
        <v>0</v>
      </c>
      <c r="AR2046" s="515" t="s">
        <v>16</v>
      </c>
      <c r="AS2046" s="95">
        <v>-1</v>
      </c>
      <c r="AT2046" s="75">
        <v>-1</v>
      </c>
      <c r="AU2046" s="75">
        <v>-1</v>
      </c>
      <c r="AV2046" s="75">
        <v>-1</v>
      </c>
      <c r="AW2046" s="123">
        <v>1</v>
      </c>
      <c r="AX2046" s="516"/>
      <c r="AY2046" s="75">
        <v>0</v>
      </c>
      <c r="AZ2046" s="77" t="s">
        <v>5971</v>
      </c>
      <c r="BA2046" s="78" t="s">
        <v>5971</v>
      </c>
      <c r="BB2046" s="78" t="s">
        <v>5971</v>
      </c>
      <c r="BC2046" s="78" t="s">
        <v>5971</v>
      </c>
      <c r="BD2046" s="78" t="s">
        <v>5971</v>
      </c>
      <c r="BE2046" s="78" t="s">
        <v>5971</v>
      </c>
      <c r="BF2046" s="78" t="s">
        <v>5971</v>
      </c>
      <c r="BG2046" s="78" t="s">
        <v>5971</v>
      </c>
      <c r="BH2046" s="75" t="s">
        <v>5971</v>
      </c>
      <c r="BI2046" s="295" t="s">
        <v>16</v>
      </c>
      <c r="BJ2046" s="546" t="s">
        <v>16</v>
      </c>
      <c r="BK2046" s="294" t="s">
        <v>16</v>
      </c>
      <c r="BL2046" s="157" t="s">
        <v>16</v>
      </c>
      <c r="BM2046" s="548" t="s">
        <v>1339</v>
      </c>
      <c r="BN2046" s="548" t="s">
        <v>1339</v>
      </c>
      <c r="BO2046" s="157" t="s">
        <v>4736</v>
      </c>
      <c r="BP2046" s="548" t="s">
        <v>2260</v>
      </c>
      <c r="BQ2046" s="157" t="s">
        <v>4380</v>
      </c>
      <c r="BR2046" s="157"/>
    </row>
    <row r="2047" spans="1:70" x14ac:dyDescent="0.25">
      <c r="A2047" s="19" t="s">
        <v>3686</v>
      </c>
      <c r="B2047" s="37" t="s">
        <v>725</v>
      </c>
      <c r="C2047" s="90">
        <v>44310.922094907408</v>
      </c>
      <c r="D2047" s="114">
        <v>44310.672094907408</v>
      </c>
      <c r="E2047" s="38">
        <v>44310</v>
      </c>
      <c r="F2047" s="91">
        <v>2021</v>
      </c>
      <c r="G2047" s="93">
        <v>4</v>
      </c>
      <c r="H2047" s="37" t="s">
        <v>379</v>
      </c>
      <c r="I2047" s="37"/>
      <c r="J2047" s="103">
        <v>-92.529872434006364</v>
      </c>
      <c r="K2047" s="40">
        <v>44.793813370324692</v>
      </c>
      <c r="L2047" s="74"/>
      <c r="M2047" s="272" t="s">
        <v>16</v>
      </c>
      <c r="N2047" s="74">
        <v>0</v>
      </c>
      <c r="O2047" s="94"/>
      <c r="P2047" s="118">
        <v>1</v>
      </c>
      <c r="Q2047" s="510">
        <v>180</v>
      </c>
      <c r="R2047" s="513">
        <v>180</v>
      </c>
      <c r="S2047" s="41"/>
      <c r="T2047" s="40"/>
      <c r="U2047" s="40">
        <v>7.5</v>
      </c>
      <c r="V2047" s="119">
        <v>1</v>
      </c>
      <c r="W2047" s="40">
        <v>0</v>
      </c>
      <c r="X2047" s="119">
        <v>1</v>
      </c>
      <c r="Y2047" s="40">
        <v>48</v>
      </c>
      <c r="Z2047" s="119">
        <v>1</v>
      </c>
      <c r="AA2047" s="368">
        <v>0</v>
      </c>
      <c r="AB2047" s="535">
        <v>2</v>
      </c>
      <c r="AC2047" s="39" t="s">
        <v>160</v>
      </c>
      <c r="AD2047" s="75" t="s">
        <v>16</v>
      </c>
      <c r="AE2047" s="95">
        <v>-1</v>
      </c>
      <c r="AF2047" s="75">
        <v>-1</v>
      </c>
      <c r="AG2047" s="75">
        <v>-1</v>
      </c>
      <c r="AH2047" s="75">
        <v>-1</v>
      </c>
      <c r="AI2047" s="75">
        <v>-1</v>
      </c>
      <c r="AJ2047" s="75">
        <v>-1</v>
      </c>
      <c r="AK2047" s="75">
        <v>-1</v>
      </c>
      <c r="AL2047" s="95">
        <v>-1</v>
      </c>
      <c r="AM2047" s="92">
        <v>1</v>
      </c>
      <c r="AN2047" s="79" t="s">
        <v>80</v>
      </c>
      <c r="AO2047" s="75">
        <v>1</v>
      </c>
      <c r="AP2047" s="75" t="s">
        <v>83</v>
      </c>
      <c r="AQ2047" s="122">
        <v>1</v>
      </c>
      <c r="AR2047" s="515" t="s">
        <v>10</v>
      </c>
      <c r="AS2047" s="95">
        <v>0</v>
      </c>
      <c r="AT2047" s="75">
        <v>0</v>
      </c>
      <c r="AU2047" s="75">
        <v>0</v>
      </c>
      <c r="AV2047" s="75">
        <v>0</v>
      </c>
      <c r="AW2047" s="123">
        <v>0</v>
      </c>
      <c r="AX2047" s="516" t="s">
        <v>726</v>
      </c>
      <c r="AY2047" s="75">
        <v>1</v>
      </c>
      <c r="AZ2047" s="77" t="s">
        <v>5971</v>
      </c>
      <c r="BA2047" s="78" t="s">
        <v>5971</v>
      </c>
      <c r="BB2047" s="78" t="s">
        <v>5971</v>
      </c>
      <c r="BC2047" s="78" t="s">
        <v>5971</v>
      </c>
      <c r="BD2047" s="78" t="s">
        <v>5971</v>
      </c>
      <c r="BE2047" s="78" t="s">
        <v>5971</v>
      </c>
      <c r="BF2047" s="78" t="s">
        <v>5971</v>
      </c>
      <c r="BG2047" s="78" t="s">
        <v>5971</v>
      </c>
      <c r="BH2047" s="75" t="s">
        <v>5971</v>
      </c>
      <c r="BI2047" s="295" t="s">
        <v>2236</v>
      </c>
      <c r="BJ2047" s="546">
        <v>1</v>
      </c>
      <c r="BK2047" s="294" t="s">
        <v>16</v>
      </c>
      <c r="BL2047" s="157" t="s">
        <v>16</v>
      </c>
      <c r="BM2047" s="548" t="s">
        <v>578</v>
      </c>
      <c r="BN2047" s="548" t="s">
        <v>578</v>
      </c>
      <c r="BO2047" s="157" t="s">
        <v>4658</v>
      </c>
      <c r="BP2047" s="548" t="s">
        <v>4660</v>
      </c>
      <c r="BQ2047" s="157" t="s">
        <v>4657</v>
      </c>
      <c r="BR2047" s="157"/>
    </row>
    <row r="2048" spans="1:70" x14ac:dyDescent="0.25">
      <c r="A2048" s="19" t="s">
        <v>3686</v>
      </c>
      <c r="B2048" s="37" t="s">
        <v>724</v>
      </c>
      <c r="C2048" s="90">
        <v>44310.882453703707</v>
      </c>
      <c r="D2048" s="114">
        <v>44310.632453703707</v>
      </c>
      <c r="E2048" s="38">
        <v>44310</v>
      </c>
      <c r="F2048" s="91">
        <v>2021</v>
      </c>
      <c r="G2048" s="93">
        <v>4</v>
      </c>
      <c r="H2048" s="37" t="s">
        <v>607</v>
      </c>
      <c r="I2048" s="37" t="s">
        <v>16</v>
      </c>
      <c r="J2048" s="103">
        <v>-91.979459105145153</v>
      </c>
      <c r="K2048" s="40">
        <v>43.684330084401822</v>
      </c>
      <c r="L2048" s="74"/>
      <c r="M2048" s="272" t="s">
        <v>16</v>
      </c>
      <c r="N2048" s="74">
        <v>0</v>
      </c>
      <c r="O2048" s="94"/>
      <c r="P2048" s="118">
        <v>1</v>
      </c>
      <c r="Q2048" s="510">
        <v>180</v>
      </c>
      <c r="R2048" s="513">
        <v>180</v>
      </c>
      <c r="S2048" s="41"/>
      <c r="T2048" s="40"/>
      <c r="U2048" s="40">
        <v>8</v>
      </c>
      <c r="V2048" s="119">
        <v>1</v>
      </c>
      <c r="W2048" s="40">
        <v>100</v>
      </c>
      <c r="X2048" s="119">
        <v>0</v>
      </c>
      <c r="Y2048" s="40"/>
      <c r="Z2048" s="119">
        <v>1</v>
      </c>
      <c r="AA2048" s="368">
        <v>0</v>
      </c>
      <c r="AB2048" s="535">
        <v>5</v>
      </c>
      <c r="AC2048" s="39" t="s">
        <v>160</v>
      </c>
      <c r="AD2048" s="75" t="s">
        <v>718</v>
      </c>
      <c r="AE2048" s="95">
        <v>0</v>
      </c>
      <c r="AF2048" s="75">
        <v>1</v>
      </c>
      <c r="AG2048" s="75">
        <v>0</v>
      </c>
      <c r="AH2048" s="75">
        <v>1</v>
      </c>
      <c r="AI2048" s="75">
        <v>0</v>
      </c>
      <c r="AJ2048" s="75">
        <v>0</v>
      </c>
      <c r="AK2048" s="75">
        <v>0</v>
      </c>
      <c r="AL2048" s="95">
        <v>0</v>
      </c>
      <c r="AM2048" s="92">
        <v>0</v>
      </c>
      <c r="AN2048" s="79" t="s">
        <v>81</v>
      </c>
      <c r="AO2048" s="75">
        <v>1</v>
      </c>
      <c r="AP2048" s="75" t="s">
        <v>83</v>
      </c>
      <c r="AQ2048" s="122">
        <v>1</v>
      </c>
      <c r="AR2048" s="515" t="s">
        <v>13</v>
      </c>
      <c r="AS2048" s="95">
        <v>1</v>
      </c>
      <c r="AT2048" s="75">
        <v>0</v>
      </c>
      <c r="AU2048" s="75">
        <v>0</v>
      </c>
      <c r="AV2048" s="75">
        <v>0</v>
      </c>
      <c r="AW2048" s="123">
        <v>0</v>
      </c>
      <c r="AX2048" s="516" t="s">
        <v>719</v>
      </c>
      <c r="AY2048" s="75">
        <v>1</v>
      </c>
      <c r="AZ2048" s="77" t="s">
        <v>131</v>
      </c>
      <c r="BA2048" s="78" t="s">
        <v>132</v>
      </c>
      <c r="BB2048" s="78" t="s">
        <v>131</v>
      </c>
      <c r="BC2048" s="78" t="s">
        <v>132</v>
      </c>
      <c r="BD2048" s="78" t="s">
        <v>131</v>
      </c>
      <c r="BE2048" s="78" t="s">
        <v>131</v>
      </c>
      <c r="BF2048" s="78" t="s">
        <v>131</v>
      </c>
      <c r="BG2048" s="78" t="s">
        <v>131</v>
      </c>
      <c r="BH2048" s="75" t="s">
        <v>5970</v>
      </c>
      <c r="BI2048" s="295" t="s">
        <v>16</v>
      </c>
      <c r="BJ2048" s="546">
        <v>1</v>
      </c>
      <c r="BK2048" s="294" t="s">
        <v>16</v>
      </c>
      <c r="BL2048" s="157" t="s">
        <v>16</v>
      </c>
      <c r="BM2048" s="548" t="s">
        <v>1339</v>
      </c>
      <c r="BN2048" s="548" t="s">
        <v>1339</v>
      </c>
      <c r="BO2048" s="157" t="s">
        <v>4555</v>
      </c>
      <c r="BP2048" s="548" t="s">
        <v>2272</v>
      </c>
      <c r="BQ2048" s="157" t="s">
        <v>4229</v>
      </c>
      <c r="BR2048" s="157"/>
    </row>
    <row r="2049" spans="1:70" x14ac:dyDescent="0.25">
      <c r="A2049" s="19" t="s">
        <v>3686</v>
      </c>
      <c r="B2049" s="37" t="s">
        <v>723</v>
      </c>
      <c r="C2049" s="90">
        <v>44310.875486111108</v>
      </c>
      <c r="D2049" s="114">
        <v>44310.625486111108</v>
      </c>
      <c r="E2049" s="38">
        <v>44310</v>
      </c>
      <c r="F2049" s="91">
        <v>2021</v>
      </c>
      <c r="G2049" s="93">
        <v>4</v>
      </c>
      <c r="H2049" s="37" t="s">
        <v>610</v>
      </c>
      <c r="I2049" s="37"/>
      <c r="J2049" s="103">
        <v>-92.563635907782313</v>
      </c>
      <c r="K2049" s="40">
        <v>44.502617599082363</v>
      </c>
      <c r="L2049" s="74"/>
      <c r="M2049" s="272" t="s">
        <v>16</v>
      </c>
      <c r="N2049" s="74">
        <v>0</v>
      </c>
      <c r="O2049" s="94"/>
      <c r="P2049" s="118">
        <v>0</v>
      </c>
      <c r="Q2049" s="510"/>
      <c r="R2049" s="513"/>
      <c r="S2049" s="41"/>
      <c r="T2049" s="40"/>
      <c r="U2049" s="40"/>
      <c r="V2049" s="119">
        <v>0</v>
      </c>
      <c r="W2049" s="40"/>
      <c r="X2049" s="119">
        <v>1</v>
      </c>
      <c r="Y2049" s="40">
        <v>47</v>
      </c>
      <c r="Z2049" s="119">
        <v>0</v>
      </c>
      <c r="AA2049" s="368" t="s">
        <v>16</v>
      </c>
      <c r="AB2049" s="535" t="s">
        <v>16</v>
      </c>
      <c r="AC2049" s="39" t="s">
        <v>160</v>
      </c>
      <c r="AD2049" s="75" t="s">
        <v>16</v>
      </c>
      <c r="AE2049" s="95">
        <v>-1</v>
      </c>
      <c r="AF2049" s="75">
        <v>-1</v>
      </c>
      <c r="AG2049" s="75">
        <v>-1</v>
      </c>
      <c r="AH2049" s="75">
        <v>-1</v>
      </c>
      <c r="AI2049" s="75">
        <v>-1</v>
      </c>
      <c r="AJ2049" s="75">
        <v>-1</v>
      </c>
      <c r="AK2049" s="75">
        <v>-1</v>
      </c>
      <c r="AL2049" s="95">
        <v>-1</v>
      </c>
      <c r="AM2049" s="92">
        <v>1</v>
      </c>
      <c r="AN2049" s="79"/>
      <c r="AO2049" s="75">
        <v>0</v>
      </c>
      <c r="AP2049" s="75"/>
      <c r="AQ2049" s="122">
        <v>0</v>
      </c>
      <c r="AR2049" s="515" t="s">
        <v>16</v>
      </c>
      <c r="AS2049" s="95">
        <v>-1</v>
      </c>
      <c r="AT2049" s="75">
        <v>-1</v>
      </c>
      <c r="AU2049" s="75">
        <v>-1</v>
      </c>
      <c r="AV2049" s="75">
        <v>-1</v>
      </c>
      <c r="AW2049" s="123">
        <v>1</v>
      </c>
      <c r="AX2049" s="516"/>
      <c r="AY2049" s="75">
        <v>0</v>
      </c>
      <c r="AZ2049" s="77" t="s">
        <v>5971</v>
      </c>
      <c r="BA2049" s="78" t="s">
        <v>5971</v>
      </c>
      <c r="BB2049" s="78" t="s">
        <v>5971</v>
      </c>
      <c r="BC2049" s="78" t="s">
        <v>5971</v>
      </c>
      <c r="BD2049" s="78" t="s">
        <v>5971</v>
      </c>
      <c r="BE2049" s="78" t="s">
        <v>5971</v>
      </c>
      <c r="BF2049" s="78" t="s">
        <v>5971</v>
      </c>
      <c r="BG2049" s="78" t="s">
        <v>5971</v>
      </c>
      <c r="BH2049" s="75" t="s">
        <v>5971</v>
      </c>
      <c r="BI2049" s="295" t="s">
        <v>2238</v>
      </c>
      <c r="BJ2049" s="546">
        <v>1</v>
      </c>
      <c r="BK2049" s="294" t="s">
        <v>16</v>
      </c>
      <c r="BL2049" s="157" t="s">
        <v>16</v>
      </c>
      <c r="BM2049" s="548" t="s">
        <v>2343</v>
      </c>
      <c r="BN2049" s="548" t="s">
        <v>1339</v>
      </c>
      <c r="BO2049" s="157" t="s">
        <v>4308</v>
      </c>
      <c r="BP2049" s="548" t="s">
        <v>2238</v>
      </c>
      <c r="BQ2049" s="157" t="s">
        <v>4307</v>
      </c>
      <c r="BR2049" s="157"/>
    </row>
    <row r="2050" spans="1:70" x14ac:dyDescent="0.25">
      <c r="A2050" s="19" t="s">
        <v>3686</v>
      </c>
      <c r="B2050" s="37" t="s">
        <v>722</v>
      </c>
      <c r="C2050" s="90">
        <v>44310.874710648146</v>
      </c>
      <c r="D2050" s="114">
        <v>44310.624710648146</v>
      </c>
      <c r="E2050" s="38">
        <v>44310</v>
      </c>
      <c r="F2050" s="91">
        <v>2021</v>
      </c>
      <c r="G2050" s="93">
        <v>4</v>
      </c>
      <c r="H2050" s="37" t="s">
        <v>610</v>
      </c>
      <c r="I2050" s="37"/>
      <c r="J2050" s="103">
        <v>-92.563637599564686</v>
      </c>
      <c r="K2050" s="40">
        <v>44.502613488314573</v>
      </c>
      <c r="L2050" s="74"/>
      <c r="M2050" s="272" t="s">
        <v>16</v>
      </c>
      <c r="N2050" s="74">
        <v>0</v>
      </c>
      <c r="O2050" s="94"/>
      <c r="P2050" s="118">
        <v>0</v>
      </c>
      <c r="Q2050" s="510"/>
      <c r="R2050" s="513"/>
      <c r="S2050" s="41"/>
      <c r="T2050" s="40"/>
      <c r="U2050" s="40"/>
      <c r="V2050" s="119">
        <v>1</v>
      </c>
      <c r="W2050" s="40">
        <v>0</v>
      </c>
      <c r="X2050" s="119">
        <v>0</v>
      </c>
      <c r="Y2050" s="40"/>
      <c r="Z2050" s="119">
        <v>0</v>
      </c>
      <c r="AA2050" s="368" t="s">
        <v>16</v>
      </c>
      <c r="AB2050" s="535" t="s">
        <v>16</v>
      </c>
      <c r="AC2050" s="39"/>
      <c r="AD2050" s="75" t="s">
        <v>16</v>
      </c>
      <c r="AE2050" s="95">
        <v>-1</v>
      </c>
      <c r="AF2050" s="75">
        <v>-1</v>
      </c>
      <c r="AG2050" s="75">
        <v>-1</v>
      </c>
      <c r="AH2050" s="75">
        <v>-1</v>
      </c>
      <c r="AI2050" s="75">
        <v>-1</v>
      </c>
      <c r="AJ2050" s="75">
        <v>-1</v>
      </c>
      <c r="AK2050" s="75">
        <v>-1</v>
      </c>
      <c r="AL2050" s="95">
        <v>-1</v>
      </c>
      <c r="AM2050" s="92">
        <v>1</v>
      </c>
      <c r="AN2050" s="79"/>
      <c r="AO2050" s="75">
        <v>0</v>
      </c>
      <c r="AP2050" s="75"/>
      <c r="AQ2050" s="122">
        <v>0</v>
      </c>
      <c r="AR2050" s="515" t="s">
        <v>16</v>
      </c>
      <c r="AS2050" s="95">
        <v>-1</v>
      </c>
      <c r="AT2050" s="75">
        <v>-1</v>
      </c>
      <c r="AU2050" s="75">
        <v>-1</v>
      </c>
      <c r="AV2050" s="75">
        <v>-1</v>
      </c>
      <c r="AW2050" s="123">
        <v>1</v>
      </c>
      <c r="AX2050" s="516"/>
      <c r="AY2050" s="75">
        <v>0</v>
      </c>
      <c r="AZ2050" s="77" t="s">
        <v>5971</v>
      </c>
      <c r="BA2050" s="78" t="s">
        <v>5971</v>
      </c>
      <c r="BB2050" s="78" t="s">
        <v>5971</v>
      </c>
      <c r="BC2050" s="78" t="s">
        <v>5971</v>
      </c>
      <c r="BD2050" s="78" t="s">
        <v>5971</v>
      </c>
      <c r="BE2050" s="78" t="s">
        <v>5971</v>
      </c>
      <c r="BF2050" s="78" t="s">
        <v>5971</v>
      </c>
      <c r="BG2050" s="78" t="s">
        <v>5971</v>
      </c>
      <c r="BH2050" s="75" t="s">
        <v>5971</v>
      </c>
      <c r="BI2050" s="295" t="s">
        <v>2238</v>
      </c>
      <c r="BJ2050" s="546">
        <v>1</v>
      </c>
      <c r="BK2050" s="294" t="s">
        <v>16</v>
      </c>
      <c r="BL2050" s="157" t="s">
        <v>16</v>
      </c>
      <c r="BM2050" s="548" t="s">
        <v>2343</v>
      </c>
      <c r="BN2050" s="548" t="s">
        <v>1339</v>
      </c>
      <c r="BO2050" s="157" t="s">
        <v>4308</v>
      </c>
      <c r="BP2050" s="548" t="s">
        <v>2238</v>
      </c>
      <c r="BQ2050" s="157" t="s">
        <v>4307</v>
      </c>
      <c r="BR2050" s="157"/>
    </row>
    <row r="2051" spans="1:70" x14ac:dyDescent="0.25">
      <c r="A2051" s="19" t="s">
        <v>3686</v>
      </c>
      <c r="B2051" s="37" t="s">
        <v>721</v>
      </c>
      <c r="C2051" s="90">
        <v>44310.871805555558</v>
      </c>
      <c r="D2051" s="114">
        <v>44310.621805555558</v>
      </c>
      <c r="E2051" s="38">
        <v>44310</v>
      </c>
      <c r="F2051" s="91">
        <v>2021</v>
      </c>
      <c r="G2051" s="93">
        <v>4</v>
      </c>
      <c r="H2051" s="37" t="s">
        <v>610</v>
      </c>
      <c r="I2051" s="37"/>
      <c r="J2051" s="103">
        <v>-92.563648998215086</v>
      </c>
      <c r="K2051" s="40">
        <v>44.502609920464401</v>
      </c>
      <c r="L2051" s="74"/>
      <c r="M2051" s="272" t="s">
        <v>16</v>
      </c>
      <c r="N2051" s="74">
        <v>0</v>
      </c>
      <c r="O2051" s="94"/>
      <c r="P2051" s="118">
        <v>0</v>
      </c>
      <c r="Q2051" s="510"/>
      <c r="R2051" s="513"/>
      <c r="S2051" s="41"/>
      <c r="T2051" s="40"/>
      <c r="U2051" s="40"/>
      <c r="V2051" s="119">
        <v>1</v>
      </c>
      <c r="W2051" s="40">
        <v>0</v>
      </c>
      <c r="X2051" s="119">
        <v>1</v>
      </c>
      <c r="Y2051" s="40">
        <v>47</v>
      </c>
      <c r="Z2051" s="119">
        <v>0</v>
      </c>
      <c r="AA2051" s="368" t="s">
        <v>16</v>
      </c>
      <c r="AB2051" s="535" t="s">
        <v>16</v>
      </c>
      <c r="AC2051" s="39"/>
      <c r="AD2051" s="75" t="s">
        <v>16</v>
      </c>
      <c r="AE2051" s="95">
        <v>-1</v>
      </c>
      <c r="AF2051" s="75">
        <v>-1</v>
      </c>
      <c r="AG2051" s="75">
        <v>-1</v>
      </c>
      <c r="AH2051" s="75">
        <v>-1</v>
      </c>
      <c r="AI2051" s="75">
        <v>-1</v>
      </c>
      <c r="AJ2051" s="75">
        <v>-1</v>
      </c>
      <c r="AK2051" s="75">
        <v>-1</v>
      </c>
      <c r="AL2051" s="95">
        <v>-1</v>
      </c>
      <c r="AM2051" s="92">
        <v>1</v>
      </c>
      <c r="AN2051" s="79"/>
      <c r="AO2051" s="75">
        <v>0</v>
      </c>
      <c r="AP2051" s="75"/>
      <c r="AQ2051" s="122">
        <v>0</v>
      </c>
      <c r="AR2051" s="515" t="s">
        <v>16</v>
      </c>
      <c r="AS2051" s="95">
        <v>-1</v>
      </c>
      <c r="AT2051" s="75">
        <v>-1</v>
      </c>
      <c r="AU2051" s="75">
        <v>-1</v>
      </c>
      <c r="AV2051" s="75">
        <v>-1</v>
      </c>
      <c r="AW2051" s="123">
        <v>1</v>
      </c>
      <c r="AX2051" s="516"/>
      <c r="AY2051" s="75">
        <v>0</v>
      </c>
      <c r="AZ2051" s="77" t="s">
        <v>5971</v>
      </c>
      <c r="BA2051" s="78" t="s">
        <v>5971</v>
      </c>
      <c r="BB2051" s="78" t="s">
        <v>5971</v>
      </c>
      <c r="BC2051" s="78" t="s">
        <v>5971</v>
      </c>
      <c r="BD2051" s="78" t="s">
        <v>5971</v>
      </c>
      <c r="BE2051" s="78" t="s">
        <v>5971</v>
      </c>
      <c r="BF2051" s="78" t="s">
        <v>5971</v>
      </c>
      <c r="BG2051" s="78" t="s">
        <v>5971</v>
      </c>
      <c r="BH2051" s="75" t="s">
        <v>5971</v>
      </c>
      <c r="BI2051" s="295" t="s">
        <v>16</v>
      </c>
      <c r="BJ2051" s="546">
        <v>1</v>
      </c>
      <c r="BK2051" s="294" t="s">
        <v>16</v>
      </c>
      <c r="BL2051" s="157" t="s">
        <v>16</v>
      </c>
      <c r="BM2051" s="548" t="s">
        <v>2343</v>
      </c>
      <c r="BN2051" s="548" t="s">
        <v>1339</v>
      </c>
      <c r="BO2051" s="157" t="s">
        <v>4308</v>
      </c>
      <c r="BP2051" s="548" t="s">
        <v>2238</v>
      </c>
      <c r="BQ2051" s="157" t="s">
        <v>4307</v>
      </c>
      <c r="BR2051" s="157"/>
    </row>
    <row r="2052" spans="1:70" x14ac:dyDescent="0.25">
      <c r="A2052" s="19" t="s">
        <v>3686</v>
      </c>
      <c r="B2052" s="37" t="s">
        <v>720</v>
      </c>
      <c r="C2052" s="90">
        <v>44310.85659722222</v>
      </c>
      <c r="D2052" s="114">
        <v>44310.60659722222</v>
      </c>
      <c r="E2052" s="38">
        <v>44310</v>
      </c>
      <c r="F2052" s="91">
        <v>2021</v>
      </c>
      <c r="G2052" s="93">
        <v>4</v>
      </c>
      <c r="H2052" s="37" t="s">
        <v>610</v>
      </c>
      <c r="I2052" s="37"/>
      <c r="J2052" s="103">
        <v>-92.563656466167942</v>
      </c>
      <c r="K2052" s="40">
        <v>44.502611202229517</v>
      </c>
      <c r="L2052" s="74"/>
      <c r="M2052" s="272" t="s">
        <v>16</v>
      </c>
      <c r="N2052" s="74">
        <v>0</v>
      </c>
      <c r="O2052" s="94"/>
      <c r="P2052" s="118">
        <v>0</v>
      </c>
      <c r="Q2052" s="510"/>
      <c r="R2052" s="513"/>
      <c r="S2052" s="41"/>
      <c r="T2052" s="40"/>
      <c r="U2052" s="40"/>
      <c r="V2052" s="119">
        <v>0</v>
      </c>
      <c r="W2052" s="40"/>
      <c r="X2052" s="119">
        <v>0</v>
      </c>
      <c r="Y2052" s="40"/>
      <c r="Z2052" s="119">
        <v>0</v>
      </c>
      <c r="AA2052" s="368" t="s">
        <v>16</v>
      </c>
      <c r="AB2052" s="535" t="s">
        <v>16</v>
      </c>
      <c r="AC2052" s="39" t="s">
        <v>160</v>
      </c>
      <c r="AD2052" s="75" t="s">
        <v>16</v>
      </c>
      <c r="AE2052" s="95">
        <v>-1</v>
      </c>
      <c r="AF2052" s="75">
        <v>-1</v>
      </c>
      <c r="AG2052" s="75">
        <v>-1</v>
      </c>
      <c r="AH2052" s="75">
        <v>-1</v>
      </c>
      <c r="AI2052" s="75">
        <v>-1</v>
      </c>
      <c r="AJ2052" s="75">
        <v>-1</v>
      </c>
      <c r="AK2052" s="75">
        <v>-1</v>
      </c>
      <c r="AL2052" s="95">
        <v>-1</v>
      </c>
      <c r="AM2052" s="92">
        <v>1</v>
      </c>
      <c r="AN2052" s="79"/>
      <c r="AO2052" s="75">
        <v>0</v>
      </c>
      <c r="AP2052" s="75"/>
      <c r="AQ2052" s="122">
        <v>0</v>
      </c>
      <c r="AR2052" s="515" t="s">
        <v>16</v>
      </c>
      <c r="AS2052" s="95">
        <v>-1</v>
      </c>
      <c r="AT2052" s="75">
        <v>-1</v>
      </c>
      <c r="AU2052" s="75">
        <v>-1</v>
      </c>
      <c r="AV2052" s="75">
        <v>-1</v>
      </c>
      <c r="AW2052" s="123">
        <v>1</v>
      </c>
      <c r="AX2052" s="516"/>
      <c r="AY2052" s="75">
        <v>0</v>
      </c>
      <c r="AZ2052" s="77" t="s">
        <v>5971</v>
      </c>
      <c r="BA2052" s="78" t="s">
        <v>5971</v>
      </c>
      <c r="BB2052" s="78" t="s">
        <v>5971</v>
      </c>
      <c r="BC2052" s="78" t="s">
        <v>5971</v>
      </c>
      <c r="BD2052" s="78" t="s">
        <v>5971</v>
      </c>
      <c r="BE2052" s="78" t="s">
        <v>5971</v>
      </c>
      <c r="BF2052" s="78" t="s">
        <v>5971</v>
      </c>
      <c r="BG2052" s="78" t="s">
        <v>5971</v>
      </c>
      <c r="BH2052" s="75" t="s">
        <v>5971</v>
      </c>
      <c r="BI2052" s="295" t="s">
        <v>16</v>
      </c>
      <c r="BJ2052" s="546">
        <v>1</v>
      </c>
      <c r="BK2052" s="294" t="s">
        <v>16</v>
      </c>
      <c r="BL2052" s="157" t="s">
        <v>16</v>
      </c>
      <c r="BM2052" s="548" t="s">
        <v>2343</v>
      </c>
      <c r="BN2052" s="548" t="s">
        <v>1339</v>
      </c>
      <c r="BO2052" s="157" t="s">
        <v>4308</v>
      </c>
      <c r="BP2052" s="548" t="s">
        <v>2238</v>
      </c>
      <c r="BQ2052" s="157" t="s">
        <v>4307</v>
      </c>
      <c r="BR2052" s="157"/>
    </row>
    <row r="2053" spans="1:70" x14ac:dyDescent="0.25">
      <c r="A2053" s="19" t="s">
        <v>3686</v>
      </c>
      <c r="B2053" s="37" t="s">
        <v>717</v>
      </c>
      <c r="C2053" s="90">
        <v>44310.843321759261</v>
      </c>
      <c r="D2053" s="114">
        <v>44310.593321759261</v>
      </c>
      <c r="E2053" s="38">
        <v>44310</v>
      </c>
      <c r="F2053" s="91">
        <v>2021</v>
      </c>
      <c r="G2053" s="93">
        <v>4</v>
      </c>
      <c r="H2053" s="37" t="s">
        <v>607</v>
      </c>
      <c r="I2053" s="37" t="s">
        <v>16</v>
      </c>
      <c r="J2053" s="103">
        <v>-91.980259660717081</v>
      </c>
      <c r="K2053" s="40">
        <v>43.683580071706025</v>
      </c>
      <c r="L2053" s="74"/>
      <c r="M2053" s="272" t="s">
        <v>16</v>
      </c>
      <c r="N2053" s="74">
        <v>0</v>
      </c>
      <c r="O2053" s="94"/>
      <c r="P2053" s="118">
        <v>0</v>
      </c>
      <c r="Q2053" s="510"/>
      <c r="R2053" s="513"/>
      <c r="S2053" s="41"/>
      <c r="T2053" s="40"/>
      <c r="U2053" s="40"/>
      <c r="V2053" s="119">
        <v>0</v>
      </c>
      <c r="W2053" s="40"/>
      <c r="X2053" s="119">
        <v>0</v>
      </c>
      <c r="Y2053" s="40"/>
      <c r="Z2053" s="119">
        <v>0</v>
      </c>
      <c r="AA2053" s="368" t="s">
        <v>16</v>
      </c>
      <c r="AB2053" s="535" t="s">
        <v>16</v>
      </c>
      <c r="AC2053" s="39" t="s">
        <v>160</v>
      </c>
      <c r="AD2053" s="75" t="s">
        <v>718</v>
      </c>
      <c r="AE2053" s="95">
        <v>0</v>
      </c>
      <c r="AF2053" s="75">
        <v>1</v>
      </c>
      <c r="AG2053" s="75">
        <v>0</v>
      </c>
      <c r="AH2053" s="75">
        <v>1</v>
      </c>
      <c r="AI2053" s="75">
        <v>0</v>
      </c>
      <c r="AJ2053" s="75">
        <v>0</v>
      </c>
      <c r="AK2053" s="75">
        <v>0</v>
      </c>
      <c r="AL2053" s="95">
        <v>0</v>
      </c>
      <c r="AM2053" s="92">
        <v>0</v>
      </c>
      <c r="AN2053" s="79" t="s">
        <v>81</v>
      </c>
      <c r="AO2053" s="75">
        <v>1</v>
      </c>
      <c r="AP2053" s="75" t="s">
        <v>83</v>
      </c>
      <c r="AQ2053" s="122">
        <v>1</v>
      </c>
      <c r="AR2053" s="515" t="s">
        <v>13</v>
      </c>
      <c r="AS2053" s="95">
        <v>1</v>
      </c>
      <c r="AT2053" s="75">
        <v>0</v>
      </c>
      <c r="AU2053" s="75">
        <v>0</v>
      </c>
      <c r="AV2053" s="75">
        <v>0</v>
      </c>
      <c r="AW2053" s="123">
        <v>0</v>
      </c>
      <c r="AX2053" s="516" t="s">
        <v>719</v>
      </c>
      <c r="AY2053" s="75">
        <v>1</v>
      </c>
      <c r="AZ2053" s="77" t="s">
        <v>131</v>
      </c>
      <c r="BA2053" s="78" t="s">
        <v>132</v>
      </c>
      <c r="BB2053" s="78" t="s">
        <v>131</v>
      </c>
      <c r="BC2053" s="78" t="s">
        <v>132</v>
      </c>
      <c r="BD2053" s="78" t="s">
        <v>131</v>
      </c>
      <c r="BE2053" s="78" t="s">
        <v>131</v>
      </c>
      <c r="BF2053" s="78" t="s">
        <v>131</v>
      </c>
      <c r="BG2053" s="78" t="s">
        <v>131</v>
      </c>
      <c r="BH2053" s="75" t="s">
        <v>5970</v>
      </c>
      <c r="BI2053" s="295" t="s">
        <v>2272</v>
      </c>
      <c r="BJ2053" s="546">
        <v>1</v>
      </c>
      <c r="BK2053" s="294" t="s">
        <v>16</v>
      </c>
      <c r="BL2053" s="157" t="s">
        <v>16</v>
      </c>
      <c r="BM2053" s="548" t="s">
        <v>1339</v>
      </c>
      <c r="BN2053" s="548" t="s">
        <v>1339</v>
      </c>
      <c r="BO2053" s="157" t="s">
        <v>4555</v>
      </c>
      <c r="BP2053" s="548" t="s">
        <v>2272</v>
      </c>
      <c r="BQ2053" s="157" t="s">
        <v>4229</v>
      </c>
      <c r="BR2053" s="157"/>
    </row>
    <row r="2054" spans="1:70" x14ac:dyDescent="0.25">
      <c r="A2054" s="19" t="s">
        <v>3686</v>
      </c>
      <c r="B2054" s="37" t="s">
        <v>716</v>
      </c>
      <c r="C2054" s="90">
        <v>44310.64335648148</v>
      </c>
      <c r="D2054" s="114">
        <v>44310.39335648148</v>
      </c>
      <c r="E2054" s="38">
        <v>44310</v>
      </c>
      <c r="F2054" s="91">
        <v>2021</v>
      </c>
      <c r="G2054" s="93">
        <v>4</v>
      </c>
      <c r="H2054" s="37" t="s">
        <v>619</v>
      </c>
      <c r="I2054" s="37"/>
      <c r="J2054" s="103">
        <v>-92.225692699999996</v>
      </c>
      <c r="K2054" s="40">
        <v>43.886573800000001</v>
      </c>
      <c r="L2054" s="74"/>
      <c r="M2054" s="272" t="s">
        <v>714</v>
      </c>
      <c r="N2054" s="74">
        <v>1</v>
      </c>
      <c r="O2054" s="94"/>
      <c r="P2054" s="118">
        <v>1</v>
      </c>
      <c r="Q2054" s="510">
        <v>80</v>
      </c>
      <c r="R2054" s="513">
        <v>180</v>
      </c>
      <c r="S2054" s="41"/>
      <c r="T2054" s="40"/>
      <c r="U2054" s="40">
        <v>7.5</v>
      </c>
      <c r="V2054" s="119">
        <v>1</v>
      </c>
      <c r="W2054" s="40">
        <v>0</v>
      </c>
      <c r="X2054" s="119">
        <v>1</v>
      </c>
      <c r="Y2054" s="40">
        <v>48</v>
      </c>
      <c r="Z2054" s="119">
        <v>0</v>
      </c>
      <c r="AA2054" s="368" t="s">
        <v>16</v>
      </c>
      <c r="AB2054" s="535" t="s">
        <v>16</v>
      </c>
      <c r="AC2054" s="39" t="s">
        <v>160</v>
      </c>
      <c r="AD2054" s="75" t="s">
        <v>16</v>
      </c>
      <c r="AE2054" s="95">
        <v>-1</v>
      </c>
      <c r="AF2054" s="75">
        <v>-1</v>
      </c>
      <c r="AG2054" s="75">
        <v>-1</v>
      </c>
      <c r="AH2054" s="75">
        <v>-1</v>
      </c>
      <c r="AI2054" s="75">
        <v>-1</v>
      </c>
      <c r="AJ2054" s="75">
        <v>-1</v>
      </c>
      <c r="AK2054" s="75">
        <v>-1</v>
      </c>
      <c r="AL2054" s="95">
        <v>-1</v>
      </c>
      <c r="AM2054" s="92">
        <v>1</v>
      </c>
      <c r="AN2054" s="79" t="s">
        <v>80</v>
      </c>
      <c r="AO2054" s="75">
        <v>1</v>
      </c>
      <c r="AP2054" s="75" t="s">
        <v>83</v>
      </c>
      <c r="AQ2054" s="122">
        <v>1</v>
      </c>
      <c r="AR2054" s="515" t="s">
        <v>10</v>
      </c>
      <c r="AS2054" s="95">
        <v>0</v>
      </c>
      <c r="AT2054" s="75">
        <v>0</v>
      </c>
      <c r="AU2054" s="75">
        <v>0</v>
      </c>
      <c r="AV2054" s="75">
        <v>0</v>
      </c>
      <c r="AW2054" s="123">
        <v>0</v>
      </c>
      <c r="AX2054" s="516" t="s">
        <v>715</v>
      </c>
      <c r="AY2054" s="75">
        <v>1</v>
      </c>
      <c r="AZ2054" s="77" t="s">
        <v>5971</v>
      </c>
      <c r="BA2054" s="78" t="s">
        <v>5971</v>
      </c>
      <c r="BB2054" s="78" t="s">
        <v>5971</v>
      </c>
      <c r="BC2054" s="78" t="s">
        <v>5971</v>
      </c>
      <c r="BD2054" s="78" t="s">
        <v>5971</v>
      </c>
      <c r="BE2054" s="78" t="s">
        <v>5971</v>
      </c>
      <c r="BF2054" s="78" t="s">
        <v>5971</v>
      </c>
      <c r="BG2054" s="78" t="s">
        <v>5971</v>
      </c>
      <c r="BH2054" s="75" t="s">
        <v>5971</v>
      </c>
      <c r="BI2054" s="295" t="s">
        <v>2243</v>
      </c>
      <c r="BJ2054" s="546">
        <v>1</v>
      </c>
      <c r="BK2054" s="294" t="s">
        <v>16</v>
      </c>
      <c r="BL2054" s="157" t="s">
        <v>16</v>
      </c>
      <c r="BM2054" s="548" t="s">
        <v>1339</v>
      </c>
      <c r="BN2054" s="548" t="s">
        <v>1339</v>
      </c>
      <c r="BO2054" s="157" t="s">
        <v>4697</v>
      </c>
      <c r="BP2054" s="548" t="s">
        <v>2243</v>
      </c>
      <c r="BQ2054" s="157" t="s">
        <v>4673</v>
      </c>
      <c r="BR2054" s="157"/>
    </row>
    <row r="2055" spans="1:70" x14ac:dyDescent="0.25">
      <c r="A2055" s="19" t="s">
        <v>3686</v>
      </c>
      <c r="B2055" s="37" t="s">
        <v>713</v>
      </c>
      <c r="C2055" s="90">
        <v>44310.64334490741</v>
      </c>
      <c r="D2055" s="114">
        <v>44310.39334490741</v>
      </c>
      <c r="E2055" s="38">
        <v>44310</v>
      </c>
      <c r="F2055" s="91">
        <v>2021</v>
      </c>
      <c r="G2055" s="93">
        <v>4</v>
      </c>
      <c r="H2055" s="37" t="s">
        <v>619</v>
      </c>
      <c r="I2055" s="37"/>
      <c r="J2055" s="103">
        <v>-92.225699399999996</v>
      </c>
      <c r="K2055" s="40">
        <v>43.886580299999999</v>
      </c>
      <c r="L2055" s="74"/>
      <c r="M2055" s="272" t="s">
        <v>714</v>
      </c>
      <c r="N2055" s="74">
        <v>1</v>
      </c>
      <c r="O2055" s="94"/>
      <c r="P2055" s="118">
        <v>1</v>
      </c>
      <c r="Q2055" s="510">
        <v>80</v>
      </c>
      <c r="R2055" s="513">
        <v>180</v>
      </c>
      <c r="S2055" s="41"/>
      <c r="T2055" s="40"/>
      <c r="U2055" s="40">
        <v>7.5</v>
      </c>
      <c r="V2055" s="119">
        <v>1</v>
      </c>
      <c r="W2055" s="40">
        <v>0</v>
      </c>
      <c r="X2055" s="119">
        <v>1</v>
      </c>
      <c r="Y2055" s="40">
        <v>48</v>
      </c>
      <c r="Z2055" s="119">
        <v>0</v>
      </c>
      <c r="AA2055" s="368" t="s">
        <v>16</v>
      </c>
      <c r="AB2055" s="535" t="s">
        <v>16</v>
      </c>
      <c r="AC2055" s="39" t="s">
        <v>160</v>
      </c>
      <c r="AD2055" s="75" t="s">
        <v>16</v>
      </c>
      <c r="AE2055" s="95">
        <v>-1</v>
      </c>
      <c r="AF2055" s="75">
        <v>-1</v>
      </c>
      <c r="AG2055" s="75">
        <v>-1</v>
      </c>
      <c r="AH2055" s="75">
        <v>-1</v>
      </c>
      <c r="AI2055" s="75">
        <v>-1</v>
      </c>
      <c r="AJ2055" s="75">
        <v>-1</v>
      </c>
      <c r="AK2055" s="75">
        <v>-1</v>
      </c>
      <c r="AL2055" s="95">
        <v>-1</v>
      </c>
      <c r="AM2055" s="92">
        <v>1</v>
      </c>
      <c r="AN2055" s="79" t="s">
        <v>80</v>
      </c>
      <c r="AO2055" s="75">
        <v>1</v>
      </c>
      <c r="AP2055" s="75" t="s">
        <v>83</v>
      </c>
      <c r="AQ2055" s="122">
        <v>1</v>
      </c>
      <c r="AR2055" s="515" t="s">
        <v>10</v>
      </c>
      <c r="AS2055" s="95">
        <v>0</v>
      </c>
      <c r="AT2055" s="75">
        <v>0</v>
      </c>
      <c r="AU2055" s="75">
        <v>0</v>
      </c>
      <c r="AV2055" s="75">
        <v>0</v>
      </c>
      <c r="AW2055" s="123">
        <v>0</v>
      </c>
      <c r="AX2055" s="516" t="s">
        <v>715</v>
      </c>
      <c r="AY2055" s="75">
        <v>1</v>
      </c>
      <c r="AZ2055" s="77" t="s">
        <v>5971</v>
      </c>
      <c r="BA2055" s="78" t="s">
        <v>5971</v>
      </c>
      <c r="BB2055" s="78" t="s">
        <v>5971</v>
      </c>
      <c r="BC2055" s="78" t="s">
        <v>5971</v>
      </c>
      <c r="BD2055" s="78" t="s">
        <v>5971</v>
      </c>
      <c r="BE2055" s="78" t="s">
        <v>5971</v>
      </c>
      <c r="BF2055" s="78" t="s">
        <v>5971</v>
      </c>
      <c r="BG2055" s="78" t="s">
        <v>5971</v>
      </c>
      <c r="BH2055" s="75" t="s">
        <v>5971</v>
      </c>
      <c r="BI2055" s="295" t="s">
        <v>2243</v>
      </c>
      <c r="BJ2055" s="546">
        <v>1</v>
      </c>
      <c r="BK2055" s="294" t="s">
        <v>16</v>
      </c>
      <c r="BL2055" s="157" t="s">
        <v>16</v>
      </c>
      <c r="BM2055" s="548" t="s">
        <v>1339</v>
      </c>
      <c r="BN2055" s="548" t="s">
        <v>1339</v>
      </c>
      <c r="BO2055" s="157" t="s">
        <v>4697</v>
      </c>
      <c r="BP2055" s="548" t="s">
        <v>2243</v>
      </c>
      <c r="BQ2055" s="157" t="s">
        <v>4673</v>
      </c>
      <c r="BR2055" s="157"/>
    </row>
    <row r="2056" spans="1:70" x14ac:dyDescent="0.25">
      <c r="A2056" s="19" t="s">
        <v>3686</v>
      </c>
      <c r="B2056" s="37" t="s">
        <v>710</v>
      </c>
      <c r="C2056" s="90">
        <v>44310.616006944445</v>
      </c>
      <c r="D2056" s="114">
        <v>44310.366006944445</v>
      </c>
      <c r="E2056" s="38">
        <v>44310</v>
      </c>
      <c r="F2056" s="91">
        <v>2021</v>
      </c>
      <c r="G2056" s="93">
        <v>4</v>
      </c>
      <c r="H2056" s="37" t="s">
        <v>619</v>
      </c>
      <c r="I2056" s="37"/>
      <c r="J2056" s="103">
        <v>-92.195551300000005</v>
      </c>
      <c r="K2056" s="40">
        <v>43.8477253</v>
      </c>
      <c r="L2056" s="74"/>
      <c r="M2056" s="272" t="s">
        <v>711</v>
      </c>
      <c r="N2056" s="74">
        <v>1</v>
      </c>
      <c r="O2056" s="94"/>
      <c r="P2056" s="118">
        <v>1</v>
      </c>
      <c r="Q2056" s="510">
        <v>0</v>
      </c>
      <c r="R2056" s="513">
        <v>60</v>
      </c>
      <c r="S2056" s="41"/>
      <c r="T2056" s="40"/>
      <c r="U2056" s="40">
        <v>7.5</v>
      </c>
      <c r="V2056" s="119">
        <v>1</v>
      </c>
      <c r="W2056" s="40">
        <v>0</v>
      </c>
      <c r="X2056" s="119">
        <v>1</v>
      </c>
      <c r="Y2056" s="40">
        <v>48</v>
      </c>
      <c r="Z2056" s="119">
        <v>1</v>
      </c>
      <c r="AA2056" s="368">
        <v>0</v>
      </c>
      <c r="AB2056" s="535">
        <v>0</v>
      </c>
      <c r="AC2056" s="39" t="s">
        <v>160</v>
      </c>
      <c r="AD2056" s="75" t="s">
        <v>16</v>
      </c>
      <c r="AE2056" s="95">
        <v>-1</v>
      </c>
      <c r="AF2056" s="75">
        <v>-1</v>
      </c>
      <c r="AG2056" s="75">
        <v>-1</v>
      </c>
      <c r="AH2056" s="75">
        <v>-1</v>
      </c>
      <c r="AI2056" s="75">
        <v>-1</v>
      </c>
      <c r="AJ2056" s="75">
        <v>-1</v>
      </c>
      <c r="AK2056" s="75">
        <v>-1</v>
      </c>
      <c r="AL2056" s="95">
        <v>-1</v>
      </c>
      <c r="AM2056" s="92">
        <v>1</v>
      </c>
      <c r="AN2056" s="79" t="s">
        <v>80</v>
      </c>
      <c r="AO2056" s="75">
        <v>1</v>
      </c>
      <c r="AP2056" s="75" t="s">
        <v>83</v>
      </c>
      <c r="AQ2056" s="122">
        <v>1</v>
      </c>
      <c r="AR2056" s="515" t="s">
        <v>10</v>
      </c>
      <c r="AS2056" s="95">
        <v>0</v>
      </c>
      <c r="AT2056" s="75">
        <v>0</v>
      </c>
      <c r="AU2056" s="75">
        <v>0</v>
      </c>
      <c r="AV2056" s="75">
        <v>0</v>
      </c>
      <c r="AW2056" s="123">
        <v>0</v>
      </c>
      <c r="AX2056" s="516" t="s">
        <v>712</v>
      </c>
      <c r="AY2056" s="75">
        <v>1</v>
      </c>
      <c r="AZ2056" s="77" t="s">
        <v>5971</v>
      </c>
      <c r="BA2056" s="78" t="s">
        <v>5971</v>
      </c>
      <c r="BB2056" s="78" t="s">
        <v>5971</v>
      </c>
      <c r="BC2056" s="78" t="s">
        <v>5971</v>
      </c>
      <c r="BD2056" s="78" t="s">
        <v>5971</v>
      </c>
      <c r="BE2056" s="78" t="s">
        <v>5971</v>
      </c>
      <c r="BF2056" s="78" t="s">
        <v>5971</v>
      </c>
      <c r="BG2056" s="78" t="s">
        <v>5971</v>
      </c>
      <c r="BH2056" s="75" t="s">
        <v>5971</v>
      </c>
      <c r="BI2056" s="295" t="s">
        <v>2243</v>
      </c>
      <c r="BJ2056" s="546">
        <v>1</v>
      </c>
      <c r="BK2056" s="294" t="s">
        <v>16</v>
      </c>
      <c r="BL2056" s="157" t="s">
        <v>16</v>
      </c>
      <c r="BM2056" s="548" t="s">
        <v>1339</v>
      </c>
      <c r="BN2056" s="548" t="s">
        <v>1339</v>
      </c>
      <c r="BO2056" s="157" t="s">
        <v>4697</v>
      </c>
      <c r="BP2056" s="548" t="s">
        <v>2243</v>
      </c>
      <c r="BQ2056" s="157" t="s">
        <v>4673</v>
      </c>
      <c r="BR2056" s="157"/>
    </row>
    <row r="2057" spans="1:70" x14ac:dyDescent="0.25">
      <c r="A2057" s="19" t="s">
        <v>3686</v>
      </c>
      <c r="B2057" s="37" t="s">
        <v>708</v>
      </c>
      <c r="C2057" s="90">
        <v>44309.614293981482</v>
      </c>
      <c r="D2057" s="114">
        <v>44309.364293981482</v>
      </c>
      <c r="E2057" s="38">
        <v>44309</v>
      </c>
      <c r="F2057" s="91">
        <v>2021</v>
      </c>
      <c r="G2057" s="93">
        <v>4</v>
      </c>
      <c r="H2057" s="37" t="s">
        <v>602</v>
      </c>
      <c r="I2057" s="37"/>
      <c r="J2057" s="103">
        <v>-91.979313500000004</v>
      </c>
      <c r="K2057" s="40">
        <v>44.070467399999998</v>
      </c>
      <c r="L2057" s="74"/>
      <c r="M2057" s="272" t="s">
        <v>709</v>
      </c>
      <c r="N2057" s="74">
        <v>1</v>
      </c>
      <c r="O2057" s="94"/>
      <c r="P2057" s="118">
        <v>1</v>
      </c>
      <c r="Q2057" s="510">
        <v>80</v>
      </c>
      <c r="R2057" s="513">
        <v>120</v>
      </c>
      <c r="S2057" s="41"/>
      <c r="T2057" s="40"/>
      <c r="U2057" s="40">
        <v>7.5</v>
      </c>
      <c r="V2057" s="119">
        <v>1</v>
      </c>
      <c r="W2057" s="40">
        <v>100</v>
      </c>
      <c r="X2057" s="119">
        <v>1</v>
      </c>
      <c r="Y2057" s="40">
        <v>47</v>
      </c>
      <c r="Z2057" s="119">
        <v>1</v>
      </c>
      <c r="AA2057" s="368">
        <v>0</v>
      </c>
      <c r="AB2057" s="535">
        <v>2</v>
      </c>
      <c r="AC2057" s="39" t="s">
        <v>160</v>
      </c>
      <c r="AD2057" s="75" t="s">
        <v>10</v>
      </c>
      <c r="AE2057" s="95">
        <v>0</v>
      </c>
      <c r="AF2057" s="75">
        <v>0</v>
      </c>
      <c r="AG2057" s="75">
        <v>0</v>
      </c>
      <c r="AH2057" s="75">
        <v>0</v>
      </c>
      <c r="AI2057" s="75">
        <v>0</v>
      </c>
      <c r="AJ2057" s="75">
        <v>0</v>
      </c>
      <c r="AK2057" s="75">
        <v>0</v>
      </c>
      <c r="AL2057" s="95">
        <v>1</v>
      </c>
      <c r="AM2057" s="92">
        <v>0</v>
      </c>
      <c r="AN2057" s="79" t="s">
        <v>80</v>
      </c>
      <c r="AO2057" s="75">
        <v>1</v>
      </c>
      <c r="AP2057" s="75" t="s">
        <v>83</v>
      </c>
      <c r="AQ2057" s="122">
        <v>1</v>
      </c>
      <c r="AR2057" s="515" t="s">
        <v>10</v>
      </c>
      <c r="AS2057" s="95">
        <v>0</v>
      </c>
      <c r="AT2057" s="75">
        <v>0</v>
      </c>
      <c r="AU2057" s="75">
        <v>0</v>
      </c>
      <c r="AV2057" s="75">
        <v>0</v>
      </c>
      <c r="AW2057" s="123">
        <v>0</v>
      </c>
      <c r="AX2057" s="516"/>
      <c r="AY2057" s="75">
        <v>0</v>
      </c>
      <c r="AZ2057" s="77" t="s">
        <v>131</v>
      </c>
      <c r="BA2057" s="78" t="s">
        <v>131</v>
      </c>
      <c r="BB2057" s="78" t="s">
        <v>131</v>
      </c>
      <c r="BC2057" s="78" t="s">
        <v>131</v>
      </c>
      <c r="BD2057" s="78" t="s">
        <v>131</v>
      </c>
      <c r="BE2057" s="78" t="s">
        <v>131</v>
      </c>
      <c r="BF2057" s="78" t="s">
        <v>131</v>
      </c>
      <c r="BG2057" s="78" t="s">
        <v>132</v>
      </c>
      <c r="BH2057" s="75" t="s">
        <v>5970</v>
      </c>
      <c r="BI2057" s="295" t="s">
        <v>16</v>
      </c>
      <c r="BJ2057" s="546">
        <v>1</v>
      </c>
      <c r="BK2057" s="294" t="s">
        <v>16</v>
      </c>
      <c r="BL2057" s="157" t="s">
        <v>16</v>
      </c>
      <c r="BM2057" s="548" t="s">
        <v>1341</v>
      </c>
      <c r="BN2057" s="548" t="s">
        <v>1339</v>
      </c>
      <c r="BO2057" s="157" t="s">
        <v>4362</v>
      </c>
      <c r="BP2057" s="548" t="s">
        <v>4363</v>
      </c>
      <c r="BQ2057" s="157" t="s">
        <v>4361</v>
      </c>
      <c r="BR2057" s="157"/>
    </row>
    <row r="2058" spans="1:70" x14ac:dyDescent="0.25">
      <c r="A2058" s="19" t="s">
        <v>3686</v>
      </c>
      <c r="B2058" s="37" t="s">
        <v>707</v>
      </c>
      <c r="C2058" s="90">
        <v>44308.807476851849</v>
      </c>
      <c r="D2058" s="114">
        <v>44308.557476851849</v>
      </c>
      <c r="E2058" s="38">
        <v>44308</v>
      </c>
      <c r="F2058" s="91">
        <v>2021</v>
      </c>
      <c r="G2058" s="93">
        <v>4</v>
      </c>
      <c r="H2058" s="37" t="s">
        <v>615</v>
      </c>
      <c r="I2058" s="37" t="s">
        <v>16</v>
      </c>
      <c r="J2058" s="103">
        <v>-92.844390899999993</v>
      </c>
      <c r="K2058" s="40">
        <v>45.070791399999997</v>
      </c>
      <c r="L2058" s="74"/>
      <c r="M2058" s="272" t="s">
        <v>16</v>
      </c>
      <c r="N2058" s="74">
        <v>0</v>
      </c>
      <c r="O2058" s="94"/>
      <c r="P2058" s="118">
        <v>1</v>
      </c>
      <c r="Q2058" s="510">
        <v>80</v>
      </c>
      <c r="R2058" s="513">
        <v>180</v>
      </c>
      <c r="S2058" s="41"/>
      <c r="T2058" s="40"/>
      <c r="U2058" s="40">
        <v>7</v>
      </c>
      <c r="V2058" s="119">
        <v>1</v>
      </c>
      <c r="W2058" s="40">
        <v>0</v>
      </c>
      <c r="X2058" s="119">
        <v>1</v>
      </c>
      <c r="Y2058" s="40">
        <v>51</v>
      </c>
      <c r="Z2058" s="119">
        <v>1</v>
      </c>
      <c r="AA2058" s="368">
        <v>0</v>
      </c>
      <c r="AB2058" s="535">
        <v>1</v>
      </c>
      <c r="AC2058" s="39" t="s">
        <v>160</v>
      </c>
      <c r="AD2058" s="75" t="s">
        <v>10</v>
      </c>
      <c r="AE2058" s="95">
        <v>0</v>
      </c>
      <c r="AF2058" s="75">
        <v>0</v>
      </c>
      <c r="AG2058" s="75">
        <v>0</v>
      </c>
      <c r="AH2058" s="75">
        <v>0</v>
      </c>
      <c r="AI2058" s="75">
        <v>0</v>
      </c>
      <c r="AJ2058" s="75">
        <v>0</v>
      </c>
      <c r="AK2058" s="75">
        <v>0</v>
      </c>
      <c r="AL2058" s="95">
        <v>1</v>
      </c>
      <c r="AM2058" s="92">
        <v>0</v>
      </c>
      <c r="AN2058" s="79" t="s">
        <v>80</v>
      </c>
      <c r="AO2058" s="75">
        <v>1</v>
      </c>
      <c r="AP2058" s="75" t="s">
        <v>83</v>
      </c>
      <c r="AQ2058" s="122">
        <v>1</v>
      </c>
      <c r="AR2058" s="515" t="s">
        <v>10</v>
      </c>
      <c r="AS2058" s="95">
        <v>0</v>
      </c>
      <c r="AT2058" s="75">
        <v>0</v>
      </c>
      <c r="AU2058" s="75">
        <v>0</v>
      </c>
      <c r="AV2058" s="75">
        <v>0</v>
      </c>
      <c r="AW2058" s="123">
        <v>0</v>
      </c>
      <c r="AX2058" s="516" t="s">
        <v>16</v>
      </c>
      <c r="AY2058" s="75">
        <v>0</v>
      </c>
      <c r="AZ2058" s="77" t="s">
        <v>131</v>
      </c>
      <c r="BA2058" s="78" t="s">
        <v>131</v>
      </c>
      <c r="BB2058" s="78" t="s">
        <v>131</v>
      </c>
      <c r="BC2058" s="78" t="s">
        <v>131</v>
      </c>
      <c r="BD2058" s="78" t="s">
        <v>131</v>
      </c>
      <c r="BE2058" s="78" t="s">
        <v>131</v>
      </c>
      <c r="BF2058" s="78" t="s">
        <v>131</v>
      </c>
      <c r="BG2058" s="78" t="s">
        <v>132</v>
      </c>
      <c r="BH2058" s="75" t="s">
        <v>5970</v>
      </c>
      <c r="BI2058" s="295" t="s">
        <v>2273</v>
      </c>
      <c r="BJ2058" s="546">
        <v>1</v>
      </c>
      <c r="BK2058" s="294" t="s">
        <v>16</v>
      </c>
      <c r="BL2058" s="157" t="s">
        <v>16</v>
      </c>
      <c r="BM2058" s="548" t="s">
        <v>2343</v>
      </c>
      <c r="BN2058" s="548" t="s">
        <v>4161</v>
      </c>
      <c r="BO2058" s="157" t="s">
        <v>4286</v>
      </c>
      <c r="BP2058" s="548" t="s">
        <v>2273</v>
      </c>
      <c r="BQ2058" s="157" t="s">
        <v>4285</v>
      </c>
      <c r="BR2058" s="157"/>
    </row>
    <row r="2059" spans="1:70" x14ac:dyDescent="0.25">
      <c r="A2059" s="19" t="s">
        <v>3686</v>
      </c>
      <c r="B2059" s="37" t="s">
        <v>704</v>
      </c>
      <c r="C2059" s="90">
        <v>44308.790300925924</v>
      </c>
      <c r="D2059" s="114">
        <v>44308.540300925924</v>
      </c>
      <c r="E2059" s="38">
        <v>44308</v>
      </c>
      <c r="F2059" s="91">
        <v>2021</v>
      </c>
      <c r="G2059" s="93">
        <v>4</v>
      </c>
      <c r="H2059" s="37" t="s">
        <v>615</v>
      </c>
      <c r="I2059" s="37" t="s">
        <v>16</v>
      </c>
      <c r="J2059" s="103">
        <v>-92.844108800000001</v>
      </c>
      <c r="K2059" s="40">
        <v>45.070532700000001</v>
      </c>
      <c r="L2059" s="74"/>
      <c r="M2059" s="272" t="s">
        <v>705</v>
      </c>
      <c r="N2059" s="74">
        <v>1</v>
      </c>
      <c r="O2059" s="94"/>
      <c r="P2059" s="118">
        <v>1</v>
      </c>
      <c r="Q2059" s="510">
        <v>80</v>
      </c>
      <c r="R2059" s="513">
        <v>60</v>
      </c>
      <c r="S2059" s="41"/>
      <c r="T2059" s="40"/>
      <c r="U2059" s="40">
        <v>6.5</v>
      </c>
      <c r="V2059" s="119">
        <v>0</v>
      </c>
      <c r="W2059" s="40"/>
      <c r="X2059" s="119">
        <v>1</v>
      </c>
      <c r="Y2059" s="40">
        <v>50</v>
      </c>
      <c r="Z2059" s="119">
        <v>1</v>
      </c>
      <c r="AA2059" s="368">
        <v>0</v>
      </c>
      <c r="AB2059" s="535">
        <v>2</v>
      </c>
      <c r="AC2059" s="39" t="s">
        <v>160</v>
      </c>
      <c r="AD2059" s="75" t="s">
        <v>16</v>
      </c>
      <c r="AE2059" s="95">
        <v>-1</v>
      </c>
      <c r="AF2059" s="75">
        <v>-1</v>
      </c>
      <c r="AG2059" s="75">
        <v>-1</v>
      </c>
      <c r="AH2059" s="75">
        <v>-1</v>
      </c>
      <c r="AI2059" s="75">
        <v>-1</v>
      </c>
      <c r="AJ2059" s="75">
        <v>-1</v>
      </c>
      <c r="AK2059" s="75">
        <v>-1</v>
      </c>
      <c r="AL2059" s="95">
        <v>-1</v>
      </c>
      <c r="AM2059" s="92">
        <v>1</v>
      </c>
      <c r="AN2059" s="79" t="s">
        <v>80</v>
      </c>
      <c r="AO2059" s="75">
        <v>1</v>
      </c>
      <c r="AP2059" s="75" t="s">
        <v>83</v>
      </c>
      <c r="AQ2059" s="122">
        <v>1</v>
      </c>
      <c r="AR2059" s="515" t="s">
        <v>10</v>
      </c>
      <c r="AS2059" s="95">
        <v>0</v>
      </c>
      <c r="AT2059" s="75">
        <v>0</v>
      </c>
      <c r="AU2059" s="75">
        <v>0</v>
      </c>
      <c r="AV2059" s="75">
        <v>0</v>
      </c>
      <c r="AW2059" s="123">
        <v>0</v>
      </c>
      <c r="AX2059" s="516" t="s">
        <v>706</v>
      </c>
      <c r="AY2059" s="75">
        <v>1</v>
      </c>
      <c r="AZ2059" s="77" t="s">
        <v>5971</v>
      </c>
      <c r="BA2059" s="78" t="s">
        <v>5971</v>
      </c>
      <c r="BB2059" s="78" t="s">
        <v>5971</v>
      </c>
      <c r="BC2059" s="78" t="s">
        <v>5971</v>
      </c>
      <c r="BD2059" s="78" t="s">
        <v>5971</v>
      </c>
      <c r="BE2059" s="78" t="s">
        <v>5971</v>
      </c>
      <c r="BF2059" s="78" t="s">
        <v>5971</v>
      </c>
      <c r="BG2059" s="78" t="s">
        <v>5971</v>
      </c>
      <c r="BH2059" s="75" t="s">
        <v>5971</v>
      </c>
      <c r="BI2059" s="295" t="s">
        <v>2273</v>
      </c>
      <c r="BJ2059" s="546">
        <v>1</v>
      </c>
      <c r="BK2059" s="294" t="s">
        <v>16</v>
      </c>
      <c r="BL2059" s="157" t="s">
        <v>16</v>
      </c>
      <c r="BM2059" s="548" t="s">
        <v>2343</v>
      </c>
      <c r="BN2059" s="548" t="s">
        <v>4161</v>
      </c>
      <c r="BO2059" s="157" t="s">
        <v>4286</v>
      </c>
      <c r="BP2059" s="548" t="s">
        <v>2273</v>
      </c>
      <c r="BQ2059" s="157" t="s">
        <v>4285</v>
      </c>
      <c r="BR2059" s="157"/>
    </row>
    <row r="2060" spans="1:70" x14ac:dyDescent="0.25">
      <c r="A2060" s="19" t="s">
        <v>3686</v>
      </c>
      <c r="B2060" s="37" t="s">
        <v>703</v>
      </c>
      <c r="C2060" s="90">
        <v>44308.789166666669</v>
      </c>
      <c r="D2060" s="114">
        <v>44308.539166666669</v>
      </c>
      <c r="E2060" s="38">
        <v>44308</v>
      </c>
      <c r="F2060" s="91">
        <v>2021</v>
      </c>
      <c r="G2060" s="93">
        <v>4</v>
      </c>
      <c r="H2060" s="37" t="s">
        <v>405</v>
      </c>
      <c r="I2060" s="37"/>
      <c r="J2060" s="103">
        <v>-92.844252660956997</v>
      </c>
      <c r="K2060" s="40">
        <v>45.070676459041486</v>
      </c>
      <c r="L2060" s="74"/>
      <c r="M2060" s="272" t="s">
        <v>16</v>
      </c>
      <c r="N2060" s="74">
        <v>0</v>
      </c>
      <c r="O2060" s="94"/>
      <c r="P2060" s="118">
        <v>0</v>
      </c>
      <c r="Q2060" s="510"/>
      <c r="R2060" s="513"/>
      <c r="S2060" s="41"/>
      <c r="T2060" s="40"/>
      <c r="U2060" s="40"/>
      <c r="V2060" s="119">
        <v>0</v>
      </c>
      <c r="W2060" s="40"/>
      <c r="X2060" s="119">
        <v>0</v>
      </c>
      <c r="Y2060" s="40"/>
      <c r="Z2060" s="119">
        <v>1</v>
      </c>
      <c r="AA2060" s="368">
        <v>0</v>
      </c>
      <c r="AB2060" s="535">
        <v>0</v>
      </c>
      <c r="AC2060" s="39" t="s">
        <v>160</v>
      </c>
      <c r="AD2060" s="75" t="s">
        <v>16</v>
      </c>
      <c r="AE2060" s="95">
        <v>-1</v>
      </c>
      <c r="AF2060" s="75">
        <v>-1</v>
      </c>
      <c r="AG2060" s="75">
        <v>-1</v>
      </c>
      <c r="AH2060" s="75">
        <v>-1</v>
      </c>
      <c r="AI2060" s="75">
        <v>-1</v>
      </c>
      <c r="AJ2060" s="75">
        <v>-1</v>
      </c>
      <c r="AK2060" s="75">
        <v>-1</v>
      </c>
      <c r="AL2060" s="95">
        <v>-1</v>
      </c>
      <c r="AM2060" s="92">
        <v>1</v>
      </c>
      <c r="AN2060" s="79"/>
      <c r="AO2060" s="75">
        <v>0</v>
      </c>
      <c r="AP2060" s="75"/>
      <c r="AQ2060" s="122">
        <v>0</v>
      </c>
      <c r="AR2060" s="515" t="s">
        <v>16</v>
      </c>
      <c r="AS2060" s="95">
        <v>-1</v>
      </c>
      <c r="AT2060" s="75">
        <v>-1</v>
      </c>
      <c r="AU2060" s="75">
        <v>-1</v>
      </c>
      <c r="AV2060" s="75">
        <v>-1</v>
      </c>
      <c r="AW2060" s="123">
        <v>1</v>
      </c>
      <c r="AX2060" s="516"/>
      <c r="AY2060" s="75">
        <v>0</v>
      </c>
      <c r="AZ2060" s="77" t="s">
        <v>5971</v>
      </c>
      <c r="BA2060" s="78" t="s">
        <v>5971</v>
      </c>
      <c r="BB2060" s="78" t="s">
        <v>5971</v>
      </c>
      <c r="BC2060" s="78" t="s">
        <v>5971</v>
      </c>
      <c r="BD2060" s="78" t="s">
        <v>5971</v>
      </c>
      <c r="BE2060" s="78" t="s">
        <v>5971</v>
      </c>
      <c r="BF2060" s="78" t="s">
        <v>5971</v>
      </c>
      <c r="BG2060" s="78" t="s">
        <v>5971</v>
      </c>
      <c r="BH2060" s="75" t="s">
        <v>5971</v>
      </c>
      <c r="BI2060" s="295" t="s">
        <v>2273</v>
      </c>
      <c r="BJ2060" s="546">
        <v>1</v>
      </c>
      <c r="BK2060" s="294" t="s">
        <v>16</v>
      </c>
      <c r="BL2060" s="157" t="s">
        <v>16</v>
      </c>
      <c r="BM2060" s="548" t="s">
        <v>2343</v>
      </c>
      <c r="BN2060" s="548" t="s">
        <v>4161</v>
      </c>
      <c r="BO2060" s="157" t="s">
        <v>4286</v>
      </c>
      <c r="BP2060" s="548" t="s">
        <v>2273</v>
      </c>
      <c r="BQ2060" s="157" t="s">
        <v>4285</v>
      </c>
      <c r="BR2060" s="157"/>
    </row>
    <row r="2061" spans="1:70" x14ac:dyDescent="0.25">
      <c r="A2061" s="19" t="s">
        <v>3686</v>
      </c>
      <c r="B2061" s="37" t="s">
        <v>702</v>
      </c>
      <c r="C2061" s="90">
        <v>44308.786041666666</v>
      </c>
      <c r="D2061" s="114">
        <v>44308.536041666666</v>
      </c>
      <c r="E2061" s="38">
        <v>44308</v>
      </c>
      <c r="F2061" s="91">
        <v>2021</v>
      </c>
      <c r="G2061" s="93">
        <v>4</v>
      </c>
      <c r="H2061" s="37" t="s">
        <v>405</v>
      </c>
      <c r="I2061" s="37"/>
      <c r="J2061" s="103">
        <v>-92.844306556594404</v>
      </c>
      <c r="K2061" s="40">
        <v>45.070702945855508</v>
      </c>
      <c r="L2061" s="74"/>
      <c r="M2061" s="272" t="s">
        <v>16</v>
      </c>
      <c r="N2061" s="74">
        <v>0</v>
      </c>
      <c r="O2061" s="94"/>
      <c r="P2061" s="118">
        <v>1</v>
      </c>
      <c r="Q2061" s="510">
        <v>120</v>
      </c>
      <c r="R2061" s="513">
        <v>120</v>
      </c>
      <c r="S2061" s="41"/>
      <c r="T2061" s="40"/>
      <c r="U2061" s="40">
        <v>7</v>
      </c>
      <c r="V2061" s="119">
        <v>0</v>
      </c>
      <c r="W2061" s="40"/>
      <c r="X2061" s="119">
        <v>1</v>
      </c>
      <c r="Y2061" s="40">
        <v>0</v>
      </c>
      <c r="Z2061" s="119">
        <v>0</v>
      </c>
      <c r="AA2061" s="368" t="s">
        <v>16</v>
      </c>
      <c r="AB2061" s="535" t="s">
        <v>16</v>
      </c>
      <c r="AC2061" s="39" t="s">
        <v>160</v>
      </c>
      <c r="AD2061" s="75" t="s">
        <v>16</v>
      </c>
      <c r="AE2061" s="95">
        <v>-1</v>
      </c>
      <c r="AF2061" s="75">
        <v>-1</v>
      </c>
      <c r="AG2061" s="75">
        <v>-1</v>
      </c>
      <c r="AH2061" s="75">
        <v>-1</v>
      </c>
      <c r="AI2061" s="75">
        <v>-1</v>
      </c>
      <c r="AJ2061" s="75">
        <v>-1</v>
      </c>
      <c r="AK2061" s="75">
        <v>-1</v>
      </c>
      <c r="AL2061" s="95">
        <v>-1</v>
      </c>
      <c r="AM2061" s="92">
        <v>1</v>
      </c>
      <c r="AN2061" s="79"/>
      <c r="AO2061" s="75">
        <v>0</v>
      </c>
      <c r="AP2061" s="75"/>
      <c r="AQ2061" s="122">
        <v>0</v>
      </c>
      <c r="AR2061" s="515" t="s">
        <v>16</v>
      </c>
      <c r="AS2061" s="95">
        <v>-1</v>
      </c>
      <c r="AT2061" s="75">
        <v>-1</v>
      </c>
      <c r="AU2061" s="75">
        <v>-1</v>
      </c>
      <c r="AV2061" s="75">
        <v>-1</v>
      </c>
      <c r="AW2061" s="123">
        <v>1</v>
      </c>
      <c r="AX2061" s="516"/>
      <c r="AY2061" s="75">
        <v>0</v>
      </c>
      <c r="AZ2061" s="77" t="s">
        <v>5971</v>
      </c>
      <c r="BA2061" s="78" t="s">
        <v>5971</v>
      </c>
      <c r="BB2061" s="78" t="s">
        <v>5971</v>
      </c>
      <c r="BC2061" s="78" t="s">
        <v>5971</v>
      </c>
      <c r="BD2061" s="78" t="s">
        <v>5971</v>
      </c>
      <c r="BE2061" s="78" t="s">
        <v>5971</v>
      </c>
      <c r="BF2061" s="78" t="s">
        <v>5971</v>
      </c>
      <c r="BG2061" s="78" t="s">
        <v>5971</v>
      </c>
      <c r="BH2061" s="75" t="s">
        <v>5971</v>
      </c>
      <c r="BI2061" s="295" t="s">
        <v>2273</v>
      </c>
      <c r="BJ2061" s="546">
        <v>1</v>
      </c>
      <c r="BK2061" s="294" t="s">
        <v>16</v>
      </c>
      <c r="BL2061" s="157" t="s">
        <v>16</v>
      </c>
      <c r="BM2061" s="548" t="s">
        <v>2343</v>
      </c>
      <c r="BN2061" s="548" t="s">
        <v>4161</v>
      </c>
      <c r="BO2061" s="157" t="s">
        <v>4286</v>
      </c>
      <c r="BP2061" s="548" t="s">
        <v>2273</v>
      </c>
      <c r="BQ2061" s="157" t="s">
        <v>4285</v>
      </c>
      <c r="BR2061" s="157"/>
    </row>
    <row r="2062" spans="1:70" x14ac:dyDescent="0.25">
      <c r="A2062" s="19" t="s">
        <v>3686</v>
      </c>
      <c r="B2062" s="37" t="s">
        <v>701</v>
      </c>
      <c r="C2062" s="90">
        <v>44308.781747685185</v>
      </c>
      <c r="D2062" s="114">
        <v>44308.531747685185</v>
      </c>
      <c r="E2062" s="38">
        <v>44308</v>
      </c>
      <c r="F2062" s="91">
        <v>2021</v>
      </c>
      <c r="G2062" s="93">
        <v>4</v>
      </c>
      <c r="H2062" s="37" t="s">
        <v>214</v>
      </c>
      <c r="I2062" s="37" t="s">
        <v>16</v>
      </c>
      <c r="J2062" s="103">
        <v>-92.343934136049114</v>
      </c>
      <c r="K2062" s="40">
        <v>44.75074486165736</v>
      </c>
      <c r="L2062" s="74"/>
      <c r="M2062" s="272" t="s">
        <v>16</v>
      </c>
      <c r="N2062" s="74">
        <v>0</v>
      </c>
      <c r="O2062" s="94"/>
      <c r="P2062" s="118">
        <v>1</v>
      </c>
      <c r="Q2062" s="510">
        <v>0</v>
      </c>
      <c r="R2062" s="513">
        <v>30</v>
      </c>
      <c r="S2062" s="41"/>
      <c r="T2062" s="40"/>
      <c r="U2062" s="40">
        <v>7</v>
      </c>
      <c r="V2062" s="119">
        <v>0</v>
      </c>
      <c r="W2062" s="40"/>
      <c r="X2062" s="119">
        <v>0</v>
      </c>
      <c r="Y2062" s="40"/>
      <c r="Z2062" s="119">
        <v>0</v>
      </c>
      <c r="AA2062" s="368" t="s">
        <v>16</v>
      </c>
      <c r="AB2062" s="535" t="s">
        <v>16</v>
      </c>
      <c r="AC2062" s="39" t="s">
        <v>160</v>
      </c>
      <c r="AD2062" s="75" t="s">
        <v>10</v>
      </c>
      <c r="AE2062" s="95">
        <v>0</v>
      </c>
      <c r="AF2062" s="75">
        <v>0</v>
      </c>
      <c r="AG2062" s="75">
        <v>0</v>
      </c>
      <c r="AH2062" s="75">
        <v>0</v>
      </c>
      <c r="AI2062" s="75">
        <v>0</v>
      </c>
      <c r="AJ2062" s="75">
        <v>0</v>
      </c>
      <c r="AK2062" s="75">
        <v>0</v>
      </c>
      <c r="AL2062" s="95">
        <v>1</v>
      </c>
      <c r="AM2062" s="92">
        <v>0</v>
      </c>
      <c r="AN2062" s="79" t="s">
        <v>80</v>
      </c>
      <c r="AO2062" s="75">
        <v>1</v>
      </c>
      <c r="AP2062" s="75" t="s">
        <v>83</v>
      </c>
      <c r="AQ2062" s="122">
        <v>1</v>
      </c>
      <c r="AR2062" s="515" t="s">
        <v>10</v>
      </c>
      <c r="AS2062" s="95">
        <v>0</v>
      </c>
      <c r="AT2062" s="75">
        <v>0</v>
      </c>
      <c r="AU2062" s="75">
        <v>0</v>
      </c>
      <c r="AV2062" s="75">
        <v>0</v>
      </c>
      <c r="AW2062" s="123">
        <v>0</v>
      </c>
      <c r="AX2062" s="516"/>
      <c r="AY2062" s="75">
        <v>0</v>
      </c>
      <c r="AZ2062" s="77" t="s">
        <v>131</v>
      </c>
      <c r="BA2062" s="78" t="s">
        <v>131</v>
      </c>
      <c r="BB2062" s="78" t="s">
        <v>131</v>
      </c>
      <c r="BC2062" s="78" t="s">
        <v>131</v>
      </c>
      <c r="BD2062" s="78" t="s">
        <v>131</v>
      </c>
      <c r="BE2062" s="78" t="s">
        <v>131</v>
      </c>
      <c r="BF2062" s="78" t="s">
        <v>131</v>
      </c>
      <c r="BG2062" s="78" t="s">
        <v>132</v>
      </c>
      <c r="BH2062" s="75" t="s">
        <v>5970</v>
      </c>
      <c r="BI2062" s="295" t="s">
        <v>2231</v>
      </c>
      <c r="BJ2062" s="546">
        <v>1</v>
      </c>
      <c r="BK2062" s="294">
        <v>1</v>
      </c>
      <c r="BL2062" s="157">
        <v>1</v>
      </c>
      <c r="BM2062" s="548" t="s">
        <v>578</v>
      </c>
      <c r="BN2062" s="548" t="s">
        <v>578</v>
      </c>
      <c r="BO2062" s="157" t="s">
        <v>4213</v>
      </c>
      <c r="BP2062" s="548" t="s">
        <v>4216</v>
      </c>
      <c r="BQ2062" s="157" t="s">
        <v>4212</v>
      </c>
      <c r="BR2062" s="157"/>
    </row>
    <row r="2063" spans="1:70" x14ac:dyDescent="0.25">
      <c r="A2063" s="19" t="s">
        <v>3686</v>
      </c>
      <c r="B2063" s="37" t="s">
        <v>698</v>
      </c>
      <c r="C2063" s="90">
        <v>44307.723969907405</v>
      </c>
      <c r="D2063" s="114">
        <v>44307.473969907405</v>
      </c>
      <c r="E2063" s="38">
        <v>44307</v>
      </c>
      <c r="F2063" s="91">
        <v>2021</v>
      </c>
      <c r="G2063" s="93">
        <v>4</v>
      </c>
      <c r="H2063" s="37" t="s">
        <v>598</v>
      </c>
      <c r="I2063" s="37" t="s">
        <v>16</v>
      </c>
      <c r="J2063" s="103">
        <v>-91.823791425549103</v>
      </c>
      <c r="K2063" s="40">
        <v>43.642551610720723</v>
      </c>
      <c r="L2063" s="74"/>
      <c r="M2063" s="272" t="s">
        <v>16</v>
      </c>
      <c r="N2063" s="74">
        <v>0</v>
      </c>
      <c r="O2063" s="94"/>
      <c r="P2063" s="118">
        <v>1</v>
      </c>
      <c r="Q2063" s="510">
        <v>180</v>
      </c>
      <c r="R2063" s="513">
        <v>180</v>
      </c>
      <c r="S2063" s="41"/>
      <c r="T2063" s="40"/>
      <c r="U2063" s="40">
        <v>7.5</v>
      </c>
      <c r="V2063" s="119">
        <v>1</v>
      </c>
      <c r="W2063" s="40">
        <v>0</v>
      </c>
      <c r="X2063" s="119">
        <v>1</v>
      </c>
      <c r="Y2063" s="40">
        <v>41</v>
      </c>
      <c r="Z2063" s="119">
        <v>1</v>
      </c>
      <c r="AA2063" s="368">
        <v>0</v>
      </c>
      <c r="AB2063" s="535">
        <v>5</v>
      </c>
      <c r="AC2063" s="39" t="s">
        <v>160</v>
      </c>
      <c r="AD2063" s="75" t="s">
        <v>16</v>
      </c>
      <c r="AE2063" s="95">
        <v>-1</v>
      </c>
      <c r="AF2063" s="75">
        <v>-1</v>
      </c>
      <c r="AG2063" s="75">
        <v>-1</v>
      </c>
      <c r="AH2063" s="75">
        <v>-1</v>
      </c>
      <c r="AI2063" s="75">
        <v>-1</v>
      </c>
      <c r="AJ2063" s="75">
        <v>-1</v>
      </c>
      <c r="AK2063" s="75">
        <v>-1</v>
      </c>
      <c r="AL2063" s="95">
        <v>-1</v>
      </c>
      <c r="AM2063" s="92">
        <v>1</v>
      </c>
      <c r="AN2063" s="79" t="s">
        <v>80</v>
      </c>
      <c r="AO2063" s="75">
        <v>1</v>
      </c>
      <c r="AP2063" s="75" t="s">
        <v>83</v>
      </c>
      <c r="AQ2063" s="122">
        <v>1</v>
      </c>
      <c r="AR2063" s="515" t="s">
        <v>10</v>
      </c>
      <c r="AS2063" s="95">
        <v>0</v>
      </c>
      <c r="AT2063" s="75">
        <v>0</v>
      </c>
      <c r="AU2063" s="75">
        <v>0</v>
      </c>
      <c r="AV2063" s="75">
        <v>0</v>
      </c>
      <c r="AW2063" s="123">
        <v>0</v>
      </c>
      <c r="AX2063" s="516"/>
      <c r="AY2063" s="75">
        <v>0</v>
      </c>
      <c r="AZ2063" s="77" t="s">
        <v>5971</v>
      </c>
      <c r="BA2063" s="78" t="s">
        <v>5971</v>
      </c>
      <c r="BB2063" s="78" t="s">
        <v>5971</v>
      </c>
      <c r="BC2063" s="78" t="s">
        <v>5971</v>
      </c>
      <c r="BD2063" s="78" t="s">
        <v>5971</v>
      </c>
      <c r="BE2063" s="78" t="s">
        <v>5971</v>
      </c>
      <c r="BF2063" s="78" t="s">
        <v>5971</v>
      </c>
      <c r="BG2063" s="78" t="s">
        <v>5971</v>
      </c>
      <c r="BH2063" s="75" t="s">
        <v>5971</v>
      </c>
      <c r="BI2063" s="295" t="s">
        <v>2249</v>
      </c>
      <c r="BJ2063" s="546">
        <v>1</v>
      </c>
      <c r="BK2063" s="294">
        <v>1</v>
      </c>
      <c r="BL2063" s="157">
        <v>1</v>
      </c>
      <c r="BM2063" s="548" t="s">
        <v>1341</v>
      </c>
      <c r="BN2063" s="548" t="s">
        <v>1339</v>
      </c>
      <c r="BO2063" s="157" t="s">
        <v>4418</v>
      </c>
      <c r="BP2063" s="548" t="s">
        <v>4419</v>
      </c>
      <c r="BQ2063" s="157" t="s">
        <v>4232</v>
      </c>
      <c r="BR2063" s="157"/>
    </row>
    <row r="2064" spans="1:70" x14ac:dyDescent="0.25">
      <c r="A2064" s="19" t="s">
        <v>3686</v>
      </c>
      <c r="B2064" s="37" t="s">
        <v>699</v>
      </c>
      <c r="C2064" s="90">
        <v>44307.723969907405</v>
      </c>
      <c r="D2064" s="114">
        <v>44307.473969907405</v>
      </c>
      <c r="E2064" s="38">
        <v>44307</v>
      </c>
      <c r="F2064" s="91">
        <v>2021</v>
      </c>
      <c r="G2064" s="93">
        <v>4</v>
      </c>
      <c r="H2064" s="37" t="s">
        <v>598</v>
      </c>
      <c r="I2064" s="37" t="s">
        <v>16</v>
      </c>
      <c r="J2064" s="103">
        <v>-91.823760545252796</v>
      </c>
      <c r="K2064" s="40">
        <v>43.642790279596021</v>
      </c>
      <c r="L2064" s="74"/>
      <c r="M2064" s="272" t="s">
        <v>16</v>
      </c>
      <c r="N2064" s="74">
        <v>0</v>
      </c>
      <c r="O2064" s="94"/>
      <c r="P2064" s="118">
        <v>1</v>
      </c>
      <c r="Q2064" s="510">
        <v>180</v>
      </c>
      <c r="R2064" s="513">
        <v>180</v>
      </c>
      <c r="S2064" s="41"/>
      <c r="T2064" s="40"/>
      <c r="U2064" s="40">
        <v>7.5</v>
      </c>
      <c r="V2064" s="119">
        <v>1</v>
      </c>
      <c r="W2064" s="40">
        <v>0</v>
      </c>
      <c r="X2064" s="119">
        <v>1</v>
      </c>
      <c r="Y2064" s="40">
        <v>41</v>
      </c>
      <c r="Z2064" s="119">
        <v>1</v>
      </c>
      <c r="AA2064" s="368">
        <v>0</v>
      </c>
      <c r="AB2064" s="535">
        <v>5</v>
      </c>
      <c r="AC2064" s="39" t="s">
        <v>160</v>
      </c>
      <c r="AD2064" s="75" t="s">
        <v>16</v>
      </c>
      <c r="AE2064" s="95">
        <v>-1</v>
      </c>
      <c r="AF2064" s="75">
        <v>-1</v>
      </c>
      <c r="AG2064" s="75">
        <v>-1</v>
      </c>
      <c r="AH2064" s="75">
        <v>-1</v>
      </c>
      <c r="AI2064" s="75">
        <v>-1</v>
      </c>
      <c r="AJ2064" s="75">
        <v>-1</v>
      </c>
      <c r="AK2064" s="75">
        <v>-1</v>
      </c>
      <c r="AL2064" s="95">
        <v>-1</v>
      </c>
      <c r="AM2064" s="92">
        <v>1</v>
      </c>
      <c r="AN2064" s="79" t="s">
        <v>80</v>
      </c>
      <c r="AO2064" s="75">
        <v>1</v>
      </c>
      <c r="AP2064" s="75" t="s">
        <v>83</v>
      </c>
      <c r="AQ2064" s="122">
        <v>1</v>
      </c>
      <c r="AR2064" s="515" t="s">
        <v>10</v>
      </c>
      <c r="AS2064" s="95">
        <v>0</v>
      </c>
      <c r="AT2064" s="75">
        <v>0</v>
      </c>
      <c r="AU2064" s="75">
        <v>0</v>
      </c>
      <c r="AV2064" s="75">
        <v>0</v>
      </c>
      <c r="AW2064" s="123">
        <v>0</v>
      </c>
      <c r="AX2064" s="516"/>
      <c r="AY2064" s="75">
        <v>0</v>
      </c>
      <c r="AZ2064" s="77" t="s">
        <v>5971</v>
      </c>
      <c r="BA2064" s="78" t="s">
        <v>5971</v>
      </c>
      <c r="BB2064" s="78" t="s">
        <v>5971</v>
      </c>
      <c r="BC2064" s="78" t="s">
        <v>5971</v>
      </c>
      <c r="BD2064" s="78" t="s">
        <v>5971</v>
      </c>
      <c r="BE2064" s="78" t="s">
        <v>5971</v>
      </c>
      <c r="BF2064" s="78" t="s">
        <v>5971</v>
      </c>
      <c r="BG2064" s="78" t="s">
        <v>5971</v>
      </c>
      <c r="BH2064" s="75" t="s">
        <v>5971</v>
      </c>
      <c r="BI2064" s="295" t="s">
        <v>2249</v>
      </c>
      <c r="BJ2064" s="546">
        <v>1</v>
      </c>
      <c r="BK2064" s="294">
        <v>1</v>
      </c>
      <c r="BL2064" s="157">
        <v>1</v>
      </c>
      <c r="BM2064" s="548" t="s">
        <v>1341</v>
      </c>
      <c r="BN2064" s="548" t="s">
        <v>1339</v>
      </c>
      <c r="BO2064" s="157" t="s">
        <v>4418</v>
      </c>
      <c r="BP2064" s="548" t="s">
        <v>4419</v>
      </c>
      <c r="BQ2064" s="157" t="s">
        <v>4232</v>
      </c>
      <c r="BR2064" s="157"/>
    </row>
    <row r="2065" spans="1:70" x14ac:dyDescent="0.25">
      <c r="A2065" s="19" t="s">
        <v>3686</v>
      </c>
      <c r="B2065" s="37" t="s">
        <v>700</v>
      </c>
      <c r="C2065" s="90">
        <v>44307.723969907405</v>
      </c>
      <c r="D2065" s="114">
        <v>44307.473969907405</v>
      </c>
      <c r="E2065" s="38">
        <v>44307</v>
      </c>
      <c r="F2065" s="91">
        <v>2021</v>
      </c>
      <c r="G2065" s="93">
        <v>4</v>
      </c>
      <c r="H2065" s="37" t="s">
        <v>598</v>
      </c>
      <c r="I2065" s="37" t="s">
        <v>16</v>
      </c>
      <c r="J2065" s="103">
        <v>-91.823910604210994</v>
      </c>
      <c r="K2065" s="40">
        <v>43.642487458387663</v>
      </c>
      <c r="L2065" s="74"/>
      <c r="M2065" s="272" t="s">
        <v>16</v>
      </c>
      <c r="N2065" s="74">
        <v>0</v>
      </c>
      <c r="O2065" s="94"/>
      <c r="P2065" s="118">
        <v>1</v>
      </c>
      <c r="Q2065" s="510">
        <v>180</v>
      </c>
      <c r="R2065" s="513">
        <v>180</v>
      </c>
      <c r="S2065" s="41"/>
      <c r="T2065" s="40"/>
      <c r="U2065" s="40">
        <v>7.5</v>
      </c>
      <c r="V2065" s="119">
        <v>1</v>
      </c>
      <c r="W2065" s="40">
        <v>0</v>
      </c>
      <c r="X2065" s="119">
        <v>1</v>
      </c>
      <c r="Y2065" s="40">
        <v>41</v>
      </c>
      <c r="Z2065" s="119">
        <v>1</v>
      </c>
      <c r="AA2065" s="368">
        <v>0</v>
      </c>
      <c r="AB2065" s="535">
        <v>5</v>
      </c>
      <c r="AC2065" s="39" t="s">
        <v>160</v>
      </c>
      <c r="AD2065" s="75" t="s">
        <v>16</v>
      </c>
      <c r="AE2065" s="95">
        <v>-1</v>
      </c>
      <c r="AF2065" s="75">
        <v>-1</v>
      </c>
      <c r="AG2065" s="75">
        <v>-1</v>
      </c>
      <c r="AH2065" s="75">
        <v>-1</v>
      </c>
      <c r="AI2065" s="75">
        <v>-1</v>
      </c>
      <c r="AJ2065" s="75">
        <v>-1</v>
      </c>
      <c r="AK2065" s="75">
        <v>-1</v>
      </c>
      <c r="AL2065" s="95">
        <v>-1</v>
      </c>
      <c r="AM2065" s="92">
        <v>1</v>
      </c>
      <c r="AN2065" s="79" t="s">
        <v>80</v>
      </c>
      <c r="AO2065" s="75">
        <v>1</v>
      </c>
      <c r="AP2065" s="75" t="s">
        <v>83</v>
      </c>
      <c r="AQ2065" s="122">
        <v>1</v>
      </c>
      <c r="AR2065" s="515" t="s">
        <v>10</v>
      </c>
      <c r="AS2065" s="95">
        <v>0</v>
      </c>
      <c r="AT2065" s="75">
        <v>0</v>
      </c>
      <c r="AU2065" s="75">
        <v>0</v>
      </c>
      <c r="AV2065" s="75">
        <v>0</v>
      </c>
      <c r="AW2065" s="123">
        <v>0</v>
      </c>
      <c r="AX2065" s="516"/>
      <c r="AY2065" s="75">
        <v>0</v>
      </c>
      <c r="AZ2065" s="77" t="s">
        <v>5971</v>
      </c>
      <c r="BA2065" s="78" t="s">
        <v>5971</v>
      </c>
      <c r="BB2065" s="78" t="s">
        <v>5971</v>
      </c>
      <c r="BC2065" s="78" t="s">
        <v>5971</v>
      </c>
      <c r="BD2065" s="78" t="s">
        <v>5971</v>
      </c>
      <c r="BE2065" s="78" t="s">
        <v>5971</v>
      </c>
      <c r="BF2065" s="78" t="s">
        <v>5971</v>
      </c>
      <c r="BG2065" s="78" t="s">
        <v>5971</v>
      </c>
      <c r="BH2065" s="75" t="s">
        <v>5971</v>
      </c>
      <c r="BI2065" s="295" t="s">
        <v>2249</v>
      </c>
      <c r="BJ2065" s="546">
        <v>1</v>
      </c>
      <c r="BK2065" s="294">
        <v>1</v>
      </c>
      <c r="BL2065" s="157">
        <v>1</v>
      </c>
      <c r="BM2065" s="548" t="s">
        <v>1341</v>
      </c>
      <c r="BN2065" s="548" t="s">
        <v>1339</v>
      </c>
      <c r="BO2065" s="157" t="s">
        <v>4418</v>
      </c>
      <c r="BP2065" s="548" t="s">
        <v>4419</v>
      </c>
      <c r="BQ2065" s="157" t="s">
        <v>4232</v>
      </c>
      <c r="BR2065" s="157"/>
    </row>
    <row r="2066" spans="1:70" x14ac:dyDescent="0.25">
      <c r="A2066" s="19" t="s">
        <v>3686</v>
      </c>
      <c r="B2066" s="37" t="s">
        <v>697</v>
      </c>
      <c r="C2066" s="90">
        <v>44306.738344907404</v>
      </c>
      <c r="D2066" s="114">
        <v>44306.488344907404</v>
      </c>
      <c r="E2066" s="38">
        <v>44306</v>
      </c>
      <c r="F2066" s="91">
        <v>2021</v>
      </c>
      <c r="G2066" s="93">
        <v>4</v>
      </c>
      <c r="H2066" s="37" t="s">
        <v>218</v>
      </c>
      <c r="I2066" s="37"/>
      <c r="J2066" s="103">
        <v>-92.529882713396759</v>
      </c>
      <c r="K2066" s="40">
        <v>44.793710828280894</v>
      </c>
      <c r="L2066" s="74"/>
      <c r="M2066" s="272" t="s">
        <v>16</v>
      </c>
      <c r="N2066" s="74">
        <v>0</v>
      </c>
      <c r="O2066" s="94"/>
      <c r="P2066" s="118">
        <v>1</v>
      </c>
      <c r="Q2066" s="510">
        <v>120</v>
      </c>
      <c r="R2066" s="513">
        <v>120</v>
      </c>
      <c r="S2066" s="41"/>
      <c r="T2066" s="40"/>
      <c r="U2066" s="40">
        <v>7</v>
      </c>
      <c r="V2066" s="119">
        <v>1</v>
      </c>
      <c r="W2066" s="40">
        <v>0</v>
      </c>
      <c r="X2066" s="119">
        <v>1</v>
      </c>
      <c r="Y2066" s="40">
        <v>45</v>
      </c>
      <c r="Z2066" s="119">
        <v>1</v>
      </c>
      <c r="AA2066" s="368">
        <v>0</v>
      </c>
      <c r="AB2066" s="535">
        <v>2</v>
      </c>
      <c r="AC2066" s="39" t="s">
        <v>160</v>
      </c>
      <c r="AD2066" s="75" t="s">
        <v>10</v>
      </c>
      <c r="AE2066" s="95">
        <v>0</v>
      </c>
      <c r="AF2066" s="75">
        <v>0</v>
      </c>
      <c r="AG2066" s="75">
        <v>0</v>
      </c>
      <c r="AH2066" s="75">
        <v>0</v>
      </c>
      <c r="AI2066" s="75">
        <v>0</v>
      </c>
      <c r="AJ2066" s="75">
        <v>0</v>
      </c>
      <c r="AK2066" s="75">
        <v>0</v>
      </c>
      <c r="AL2066" s="95">
        <v>1</v>
      </c>
      <c r="AM2066" s="92">
        <v>0</v>
      </c>
      <c r="AN2066" s="79" t="s">
        <v>80</v>
      </c>
      <c r="AO2066" s="75">
        <v>1</v>
      </c>
      <c r="AP2066" s="75" t="s">
        <v>83</v>
      </c>
      <c r="AQ2066" s="122">
        <v>1</v>
      </c>
      <c r="AR2066" s="515" t="s">
        <v>10</v>
      </c>
      <c r="AS2066" s="95">
        <v>0</v>
      </c>
      <c r="AT2066" s="75">
        <v>0</v>
      </c>
      <c r="AU2066" s="75">
        <v>0</v>
      </c>
      <c r="AV2066" s="75">
        <v>0</v>
      </c>
      <c r="AW2066" s="123">
        <v>0</v>
      </c>
      <c r="AX2066" s="516"/>
      <c r="AY2066" s="75">
        <v>0</v>
      </c>
      <c r="AZ2066" s="77" t="s">
        <v>131</v>
      </c>
      <c r="BA2066" s="78" t="s">
        <v>131</v>
      </c>
      <c r="BB2066" s="78" t="s">
        <v>131</v>
      </c>
      <c r="BC2066" s="78" t="s">
        <v>131</v>
      </c>
      <c r="BD2066" s="78" t="s">
        <v>131</v>
      </c>
      <c r="BE2066" s="78" t="s">
        <v>131</v>
      </c>
      <c r="BF2066" s="78" t="s">
        <v>131</v>
      </c>
      <c r="BG2066" s="78" t="s">
        <v>132</v>
      </c>
      <c r="BH2066" s="75" t="s">
        <v>5970</v>
      </c>
      <c r="BI2066" s="295" t="s">
        <v>2236</v>
      </c>
      <c r="BJ2066" s="546">
        <v>1</v>
      </c>
      <c r="BK2066" s="294" t="s">
        <v>16</v>
      </c>
      <c r="BL2066" s="157" t="s">
        <v>16</v>
      </c>
      <c r="BM2066" s="548" t="s">
        <v>578</v>
      </c>
      <c r="BN2066" s="548" t="s">
        <v>578</v>
      </c>
      <c r="BO2066" s="157" t="s">
        <v>4658</v>
      </c>
      <c r="BP2066" s="548" t="s">
        <v>4660</v>
      </c>
      <c r="BQ2066" s="157" t="s">
        <v>4657</v>
      </c>
      <c r="BR2066" s="157"/>
    </row>
    <row r="2067" spans="1:70" x14ac:dyDescent="0.25">
      <c r="A2067" s="19" t="s">
        <v>3686</v>
      </c>
      <c r="B2067" s="37" t="s">
        <v>696</v>
      </c>
      <c r="C2067" s="90">
        <v>44306.714363425926</v>
      </c>
      <c r="D2067" s="114">
        <v>44306.464363425926</v>
      </c>
      <c r="E2067" s="38">
        <v>44306</v>
      </c>
      <c r="F2067" s="91">
        <v>2021</v>
      </c>
      <c r="G2067" s="93">
        <v>4</v>
      </c>
      <c r="H2067" s="37" t="s">
        <v>218</v>
      </c>
      <c r="I2067" s="37"/>
      <c r="J2067" s="103">
        <v>-92.531878215147003</v>
      </c>
      <c r="K2067" s="40">
        <v>44.787371622727946</v>
      </c>
      <c r="L2067" s="74"/>
      <c r="M2067" s="272" t="s">
        <v>16</v>
      </c>
      <c r="N2067" s="74">
        <v>0</v>
      </c>
      <c r="O2067" s="94"/>
      <c r="P2067" s="118">
        <v>1</v>
      </c>
      <c r="Q2067" s="510">
        <v>120</v>
      </c>
      <c r="R2067" s="513">
        <v>180</v>
      </c>
      <c r="S2067" s="41"/>
      <c r="T2067" s="40"/>
      <c r="U2067" s="40">
        <v>7</v>
      </c>
      <c r="V2067" s="119">
        <v>1</v>
      </c>
      <c r="W2067" s="40">
        <v>0</v>
      </c>
      <c r="X2067" s="119">
        <v>1</v>
      </c>
      <c r="Y2067" s="40">
        <v>45</v>
      </c>
      <c r="Z2067" s="119">
        <v>1</v>
      </c>
      <c r="AA2067" s="368">
        <v>0</v>
      </c>
      <c r="AB2067" s="535">
        <v>2</v>
      </c>
      <c r="AC2067" s="39" t="s">
        <v>160</v>
      </c>
      <c r="AD2067" s="75" t="s">
        <v>10</v>
      </c>
      <c r="AE2067" s="95">
        <v>0</v>
      </c>
      <c r="AF2067" s="75">
        <v>0</v>
      </c>
      <c r="AG2067" s="75">
        <v>0</v>
      </c>
      <c r="AH2067" s="75">
        <v>0</v>
      </c>
      <c r="AI2067" s="75">
        <v>0</v>
      </c>
      <c r="AJ2067" s="75">
        <v>0</v>
      </c>
      <c r="AK2067" s="75">
        <v>0</v>
      </c>
      <c r="AL2067" s="95">
        <v>1</v>
      </c>
      <c r="AM2067" s="92">
        <v>0</v>
      </c>
      <c r="AN2067" s="79" t="s">
        <v>80</v>
      </c>
      <c r="AO2067" s="75">
        <v>1</v>
      </c>
      <c r="AP2067" s="75" t="s">
        <v>83</v>
      </c>
      <c r="AQ2067" s="122">
        <v>1</v>
      </c>
      <c r="AR2067" s="515" t="s">
        <v>10</v>
      </c>
      <c r="AS2067" s="95">
        <v>0</v>
      </c>
      <c r="AT2067" s="75">
        <v>0</v>
      </c>
      <c r="AU2067" s="75">
        <v>0</v>
      </c>
      <c r="AV2067" s="75">
        <v>0</v>
      </c>
      <c r="AW2067" s="123">
        <v>0</v>
      </c>
      <c r="AX2067" s="516"/>
      <c r="AY2067" s="75">
        <v>0</v>
      </c>
      <c r="AZ2067" s="77" t="s">
        <v>131</v>
      </c>
      <c r="BA2067" s="78" t="s">
        <v>131</v>
      </c>
      <c r="BB2067" s="78" t="s">
        <v>131</v>
      </c>
      <c r="BC2067" s="78" t="s">
        <v>131</v>
      </c>
      <c r="BD2067" s="78" t="s">
        <v>131</v>
      </c>
      <c r="BE2067" s="78" t="s">
        <v>131</v>
      </c>
      <c r="BF2067" s="78" t="s">
        <v>131</v>
      </c>
      <c r="BG2067" s="78" t="s">
        <v>132</v>
      </c>
      <c r="BH2067" s="75" t="s">
        <v>5970</v>
      </c>
      <c r="BI2067" s="295" t="s">
        <v>2236</v>
      </c>
      <c r="BJ2067" s="546">
        <v>1</v>
      </c>
      <c r="BK2067" s="294" t="s">
        <v>16</v>
      </c>
      <c r="BL2067" s="157" t="s">
        <v>16</v>
      </c>
      <c r="BM2067" s="548" t="s">
        <v>578</v>
      </c>
      <c r="BN2067" s="548" t="s">
        <v>578</v>
      </c>
      <c r="BO2067" s="157" t="s">
        <v>4658</v>
      </c>
      <c r="BP2067" s="548" t="s">
        <v>4660</v>
      </c>
      <c r="BQ2067" s="157" t="s">
        <v>4657</v>
      </c>
      <c r="BR2067" s="157"/>
    </row>
    <row r="2068" spans="1:70" x14ac:dyDescent="0.25">
      <c r="A2068" s="19" t="s">
        <v>3686</v>
      </c>
      <c r="B2068" s="37" t="s">
        <v>695</v>
      </c>
      <c r="C2068" s="90">
        <v>44306.693148148152</v>
      </c>
      <c r="D2068" s="114">
        <v>44306.443148148152</v>
      </c>
      <c r="E2068" s="38">
        <v>44306</v>
      </c>
      <c r="F2068" s="91">
        <v>2021</v>
      </c>
      <c r="G2068" s="93">
        <v>4</v>
      </c>
      <c r="H2068" s="37" t="s">
        <v>218</v>
      </c>
      <c r="I2068" s="37"/>
      <c r="J2068" s="103">
        <v>-92.529861764129762</v>
      </c>
      <c r="K2068" s="40">
        <v>44.789740806614972</v>
      </c>
      <c r="L2068" s="74"/>
      <c r="M2068" s="272" t="s">
        <v>16</v>
      </c>
      <c r="N2068" s="74">
        <v>0</v>
      </c>
      <c r="O2068" s="94"/>
      <c r="P2068" s="118">
        <v>1</v>
      </c>
      <c r="Q2068" s="510">
        <v>120</v>
      </c>
      <c r="R2068" s="513">
        <v>120</v>
      </c>
      <c r="S2068" s="41"/>
      <c r="T2068" s="40"/>
      <c r="U2068" s="40">
        <v>7</v>
      </c>
      <c r="V2068" s="119">
        <v>1</v>
      </c>
      <c r="W2068" s="40">
        <v>0</v>
      </c>
      <c r="X2068" s="119">
        <v>1</v>
      </c>
      <c r="Y2068" s="40">
        <v>48</v>
      </c>
      <c r="Z2068" s="119">
        <v>1</v>
      </c>
      <c r="AA2068" s="368">
        <v>0</v>
      </c>
      <c r="AB2068" s="535">
        <v>2</v>
      </c>
      <c r="AC2068" s="39" t="s">
        <v>162</v>
      </c>
      <c r="AD2068" s="75" t="s">
        <v>10</v>
      </c>
      <c r="AE2068" s="95">
        <v>0</v>
      </c>
      <c r="AF2068" s="75">
        <v>0</v>
      </c>
      <c r="AG2068" s="75">
        <v>0</v>
      </c>
      <c r="AH2068" s="75">
        <v>0</v>
      </c>
      <c r="AI2068" s="75">
        <v>0</v>
      </c>
      <c r="AJ2068" s="75">
        <v>0</v>
      </c>
      <c r="AK2068" s="75">
        <v>0</v>
      </c>
      <c r="AL2068" s="95">
        <v>1</v>
      </c>
      <c r="AM2068" s="92">
        <v>0</v>
      </c>
      <c r="AN2068" s="79" t="s">
        <v>80</v>
      </c>
      <c r="AO2068" s="75">
        <v>1</v>
      </c>
      <c r="AP2068" s="75" t="s">
        <v>83</v>
      </c>
      <c r="AQ2068" s="122">
        <v>1</v>
      </c>
      <c r="AR2068" s="515" t="s">
        <v>10</v>
      </c>
      <c r="AS2068" s="95">
        <v>0</v>
      </c>
      <c r="AT2068" s="75">
        <v>0</v>
      </c>
      <c r="AU2068" s="75">
        <v>0</v>
      </c>
      <c r="AV2068" s="75">
        <v>0</v>
      </c>
      <c r="AW2068" s="123">
        <v>0</v>
      </c>
      <c r="AX2068" s="516"/>
      <c r="AY2068" s="75">
        <v>0</v>
      </c>
      <c r="AZ2068" s="77" t="s">
        <v>131</v>
      </c>
      <c r="BA2068" s="78" t="s">
        <v>131</v>
      </c>
      <c r="BB2068" s="78" t="s">
        <v>131</v>
      </c>
      <c r="BC2068" s="78" t="s">
        <v>131</v>
      </c>
      <c r="BD2068" s="78" t="s">
        <v>131</v>
      </c>
      <c r="BE2068" s="78" t="s">
        <v>131</v>
      </c>
      <c r="BF2068" s="78" t="s">
        <v>131</v>
      </c>
      <c r="BG2068" s="78" t="s">
        <v>132</v>
      </c>
      <c r="BH2068" s="75" t="s">
        <v>5970</v>
      </c>
      <c r="BI2068" s="295" t="s">
        <v>2236</v>
      </c>
      <c r="BJ2068" s="546">
        <v>1</v>
      </c>
      <c r="BK2068" s="294" t="s">
        <v>16</v>
      </c>
      <c r="BL2068" s="157" t="s">
        <v>16</v>
      </c>
      <c r="BM2068" s="548" t="s">
        <v>578</v>
      </c>
      <c r="BN2068" s="548" t="s">
        <v>578</v>
      </c>
      <c r="BO2068" s="157" t="s">
        <v>4658</v>
      </c>
      <c r="BP2068" s="548" t="s">
        <v>4660</v>
      </c>
      <c r="BQ2068" s="157" t="s">
        <v>4657</v>
      </c>
      <c r="BR2068" s="157"/>
    </row>
    <row r="2069" spans="1:70" x14ac:dyDescent="0.25">
      <c r="A2069" s="19" t="s">
        <v>3686</v>
      </c>
      <c r="B2069" s="37" t="s">
        <v>693</v>
      </c>
      <c r="C2069" s="90">
        <v>44306.661296296297</v>
      </c>
      <c r="D2069" s="114">
        <v>44306.411296296297</v>
      </c>
      <c r="E2069" s="38">
        <v>44306</v>
      </c>
      <c r="F2069" s="91">
        <v>2021</v>
      </c>
      <c r="G2069" s="93">
        <v>4</v>
      </c>
      <c r="H2069" s="37" t="s">
        <v>405</v>
      </c>
      <c r="I2069" s="37"/>
      <c r="J2069" s="103">
        <v>-93.267578920436335</v>
      </c>
      <c r="K2069" s="40">
        <v>44.984479732853345</v>
      </c>
      <c r="L2069" s="74"/>
      <c r="M2069" s="272" t="s">
        <v>16</v>
      </c>
      <c r="N2069" s="74">
        <v>0</v>
      </c>
      <c r="O2069" s="94"/>
      <c r="P2069" s="118">
        <v>1</v>
      </c>
      <c r="Q2069" s="510">
        <v>80</v>
      </c>
      <c r="R2069" s="513">
        <v>120</v>
      </c>
      <c r="S2069" s="41"/>
      <c r="T2069" s="40"/>
      <c r="U2069" s="40">
        <v>7.5</v>
      </c>
      <c r="V2069" s="119">
        <v>0</v>
      </c>
      <c r="W2069" s="40"/>
      <c r="X2069" s="119">
        <v>0</v>
      </c>
      <c r="Y2069" s="40"/>
      <c r="Z2069" s="119">
        <v>1</v>
      </c>
      <c r="AA2069" s="368">
        <v>0</v>
      </c>
      <c r="AB2069" s="535">
        <v>2</v>
      </c>
      <c r="AC2069" s="39" t="s">
        <v>161</v>
      </c>
      <c r="AD2069" s="75" t="s">
        <v>16</v>
      </c>
      <c r="AE2069" s="95">
        <v>-1</v>
      </c>
      <c r="AF2069" s="75">
        <v>-1</v>
      </c>
      <c r="AG2069" s="75">
        <v>-1</v>
      </c>
      <c r="AH2069" s="75">
        <v>-1</v>
      </c>
      <c r="AI2069" s="75">
        <v>-1</v>
      </c>
      <c r="AJ2069" s="75">
        <v>-1</v>
      </c>
      <c r="AK2069" s="75">
        <v>-1</v>
      </c>
      <c r="AL2069" s="95">
        <v>-1</v>
      </c>
      <c r="AM2069" s="92">
        <v>1</v>
      </c>
      <c r="AN2069" s="79"/>
      <c r="AO2069" s="75">
        <v>0</v>
      </c>
      <c r="AP2069" s="75"/>
      <c r="AQ2069" s="122">
        <v>0</v>
      </c>
      <c r="AR2069" s="515" t="s">
        <v>16</v>
      </c>
      <c r="AS2069" s="95">
        <v>-1</v>
      </c>
      <c r="AT2069" s="75">
        <v>-1</v>
      </c>
      <c r="AU2069" s="75">
        <v>-1</v>
      </c>
      <c r="AV2069" s="75">
        <v>-1</v>
      </c>
      <c r="AW2069" s="123">
        <v>1</v>
      </c>
      <c r="AX2069" s="516" t="s">
        <v>694</v>
      </c>
      <c r="AY2069" s="75">
        <v>1</v>
      </c>
      <c r="AZ2069" s="77" t="s">
        <v>5971</v>
      </c>
      <c r="BA2069" s="78" t="s">
        <v>5971</v>
      </c>
      <c r="BB2069" s="78" t="s">
        <v>5971</v>
      </c>
      <c r="BC2069" s="78" t="s">
        <v>5971</v>
      </c>
      <c r="BD2069" s="78" t="s">
        <v>5971</v>
      </c>
      <c r="BE2069" s="78" t="s">
        <v>5971</v>
      </c>
      <c r="BF2069" s="78" t="s">
        <v>5971</v>
      </c>
      <c r="BG2069" s="78" t="s">
        <v>5971</v>
      </c>
      <c r="BH2069" s="75" t="s">
        <v>5971</v>
      </c>
      <c r="BI2069" s="295" t="s">
        <v>16</v>
      </c>
      <c r="BJ2069" s="546" t="s">
        <v>16</v>
      </c>
      <c r="BK2069" s="294" t="s">
        <v>16</v>
      </c>
      <c r="BL2069" s="157" t="s">
        <v>16</v>
      </c>
      <c r="BM2069" s="548" t="s">
        <v>2343</v>
      </c>
      <c r="BN2069" s="548" t="s">
        <v>4161</v>
      </c>
      <c r="BO2069" s="157" t="s">
        <v>4467</v>
      </c>
      <c r="BP2069" s="548" t="s">
        <v>4468</v>
      </c>
      <c r="BQ2069" s="157" t="s">
        <v>4466</v>
      </c>
      <c r="BR2069" s="157"/>
    </row>
    <row r="2070" spans="1:70" x14ac:dyDescent="0.25">
      <c r="A2070" s="19" t="s">
        <v>3686</v>
      </c>
      <c r="B2070" s="37" t="s">
        <v>691</v>
      </c>
      <c r="C2070" s="90">
        <v>44305.990937499999</v>
      </c>
      <c r="D2070" s="114">
        <v>44305.740937499999</v>
      </c>
      <c r="E2070" s="38">
        <v>44305</v>
      </c>
      <c r="F2070" s="91">
        <v>2021</v>
      </c>
      <c r="G2070" s="93">
        <v>4</v>
      </c>
      <c r="H2070" s="37" t="s">
        <v>596</v>
      </c>
      <c r="I2070" s="37" t="s">
        <v>360</v>
      </c>
      <c r="J2070" s="103">
        <v>-92.643476199999995</v>
      </c>
      <c r="K2070" s="40">
        <v>44.842803400000001</v>
      </c>
      <c r="L2070" s="74"/>
      <c r="M2070" s="272" t="s">
        <v>692</v>
      </c>
      <c r="N2070" s="74">
        <v>1</v>
      </c>
      <c r="O2070" s="94"/>
      <c r="P2070" s="118">
        <v>1</v>
      </c>
      <c r="Q2070" s="510">
        <v>80</v>
      </c>
      <c r="R2070" s="513">
        <v>120</v>
      </c>
      <c r="S2070" s="41"/>
      <c r="T2070" s="40"/>
      <c r="U2070" s="40">
        <v>7.5</v>
      </c>
      <c r="V2070" s="119">
        <v>1</v>
      </c>
      <c r="W2070" s="40">
        <v>0</v>
      </c>
      <c r="X2070" s="119">
        <v>1</v>
      </c>
      <c r="Y2070" s="40">
        <v>46</v>
      </c>
      <c r="Z2070" s="119">
        <v>0</v>
      </c>
      <c r="AA2070" s="368" t="s">
        <v>16</v>
      </c>
      <c r="AB2070" s="535" t="s">
        <v>16</v>
      </c>
      <c r="AC2070" s="39" t="s">
        <v>160</v>
      </c>
      <c r="AD2070" s="75" t="s">
        <v>10</v>
      </c>
      <c r="AE2070" s="95">
        <v>0</v>
      </c>
      <c r="AF2070" s="75">
        <v>0</v>
      </c>
      <c r="AG2070" s="75">
        <v>0</v>
      </c>
      <c r="AH2070" s="75">
        <v>0</v>
      </c>
      <c r="AI2070" s="75">
        <v>0</v>
      </c>
      <c r="AJ2070" s="75">
        <v>0</v>
      </c>
      <c r="AK2070" s="75">
        <v>0</v>
      </c>
      <c r="AL2070" s="95">
        <v>1</v>
      </c>
      <c r="AM2070" s="92">
        <v>0</v>
      </c>
      <c r="AN2070" s="79" t="s">
        <v>80</v>
      </c>
      <c r="AO2070" s="75">
        <v>1</v>
      </c>
      <c r="AP2070" s="75" t="s">
        <v>83</v>
      </c>
      <c r="AQ2070" s="122">
        <v>1</v>
      </c>
      <c r="AR2070" s="515" t="s">
        <v>10</v>
      </c>
      <c r="AS2070" s="95">
        <v>0</v>
      </c>
      <c r="AT2070" s="75">
        <v>0</v>
      </c>
      <c r="AU2070" s="75">
        <v>0</v>
      </c>
      <c r="AV2070" s="75">
        <v>0</v>
      </c>
      <c r="AW2070" s="123">
        <v>0</v>
      </c>
      <c r="AX2070" s="516"/>
      <c r="AY2070" s="75">
        <v>0</v>
      </c>
      <c r="AZ2070" s="77" t="s">
        <v>131</v>
      </c>
      <c r="BA2070" s="78" t="s">
        <v>131</v>
      </c>
      <c r="BB2070" s="78" t="s">
        <v>131</v>
      </c>
      <c r="BC2070" s="78" t="s">
        <v>131</v>
      </c>
      <c r="BD2070" s="78" t="s">
        <v>131</v>
      </c>
      <c r="BE2070" s="78" t="s">
        <v>131</v>
      </c>
      <c r="BF2070" s="78" t="s">
        <v>131</v>
      </c>
      <c r="BG2070" s="78" t="s">
        <v>132</v>
      </c>
      <c r="BH2070" s="75" t="s">
        <v>5970</v>
      </c>
      <c r="BI2070" s="295" t="s">
        <v>2227</v>
      </c>
      <c r="BJ2070" s="546">
        <v>1</v>
      </c>
      <c r="BK2070" s="294" t="s">
        <v>16</v>
      </c>
      <c r="BL2070" s="157" t="s">
        <v>16</v>
      </c>
      <c r="BM2070" s="548" t="s">
        <v>578</v>
      </c>
      <c r="BN2070" s="548" t="s">
        <v>578</v>
      </c>
      <c r="BO2070" s="157" t="s">
        <v>4341</v>
      </c>
      <c r="BP2070" s="548" t="s">
        <v>4343</v>
      </c>
      <c r="BQ2070" s="157" t="s">
        <v>4309</v>
      </c>
      <c r="BR2070" s="157"/>
    </row>
    <row r="2071" spans="1:70" x14ac:dyDescent="0.25">
      <c r="A2071" s="19" t="s">
        <v>3686</v>
      </c>
      <c r="B2071" s="37" t="s">
        <v>690</v>
      </c>
      <c r="C2071" s="90">
        <v>44305.858356481483</v>
      </c>
      <c r="D2071" s="114">
        <v>44305.608356481483</v>
      </c>
      <c r="E2071" s="38">
        <v>44305</v>
      </c>
      <c r="F2071" s="91">
        <v>2021</v>
      </c>
      <c r="G2071" s="93">
        <v>4</v>
      </c>
      <c r="H2071" s="37" t="s">
        <v>405</v>
      </c>
      <c r="I2071" s="37"/>
      <c r="J2071" s="103">
        <v>-92.929012309846399</v>
      </c>
      <c r="K2071" s="40">
        <v>44.369979780208659</v>
      </c>
      <c r="L2071" s="74"/>
      <c r="M2071" s="272" t="s">
        <v>16</v>
      </c>
      <c r="N2071" s="74">
        <v>0</v>
      </c>
      <c r="O2071" s="94"/>
      <c r="P2071" s="118">
        <v>1</v>
      </c>
      <c r="Q2071" s="510">
        <v>180</v>
      </c>
      <c r="R2071" s="513">
        <v>180</v>
      </c>
      <c r="S2071" s="41"/>
      <c r="T2071" s="40"/>
      <c r="U2071" s="40">
        <v>6.5</v>
      </c>
      <c r="V2071" s="119">
        <v>0</v>
      </c>
      <c r="W2071" s="40"/>
      <c r="X2071" s="119">
        <v>0</v>
      </c>
      <c r="Y2071" s="40"/>
      <c r="Z2071" s="119">
        <v>0</v>
      </c>
      <c r="AA2071" s="368" t="s">
        <v>16</v>
      </c>
      <c r="AB2071" s="535" t="s">
        <v>16</v>
      </c>
      <c r="AC2071" s="39" t="s">
        <v>160</v>
      </c>
      <c r="AD2071" s="75" t="s">
        <v>16</v>
      </c>
      <c r="AE2071" s="95">
        <v>-1</v>
      </c>
      <c r="AF2071" s="75">
        <v>-1</v>
      </c>
      <c r="AG2071" s="75">
        <v>-1</v>
      </c>
      <c r="AH2071" s="75">
        <v>-1</v>
      </c>
      <c r="AI2071" s="75">
        <v>-1</v>
      </c>
      <c r="AJ2071" s="75">
        <v>-1</v>
      </c>
      <c r="AK2071" s="75">
        <v>-1</v>
      </c>
      <c r="AL2071" s="95">
        <v>-1</v>
      </c>
      <c r="AM2071" s="92">
        <v>1</v>
      </c>
      <c r="AN2071" s="79"/>
      <c r="AO2071" s="75">
        <v>0</v>
      </c>
      <c r="AP2071" s="75"/>
      <c r="AQ2071" s="122">
        <v>0</v>
      </c>
      <c r="AR2071" s="515" t="s">
        <v>16</v>
      </c>
      <c r="AS2071" s="95">
        <v>-1</v>
      </c>
      <c r="AT2071" s="75">
        <v>-1</v>
      </c>
      <c r="AU2071" s="75">
        <v>-1</v>
      </c>
      <c r="AV2071" s="75">
        <v>-1</v>
      </c>
      <c r="AW2071" s="123">
        <v>1</v>
      </c>
      <c r="AX2071" s="516"/>
      <c r="AY2071" s="75">
        <v>0</v>
      </c>
      <c r="AZ2071" s="77" t="s">
        <v>5971</v>
      </c>
      <c r="BA2071" s="78" t="s">
        <v>5971</v>
      </c>
      <c r="BB2071" s="78" t="s">
        <v>5971</v>
      </c>
      <c r="BC2071" s="78" t="s">
        <v>5971</v>
      </c>
      <c r="BD2071" s="78" t="s">
        <v>5971</v>
      </c>
      <c r="BE2071" s="78" t="s">
        <v>5971</v>
      </c>
      <c r="BF2071" s="78" t="s">
        <v>5971</v>
      </c>
      <c r="BG2071" s="78" t="s">
        <v>5971</v>
      </c>
      <c r="BH2071" s="75" t="s">
        <v>5971</v>
      </c>
      <c r="BI2071" s="295" t="s">
        <v>2253</v>
      </c>
      <c r="BJ2071" s="546">
        <v>1</v>
      </c>
      <c r="BK2071" s="294" t="s">
        <v>16</v>
      </c>
      <c r="BL2071" s="157" t="s">
        <v>16</v>
      </c>
      <c r="BM2071" s="548" t="s">
        <v>1339</v>
      </c>
      <c r="BN2071" s="548" t="s">
        <v>4161</v>
      </c>
      <c r="BO2071" s="157" t="s">
        <v>4295</v>
      </c>
      <c r="BP2071" s="548" t="s">
        <v>4296</v>
      </c>
      <c r="BQ2071" s="157" t="s">
        <v>4294</v>
      </c>
      <c r="BR2071" s="157"/>
    </row>
    <row r="2072" spans="1:70" x14ac:dyDescent="0.25">
      <c r="A2072" s="19" t="s">
        <v>3686</v>
      </c>
      <c r="B2072" s="37" t="s">
        <v>689</v>
      </c>
      <c r="C2072" s="90">
        <v>44305.682372685187</v>
      </c>
      <c r="D2072" s="114">
        <v>44305.432372685187</v>
      </c>
      <c r="E2072" s="38">
        <v>44305</v>
      </c>
      <c r="F2072" s="91">
        <v>2021</v>
      </c>
      <c r="G2072" s="93">
        <v>4</v>
      </c>
      <c r="H2072" s="37" t="s">
        <v>405</v>
      </c>
      <c r="I2072" s="37" t="s">
        <v>146</v>
      </c>
      <c r="J2072" s="103">
        <v>-92.822371618908662</v>
      </c>
      <c r="K2072" s="40">
        <v>44.561369642656821</v>
      </c>
      <c r="L2072" s="74"/>
      <c r="M2072" s="272" t="s">
        <v>16</v>
      </c>
      <c r="N2072" s="74">
        <v>0</v>
      </c>
      <c r="O2072" s="94"/>
      <c r="P2072" s="118">
        <v>1</v>
      </c>
      <c r="Q2072" s="510">
        <v>120</v>
      </c>
      <c r="R2072" s="513">
        <v>180</v>
      </c>
      <c r="S2072" s="41"/>
      <c r="T2072" s="40"/>
      <c r="U2072" s="40">
        <v>7</v>
      </c>
      <c r="V2072" s="119">
        <v>0</v>
      </c>
      <c r="W2072" s="40"/>
      <c r="X2072" s="119">
        <v>1</v>
      </c>
      <c r="Y2072" s="40">
        <v>0</v>
      </c>
      <c r="Z2072" s="119">
        <v>0</v>
      </c>
      <c r="AA2072" s="368" t="s">
        <v>16</v>
      </c>
      <c r="AB2072" s="535" t="s">
        <v>16</v>
      </c>
      <c r="AC2072" s="39" t="s">
        <v>160</v>
      </c>
      <c r="AD2072" s="75" t="s">
        <v>16</v>
      </c>
      <c r="AE2072" s="95">
        <v>-1</v>
      </c>
      <c r="AF2072" s="75">
        <v>-1</v>
      </c>
      <c r="AG2072" s="75">
        <v>-1</v>
      </c>
      <c r="AH2072" s="75">
        <v>-1</v>
      </c>
      <c r="AI2072" s="75">
        <v>-1</v>
      </c>
      <c r="AJ2072" s="75">
        <v>-1</v>
      </c>
      <c r="AK2072" s="75">
        <v>-1</v>
      </c>
      <c r="AL2072" s="95">
        <v>-1</v>
      </c>
      <c r="AM2072" s="92">
        <v>1</v>
      </c>
      <c r="AN2072" s="79"/>
      <c r="AO2072" s="75">
        <v>0</v>
      </c>
      <c r="AP2072" s="75"/>
      <c r="AQ2072" s="122">
        <v>0</v>
      </c>
      <c r="AR2072" s="515" t="s">
        <v>16</v>
      </c>
      <c r="AS2072" s="95">
        <v>-1</v>
      </c>
      <c r="AT2072" s="75">
        <v>-1</v>
      </c>
      <c r="AU2072" s="75">
        <v>-1</v>
      </c>
      <c r="AV2072" s="75">
        <v>-1</v>
      </c>
      <c r="AW2072" s="123">
        <v>1</v>
      </c>
      <c r="AX2072" s="516"/>
      <c r="AY2072" s="75">
        <v>0</v>
      </c>
      <c r="AZ2072" s="77" t="s">
        <v>5971</v>
      </c>
      <c r="BA2072" s="78" t="s">
        <v>5971</v>
      </c>
      <c r="BB2072" s="78" t="s">
        <v>5971</v>
      </c>
      <c r="BC2072" s="78" t="s">
        <v>5971</v>
      </c>
      <c r="BD2072" s="78" t="s">
        <v>5971</v>
      </c>
      <c r="BE2072" s="78" t="s">
        <v>5971</v>
      </c>
      <c r="BF2072" s="78" t="s">
        <v>5971</v>
      </c>
      <c r="BG2072" s="78" t="s">
        <v>5971</v>
      </c>
      <c r="BH2072" s="75" t="s">
        <v>5971</v>
      </c>
      <c r="BI2072" s="295">
        <v>0</v>
      </c>
      <c r="BJ2072" s="546">
        <v>1</v>
      </c>
      <c r="BK2072" s="294">
        <v>1</v>
      </c>
      <c r="BL2072" s="157">
        <v>1</v>
      </c>
      <c r="BM2072" s="548" t="s">
        <v>2343</v>
      </c>
      <c r="BN2072" s="548" t="s">
        <v>4161</v>
      </c>
      <c r="BO2072" s="157" t="s">
        <v>4510</v>
      </c>
      <c r="BP2072" s="548" t="s">
        <v>753</v>
      </c>
      <c r="BQ2072" s="157" t="s">
        <v>4389</v>
      </c>
      <c r="BR2072" s="157"/>
    </row>
    <row r="2073" spans="1:70" x14ac:dyDescent="0.25">
      <c r="A2073" s="19" t="s">
        <v>3686</v>
      </c>
      <c r="B2073" s="37" t="s">
        <v>687</v>
      </c>
      <c r="C2073" s="90">
        <v>44304.786828703705</v>
      </c>
      <c r="D2073" s="114">
        <v>44304.536828703705</v>
      </c>
      <c r="E2073" s="38">
        <v>44304</v>
      </c>
      <c r="F2073" s="91">
        <v>2021</v>
      </c>
      <c r="G2073" s="93">
        <v>4</v>
      </c>
      <c r="H2073" s="37" t="s">
        <v>475</v>
      </c>
      <c r="I2073" s="37" t="s">
        <v>16</v>
      </c>
      <c r="J2073" s="103">
        <v>-92.224385859530642</v>
      </c>
      <c r="K2073" s="40">
        <v>43.62211092379281</v>
      </c>
      <c r="L2073" s="74"/>
      <c r="M2073" s="272" t="s">
        <v>16</v>
      </c>
      <c r="N2073" s="74">
        <v>0</v>
      </c>
      <c r="O2073" s="94"/>
      <c r="P2073" s="118">
        <v>1</v>
      </c>
      <c r="Q2073" s="510">
        <v>180</v>
      </c>
      <c r="R2073" s="513">
        <v>180</v>
      </c>
      <c r="S2073" s="41"/>
      <c r="T2073" s="40"/>
      <c r="U2073" s="40">
        <v>8</v>
      </c>
      <c r="V2073" s="119">
        <v>1</v>
      </c>
      <c r="W2073" s="40">
        <v>0</v>
      </c>
      <c r="X2073" s="119">
        <v>1</v>
      </c>
      <c r="Y2073" s="40">
        <v>0</v>
      </c>
      <c r="Z2073" s="119">
        <v>1</v>
      </c>
      <c r="AA2073" s="368">
        <v>0</v>
      </c>
      <c r="AB2073" s="535">
        <v>10</v>
      </c>
      <c r="AC2073" s="39" t="s">
        <v>160</v>
      </c>
      <c r="AD2073" s="75" t="s">
        <v>10</v>
      </c>
      <c r="AE2073" s="95">
        <v>0</v>
      </c>
      <c r="AF2073" s="75">
        <v>0</v>
      </c>
      <c r="AG2073" s="75">
        <v>0</v>
      </c>
      <c r="AH2073" s="75">
        <v>0</v>
      </c>
      <c r="AI2073" s="75">
        <v>0</v>
      </c>
      <c r="AJ2073" s="75">
        <v>0</v>
      </c>
      <c r="AK2073" s="75">
        <v>0</v>
      </c>
      <c r="AL2073" s="95">
        <v>1</v>
      </c>
      <c r="AM2073" s="92">
        <v>0</v>
      </c>
      <c r="AN2073" s="79" t="s">
        <v>81</v>
      </c>
      <c r="AO2073" s="75">
        <v>1</v>
      </c>
      <c r="AP2073" s="75" t="s">
        <v>83</v>
      </c>
      <c r="AQ2073" s="122">
        <v>1</v>
      </c>
      <c r="AR2073" s="515" t="s">
        <v>10</v>
      </c>
      <c r="AS2073" s="95">
        <v>0</v>
      </c>
      <c r="AT2073" s="75">
        <v>0</v>
      </c>
      <c r="AU2073" s="75">
        <v>0</v>
      </c>
      <c r="AV2073" s="75">
        <v>0</v>
      </c>
      <c r="AW2073" s="123">
        <v>0</v>
      </c>
      <c r="AX2073" s="516" t="s">
        <v>688</v>
      </c>
      <c r="AY2073" s="75">
        <v>1</v>
      </c>
      <c r="AZ2073" s="77" t="s">
        <v>131</v>
      </c>
      <c r="BA2073" s="78" t="s">
        <v>131</v>
      </c>
      <c r="BB2073" s="78" t="s">
        <v>131</v>
      </c>
      <c r="BC2073" s="78" t="s">
        <v>131</v>
      </c>
      <c r="BD2073" s="78" t="s">
        <v>131</v>
      </c>
      <c r="BE2073" s="78" t="s">
        <v>131</v>
      </c>
      <c r="BF2073" s="78" t="s">
        <v>131</v>
      </c>
      <c r="BG2073" s="78" t="s">
        <v>132</v>
      </c>
      <c r="BH2073" s="75" t="s">
        <v>5970</v>
      </c>
      <c r="BI2073" s="295" t="s">
        <v>2232</v>
      </c>
      <c r="BJ2073" s="546">
        <v>1</v>
      </c>
      <c r="BK2073" s="294" t="s">
        <v>16</v>
      </c>
      <c r="BL2073" s="157" t="s">
        <v>16</v>
      </c>
      <c r="BM2073" s="548" t="s">
        <v>1339</v>
      </c>
      <c r="BN2073" s="548" t="s">
        <v>1339</v>
      </c>
      <c r="BO2073" s="157" t="s">
        <v>4719</v>
      </c>
      <c r="BP2073" s="548" t="s">
        <v>2232</v>
      </c>
      <c r="BQ2073" s="157" t="s">
        <v>4229</v>
      </c>
      <c r="BR2073" s="157"/>
    </row>
    <row r="2074" spans="1:70" x14ac:dyDescent="0.25">
      <c r="A2074" s="19" t="s">
        <v>3686</v>
      </c>
      <c r="B2074" s="37" t="s">
        <v>685</v>
      </c>
      <c r="C2074" s="90">
        <v>44304.762384259258</v>
      </c>
      <c r="D2074" s="114">
        <v>44304.512384259258</v>
      </c>
      <c r="E2074" s="38">
        <v>44304</v>
      </c>
      <c r="F2074" s="91">
        <v>2021</v>
      </c>
      <c r="G2074" s="93">
        <v>4</v>
      </c>
      <c r="H2074" s="37" t="s">
        <v>606</v>
      </c>
      <c r="I2074" s="37" t="s">
        <v>16</v>
      </c>
      <c r="J2074" s="103">
        <v>-92.143765894682204</v>
      </c>
      <c r="K2074" s="40">
        <v>44.236526135423695</v>
      </c>
      <c r="L2074" s="74"/>
      <c r="M2074" s="272" t="s">
        <v>16</v>
      </c>
      <c r="N2074" s="74">
        <v>0</v>
      </c>
      <c r="O2074" s="94"/>
      <c r="P2074" s="118">
        <v>1</v>
      </c>
      <c r="Q2074" s="510">
        <v>0</v>
      </c>
      <c r="R2074" s="513">
        <v>30</v>
      </c>
      <c r="S2074" s="41"/>
      <c r="T2074" s="40"/>
      <c r="U2074" s="40">
        <v>7</v>
      </c>
      <c r="V2074" s="119">
        <v>1</v>
      </c>
      <c r="W2074" s="40">
        <v>0</v>
      </c>
      <c r="X2074" s="119">
        <v>0</v>
      </c>
      <c r="Y2074" s="40"/>
      <c r="Z2074" s="119">
        <v>1</v>
      </c>
      <c r="AA2074" s="368">
        <v>0</v>
      </c>
      <c r="AB2074" s="535">
        <v>5</v>
      </c>
      <c r="AC2074" s="39" t="s">
        <v>160</v>
      </c>
      <c r="AD2074" s="75" t="s">
        <v>10</v>
      </c>
      <c r="AE2074" s="95">
        <v>0</v>
      </c>
      <c r="AF2074" s="75">
        <v>0</v>
      </c>
      <c r="AG2074" s="75">
        <v>0</v>
      </c>
      <c r="AH2074" s="75">
        <v>0</v>
      </c>
      <c r="AI2074" s="75">
        <v>0</v>
      </c>
      <c r="AJ2074" s="75">
        <v>0</v>
      </c>
      <c r="AK2074" s="75">
        <v>0</v>
      </c>
      <c r="AL2074" s="95">
        <v>1</v>
      </c>
      <c r="AM2074" s="92">
        <v>0</v>
      </c>
      <c r="AN2074" s="79" t="s">
        <v>80</v>
      </c>
      <c r="AO2074" s="75">
        <v>1</v>
      </c>
      <c r="AP2074" s="75" t="s">
        <v>83</v>
      </c>
      <c r="AQ2074" s="122">
        <v>1</v>
      </c>
      <c r="AR2074" s="515" t="s">
        <v>10</v>
      </c>
      <c r="AS2074" s="95">
        <v>0</v>
      </c>
      <c r="AT2074" s="75">
        <v>0</v>
      </c>
      <c r="AU2074" s="75">
        <v>0</v>
      </c>
      <c r="AV2074" s="75">
        <v>0</v>
      </c>
      <c r="AW2074" s="123">
        <v>0</v>
      </c>
      <c r="AX2074" s="516" t="s">
        <v>686</v>
      </c>
      <c r="AY2074" s="75">
        <v>1</v>
      </c>
      <c r="AZ2074" s="77" t="s">
        <v>131</v>
      </c>
      <c r="BA2074" s="78" t="s">
        <v>131</v>
      </c>
      <c r="BB2074" s="78" t="s">
        <v>131</v>
      </c>
      <c r="BC2074" s="78" t="s">
        <v>131</v>
      </c>
      <c r="BD2074" s="78" t="s">
        <v>131</v>
      </c>
      <c r="BE2074" s="78" t="s">
        <v>131</v>
      </c>
      <c r="BF2074" s="78" t="s">
        <v>131</v>
      </c>
      <c r="BG2074" s="78" t="s">
        <v>132</v>
      </c>
      <c r="BH2074" s="75" t="s">
        <v>5970</v>
      </c>
      <c r="BI2074" s="295" t="s">
        <v>317</v>
      </c>
      <c r="BJ2074" s="546">
        <v>1</v>
      </c>
      <c r="BK2074" s="294">
        <v>1</v>
      </c>
      <c r="BL2074" s="157">
        <v>1</v>
      </c>
      <c r="BM2074" s="548" t="s">
        <v>1339</v>
      </c>
      <c r="BN2074" s="548" t="s">
        <v>1339</v>
      </c>
      <c r="BO2074" s="157" t="s">
        <v>4358</v>
      </c>
      <c r="BP2074" s="548" t="s">
        <v>317</v>
      </c>
      <c r="BQ2074" s="157" t="s">
        <v>4330</v>
      </c>
      <c r="BR2074" s="157"/>
    </row>
    <row r="2075" spans="1:70" x14ac:dyDescent="0.25">
      <c r="A2075" s="19" t="s">
        <v>3686</v>
      </c>
      <c r="B2075" s="37" t="s">
        <v>682</v>
      </c>
      <c r="C2075" s="90">
        <v>44303.874664351853</v>
      </c>
      <c r="D2075" s="114">
        <v>44303.624664351853</v>
      </c>
      <c r="E2075" s="38">
        <v>44303</v>
      </c>
      <c r="F2075" s="91">
        <v>2021</v>
      </c>
      <c r="G2075" s="93">
        <v>4</v>
      </c>
      <c r="H2075" s="37" t="s">
        <v>614</v>
      </c>
      <c r="I2075" s="37"/>
      <c r="J2075" s="103">
        <v>-92.841066612840763</v>
      </c>
      <c r="K2075" s="40">
        <v>45.070332052614056</v>
      </c>
      <c r="L2075" s="74"/>
      <c r="M2075" s="272" t="s">
        <v>683</v>
      </c>
      <c r="N2075" s="74">
        <v>1</v>
      </c>
      <c r="O2075" s="94"/>
      <c r="P2075" s="118">
        <v>1</v>
      </c>
      <c r="Q2075" s="510">
        <v>180</v>
      </c>
      <c r="R2075" s="513">
        <v>120</v>
      </c>
      <c r="S2075" s="41"/>
      <c r="T2075" s="40"/>
      <c r="U2075" s="40">
        <v>7</v>
      </c>
      <c r="V2075" s="119">
        <v>1</v>
      </c>
      <c r="W2075" s="40">
        <v>100</v>
      </c>
      <c r="X2075" s="119">
        <v>1</v>
      </c>
      <c r="Y2075" s="40">
        <v>51</v>
      </c>
      <c r="Z2075" s="119">
        <v>1</v>
      </c>
      <c r="AA2075" s="368">
        <v>0</v>
      </c>
      <c r="AB2075" s="535">
        <v>0</v>
      </c>
      <c r="AC2075" s="39" t="s">
        <v>160</v>
      </c>
      <c r="AD2075" s="75" t="s">
        <v>10</v>
      </c>
      <c r="AE2075" s="95">
        <v>0</v>
      </c>
      <c r="AF2075" s="75">
        <v>0</v>
      </c>
      <c r="AG2075" s="75">
        <v>0</v>
      </c>
      <c r="AH2075" s="75">
        <v>0</v>
      </c>
      <c r="AI2075" s="75">
        <v>0</v>
      </c>
      <c r="AJ2075" s="75">
        <v>0</v>
      </c>
      <c r="AK2075" s="75">
        <v>0</v>
      </c>
      <c r="AL2075" s="95">
        <v>1</v>
      </c>
      <c r="AM2075" s="92">
        <v>0</v>
      </c>
      <c r="AN2075" s="79" t="s">
        <v>81</v>
      </c>
      <c r="AO2075" s="75">
        <v>1</v>
      </c>
      <c r="AP2075" s="75" t="s">
        <v>84</v>
      </c>
      <c r="AQ2075" s="122">
        <v>1</v>
      </c>
      <c r="AR2075" s="515" t="s">
        <v>16</v>
      </c>
      <c r="AS2075" s="95">
        <v>-1</v>
      </c>
      <c r="AT2075" s="75">
        <v>-1</v>
      </c>
      <c r="AU2075" s="75">
        <v>-1</v>
      </c>
      <c r="AV2075" s="75">
        <v>-1</v>
      </c>
      <c r="AW2075" s="123">
        <v>1</v>
      </c>
      <c r="AX2075" s="516" t="s">
        <v>684</v>
      </c>
      <c r="AY2075" s="75">
        <v>1</v>
      </c>
      <c r="AZ2075" s="77" t="s">
        <v>131</v>
      </c>
      <c r="BA2075" s="78" t="s">
        <v>131</v>
      </c>
      <c r="BB2075" s="78" t="s">
        <v>131</v>
      </c>
      <c r="BC2075" s="78" t="s">
        <v>131</v>
      </c>
      <c r="BD2075" s="78" t="s">
        <v>131</v>
      </c>
      <c r="BE2075" s="78" t="s">
        <v>131</v>
      </c>
      <c r="BF2075" s="78" t="s">
        <v>131</v>
      </c>
      <c r="BG2075" s="78" t="s">
        <v>132</v>
      </c>
      <c r="BH2075" s="75" t="s">
        <v>5970</v>
      </c>
      <c r="BI2075" s="295" t="s">
        <v>2273</v>
      </c>
      <c r="BJ2075" s="546">
        <v>1</v>
      </c>
      <c r="BK2075" s="294" t="s">
        <v>16</v>
      </c>
      <c r="BL2075" s="157" t="s">
        <v>16</v>
      </c>
      <c r="BM2075" s="548" t="s">
        <v>2343</v>
      </c>
      <c r="BN2075" s="548" t="s">
        <v>578</v>
      </c>
      <c r="BO2075" s="157" t="s">
        <v>4286</v>
      </c>
      <c r="BP2075" s="548" t="s">
        <v>2273</v>
      </c>
      <c r="BQ2075" s="157" t="s">
        <v>4285</v>
      </c>
      <c r="BR2075" s="157"/>
    </row>
    <row r="2076" spans="1:70" x14ac:dyDescent="0.25">
      <c r="A2076" s="19" t="s">
        <v>3686</v>
      </c>
      <c r="B2076" s="37" t="s">
        <v>681</v>
      </c>
      <c r="C2076" s="90">
        <v>44303.842627314814</v>
      </c>
      <c r="D2076" s="114">
        <v>44303.592627314814</v>
      </c>
      <c r="E2076" s="38">
        <v>44303</v>
      </c>
      <c r="F2076" s="91">
        <v>2021</v>
      </c>
      <c r="G2076" s="93">
        <v>4</v>
      </c>
      <c r="H2076" s="37" t="s">
        <v>614</v>
      </c>
      <c r="I2076" s="37"/>
      <c r="J2076" s="103">
        <v>-92.833800954992157</v>
      </c>
      <c r="K2076" s="40">
        <v>45.074974103362983</v>
      </c>
      <c r="L2076" s="74"/>
      <c r="M2076" s="272" t="s">
        <v>16</v>
      </c>
      <c r="N2076" s="74">
        <v>0</v>
      </c>
      <c r="O2076" s="94"/>
      <c r="P2076" s="118">
        <v>0</v>
      </c>
      <c r="Q2076" s="510"/>
      <c r="R2076" s="513"/>
      <c r="S2076" s="41"/>
      <c r="T2076" s="40"/>
      <c r="U2076" s="40"/>
      <c r="V2076" s="119">
        <v>1</v>
      </c>
      <c r="W2076" s="40">
        <v>100</v>
      </c>
      <c r="X2076" s="119">
        <v>1</v>
      </c>
      <c r="Y2076" s="40">
        <v>51</v>
      </c>
      <c r="Z2076" s="119">
        <v>0</v>
      </c>
      <c r="AA2076" s="368" t="s">
        <v>16</v>
      </c>
      <c r="AB2076" s="535" t="s">
        <v>16</v>
      </c>
      <c r="AC2076" s="39"/>
      <c r="AD2076" s="75" t="s">
        <v>16</v>
      </c>
      <c r="AE2076" s="95">
        <v>-1</v>
      </c>
      <c r="AF2076" s="75">
        <v>-1</v>
      </c>
      <c r="AG2076" s="75">
        <v>-1</v>
      </c>
      <c r="AH2076" s="75">
        <v>-1</v>
      </c>
      <c r="AI2076" s="75">
        <v>-1</v>
      </c>
      <c r="AJ2076" s="75">
        <v>-1</v>
      </c>
      <c r="AK2076" s="75">
        <v>-1</v>
      </c>
      <c r="AL2076" s="95">
        <v>-1</v>
      </c>
      <c r="AM2076" s="92">
        <v>1</v>
      </c>
      <c r="AN2076" s="79"/>
      <c r="AO2076" s="75">
        <v>0</v>
      </c>
      <c r="AP2076" s="75"/>
      <c r="AQ2076" s="122">
        <v>0</v>
      </c>
      <c r="AR2076" s="515" t="s">
        <v>16</v>
      </c>
      <c r="AS2076" s="95">
        <v>-1</v>
      </c>
      <c r="AT2076" s="75">
        <v>-1</v>
      </c>
      <c r="AU2076" s="75">
        <v>-1</v>
      </c>
      <c r="AV2076" s="75">
        <v>-1</v>
      </c>
      <c r="AW2076" s="123">
        <v>1</v>
      </c>
      <c r="AX2076" s="516"/>
      <c r="AY2076" s="75">
        <v>0</v>
      </c>
      <c r="AZ2076" s="77" t="s">
        <v>5971</v>
      </c>
      <c r="BA2076" s="78" t="s">
        <v>5971</v>
      </c>
      <c r="BB2076" s="78" t="s">
        <v>5971</v>
      </c>
      <c r="BC2076" s="78" t="s">
        <v>5971</v>
      </c>
      <c r="BD2076" s="78" t="s">
        <v>5971</v>
      </c>
      <c r="BE2076" s="78" t="s">
        <v>5971</v>
      </c>
      <c r="BF2076" s="78" t="s">
        <v>5971</v>
      </c>
      <c r="BG2076" s="78" t="s">
        <v>5971</v>
      </c>
      <c r="BH2076" s="75" t="s">
        <v>5971</v>
      </c>
      <c r="BI2076" s="295" t="s">
        <v>2273</v>
      </c>
      <c r="BJ2076" s="546">
        <v>1</v>
      </c>
      <c r="BK2076" s="294" t="s">
        <v>16</v>
      </c>
      <c r="BL2076" s="157" t="s">
        <v>16</v>
      </c>
      <c r="BM2076" s="548" t="s">
        <v>2343</v>
      </c>
      <c r="BN2076" s="548" t="s">
        <v>578</v>
      </c>
      <c r="BO2076" s="157" t="s">
        <v>4286</v>
      </c>
      <c r="BP2076" s="548" t="s">
        <v>2273</v>
      </c>
      <c r="BQ2076" s="157" t="s">
        <v>4285</v>
      </c>
      <c r="BR2076" s="157"/>
    </row>
    <row r="2077" spans="1:70" x14ac:dyDescent="0.25">
      <c r="A2077" s="19" t="s">
        <v>3686</v>
      </c>
      <c r="B2077" s="37" t="s">
        <v>680</v>
      </c>
      <c r="C2077" s="90">
        <v>44303.838993055557</v>
      </c>
      <c r="D2077" s="114">
        <v>44303.588993055557</v>
      </c>
      <c r="E2077" s="38">
        <v>44303</v>
      </c>
      <c r="F2077" s="91">
        <v>2021</v>
      </c>
      <c r="G2077" s="93">
        <v>4</v>
      </c>
      <c r="H2077" s="37" t="s">
        <v>614</v>
      </c>
      <c r="I2077" s="37"/>
      <c r="J2077" s="103">
        <v>-92.833819587080484</v>
      </c>
      <c r="K2077" s="40">
        <v>45.074986534190771</v>
      </c>
      <c r="L2077" s="74"/>
      <c r="M2077" s="272" t="s">
        <v>16</v>
      </c>
      <c r="N2077" s="74">
        <v>0</v>
      </c>
      <c r="O2077" s="94"/>
      <c r="P2077" s="118">
        <v>1</v>
      </c>
      <c r="Q2077" s="510">
        <v>180</v>
      </c>
      <c r="R2077" s="513">
        <v>120</v>
      </c>
      <c r="S2077" s="41"/>
      <c r="T2077" s="40"/>
      <c r="U2077" s="40">
        <v>7.5</v>
      </c>
      <c r="V2077" s="119">
        <v>0</v>
      </c>
      <c r="W2077" s="40"/>
      <c r="X2077" s="119">
        <v>0</v>
      </c>
      <c r="Y2077" s="40"/>
      <c r="Z2077" s="119">
        <v>1</v>
      </c>
      <c r="AA2077" s="368">
        <v>0</v>
      </c>
      <c r="AB2077" s="535">
        <v>0</v>
      </c>
      <c r="AC2077" s="39" t="s">
        <v>160</v>
      </c>
      <c r="AD2077" s="75" t="s">
        <v>10</v>
      </c>
      <c r="AE2077" s="95">
        <v>0</v>
      </c>
      <c r="AF2077" s="75">
        <v>0</v>
      </c>
      <c r="AG2077" s="75">
        <v>0</v>
      </c>
      <c r="AH2077" s="75">
        <v>0</v>
      </c>
      <c r="AI2077" s="75">
        <v>0</v>
      </c>
      <c r="AJ2077" s="75">
        <v>0</v>
      </c>
      <c r="AK2077" s="75">
        <v>0</v>
      </c>
      <c r="AL2077" s="95">
        <v>1</v>
      </c>
      <c r="AM2077" s="92">
        <v>0</v>
      </c>
      <c r="AN2077" s="79" t="s">
        <v>81</v>
      </c>
      <c r="AO2077" s="75">
        <v>1</v>
      </c>
      <c r="AP2077" s="75" t="s">
        <v>84</v>
      </c>
      <c r="AQ2077" s="122">
        <v>1</v>
      </c>
      <c r="AR2077" s="515" t="s">
        <v>16</v>
      </c>
      <c r="AS2077" s="95">
        <v>-1</v>
      </c>
      <c r="AT2077" s="75">
        <v>-1</v>
      </c>
      <c r="AU2077" s="75">
        <v>-1</v>
      </c>
      <c r="AV2077" s="75">
        <v>-1</v>
      </c>
      <c r="AW2077" s="123">
        <v>1</v>
      </c>
      <c r="AX2077" s="516"/>
      <c r="AY2077" s="75">
        <v>0</v>
      </c>
      <c r="AZ2077" s="77" t="s">
        <v>131</v>
      </c>
      <c r="BA2077" s="78" t="s">
        <v>131</v>
      </c>
      <c r="BB2077" s="78" t="s">
        <v>131</v>
      </c>
      <c r="BC2077" s="78" t="s">
        <v>131</v>
      </c>
      <c r="BD2077" s="78" t="s">
        <v>131</v>
      </c>
      <c r="BE2077" s="78" t="s">
        <v>131</v>
      </c>
      <c r="BF2077" s="78" t="s">
        <v>131</v>
      </c>
      <c r="BG2077" s="78" t="s">
        <v>132</v>
      </c>
      <c r="BH2077" s="75" t="s">
        <v>5970</v>
      </c>
      <c r="BI2077" s="295" t="s">
        <v>2273</v>
      </c>
      <c r="BJ2077" s="546">
        <v>1</v>
      </c>
      <c r="BK2077" s="294" t="s">
        <v>16</v>
      </c>
      <c r="BL2077" s="157" t="s">
        <v>16</v>
      </c>
      <c r="BM2077" s="548" t="s">
        <v>2343</v>
      </c>
      <c r="BN2077" s="548" t="s">
        <v>578</v>
      </c>
      <c r="BO2077" s="157" t="s">
        <v>4286</v>
      </c>
      <c r="BP2077" s="548" t="s">
        <v>2273</v>
      </c>
      <c r="BQ2077" s="157" t="s">
        <v>4285</v>
      </c>
      <c r="BR2077" s="157"/>
    </row>
    <row r="2078" spans="1:70" x14ac:dyDescent="0.25">
      <c r="A2078" s="19" t="s">
        <v>3686</v>
      </c>
      <c r="B2078" s="37" t="s">
        <v>678</v>
      </c>
      <c r="C2078" s="90">
        <v>44303.599027777775</v>
      </c>
      <c r="D2078" s="114">
        <v>44303.349027777775</v>
      </c>
      <c r="E2078" s="38">
        <v>44303</v>
      </c>
      <c r="F2078" s="91">
        <v>2021</v>
      </c>
      <c r="G2078" s="93">
        <v>4</v>
      </c>
      <c r="H2078" s="37" t="s">
        <v>205</v>
      </c>
      <c r="I2078" s="37" t="s">
        <v>368</v>
      </c>
      <c r="J2078" s="103">
        <v>-92.331283400294481</v>
      </c>
      <c r="K2078" s="40">
        <v>44.746074109023468</v>
      </c>
      <c r="L2078" s="74"/>
      <c r="M2078" s="272" t="s">
        <v>679</v>
      </c>
      <c r="N2078" s="74">
        <v>1</v>
      </c>
      <c r="O2078" s="94"/>
      <c r="P2078" s="118">
        <v>1</v>
      </c>
      <c r="Q2078" s="510">
        <v>180</v>
      </c>
      <c r="R2078" s="513">
        <v>180</v>
      </c>
      <c r="S2078" s="41"/>
      <c r="T2078" s="40"/>
      <c r="U2078" s="40">
        <v>7</v>
      </c>
      <c r="V2078" s="119">
        <v>1</v>
      </c>
      <c r="W2078" s="40">
        <v>100</v>
      </c>
      <c r="X2078" s="119">
        <v>1</v>
      </c>
      <c r="Y2078" s="40">
        <v>44</v>
      </c>
      <c r="Z2078" s="119">
        <v>1</v>
      </c>
      <c r="AA2078" s="368">
        <v>0</v>
      </c>
      <c r="AB2078" s="535">
        <v>5</v>
      </c>
      <c r="AC2078" s="39" t="s">
        <v>160</v>
      </c>
      <c r="AD2078" s="75" t="s">
        <v>10</v>
      </c>
      <c r="AE2078" s="95">
        <v>0</v>
      </c>
      <c r="AF2078" s="75">
        <v>0</v>
      </c>
      <c r="AG2078" s="75">
        <v>0</v>
      </c>
      <c r="AH2078" s="75">
        <v>0</v>
      </c>
      <c r="AI2078" s="75">
        <v>0</v>
      </c>
      <c r="AJ2078" s="75">
        <v>0</v>
      </c>
      <c r="AK2078" s="75">
        <v>0</v>
      </c>
      <c r="AL2078" s="95">
        <v>1</v>
      </c>
      <c r="AM2078" s="92">
        <v>0</v>
      </c>
      <c r="AN2078" s="79" t="s">
        <v>80</v>
      </c>
      <c r="AO2078" s="75">
        <v>1</v>
      </c>
      <c r="AP2078" s="75" t="s">
        <v>83</v>
      </c>
      <c r="AQ2078" s="122">
        <v>1</v>
      </c>
      <c r="AR2078" s="515" t="s">
        <v>10</v>
      </c>
      <c r="AS2078" s="95">
        <v>0</v>
      </c>
      <c r="AT2078" s="75">
        <v>0</v>
      </c>
      <c r="AU2078" s="75">
        <v>0</v>
      </c>
      <c r="AV2078" s="75">
        <v>0</v>
      </c>
      <c r="AW2078" s="123">
        <v>0</v>
      </c>
      <c r="AX2078" s="516"/>
      <c r="AY2078" s="75">
        <v>0</v>
      </c>
      <c r="AZ2078" s="77" t="s">
        <v>131</v>
      </c>
      <c r="BA2078" s="78" t="s">
        <v>131</v>
      </c>
      <c r="BB2078" s="78" t="s">
        <v>131</v>
      </c>
      <c r="BC2078" s="78" t="s">
        <v>131</v>
      </c>
      <c r="BD2078" s="78" t="s">
        <v>131</v>
      </c>
      <c r="BE2078" s="78" t="s">
        <v>131</v>
      </c>
      <c r="BF2078" s="78" t="s">
        <v>131</v>
      </c>
      <c r="BG2078" s="78" t="s">
        <v>132</v>
      </c>
      <c r="BH2078" s="75" t="s">
        <v>5970</v>
      </c>
      <c r="BI2078" s="295" t="s">
        <v>2231</v>
      </c>
      <c r="BJ2078" s="546">
        <v>1</v>
      </c>
      <c r="BK2078" s="294">
        <v>1</v>
      </c>
      <c r="BL2078" s="157">
        <v>1</v>
      </c>
      <c r="BM2078" s="548" t="s">
        <v>578</v>
      </c>
      <c r="BN2078" s="548" t="s">
        <v>578</v>
      </c>
      <c r="BO2078" s="157" t="s">
        <v>4213</v>
      </c>
      <c r="BP2078" s="548" t="s">
        <v>4216</v>
      </c>
      <c r="BQ2078" s="157" t="s">
        <v>4212</v>
      </c>
      <c r="BR2078" s="157"/>
    </row>
    <row r="2079" spans="1:70" x14ac:dyDescent="0.25">
      <c r="A2079" s="19" t="s">
        <v>3686</v>
      </c>
      <c r="B2079" s="37" t="s">
        <v>676</v>
      </c>
      <c r="C2079" s="90">
        <v>44303.0781712963</v>
      </c>
      <c r="D2079" s="114">
        <v>44302.8281712963</v>
      </c>
      <c r="E2079" s="38">
        <v>44302</v>
      </c>
      <c r="F2079" s="91">
        <v>2021</v>
      </c>
      <c r="G2079" s="93">
        <v>4</v>
      </c>
      <c r="H2079" s="37" t="s">
        <v>614</v>
      </c>
      <c r="I2079" s="37" t="s">
        <v>16</v>
      </c>
      <c r="J2079" s="103">
        <v>-92.829139459444505</v>
      </c>
      <c r="K2079" s="40">
        <v>45.05057584476468</v>
      </c>
      <c r="L2079" s="74"/>
      <c r="M2079" s="272" t="s">
        <v>16</v>
      </c>
      <c r="N2079" s="74">
        <v>0</v>
      </c>
      <c r="O2079" s="94"/>
      <c r="P2079" s="118">
        <v>1</v>
      </c>
      <c r="Q2079" s="510">
        <v>180</v>
      </c>
      <c r="R2079" s="513">
        <v>0</v>
      </c>
      <c r="S2079" s="41"/>
      <c r="T2079" s="40"/>
      <c r="U2079" s="40">
        <v>7</v>
      </c>
      <c r="V2079" s="119">
        <v>0</v>
      </c>
      <c r="W2079" s="40"/>
      <c r="X2079" s="119">
        <v>0</v>
      </c>
      <c r="Y2079" s="40"/>
      <c r="Z2079" s="119">
        <v>0</v>
      </c>
      <c r="AA2079" s="368" t="s">
        <v>16</v>
      </c>
      <c r="AB2079" s="535" t="s">
        <v>16</v>
      </c>
      <c r="AC2079" s="39" t="s">
        <v>160</v>
      </c>
      <c r="AD2079" s="75" t="s">
        <v>16</v>
      </c>
      <c r="AE2079" s="95">
        <v>-1</v>
      </c>
      <c r="AF2079" s="75">
        <v>-1</v>
      </c>
      <c r="AG2079" s="75">
        <v>-1</v>
      </c>
      <c r="AH2079" s="75">
        <v>-1</v>
      </c>
      <c r="AI2079" s="75">
        <v>-1</v>
      </c>
      <c r="AJ2079" s="75">
        <v>-1</v>
      </c>
      <c r="AK2079" s="75">
        <v>-1</v>
      </c>
      <c r="AL2079" s="95">
        <v>-1</v>
      </c>
      <c r="AM2079" s="92">
        <v>1</v>
      </c>
      <c r="AN2079" s="79" t="s">
        <v>81</v>
      </c>
      <c r="AO2079" s="75">
        <v>1</v>
      </c>
      <c r="AP2079" s="75" t="s">
        <v>84</v>
      </c>
      <c r="AQ2079" s="122">
        <v>1</v>
      </c>
      <c r="AR2079" s="515" t="s">
        <v>10</v>
      </c>
      <c r="AS2079" s="95">
        <v>0</v>
      </c>
      <c r="AT2079" s="75">
        <v>0</v>
      </c>
      <c r="AU2079" s="75">
        <v>0</v>
      </c>
      <c r="AV2079" s="75">
        <v>0</v>
      </c>
      <c r="AW2079" s="123">
        <v>0</v>
      </c>
      <c r="AX2079" s="516" t="s">
        <v>677</v>
      </c>
      <c r="AY2079" s="75">
        <v>1</v>
      </c>
      <c r="AZ2079" s="77" t="s">
        <v>5971</v>
      </c>
      <c r="BA2079" s="78" t="s">
        <v>5971</v>
      </c>
      <c r="BB2079" s="78" t="s">
        <v>5971</v>
      </c>
      <c r="BC2079" s="78" t="s">
        <v>5971</v>
      </c>
      <c r="BD2079" s="78" t="s">
        <v>5971</v>
      </c>
      <c r="BE2079" s="78" t="s">
        <v>5971</v>
      </c>
      <c r="BF2079" s="78" t="s">
        <v>5971</v>
      </c>
      <c r="BG2079" s="78" t="s">
        <v>5971</v>
      </c>
      <c r="BH2079" s="75" t="s">
        <v>5971</v>
      </c>
      <c r="BI2079" s="295" t="s">
        <v>16</v>
      </c>
      <c r="BJ2079" s="546" t="s">
        <v>16</v>
      </c>
      <c r="BK2079" s="294" t="s">
        <v>16</v>
      </c>
      <c r="BL2079" s="157" t="s">
        <v>16</v>
      </c>
      <c r="BM2079" s="548" t="s">
        <v>2343</v>
      </c>
      <c r="BN2079" s="548" t="s">
        <v>578</v>
      </c>
      <c r="BO2079" s="157" t="s">
        <v>4420</v>
      </c>
      <c r="BP2079" s="548" t="s">
        <v>4678</v>
      </c>
      <c r="BQ2079" s="157" t="s">
        <v>4287</v>
      </c>
      <c r="BR2079" s="157"/>
    </row>
    <row r="2080" spans="1:70" x14ac:dyDescent="0.25">
      <c r="A2080" s="19" t="s">
        <v>3686</v>
      </c>
      <c r="B2080" s="37" t="s">
        <v>675</v>
      </c>
      <c r="C2080" s="90">
        <v>44302.906550925924</v>
      </c>
      <c r="D2080" s="114">
        <v>44302.656550925924</v>
      </c>
      <c r="E2080" s="38">
        <v>44302</v>
      </c>
      <c r="F2080" s="91">
        <v>2021</v>
      </c>
      <c r="G2080" s="93">
        <v>4</v>
      </c>
      <c r="H2080" s="37" t="s">
        <v>610</v>
      </c>
      <c r="I2080" s="37"/>
      <c r="J2080" s="103">
        <v>-92.409208557109039</v>
      </c>
      <c r="K2080" s="40">
        <v>43.997110876854812</v>
      </c>
      <c r="L2080" s="74"/>
      <c r="M2080" s="272" t="s">
        <v>16</v>
      </c>
      <c r="N2080" s="74">
        <v>0</v>
      </c>
      <c r="O2080" s="94"/>
      <c r="P2080" s="118">
        <v>0</v>
      </c>
      <c r="Q2080" s="510"/>
      <c r="R2080" s="513"/>
      <c r="S2080" s="41"/>
      <c r="T2080" s="40"/>
      <c r="U2080" s="40"/>
      <c r="V2080" s="119">
        <v>1</v>
      </c>
      <c r="W2080" s="40">
        <v>0</v>
      </c>
      <c r="X2080" s="119">
        <v>1</v>
      </c>
      <c r="Y2080" s="40">
        <v>51</v>
      </c>
      <c r="Z2080" s="119">
        <v>0</v>
      </c>
      <c r="AA2080" s="368" t="s">
        <v>16</v>
      </c>
      <c r="AB2080" s="535" t="s">
        <v>16</v>
      </c>
      <c r="AC2080" s="39" t="s">
        <v>160</v>
      </c>
      <c r="AD2080" s="75" t="s">
        <v>16</v>
      </c>
      <c r="AE2080" s="95">
        <v>-1</v>
      </c>
      <c r="AF2080" s="75">
        <v>-1</v>
      </c>
      <c r="AG2080" s="75">
        <v>-1</v>
      </c>
      <c r="AH2080" s="75">
        <v>-1</v>
      </c>
      <c r="AI2080" s="75">
        <v>-1</v>
      </c>
      <c r="AJ2080" s="75">
        <v>-1</v>
      </c>
      <c r="AK2080" s="75">
        <v>-1</v>
      </c>
      <c r="AL2080" s="95">
        <v>-1</v>
      </c>
      <c r="AM2080" s="92">
        <v>1</v>
      </c>
      <c r="AN2080" s="79"/>
      <c r="AO2080" s="75">
        <v>0</v>
      </c>
      <c r="AP2080" s="75"/>
      <c r="AQ2080" s="122">
        <v>0</v>
      </c>
      <c r="AR2080" s="515" t="s">
        <v>16</v>
      </c>
      <c r="AS2080" s="95">
        <v>-1</v>
      </c>
      <c r="AT2080" s="75">
        <v>-1</v>
      </c>
      <c r="AU2080" s="75">
        <v>-1</v>
      </c>
      <c r="AV2080" s="75">
        <v>-1</v>
      </c>
      <c r="AW2080" s="123">
        <v>1</v>
      </c>
      <c r="AX2080" s="516"/>
      <c r="AY2080" s="75">
        <v>0</v>
      </c>
      <c r="AZ2080" s="77" t="s">
        <v>5971</v>
      </c>
      <c r="BA2080" s="78" t="s">
        <v>5971</v>
      </c>
      <c r="BB2080" s="78" t="s">
        <v>5971</v>
      </c>
      <c r="BC2080" s="78" t="s">
        <v>5971</v>
      </c>
      <c r="BD2080" s="78" t="s">
        <v>5971</v>
      </c>
      <c r="BE2080" s="78" t="s">
        <v>5971</v>
      </c>
      <c r="BF2080" s="78" t="s">
        <v>5971</v>
      </c>
      <c r="BG2080" s="78" t="s">
        <v>5971</v>
      </c>
      <c r="BH2080" s="75" t="s">
        <v>5971</v>
      </c>
      <c r="BI2080" s="295" t="s">
        <v>16</v>
      </c>
      <c r="BJ2080" s="546" t="s">
        <v>16</v>
      </c>
      <c r="BK2080" s="294" t="s">
        <v>16</v>
      </c>
      <c r="BL2080" s="157" t="s">
        <v>16</v>
      </c>
      <c r="BM2080" s="548" t="s">
        <v>1339</v>
      </c>
      <c r="BN2080" s="548" t="s">
        <v>1339</v>
      </c>
      <c r="BO2080" s="157" t="s">
        <v>4736</v>
      </c>
      <c r="BP2080" s="548" t="s">
        <v>2260</v>
      </c>
      <c r="BQ2080" s="157" t="s">
        <v>4380</v>
      </c>
      <c r="BR2080" s="157"/>
    </row>
    <row r="2081" spans="1:70" x14ac:dyDescent="0.25">
      <c r="A2081" s="19" t="s">
        <v>3686</v>
      </c>
      <c r="B2081" s="37" t="s">
        <v>674</v>
      </c>
      <c r="C2081" s="90">
        <v>44302.866944444446</v>
      </c>
      <c r="D2081" s="114">
        <v>44302.616944444446</v>
      </c>
      <c r="E2081" s="38">
        <v>44302</v>
      </c>
      <c r="F2081" s="91">
        <v>2021</v>
      </c>
      <c r="G2081" s="93">
        <v>4</v>
      </c>
      <c r="H2081" s="37" t="s">
        <v>600</v>
      </c>
      <c r="I2081" s="37" t="s">
        <v>16</v>
      </c>
      <c r="J2081" s="103">
        <v>-92.115760823008316</v>
      </c>
      <c r="K2081" s="40">
        <v>44.021346312476439</v>
      </c>
      <c r="L2081" s="74"/>
      <c r="M2081" s="272" t="s">
        <v>16</v>
      </c>
      <c r="N2081" s="74">
        <v>0</v>
      </c>
      <c r="O2081" s="94"/>
      <c r="P2081" s="118">
        <v>1</v>
      </c>
      <c r="Q2081" s="510">
        <v>180</v>
      </c>
      <c r="R2081" s="513">
        <v>120</v>
      </c>
      <c r="S2081" s="41"/>
      <c r="T2081" s="40"/>
      <c r="U2081" s="40">
        <v>8</v>
      </c>
      <c r="V2081" s="119">
        <v>1</v>
      </c>
      <c r="W2081" s="40">
        <v>0</v>
      </c>
      <c r="X2081" s="119">
        <v>1</v>
      </c>
      <c r="Y2081" s="40">
        <v>51</v>
      </c>
      <c r="Z2081" s="119">
        <v>1</v>
      </c>
      <c r="AA2081" s="368">
        <v>0</v>
      </c>
      <c r="AB2081" s="535">
        <v>20</v>
      </c>
      <c r="AC2081" s="39" t="s">
        <v>160</v>
      </c>
      <c r="AD2081" s="75" t="s">
        <v>16</v>
      </c>
      <c r="AE2081" s="95">
        <v>-1</v>
      </c>
      <c r="AF2081" s="75">
        <v>-1</v>
      </c>
      <c r="AG2081" s="75">
        <v>-1</v>
      </c>
      <c r="AH2081" s="75">
        <v>-1</v>
      </c>
      <c r="AI2081" s="75">
        <v>-1</v>
      </c>
      <c r="AJ2081" s="75">
        <v>-1</v>
      </c>
      <c r="AK2081" s="75">
        <v>-1</v>
      </c>
      <c r="AL2081" s="95">
        <v>-1</v>
      </c>
      <c r="AM2081" s="92">
        <v>1</v>
      </c>
      <c r="AN2081" s="79" t="s">
        <v>80</v>
      </c>
      <c r="AO2081" s="75">
        <v>1</v>
      </c>
      <c r="AP2081" s="75" t="s">
        <v>83</v>
      </c>
      <c r="AQ2081" s="122">
        <v>1</v>
      </c>
      <c r="AR2081" s="515" t="s">
        <v>10</v>
      </c>
      <c r="AS2081" s="95">
        <v>0</v>
      </c>
      <c r="AT2081" s="75">
        <v>0</v>
      </c>
      <c r="AU2081" s="75">
        <v>0</v>
      </c>
      <c r="AV2081" s="75">
        <v>0</v>
      </c>
      <c r="AW2081" s="123">
        <v>0</v>
      </c>
      <c r="AX2081" s="516"/>
      <c r="AY2081" s="75">
        <v>0</v>
      </c>
      <c r="AZ2081" s="77" t="s">
        <v>5971</v>
      </c>
      <c r="BA2081" s="78" t="s">
        <v>5971</v>
      </c>
      <c r="BB2081" s="78" t="s">
        <v>5971</v>
      </c>
      <c r="BC2081" s="78" t="s">
        <v>5971</v>
      </c>
      <c r="BD2081" s="78" t="s">
        <v>5971</v>
      </c>
      <c r="BE2081" s="78" t="s">
        <v>5971</v>
      </c>
      <c r="BF2081" s="78" t="s">
        <v>5971</v>
      </c>
      <c r="BG2081" s="78" t="s">
        <v>5971</v>
      </c>
      <c r="BH2081" s="75" t="s">
        <v>5971</v>
      </c>
      <c r="BI2081" s="295" t="s">
        <v>2262</v>
      </c>
      <c r="BJ2081" s="546">
        <v>1</v>
      </c>
      <c r="BK2081" s="294">
        <v>1</v>
      </c>
      <c r="BL2081" s="157">
        <v>1</v>
      </c>
      <c r="BM2081" s="548" t="s">
        <v>1339</v>
      </c>
      <c r="BN2081" s="548" t="s">
        <v>1339</v>
      </c>
      <c r="BO2081" s="157" t="s">
        <v>4364</v>
      </c>
      <c r="BP2081" s="548" t="s">
        <v>2292</v>
      </c>
      <c r="BQ2081" s="157" t="s">
        <v>4361</v>
      </c>
      <c r="BR2081" s="157"/>
    </row>
    <row r="2082" spans="1:70" x14ac:dyDescent="0.25">
      <c r="A2082" s="19" t="s">
        <v>3686</v>
      </c>
      <c r="B2082" s="37" t="s">
        <v>671</v>
      </c>
      <c r="C2082" s="90">
        <v>44302.834988425922</v>
      </c>
      <c r="D2082" s="114">
        <v>44302.584988425922</v>
      </c>
      <c r="E2082" s="38">
        <v>44302</v>
      </c>
      <c r="F2082" s="91">
        <v>2021</v>
      </c>
      <c r="G2082" s="93">
        <v>4</v>
      </c>
      <c r="H2082" s="37" t="s">
        <v>613</v>
      </c>
      <c r="I2082" s="37" t="s">
        <v>16</v>
      </c>
      <c r="J2082" s="103">
        <v>-90.276737921023994</v>
      </c>
      <c r="K2082" s="40">
        <v>43.028880385722061</v>
      </c>
      <c r="L2082" s="74"/>
      <c r="M2082" s="272" t="s">
        <v>672</v>
      </c>
      <c r="N2082" s="74">
        <v>1</v>
      </c>
      <c r="O2082" s="94"/>
      <c r="P2082" s="118">
        <v>1</v>
      </c>
      <c r="Q2082" s="510">
        <v>180</v>
      </c>
      <c r="R2082" s="513">
        <v>120</v>
      </c>
      <c r="S2082" s="41"/>
      <c r="T2082" s="40"/>
      <c r="U2082" s="40">
        <v>8</v>
      </c>
      <c r="V2082" s="119">
        <v>0</v>
      </c>
      <c r="W2082" s="40"/>
      <c r="X2082" s="119">
        <v>0</v>
      </c>
      <c r="Y2082" s="40"/>
      <c r="Z2082" s="119">
        <v>0</v>
      </c>
      <c r="AA2082" s="368" t="s">
        <v>16</v>
      </c>
      <c r="AB2082" s="535" t="s">
        <v>16</v>
      </c>
      <c r="AC2082" s="39" t="s">
        <v>160</v>
      </c>
      <c r="AD2082" s="75" t="s">
        <v>10</v>
      </c>
      <c r="AE2082" s="95">
        <v>0</v>
      </c>
      <c r="AF2082" s="75">
        <v>0</v>
      </c>
      <c r="AG2082" s="75">
        <v>0</v>
      </c>
      <c r="AH2082" s="75">
        <v>0</v>
      </c>
      <c r="AI2082" s="75">
        <v>0</v>
      </c>
      <c r="AJ2082" s="75">
        <v>0</v>
      </c>
      <c r="AK2082" s="75">
        <v>0</v>
      </c>
      <c r="AL2082" s="95">
        <v>1</v>
      </c>
      <c r="AM2082" s="92">
        <v>0</v>
      </c>
      <c r="AN2082" s="79" t="s">
        <v>80</v>
      </c>
      <c r="AO2082" s="75">
        <v>1</v>
      </c>
      <c r="AP2082" s="75" t="s">
        <v>83</v>
      </c>
      <c r="AQ2082" s="122">
        <v>1</v>
      </c>
      <c r="AR2082" s="515" t="s">
        <v>10</v>
      </c>
      <c r="AS2082" s="95">
        <v>0</v>
      </c>
      <c r="AT2082" s="75">
        <v>0</v>
      </c>
      <c r="AU2082" s="75">
        <v>0</v>
      </c>
      <c r="AV2082" s="75">
        <v>0</v>
      </c>
      <c r="AW2082" s="123">
        <v>0</v>
      </c>
      <c r="AX2082" s="516" t="s">
        <v>673</v>
      </c>
      <c r="AY2082" s="75">
        <v>1</v>
      </c>
      <c r="AZ2082" s="77" t="s">
        <v>131</v>
      </c>
      <c r="BA2082" s="78" t="s">
        <v>131</v>
      </c>
      <c r="BB2082" s="78" t="s">
        <v>131</v>
      </c>
      <c r="BC2082" s="78" t="s">
        <v>131</v>
      </c>
      <c r="BD2082" s="78" t="s">
        <v>131</v>
      </c>
      <c r="BE2082" s="78" t="s">
        <v>131</v>
      </c>
      <c r="BF2082" s="78" t="s">
        <v>131</v>
      </c>
      <c r="BG2082" s="78" t="s">
        <v>132</v>
      </c>
      <c r="BH2082" s="75" t="s">
        <v>5970</v>
      </c>
      <c r="BI2082" s="295" t="s">
        <v>2264</v>
      </c>
      <c r="BJ2082" s="546">
        <v>1</v>
      </c>
      <c r="BK2082" s="294" t="s">
        <v>16</v>
      </c>
      <c r="BL2082" s="157" t="s">
        <v>16</v>
      </c>
      <c r="BM2082" s="548" t="s">
        <v>1345</v>
      </c>
      <c r="BN2082" s="548" t="s">
        <v>2341</v>
      </c>
      <c r="BO2082" s="157" t="s">
        <v>4748</v>
      </c>
      <c r="BP2082" s="548" t="s">
        <v>4749</v>
      </c>
      <c r="BQ2082" s="157" t="s">
        <v>4747</v>
      </c>
      <c r="BR2082" s="157"/>
    </row>
    <row r="2083" spans="1:70" x14ac:dyDescent="0.25">
      <c r="A2083" s="19" t="s">
        <v>3686</v>
      </c>
      <c r="B2083" s="37" t="s">
        <v>669</v>
      </c>
      <c r="C2083" s="90">
        <v>44302.751956018517</v>
      </c>
      <c r="D2083" s="114">
        <v>44302.501956018517</v>
      </c>
      <c r="E2083" s="38">
        <v>44302</v>
      </c>
      <c r="F2083" s="91">
        <v>2021</v>
      </c>
      <c r="G2083" s="93">
        <v>4</v>
      </c>
      <c r="H2083" s="37" t="s">
        <v>605</v>
      </c>
      <c r="I2083" s="37"/>
      <c r="J2083" s="103">
        <v>-90.974089899999996</v>
      </c>
      <c r="K2083" s="40">
        <v>43.725771799999997</v>
      </c>
      <c r="L2083" s="74"/>
      <c r="M2083" s="272" t="s">
        <v>670</v>
      </c>
      <c r="N2083" s="74">
        <v>1</v>
      </c>
      <c r="O2083" s="94"/>
      <c r="P2083" s="118">
        <v>1</v>
      </c>
      <c r="Q2083" s="510">
        <v>0</v>
      </c>
      <c r="R2083" s="513">
        <v>60</v>
      </c>
      <c r="S2083" s="41"/>
      <c r="T2083" s="40"/>
      <c r="U2083" s="40">
        <v>7.5</v>
      </c>
      <c r="V2083" s="119">
        <v>1</v>
      </c>
      <c r="W2083" s="40">
        <v>100</v>
      </c>
      <c r="X2083" s="119">
        <v>0</v>
      </c>
      <c r="Y2083" s="40"/>
      <c r="Z2083" s="119">
        <v>1</v>
      </c>
      <c r="AA2083" s="368">
        <v>0</v>
      </c>
      <c r="AB2083" s="535">
        <v>2</v>
      </c>
      <c r="AC2083" s="39" t="s">
        <v>160</v>
      </c>
      <c r="AD2083" s="75" t="s">
        <v>8</v>
      </c>
      <c r="AE2083" s="95">
        <v>0</v>
      </c>
      <c r="AF2083" s="75">
        <v>1</v>
      </c>
      <c r="AG2083" s="75">
        <v>0</v>
      </c>
      <c r="AH2083" s="75">
        <v>0</v>
      </c>
      <c r="AI2083" s="75">
        <v>0</v>
      </c>
      <c r="AJ2083" s="75">
        <v>0</v>
      </c>
      <c r="AK2083" s="75">
        <v>0</v>
      </c>
      <c r="AL2083" s="95">
        <v>0</v>
      </c>
      <c r="AM2083" s="92">
        <v>0</v>
      </c>
      <c r="AN2083" s="79" t="s">
        <v>80</v>
      </c>
      <c r="AO2083" s="75">
        <v>1</v>
      </c>
      <c r="AP2083" s="75" t="s">
        <v>83</v>
      </c>
      <c r="AQ2083" s="122">
        <v>1</v>
      </c>
      <c r="AR2083" s="515" t="s">
        <v>10</v>
      </c>
      <c r="AS2083" s="95">
        <v>0</v>
      </c>
      <c r="AT2083" s="75">
        <v>0</v>
      </c>
      <c r="AU2083" s="75">
        <v>0</v>
      </c>
      <c r="AV2083" s="75">
        <v>0</v>
      </c>
      <c r="AW2083" s="123">
        <v>0</v>
      </c>
      <c r="AX2083" s="516"/>
      <c r="AY2083" s="75">
        <v>0</v>
      </c>
      <c r="AZ2083" s="77" t="s">
        <v>131</v>
      </c>
      <c r="BA2083" s="78" t="s">
        <v>132</v>
      </c>
      <c r="BB2083" s="78" t="s">
        <v>131</v>
      </c>
      <c r="BC2083" s="78" t="s">
        <v>131</v>
      </c>
      <c r="BD2083" s="78" t="s">
        <v>131</v>
      </c>
      <c r="BE2083" s="78" t="s">
        <v>131</v>
      </c>
      <c r="BF2083" s="78" t="s">
        <v>131</v>
      </c>
      <c r="BG2083" s="78" t="s">
        <v>131</v>
      </c>
      <c r="BH2083" s="75" t="s">
        <v>5970</v>
      </c>
      <c r="BI2083" s="295" t="s">
        <v>2293</v>
      </c>
      <c r="BJ2083" s="546">
        <v>1</v>
      </c>
      <c r="BK2083" s="294" t="s">
        <v>16</v>
      </c>
      <c r="BL2083" s="157" t="s">
        <v>16</v>
      </c>
      <c r="BM2083" s="548" t="s">
        <v>1342</v>
      </c>
      <c r="BN2083" s="548" t="s">
        <v>1342</v>
      </c>
      <c r="BO2083" s="157" t="s">
        <v>4384</v>
      </c>
      <c r="BP2083" s="548" t="s">
        <v>4386</v>
      </c>
      <c r="BQ2083" s="157" t="s">
        <v>4383</v>
      </c>
      <c r="BR2083" s="157"/>
    </row>
    <row r="2084" spans="1:70" x14ac:dyDescent="0.25">
      <c r="A2084" s="19" t="s">
        <v>3686</v>
      </c>
      <c r="B2084" s="37" t="s">
        <v>668</v>
      </c>
      <c r="C2084" s="90">
        <v>44302.743726851855</v>
      </c>
      <c r="D2084" s="114">
        <v>44302.493726851855</v>
      </c>
      <c r="E2084" s="38">
        <v>44302</v>
      </c>
      <c r="F2084" s="91">
        <v>2021</v>
      </c>
      <c r="G2084" s="93">
        <v>4</v>
      </c>
      <c r="H2084" s="37" t="s">
        <v>605</v>
      </c>
      <c r="I2084" s="37"/>
      <c r="J2084" s="103">
        <v>-90.974070400000002</v>
      </c>
      <c r="K2084" s="40">
        <v>43.725746600000001</v>
      </c>
      <c r="L2084" s="74"/>
      <c r="M2084" s="272" t="s">
        <v>16</v>
      </c>
      <c r="N2084" s="74">
        <v>0</v>
      </c>
      <c r="O2084" s="94"/>
      <c r="P2084" s="118">
        <v>1</v>
      </c>
      <c r="Q2084" s="510">
        <v>0</v>
      </c>
      <c r="R2084" s="513">
        <v>60</v>
      </c>
      <c r="S2084" s="41"/>
      <c r="T2084" s="40"/>
      <c r="U2084" s="40">
        <v>7.5</v>
      </c>
      <c r="V2084" s="119">
        <v>0</v>
      </c>
      <c r="W2084" s="40"/>
      <c r="X2084" s="119">
        <v>0</v>
      </c>
      <c r="Y2084" s="40"/>
      <c r="Z2084" s="119">
        <v>0</v>
      </c>
      <c r="AA2084" s="368" t="s">
        <v>16</v>
      </c>
      <c r="AB2084" s="535" t="s">
        <v>16</v>
      </c>
      <c r="AC2084" s="39" t="s">
        <v>160</v>
      </c>
      <c r="AD2084" s="75" t="s">
        <v>16</v>
      </c>
      <c r="AE2084" s="95">
        <v>-1</v>
      </c>
      <c r="AF2084" s="75">
        <v>-1</v>
      </c>
      <c r="AG2084" s="75">
        <v>-1</v>
      </c>
      <c r="AH2084" s="75">
        <v>-1</v>
      </c>
      <c r="AI2084" s="75">
        <v>-1</v>
      </c>
      <c r="AJ2084" s="75">
        <v>-1</v>
      </c>
      <c r="AK2084" s="75">
        <v>-1</v>
      </c>
      <c r="AL2084" s="95">
        <v>-1</v>
      </c>
      <c r="AM2084" s="92">
        <v>1</v>
      </c>
      <c r="AN2084" s="79"/>
      <c r="AO2084" s="75">
        <v>0</v>
      </c>
      <c r="AP2084" s="75"/>
      <c r="AQ2084" s="122">
        <v>0</v>
      </c>
      <c r="AR2084" s="515" t="s">
        <v>16</v>
      </c>
      <c r="AS2084" s="95">
        <v>-1</v>
      </c>
      <c r="AT2084" s="75">
        <v>-1</v>
      </c>
      <c r="AU2084" s="75">
        <v>-1</v>
      </c>
      <c r="AV2084" s="75">
        <v>-1</v>
      </c>
      <c r="AW2084" s="123">
        <v>1</v>
      </c>
      <c r="AX2084" s="516"/>
      <c r="AY2084" s="75">
        <v>0</v>
      </c>
      <c r="AZ2084" s="77" t="s">
        <v>5971</v>
      </c>
      <c r="BA2084" s="78" t="s">
        <v>5971</v>
      </c>
      <c r="BB2084" s="78" t="s">
        <v>5971</v>
      </c>
      <c r="BC2084" s="78" t="s">
        <v>5971</v>
      </c>
      <c r="BD2084" s="78" t="s">
        <v>5971</v>
      </c>
      <c r="BE2084" s="78" t="s">
        <v>5971</v>
      </c>
      <c r="BF2084" s="78" t="s">
        <v>5971</v>
      </c>
      <c r="BG2084" s="78" t="s">
        <v>5971</v>
      </c>
      <c r="BH2084" s="75" t="s">
        <v>5971</v>
      </c>
      <c r="BI2084" s="295" t="s">
        <v>2293</v>
      </c>
      <c r="BJ2084" s="546">
        <v>1</v>
      </c>
      <c r="BK2084" s="294" t="s">
        <v>16</v>
      </c>
      <c r="BL2084" s="157" t="s">
        <v>16</v>
      </c>
      <c r="BM2084" s="548" t="s">
        <v>1342</v>
      </c>
      <c r="BN2084" s="548" t="s">
        <v>1342</v>
      </c>
      <c r="BO2084" s="157" t="s">
        <v>4384</v>
      </c>
      <c r="BP2084" s="548" t="s">
        <v>4386</v>
      </c>
      <c r="BQ2084" s="157" t="s">
        <v>4383</v>
      </c>
      <c r="BR2084" s="157"/>
    </row>
    <row r="2085" spans="1:70" x14ac:dyDescent="0.25">
      <c r="A2085" s="19" t="s">
        <v>3686</v>
      </c>
      <c r="B2085" s="37" t="s">
        <v>666</v>
      </c>
      <c r="C2085" s="90">
        <v>44302.645868055559</v>
      </c>
      <c r="D2085" s="114">
        <v>44302.395868055559</v>
      </c>
      <c r="E2085" s="38">
        <v>44302</v>
      </c>
      <c r="F2085" s="91">
        <v>2021</v>
      </c>
      <c r="G2085" s="93">
        <v>4</v>
      </c>
      <c r="H2085" s="37" t="s">
        <v>475</v>
      </c>
      <c r="I2085" s="37"/>
      <c r="J2085" s="103">
        <v>-92.250203378584459</v>
      </c>
      <c r="K2085" s="40">
        <v>44.302601600107089</v>
      </c>
      <c r="L2085" s="74"/>
      <c r="M2085" s="272" t="s">
        <v>16</v>
      </c>
      <c r="N2085" s="74">
        <v>0</v>
      </c>
      <c r="O2085" s="94"/>
      <c r="P2085" s="118">
        <v>0</v>
      </c>
      <c r="Q2085" s="510"/>
      <c r="R2085" s="513"/>
      <c r="S2085" s="41"/>
      <c r="T2085" s="40"/>
      <c r="U2085" s="40"/>
      <c r="V2085" s="119">
        <v>0</v>
      </c>
      <c r="W2085" s="40"/>
      <c r="X2085" s="119">
        <v>0</v>
      </c>
      <c r="Y2085" s="40"/>
      <c r="Z2085" s="119">
        <v>0</v>
      </c>
      <c r="AA2085" s="368" t="s">
        <v>16</v>
      </c>
      <c r="AB2085" s="535" t="s">
        <v>16</v>
      </c>
      <c r="AC2085" s="39" t="s">
        <v>160</v>
      </c>
      <c r="AD2085" s="75" t="s">
        <v>16</v>
      </c>
      <c r="AE2085" s="95">
        <v>-1</v>
      </c>
      <c r="AF2085" s="75">
        <v>-1</v>
      </c>
      <c r="AG2085" s="75">
        <v>-1</v>
      </c>
      <c r="AH2085" s="75">
        <v>-1</v>
      </c>
      <c r="AI2085" s="75">
        <v>-1</v>
      </c>
      <c r="AJ2085" s="75">
        <v>-1</v>
      </c>
      <c r="AK2085" s="75">
        <v>-1</v>
      </c>
      <c r="AL2085" s="95">
        <v>-1</v>
      </c>
      <c r="AM2085" s="92">
        <v>1</v>
      </c>
      <c r="AN2085" s="79"/>
      <c r="AO2085" s="75">
        <v>0</v>
      </c>
      <c r="AP2085" s="75"/>
      <c r="AQ2085" s="122">
        <v>0</v>
      </c>
      <c r="AR2085" s="515" t="s">
        <v>16</v>
      </c>
      <c r="AS2085" s="95">
        <v>-1</v>
      </c>
      <c r="AT2085" s="75">
        <v>-1</v>
      </c>
      <c r="AU2085" s="75">
        <v>-1</v>
      </c>
      <c r="AV2085" s="75">
        <v>-1</v>
      </c>
      <c r="AW2085" s="123">
        <v>1</v>
      </c>
      <c r="AX2085" s="516" t="s">
        <v>667</v>
      </c>
      <c r="AY2085" s="75">
        <v>1</v>
      </c>
      <c r="AZ2085" s="77" t="s">
        <v>5971</v>
      </c>
      <c r="BA2085" s="78" t="s">
        <v>5971</v>
      </c>
      <c r="BB2085" s="78" t="s">
        <v>5971</v>
      </c>
      <c r="BC2085" s="78" t="s">
        <v>5971</v>
      </c>
      <c r="BD2085" s="78" t="s">
        <v>5971</v>
      </c>
      <c r="BE2085" s="78" t="s">
        <v>5971</v>
      </c>
      <c r="BF2085" s="78" t="s">
        <v>5971</v>
      </c>
      <c r="BG2085" s="78" t="s">
        <v>5971</v>
      </c>
      <c r="BH2085" s="75" t="s">
        <v>5971</v>
      </c>
      <c r="BI2085" s="295" t="s">
        <v>2237</v>
      </c>
      <c r="BJ2085" s="546">
        <v>1</v>
      </c>
      <c r="BK2085" s="294" t="s">
        <v>16</v>
      </c>
      <c r="BL2085" s="157" t="s">
        <v>16</v>
      </c>
      <c r="BM2085" s="548" t="s">
        <v>1339</v>
      </c>
      <c r="BN2085" s="548" t="s">
        <v>1339</v>
      </c>
      <c r="BO2085" s="157" t="s">
        <v>4648</v>
      </c>
      <c r="BP2085" s="548" t="s">
        <v>2237</v>
      </c>
      <c r="BQ2085" s="157" t="s">
        <v>4330</v>
      </c>
      <c r="BR2085" s="157"/>
    </row>
    <row r="2086" spans="1:70" x14ac:dyDescent="0.25">
      <c r="A2086" s="19" t="s">
        <v>3686</v>
      </c>
      <c r="B2086" s="37" t="s">
        <v>664</v>
      </c>
      <c r="C2086" s="90">
        <v>44300.861041666663</v>
      </c>
      <c r="D2086" s="114">
        <v>44300.611041666663</v>
      </c>
      <c r="E2086" s="38">
        <v>44300</v>
      </c>
      <c r="F2086" s="91">
        <v>2021</v>
      </c>
      <c r="G2086" s="93">
        <v>4</v>
      </c>
      <c r="H2086" s="37" t="s">
        <v>461</v>
      </c>
      <c r="I2086" s="37" t="s">
        <v>154</v>
      </c>
      <c r="J2086" s="103">
        <v>-92.14708669119716</v>
      </c>
      <c r="K2086" s="40">
        <v>44.793250216212861</v>
      </c>
      <c r="L2086" s="74"/>
      <c r="M2086" s="272" t="s">
        <v>16</v>
      </c>
      <c r="N2086" s="74">
        <v>0</v>
      </c>
      <c r="O2086" s="94"/>
      <c r="P2086" s="118">
        <v>1</v>
      </c>
      <c r="Q2086" s="510">
        <v>80</v>
      </c>
      <c r="R2086" s="513">
        <v>180</v>
      </c>
      <c r="S2086" s="41"/>
      <c r="T2086" s="40"/>
      <c r="U2086" s="40">
        <v>7</v>
      </c>
      <c r="V2086" s="119">
        <v>1</v>
      </c>
      <c r="W2086" s="40">
        <v>0</v>
      </c>
      <c r="X2086" s="119">
        <v>1</v>
      </c>
      <c r="Y2086" s="40">
        <v>45</v>
      </c>
      <c r="Z2086" s="119">
        <v>1</v>
      </c>
      <c r="AA2086" s="368">
        <v>0</v>
      </c>
      <c r="AB2086" s="535">
        <v>0</v>
      </c>
      <c r="AC2086" s="39" t="s">
        <v>160</v>
      </c>
      <c r="AD2086" s="75" t="s">
        <v>665</v>
      </c>
      <c r="AE2086" s="95">
        <v>0</v>
      </c>
      <c r="AF2086" s="75">
        <v>0</v>
      </c>
      <c r="AG2086" s="75">
        <v>0</v>
      </c>
      <c r="AH2086" s="75">
        <v>1</v>
      </c>
      <c r="AI2086" s="75">
        <v>0</v>
      </c>
      <c r="AJ2086" s="75">
        <v>0</v>
      </c>
      <c r="AK2086" s="75">
        <v>0</v>
      </c>
      <c r="AL2086" s="95">
        <v>1</v>
      </c>
      <c r="AM2086" s="92">
        <v>0</v>
      </c>
      <c r="AN2086" s="79" t="s">
        <v>80</v>
      </c>
      <c r="AO2086" s="75">
        <v>1</v>
      </c>
      <c r="AP2086" s="75" t="s">
        <v>83</v>
      </c>
      <c r="AQ2086" s="122">
        <v>1</v>
      </c>
      <c r="AR2086" s="515" t="s">
        <v>10</v>
      </c>
      <c r="AS2086" s="95">
        <v>0</v>
      </c>
      <c r="AT2086" s="75">
        <v>0</v>
      </c>
      <c r="AU2086" s="75">
        <v>0</v>
      </c>
      <c r="AV2086" s="75">
        <v>0</v>
      </c>
      <c r="AW2086" s="123">
        <v>0</v>
      </c>
      <c r="AX2086" s="516"/>
      <c r="AY2086" s="75">
        <v>0</v>
      </c>
      <c r="AZ2086" s="77" t="s">
        <v>131</v>
      </c>
      <c r="BA2086" s="78" t="s">
        <v>131</v>
      </c>
      <c r="BB2086" s="78" t="s">
        <v>131</v>
      </c>
      <c r="BC2086" s="78" t="s">
        <v>132</v>
      </c>
      <c r="BD2086" s="78" t="s">
        <v>131</v>
      </c>
      <c r="BE2086" s="78" t="s">
        <v>131</v>
      </c>
      <c r="BF2086" s="78" t="s">
        <v>131</v>
      </c>
      <c r="BG2086" s="78" t="s">
        <v>132</v>
      </c>
      <c r="BH2086" s="75" t="s">
        <v>5970</v>
      </c>
      <c r="BI2086" s="295" t="s">
        <v>2270</v>
      </c>
      <c r="BJ2086" s="546">
        <v>1</v>
      </c>
      <c r="BK2086" s="294">
        <v>1</v>
      </c>
      <c r="BL2086" s="157">
        <v>1</v>
      </c>
      <c r="BM2086" s="548" t="s">
        <v>578</v>
      </c>
      <c r="BN2086" s="548" t="s">
        <v>578</v>
      </c>
      <c r="BO2086" s="157" t="s">
        <v>4317</v>
      </c>
      <c r="BP2086" s="548" t="s">
        <v>2270</v>
      </c>
      <c r="BQ2086" s="157" t="s">
        <v>4316</v>
      </c>
      <c r="BR2086" s="157"/>
    </row>
    <row r="2087" spans="1:70" x14ac:dyDescent="0.25">
      <c r="A2087" s="19" t="s">
        <v>3686</v>
      </c>
      <c r="B2087" s="37" t="s">
        <v>663</v>
      </c>
      <c r="C2087" s="90">
        <v>44299.093414351853</v>
      </c>
      <c r="D2087" s="114">
        <v>44298.843414351853</v>
      </c>
      <c r="E2087" s="38">
        <v>44298</v>
      </c>
      <c r="F2087" s="91">
        <v>2021</v>
      </c>
      <c r="G2087" s="93">
        <v>4</v>
      </c>
      <c r="H2087" s="37" t="s">
        <v>614</v>
      </c>
      <c r="I2087" s="37"/>
      <c r="J2087" s="103">
        <v>-92.829354981783524</v>
      </c>
      <c r="K2087" s="40">
        <v>45.050538080760283</v>
      </c>
      <c r="L2087" s="74"/>
      <c r="M2087" s="272" t="s">
        <v>16</v>
      </c>
      <c r="N2087" s="74">
        <v>0</v>
      </c>
      <c r="O2087" s="94"/>
      <c r="P2087" s="118">
        <v>0</v>
      </c>
      <c r="Q2087" s="510"/>
      <c r="R2087" s="513"/>
      <c r="S2087" s="41"/>
      <c r="T2087" s="40"/>
      <c r="U2087" s="40"/>
      <c r="V2087" s="119">
        <v>0</v>
      </c>
      <c r="W2087" s="40"/>
      <c r="X2087" s="119">
        <v>0</v>
      </c>
      <c r="Y2087" s="40"/>
      <c r="Z2087" s="119">
        <v>0</v>
      </c>
      <c r="AA2087" s="368" t="s">
        <v>16</v>
      </c>
      <c r="AB2087" s="535" t="s">
        <v>16</v>
      </c>
      <c r="AC2087" s="39"/>
      <c r="AD2087" s="75" t="s">
        <v>16</v>
      </c>
      <c r="AE2087" s="95">
        <v>-1</v>
      </c>
      <c r="AF2087" s="75">
        <v>-1</v>
      </c>
      <c r="AG2087" s="75">
        <v>-1</v>
      </c>
      <c r="AH2087" s="75">
        <v>-1</v>
      </c>
      <c r="AI2087" s="75">
        <v>-1</v>
      </c>
      <c r="AJ2087" s="75">
        <v>-1</v>
      </c>
      <c r="AK2087" s="75">
        <v>-1</v>
      </c>
      <c r="AL2087" s="95">
        <v>-1</v>
      </c>
      <c r="AM2087" s="92">
        <v>1</v>
      </c>
      <c r="AN2087" s="79"/>
      <c r="AO2087" s="75">
        <v>0</v>
      </c>
      <c r="AP2087" s="75"/>
      <c r="AQ2087" s="122">
        <v>0</v>
      </c>
      <c r="AR2087" s="515" t="s">
        <v>16</v>
      </c>
      <c r="AS2087" s="95">
        <v>-1</v>
      </c>
      <c r="AT2087" s="75">
        <v>-1</v>
      </c>
      <c r="AU2087" s="75">
        <v>-1</v>
      </c>
      <c r="AV2087" s="75">
        <v>-1</v>
      </c>
      <c r="AW2087" s="123">
        <v>1</v>
      </c>
      <c r="AX2087" s="516"/>
      <c r="AY2087" s="75">
        <v>0</v>
      </c>
      <c r="AZ2087" s="77" t="s">
        <v>5971</v>
      </c>
      <c r="BA2087" s="78" t="s">
        <v>5971</v>
      </c>
      <c r="BB2087" s="78" t="s">
        <v>5971</v>
      </c>
      <c r="BC2087" s="78" t="s">
        <v>5971</v>
      </c>
      <c r="BD2087" s="78" t="s">
        <v>5971</v>
      </c>
      <c r="BE2087" s="78" t="s">
        <v>5971</v>
      </c>
      <c r="BF2087" s="78" t="s">
        <v>5971</v>
      </c>
      <c r="BG2087" s="78" t="s">
        <v>5971</v>
      </c>
      <c r="BH2087" s="75" t="s">
        <v>5971</v>
      </c>
      <c r="BI2087" s="295" t="s">
        <v>16</v>
      </c>
      <c r="BJ2087" s="546" t="s">
        <v>16</v>
      </c>
      <c r="BK2087" s="294" t="s">
        <v>16</v>
      </c>
      <c r="BL2087" s="157" t="s">
        <v>16</v>
      </c>
      <c r="BM2087" s="548" t="s">
        <v>2343</v>
      </c>
      <c r="BN2087" s="548" t="s">
        <v>578</v>
      </c>
      <c r="BO2087" s="157" t="s">
        <v>4420</v>
      </c>
      <c r="BP2087" s="548" t="s">
        <v>4678</v>
      </c>
      <c r="BQ2087" s="157" t="s">
        <v>4287</v>
      </c>
      <c r="BR2087" s="157"/>
    </row>
    <row r="2088" spans="1:70" x14ac:dyDescent="0.25">
      <c r="A2088" s="19" t="s">
        <v>3686</v>
      </c>
      <c r="B2088" s="37" t="s">
        <v>662</v>
      </c>
      <c r="C2088" s="90">
        <v>44298.879537037035</v>
      </c>
      <c r="D2088" s="114">
        <v>44298.629537037035</v>
      </c>
      <c r="E2088" s="38">
        <v>44298</v>
      </c>
      <c r="F2088" s="91">
        <v>2021</v>
      </c>
      <c r="G2088" s="93">
        <v>4</v>
      </c>
      <c r="H2088" s="37" t="s">
        <v>614</v>
      </c>
      <c r="I2088" s="37"/>
      <c r="J2088" s="103">
        <v>-92.829586375312687</v>
      </c>
      <c r="K2088" s="40">
        <v>45.050514832743332</v>
      </c>
      <c r="L2088" s="74"/>
      <c r="M2088" s="272" t="s">
        <v>16</v>
      </c>
      <c r="N2088" s="74">
        <v>0</v>
      </c>
      <c r="O2088" s="94"/>
      <c r="P2088" s="118">
        <v>1</v>
      </c>
      <c r="Q2088" s="510">
        <v>120</v>
      </c>
      <c r="R2088" s="513">
        <v>60</v>
      </c>
      <c r="S2088" s="41"/>
      <c r="T2088" s="40"/>
      <c r="U2088" s="40">
        <v>7.5</v>
      </c>
      <c r="V2088" s="119">
        <v>1</v>
      </c>
      <c r="W2088" s="40">
        <v>100</v>
      </c>
      <c r="X2088" s="119">
        <v>1</v>
      </c>
      <c r="Y2088" s="40">
        <v>43</v>
      </c>
      <c r="Z2088" s="119">
        <v>1</v>
      </c>
      <c r="AA2088" s="368">
        <v>0</v>
      </c>
      <c r="AB2088" s="535">
        <v>0</v>
      </c>
      <c r="AC2088" s="39" t="s">
        <v>160</v>
      </c>
      <c r="AD2088" s="75" t="s">
        <v>16</v>
      </c>
      <c r="AE2088" s="95">
        <v>-1</v>
      </c>
      <c r="AF2088" s="75">
        <v>-1</v>
      </c>
      <c r="AG2088" s="75">
        <v>-1</v>
      </c>
      <c r="AH2088" s="75">
        <v>-1</v>
      </c>
      <c r="AI2088" s="75">
        <v>-1</v>
      </c>
      <c r="AJ2088" s="75">
        <v>-1</v>
      </c>
      <c r="AK2088" s="75">
        <v>-1</v>
      </c>
      <c r="AL2088" s="95">
        <v>-1</v>
      </c>
      <c r="AM2088" s="92">
        <v>1</v>
      </c>
      <c r="AN2088" s="79"/>
      <c r="AO2088" s="75">
        <v>0</v>
      </c>
      <c r="AP2088" s="75"/>
      <c r="AQ2088" s="122">
        <v>0</v>
      </c>
      <c r="AR2088" s="515" t="s">
        <v>16</v>
      </c>
      <c r="AS2088" s="95">
        <v>-1</v>
      </c>
      <c r="AT2088" s="75">
        <v>-1</v>
      </c>
      <c r="AU2088" s="75">
        <v>-1</v>
      </c>
      <c r="AV2088" s="75">
        <v>-1</v>
      </c>
      <c r="AW2088" s="123">
        <v>1</v>
      </c>
      <c r="AX2088" s="516"/>
      <c r="AY2088" s="75">
        <v>0</v>
      </c>
      <c r="AZ2088" s="77" t="s">
        <v>5971</v>
      </c>
      <c r="BA2088" s="78" t="s">
        <v>5971</v>
      </c>
      <c r="BB2088" s="78" t="s">
        <v>5971</v>
      </c>
      <c r="BC2088" s="78" t="s">
        <v>5971</v>
      </c>
      <c r="BD2088" s="78" t="s">
        <v>5971</v>
      </c>
      <c r="BE2088" s="78" t="s">
        <v>5971</v>
      </c>
      <c r="BF2088" s="78" t="s">
        <v>5971</v>
      </c>
      <c r="BG2088" s="78" t="s">
        <v>5971</v>
      </c>
      <c r="BH2088" s="75" t="s">
        <v>5971</v>
      </c>
      <c r="BI2088" s="295" t="s">
        <v>16</v>
      </c>
      <c r="BJ2088" s="546" t="s">
        <v>16</v>
      </c>
      <c r="BK2088" s="294" t="s">
        <v>16</v>
      </c>
      <c r="BL2088" s="157" t="s">
        <v>16</v>
      </c>
      <c r="BM2088" s="548" t="s">
        <v>2343</v>
      </c>
      <c r="BN2088" s="548" t="s">
        <v>578</v>
      </c>
      <c r="BO2088" s="157" t="s">
        <v>4420</v>
      </c>
      <c r="BP2088" s="548" t="s">
        <v>4678</v>
      </c>
      <c r="BQ2088" s="157" t="s">
        <v>4287</v>
      </c>
      <c r="BR2088" s="157"/>
    </row>
    <row r="2089" spans="1:70" x14ac:dyDescent="0.25">
      <c r="A2089" s="19" t="s">
        <v>3686</v>
      </c>
      <c r="B2089" s="37" t="s">
        <v>661</v>
      </c>
      <c r="C2089" s="90">
        <v>44298.861215277779</v>
      </c>
      <c r="D2089" s="114">
        <v>44298.611215277779</v>
      </c>
      <c r="E2089" s="38">
        <v>44298</v>
      </c>
      <c r="F2089" s="91">
        <v>2021</v>
      </c>
      <c r="G2089" s="93">
        <v>4</v>
      </c>
      <c r="H2089" s="37" t="s">
        <v>614</v>
      </c>
      <c r="I2089" s="37" t="s">
        <v>16</v>
      </c>
      <c r="J2089" s="103">
        <v>-92.829552730269825</v>
      </c>
      <c r="K2089" s="40">
        <v>45.050559773567308</v>
      </c>
      <c r="L2089" s="74"/>
      <c r="M2089" s="272" t="s">
        <v>16</v>
      </c>
      <c r="N2089" s="74">
        <v>0</v>
      </c>
      <c r="O2089" s="94"/>
      <c r="P2089" s="118">
        <v>0</v>
      </c>
      <c r="Q2089" s="510"/>
      <c r="R2089" s="513"/>
      <c r="S2089" s="41"/>
      <c r="T2089" s="40"/>
      <c r="U2089" s="40"/>
      <c r="V2089" s="119">
        <v>0</v>
      </c>
      <c r="W2089" s="40"/>
      <c r="X2089" s="119">
        <v>1</v>
      </c>
      <c r="Y2089" s="40">
        <v>70</v>
      </c>
      <c r="Z2089" s="119">
        <v>0</v>
      </c>
      <c r="AA2089" s="368" t="s">
        <v>16</v>
      </c>
      <c r="AB2089" s="535" t="s">
        <v>16</v>
      </c>
      <c r="AC2089" s="39" t="s">
        <v>160</v>
      </c>
      <c r="AD2089" s="75" t="s">
        <v>16</v>
      </c>
      <c r="AE2089" s="95">
        <v>-1</v>
      </c>
      <c r="AF2089" s="75">
        <v>-1</v>
      </c>
      <c r="AG2089" s="75">
        <v>-1</v>
      </c>
      <c r="AH2089" s="75">
        <v>-1</v>
      </c>
      <c r="AI2089" s="75">
        <v>-1</v>
      </c>
      <c r="AJ2089" s="75">
        <v>-1</v>
      </c>
      <c r="AK2089" s="75">
        <v>-1</v>
      </c>
      <c r="AL2089" s="95">
        <v>-1</v>
      </c>
      <c r="AM2089" s="92">
        <v>1</v>
      </c>
      <c r="AN2089" s="79" t="s">
        <v>81</v>
      </c>
      <c r="AO2089" s="75">
        <v>1</v>
      </c>
      <c r="AP2089" s="75" t="s">
        <v>83</v>
      </c>
      <c r="AQ2089" s="122">
        <v>1</v>
      </c>
      <c r="AR2089" s="515" t="s">
        <v>13</v>
      </c>
      <c r="AS2089" s="95">
        <v>1</v>
      </c>
      <c r="AT2089" s="75">
        <v>0</v>
      </c>
      <c r="AU2089" s="75">
        <v>0</v>
      </c>
      <c r="AV2089" s="75">
        <v>0</v>
      </c>
      <c r="AW2089" s="123">
        <v>0</v>
      </c>
      <c r="AX2089" s="516"/>
      <c r="AY2089" s="75">
        <v>0</v>
      </c>
      <c r="AZ2089" s="77" t="s">
        <v>5971</v>
      </c>
      <c r="BA2089" s="78" t="s">
        <v>5971</v>
      </c>
      <c r="BB2089" s="78" t="s">
        <v>5971</v>
      </c>
      <c r="BC2089" s="78" t="s">
        <v>5971</v>
      </c>
      <c r="BD2089" s="78" t="s">
        <v>5971</v>
      </c>
      <c r="BE2089" s="78" t="s">
        <v>5971</v>
      </c>
      <c r="BF2089" s="78" t="s">
        <v>5971</v>
      </c>
      <c r="BG2089" s="78" t="s">
        <v>5971</v>
      </c>
      <c r="BH2089" s="75" t="s">
        <v>5971</v>
      </c>
      <c r="BI2089" s="295" t="s">
        <v>16</v>
      </c>
      <c r="BJ2089" s="546" t="s">
        <v>16</v>
      </c>
      <c r="BK2089" s="294" t="s">
        <v>16</v>
      </c>
      <c r="BL2089" s="157" t="s">
        <v>16</v>
      </c>
      <c r="BM2089" s="548" t="s">
        <v>2343</v>
      </c>
      <c r="BN2089" s="548" t="s">
        <v>578</v>
      </c>
      <c r="BO2089" s="157" t="s">
        <v>4420</v>
      </c>
      <c r="BP2089" s="548" t="s">
        <v>4678</v>
      </c>
      <c r="BQ2089" s="157" t="s">
        <v>4287</v>
      </c>
      <c r="BR2089" s="157"/>
    </row>
    <row r="2090" spans="1:70" x14ac:dyDescent="0.25">
      <c r="A2090" s="19" t="s">
        <v>3686</v>
      </c>
      <c r="B2090" s="37" t="s">
        <v>660</v>
      </c>
      <c r="C2090" s="90">
        <v>44298.776944444442</v>
      </c>
      <c r="D2090" s="114">
        <v>44298.526944444442</v>
      </c>
      <c r="E2090" s="38">
        <v>44298</v>
      </c>
      <c r="F2090" s="91">
        <v>2021</v>
      </c>
      <c r="G2090" s="93">
        <v>4</v>
      </c>
      <c r="H2090" s="37" t="s">
        <v>405</v>
      </c>
      <c r="I2090" s="37"/>
      <c r="J2090" s="103">
        <v>-92.563791582447081</v>
      </c>
      <c r="K2090" s="40">
        <v>44.566052653868269</v>
      </c>
      <c r="L2090" s="74"/>
      <c r="M2090" s="272" t="s">
        <v>16</v>
      </c>
      <c r="N2090" s="74">
        <v>0</v>
      </c>
      <c r="O2090" s="94"/>
      <c r="P2090" s="118">
        <v>1</v>
      </c>
      <c r="Q2090" s="510">
        <v>180</v>
      </c>
      <c r="R2090" s="513">
        <v>0</v>
      </c>
      <c r="S2090" s="41"/>
      <c r="T2090" s="40"/>
      <c r="U2090" s="40">
        <v>6</v>
      </c>
      <c r="V2090" s="119">
        <v>0</v>
      </c>
      <c r="W2090" s="40"/>
      <c r="X2090" s="119">
        <v>0</v>
      </c>
      <c r="Y2090" s="40"/>
      <c r="Z2090" s="119">
        <v>1</v>
      </c>
      <c r="AA2090" s="368">
        <v>0</v>
      </c>
      <c r="AB2090" s="535">
        <v>2</v>
      </c>
      <c r="AC2090" s="39" t="s">
        <v>160</v>
      </c>
      <c r="AD2090" s="75" t="s">
        <v>16</v>
      </c>
      <c r="AE2090" s="95">
        <v>-1</v>
      </c>
      <c r="AF2090" s="75">
        <v>-1</v>
      </c>
      <c r="AG2090" s="75">
        <v>-1</v>
      </c>
      <c r="AH2090" s="75">
        <v>-1</v>
      </c>
      <c r="AI2090" s="75">
        <v>-1</v>
      </c>
      <c r="AJ2090" s="75">
        <v>-1</v>
      </c>
      <c r="AK2090" s="75">
        <v>-1</v>
      </c>
      <c r="AL2090" s="95">
        <v>-1</v>
      </c>
      <c r="AM2090" s="92">
        <v>1</v>
      </c>
      <c r="AN2090" s="79" t="s">
        <v>81</v>
      </c>
      <c r="AO2090" s="75">
        <v>1</v>
      </c>
      <c r="AP2090" s="75" t="s">
        <v>83</v>
      </c>
      <c r="AQ2090" s="122">
        <v>1</v>
      </c>
      <c r="AR2090" s="515" t="s">
        <v>10</v>
      </c>
      <c r="AS2090" s="95">
        <v>0</v>
      </c>
      <c r="AT2090" s="75">
        <v>0</v>
      </c>
      <c r="AU2090" s="75">
        <v>0</v>
      </c>
      <c r="AV2090" s="75">
        <v>0</v>
      </c>
      <c r="AW2090" s="123">
        <v>0</v>
      </c>
      <c r="AX2090" s="516"/>
      <c r="AY2090" s="75">
        <v>0</v>
      </c>
      <c r="AZ2090" s="77" t="s">
        <v>5971</v>
      </c>
      <c r="BA2090" s="78" t="s">
        <v>5971</v>
      </c>
      <c r="BB2090" s="78" t="s">
        <v>5971</v>
      </c>
      <c r="BC2090" s="78" t="s">
        <v>5971</v>
      </c>
      <c r="BD2090" s="78" t="s">
        <v>5971</v>
      </c>
      <c r="BE2090" s="78" t="s">
        <v>5971</v>
      </c>
      <c r="BF2090" s="78" t="s">
        <v>5971</v>
      </c>
      <c r="BG2090" s="78" t="s">
        <v>5971</v>
      </c>
      <c r="BH2090" s="75" t="s">
        <v>5971</v>
      </c>
      <c r="BI2090" s="295" t="s">
        <v>16</v>
      </c>
      <c r="BJ2090" s="546">
        <v>1</v>
      </c>
      <c r="BK2090" s="294" t="s">
        <v>16</v>
      </c>
      <c r="BL2090" s="157" t="s">
        <v>16</v>
      </c>
      <c r="BM2090" s="548" t="s">
        <v>2343</v>
      </c>
      <c r="BN2090" s="548" t="s">
        <v>4161</v>
      </c>
      <c r="BO2090" s="157" t="s">
        <v>4308</v>
      </c>
      <c r="BP2090" s="548" t="s">
        <v>2238</v>
      </c>
      <c r="BQ2090" s="157" t="s">
        <v>4307</v>
      </c>
      <c r="BR2090" s="157"/>
    </row>
    <row r="2091" spans="1:70" x14ac:dyDescent="0.25">
      <c r="A2091" s="19" t="s">
        <v>3686</v>
      </c>
      <c r="B2091" s="37" t="s">
        <v>659</v>
      </c>
      <c r="C2091" s="90">
        <v>44297.682685185187</v>
      </c>
      <c r="D2091" s="114">
        <v>44297.432685185187</v>
      </c>
      <c r="E2091" s="38">
        <v>44297</v>
      </c>
      <c r="F2091" s="91">
        <v>2021</v>
      </c>
      <c r="G2091" s="93">
        <v>4</v>
      </c>
      <c r="H2091" s="37" t="s">
        <v>405</v>
      </c>
      <c r="I2091" s="37"/>
      <c r="J2091" s="103">
        <v>-92.567434525203481</v>
      </c>
      <c r="K2091" s="40">
        <v>44.738420750987473</v>
      </c>
      <c r="L2091" s="74"/>
      <c r="M2091" s="272" t="s">
        <v>16</v>
      </c>
      <c r="N2091" s="74">
        <v>0</v>
      </c>
      <c r="O2091" s="94"/>
      <c r="P2091" s="118">
        <v>1</v>
      </c>
      <c r="Q2091" s="510">
        <v>120</v>
      </c>
      <c r="R2091" s="513">
        <v>180</v>
      </c>
      <c r="S2091" s="41"/>
      <c r="T2091" s="40"/>
      <c r="U2091" s="40">
        <v>7</v>
      </c>
      <c r="V2091" s="119">
        <v>0</v>
      </c>
      <c r="W2091" s="40"/>
      <c r="X2091" s="119">
        <v>1</v>
      </c>
      <c r="Y2091" s="40">
        <v>47</v>
      </c>
      <c r="Z2091" s="119">
        <v>1</v>
      </c>
      <c r="AA2091" s="368">
        <v>0</v>
      </c>
      <c r="AB2091" s="535">
        <v>2</v>
      </c>
      <c r="AC2091" s="39" t="s">
        <v>160</v>
      </c>
      <c r="AD2091" s="75" t="s">
        <v>16</v>
      </c>
      <c r="AE2091" s="95">
        <v>-1</v>
      </c>
      <c r="AF2091" s="75">
        <v>-1</v>
      </c>
      <c r="AG2091" s="75">
        <v>-1</v>
      </c>
      <c r="AH2091" s="75">
        <v>-1</v>
      </c>
      <c r="AI2091" s="75">
        <v>-1</v>
      </c>
      <c r="AJ2091" s="75">
        <v>-1</v>
      </c>
      <c r="AK2091" s="75">
        <v>-1</v>
      </c>
      <c r="AL2091" s="95">
        <v>-1</v>
      </c>
      <c r="AM2091" s="92">
        <v>1</v>
      </c>
      <c r="AN2091" s="79"/>
      <c r="AO2091" s="75">
        <v>0</v>
      </c>
      <c r="AP2091" s="75" t="s">
        <v>84</v>
      </c>
      <c r="AQ2091" s="122">
        <v>1</v>
      </c>
      <c r="AR2091" s="515" t="s">
        <v>16</v>
      </c>
      <c r="AS2091" s="95">
        <v>-1</v>
      </c>
      <c r="AT2091" s="75">
        <v>-1</v>
      </c>
      <c r="AU2091" s="75">
        <v>-1</v>
      </c>
      <c r="AV2091" s="75">
        <v>-1</v>
      </c>
      <c r="AW2091" s="123">
        <v>1</v>
      </c>
      <c r="AX2091" s="516"/>
      <c r="AY2091" s="75">
        <v>0</v>
      </c>
      <c r="AZ2091" s="77" t="s">
        <v>5971</v>
      </c>
      <c r="BA2091" s="78" t="s">
        <v>5971</v>
      </c>
      <c r="BB2091" s="78" t="s">
        <v>5971</v>
      </c>
      <c r="BC2091" s="78" t="s">
        <v>5971</v>
      </c>
      <c r="BD2091" s="78" t="s">
        <v>5971</v>
      </c>
      <c r="BE2091" s="78" t="s">
        <v>5971</v>
      </c>
      <c r="BF2091" s="78" t="s">
        <v>5971</v>
      </c>
      <c r="BG2091" s="78" t="s">
        <v>5971</v>
      </c>
      <c r="BH2091" s="75" t="s">
        <v>5971</v>
      </c>
      <c r="BI2091" s="295" t="s">
        <v>2236</v>
      </c>
      <c r="BJ2091" s="546">
        <v>1</v>
      </c>
      <c r="BK2091" s="294" t="s">
        <v>16</v>
      </c>
      <c r="BL2091" s="157" t="s">
        <v>16</v>
      </c>
      <c r="BM2091" s="548" t="s">
        <v>578</v>
      </c>
      <c r="BN2091" s="548" t="s">
        <v>4161</v>
      </c>
      <c r="BO2091" s="157" t="s">
        <v>4659</v>
      </c>
      <c r="BP2091" s="548" t="s">
        <v>4737</v>
      </c>
      <c r="BQ2091" s="157" t="s">
        <v>4657</v>
      </c>
      <c r="BR2091" s="157"/>
    </row>
    <row r="2092" spans="1:70" x14ac:dyDescent="0.25">
      <c r="A2092" s="19" t="s">
        <v>3686</v>
      </c>
      <c r="B2092" s="37" t="s">
        <v>658</v>
      </c>
      <c r="C2092" s="90">
        <v>44296.768738425926</v>
      </c>
      <c r="D2092" s="114">
        <v>44296.518738425926</v>
      </c>
      <c r="E2092" s="38">
        <v>44296</v>
      </c>
      <c r="F2092" s="91">
        <v>2021</v>
      </c>
      <c r="G2092" s="93">
        <v>4</v>
      </c>
      <c r="H2092" s="37" t="s">
        <v>611</v>
      </c>
      <c r="I2092" s="37" t="s">
        <v>16</v>
      </c>
      <c r="J2092" s="103">
        <v>-92.4332797</v>
      </c>
      <c r="K2092" s="40">
        <v>44.291789299999998</v>
      </c>
      <c r="L2092" s="74"/>
      <c r="M2092" s="272" t="s">
        <v>16</v>
      </c>
      <c r="N2092" s="74">
        <v>0</v>
      </c>
      <c r="O2092" s="94"/>
      <c r="P2092" s="118">
        <v>1</v>
      </c>
      <c r="Q2092" s="510">
        <v>0</v>
      </c>
      <c r="R2092" s="513">
        <v>60</v>
      </c>
      <c r="S2092" s="41"/>
      <c r="T2092" s="40"/>
      <c r="U2092" s="40">
        <v>7.5</v>
      </c>
      <c r="V2092" s="119">
        <v>1</v>
      </c>
      <c r="W2092" s="40">
        <v>100</v>
      </c>
      <c r="X2092" s="119">
        <v>1</v>
      </c>
      <c r="Y2092" s="40">
        <v>44</v>
      </c>
      <c r="Z2092" s="119">
        <v>1</v>
      </c>
      <c r="AA2092" s="368">
        <v>0</v>
      </c>
      <c r="AB2092" s="535">
        <v>5</v>
      </c>
      <c r="AC2092" s="39" t="s">
        <v>160</v>
      </c>
      <c r="AD2092" s="75" t="s">
        <v>10</v>
      </c>
      <c r="AE2092" s="95">
        <v>0</v>
      </c>
      <c r="AF2092" s="75">
        <v>0</v>
      </c>
      <c r="AG2092" s="75">
        <v>0</v>
      </c>
      <c r="AH2092" s="75">
        <v>0</v>
      </c>
      <c r="AI2092" s="75">
        <v>0</v>
      </c>
      <c r="AJ2092" s="75">
        <v>0</v>
      </c>
      <c r="AK2092" s="75">
        <v>0</v>
      </c>
      <c r="AL2092" s="95">
        <v>1</v>
      </c>
      <c r="AM2092" s="92">
        <v>0</v>
      </c>
      <c r="AN2092" s="79" t="s">
        <v>80</v>
      </c>
      <c r="AO2092" s="75">
        <v>1</v>
      </c>
      <c r="AP2092" s="75" t="s">
        <v>83</v>
      </c>
      <c r="AQ2092" s="122">
        <v>1</v>
      </c>
      <c r="AR2092" s="515" t="s">
        <v>10</v>
      </c>
      <c r="AS2092" s="95">
        <v>0</v>
      </c>
      <c r="AT2092" s="75">
        <v>0</v>
      </c>
      <c r="AU2092" s="75">
        <v>0</v>
      </c>
      <c r="AV2092" s="75">
        <v>0</v>
      </c>
      <c r="AW2092" s="123">
        <v>0</v>
      </c>
      <c r="AX2092" s="516"/>
      <c r="AY2092" s="75">
        <v>0</v>
      </c>
      <c r="AZ2092" s="77" t="s">
        <v>131</v>
      </c>
      <c r="BA2092" s="78" t="s">
        <v>131</v>
      </c>
      <c r="BB2092" s="78" t="s">
        <v>131</v>
      </c>
      <c r="BC2092" s="78" t="s">
        <v>131</v>
      </c>
      <c r="BD2092" s="78" t="s">
        <v>131</v>
      </c>
      <c r="BE2092" s="78" t="s">
        <v>131</v>
      </c>
      <c r="BF2092" s="78" t="s">
        <v>131</v>
      </c>
      <c r="BG2092" s="78" t="s">
        <v>132</v>
      </c>
      <c r="BH2092" s="75" t="s">
        <v>5970</v>
      </c>
      <c r="BI2092" s="295" t="s">
        <v>2234</v>
      </c>
      <c r="BJ2092" s="546">
        <v>1</v>
      </c>
      <c r="BK2092" s="294">
        <v>1</v>
      </c>
      <c r="BL2092" s="157">
        <v>1</v>
      </c>
      <c r="BM2092" s="548" t="s">
        <v>1339</v>
      </c>
      <c r="BN2092" s="548" t="s">
        <v>1339</v>
      </c>
      <c r="BO2092" s="157" t="s">
        <v>4331</v>
      </c>
      <c r="BP2092" s="548" t="s">
        <v>2234</v>
      </c>
      <c r="BQ2092" s="157" t="s">
        <v>4330</v>
      </c>
      <c r="BR2092" s="157"/>
    </row>
    <row r="2093" spans="1:70" x14ac:dyDescent="0.25">
      <c r="A2093" s="19" t="s">
        <v>3686</v>
      </c>
      <c r="B2093" s="37" t="s">
        <v>657</v>
      </c>
      <c r="C2093" s="90">
        <v>44296.759456018517</v>
      </c>
      <c r="D2093" s="114">
        <v>44296.509456018517</v>
      </c>
      <c r="E2093" s="38">
        <v>44296</v>
      </c>
      <c r="F2093" s="91">
        <v>2021</v>
      </c>
      <c r="G2093" s="93">
        <v>4</v>
      </c>
      <c r="H2093" s="37" t="s">
        <v>611</v>
      </c>
      <c r="I2093" s="37" t="s">
        <v>16</v>
      </c>
      <c r="J2093" s="103">
        <v>-92.433276800000002</v>
      </c>
      <c r="K2093" s="40">
        <v>44.2917816</v>
      </c>
      <c r="L2093" s="74"/>
      <c r="M2093" s="272" t="s">
        <v>16</v>
      </c>
      <c r="N2093" s="74">
        <v>0</v>
      </c>
      <c r="O2093" s="94"/>
      <c r="P2093" s="118">
        <v>1</v>
      </c>
      <c r="Q2093" s="510">
        <v>0</v>
      </c>
      <c r="R2093" s="513">
        <v>120</v>
      </c>
      <c r="S2093" s="41"/>
      <c r="T2093" s="40"/>
      <c r="U2093" s="40">
        <v>7.5</v>
      </c>
      <c r="V2093" s="119">
        <v>0</v>
      </c>
      <c r="W2093" s="40"/>
      <c r="X2093" s="119">
        <v>0</v>
      </c>
      <c r="Y2093" s="40"/>
      <c r="Z2093" s="119">
        <v>1</v>
      </c>
      <c r="AA2093" s="368">
        <v>0</v>
      </c>
      <c r="AB2093" s="535">
        <v>5</v>
      </c>
      <c r="AC2093" s="39" t="s">
        <v>160</v>
      </c>
      <c r="AD2093" s="75" t="s">
        <v>10</v>
      </c>
      <c r="AE2093" s="95">
        <v>0</v>
      </c>
      <c r="AF2093" s="75">
        <v>0</v>
      </c>
      <c r="AG2093" s="75">
        <v>0</v>
      </c>
      <c r="AH2093" s="75">
        <v>0</v>
      </c>
      <c r="AI2093" s="75">
        <v>0</v>
      </c>
      <c r="AJ2093" s="75">
        <v>0</v>
      </c>
      <c r="AK2093" s="75">
        <v>0</v>
      </c>
      <c r="AL2093" s="95">
        <v>1</v>
      </c>
      <c r="AM2093" s="92">
        <v>0</v>
      </c>
      <c r="AN2093" s="79" t="s">
        <v>80</v>
      </c>
      <c r="AO2093" s="75">
        <v>1</v>
      </c>
      <c r="AP2093" s="75" t="s">
        <v>83</v>
      </c>
      <c r="AQ2093" s="122">
        <v>1</v>
      </c>
      <c r="AR2093" s="515" t="s">
        <v>10</v>
      </c>
      <c r="AS2093" s="95">
        <v>0</v>
      </c>
      <c r="AT2093" s="75">
        <v>0</v>
      </c>
      <c r="AU2093" s="75">
        <v>0</v>
      </c>
      <c r="AV2093" s="75">
        <v>0</v>
      </c>
      <c r="AW2093" s="123">
        <v>0</v>
      </c>
      <c r="AX2093" s="516"/>
      <c r="AY2093" s="75">
        <v>0</v>
      </c>
      <c r="AZ2093" s="77" t="s">
        <v>131</v>
      </c>
      <c r="BA2093" s="78" t="s">
        <v>131</v>
      </c>
      <c r="BB2093" s="78" t="s">
        <v>131</v>
      </c>
      <c r="BC2093" s="78" t="s">
        <v>131</v>
      </c>
      <c r="BD2093" s="78" t="s">
        <v>131</v>
      </c>
      <c r="BE2093" s="78" t="s">
        <v>131</v>
      </c>
      <c r="BF2093" s="78" t="s">
        <v>131</v>
      </c>
      <c r="BG2093" s="78" t="s">
        <v>132</v>
      </c>
      <c r="BH2093" s="75" t="s">
        <v>5970</v>
      </c>
      <c r="BI2093" s="295" t="s">
        <v>2234</v>
      </c>
      <c r="BJ2093" s="546">
        <v>1</v>
      </c>
      <c r="BK2093" s="294">
        <v>1</v>
      </c>
      <c r="BL2093" s="157">
        <v>1</v>
      </c>
      <c r="BM2093" s="548" t="s">
        <v>1339</v>
      </c>
      <c r="BN2093" s="548" t="s">
        <v>1339</v>
      </c>
      <c r="BO2093" s="157" t="s">
        <v>4331</v>
      </c>
      <c r="BP2093" s="548" t="s">
        <v>2234</v>
      </c>
      <c r="BQ2093" s="157" t="s">
        <v>4330</v>
      </c>
      <c r="BR2093" s="157"/>
    </row>
    <row r="2094" spans="1:70" x14ac:dyDescent="0.25">
      <c r="A2094" s="19" t="s">
        <v>3686</v>
      </c>
      <c r="B2094" s="37" t="s">
        <v>655</v>
      </c>
      <c r="C2094" s="90">
        <v>44293.814652777779</v>
      </c>
      <c r="D2094" s="114">
        <v>44293.564652777779</v>
      </c>
      <c r="E2094" s="38">
        <v>44293</v>
      </c>
      <c r="F2094" s="91">
        <v>2021</v>
      </c>
      <c r="G2094" s="93">
        <v>4</v>
      </c>
      <c r="H2094" s="37" t="s">
        <v>461</v>
      </c>
      <c r="I2094" s="37" t="s">
        <v>154</v>
      </c>
      <c r="J2094" s="103">
        <v>-92.147012259896982</v>
      </c>
      <c r="K2094" s="40">
        <v>44.793193177361779</v>
      </c>
      <c r="L2094" s="74"/>
      <c r="M2094" s="272" t="s">
        <v>656</v>
      </c>
      <c r="N2094" s="74">
        <v>1</v>
      </c>
      <c r="O2094" s="94"/>
      <c r="P2094" s="118">
        <v>1</v>
      </c>
      <c r="Q2094" s="510">
        <v>40</v>
      </c>
      <c r="R2094" s="513">
        <v>60</v>
      </c>
      <c r="S2094" s="41"/>
      <c r="T2094" s="40"/>
      <c r="U2094" s="40">
        <v>7</v>
      </c>
      <c r="V2094" s="119">
        <v>1</v>
      </c>
      <c r="W2094" s="40">
        <v>100</v>
      </c>
      <c r="X2094" s="119">
        <v>1</v>
      </c>
      <c r="Y2094" s="40">
        <v>58</v>
      </c>
      <c r="Z2094" s="119">
        <v>1</v>
      </c>
      <c r="AA2094" s="368">
        <v>0</v>
      </c>
      <c r="AB2094" s="535">
        <v>0</v>
      </c>
      <c r="AC2094" s="39" t="s">
        <v>160</v>
      </c>
      <c r="AD2094" s="75" t="s">
        <v>10</v>
      </c>
      <c r="AE2094" s="95">
        <v>0</v>
      </c>
      <c r="AF2094" s="75">
        <v>0</v>
      </c>
      <c r="AG2094" s="75">
        <v>0</v>
      </c>
      <c r="AH2094" s="75">
        <v>0</v>
      </c>
      <c r="AI2094" s="75">
        <v>0</v>
      </c>
      <c r="AJ2094" s="75">
        <v>0</v>
      </c>
      <c r="AK2094" s="75">
        <v>0</v>
      </c>
      <c r="AL2094" s="95">
        <v>1</v>
      </c>
      <c r="AM2094" s="92">
        <v>0</v>
      </c>
      <c r="AN2094" s="79" t="s">
        <v>195</v>
      </c>
      <c r="AO2094" s="75">
        <v>1</v>
      </c>
      <c r="AP2094" s="75" t="s">
        <v>85</v>
      </c>
      <c r="AQ2094" s="122">
        <v>1</v>
      </c>
      <c r="AR2094" s="515" t="s">
        <v>13</v>
      </c>
      <c r="AS2094" s="95">
        <v>1</v>
      </c>
      <c r="AT2094" s="75">
        <v>0</v>
      </c>
      <c r="AU2094" s="75">
        <v>0</v>
      </c>
      <c r="AV2094" s="75">
        <v>0</v>
      </c>
      <c r="AW2094" s="123">
        <v>0</v>
      </c>
      <c r="AX2094" s="516"/>
      <c r="AY2094" s="75">
        <v>0</v>
      </c>
      <c r="AZ2094" s="77" t="s">
        <v>131</v>
      </c>
      <c r="BA2094" s="78" t="s">
        <v>131</v>
      </c>
      <c r="BB2094" s="78" t="s">
        <v>131</v>
      </c>
      <c r="BC2094" s="78" t="s">
        <v>131</v>
      </c>
      <c r="BD2094" s="78" t="s">
        <v>131</v>
      </c>
      <c r="BE2094" s="78" t="s">
        <v>131</v>
      </c>
      <c r="BF2094" s="78" t="s">
        <v>131</v>
      </c>
      <c r="BG2094" s="78" t="s">
        <v>132</v>
      </c>
      <c r="BH2094" s="75" t="s">
        <v>5970</v>
      </c>
      <c r="BI2094" s="295" t="s">
        <v>2270</v>
      </c>
      <c r="BJ2094" s="546">
        <v>1</v>
      </c>
      <c r="BK2094" s="294">
        <v>1</v>
      </c>
      <c r="BL2094" s="157">
        <v>1</v>
      </c>
      <c r="BM2094" s="548" t="s">
        <v>578</v>
      </c>
      <c r="BN2094" s="548" t="s">
        <v>578</v>
      </c>
      <c r="BO2094" s="157" t="s">
        <v>4317</v>
      </c>
      <c r="BP2094" s="548" t="s">
        <v>2270</v>
      </c>
      <c r="BQ2094" s="157" t="s">
        <v>4316</v>
      </c>
      <c r="BR2094" s="157"/>
    </row>
    <row r="2095" spans="1:70" x14ac:dyDescent="0.25">
      <c r="A2095" s="19" t="s">
        <v>3686</v>
      </c>
      <c r="B2095" s="37" t="s">
        <v>652</v>
      </c>
      <c r="C2095" s="90">
        <v>44293.605300925927</v>
      </c>
      <c r="D2095" s="114">
        <v>44293.355300925927</v>
      </c>
      <c r="E2095" s="38">
        <v>44293</v>
      </c>
      <c r="F2095" s="91">
        <v>2021</v>
      </c>
      <c r="G2095" s="93">
        <v>4</v>
      </c>
      <c r="H2095" s="37" t="s">
        <v>260</v>
      </c>
      <c r="I2095" s="37" t="s">
        <v>337</v>
      </c>
      <c r="J2095" s="103">
        <v>-92.644958975712001</v>
      </c>
      <c r="K2095" s="40">
        <v>44.843563375253062</v>
      </c>
      <c r="L2095" s="74"/>
      <c r="M2095" s="272" t="s">
        <v>653</v>
      </c>
      <c r="N2095" s="74">
        <v>1</v>
      </c>
      <c r="O2095" s="94"/>
      <c r="P2095" s="118">
        <v>1</v>
      </c>
      <c r="Q2095" s="510">
        <v>80</v>
      </c>
      <c r="R2095" s="513">
        <v>120</v>
      </c>
      <c r="S2095" s="41"/>
      <c r="T2095" s="40"/>
      <c r="U2095" s="40">
        <v>7</v>
      </c>
      <c r="V2095" s="119">
        <v>1</v>
      </c>
      <c r="W2095" s="40">
        <v>0</v>
      </c>
      <c r="X2095" s="119">
        <v>1</v>
      </c>
      <c r="Y2095" s="40">
        <v>52</v>
      </c>
      <c r="Z2095" s="119">
        <v>1</v>
      </c>
      <c r="AA2095" s="368">
        <v>0</v>
      </c>
      <c r="AB2095" s="535">
        <v>2</v>
      </c>
      <c r="AC2095" s="39" t="s">
        <v>160</v>
      </c>
      <c r="AD2095" s="75" t="s">
        <v>10</v>
      </c>
      <c r="AE2095" s="95">
        <v>0</v>
      </c>
      <c r="AF2095" s="75">
        <v>0</v>
      </c>
      <c r="AG2095" s="75">
        <v>0</v>
      </c>
      <c r="AH2095" s="75">
        <v>0</v>
      </c>
      <c r="AI2095" s="75">
        <v>0</v>
      </c>
      <c r="AJ2095" s="75">
        <v>0</v>
      </c>
      <c r="AK2095" s="75">
        <v>0</v>
      </c>
      <c r="AL2095" s="95">
        <v>1</v>
      </c>
      <c r="AM2095" s="92">
        <v>0</v>
      </c>
      <c r="AN2095" s="79" t="s">
        <v>195</v>
      </c>
      <c r="AO2095" s="75">
        <v>1</v>
      </c>
      <c r="AP2095" s="75" t="s">
        <v>84</v>
      </c>
      <c r="AQ2095" s="122">
        <v>1</v>
      </c>
      <c r="AR2095" s="515" t="s">
        <v>35</v>
      </c>
      <c r="AS2095" s="95">
        <v>0</v>
      </c>
      <c r="AT2095" s="75">
        <v>1</v>
      </c>
      <c r="AU2095" s="75">
        <v>0</v>
      </c>
      <c r="AV2095" s="75">
        <v>0</v>
      </c>
      <c r="AW2095" s="123">
        <v>0</v>
      </c>
      <c r="AX2095" s="516" t="s">
        <v>654</v>
      </c>
      <c r="AY2095" s="75">
        <v>1</v>
      </c>
      <c r="AZ2095" s="77" t="s">
        <v>131</v>
      </c>
      <c r="BA2095" s="78" t="s">
        <v>131</v>
      </c>
      <c r="BB2095" s="78" t="s">
        <v>131</v>
      </c>
      <c r="BC2095" s="78" t="s">
        <v>131</v>
      </c>
      <c r="BD2095" s="78" t="s">
        <v>131</v>
      </c>
      <c r="BE2095" s="78" t="s">
        <v>131</v>
      </c>
      <c r="BF2095" s="78" t="s">
        <v>131</v>
      </c>
      <c r="BG2095" s="78" t="s">
        <v>132</v>
      </c>
      <c r="BH2095" s="75" t="s">
        <v>5970</v>
      </c>
      <c r="BI2095" s="295" t="s">
        <v>2227</v>
      </c>
      <c r="BJ2095" s="546">
        <v>1</v>
      </c>
      <c r="BK2095" s="294" t="s">
        <v>16</v>
      </c>
      <c r="BL2095" s="157" t="s">
        <v>16</v>
      </c>
      <c r="BM2095" s="548" t="s">
        <v>578</v>
      </c>
      <c r="BN2095" s="548" t="s">
        <v>578</v>
      </c>
      <c r="BO2095" s="157" t="s">
        <v>4341</v>
      </c>
      <c r="BP2095" s="548" t="s">
        <v>4343</v>
      </c>
      <c r="BQ2095" s="157" t="s">
        <v>4309</v>
      </c>
      <c r="BR2095" s="157"/>
    </row>
    <row r="2096" spans="1:70" x14ac:dyDescent="0.25">
      <c r="A2096" s="19" t="s">
        <v>3686</v>
      </c>
      <c r="B2096" s="37" t="s">
        <v>651</v>
      </c>
      <c r="C2096" s="90">
        <v>44292.781099537038</v>
      </c>
      <c r="D2096" s="114">
        <v>44292.531099537038</v>
      </c>
      <c r="E2096" s="38">
        <v>44292</v>
      </c>
      <c r="F2096" s="91">
        <v>2021</v>
      </c>
      <c r="G2096" s="93">
        <v>4</v>
      </c>
      <c r="H2096" s="37" t="s">
        <v>599</v>
      </c>
      <c r="I2096" s="37"/>
      <c r="J2096" s="103">
        <v>-92.443071892571126</v>
      </c>
      <c r="K2096" s="40">
        <v>44.621350667480954</v>
      </c>
      <c r="L2096" s="74"/>
      <c r="M2096" s="272" t="s">
        <v>16</v>
      </c>
      <c r="N2096" s="74">
        <v>0</v>
      </c>
      <c r="O2096" s="94"/>
      <c r="P2096" s="118">
        <v>1</v>
      </c>
      <c r="Q2096" s="510">
        <v>180</v>
      </c>
      <c r="R2096" s="513">
        <v>180</v>
      </c>
      <c r="S2096" s="41"/>
      <c r="T2096" s="40"/>
      <c r="U2096" s="40">
        <v>8</v>
      </c>
      <c r="V2096" s="119">
        <v>1</v>
      </c>
      <c r="W2096" s="40">
        <v>0</v>
      </c>
      <c r="X2096" s="119">
        <v>1</v>
      </c>
      <c r="Y2096" s="40">
        <v>53</v>
      </c>
      <c r="Z2096" s="119">
        <v>1</v>
      </c>
      <c r="AA2096" s="368">
        <v>0</v>
      </c>
      <c r="AB2096" s="535">
        <v>5</v>
      </c>
      <c r="AC2096" s="39" t="s">
        <v>160</v>
      </c>
      <c r="AD2096" s="75" t="s">
        <v>10</v>
      </c>
      <c r="AE2096" s="95">
        <v>0</v>
      </c>
      <c r="AF2096" s="75">
        <v>0</v>
      </c>
      <c r="AG2096" s="75">
        <v>0</v>
      </c>
      <c r="AH2096" s="75">
        <v>0</v>
      </c>
      <c r="AI2096" s="75">
        <v>0</v>
      </c>
      <c r="AJ2096" s="75">
        <v>0</v>
      </c>
      <c r="AK2096" s="75">
        <v>0</v>
      </c>
      <c r="AL2096" s="95">
        <v>1</v>
      </c>
      <c r="AM2096" s="92">
        <v>0</v>
      </c>
      <c r="AN2096" s="79" t="s">
        <v>80</v>
      </c>
      <c r="AO2096" s="75">
        <v>1</v>
      </c>
      <c r="AP2096" s="75" t="s">
        <v>83</v>
      </c>
      <c r="AQ2096" s="122">
        <v>1</v>
      </c>
      <c r="AR2096" s="515" t="s">
        <v>10</v>
      </c>
      <c r="AS2096" s="95">
        <v>0</v>
      </c>
      <c r="AT2096" s="75">
        <v>0</v>
      </c>
      <c r="AU2096" s="75">
        <v>0</v>
      </c>
      <c r="AV2096" s="75">
        <v>0</v>
      </c>
      <c r="AW2096" s="123">
        <v>0</v>
      </c>
      <c r="AX2096" s="516"/>
      <c r="AY2096" s="75">
        <v>0</v>
      </c>
      <c r="AZ2096" s="77" t="s">
        <v>131</v>
      </c>
      <c r="BA2096" s="78" t="s">
        <v>131</v>
      </c>
      <c r="BB2096" s="78" t="s">
        <v>131</v>
      </c>
      <c r="BC2096" s="78" t="s">
        <v>131</v>
      </c>
      <c r="BD2096" s="78" t="s">
        <v>131</v>
      </c>
      <c r="BE2096" s="78" t="s">
        <v>131</v>
      </c>
      <c r="BF2096" s="78" t="s">
        <v>131</v>
      </c>
      <c r="BG2096" s="78" t="s">
        <v>132</v>
      </c>
      <c r="BH2096" s="75" t="s">
        <v>5970</v>
      </c>
      <c r="BI2096" s="295" t="s">
        <v>2289</v>
      </c>
      <c r="BJ2096" s="546">
        <v>1</v>
      </c>
      <c r="BK2096" s="294" t="s">
        <v>16</v>
      </c>
      <c r="BL2096" s="157" t="s">
        <v>16</v>
      </c>
      <c r="BM2096" s="548" t="s">
        <v>578</v>
      </c>
      <c r="BN2096" s="548" t="s">
        <v>544</v>
      </c>
      <c r="BO2096" s="157" t="s">
        <v>4283</v>
      </c>
      <c r="BP2096" s="548" t="s">
        <v>2289</v>
      </c>
      <c r="BQ2096" s="157" t="s">
        <v>4214</v>
      </c>
      <c r="BR2096" s="157"/>
    </row>
    <row r="2097" spans="1:70" x14ac:dyDescent="0.25">
      <c r="A2097" s="19" t="s">
        <v>3686</v>
      </c>
      <c r="B2097" s="37" t="s">
        <v>650</v>
      </c>
      <c r="C2097" s="90">
        <v>44291.993854166663</v>
      </c>
      <c r="D2097" s="114">
        <v>44291.743854166663</v>
      </c>
      <c r="E2097" s="38">
        <v>44291</v>
      </c>
      <c r="F2097" s="91">
        <v>2021</v>
      </c>
      <c r="G2097" s="93">
        <v>4</v>
      </c>
      <c r="H2097" s="37" t="s">
        <v>600</v>
      </c>
      <c r="I2097" s="37" t="s">
        <v>16</v>
      </c>
      <c r="J2097" s="103">
        <v>-92.115826940259325</v>
      </c>
      <c r="K2097" s="40">
        <v>44.021289657978521</v>
      </c>
      <c r="L2097" s="74"/>
      <c r="M2097" s="272" t="s">
        <v>16</v>
      </c>
      <c r="N2097" s="74">
        <v>0</v>
      </c>
      <c r="O2097" s="94"/>
      <c r="P2097" s="118">
        <v>1</v>
      </c>
      <c r="Q2097" s="510">
        <v>120</v>
      </c>
      <c r="R2097" s="513">
        <v>180</v>
      </c>
      <c r="S2097" s="41"/>
      <c r="T2097" s="40"/>
      <c r="U2097" s="40">
        <v>8</v>
      </c>
      <c r="V2097" s="119">
        <v>1</v>
      </c>
      <c r="W2097" s="40">
        <v>0</v>
      </c>
      <c r="X2097" s="119">
        <v>1</v>
      </c>
      <c r="Y2097" s="40">
        <v>56</v>
      </c>
      <c r="Z2097" s="119">
        <v>1</v>
      </c>
      <c r="AA2097" s="368">
        <v>0</v>
      </c>
      <c r="AB2097" s="535">
        <v>10</v>
      </c>
      <c r="AC2097" s="39" t="s">
        <v>160</v>
      </c>
      <c r="AD2097" s="75" t="s">
        <v>16</v>
      </c>
      <c r="AE2097" s="95">
        <v>-1</v>
      </c>
      <c r="AF2097" s="75">
        <v>-1</v>
      </c>
      <c r="AG2097" s="75">
        <v>-1</v>
      </c>
      <c r="AH2097" s="75">
        <v>-1</v>
      </c>
      <c r="AI2097" s="75">
        <v>-1</v>
      </c>
      <c r="AJ2097" s="75">
        <v>-1</v>
      </c>
      <c r="AK2097" s="75">
        <v>-1</v>
      </c>
      <c r="AL2097" s="95">
        <v>-1</v>
      </c>
      <c r="AM2097" s="92">
        <v>1</v>
      </c>
      <c r="AN2097" s="79" t="s">
        <v>80</v>
      </c>
      <c r="AO2097" s="75">
        <v>1</v>
      </c>
      <c r="AP2097" s="75" t="s">
        <v>83</v>
      </c>
      <c r="AQ2097" s="122">
        <v>1</v>
      </c>
      <c r="AR2097" s="515" t="s">
        <v>10</v>
      </c>
      <c r="AS2097" s="95">
        <v>0</v>
      </c>
      <c r="AT2097" s="75">
        <v>0</v>
      </c>
      <c r="AU2097" s="75">
        <v>0</v>
      </c>
      <c r="AV2097" s="75">
        <v>0</v>
      </c>
      <c r="AW2097" s="123">
        <v>0</v>
      </c>
      <c r="AX2097" s="516"/>
      <c r="AY2097" s="75">
        <v>0</v>
      </c>
      <c r="AZ2097" s="77" t="s">
        <v>5971</v>
      </c>
      <c r="BA2097" s="78" t="s">
        <v>5971</v>
      </c>
      <c r="BB2097" s="78" t="s">
        <v>5971</v>
      </c>
      <c r="BC2097" s="78" t="s">
        <v>5971</v>
      </c>
      <c r="BD2097" s="78" t="s">
        <v>5971</v>
      </c>
      <c r="BE2097" s="78" t="s">
        <v>5971</v>
      </c>
      <c r="BF2097" s="78" t="s">
        <v>5971</v>
      </c>
      <c r="BG2097" s="78" t="s">
        <v>5971</v>
      </c>
      <c r="BH2097" s="75" t="s">
        <v>5971</v>
      </c>
      <c r="BI2097" s="295" t="s">
        <v>2262</v>
      </c>
      <c r="BJ2097" s="546">
        <v>1</v>
      </c>
      <c r="BK2097" s="294">
        <v>1</v>
      </c>
      <c r="BL2097" s="157">
        <v>1</v>
      </c>
      <c r="BM2097" s="548" t="s">
        <v>1339</v>
      </c>
      <c r="BN2097" s="548" t="s">
        <v>1339</v>
      </c>
      <c r="BO2097" s="157" t="s">
        <v>4364</v>
      </c>
      <c r="BP2097" s="548" t="s">
        <v>2292</v>
      </c>
      <c r="BQ2097" s="157" t="s">
        <v>4361</v>
      </c>
      <c r="BR2097" s="157"/>
    </row>
    <row r="2098" spans="1:70" x14ac:dyDescent="0.25">
      <c r="A2098" s="19" t="s">
        <v>3686</v>
      </c>
      <c r="B2098" s="37" t="s">
        <v>648</v>
      </c>
      <c r="C2098" s="90">
        <v>44291.65079861111</v>
      </c>
      <c r="D2098" s="114">
        <v>44291.40079861111</v>
      </c>
      <c r="E2098" s="38">
        <v>44291</v>
      </c>
      <c r="F2098" s="91">
        <v>2021</v>
      </c>
      <c r="G2098" s="93">
        <v>4</v>
      </c>
      <c r="H2098" s="37" t="s">
        <v>602</v>
      </c>
      <c r="I2098" s="37"/>
      <c r="J2098" s="103">
        <v>-91.9795053</v>
      </c>
      <c r="K2098" s="40">
        <v>44.0704548</v>
      </c>
      <c r="L2098" s="74"/>
      <c r="M2098" s="272" t="s">
        <v>649</v>
      </c>
      <c r="N2098" s="74">
        <v>1</v>
      </c>
      <c r="O2098" s="94"/>
      <c r="P2098" s="118">
        <v>1</v>
      </c>
      <c r="Q2098" s="510">
        <v>80</v>
      </c>
      <c r="R2098" s="513">
        <v>60</v>
      </c>
      <c r="S2098" s="41"/>
      <c r="T2098" s="40"/>
      <c r="U2098" s="40">
        <v>7.5</v>
      </c>
      <c r="V2098" s="119">
        <v>1</v>
      </c>
      <c r="W2098" s="40">
        <v>0</v>
      </c>
      <c r="X2098" s="119">
        <v>1</v>
      </c>
      <c r="Y2098" s="40">
        <v>50</v>
      </c>
      <c r="Z2098" s="119">
        <v>1</v>
      </c>
      <c r="AA2098" s="368">
        <v>0</v>
      </c>
      <c r="AB2098" s="535">
        <v>5</v>
      </c>
      <c r="AC2098" s="39" t="s">
        <v>160</v>
      </c>
      <c r="AD2098" s="75" t="s">
        <v>10</v>
      </c>
      <c r="AE2098" s="95">
        <v>0</v>
      </c>
      <c r="AF2098" s="75">
        <v>0</v>
      </c>
      <c r="AG2098" s="75">
        <v>0</v>
      </c>
      <c r="AH2098" s="75">
        <v>0</v>
      </c>
      <c r="AI2098" s="75">
        <v>0</v>
      </c>
      <c r="AJ2098" s="75">
        <v>0</v>
      </c>
      <c r="AK2098" s="75">
        <v>0</v>
      </c>
      <c r="AL2098" s="95">
        <v>1</v>
      </c>
      <c r="AM2098" s="92">
        <v>0</v>
      </c>
      <c r="AN2098" s="79" t="s">
        <v>80</v>
      </c>
      <c r="AO2098" s="75">
        <v>1</v>
      </c>
      <c r="AP2098" s="75" t="s">
        <v>83</v>
      </c>
      <c r="AQ2098" s="122">
        <v>1</v>
      </c>
      <c r="AR2098" s="515" t="s">
        <v>10</v>
      </c>
      <c r="AS2098" s="95">
        <v>0</v>
      </c>
      <c r="AT2098" s="75">
        <v>0</v>
      </c>
      <c r="AU2098" s="75">
        <v>0</v>
      </c>
      <c r="AV2098" s="75">
        <v>0</v>
      </c>
      <c r="AW2098" s="123">
        <v>0</v>
      </c>
      <c r="AX2098" s="516"/>
      <c r="AY2098" s="75">
        <v>0</v>
      </c>
      <c r="AZ2098" s="77" t="s">
        <v>131</v>
      </c>
      <c r="BA2098" s="78" t="s">
        <v>131</v>
      </c>
      <c r="BB2098" s="78" t="s">
        <v>131</v>
      </c>
      <c r="BC2098" s="78" t="s">
        <v>131</v>
      </c>
      <c r="BD2098" s="78" t="s">
        <v>131</v>
      </c>
      <c r="BE2098" s="78" t="s">
        <v>131</v>
      </c>
      <c r="BF2098" s="78" t="s">
        <v>131</v>
      </c>
      <c r="BG2098" s="78" t="s">
        <v>132</v>
      </c>
      <c r="BH2098" s="75" t="s">
        <v>5970</v>
      </c>
      <c r="BI2098" s="295" t="s">
        <v>2255</v>
      </c>
      <c r="BJ2098" s="546">
        <v>1</v>
      </c>
      <c r="BK2098" s="294" t="s">
        <v>16</v>
      </c>
      <c r="BL2098" s="157" t="s">
        <v>16</v>
      </c>
      <c r="BM2098" s="548" t="s">
        <v>1341</v>
      </c>
      <c r="BN2098" s="548" t="s">
        <v>1339</v>
      </c>
      <c r="BO2098" s="157" t="s">
        <v>4362</v>
      </c>
      <c r="BP2098" s="548" t="s">
        <v>4363</v>
      </c>
      <c r="BQ2098" s="157" t="s">
        <v>4361</v>
      </c>
      <c r="BR2098" s="157"/>
    </row>
    <row r="2099" spans="1:70" x14ac:dyDescent="0.25">
      <c r="A2099" s="19" t="s">
        <v>3686</v>
      </c>
      <c r="B2099" s="37" t="s">
        <v>646</v>
      </c>
      <c r="C2099" s="90">
        <v>44289.677152777775</v>
      </c>
      <c r="D2099" s="114">
        <v>44289.427152777775</v>
      </c>
      <c r="E2099" s="38">
        <v>44289</v>
      </c>
      <c r="F2099" s="91">
        <v>2021</v>
      </c>
      <c r="G2099" s="93">
        <v>4</v>
      </c>
      <c r="H2099" s="37" t="s">
        <v>201</v>
      </c>
      <c r="I2099" s="37"/>
      <c r="J2099" s="103">
        <v>-92.100119165061443</v>
      </c>
      <c r="K2099" s="40">
        <v>44.036374513993728</v>
      </c>
      <c r="L2099" s="74"/>
      <c r="M2099" s="272" t="s">
        <v>647</v>
      </c>
      <c r="N2099" s="74">
        <v>1</v>
      </c>
      <c r="O2099" s="94"/>
      <c r="P2099" s="118">
        <v>1</v>
      </c>
      <c r="Q2099" s="510">
        <v>180</v>
      </c>
      <c r="R2099" s="513">
        <v>120</v>
      </c>
      <c r="S2099" s="41"/>
      <c r="T2099" s="40"/>
      <c r="U2099" s="40">
        <v>8</v>
      </c>
      <c r="V2099" s="119">
        <v>1</v>
      </c>
      <c r="W2099" s="40">
        <v>0</v>
      </c>
      <c r="X2099" s="119">
        <v>1</v>
      </c>
      <c r="Y2099" s="40">
        <v>45</v>
      </c>
      <c r="Z2099" s="119">
        <v>1</v>
      </c>
      <c r="AA2099" s="368">
        <v>0</v>
      </c>
      <c r="AB2099" s="535">
        <v>10</v>
      </c>
      <c r="AC2099" s="39" t="s">
        <v>160</v>
      </c>
      <c r="AD2099" s="75" t="s">
        <v>10</v>
      </c>
      <c r="AE2099" s="95">
        <v>0</v>
      </c>
      <c r="AF2099" s="75">
        <v>0</v>
      </c>
      <c r="AG2099" s="75">
        <v>0</v>
      </c>
      <c r="AH2099" s="75">
        <v>0</v>
      </c>
      <c r="AI2099" s="75">
        <v>0</v>
      </c>
      <c r="AJ2099" s="75">
        <v>0</v>
      </c>
      <c r="AK2099" s="75">
        <v>0</v>
      </c>
      <c r="AL2099" s="95">
        <v>1</v>
      </c>
      <c r="AM2099" s="92">
        <v>0</v>
      </c>
      <c r="AN2099" s="79" t="s">
        <v>80</v>
      </c>
      <c r="AO2099" s="75">
        <v>1</v>
      </c>
      <c r="AP2099" s="75" t="s">
        <v>83</v>
      </c>
      <c r="AQ2099" s="122">
        <v>1</v>
      </c>
      <c r="AR2099" s="515" t="s">
        <v>10</v>
      </c>
      <c r="AS2099" s="95">
        <v>0</v>
      </c>
      <c r="AT2099" s="75">
        <v>0</v>
      </c>
      <c r="AU2099" s="75">
        <v>0</v>
      </c>
      <c r="AV2099" s="75">
        <v>0</v>
      </c>
      <c r="AW2099" s="123">
        <v>0</v>
      </c>
      <c r="AX2099" s="516" t="s">
        <v>16</v>
      </c>
      <c r="AY2099" s="75">
        <v>0</v>
      </c>
      <c r="AZ2099" s="77" t="s">
        <v>131</v>
      </c>
      <c r="BA2099" s="78" t="s">
        <v>131</v>
      </c>
      <c r="BB2099" s="78" t="s">
        <v>131</v>
      </c>
      <c r="BC2099" s="78" t="s">
        <v>131</v>
      </c>
      <c r="BD2099" s="78" t="s">
        <v>131</v>
      </c>
      <c r="BE2099" s="78" t="s">
        <v>131</v>
      </c>
      <c r="BF2099" s="78" t="s">
        <v>131</v>
      </c>
      <c r="BG2099" s="78" t="s">
        <v>132</v>
      </c>
      <c r="BH2099" s="75" t="s">
        <v>5970</v>
      </c>
      <c r="BI2099" s="295" t="s">
        <v>2292</v>
      </c>
      <c r="BJ2099" s="546">
        <v>1</v>
      </c>
      <c r="BK2099" s="294" t="s">
        <v>16</v>
      </c>
      <c r="BL2099" s="157" t="s">
        <v>16</v>
      </c>
      <c r="BM2099" s="548" t="s">
        <v>1339</v>
      </c>
      <c r="BN2099" s="548" t="s">
        <v>578</v>
      </c>
      <c r="BO2099" s="157" t="s">
        <v>4364</v>
      </c>
      <c r="BP2099" s="548" t="s">
        <v>2292</v>
      </c>
      <c r="BQ2099" s="157" t="s">
        <v>4361</v>
      </c>
      <c r="BR2099" s="157"/>
    </row>
    <row r="2100" spans="1:70" x14ac:dyDescent="0.25">
      <c r="A2100" s="19" t="s">
        <v>3686</v>
      </c>
      <c r="B2100" s="37" t="s">
        <v>643</v>
      </c>
      <c r="C2100" s="90">
        <v>44289.671226851853</v>
      </c>
      <c r="D2100" s="114">
        <v>44289.421226851853</v>
      </c>
      <c r="E2100" s="38">
        <v>44289</v>
      </c>
      <c r="F2100" s="91">
        <v>2021</v>
      </c>
      <c r="G2100" s="93">
        <v>4</v>
      </c>
      <c r="H2100" s="37" t="s">
        <v>205</v>
      </c>
      <c r="I2100" s="37" t="s">
        <v>368</v>
      </c>
      <c r="J2100" s="103">
        <v>-92.331459022177526</v>
      </c>
      <c r="K2100" s="40">
        <v>44.746176431051303</v>
      </c>
      <c r="L2100" s="74"/>
      <c r="M2100" s="272" t="s">
        <v>644</v>
      </c>
      <c r="N2100" s="74">
        <v>1</v>
      </c>
      <c r="O2100" s="94"/>
      <c r="P2100" s="118">
        <v>1</v>
      </c>
      <c r="Q2100" s="510">
        <v>180</v>
      </c>
      <c r="R2100" s="513">
        <v>180</v>
      </c>
      <c r="S2100" s="41"/>
      <c r="T2100" s="40"/>
      <c r="U2100" s="40">
        <v>8</v>
      </c>
      <c r="V2100" s="119">
        <v>1</v>
      </c>
      <c r="W2100" s="40">
        <v>0</v>
      </c>
      <c r="X2100" s="119">
        <v>1</v>
      </c>
      <c r="Y2100" s="40">
        <v>43</v>
      </c>
      <c r="Z2100" s="119">
        <v>1</v>
      </c>
      <c r="AA2100" s="368">
        <v>0</v>
      </c>
      <c r="AB2100" s="535">
        <v>0</v>
      </c>
      <c r="AC2100" s="39" t="s">
        <v>160</v>
      </c>
      <c r="AD2100" s="75" t="s">
        <v>10</v>
      </c>
      <c r="AE2100" s="95">
        <v>0</v>
      </c>
      <c r="AF2100" s="75">
        <v>0</v>
      </c>
      <c r="AG2100" s="75">
        <v>0</v>
      </c>
      <c r="AH2100" s="75">
        <v>0</v>
      </c>
      <c r="AI2100" s="75">
        <v>0</v>
      </c>
      <c r="AJ2100" s="75">
        <v>0</v>
      </c>
      <c r="AK2100" s="75">
        <v>0</v>
      </c>
      <c r="AL2100" s="95">
        <v>1</v>
      </c>
      <c r="AM2100" s="92">
        <v>0</v>
      </c>
      <c r="AN2100" s="79" t="s">
        <v>80</v>
      </c>
      <c r="AO2100" s="75">
        <v>1</v>
      </c>
      <c r="AP2100" s="75" t="s">
        <v>83</v>
      </c>
      <c r="AQ2100" s="122">
        <v>1</v>
      </c>
      <c r="AR2100" s="515" t="s">
        <v>10</v>
      </c>
      <c r="AS2100" s="95">
        <v>0</v>
      </c>
      <c r="AT2100" s="75">
        <v>0</v>
      </c>
      <c r="AU2100" s="75">
        <v>0</v>
      </c>
      <c r="AV2100" s="75">
        <v>0</v>
      </c>
      <c r="AW2100" s="123">
        <v>0</v>
      </c>
      <c r="AX2100" s="516" t="s">
        <v>645</v>
      </c>
      <c r="AY2100" s="75">
        <v>1</v>
      </c>
      <c r="AZ2100" s="77" t="s">
        <v>131</v>
      </c>
      <c r="BA2100" s="78" t="s">
        <v>131</v>
      </c>
      <c r="BB2100" s="78" t="s">
        <v>131</v>
      </c>
      <c r="BC2100" s="78" t="s">
        <v>131</v>
      </c>
      <c r="BD2100" s="78" t="s">
        <v>131</v>
      </c>
      <c r="BE2100" s="78" t="s">
        <v>131</v>
      </c>
      <c r="BF2100" s="78" t="s">
        <v>131</v>
      </c>
      <c r="BG2100" s="78" t="s">
        <v>132</v>
      </c>
      <c r="BH2100" s="75" t="s">
        <v>5970</v>
      </c>
      <c r="BI2100" s="295" t="s">
        <v>2231</v>
      </c>
      <c r="BJ2100" s="546">
        <v>1</v>
      </c>
      <c r="BK2100" s="294">
        <v>1</v>
      </c>
      <c r="BL2100" s="157">
        <v>1</v>
      </c>
      <c r="BM2100" s="548" t="s">
        <v>578</v>
      </c>
      <c r="BN2100" s="548" t="s">
        <v>578</v>
      </c>
      <c r="BO2100" s="157" t="s">
        <v>4213</v>
      </c>
      <c r="BP2100" s="548" t="s">
        <v>4216</v>
      </c>
      <c r="BQ2100" s="157" t="s">
        <v>4212</v>
      </c>
      <c r="BR2100" s="157"/>
    </row>
    <row r="2101" spans="1:70" x14ac:dyDescent="0.25">
      <c r="A2101" s="19" t="s">
        <v>3686</v>
      </c>
      <c r="B2101" s="37" t="s">
        <v>641</v>
      </c>
      <c r="C2101" s="90">
        <v>44288.995289351849</v>
      </c>
      <c r="D2101" s="114">
        <v>44288.745289351849</v>
      </c>
      <c r="E2101" s="38">
        <v>44288</v>
      </c>
      <c r="F2101" s="91">
        <v>2021</v>
      </c>
      <c r="G2101" s="93">
        <v>4</v>
      </c>
      <c r="H2101" s="37" t="s">
        <v>379</v>
      </c>
      <c r="I2101" s="37" t="s">
        <v>642</v>
      </c>
      <c r="J2101" s="103">
        <v>-92.583471307767297</v>
      </c>
      <c r="K2101" s="40">
        <v>44.84885099590867</v>
      </c>
      <c r="L2101" s="74"/>
      <c r="M2101" s="272" t="s">
        <v>16</v>
      </c>
      <c r="N2101" s="74">
        <v>0</v>
      </c>
      <c r="O2101" s="94"/>
      <c r="P2101" s="118">
        <v>1</v>
      </c>
      <c r="Q2101" s="510">
        <v>180</v>
      </c>
      <c r="R2101" s="513">
        <v>180</v>
      </c>
      <c r="S2101" s="41"/>
      <c r="T2101" s="40"/>
      <c r="U2101" s="40">
        <v>7.5</v>
      </c>
      <c r="V2101" s="119">
        <v>1</v>
      </c>
      <c r="W2101" s="40">
        <v>0</v>
      </c>
      <c r="X2101" s="119">
        <v>1</v>
      </c>
      <c r="Y2101" s="40">
        <v>50</v>
      </c>
      <c r="Z2101" s="119">
        <v>1</v>
      </c>
      <c r="AA2101" s="368">
        <v>0</v>
      </c>
      <c r="AB2101" s="535">
        <v>2</v>
      </c>
      <c r="AC2101" s="39" t="s">
        <v>160</v>
      </c>
      <c r="AD2101" s="75" t="s">
        <v>16</v>
      </c>
      <c r="AE2101" s="95">
        <v>-1</v>
      </c>
      <c r="AF2101" s="75">
        <v>-1</v>
      </c>
      <c r="AG2101" s="75">
        <v>-1</v>
      </c>
      <c r="AH2101" s="75">
        <v>-1</v>
      </c>
      <c r="AI2101" s="75">
        <v>-1</v>
      </c>
      <c r="AJ2101" s="75">
        <v>-1</v>
      </c>
      <c r="AK2101" s="75">
        <v>-1</v>
      </c>
      <c r="AL2101" s="95">
        <v>-1</v>
      </c>
      <c r="AM2101" s="92">
        <v>1</v>
      </c>
      <c r="AN2101" s="79" t="s">
        <v>80</v>
      </c>
      <c r="AO2101" s="75">
        <v>1</v>
      </c>
      <c r="AP2101" s="75" t="s">
        <v>83</v>
      </c>
      <c r="AQ2101" s="122">
        <v>1</v>
      </c>
      <c r="AR2101" s="515" t="s">
        <v>10</v>
      </c>
      <c r="AS2101" s="95">
        <v>0</v>
      </c>
      <c r="AT2101" s="75">
        <v>0</v>
      </c>
      <c r="AU2101" s="75">
        <v>0</v>
      </c>
      <c r="AV2101" s="75">
        <v>0</v>
      </c>
      <c r="AW2101" s="123">
        <v>0</v>
      </c>
      <c r="AX2101" s="516"/>
      <c r="AY2101" s="75">
        <v>0</v>
      </c>
      <c r="AZ2101" s="77" t="s">
        <v>5971</v>
      </c>
      <c r="BA2101" s="78" t="s">
        <v>5971</v>
      </c>
      <c r="BB2101" s="78" t="s">
        <v>5971</v>
      </c>
      <c r="BC2101" s="78" t="s">
        <v>5971</v>
      </c>
      <c r="BD2101" s="78" t="s">
        <v>5971</v>
      </c>
      <c r="BE2101" s="78" t="s">
        <v>5971</v>
      </c>
      <c r="BF2101" s="78" t="s">
        <v>5971</v>
      </c>
      <c r="BG2101" s="78" t="s">
        <v>5971</v>
      </c>
      <c r="BH2101" s="75" t="s">
        <v>5971</v>
      </c>
      <c r="BI2101" s="295" t="s">
        <v>2226</v>
      </c>
      <c r="BJ2101" s="546">
        <v>1</v>
      </c>
      <c r="BK2101" s="294">
        <v>1</v>
      </c>
      <c r="BL2101" s="157">
        <v>1</v>
      </c>
      <c r="BM2101" s="548" t="s">
        <v>578</v>
      </c>
      <c r="BN2101" s="548" t="s">
        <v>578</v>
      </c>
      <c r="BO2101" s="157" t="s">
        <v>4310</v>
      </c>
      <c r="BP2101" s="548" t="s">
        <v>2226</v>
      </c>
      <c r="BQ2101" s="157" t="s">
        <v>4309</v>
      </c>
      <c r="BR2101" s="157"/>
    </row>
    <row r="2102" spans="1:70" x14ac:dyDescent="0.25">
      <c r="A2102" s="19" t="s">
        <v>3686</v>
      </c>
      <c r="B2102" s="37" t="s">
        <v>640</v>
      </c>
      <c r="C2102" s="90">
        <v>44286.572141203702</v>
      </c>
      <c r="D2102" s="114">
        <v>44286.322141203702</v>
      </c>
      <c r="E2102" s="38">
        <v>44286</v>
      </c>
      <c r="F2102" s="91">
        <v>2021</v>
      </c>
      <c r="G2102" s="93">
        <v>3</v>
      </c>
      <c r="H2102" s="37" t="s">
        <v>616</v>
      </c>
      <c r="I2102" s="37"/>
      <c r="J2102" s="103">
        <v>-90.681475500000005</v>
      </c>
      <c r="K2102" s="40">
        <v>42.493883699999998</v>
      </c>
      <c r="L2102" s="74"/>
      <c r="M2102" s="272" t="s">
        <v>16</v>
      </c>
      <c r="N2102" s="74">
        <v>0</v>
      </c>
      <c r="O2102" s="94"/>
      <c r="P2102" s="118">
        <v>0</v>
      </c>
      <c r="Q2102" s="510"/>
      <c r="R2102" s="513"/>
      <c r="S2102" s="41"/>
      <c r="T2102" s="40"/>
      <c r="U2102" s="40"/>
      <c r="V2102" s="119">
        <v>0</v>
      </c>
      <c r="W2102" s="40"/>
      <c r="X2102" s="119">
        <v>0</v>
      </c>
      <c r="Y2102" s="40"/>
      <c r="Z2102" s="119">
        <v>0</v>
      </c>
      <c r="AA2102" s="368" t="s">
        <v>16</v>
      </c>
      <c r="AB2102" s="535" t="s">
        <v>16</v>
      </c>
      <c r="AC2102" s="39" t="s">
        <v>160</v>
      </c>
      <c r="AD2102" s="75" t="s">
        <v>16</v>
      </c>
      <c r="AE2102" s="95">
        <v>-1</v>
      </c>
      <c r="AF2102" s="75">
        <v>-1</v>
      </c>
      <c r="AG2102" s="75">
        <v>-1</v>
      </c>
      <c r="AH2102" s="75">
        <v>-1</v>
      </c>
      <c r="AI2102" s="75">
        <v>-1</v>
      </c>
      <c r="AJ2102" s="75">
        <v>-1</v>
      </c>
      <c r="AK2102" s="75">
        <v>-1</v>
      </c>
      <c r="AL2102" s="95">
        <v>-1</v>
      </c>
      <c r="AM2102" s="92">
        <v>1</v>
      </c>
      <c r="AN2102" s="79"/>
      <c r="AO2102" s="75">
        <v>0</v>
      </c>
      <c r="AP2102" s="75"/>
      <c r="AQ2102" s="122">
        <v>0</v>
      </c>
      <c r="AR2102" s="515" t="s">
        <v>16</v>
      </c>
      <c r="AS2102" s="95">
        <v>-1</v>
      </c>
      <c r="AT2102" s="75">
        <v>-1</v>
      </c>
      <c r="AU2102" s="75">
        <v>-1</v>
      </c>
      <c r="AV2102" s="75">
        <v>-1</v>
      </c>
      <c r="AW2102" s="123">
        <v>1</v>
      </c>
      <c r="AX2102" s="516"/>
      <c r="AY2102" s="75">
        <v>0</v>
      </c>
      <c r="AZ2102" s="77" t="s">
        <v>5971</v>
      </c>
      <c r="BA2102" s="78" t="s">
        <v>5971</v>
      </c>
      <c r="BB2102" s="78" t="s">
        <v>5971</v>
      </c>
      <c r="BC2102" s="78" t="s">
        <v>5971</v>
      </c>
      <c r="BD2102" s="78" t="s">
        <v>5971</v>
      </c>
      <c r="BE2102" s="78" t="s">
        <v>5971</v>
      </c>
      <c r="BF2102" s="78" t="s">
        <v>5971</v>
      </c>
      <c r="BG2102" s="78" t="s">
        <v>5971</v>
      </c>
      <c r="BH2102" s="75" t="s">
        <v>5971</v>
      </c>
      <c r="BI2102" s="295" t="s">
        <v>16</v>
      </c>
      <c r="BJ2102" s="546" t="s">
        <v>16</v>
      </c>
      <c r="BK2102" s="294" t="s">
        <v>16</v>
      </c>
      <c r="BL2102" s="157" t="s">
        <v>16</v>
      </c>
      <c r="BM2102" s="548" t="s">
        <v>1347</v>
      </c>
      <c r="BN2102" s="548" t="s">
        <v>1347</v>
      </c>
      <c r="BO2102" s="157" t="s">
        <v>4751</v>
      </c>
      <c r="BP2102" s="548" t="s">
        <v>4753</v>
      </c>
      <c r="BQ2102" s="157" t="s">
        <v>4750</v>
      </c>
      <c r="BR2102" s="157"/>
    </row>
    <row r="2103" spans="1:70" x14ac:dyDescent="0.25">
      <c r="A2103" s="19" t="s">
        <v>3686</v>
      </c>
      <c r="B2103" s="37" t="s">
        <v>637</v>
      </c>
      <c r="C2103" s="90">
        <v>44283.885891203703</v>
      </c>
      <c r="D2103" s="114">
        <v>44283.635891203703</v>
      </c>
      <c r="E2103" s="38">
        <v>44283</v>
      </c>
      <c r="F2103" s="91">
        <v>2021</v>
      </c>
      <c r="G2103" s="93">
        <v>3</v>
      </c>
      <c r="H2103" s="37" t="s">
        <v>260</v>
      </c>
      <c r="I2103" s="37" t="s">
        <v>16</v>
      </c>
      <c r="J2103" s="103">
        <v>-92.578106152583359</v>
      </c>
      <c r="K2103" s="40">
        <v>44.725326708374297</v>
      </c>
      <c r="L2103" s="74"/>
      <c r="M2103" s="272" t="s">
        <v>638</v>
      </c>
      <c r="N2103" s="74">
        <v>1</v>
      </c>
      <c r="O2103" s="94"/>
      <c r="P2103" s="118">
        <v>1</v>
      </c>
      <c r="Q2103" s="510">
        <v>180</v>
      </c>
      <c r="R2103" s="513">
        <v>180</v>
      </c>
      <c r="S2103" s="41"/>
      <c r="T2103" s="40"/>
      <c r="U2103" s="40">
        <v>7.5</v>
      </c>
      <c r="V2103" s="119">
        <v>1</v>
      </c>
      <c r="W2103" s="40">
        <v>0</v>
      </c>
      <c r="X2103" s="119">
        <v>1</v>
      </c>
      <c r="Y2103" s="40">
        <v>44</v>
      </c>
      <c r="Z2103" s="119">
        <v>1</v>
      </c>
      <c r="AA2103" s="368">
        <v>0</v>
      </c>
      <c r="AB2103" s="535">
        <v>5</v>
      </c>
      <c r="AC2103" s="39" t="s">
        <v>160</v>
      </c>
      <c r="AD2103" s="75" t="s">
        <v>10</v>
      </c>
      <c r="AE2103" s="95">
        <v>0</v>
      </c>
      <c r="AF2103" s="75">
        <v>0</v>
      </c>
      <c r="AG2103" s="75">
        <v>0</v>
      </c>
      <c r="AH2103" s="75">
        <v>0</v>
      </c>
      <c r="AI2103" s="75">
        <v>0</v>
      </c>
      <c r="AJ2103" s="75">
        <v>0</v>
      </c>
      <c r="AK2103" s="75">
        <v>0</v>
      </c>
      <c r="AL2103" s="95">
        <v>1</v>
      </c>
      <c r="AM2103" s="92">
        <v>0</v>
      </c>
      <c r="AN2103" s="79"/>
      <c r="AO2103" s="75">
        <v>0</v>
      </c>
      <c r="AP2103" s="75"/>
      <c r="AQ2103" s="122">
        <v>0</v>
      </c>
      <c r="AR2103" s="515" t="s">
        <v>16</v>
      </c>
      <c r="AS2103" s="95">
        <v>-1</v>
      </c>
      <c r="AT2103" s="75">
        <v>-1</v>
      </c>
      <c r="AU2103" s="75">
        <v>-1</v>
      </c>
      <c r="AV2103" s="75">
        <v>-1</v>
      </c>
      <c r="AW2103" s="123">
        <v>1</v>
      </c>
      <c r="AX2103" s="516" t="s">
        <v>639</v>
      </c>
      <c r="AY2103" s="75">
        <v>1</v>
      </c>
      <c r="AZ2103" s="77" t="s">
        <v>131</v>
      </c>
      <c r="BA2103" s="78" t="s">
        <v>131</v>
      </c>
      <c r="BB2103" s="78" t="s">
        <v>131</v>
      </c>
      <c r="BC2103" s="78" t="s">
        <v>131</v>
      </c>
      <c r="BD2103" s="78" t="s">
        <v>131</v>
      </c>
      <c r="BE2103" s="78" t="s">
        <v>131</v>
      </c>
      <c r="BF2103" s="78" t="s">
        <v>131</v>
      </c>
      <c r="BG2103" s="78" t="s">
        <v>132</v>
      </c>
      <c r="BH2103" s="75" t="s">
        <v>5970</v>
      </c>
      <c r="BI2103" s="295" t="s">
        <v>2236</v>
      </c>
      <c r="BJ2103" s="546">
        <v>1</v>
      </c>
      <c r="BK2103" s="294" t="s">
        <v>16</v>
      </c>
      <c r="BL2103" s="157" t="s">
        <v>16</v>
      </c>
      <c r="BM2103" s="548" t="s">
        <v>578</v>
      </c>
      <c r="BN2103" s="548" t="s">
        <v>578</v>
      </c>
      <c r="BO2103" s="157" t="s">
        <v>4659</v>
      </c>
      <c r="BP2103" s="548" t="s">
        <v>4737</v>
      </c>
      <c r="BQ2103" s="157" t="s">
        <v>4657</v>
      </c>
      <c r="BR2103" s="157"/>
    </row>
    <row r="2104" spans="1:70" x14ac:dyDescent="0.25">
      <c r="A2104" s="19" t="s">
        <v>3686</v>
      </c>
      <c r="B2104" s="37" t="s">
        <v>635</v>
      </c>
      <c r="C2104" s="90">
        <v>44283.728946759256</v>
      </c>
      <c r="D2104" s="114">
        <v>44283.478946759256</v>
      </c>
      <c r="E2104" s="38">
        <v>44283</v>
      </c>
      <c r="F2104" s="91">
        <v>2021</v>
      </c>
      <c r="G2104" s="93">
        <v>3</v>
      </c>
      <c r="H2104" s="37" t="s">
        <v>617</v>
      </c>
      <c r="I2104" s="37" t="s">
        <v>2362</v>
      </c>
      <c r="J2104" s="103">
        <v>-92.284191828307044</v>
      </c>
      <c r="K2104" s="40">
        <v>44.542230656412002</v>
      </c>
      <c r="L2104" s="74"/>
      <c r="M2104" s="272" t="s">
        <v>636</v>
      </c>
      <c r="N2104" s="74">
        <v>1</v>
      </c>
      <c r="O2104" s="94"/>
      <c r="P2104" s="118">
        <v>1</v>
      </c>
      <c r="Q2104" s="510">
        <v>180</v>
      </c>
      <c r="R2104" s="513">
        <v>120</v>
      </c>
      <c r="S2104" s="41"/>
      <c r="T2104" s="40"/>
      <c r="U2104" s="40">
        <v>7.5</v>
      </c>
      <c r="V2104" s="119">
        <v>1</v>
      </c>
      <c r="W2104" s="40">
        <v>0</v>
      </c>
      <c r="X2104" s="119">
        <v>1</v>
      </c>
      <c r="Y2104" s="40">
        <v>48</v>
      </c>
      <c r="Z2104" s="119">
        <v>1</v>
      </c>
      <c r="AA2104" s="368">
        <v>0</v>
      </c>
      <c r="AB2104" s="535">
        <v>2</v>
      </c>
      <c r="AC2104" s="39" t="s">
        <v>160</v>
      </c>
      <c r="AD2104" s="75" t="s">
        <v>10</v>
      </c>
      <c r="AE2104" s="95">
        <v>0</v>
      </c>
      <c r="AF2104" s="75">
        <v>0</v>
      </c>
      <c r="AG2104" s="75">
        <v>0</v>
      </c>
      <c r="AH2104" s="75">
        <v>0</v>
      </c>
      <c r="AI2104" s="75">
        <v>0</v>
      </c>
      <c r="AJ2104" s="75">
        <v>0</v>
      </c>
      <c r="AK2104" s="75">
        <v>0</v>
      </c>
      <c r="AL2104" s="95">
        <v>1</v>
      </c>
      <c r="AM2104" s="92">
        <v>0</v>
      </c>
      <c r="AN2104" s="79" t="s">
        <v>80</v>
      </c>
      <c r="AO2104" s="75">
        <v>1</v>
      </c>
      <c r="AP2104" s="75" t="s">
        <v>83</v>
      </c>
      <c r="AQ2104" s="122">
        <v>1</v>
      </c>
      <c r="AR2104" s="515" t="s">
        <v>10</v>
      </c>
      <c r="AS2104" s="95">
        <v>0</v>
      </c>
      <c r="AT2104" s="75">
        <v>0</v>
      </c>
      <c r="AU2104" s="75">
        <v>0</v>
      </c>
      <c r="AV2104" s="75">
        <v>0</v>
      </c>
      <c r="AW2104" s="123">
        <v>0</v>
      </c>
      <c r="AX2104" s="516"/>
      <c r="AY2104" s="75">
        <v>0</v>
      </c>
      <c r="AZ2104" s="77" t="s">
        <v>131</v>
      </c>
      <c r="BA2104" s="78" t="s">
        <v>131</v>
      </c>
      <c r="BB2104" s="78" t="s">
        <v>131</v>
      </c>
      <c r="BC2104" s="78" t="s">
        <v>131</v>
      </c>
      <c r="BD2104" s="78" t="s">
        <v>131</v>
      </c>
      <c r="BE2104" s="78" t="s">
        <v>131</v>
      </c>
      <c r="BF2104" s="78" t="s">
        <v>131</v>
      </c>
      <c r="BG2104" s="78" t="s">
        <v>132</v>
      </c>
      <c r="BH2104" s="75" t="s">
        <v>5970</v>
      </c>
      <c r="BI2104" s="295" t="s">
        <v>2261</v>
      </c>
      <c r="BJ2104" s="546">
        <v>1</v>
      </c>
      <c r="BK2104" s="294">
        <v>1</v>
      </c>
      <c r="BL2104" s="157">
        <v>1</v>
      </c>
      <c r="BM2104" s="548" t="s">
        <v>1340</v>
      </c>
      <c r="BN2104" s="548" t="s">
        <v>578</v>
      </c>
      <c r="BO2104" s="157" t="s">
        <v>4268</v>
      </c>
      <c r="BP2104" s="548" t="s">
        <v>2261</v>
      </c>
      <c r="BQ2104" s="157" t="s">
        <v>4214</v>
      </c>
      <c r="BR2104" s="157"/>
    </row>
    <row r="2105" spans="1:70" x14ac:dyDescent="0.25">
      <c r="A2105" s="19" t="s">
        <v>3686</v>
      </c>
      <c r="B2105" s="37" t="s">
        <v>634</v>
      </c>
      <c r="C2105" s="90">
        <v>44283.722071759257</v>
      </c>
      <c r="D2105" s="114">
        <v>44283.472071759257</v>
      </c>
      <c r="E2105" s="38">
        <v>44283</v>
      </c>
      <c r="F2105" s="91">
        <v>2021</v>
      </c>
      <c r="G2105" s="93">
        <v>3</v>
      </c>
      <c r="H2105" s="37" t="s">
        <v>617</v>
      </c>
      <c r="I2105" s="37" t="s">
        <v>2362</v>
      </c>
      <c r="J2105" s="103">
        <v>-92.283337712373836</v>
      </c>
      <c r="K2105" s="40">
        <v>44.543928913813588</v>
      </c>
      <c r="L2105" s="74"/>
      <c r="M2105" s="272" t="s">
        <v>16</v>
      </c>
      <c r="N2105" s="74">
        <v>0</v>
      </c>
      <c r="O2105" s="94"/>
      <c r="P2105" s="118">
        <v>1</v>
      </c>
      <c r="Q2105" s="510">
        <v>180</v>
      </c>
      <c r="R2105" s="513">
        <v>120</v>
      </c>
      <c r="S2105" s="41"/>
      <c r="T2105" s="40"/>
      <c r="U2105" s="40">
        <v>7.5</v>
      </c>
      <c r="V2105" s="119">
        <v>1</v>
      </c>
      <c r="W2105" s="40">
        <v>0</v>
      </c>
      <c r="X2105" s="119">
        <v>1</v>
      </c>
      <c r="Y2105" s="40">
        <v>48</v>
      </c>
      <c r="Z2105" s="119">
        <v>1</v>
      </c>
      <c r="AA2105" s="368">
        <v>0</v>
      </c>
      <c r="AB2105" s="535">
        <v>2</v>
      </c>
      <c r="AC2105" s="39" t="s">
        <v>160</v>
      </c>
      <c r="AD2105" s="75" t="s">
        <v>10</v>
      </c>
      <c r="AE2105" s="95">
        <v>0</v>
      </c>
      <c r="AF2105" s="75">
        <v>0</v>
      </c>
      <c r="AG2105" s="75">
        <v>0</v>
      </c>
      <c r="AH2105" s="75">
        <v>0</v>
      </c>
      <c r="AI2105" s="75">
        <v>0</v>
      </c>
      <c r="AJ2105" s="75">
        <v>0</v>
      </c>
      <c r="AK2105" s="75">
        <v>0</v>
      </c>
      <c r="AL2105" s="95">
        <v>1</v>
      </c>
      <c r="AM2105" s="92">
        <v>0</v>
      </c>
      <c r="AN2105" s="79" t="s">
        <v>80</v>
      </c>
      <c r="AO2105" s="75">
        <v>1</v>
      </c>
      <c r="AP2105" s="75" t="s">
        <v>83</v>
      </c>
      <c r="AQ2105" s="122">
        <v>1</v>
      </c>
      <c r="AR2105" s="515" t="s">
        <v>10</v>
      </c>
      <c r="AS2105" s="95">
        <v>0</v>
      </c>
      <c r="AT2105" s="75">
        <v>0</v>
      </c>
      <c r="AU2105" s="75">
        <v>0</v>
      </c>
      <c r="AV2105" s="75">
        <v>0</v>
      </c>
      <c r="AW2105" s="123">
        <v>0</v>
      </c>
      <c r="AX2105" s="516"/>
      <c r="AY2105" s="75">
        <v>0</v>
      </c>
      <c r="AZ2105" s="77" t="s">
        <v>131</v>
      </c>
      <c r="BA2105" s="78" t="s">
        <v>131</v>
      </c>
      <c r="BB2105" s="78" t="s">
        <v>131</v>
      </c>
      <c r="BC2105" s="78" t="s">
        <v>131</v>
      </c>
      <c r="BD2105" s="78" t="s">
        <v>131</v>
      </c>
      <c r="BE2105" s="78" t="s">
        <v>131</v>
      </c>
      <c r="BF2105" s="78" t="s">
        <v>131</v>
      </c>
      <c r="BG2105" s="78" t="s">
        <v>132</v>
      </c>
      <c r="BH2105" s="75" t="s">
        <v>5970</v>
      </c>
      <c r="BI2105" s="295" t="s">
        <v>5931</v>
      </c>
      <c r="BJ2105" s="546">
        <v>1</v>
      </c>
      <c r="BK2105" s="294">
        <v>1</v>
      </c>
      <c r="BL2105" s="157">
        <v>1</v>
      </c>
      <c r="BM2105" s="548" t="s">
        <v>1340</v>
      </c>
      <c r="BN2105" s="548" t="s">
        <v>578</v>
      </c>
      <c r="BO2105" s="157" t="s">
        <v>4268</v>
      </c>
      <c r="BP2105" s="548" t="s">
        <v>2261</v>
      </c>
      <c r="BQ2105" s="157" t="s">
        <v>4214</v>
      </c>
      <c r="BR2105" s="157"/>
    </row>
    <row r="2106" spans="1:70" x14ac:dyDescent="0.25">
      <c r="A2106" s="19" t="s">
        <v>3686</v>
      </c>
      <c r="B2106" s="37" t="s">
        <v>631</v>
      </c>
      <c r="C2106" s="90">
        <v>44281.816435185188</v>
      </c>
      <c r="D2106" s="114">
        <v>44281.566435185188</v>
      </c>
      <c r="E2106" s="38">
        <v>44281</v>
      </c>
      <c r="F2106" s="91">
        <v>2021</v>
      </c>
      <c r="G2106" s="93">
        <v>3</v>
      </c>
      <c r="H2106" s="37" t="s">
        <v>302</v>
      </c>
      <c r="I2106" s="37"/>
      <c r="J2106" s="103">
        <v>-91.809458257852455</v>
      </c>
      <c r="K2106" s="40">
        <v>44.004705956599409</v>
      </c>
      <c r="L2106" s="74"/>
      <c r="M2106" s="272" t="s">
        <v>632</v>
      </c>
      <c r="N2106" s="74">
        <v>1</v>
      </c>
      <c r="O2106" s="94"/>
      <c r="P2106" s="118">
        <v>1</v>
      </c>
      <c r="Q2106" s="510">
        <v>180</v>
      </c>
      <c r="R2106" s="513">
        <v>180</v>
      </c>
      <c r="S2106" s="41"/>
      <c r="T2106" s="40"/>
      <c r="U2106" s="40">
        <v>7.5</v>
      </c>
      <c r="V2106" s="119">
        <v>0</v>
      </c>
      <c r="W2106" s="40"/>
      <c r="X2106" s="119">
        <v>0</v>
      </c>
      <c r="Y2106" s="40"/>
      <c r="Z2106" s="119">
        <v>1</v>
      </c>
      <c r="AA2106" s="368">
        <v>0</v>
      </c>
      <c r="AB2106" s="535">
        <v>5</v>
      </c>
      <c r="AC2106" s="39" t="s">
        <v>160</v>
      </c>
      <c r="AD2106" s="75" t="s">
        <v>9</v>
      </c>
      <c r="AE2106" s="95">
        <v>0</v>
      </c>
      <c r="AF2106" s="75">
        <v>0</v>
      </c>
      <c r="AG2106" s="75">
        <v>1</v>
      </c>
      <c r="AH2106" s="75">
        <v>0</v>
      </c>
      <c r="AI2106" s="75">
        <v>0</v>
      </c>
      <c r="AJ2106" s="75">
        <v>0</v>
      </c>
      <c r="AK2106" s="75">
        <v>0</v>
      </c>
      <c r="AL2106" s="95">
        <v>0</v>
      </c>
      <c r="AM2106" s="92">
        <v>0</v>
      </c>
      <c r="AN2106" s="79" t="s">
        <v>80</v>
      </c>
      <c r="AO2106" s="75">
        <v>1</v>
      </c>
      <c r="AP2106" s="75" t="s">
        <v>83</v>
      </c>
      <c r="AQ2106" s="122">
        <v>1</v>
      </c>
      <c r="AR2106" s="515" t="s">
        <v>10</v>
      </c>
      <c r="AS2106" s="95">
        <v>0</v>
      </c>
      <c r="AT2106" s="75">
        <v>0</v>
      </c>
      <c r="AU2106" s="75">
        <v>0</v>
      </c>
      <c r="AV2106" s="75">
        <v>0</v>
      </c>
      <c r="AW2106" s="123">
        <v>0</v>
      </c>
      <c r="AX2106" s="516" t="s">
        <v>633</v>
      </c>
      <c r="AY2106" s="75">
        <v>1</v>
      </c>
      <c r="AZ2106" s="77" t="s">
        <v>131</v>
      </c>
      <c r="BA2106" s="78" t="s">
        <v>131</v>
      </c>
      <c r="BB2106" s="78" t="s">
        <v>132</v>
      </c>
      <c r="BC2106" s="78" t="s">
        <v>131</v>
      </c>
      <c r="BD2106" s="78" t="s">
        <v>131</v>
      </c>
      <c r="BE2106" s="78" t="s">
        <v>131</v>
      </c>
      <c r="BF2106" s="78" t="s">
        <v>131</v>
      </c>
      <c r="BG2106" s="78" t="s">
        <v>131</v>
      </c>
      <c r="BH2106" s="75" t="s">
        <v>5970</v>
      </c>
      <c r="BI2106" s="295" t="s">
        <v>313</v>
      </c>
      <c r="BJ2106" s="546">
        <v>1</v>
      </c>
      <c r="BK2106" s="294">
        <v>1</v>
      </c>
      <c r="BL2106" s="157">
        <v>1</v>
      </c>
      <c r="BM2106" s="548" t="s">
        <v>1341</v>
      </c>
      <c r="BN2106" s="548" t="s">
        <v>4160</v>
      </c>
      <c r="BO2106" s="157" t="s">
        <v>4360</v>
      </c>
      <c r="BP2106" s="548" t="s">
        <v>313</v>
      </c>
      <c r="BQ2106" s="157" t="s">
        <v>4359</v>
      </c>
      <c r="BR2106" s="157"/>
    </row>
    <row r="2107" spans="1:70" x14ac:dyDescent="0.25">
      <c r="A2107" s="19" t="s">
        <v>3686</v>
      </c>
      <c r="B2107" s="37" t="s">
        <v>628</v>
      </c>
      <c r="C2107" s="90">
        <v>44280.720648148148</v>
      </c>
      <c r="D2107" s="114">
        <v>44280.470648148148</v>
      </c>
      <c r="E2107" s="38">
        <v>44280</v>
      </c>
      <c r="F2107" s="91">
        <v>2021</v>
      </c>
      <c r="G2107" s="93">
        <v>3</v>
      </c>
      <c r="H2107" s="37" t="s">
        <v>260</v>
      </c>
      <c r="I2107" s="37" t="s">
        <v>337</v>
      </c>
      <c r="J2107" s="103">
        <v>-92.644930737672695</v>
      </c>
      <c r="K2107" s="40">
        <v>44.843558665672525</v>
      </c>
      <c r="L2107" s="74"/>
      <c r="M2107" s="272" t="s">
        <v>629</v>
      </c>
      <c r="N2107" s="74">
        <v>1</v>
      </c>
      <c r="O2107" s="94"/>
      <c r="P2107" s="118">
        <v>1</v>
      </c>
      <c r="Q2107" s="510">
        <v>0</v>
      </c>
      <c r="R2107" s="513">
        <v>30</v>
      </c>
      <c r="S2107" s="41"/>
      <c r="T2107" s="40"/>
      <c r="U2107" s="40">
        <v>7</v>
      </c>
      <c r="V2107" s="119">
        <v>1</v>
      </c>
      <c r="W2107" s="40">
        <v>0</v>
      </c>
      <c r="X2107" s="119">
        <v>1</v>
      </c>
      <c r="Y2107" s="40">
        <v>43</v>
      </c>
      <c r="Z2107" s="119">
        <v>1</v>
      </c>
      <c r="AA2107" s="368">
        <v>0</v>
      </c>
      <c r="AB2107" s="535">
        <v>5</v>
      </c>
      <c r="AC2107" s="39" t="s">
        <v>160</v>
      </c>
      <c r="AD2107" s="75" t="s">
        <v>10</v>
      </c>
      <c r="AE2107" s="95">
        <v>0</v>
      </c>
      <c r="AF2107" s="75">
        <v>0</v>
      </c>
      <c r="AG2107" s="75">
        <v>0</v>
      </c>
      <c r="AH2107" s="75">
        <v>0</v>
      </c>
      <c r="AI2107" s="75">
        <v>0</v>
      </c>
      <c r="AJ2107" s="75">
        <v>0</v>
      </c>
      <c r="AK2107" s="75">
        <v>0</v>
      </c>
      <c r="AL2107" s="95">
        <v>1</v>
      </c>
      <c r="AM2107" s="92">
        <v>0</v>
      </c>
      <c r="AN2107" s="79" t="s">
        <v>81</v>
      </c>
      <c r="AO2107" s="75">
        <v>1</v>
      </c>
      <c r="AP2107" s="75" t="s">
        <v>84</v>
      </c>
      <c r="AQ2107" s="122">
        <v>1</v>
      </c>
      <c r="AR2107" s="515" t="s">
        <v>13</v>
      </c>
      <c r="AS2107" s="95">
        <v>1</v>
      </c>
      <c r="AT2107" s="75">
        <v>0</v>
      </c>
      <c r="AU2107" s="75">
        <v>0</v>
      </c>
      <c r="AV2107" s="75">
        <v>0</v>
      </c>
      <c r="AW2107" s="123">
        <v>0</v>
      </c>
      <c r="AX2107" s="516" t="s">
        <v>630</v>
      </c>
      <c r="AY2107" s="75">
        <v>1</v>
      </c>
      <c r="AZ2107" s="77" t="s">
        <v>131</v>
      </c>
      <c r="BA2107" s="78" t="s">
        <v>131</v>
      </c>
      <c r="BB2107" s="78" t="s">
        <v>131</v>
      </c>
      <c r="BC2107" s="78" t="s">
        <v>131</v>
      </c>
      <c r="BD2107" s="78" t="s">
        <v>131</v>
      </c>
      <c r="BE2107" s="78" t="s">
        <v>131</v>
      </c>
      <c r="BF2107" s="78" t="s">
        <v>131</v>
      </c>
      <c r="BG2107" s="78" t="s">
        <v>132</v>
      </c>
      <c r="BH2107" s="75" t="s">
        <v>5970</v>
      </c>
      <c r="BI2107" s="295" t="s">
        <v>2227</v>
      </c>
      <c r="BJ2107" s="546">
        <v>1</v>
      </c>
      <c r="BK2107" s="294" t="s">
        <v>16</v>
      </c>
      <c r="BL2107" s="157" t="s">
        <v>16</v>
      </c>
      <c r="BM2107" s="548" t="s">
        <v>578</v>
      </c>
      <c r="BN2107" s="548" t="s">
        <v>578</v>
      </c>
      <c r="BO2107" s="157" t="s">
        <v>4341</v>
      </c>
      <c r="BP2107" s="548" t="s">
        <v>4343</v>
      </c>
      <c r="BQ2107" s="157" t="s">
        <v>4309</v>
      </c>
      <c r="BR2107" s="157"/>
    </row>
    <row r="2108" spans="1:70" x14ac:dyDescent="0.25">
      <c r="A2108" s="19" t="s">
        <v>3686</v>
      </c>
      <c r="B2108" s="37" t="s">
        <v>508</v>
      </c>
      <c r="C2108" s="90">
        <v>44276.842870370368</v>
      </c>
      <c r="D2108" s="114">
        <v>44276.592870370368</v>
      </c>
      <c r="E2108" s="38">
        <v>44276</v>
      </c>
      <c r="F2108" s="91">
        <v>2021</v>
      </c>
      <c r="G2108" s="93">
        <v>3</v>
      </c>
      <c r="H2108" s="37" t="s">
        <v>260</v>
      </c>
      <c r="I2108" s="37" t="s">
        <v>337</v>
      </c>
      <c r="J2108" s="103">
        <v>-92.644962701093263</v>
      </c>
      <c r="K2108" s="40">
        <v>44.843542786206477</v>
      </c>
      <c r="L2108" s="74"/>
      <c r="M2108" s="272" t="s">
        <v>509</v>
      </c>
      <c r="N2108" s="74">
        <v>1</v>
      </c>
      <c r="O2108" s="94"/>
      <c r="P2108" s="118">
        <v>1</v>
      </c>
      <c r="Q2108" s="510">
        <v>120</v>
      </c>
      <c r="R2108" s="513">
        <v>120</v>
      </c>
      <c r="S2108" s="41"/>
      <c r="T2108" s="40"/>
      <c r="U2108" s="40">
        <v>8</v>
      </c>
      <c r="V2108" s="119">
        <v>1</v>
      </c>
      <c r="W2108" s="40">
        <v>0</v>
      </c>
      <c r="X2108" s="119">
        <v>1</v>
      </c>
      <c r="Y2108" s="40">
        <v>47</v>
      </c>
      <c r="Z2108" s="119">
        <v>1</v>
      </c>
      <c r="AA2108" s="368">
        <v>0</v>
      </c>
      <c r="AB2108" s="535">
        <v>10</v>
      </c>
      <c r="AC2108" s="39" t="s">
        <v>160</v>
      </c>
      <c r="AD2108" s="75" t="s">
        <v>10</v>
      </c>
      <c r="AE2108" s="95">
        <v>0</v>
      </c>
      <c r="AF2108" s="75">
        <v>0</v>
      </c>
      <c r="AG2108" s="75">
        <v>0</v>
      </c>
      <c r="AH2108" s="75">
        <v>0</v>
      </c>
      <c r="AI2108" s="75">
        <v>0</v>
      </c>
      <c r="AJ2108" s="75">
        <v>0</v>
      </c>
      <c r="AK2108" s="75">
        <v>0</v>
      </c>
      <c r="AL2108" s="95">
        <v>1</v>
      </c>
      <c r="AM2108" s="92">
        <v>0</v>
      </c>
      <c r="AN2108" s="79" t="s">
        <v>80</v>
      </c>
      <c r="AO2108" s="75">
        <v>1</v>
      </c>
      <c r="AP2108" s="75" t="s">
        <v>83</v>
      </c>
      <c r="AQ2108" s="122">
        <v>1</v>
      </c>
      <c r="AR2108" s="515" t="s">
        <v>10</v>
      </c>
      <c r="AS2108" s="95">
        <v>0</v>
      </c>
      <c r="AT2108" s="75">
        <v>0</v>
      </c>
      <c r="AU2108" s="75">
        <v>0</v>
      </c>
      <c r="AV2108" s="75">
        <v>0</v>
      </c>
      <c r="AW2108" s="123">
        <v>0</v>
      </c>
      <c r="AX2108" s="516" t="s">
        <v>510</v>
      </c>
      <c r="AY2108" s="75">
        <v>1</v>
      </c>
      <c r="AZ2108" s="77" t="s">
        <v>131</v>
      </c>
      <c r="BA2108" s="78" t="s">
        <v>131</v>
      </c>
      <c r="BB2108" s="78" t="s">
        <v>131</v>
      </c>
      <c r="BC2108" s="78" t="s">
        <v>131</v>
      </c>
      <c r="BD2108" s="78" t="s">
        <v>131</v>
      </c>
      <c r="BE2108" s="78" t="s">
        <v>131</v>
      </c>
      <c r="BF2108" s="78" t="s">
        <v>131</v>
      </c>
      <c r="BG2108" s="78" t="s">
        <v>132</v>
      </c>
      <c r="BH2108" s="75" t="s">
        <v>5970</v>
      </c>
      <c r="BI2108" s="295" t="s">
        <v>2227</v>
      </c>
      <c r="BJ2108" s="546">
        <v>1</v>
      </c>
      <c r="BK2108" s="294" t="s">
        <v>16</v>
      </c>
      <c r="BL2108" s="157" t="s">
        <v>16</v>
      </c>
      <c r="BM2108" s="548" t="s">
        <v>578</v>
      </c>
      <c r="BN2108" s="548" t="s">
        <v>578</v>
      </c>
      <c r="BO2108" s="157" t="s">
        <v>4341</v>
      </c>
      <c r="BP2108" s="548" t="s">
        <v>4343</v>
      </c>
      <c r="BQ2108" s="157" t="s">
        <v>4309</v>
      </c>
      <c r="BR2108" s="157"/>
    </row>
    <row r="2109" spans="1:70" x14ac:dyDescent="0.25">
      <c r="A2109" s="19" t="s">
        <v>3686</v>
      </c>
      <c r="B2109" s="37" t="s">
        <v>507</v>
      </c>
      <c r="C2109" s="90">
        <v>44275.911307870374</v>
      </c>
      <c r="D2109" s="114">
        <v>44275.661307870374</v>
      </c>
      <c r="E2109" s="38">
        <v>44275</v>
      </c>
      <c r="F2109" s="91">
        <v>2021</v>
      </c>
      <c r="G2109" s="93">
        <v>3</v>
      </c>
      <c r="H2109" s="37" t="s">
        <v>379</v>
      </c>
      <c r="I2109" s="37" t="s">
        <v>146</v>
      </c>
      <c r="J2109" s="103">
        <v>-92.583265400000002</v>
      </c>
      <c r="K2109" s="40">
        <v>44.8483789</v>
      </c>
      <c r="L2109" s="74"/>
      <c r="M2109" s="272" t="s">
        <v>16</v>
      </c>
      <c r="N2109" s="74">
        <v>0</v>
      </c>
      <c r="O2109" s="94"/>
      <c r="P2109" s="118">
        <v>1</v>
      </c>
      <c r="Q2109" s="510">
        <v>180</v>
      </c>
      <c r="R2109" s="513">
        <v>180</v>
      </c>
      <c r="S2109" s="41"/>
      <c r="T2109" s="40"/>
      <c r="U2109" s="40">
        <v>7.5</v>
      </c>
      <c r="V2109" s="119">
        <v>1</v>
      </c>
      <c r="W2109" s="40">
        <v>0</v>
      </c>
      <c r="X2109" s="119">
        <v>0</v>
      </c>
      <c r="Y2109" s="40"/>
      <c r="Z2109" s="119">
        <v>0</v>
      </c>
      <c r="AA2109" s="368" t="s">
        <v>16</v>
      </c>
      <c r="AB2109" s="535" t="s">
        <v>16</v>
      </c>
      <c r="AC2109" s="39" t="s">
        <v>160</v>
      </c>
      <c r="AD2109" s="75" t="s">
        <v>16</v>
      </c>
      <c r="AE2109" s="95">
        <v>-1</v>
      </c>
      <c r="AF2109" s="75">
        <v>-1</v>
      </c>
      <c r="AG2109" s="75">
        <v>-1</v>
      </c>
      <c r="AH2109" s="75">
        <v>-1</v>
      </c>
      <c r="AI2109" s="75">
        <v>-1</v>
      </c>
      <c r="AJ2109" s="75">
        <v>-1</v>
      </c>
      <c r="AK2109" s="75">
        <v>-1</v>
      </c>
      <c r="AL2109" s="95">
        <v>-1</v>
      </c>
      <c r="AM2109" s="92">
        <v>1</v>
      </c>
      <c r="AN2109" s="79" t="s">
        <v>80</v>
      </c>
      <c r="AO2109" s="75">
        <v>1</v>
      </c>
      <c r="AP2109" s="75" t="s">
        <v>83</v>
      </c>
      <c r="AQ2109" s="122">
        <v>1</v>
      </c>
      <c r="AR2109" s="515" t="s">
        <v>10</v>
      </c>
      <c r="AS2109" s="95">
        <v>0</v>
      </c>
      <c r="AT2109" s="75">
        <v>0</v>
      </c>
      <c r="AU2109" s="75">
        <v>0</v>
      </c>
      <c r="AV2109" s="75">
        <v>0</v>
      </c>
      <c r="AW2109" s="123">
        <v>0</v>
      </c>
      <c r="AX2109" s="516"/>
      <c r="AY2109" s="75">
        <v>0</v>
      </c>
      <c r="AZ2109" s="77" t="s">
        <v>5971</v>
      </c>
      <c r="BA2109" s="78" t="s">
        <v>5971</v>
      </c>
      <c r="BB2109" s="78" t="s">
        <v>5971</v>
      </c>
      <c r="BC2109" s="78" t="s">
        <v>5971</v>
      </c>
      <c r="BD2109" s="78" t="s">
        <v>5971</v>
      </c>
      <c r="BE2109" s="78" t="s">
        <v>5971</v>
      </c>
      <c r="BF2109" s="78" t="s">
        <v>5971</v>
      </c>
      <c r="BG2109" s="78" t="s">
        <v>5971</v>
      </c>
      <c r="BH2109" s="75" t="s">
        <v>5971</v>
      </c>
      <c r="BI2109" s="295" t="s">
        <v>2226</v>
      </c>
      <c r="BJ2109" s="546">
        <v>1</v>
      </c>
      <c r="BK2109" s="294">
        <v>1</v>
      </c>
      <c r="BL2109" s="157">
        <v>1</v>
      </c>
      <c r="BM2109" s="548" t="s">
        <v>578</v>
      </c>
      <c r="BN2109" s="548" t="s">
        <v>578</v>
      </c>
      <c r="BO2109" s="157" t="s">
        <v>4310</v>
      </c>
      <c r="BP2109" s="548" t="s">
        <v>2226</v>
      </c>
      <c r="BQ2109" s="157" t="s">
        <v>4309</v>
      </c>
      <c r="BR2109" s="157"/>
    </row>
    <row r="2110" spans="1:70" x14ac:dyDescent="0.25">
      <c r="A2110" s="19" t="s">
        <v>3686</v>
      </c>
      <c r="B2110" s="37" t="s">
        <v>505</v>
      </c>
      <c r="C2110" s="90">
        <v>44275.01525462963</v>
      </c>
      <c r="D2110" s="114">
        <v>44274.76525462963</v>
      </c>
      <c r="E2110" s="38">
        <v>44274</v>
      </c>
      <c r="F2110" s="91">
        <v>2021</v>
      </c>
      <c r="G2110" s="93">
        <v>3</v>
      </c>
      <c r="H2110" s="37" t="s">
        <v>205</v>
      </c>
      <c r="I2110" s="37" t="s">
        <v>368</v>
      </c>
      <c r="J2110" s="103">
        <v>-92.331246806318447</v>
      </c>
      <c r="K2110" s="40">
        <v>44.746032949276255</v>
      </c>
      <c r="L2110" s="74"/>
      <c r="M2110" s="272" t="s">
        <v>16</v>
      </c>
      <c r="N2110" s="74">
        <v>0</v>
      </c>
      <c r="O2110" s="94"/>
      <c r="P2110" s="118">
        <v>1</v>
      </c>
      <c r="Q2110" s="510">
        <v>180</v>
      </c>
      <c r="R2110" s="513">
        <v>120</v>
      </c>
      <c r="S2110" s="41"/>
      <c r="T2110" s="40"/>
      <c r="U2110" s="40">
        <v>7</v>
      </c>
      <c r="V2110" s="119">
        <v>1</v>
      </c>
      <c r="W2110" s="40">
        <v>100</v>
      </c>
      <c r="X2110" s="119">
        <v>1</v>
      </c>
      <c r="Y2110" s="40">
        <v>43</v>
      </c>
      <c r="Z2110" s="119">
        <v>1</v>
      </c>
      <c r="AA2110" s="368">
        <v>0</v>
      </c>
      <c r="AB2110" s="535">
        <v>2</v>
      </c>
      <c r="AC2110" s="39" t="s">
        <v>160</v>
      </c>
      <c r="AD2110" s="75" t="s">
        <v>16</v>
      </c>
      <c r="AE2110" s="95">
        <v>-1</v>
      </c>
      <c r="AF2110" s="75">
        <v>-1</v>
      </c>
      <c r="AG2110" s="75">
        <v>-1</v>
      </c>
      <c r="AH2110" s="75">
        <v>-1</v>
      </c>
      <c r="AI2110" s="75">
        <v>-1</v>
      </c>
      <c r="AJ2110" s="75">
        <v>-1</v>
      </c>
      <c r="AK2110" s="75">
        <v>-1</v>
      </c>
      <c r="AL2110" s="95">
        <v>-1</v>
      </c>
      <c r="AM2110" s="92">
        <v>1</v>
      </c>
      <c r="AN2110" s="79" t="s">
        <v>80</v>
      </c>
      <c r="AO2110" s="75">
        <v>1</v>
      </c>
      <c r="AP2110" s="75" t="s">
        <v>83</v>
      </c>
      <c r="AQ2110" s="122">
        <v>1</v>
      </c>
      <c r="AR2110" s="515" t="s">
        <v>10</v>
      </c>
      <c r="AS2110" s="95">
        <v>0</v>
      </c>
      <c r="AT2110" s="75">
        <v>0</v>
      </c>
      <c r="AU2110" s="75">
        <v>0</v>
      </c>
      <c r="AV2110" s="75">
        <v>0</v>
      </c>
      <c r="AW2110" s="123">
        <v>0</v>
      </c>
      <c r="AX2110" s="516" t="s">
        <v>506</v>
      </c>
      <c r="AY2110" s="75">
        <v>1</v>
      </c>
      <c r="AZ2110" s="77" t="s">
        <v>5971</v>
      </c>
      <c r="BA2110" s="78" t="s">
        <v>5971</v>
      </c>
      <c r="BB2110" s="78" t="s">
        <v>5971</v>
      </c>
      <c r="BC2110" s="78" t="s">
        <v>5971</v>
      </c>
      <c r="BD2110" s="78" t="s">
        <v>5971</v>
      </c>
      <c r="BE2110" s="78" t="s">
        <v>5971</v>
      </c>
      <c r="BF2110" s="78" t="s">
        <v>5971</v>
      </c>
      <c r="BG2110" s="78" t="s">
        <v>5971</v>
      </c>
      <c r="BH2110" s="75" t="s">
        <v>5971</v>
      </c>
      <c r="BI2110" s="295" t="s">
        <v>2231</v>
      </c>
      <c r="BJ2110" s="546">
        <v>1</v>
      </c>
      <c r="BK2110" s="294">
        <v>1</v>
      </c>
      <c r="BL2110" s="157">
        <v>1</v>
      </c>
      <c r="BM2110" s="548" t="s">
        <v>578</v>
      </c>
      <c r="BN2110" s="548" t="s">
        <v>578</v>
      </c>
      <c r="BO2110" s="157" t="s">
        <v>4213</v>
      </c>
      <c r="BP2110" s="548" t="s">
        <v>4216</v>
      </c>
      <c r="BQ2110" s="157" t="s">
        <v>4212</v>
      </c>
      <c r="BR2110" s="157"/>
    </row>
    <row r="2111" spans="1:70" x14ac:dyDescent="0.25">
      <c r="A2111" s="19" t="s">
        <v>3686</v>
      </c>
      <c r="B2111" s="37" t="s">
        <v>503</v>
      </c>
      <c r="C2111" s="90">
        <v>44274.856377314813</v>
      </c>
      <c r="D2111" s="114">
        <v>44274.606377314813</v>
      </c>
      <c r="E2111" s="38">
        <v>44274</v>
      </c>
      <c r="F2111" s="91">
        <v>2021</v>
      </c>
      <c r="G2111" s="93">
        <v>3</v>
      </c>
      <c r="H2111" s="37" t="s">
        <v>504</v>
      </c>
      <c r="I2111" s="37" t="s">
        <v>16</v>
      </c>
      <c r="J2111" s="103">
        <v>-92.313997400000005</v>
      </c>
      <c r="K2111" s="40">
        <v>44.729865099999998</v>
      </c>
      <c r="L2111" s="74"/>
      <c r="M2111" s="272" t="s">
        <v>16</v>
      </c>
      <c r="N2111" s="74">
        <v>0</v>
      </c>
      <c r="O2111" s="94"/>
      <c r="P2111" s="118">
        <v>1</v>
      </c>
      <c r="Q2111" s="510">
        <v>120</v>
      </c>
      <c r="R2111" s="513">
        <v>120</v>
      </c>
      <c r="S2111" s="41"/>
      <c r="T2111" s="40"/>
      <c r="U2111" s="40">
        <v>8</v>
      </c>
      <c r="V2111" s="119">
        <v>0</v>
      </c>
      <c r="W2111" s="40"/>
      <c r="X2111" s="119">
        <v>0</v>
      </c>
      <c r="Y2111" s="40"/>
      <c r="Z2111" s="119">
        <v>0</v>
      </c>
      <c r="AA2111" s="368" t="s">
        <v>16</v>
      </c>
      <c r="AB2111" s="535" t="s">
        <v>16</v>
      </c>
      <c r="AC2111" s="39" t="s">
        <v>160</v>
      </c>
      <c r="AD2111" s="75" t="s">
        <v>10</v>
      </c>
      <c r="AE2111" s="95">
        <v>0</v>
      </c>
      <c r="AF2111" s="75">
        <v>0</v>
      </c>
      <c r="AG2111" s="75">
        <v>0</v>
      </c>
      <c r="AH2111" s="75">
        <v>0</v>
      </c>
      <c r="AI2111" s="75">
        <v>0</v>
      </c>
      <c r="AJ2111" s="75">
        <v>0</v>
      </c>
      <c r="AK2111" s="75">
        <v>0</v>
      </c>
      <c r="AL2111" s="95">
        <v>1</v>
      </c>
      <c r="AM2111" s="92">
        <v>0</v>
      </c>
      <c r="AN2111" s="79" t="s">
        <v>80</v>
      </c>
      <c r="AO2111" s="75">
        <v>1</v>
      </c>
      <c r="AP2111" s="75" t="s">
        <v>83</v>
      </c>
      <c r="AQ2111" s="122">
        <v>1</v>
      </c>
      <c r="AR2111" s="515" t="s">
        <v>10</v>
      </c>
      <c r="AS2111" s="95">
        <v>0</v>
      </c>
      <c r="AT2111" s="75">
        <v>0</v>
      </c>
      <c r="AU2111" s="75">
        <v>0</v>
      </c>
      <c r="AV2111" s="75">
        <v>0</v>
      </c>
      <c r="AW2111" s="123">
        <v>0</v>
      </c>
      <c r="AX2111" s="516"/>
      <c r="AY2111" s="75">
        <v>0</v>
      </c>
      <c r="AZ2111" s="77" t="s">
        <v>131</v>
      </c>
      <c r="BA2111" s="78" t="s">
        <v>131</v>
      </c>
      <c r="BB2111" s="78" t="s">
        <v>131</v>
      </c>
      <c r="BC2111" s="78" t="s">
        <v>131</v>
      </c>
      <c r="BD2111" s="78" t="s">
        <v>131</v>
      </c>
      <c r="BE2111" s="78" t="s">
        <v>131</v>
      </c>
      <c r="BF2111" s="78" t="s">
        <v>131</v>
      </c>
      <c r="BG2111" s="78" t="s">
        <v>132</v>
      </c>
      <c r="BH2111" s="75" t="s">
        <v>5970</v>
      </c>
      <c r="BI2111" s="295" t="s">
        <v>2318</v>
      </c>
      <c r="BJ2111" s="546">
        <v>1</v>
      </c>
      <c r="BK2111" s="294">
        <v>1</v>
      </c>
      <c r="BL2111" s="157">
        <v>1</v>
      </c>
      <c r="BM2111" s="548" t="s">
        <v>578</v>
      </c>
      <c r="BN2111" s="548" t="s">
        <v>4161</v>
      </c>
      <c r="BO2111" s="157" t="s">
        <v>4754</v>
      </c>
      <c r="BP2111" s="548" t="s">
        <v>2318</v>
      </c>
      <c r="BQ2111" s="157" t="s">
        <v>4212</v>
      </c>
      <c r="BR2111" s="157"/>
    </row>
    <row r="2112" spans="1:70" x14ac:dyDescent="0.25">
      <c r="A2112" s="19" t="s">
        <v>3686</v>
      </c>
      <c r="B2112" s="37" t="s">
        <v>502</v>
      </c>
      <c r="C2112" s="90">
        <v>44273.794398148151</v>
      </c>
      <c r="D2112" s="114">
        <v>44273.544398148151</v>
      </c>
      <c r="E2112" s="38">
        <v>44273</v>
      </c>
      <c r="F2112" s="91">
        <v>2021</v>
      </c>
      <c r="G2112" s="93">
        <v>3</v>
      </c>
      <c r="H2112" s="37" t="s">
        <v>461</v>
      </c>
      <c r="I2112" s="37"/>
      <c r="J2112" s="103">
        <v>-92.147016953762758</v>
      </c>
      <c r="K2112" s="40">
        <v>44.793199882884323</v>
      </c>
      <c r="L2112" s="74"/>
      <c r="M2112" s="272" t="s">
        <v>501</v>
      </c>
      <c r="N2112" s="74">
        <v>1</v>
      </c>
      <c r="O2112" s="94"/>
      <c r="P2112" s="118">
        <v>1</v>
      </c>
      <c r="Q2112" s="510">
        <v>40</v>
      </c>
      <c r="R2112" s="513">
        <v>0</v>
      </c>
      <c r="S2112" s="41"/>
      <c r="T2112" s="40"/>
      <c r="U2112" s="40">
        <v>7.5</v>
      </c>
      <c r="V2112" s="119">
        <v>1</v>
      </c>
      <c r="W2112" s="40">
        <v>0</v>
      </c>
      <c r="X2112" s="119">
        <v>0</v>
      </c>
      <c r="Y2112" s="40"/>
      <c r="Z2112" s="119">
        <v>1</v>
      </c>
      <c r="AA2112" s="368">
        <v>0</v>
      </c>
      <c r="AB2112" s="535">
        <v>2</v>
      </c>
      <c r="AC2112" s="39" t="s">
        <v>160</v>
      </c>
      <c r="AD2112" s="75" t="s">
        <v>10</v>
      </c>
      <c r="AE2112" s="95">
        <v>0</v>
      </c>
      <c r="AF2112" s="75">
        <v>0</v>
      </c>
      <c r="AG2112" s="75">
        <v>0</v>
      </c>
      <c r="AH2112" s="75">
        <v>0</v>
      </c>
      <c r="AI2112" s="75">
        <v>0</v>
      </c>
      <c r="AJ2112" s="75">
        <v>0</v>
      </c>
      <c r="AK2112" s="75">
        <v>0</v>
      </c>
      <c r="AL2112" s="95">
        <v>1</v>
      </c>
      <c r="AM2112" s="92">
        <v>0</v>
      </c>
      <c r="AN2112" s="79" t="s">
        <v>80</v>
      </c>
      <c r="AO2112" s="75">
        <v>1</v>
      </c>
      <c r="AP2112" s="75" t="s">
        <v>83</v>
      </c>
      <c r="AQ2112" s="122">
        <v>1</v>
      </c>
      <c r="AR2112" s="515" t="s">
        <v>16</v>
      </c>
      <c r="AS2112" s="95">
        <v>-1</v>
      </c>
      <c r="AT2112" s="75">
        <v>-1</v>
      </c>
      <c r="AU2112" s="75">
        <v>-1</v>
      </c>
      <c r="AV2112" s="75">
        <v>-1</v>
      </c>
      <c r="AW2112" s="123">
        <v>1</v>
      </c>
      <c r="AX2112" s="516"/>
      <c r="AY2112" s="75">
        <v>0</v>
      </c>
      <c r="AZ2112" s="77" t="s">
        <v>131</v>
      </c>
      <c r="BA2112" s="78" t="s">
        <v>131</v>
      </c>
      <c r="BB2112" s="78" t="s">
        <v>131</v>
      </c>
      <c r="BC2112" s="78" t="s">
        <v>131</v>
      </c>
      <c r="BD2112" s="78" t="s">
        <v>131</v>
      </c>
      <c r="BE2112" s="78" t="s">
        <v>131</v>
      </c>
      <c r="BF2112" s="78" t="s">
        <v>131</v>
      </c>
      <c r="BG2112" s="78" t="s">
        <v>132</v>
      </c>
      <c r="BH2112" s="75" t="s">
        <v>5970</v>
      </c>
      <c r="BI2112" s="295" t="s">
        <v>2270</v>
      </c>
      <c r="BJ2112" s="546">
        <v>1</v>
      </c>
      <c r="BK2112" s="294">
        <v>1</v>
      </c>
      <c r="BL2112" s="157">
        <v>1</v>
      </c>
      <c r="BM2112" s="548" t="s">
        <v>578</v>
      </c>
      <c r="BN2112" s="548" t="s">
        <v>578</v>
      </c>
      <c r="BO2112" s="157" t="s">
        <v>4317</v>
      </c>
      <c r="BP2112" s="548" t="s">
        <v>2270</v>
      </c>
      <c r="BQ2112" s="157" t="s">
        <v>4316</v>
      </c>
      <c r="BR2112" s="157"/>
    </row>
    <row r="2113" spans="1:70" x14ac:dyDescent="0.25">
      <c r="A2113" s="19" t="s">
        <v>3686</v>
      </c>
      <c r="B2113" s="37" t="s">
        <v>500</v>
      </c>
      <c r="C2113" s="90">
        <v>44273.794108796297</v>
      </c>
      <c r="D2113" s="114">
        <v>44273.544108796297</v>
      </c>
      <c r="E2113" s="38">
        <v>44273</v>
      </c>
      <c r="F2113" s="91">
        <v>2021</v>
      </c>
      <c r="G2113" s="93">
        <v>3</v>
      </c>
      <c r="H2113" s="37" t="s">
        <v>461</v>
      </c>
      <c r="I2113" s="37"/>
      <c r="J2113" s="103">
        <v>-92.147012092258919</v>
      </c>
      <c r="K2113" s="40">
        <v>44.793178467121713</v>
      </c>
      <c r="L2113" s="74"/>
      <c r="M2113" s="272" t="s">
        <v>501</v>
      </c>
      <c r="N2113" s="74">
        <v>1</v>
      </c>
      <c r="O2113" s="94"/>
      <c r="P2113" s="118">
        <v>1</v>
      </c>
      <c r="Q2113" s="510">
        <v>40</v>
      </c>
      <c r="R2113" s="513">
        <v>0</v>
      </c>
      <c r="S2113" s="41"/>
      <c r="T2113" s="40"/>
      <c r="U2113" s="40">
        <v>7.5</v>
      </c>
      <c r="V2113" s="119">
        <v>1</v>
      </c>
      <c r="W2113" s="40">
        <v>0</v>
      </c>
      <c r="X2113" s="119">
        <v>0</v>
      </c>
      <c r="Y2113" s="40"/>
      <c r="Z2113" s="119">
        <v>1</v>
      </c>
      <c r="AA2113" s="368">
        <v>0</v>
      </c>
      <c r="AB2113" s="535">
        <v>2</v>
      </c>
      <c r="AC2113" s="39" t="s">
        <v>160</v>
      </c>
      <c r="AD2113" s="75" t="s">
        <v>10</v>
      </c>
      <c r="AE2113" s="95">
        <v>0</v>
      </c>
      <c r="AF2113" s="75">
        <v>0</v>
      </c>
      <c r="AG2113" s="75">
        <v>0</v>
      </c>
      <c r="AH2113" s="75">
        <v>0</v>
      </c>
      <c r="AI2113" s="75">
        <v>0</v>
      </c>
      <c r="AJ2113" s="75">
        <v>0</v>
      </c>
      <c r="AK2113" s="75">
        <v>0</v>
      </c>
      <c r="AL2113" s="95">
        <v>1</v>
      </c>
      <c r="AM2113" s="92">
        <v>0</v>
      </c>
      <c r="AN2113" s="79" t="s">
        <v>80</v>
      </c>
      <c r="AO2113" s="75">
        <v>1</v>
      </c>
      <c r="AP2113" s="75" t="s">
        <v>83</v>
      </c>
      <c r="AQ2113" s="122">
        <v>1</v>
      </c>
      <c r="AR2113" s="515" t="s">
        <v>16</v>
      </c>
      <c r="AS2113" s="95">
        <v>-1</v>
      </c>
      <c r="AT2113" s="75">
        <v>-1</v>
      </c>
      <c r="AU2113" s="75">
        <v>-1</v>
      </c>
      <c r="AV2113" s="75">
        <v>-1</v>
      </c>
      <c r="AW2113" s="123">
        <v>1</v>
      </c>
      <c r="AX2113" s="516"/>
      <c r="AY2113" s="75">
        <v>0</v>
      </c>
      <c r="AZ2113" s="77" t="s">
        <v>131</v>
      </c>
      <c r="BA2113" s="78" t="s">
        <v>131</v>
      </c>
      <c r="BB2113" s="78" t="s">
        <v>131</v>
      </c>
      <c r="BC2113" s="78" t="s">
        <v>131</v>
      </c>
      <c r="BD2113" s="78" t="s">
        <v>131</v>
      </c>
      <c r="BE2113" s="78" t="s">
        <v>131</v>
      </c>
      <c r="BF2113" s="78" t="s">
        <v>131</v>
      </c>
      <c r="BG2113" s="78" t="s">
        <v>132</v>
      </c>
      <c r="BH2113" s="75" t="s">
        <v>5970</v>
      </c>
      <c r="BI2113" s="295" t="s">
        <v>2270</v>
      </c>
      <c r="BJ2113" s="546">
        <v>1</v>
      </c>
      <c r="BK2113" s="294">
        <v>1</v>
      </c>
      <c r="BL2113" s="157">
        <v>1</v>
      </c>
      <c r="BM2113" s="548" t="s">
        <v>578</v>
      </c>
      <c r="BN2113" s="548" t="s">
        <v>578</v>
      </c>
      <c r="BO2113" s="157" t="s">
        <v>4317</v>
      </c>
      <c r="BP2113" s="548" t="s">
        <v>2270</v>
      </c>
      <c r="BQ2113" s="157" t="s">
        <v>4316</v>
      </c>
      <c r="BR2113" s="157"/>
    </row>
    <row r="2114" spans="1:70" x14ac:dyDescent="0.25">
      <c r="A2114" s="19" t="s">
        <v>3686</v>
      </c>
      <c r="B2114" s="37" t="s">
        <v>496</v>
      </c>
      <c r="C2114" s="90">
        <v>44268.840891203705</v>
      </c>
      <c r="D2114" s="114">
        <v>44268.590891203705</v>
      </c>
      <c r="E2114" s="38">
        <v>44268</v>
      </c>
      <c r="F2114" s="91">
        <v>2021</v>
      </c>
      <c r="G2114" s="93">
        <v>3</v>
      </c>
      <c r="H2114" s="37" t="s">
        <v>497</v>
      </c>
      <c r="I2114" s="37" t="s">
        <v>16</v>
      </c>
      <c r="J2114" s="103">
        <v>-89.543352338909429</v>
      </c>
      <c r="K2114" s="40">
        <v>42.94878286438869</v>
      </c>
      <c r="L2114" s="74"/>
      <c r="M2114" s="272" t="s">
        <v>498</v>
      </c>
      <c r="N2114" s="74">
        <v>1</v>
      </c>
      <c r="O2114" s="94"/>
      <c r="P2114" s="118">
        <v>1</v>
      </c>
      <c r="Q2114" s="510">
        <v>180</v>
      </c>
      <c r="R2114" s="513">
        <v>180</v>
      </c>
      <c r="S2114" s="41"/>
      <c r="T2114" s="40"/>
      <c r="U2114" s="40">
        <v>7</v>
      </c>
      <c r="V2114" s="119">
        <v>1</v>
      </c>
      <c r="W2114" s="40">
        <v>0</v>
      </c>
      <c r="X2114" s="119">
        <v>1</v>
      </c>
      <c r="Y2114" s="40">
        <v>49</v>
      </c>
      <c r="Z2114" s="119">
        <v>1</v>
      </c>
      <c r="AA2114" s="368">
        <v>0</v>
      </c>
      <c r="AB2114" s="535">
        <v>0</v>
      </c>
      <c r="AC2114" s="39" t="s">
        <v>160</v>
      </c>
      <c r="AD2114" s="75" t="s">
        <v>10</v>
      </c>
      <c r="AE2114" s="95">
        <v>0</v>
      </c>
      <c r="AF2114" s="75">
        <v>0</v>
      </c>
      <c r="AG2114" s="75">
        <v>0</v>
      </c>
      <c r="AH2114" s="75">
        <v>0</v>
      </c>
      <c r="AI2114" s="75">
        <v>0</v>
      </c>
      <c r="AJ2114" s="75">
        <v>0</v>
      </c>
      <c r="AK2114" s="75">
        <v>0</v>
      </c>
      <c r="AL2114" s="95">
        <v>1</v>
      </c>
      <c r="AM2114" s="92">
        <v>0</v>
      </c>
      <c r="AN2114" s="79" t="s">
        <v>81</v>
      </c>
      <c r="AO2114" s="75">
        <v>1</v>
      </c>
      <c r="AP2114" s="75" t="s">
        <v>84</v>
      </c>
      <c r="AQ2114" s="122">
        <v>1</v>
      </c>
      <c r="AR2114" s="515" t="s">
        <v>58</v>
      </c>
      <c r="AS2114" s="95">
        <v>0</v>
      </c>
      <c r="AT2114" s="75">
        <v>0</v>
      </c>
      <c r="AU2114" s="75">
        <v>1</v>
      </c>
      <c r="AV2114" s="75">
        <v>0</v>
      </c>
      <c r="AW2114" s="123">
        <v>0</v>
      </c>
      <c r="AX2114" s="516" t="s">
        <v>499</v>
      </c>
      <c r="AY2114" s="75">
        <v>1</v>
      </c>
      <c r="AZ2114" s="77" t="s">
        <v>131</v>
      </c>
      <c r="BA2114" s="78" t="s">
        <v>131</v>
      </c>
      <c r="BB2114" s="78" t="s">
        <v>131</v>
      </c>
      <c r="BC2114" s="78" t="s">
        <v>131</v>
      </c>
      <c r="BD2114" s="78" t="s">
        <v>131</v>
      </c>
      <c r="BE2114" s="78" t="s">
        <v>131</v>
      </c>
      <c r="BF2114" s="78" t="s">
        <v>131</v>
      </c>
      <c r="BG2114" s="78" t="s">
        <v>132</v>
      </c>
      <c r="BH2114" s="75" t="s">
        <v>5970</v>
      </c>
      <c r="BI2114" s="295" t="s">
        <v>2302</v>
      </c>
      <c r="BJ2114" s="546" t="s">
        <v>16</v>
      </c>
      <c r="BK2114" s="294" t="s">
        <v>16</v>
      </c>
      <c r="BL2114" s="157" t="s">
        <v>16</v>
      </c>
      <c r="BM2114" s="548" t="s">
        <v>1343</v>
      </c>
      <c r="BN2114" s="548" t="s">
        <v>2342</v>
      </c>
      <c r="BO2114" s="157" t="s">
        <v>4755</v>
      </c>
      <c r="BP2114" s="548" t="s">
        <v>4756</v>
      </c>
      <c r="BQ2114" s="157" t="s">
        <v>4720</v>
      </c>
      <c r="BR2114" s="157"/>
    </row>
    <row r="2115" spans="1:70" x14ac:dyDescent="0.25">
      <c r="A2115" s="19" t="s">
        <v>3686</v>
      </c>
      <c r="B2115" s="37" t="s">
        <v>493</v>
      </c>
      <c r="C2115" s="90">
        <v>44266.741712962961</v>
      </c>
      <c r="D2115" s="114">
        <v>44266.491712962961</v>
      </c>
      <c r="E2115" s="38">
        <v>44266</v>
      </c>
      <c r="F2115" s="91">
        <v>2021</v>
      </c>
      <c r="G2115" s="93">
        <v>3</v>
      </c>
      <c r="H2115" s="37" t="s">
        <v>201</v>
      </c>
      <c r="I2115" s="37"/>
      <c r="J2115" s="103">
        <v>-92.531906418831099</v>
      </c>
      <c r="K2115" s="40">
        <v>44.787357450203572</v>
      </c>
      <c r="L2115" s="74"/>
      <c r="M2115" s="272" t="s">
        <v>494</v>
      </c>
      <c r="N2115" s="74">
        <v>1</v>
      </c>
      <c r="O2115" s="94"/>
      <c r="P2115" s="118">
        <v>1</v>
      </c>
      <c r="Q2115" s="510">
        <v>120</v>
      </c>
      <c r="R2115" s="513">
        <v>120</v>
      </c>
      <c r="S2115" s="41"/>
      <c r="T2115" s="40"/>
      <c r="U2115" s="40">
        <v>6.5</v>
      </c>
      <c r="V2115" s="119">
        <v>1</v>
      </c>
      <c r="W2115" s="40">
        <v>0</v>
      </c>
      <c r="X2115" s="119">
        <v>1</v>
      </c>
      <c r="Y2115" s="40">
        <v>39</v>
      </c>
      <c r="Z2115" s="119">
        <v>1</v>
      </c>
      <c r="AA2115" s="368">
        <v>0</v>
      </c>
      <c r="AB2115" s="535">
        <v>0</v>
      </c>
      <c r="AC2115" s="39" t="s">
        <v>160</v>
      </c>
      <c r="AD2115" s="75" t="s">
        <v>10</v>
      </c>
      <c r="AE2115" s="95">
        <v>0</v>
      </c>
      <c r="AF2115" s="75">
        <v>0</v>
      </c>
      <c r="AG2115" s="75">
        <v>0</v>
      </c>
      <c r="AH2115" s="75">
        <v>0</v>
      </c>
      <c r="AI2115" s="75">
        <v>0</v>
      </c>
      <c r="AJ2115" s="75">
        <v>0</v>
      </c>
      <c r="AK2115" s="75">
        <v>0</v>
      </c>
      <c r="AL2115" s="95">
        <v>1</v>
      </c>
      <c r="AM2115" s="92">
        <v>0</v>
      </c>
      <c r="AN2115" s="79" t="s">
        <v>195</v>
      </c>
      <c r="AO2115" s="75">
        <v>1</v>
      </c>
      <c r="AP2115" s="75" t="s">
        <v>84</v>
      </c>
      <c r="AQ2115" s="122">
        <v>1</v>
      </c>
      <c r="AR2115" s="515" t="s">
        <v>226</v>
      </c>
      <c r="AS2115" s="95">
        <v>1</v>
      </c>
      <c r="AT2115" s="75">
        <v>0</v>
      </c>
      <c r="AU2115" s="75">
        <v>1</v>
      </c>
      <c r="AV2115" s="75">
        <v>0</v>
      </c>
      <c r="AW2115" s="123">
        <v>0</v>
      </c>
      <c r="AX2115" s="516" t="s">
        <v>495</v>
      </c>
      <c r="AY2115" s="75">
        <v>1</v>
      </c>
      <c r="AZ2115" s="77" t="s">
        <v>131</v>
      </c>
      <c r="BA2115" s="78" t="s">
        <v>131</v>
      </c>
      <c r="BB2115" s="78" t="s">
        <v>131</v>
      </c>
      <c r="BC2115" s="78" t="s">
        <v>131</v>
      </c>
      <c r="BD2115" s="78" t="s">
        <v>131</v>
      </c>
      <c r="BE2115" s="78" t="s">
        <v>131</v>
      </c>
      <c r="BF2115" s="78" t="s">
        <v>131</v>
      </c>
      <c r="BG2115" s="78" t="s">
        <v>132</v>
      </c>
      <c r="BH2115" s="75" t="s">
        <v>5970</v>
      </c>
      <c r="BI2115" s="295" t="s">
        <v>2236</v>
      </c>
      <c r="BJ2115" s="546">
        <v>1</v>
      </c>
      <c r="BK2115" s="294" t="s">
        <v>16</v>
      </c>
      <c r="BL2115" s="157" t="s">
        <v>16</v>
      </c>
      <c r="BM2115" s="548" t="s">
        <v>578</v>
      </c>
      <c r="BN2115" s="548" t="s">
        <v>578</v>
      </c>
      <c r="BO2115" s="157" t="s">
        <v>4658</v>
      </c>
      <c r="BP2115" s="548" t="s">
        <v>4660</v>
      </c>
      <c r="BQ2115" s="157" t="s">
        <v>4657</v>
      </c>
      <c r="BR2115" s="157"/>
    </row>
    <row r="2116" spans="1:70" x14ac:dyDescent="0.25">
      <c r="A2116" s="19" t="s">
        <v>3686</v>
      </c>
      <c r="B2116" s="37" t="s">
        <v>490</v>
      </c>
      <c r="C2116" s="90">
        <v>44266.708495370367</v>
      </c>
      <c r="D2116" s="114">
        <v>44266.458495370367</v>
      </c>
      <c r="E2116" s="38">
        <v>44266</v>
      </c>
      <c r="F2116" s="91">
        <v>2021</v>
      </c>
      <c r="G2116" s="93">
        <v>3</v>
      </c>
      <c r="H2116" s="37" t="s">
        <v>201</v>
      </c>
      <c r="I2116" s="37" t="s">
        <v>349</v>
      </c>
      <c r="J2116" s="103">
        <v>-92.529877160573619</v>
      </c>
      <c r="K2116" s="40">
        <v>44.793730812655959</v>
      </c>
      <c r="L2116" s="74"/>
      <c r="M2116" s="272" t="s">
        <v>491</v>
      </c>
      <c r="N2116" s="74">
        <v>1</v>
      </c>
      <c r="O2116" s="94"/>
      <c r="P2116" s="118">
        <v>1</v>
      </c>
      <c r="Q2116" s="510">
        <v>180</v>
      </c>
      <c r="R2116" s="513">
        <v>60</v>
      </c>
      <c r="S2116" s="41"/>
      <c r="T2116" s="40"/>
      <c r="U2116" s="40">
        <v>6.5</v>
      </c>
      <c r="V2116" s="119">
        <v>1</v>
      </c>
      <c r="W2116" s="40">
        <v>0</v>
      </c>
      <c r="X2116" s="119">
        <v>1</v>
      </c>
      <c r="Y2116" s="40">
        <v>37</v>
      </c>
      <c r="Z2116" s="119">
        <v>1</v>
      </c>
      <c r="AA2116" s="368">
        <v>0</v>
      </c>
      <c r="AB2116" s="535">
        <v>0</v>
      </c>
      <c r="AC2116" s="39" t="s">
        <v>160</v>
      </c>
      <c r="AD2116" s="75" t="s">
        <v>10</v>
      </c>
      <c r="AE2116" s="95">
        <v>0</v>
      </c>
      <c r="AF2116" s="75">
        <v>0</v>
      </c>
      <c r="AG2116" s="75">
        <v>0</v>
      </c>
      <c r="AH2116" s="75">
        <v>0</v>
      </c>
      <c r="AI2116" s="75">
        <v>0</v>
      </c>
      <c r="AJ2116" s="75">
        <v>0</v>
      </c>
      <c r="AK2116" s="75">
        <v>0</v>
      </c>
      <c r="AL2116" s="95">
        <v>1</v>
      </c>
      <c r="AM2116" s="92">
        <v>0</v>
      </c>
      <c r="AN2116" s="79" t="s">
        <v>81</v>
      </c>
      <c r="AO2116" s="75">
        <v>1</v>
      </c>
      <c r="AP2116" s="75" t="s">
        <v>84</v>
      </c>
      <c r="AQ2116" s="122">
        <v>1</v>
      </c>
      <c r="AR2116" s="515" t="s">
        <v>226</v>
      </c>
      <c r="AS2116" s="95">
        <v>1</v>
      </c>
      <c r="AT2116" s="75">
        <v>0</v>
      </c>
      <c r="AU2116" s="75">
        <v>1</v>
      </c>
      <c r="AV2116" s="75">
        <v>0</v>
      </c>
      <c r="AW2116" s="123">
        <v>0</v>
      </c>
      <c r="AX2116" s="516" t="s">
        <v>492</v>
      </c>
      <c r="AY2116" s="75">
        <v>1</v>
      </c>
      <c r="AZ2116" s="77" t="s">
        <v>131</v>
      </c>
      <c r="BA2116" s="78" t="s">
        <v>131</v>
      </c>
      <c r="BB2116" s="78" t="s">
        <v>131</v>
      </c>
      <c r="BC2116" s="78" t="s">
        <v>131</v>
      </c>
      <c r="BD2116" s="78" t="s">
        <v>131</v>
      </c>
      <c r="BE2116" s="78" t="s">
        <v>131</v>
      </c>
      <c r="BF2116" s="78" t="s">
        <v>131</v>
      </c>
      <c r="BG2116" s="78" t="s">
        <v>132</v>
      </c>
      <c r="BH2116" s="75" t="s">
        <v>5970</v>
      </c>
      <c r="BI2116" s="295" t="s">
        <v>16</v>
      </c>
      <c r="BJ2116" s="546">
        <v>1</v>
      </c>
      <c r="BK2116" s="294" t="s">
        <v>16</v>
      </c>
      <c r="BL2116" s="157" t="s">
        <v>16</v>
      </c>
      <c r="BM2116" s="548" t="s">
        <v>578</v>
      </c>
      <c r="BN2116" s="548" t="s">
        <v>578</v>
      </c>
      <c r="BO2116" s="157" t="s">
        <v>4658</v>
      </c>
      <c r="BP2116" s="548" t="s">
        <v>4660</v>
      </c>
      <c r="BQ2116" s="157" t="s">
        <v>4657</v>
      </c>
      <c r="BR2116" s="157"/>
    </row>
    <row r="2117" spans="1:70" x14ac:dyDescent="0.25">
      <c r="A2117" s="19" t="s">
        <v>3686</v>
      </c>
      <c r="B2117" s="37" t="s">
        <v>489</v>
      </c>
      <c r="C2117" s="90">
        <v>44216.890567129631</v>
      </c>
      <c r="D2117" s="114">
        <v>44216.640567129631</v>
      </c>
      <c r="E2117" s="38">
        <v>44216</v>
      </c>
      <c r="F2117" s="91">
        <v>2021</v>
      </c>
      <c r="G2117" s="93">
        <v>1</v>
      </c>
      <c r="H2117" s="37" t="s">
        <v>218</v>
      </c>
      <c r="I2117" s="37"/>
      <c r="J2117" s="103">
        <v>-92.52981696212612</v>
      </c>
      <c r="K2117" s="40">
        <v>44.793665241306492</v>
      </c>
      <c r="L2117" s="74"/>
      <c r="M2117" s="272" t="s">
        <v>16</v>
      </c>
      <c r="N2117" s="74">
        <v>0</v>
      </c>
      <c r="O2117" s="94"/>
      <c r="P2117" s="118">
        <v>1</v>
      </c>
      <c r="Q2117" s="510">
        <v>180</v>
      </c>
      <c r="R2117" s="513">
        <v>180</v>
      </c>
      <c r="S2117" s="41"/>
      <c r="T2117" s="40"/>
      <c r="U2117" s="40">
        <v>7</v>
      </c>
      <c r="V2117" s="119">
        <v>1</v>
      </c>
      <c r="W2117" s="40">
        <v>0</v>
      </c>
      <c r="X2117" s="119">
        <v>1</v>
      </c>
      <c r="Y2117" s="40">
        <v>36</v>
      </c>
      <c r="Z2117" s="119">
        <v>1</v>
      </c>
      <c r="AA2117" s="368">
        <v>0</v>
      </c>
      <c r="AB2117" s="535">
        <v>2</v>
      </c>
      <c r="AC2117" s="39" t="s">
        <v>160</v>
      </c>
      <c r="AD2117" s="75" t="s">
        <v>10</v>
      </c>
      <c r="AE2117" s="95">
        <v>0</v>
      </c>
      <c r="AF2117" s="75">
        <v>0</v>
      </c>
      <c r="AG2117" s="75">
        <v>0</v>
      </c>
      <c r="AH2117" s="75">
        <v>0</v>
      </c>
      <c r="AI2117" s="75">
        <v>0</v>
      </c>
      <c r="AJ2117" s="75">
        <v>0</v>
      </c>
      <c r="AK2117" s="75">
        <v>0</v>
      </c>
      <c r="AL2117" s="95">
        <v>1</v>
      </c>
      <c r="AM2117" s="92">
        <v>0</v>
      </c>
      <c r="AN2117" s="79" t="s">
        <v>80</v>
      </c>
      <c r="AO2117" s="75">
        <v>1</v>
      </c>
      <c r="AP2117" s="75" t="s">
        <v>83</v>
      </c>
      <c r="AQ2117" s="122">
        <v>1</v>
      </c>
      <c r="AR2117" s="515" t="s">
        <v>10</v>
      </c>
      <c r="AS2117" s="95">
        <v>0</v>
      </c>
      <c r="AT2117" s="75">
        <v>0</v>
      </c>
      <c r="AU2117" s="75">
        <v>0</v>
      </c>
      <c r="AV2117" s="75">
        <v>0</v>
      </c>
      <c r="AW2117" s="123">
        <v>0</v>
      </c>
      <c r="AX2117" s="516"/>
      <c r="AY2117" s="75">
        <v>0</v>
      </c>
      <c r="AZ2117" s="77" t="s">
        <v>131</v>
      </c>
      <c r="BA2117" s="78" t="s">
        <v>131</v>
      </c>
      <c r="BB2117" s="78" t="s">
        <v>131</v>
      </c>
      <c r="BC2117" s="78" t="s">
        <v>131</v>
      </c>
      <c r="BD2117" s="78" t="s">
        <v>131</v>
      </c>
      <c r="BE2117" s="78" t="s">
        <v>131</v>
      </c>
      <c r="BF2117" s="78" t="s">
        <v>131</v>
      </c>
      <c r="BG2117" s="78" t="s">
        <v>132</v>
      </c>
      <c r="BH2117" s="75" t="s">
        <v>5970</v>
      </c>
      <c r="BI2117" s="295" t="s">
        <v>2236</v>
      </c>
      <c r="BJ2117" s="546">
        <v>1</v>
      </c>
      <c r="BK2117" s="294" t="s">
        <v>16</v>
      </c>
      <c r="BL2117" s="157" t="s">
        <v>16</v>
      </c>
      <c r="BM2117" s="548" t="s">
        <v>578</v>
      </c>
      <c r="BN2117" s="548" t="s">
        <v>578</v>
      </c>
      <c r="BO2117" s="157" t="s">
        <v>4658</v>
      </c>
      <c r="BP2117" s="548" t="s">
        <v>4660</v>
      </c>
      <c r="BQ2117" s="157" t="s">
        <v>4657</v>
      </c>
      <c r="BR2117" s="157"/>
    </row>
    <row r="2118" spans="1:70" x14ac:dyDescent="0.25">
      <c r="A2118" s="19" t="s">
        <v>3686</v>
      </c>
      <c r="B2118" s="37" t="s">
        <v>488</v>
      </c>
      <c r="C2118" s="90">
        <v>44216.863518518519</v>
      </c>
      <c r="D2118" s="114">
        <v>44216.613518518519</v>
      </c>
      <c r="E2118" s="38">
        <v>44216</v>
      </c>
      <c r="F2118" s="91">
        <v>2021</v>
      </c>
      <c r="G2118" s="93">
        <v>1</v>
      </c>
      <c r="H2118" s="37" t="s">
        <v>218</v>
      </c>
      <c r="I2118" s="37"/>
      <c r="J2118" s="103">
        <v>-92.531936578429239</v>
      </c>
      <c r="K2118" s="40">
        <v>44.787349174297432</v>
      </c>
      <c r="L2118" s="74"/>
      <c r="M2118" s="272" t="s">
        <v>16</v>
      </c>
      <c r="N2118" s="74">
        <v>0</v>
      </c>
      <c r="O2118" s="94"/>
      <c r="P2118" s="118">
        <v>1</v>
      </c>
      <c r="Q2118" s="510">
        <v>180</v>
      </c>
      <c r="R2118" s="513">
        <v>180</v>
      </c>
      <c r="S2118" s="41"/>
      <c r="T2118" s="40"/>
      <c r="U2118" s="40">
        <v>7</v>
      </c>
      <c r="V2118" s="119">
        <v>1</v>
      </c>
      <c r="W2118" s="40">
        <v>0</v>
      </c>
      <c r="X2118" s="119">
        <v>1</v>
      </c>
      <c r="Y2118" s="40">
        <v>39</v>
      </c>
      <c r="Z2118" s="119">
        <v>1</v>
      </c>
      <c r="AA2118" s="368">
        <v>0</v>
      </c>
      <c r="AB2118" s="535">
        <v>2</v>
      </c>
      <c r="AC2118" s="39" t="s">
        <v>160</v>
      </c>
      <c r="AD2118" s="75" t="s">
        <v>10</v>
      </c>
      <c r="AE2118" s="95">
        <v>0</v>
      </c>
      <c r="AF2118" s="75">
        <v>0</v>
      </c>
      <c r="AG2118" s="75">
        <v>0</v>
      </c>
      <c r="AH2118" s="75">
        <v>0</v>
      </c>
      <c r="AI2118" s="75">
        <v>0</v>
      </c>
      <c r="AJ2118" s="75">
        <v>0</v>
      </c>
      <c r="AK2118" s="75">
        <v>0</v>
      </c>
      <c r="AL2118" s="95">
        <v>1</v>
      </c>
      <c r="AM2118" s="92">
        <v>0</v>
      </c>
      <c r="AN2118" s="79" t="s">
        <v>80</v>
      </c>
      <c r="AO2118" s="75">
        <v>1</v>
      </c>
      <c r="AP2118" s="75" t="s">
        <v>83</v>
      </c>
      <c r="AQ2118" s="122">
        <v>1</v>
      </c>
      <c r="AR2118" s="515" t="s">
        <v>10</v>
      </c>
      <c r="AS2118" s="95">
        <v>0</v>
      </c>
      <c r="AT2118" s="75">
        <v>0</v>
      </c>
      <c r="AU2118" s="75">
        <v>0</v>
      </c>
      <c r="AV2118" s="75">
        <v>0</v>
      </c>
      <c r="AW2118" s="123">
        <v>0</v>
      </c>
      <c r="AX2118" s="516"/>
      <c r="AY2118" s="75">
        <v>0</v>
      </c>
      <c r="AZ2118" s="77" t="s">
        <v>131</v>
      </c>
      <c r="BA2118" s="78" t="s">
        <v>131</v>
      </c>
      <c r="BB2118" s="78" t="s">
        <v>131</v>
      </c>
      <c r="BC2118" s="78" t="s">
        <v>131</v>
      </c>
      <c r="BD2118" s="78" t="s">
        <v>131</v>
      </c>
      <c r="BE2118" s="78" t="s">
        <v>131</v>
      </c>
      <c r="BF2118" s="78" t="s">
        <v>131</v>
      </c>
      <c r="BG2118" s="78" t="s">
        <v>132</v>
      </c>
      <c r="BH2118" s="75" t="s">
        <v>5970</v>
      </c>
      <c r="BI2118" s="295" t="s">
        <v>16</v>
      </c>
      <c r="BJ2118" s="546">
        <v>1</v>
      </c>
      <c r="BK2118" s="294" t="s">
        <v>16</v>
      </c>
      <c r="BL2118" s="157" t="s">
        <v>16</v>
      </c>
      <c r="BM2118" s="548" t="s">
        <v>578</v>
      </c>
      <c r="BN2118" s="548" t="s">
        <v>578</v>
      </c>
      <c r="BO2118" s="157" t="s">
        <v>4658</v>
      </c>
      <c r="BP2118" s="548" t="s">
        <v>4660</v>
      </c>
      <c r="BQ2118" s="157" t="s">
        <v>4657</v>
      </c>
      <c r="BR2118" s="157"/>
    </row>
    <row r="2119" spans="1:70" x14ac:dyDescent="0.25">
      <c r="A2119" s="19" t="s">
        <v>3686</v>
      </c>
      <c r="B2119" s="37" t="s">
        <v>487</v>
      </c>
      <c r="C2119" s="90">
        <v>44216.841134259259</v>
      </c>
      <c r="D2119" s="114">
        <v>44216.591134259259</v>
      </c>
      <c r="E2119" s="38">
        <v>44216</v>
      </c>
      <c r="F2119" s="91">
        <v>2021</v>
      </c>
      <c r="G2119" s="93">
        <v>1</v>
      </c>
      <c r="H2119" s="37" t="s">
        <v>218</v>
      </c>
      <c r="I2119" s="37"/>
      <c r="J2119" s="103">
        <v>-92.529709893290644</v>
      </c>
      <c r="K2119" s="40">
        <v>44.789695785643332</v>
      </c>
      <c r="L2119" s="74"/>
      <c r="M2119" s="272" t="s">
        <v>16</v>
      </c>
      <c r="N2119" s="74">
        <v>0</v>
      </c>
      <c r="O2119" s="94"/>
      <c r="P2119" s="118">
        <v>1</v>
      </c>
      <c r="Q2119" s="510">
        <v>120</v>
      </c>
      <c r="R2119" s="513">
        <v>180</v>
      </c>
      <c r="S2119" s="41"/>
      <c r="T2119" s="40"/>
      <c r="U2119" s="40">
        <v>7</v>
      </c>
      <c r="V2119" s="119">
        <v>1</v>
      </c>
      <c r="W2119" s="40">
        <v>0</v>
      </c>
      <c r="X2119" s="119">
        <v>1</v>
      </c>
      <c r="Y2119" s="40">
        <v>46</v>
      </c>
      <c r="Z2119" s="119">
        <v>1</v>
      </c>
      <c r="AA2119" s="368">
        <v>0</v>
      </c>
      <c r="AB2119" s="535">
        <v>5</v>
      </c>
      <c r="AC2119" s="39" t="s">
        <v>162</v>
      </c>
      <c r="AD2119" s="75" t="s">
        <v>10</v>
      </c>
      <c r="AE2119" s="95">
        <v>0</v>
      </c>
      <c r="AF2119" s="75">
        <v>0</v>
      </c>
      <c r="AG2119" s="75">
        <v>0</v>
      </c>
      <c r="AH2119" s="75">
        <v>0</v>
      </c>
      <c r="AI2119" s="75">
        <v>0</v>
      </c>
      <c r="AJ2119" s="75">
        <v>0</v>
      </c>
      <c r="AK2119" s="75">
        <v>0</v>
      </c>
      <c r="AL2119" s="95">
        <v>1</v>
      </c>
      <c r="AM2119" s="92">
        <v>0</v>
      </c>
      <c r="AN2119" s="79" t="s">
        <v>80</v>
      </c>
      <c r="AO2119" s="75">
        <v>1</v>
      </c>
      <c r="AP2119" s="75" t="s">
        <v>83</v>
      </c>
      <c r="AQ2119" s="122">
        <v>1</v>
      </c>
      <c r="AR2119" s="515" t="s">
        <v>10</v>
      </c>
      <c r="AS2119" s="95">
        <v>0</v>
      </c>
      <c r="AT2119" s="75">
        <v>0</v>
      </c>
      <c r="AU2119" s="75">
        <v>0</v>
      </c>
      <c r="AV2119" s="75">
        <v>0</v>
      </c>
      <c r="AW2119" s="123">
        <v>0</v>
      </c>
      <c r="AX2119" s="516"/>
      <c r="AY2119" s="75">
        <v>0</v>
      </c>
      <c r="AZ2119" s="77" t="s">
        <v>131</v>
      </c>
      <c r="BA2119" s="78" t="s">
        <v>131</v>
      </c>
      <c r="BB2119" s="78" t="s">
        <v>131</v>
      </c>
      <c r="BC2119" s="78" t="s">
        <v>131</v>
      </c>
      <c r="BD2119" s="78" t="s">
        <v>131</v>
      </c>
      <c r="BE2119" s="78" t="s">
        <v>131</v>
      </c>
      <c r="BF2119" s="78" t="s">
        <v>131</v>
      </c>
      <c r="BG2119" s="78" t="s">
        <v>132</v>
      </c>
      <c r="BH2119" s="75" t="s">
        <v>5970</v>
      </c>
      <c r="BI2119" s="295" t="s">
        <v>2236</v>
      </c>
      <c r="BJ2119" s="546">
        <v>1</v>
      </c>
      <c r="BK2119" s="294" t="s">
        <v>16</v>
      </c>
      <c r="BL2119" s="157" t="s">
        <v>16</v>
      </c>
      <c r="BM2119" s="548" t="s">
        <v>578</v>
      </c>
      <c r="BN2119" s="548" t="s">
        <v>578</v>
      </c>
      <c r="BO2119" s="157" t="s">
        <v>4658</v>
      </c>
      <c r="BP2119" s="548" t="s">
        <v>4660</v>
      </c>
      <c r="BQ2119" s="157" t="s">
        <v>4657</v>
      </c>
      <c r="BR2119" s="157"/>
    </row>
    <row r="2120" spans="1:70" x14ac:dyDescent="0.25">
      <c r="A2120" s="19" t="s">
        <v>3686</v>
      </c>
      <c r="B2120" s="37" t="s">
        <v>485</v>
      </c>
      <c r="C2120" s="90">
        <v>44209.776307870372</v>
      </c>
      <c r="D2120" s="114">
        <v>44209.526307870372</v>
      </c>
      <c r="E2120" s="38">
        <v>44209</v>
      </c>
      <c r="F2120" s="91">
        <v>2021</v>
      </c>
      <c r="G2120" s="93">
        <v>1</v>
      </c>
      <c r="H2120" s="37" t="s">
        <v>201</v>
      </c>
      <c r="I2120" s="37"/>
      <c r="J2120" s="103">
        <v>-92.268493832237397</v>
      </c>
      <c r="K2120" s="40">
        <v>44.54283581858364</v>
      </c>
      <c r="L2120" s="74"/>
      <c r="M2120" s="272" t="s">
        <v>16</v>
      </c>
      <c r="N2120" s="74">
        <v>0</v>
      </c>
      <c r="O2120" s="94"/>
      <c r="P2120" s="118">
        <v>1</v>
      </c>
      <c r="Q2120" s="510">
        <v>180</v>
      </c>
      <c r="R2120" s="513">
        <v>180</v>
      </c>
      <c r="S2120" s="41"/>
      <c r="T2120" s="40"/>
      <c r="U2120" s="40">
        <v>7</v>
      </c>
      <c r="V2120" s="119">
        <v>1</v>
      </c>
      <c r="W2120" s="40">
        <v>0</v>
      </c>
      <c r="X2120" s="119">
        <v>1</v>
      </c>
      <c r="Y2120" s="40">
        <v>48</v>
      </c>
      <c r="Z2120" s="119">
        <v>1</v>
      </c>
      <c r="AA2120" s="368">
        <v>0</v>
      </c>
      <c r="AB2120" s="535">
        <v>5</v>
      </c>
      <c r="AC2120" s="39" t="s">
        <v>162</v>
      </c>
      <c r="AD2120" s="75" t="s">
        <v>10</v>
      </c>
      <c r="AE2120" s="95">
        <v>0</v>
      </c>
      <c r="AF2120" s="75">
        <v>0</v>
      </c>
      <c r="AG2120" s="75">
        <v>0</v>
      </c>
      <c r="AH2120" s="75">
        <v>0</v>
      </c>
      <c r="AI2120" s="75">
        <v>0</v>
      </c>
      <c r="AJ2120" s="75">
        <v>0</v>
      </c>
      <c r="AK2120" s="75">
        <v>0</v>
      </c>
      <c r="AL2120" s="95">
        <v>1</v>
      </c>
      <c r="AM2120" s="92">
        <v>0</v>
      </c>
      <c r="AN2120" s="79" t="s">
        <v>80</v>
      </c>
      <c r="AO2120" s="75">
        <v>1</v>
      </c>
      <c r="AP2120" s="75" t="s">
        <v>83</v>
      </c>
      <c r="AQ2120" s="122">
        <v>1</v>
      </c>
      <c r="AR2120" s="515" t="s">
        <v>10</v>
      </c>
      <c r="AS2120" s="95">
        <v>0</v>
      </c>
      <c r="AT2120" s="75">
        <v>0</v>
      </c>
      <c r="AU2120" s="75">
        <v>0</v>
      </c>
      <c r="AV2120" s="75">
        <v>0</v>
      </c>
      <c r="AW2120" s="123">
        <v>0</v>
      </c>
      <c r="AX2120" s="516" t="s">
        <v>486</v>
      </c>
      <c r="AY2120" s="75">
        <v>1</v>
      </c>
      <c r="AZ2120" s="77" t="s">
        <v>131</v>
      </c>
      <c r="BA2120" s="78" t="s">
        <v>131</v>
      </c>
      <c r="BB2120" s="78" t="s">
        <v>131</v>
      </c>
      <c r="BC2120" s="78" t="s">
        <v>131</v>
      </c>
      <c r="BD2120" s="78" t="s">
        <v>131</v>
      </c>
      <c r="BE2120" s="78" t="s">
        <v>131</v>
      </c>
      <c r="BF2120" s="78" t="s">
        <v>131</v>
      </c>
      <c r="BG2120" s="78" t="s">
        <v>132</v>
      </c>
      <c r="BH2120" s="75" t="s">
        <v>5970</v>
      </c>
      <c r="BI2120" s="295">
        <v>0</v>
      </c>
      <c r="BJ2120" s="546">
        <v>1</v>
      </c>
      <c r="BK2120" s="294">
        <v>1</v>
      </c>
      <c r="BL2120" s="157">
        <v>1</v>
      </c>
      <c r="BM2120" s="548" t="s">
        <v>1340</v>
      </c>
      <c r="BN2120" s="548" t="s">
        <v>578</v>
      </c>
      <c r="BO2120" s="157" t="s">
        <v>4268</v>
      </c>
      <c r="BP2120" s="548" t="s">
        <v>2261</v>
      </c>
      <c r="BQ2120" s="157" t="s">
        <v>4214</v>
      </c>
      <c r="BR2120" s="157"/>
    </row>
    <row r="2121" spans="1:70" x14ac:dyDescent="0.25">
      <c r="A2121" s="19" t="s">
        <v>3686</v>
      </c>
      <c r="B2121" s="37" t="s">
        <v>482</v>
      </c>
      <c r="C2121" s="90">
        <v>44209.737199074072</v>
      </c>
      <c r="D2121" s="114">
        <v>44209.487199074072</v>
      </c>
      <c r="E2121" s="38">
        <v>44209</v>
      </c>
      <c r="F2121" s="91">
        <v>2021</v>
      </c>
      <c r="G2121" s="93">
        <v>1</v>
      </c>
      <c r="H2121" s="37" t="s">
        <v>201</v>
      </c>
      <c r="I2121" s="37"/>
      <c r="J2121" s="103">
        <v>-92.27152926412812</v>
      </c>
      <c r="K2121" s="40">
        <v>44.544342305174403</v>
      </c>
      <c r="L2121" s="74"/>
      <c r="M2121" s="272" t="s">
        <v>483</v>
      </c>
      <c r="N2121" s="74">
        <v>1</v>
      </c>
      <c r="O2121" s="94"/>
      <c r="P2121" s="118">
        <v>1</v>
      </c>
      <c r="Q2121" s="510">
        <v>180</v>
      </c>
      <c r="R2121" s="513">
        <v>180</v>
      </c>
      <c r="S2121" s="41"/>
      <c r="T2121" s="40"/>
      <c r="U2121" s="40">
        <v>7</v>
      </c>
      <c r="V2121" s="119">
        <v>1</v>
      </c>
      <c r="W2121" s="40">
        <v>0</v>
      </c>
      <c r="X2121" s="119">
        <v>1</v>
      </c>
      <c r="Y2121" s="40">
        <v>44</v>
      </c>
      <c r="Z2121" s="119">
        <v>1</v>
      </c>
      <c r="AA2121" s="368">
        <v>0</v>
      </c>
      <c r="AB2121" s="535">
        <v>2</v>
      </c>
      <c r="AC2121" s="39" t="s">
        <v>160</v>
      </c>
      <c r="AD2121" s="75" t="s">
        <v>10</v>
      </c>
      <c r="AE2121" s="95">
        <v>0</v>
      </c>
      <c r="AF2121" s="75">
        <v>0</v>
      </c>
      <c r="AG2121" s="75">
        <v>0</v>
      </c>
      <c r="AH2121" s="75">
        <v>0</v>
      </c>
      <c r="AI2121" s="75">
        <v>0</v>
      </c>
      <c r="AJ2121" s="75">
        <v>0</v>
      </c>
      <c r="AK2121" s="75">
        <v>0</v>
      </c>
      <c r="AL2121" s="95">
        <v>1</v>
      </c>
      <c r="AM2121" s="92">
        <v>0</v>
      </c>
      <c r="AN2121" s="79" t="s">
        <v>80</v>
      </c>
      <c r="AO2121" s="75">
        <v>1</v>
      </c>
      <c r="AP2121" s="75" t="s">
        <v>83</v>
      </c>
      <c r="AQ2121" s="122">
        <v>1</v>
      </c>
      <c r="AR2121" s="515" t="s">
        <v>10</v>
      </c>
      <c r="AS2121" s="95">
        <v>0</v>
      </c>
      <c r="AT2121" s="75">
        <v>0</v>
      </c>
      <c r="AU2121" s="75">
        <v>0</v>
      </c>
      <c r="AV2121" s="75">
        <v>0</v>
      </c>
      <c r="AW2121" s="123">
        <v>0</v>
      </c>
      <c r="AX2121" s="516" t="s">
        <v>484</v>
      </c>
      <c r="AY2121" s="75">
        <v>1</v>
      </c>
      <c r="AZ2121" s="77" t="s">
        <v>131</v>
      </c>
      <c r="BA2121" s="78" t="s">
        <v>131</v>
      </c>
      <c r="BB2121" s="78" t="s">
        <v>131</v>
      </c>
      <c r="BC2121" s="78" t="s">
        <v>131</v>
      </c>
      <c r="BD2121" s="78" t="s">
        <v>131</v>
      </c>
      <c r="BE2121" s="78" t="s">
        <v>131</v>
      </c>
      <c r="BF2121" s="78" t="s">
        <v>131</v>
      </c>
      <c r="BG2121" s="78" t="s">
        <v>132</v>
      </c>
      <c r="BH2121" s="75" t="s">
        <v>5970</v>
      </c>
      <c r="BI2121" s="295">
        <v>0</v>
      </c>
      <c r="BJ2121" s="546">
        <v>1</v>
      </c>
      <c r="BK2121" s="294">
        <v>1</v>
      </c>
      <c r="BL2121" s="157">
        <v>1</v>
      </c>
      <c r="BM2121" s="548" t="s">
        <v>1340</v>
      </c>
      <c r="BN2121" s="548" t="s">
        <v>578</v>
      </c>
      <c r="BO2121" s="157" t="s">
        <v>4268</v>
      </c>
      <c r="BP2121" s="548" t="s">
        <v>2261</v>
      </c>
      <c r="BQ2121" s="157" t="s">
        <v>4214</v>
      </c>
      <c r="BR2121" s="157"/>
    </row>
    <row r="2122" spans="1:70" x14ac:dyDescent="0.25">
      <c r="A2122" s="19" t="s">
        <v>3686</v>
      </c>
      <c r="B2122" s="37" t="s">
        <v>480</v>
      </c>
      <c r="C2122" s="90">
        <v>44209.701678240737</v>
      </c>
      <c r="D2122" s="114">
        <v>44209.451678240737</v>
      </c>
      <c r="E2122" s="38">
        <v>44209</v>
      </c>
      <c r="F2122" s="91">
        <v>2021</v>
      </c>
      <c r="G2122" s="93">
        <v>1</v>
      </c>
      <c r="H2122" s="37" t="s">
        <v>201</v>
      </c>
      <c r="I2122" s="37" t="s">
        <v>2362</v>
      </c>
      <c r="J2122" s="103">
        <v>-92.28432182287824</v>
      </c>
      <c r="K2122" s="40">
        <v>44.542245818259083</v>
      </c>
      <c r="L2122" s="74"/>
      <c r="M2122" s="272" t="s">
        <v>16</v>
      </c>
      <c r="N2122" s="74">
        <v>0</v>
      </c>
      <c r="O2122" s="94"/>
      <c r="P2122" s="118">
        <v>0</v>
      </c>
      <c r="Q2122" s="510"/>
      <c r="R2122" s="513"/>
      <c r="S2122" s="41"/>
      <c r="T2122" s="40"/>
      <c r="U2122" s="40"/>
      <c r="V2122" s="119">
        <v>1</v>
      </c>
      <c r="W2122" s="40">
        <v>0</v>
      </c>
      <c r="X2122" s="119">
        <v>1</v>
      </c>
      <c r="Y2122" s="40">
        <v>44</v>
      </c>
      <c r="Z2122" s="119">
        <v>1</v>
      </c>
      <c r="AA2122" s="368">
        <v>0</v>
      </c>
      <c r="AB2122" s="535">
        <v>2</v>
      </c>
      <c r="AC2122" s="39" t="s">
        <v>160</v>
      </c>
      <c r="AD2122" s="75" t="s">
        <v>10</v>
      </c>
      <c r="AE2122" s="95">
        <v>0</v>
      </c>
      <c r="AF2122" s="75">
        <v>0</v>
      </c>
      <c r="AG2122" s="75">
        <v>0</v>
      </c>
      <c r="AH2122" s="75">
        <v>0</v>
      </c>
      <c r="AI2122" s="75">
        <v>0</v>
      </c>
      <c r="AJ2122" s="75">
        <v>0</v>
      </c>
      <c r="AK2122" s="75">
        <v>0</v>
      </c>
      <c r="AL2122" s="95">
        <v>1</v>
      </c>
      <c r="AM2122" s="92">
        <v>0</v>
      </c>
      <c r="AN2122" s="79" t="s">
        <v>80</v>
      </c>
      <c r="AO2122" s="75">
        <v>1</v>
      </c>
      <c r="AP2122" s="75" t="s">
        <v>83</v>
      </c>
      <c r="AQ2122" s="122">
        <v>1</v>
      </c>
      <c r="AR2122" s="515" t="s">
        <v>10</v>
      </c>
      <c r="AS2122" s="95">
        <v>0</v>
      </c>
      <c r="AT2122" s="75">
        <v>0</v>
      </c>
      <c r="AU2122" s="75">
        <v>0</v>
      </c>
      <c r="AV2122" s="75">
        <v>0</v>
      </c>
      <c r="AW2122" s="123">
        <v>0</v>
      </c>
      <c r="AX2122" s="516" t="s">
        <v>481</v>
      </c>
      <c r="AY2122" s="75">
        <v>1</v>
      </c>
      <c r="AZ2122" s="77" t="s">
        <v>131</v>
      </c>
      <c r="BA2122" s="78" t="s">
        <v>131</v>
      </c>
      <c r="BB2122" s="78" t="s">
        <v>131</v>
      </c>
      <c r="BC2122" s="78" t="s">
        <v>131</v>
      </c>
      <c r="BD2122" s="78" t="s">
        <v>131</v>
      </c>
      <c r="BE2122" s="78" t="s">
        <v>131</v>
      </c>
      <c r="BF2122" s="78" t="s">
        <v>131</v>
      </c>
      <c r="BG2122" s="78" t="s">
        <v>132</v>
      </c>
      <c r="BH2122" s="75" t="s">
        <v>5970</v>
      </c>
      <c r="BI2122" s="295" t="s">
        <v>2261</v>
      </c>
      <c r="BJ2122" s="546">
        <v>1</v>
      </c>
      <c r="BK2122" s="294">
        <v>1</v>
      </c>
      <c r="BL2122" s="157">
        <v>1</v>
      </c>
      <c r="BM2122" s="548" t="s">
        <v>1340</v>
      </c>
      <c r="BN2122" s="548" t="s">
        <v>578</v>
      </c>
      <c r="BO2122" s="157" t="s">
        <v>4268</v>
      </c>
      <c r="BP2122" s="548" t="s">
        <v>2261</v>
      </c>
      <c r="BQ2122" s="157" t="s">
        <v>4214</v>
      </c>
      <c r="BR2122" s="157"/>
    </row>
    <row r="2123" spans="1:70" x14ac:dyDescent="0.25">
      <c r="A2123" s="19" t="s">
        <v>3686</v>
      </c>
      <c r="B2123" s="37" t="s">
        <v>479</v>
      </c>
      <c r="C2123" s="90">
        <v>44185.857581018521</v>
      </c>
      <c r="D2123" s="114">
        <v>44185.607581018521</v>
      </c>
      <c r="E2123" s="38">
        <v>44185</v>
      </c>
      <c r="F2123" s="91">
        <v>2020</v>
      </c>
      <c r="G2123" s="93">
        <v>12</v>
      </c>
      <c r="H2123" s="37" t="s">
        <v>443</v>
      </c>
      <c r="I2123" s="37"/>
      <c r="J2123" s="103">
        <v>-91.658985251646158</v>
      </c>
      <c r="K2123" s="40">
        <v>44.828021745239219</v>
      </c>
      <c r="L2123" s="74"/>
      <c r="M2123" s="272" t="s">
        <v>16</v>
      </c>
      <c r="N2123" s="74">
        <v>0</v>
      </c>
      <c r="O2123" s="94"/>
      <c r="P2123" s="118">
        <v>1</v>
      </c>
      <c r="Q2123" s="510">
        <v>40</v>
      </c>
      <c r="R2123" s="513">
        <v>0</v>
      </c>
      <c r="S2123" s="41"/>
      <c r="T2123" s="40"/>
      <c r="U2123" s="40">
        <v>6</v>
      </c>
      <c r="V2123" s="119">
        <v>0</v>
      </c>
      <c r="W2123" s="40"/>
      <c r="X2123" s="119">
        <v>0</v>
      </c>
      <c r="Y2123" s="40"/>
      <c r="Z2123" s="119">
        <v>0</v>
      </c>
      <c r="AA2123" s="368" t="s">
        <v>16</v>
      </c>
      <c r="AB2123" s="535" t="s">
        <v>16</v>
      </c>
      <c r="AC2123" s="39"/>
      <c r="AD2123" s="75" t="s">
        <v>16</v>
      </c>
      <c r="AE2123" s="95">
        <v>-1</v>
      </c>
      <c r="AF2123" s="75">
        <v>-1</v>
      </c>
      <c r="AG2123" s="75">
        <v>-1</v>
      </c>
      <c r="AH2123" s="75">
        <v>-1</v>
      </c>
      <c r="AI2123" s="75">
        <v>-1</v>
      </c>
      <c r="AJ2123" s="75">
        <v>-1</v>
      </c>
      <c r="AK2123" s="75">
        <v>-1</v>
      </c>
      <c r="AL2123" s="95">
        <v>-1</v>
      </c>
      <c r="AM2123" s="92">
        <v>1</v>
      </c>
      <c r="AN2123" s="79"/>
      <c r="AO2123" s="75">
        <v>0</v>
      </c>
      <c r="AP2123" s="75"/>
      <c r="AQ2123" s="122">
        <v>0</v>
      </c>
      <c r="AR2123" s="515" t="s">
        <v>16</v>
      </c>
      <c r="AS2123" s="95">
        <v>-1</v>
      </c>
      <c r="AT2123" s="75">
        <v>-1</v>
      </c>
      <c r="AU2123" s="75">
        <v>-1</v>
      </c>
      <c r="AV2123" s="75">
        <v>-1</v>
      </c>
      <c r="AW2123" s="123">
        <v>1</v>
      </c>
      <c r="AX2123" s="516"/>
      <c r="AY2123" s="75">
        <v>0</v>
      </c>
      <c r="AZ2123" s="77" t="s">
        <v>5971</v>
      </c>
      <c r="BA2123" s="78" t="s">
        <v>5971</v>
      </c>
      <c r="BB2123" s="78" t="s">
        <v>5971</v>
      </c>
      <c r="BC2123" s="78" t="s">
        <v>5971</v>
      </c>
      <c r="BD2123" s="78" t="s">
        <v>5971</v>
      </c>
      <c r="BE2123" s="78" t="s">
        <v>5971</v>
      </c>
      <c r="BF2123" s="78" t="s">
        <v>5971</v>
      </c>
      <c r="BG2123" s="78" t="s">
        <v>5971</v>
      </c>
      <c r="BH2123" s="75" t="s">
        <v>5971</v>
      </c>
      <c r="BI2123" s="295" t="s">
        <v>2246</v>
      </c>
      <c r="BJ2123" s="546">
        <v>1</v>
      </c>
      <c r="BK2123" s="294">
        <v>1</v>
      </c>
      <c r="BL2123" s="157">
        <v>1</v>
      </c>
      <c r="BM2123" s="548" t="s">
        <v>1340</v>
      </c>
      <c r="BN2123" s="548" t="s">
        <v>2344</v>
      </c>
      <c r="BO2123" s="157" t="s">
        <v>4631</v>
      </c>
      <c r="BP2123" s="548" t="s">
        <v>4632</v>
      </c>
      <c r="BQ2123" s="157" t="s">
        <v>4630</v>
      </c>
      <c r="BR2123" s="157"/>
    </row>
    <row r="2124" spans="1:70" x14ac:dyDescent="0.25">
      <c r="A2124" s="19" t="s">
        <v>3686</v>
      </c>
      <c r="B2124" s="37" t="s">
        <v>478</v>
      </c>
      <c r="C2124" s="90">
        <v>44185.851805555554</v>
      </c>
      <c r="D2124" s="114">
        <v>44185.601805555554</v>
      </c>
      <c r="E2124" s="38">
        <v>44185</v>
      </c>
      <c r="F2124" s="91">
        <v>2020</v>
      </c>
      <c r="G2124" s="93">
        <v>12</v>
      </c>
      <c r="H2124" s="37" t="s">
        <v>443</v>
      </c>
      <c r="I2124" s="37" t="s">
        <v>16</v>
      </c>
      <c r="J2124" s="103">
        <v>-91.656057536687385</v>
      </c>
      <c r="K2124" s="40">
        <v>44.827048606281011</v>
      </c>
      <c r="L2124" s="74"/>
      <c r="M2124" s="272" t="s">
        <v>16</v>
      </c>
      <c r="N2124" s="74">
        <v>0</v>
      </c>
      <c r="O2124" s="94"/>
      <c r="P2124" s="118">
        <v>1</v>
      </c>
      <c r="Q2124" s="510">
        <v>40</v>
      </c>
      <c r="R2124" s="513">
        <v>0</v>
      </c>
      <c r="S2124" s="41"/>
      <c r="T2124" s="40"/>
      <c r="U2124" s="40">
        <v>6</v>
      </c>
      <c r="V2124" s="119">
        <v>0</v>
      </c>
      <c r="W2124" s="40"/>
      <c r="X2124" s="119">
        <v>0</v>
      </c>
      <c r="Y2124" s="40"/>
      <c r="Z2124" s="119">
        <v>0</v>
      </c>
      <c r="AA2124" s="368" t="s">
        <v>16</v>
      </c>
      <c r="AB2124" s="535" t="s">
        <v>16</v>
      </c>
      <c r="AC2124" s="39"/>
      <c r="AD2124" s="75" t="s">
        <v>16</v>
      </c>
      <c r="AE2124" s="95">
        <v>-1</v>
      </c>
      <c r="AF2124" s="75">
        <v>-1</v>
      </c>
      <c r="AG2124" s="75">
        <v>-1</v>
      </c>
      <c r="AH2124" s="75">
        <v>-1</v>
      </c>
      <c r="AI2124" s="75">
        <v>-1</v>
      </c>
      <c r="AJ2124" s="75">
        <v>-1</v>
      </c>
      <c r="AK2124" s="75">
        <v>-1</v>
      </c>
      <c r="AL2124" s="95">
        <v>-1</v>
      </c>
      <c r="AM2124" s="92">
        <v>1</v>
      </c>
      <c r="AN2124" s="79" t="s">
        <v>80</v>
      </c>
      <c r="AO2124" s="75">
        <v>1</v>
      </c>
      <c r="AP2124" s="75"/>
      <c r="AQ2124" s="122">
        <v>0</v>
      </c>
      <c r="AR2124" s="515" t="s">
        <v>16</v>
      </c>
      <c r="AS2124" s="95">
        <v>-1</v>
      </c>
      <c r="AT2124" s="75">
        <v>-1</v>
      </c>
      <c r="AU2124" s="75">
        <v>-1</v>
      </c>
      <c r="AV2124" s="75">
        <v>-1</v>
      </c>
      <c r="AW2124" s="123">
        <v>1</v>
      </c>
      <c r="AX2124" s="516"/>
      <c r="AY2124" s="75">
        <v>0</v>
      </c>
      <c r="AZ2124" s="77" t="s">
        <v>5971</v>
      </c>
      <c r="BA2124" s="78" t="s">
        <v>5971</v>
      </c>
      <c r="BB2124" s="78" t="s">
        <v>5971</v>
      </c>
      <c r="BC2124" s="78" t="s">
        <v>5971</v>
      </c>
      <c r="BD2124" s="78" t="s">
        <v>5971</v>
      </c>
      <c r="BE2124" s="78" t="s">
        <v>5971</v>
      </c>
      <c r="BF2124" s="78" t="s">
        <v>5971</v>
      </c>
      <c r="BG2124" s="78" t="s">
        <v>5971</v>
      </c>
      <c r="BH2124" s="75" t="s">
        <v>5971</v>
      </c>
      <c r="BI2124" s="295" t="s">
        <v>2246</v>
      </c>
      <c r="BJ2124" s="546">
        <v>1</v>
      </c>
      <c r="BK2124" s="294">
        <v>1</v>
      </c>
      <c r="BL2124" s="157">
        <v>1</v>
      </c>
      <c r="BM2124" s="548" t="s">
        <v>1340</v>
      </c>
      <c r="BN2124" s="548" t="s">
        <v>2344</v>
      </c>
      <c r="BO2124" s="157" t="s">
        <v>4631</v>
      </c>
      <c r="BP2124" s="548" t="s">
        <v>4632</v>
      </c>
      <c r="BQ2124" s="157" t="s">
        <v>4630</v>
      </c>
      <c r="BR2124" s="157"/>
    </row>
    <row r="2125" spans="1:70" x14ac:dyDescent="0.25">
      <c r="A2125" s="19" t="s">
        <v>3686</v>
      </c>
      <c r="B2125" s="37" t="s">
        <v>477</v>
      </c>
      <c r="C2125" s="90">
        <v>44169.898101851853</v>
      </c>
      <c r="D2125" s="114">
        <v>44169.648101851853</v>
      </c>
      <c r="E2125" s="38">
        <v>44169</v>
      </c>
      <c r="F2125" s="91">
        <v>2020</v>
      </c>
      <c r="G2125" s="93">
        <v>12</v>
      </c>
      <c r="H2125" s="37" t="s">
        <v>475</v>
      </c>
      <c r="I2125" s="37"/>
      <c r="J2125" s="103">
        <v>-92.263834700074284</v>
      </c>
      <c r="K2125" s="40">
        <v>43.631053366738961</v>
      </c>
      <c r="L2125" s="74"/>
      <c r="M2125" s="272" t="s">
        <v>16</v>
      </c>
      <c r="N2125" s="74">
        <v>0</v>
      </c>
      <c r="O2125" s="94"/>
      <c r="P2125" s="118">
        <v>0</v>
      </c>
      <c r="Q2125" s="510"/>
      <c r="R2125" s="513"/>
      <c r="S2125" s="41"/>
      <c r="T2125" s="40"/>
      <c r="U2125" s="40"/>
      <c r="V2125" s="119">
        <v>0</v>
      </c>
      <c r="W2125" s="40"/>
      <c r="X2125" s="119">
        <v>1</v>
      </c>
      <c r="Y2125" s="40">
        <v>0</v>
      </c>
      <c r="Z2125" s="119">
        <v>0</v>
      </c>
      <c r="AA2125" s="368" t="s">
        <v>16</v>
      </c>
      <c r="AB2125" s="535" t="s">
        <v>16</v>
      </c>
      <c r="AC2125" s="39"/>
      <c r="AD2125" s="75" t="s">
        <v>16</v>
      </c>
      <c r="AE2125" s="95">
        <v>-1</v>
      </c>
      <c r="AF2125" s="75">
        <v>-1</v>
      </c>
      <c r="AG2125" s="75">
        <v>-1</v>
      </c>
      <c r="AH2125" s="75">
        <v>-1</v>
      </c>
      <c r="AI2125" s="75">
        <v>-1</v>
      </c>
      <c r="AJ2125" s="75">
        <v>-1</v>
      </c>
      <c r="AK2125" s="75">
        <v>-1</v>
      </c>
      <c r="AL2125" s="95">
        <v>-1</v>
      </c>
      <c r="AM2125" s="92">
        <v>1</v>
      </c>
      <c r="AN2125" s="79"/>
      <c r="AO2125" s="75">
        <v>0</v>
      </c>
      <c r="AP2125" s="75"/>
      <c r="AQ2125" s="122">
        <v>0</v>
      </c>
      <c r="AR2125" s="515" t="s">
        <v>16</v>
      </c>
      <c r="AS2125" s="95">
        <v>-1</v>
      </c>
      <c r="AT2125" s="75">
        <v>-1</v>
      </c>
      <c r="AU2125" s="75">
        <v>-1</v>
      </c>
      <c r="AV2125" s="75">
        <v>-1</v>
      </c>
      <c r="AW2125" s="123">
        <v>1</v>
      </c>
      <c r="AX2125" s="516"/>
      <c r="AY2125" s="75">
        <v>0</v>
      </c>
      <c r="AZ2125" s="77" t="s">
        <v>5971</v>
      </c>
      <c r="BA2125" s="78" t="s">
        <v>5971</v>
      </c>
      <c r="BB2125" s="78" t="s">
        <v>5971</v>
      </c>
      <c r="BC2125" s="78" t="s">
        <v>5971</v>
      </c>
      <c r="BD2125" s="78" t="s">
        <v>5971</v>
      </c>
      <c r="BE2125" s="78" t="s">
        <v>5971</v>
      </c>
      <c r="BF2125" s="78" t="s">
        <v>5971</v>
      </c>
      <c r="BG2125" s="78" t="s">
        <v>5971</v>
      </c>
      <c r="BH2125" s="75" t="s">
        <v>5971</v>
      </c>
      <c r="BI2125" s="295">
        <v>0</v>
      </c>
      <c r="BJ2125" s="546">
        <v>1</v>
      </c>
      <c r="BK2125" s="294" t="s">
        <v>16</v>
      </c>
      <c r="BL2125" s="157" t="s">
        <v>16</v>
      </c>
      <c r="BM2125" s="548" t="s">
        <v>1339</v>
      </c>
      <c r="BN2125" s="548" t="s">
        <v>1339</v>
      </c>
      <c r="BO2125" s="157" t="s">
        <v>4694</v>
      </c>
      <c r="BP2125" s="548" t="s">
        <v>2263</v>
      </c>
      <c r="BQ2125" s="157" t="s">
        <v>4229</v>
      </c>
      <c r="BR2125" s="157"/>
    </row>
    <row r="2126" spans="1:70" x14ac:dyDescent="0.25">
      <c r="A2126" s="19" t="s">
        <v>3686</v>
      </c>
      <c r="B2126" s="37" t="s">
        <v>474</v>
      </c>
      <c r="C2126" s="90">
        <v>44169.745057870372</v>
      </c>
      <c r="D2126" s="114">
        <v>44169.495057870372</v>
      </c>
      <c r="E2126" s="38">
        <v>44169</v>
      </c>
      <c r="F2126" s="91">
        <v>2020</v>
      </c>
      <c r="G2126" s="93">
        <v>12</v>
      </c>
      <c r="H2126" s="37" t="s">
        <v>475</v>
      </c>
      <c r="I2126" s="37" t="s">
        <v>16</v>
      </c>
      <c r="J2126" s="103">
        <v>-92.225266043182685</v>
      </c>
      <c r="K2126" s="40">
        <v>43.60451290853657</v>
      </c>
      <c r="L2126" s="74"/>
      <c r="M2126" s="272" t="s">
        <v>16</v>
      </c>
      <c r="N2126" s="74">
        <v>0</v>
      </c>
      <c r="O2126" s="94"/>
      <c r="P2126" s="118">
        <v>1</v>
      </c>
      <c r="Q2126" s="510">
        <v>180</v>
      </c>
      <c r="R2126" s="513">
        <v>120</v>
      </c>
      <c r="S2126" s="41"/>
      <c r="T2126" s="40"/>
      <c r="U2126" s="40">
        <v>7</v>
      </c>
      <c r="V2126" s="119">
        <v>0</v>
      </c>
      <c r="W2126" s="40"/>
      <c r="X2126" s="119">
        <v>0</v>
      </c>
      <c r="Y2126" s="40"/>
      <c r="Z2126" s="119">
        <v>1</v>
      </c>
      <c r="AA2126" s="368">
        <v>0</v>
      </c>
      <c r="AB2126" s="535">
        <v>2</v>
      </c>
      <c r="AC2126" s="39" t="s">
        <v>160</v>
      </c>
      <c r="AD2126" s="75" t="s">
        <v>10</v>
      </c>
      <c r="AE2126" s="95">
        <v>0</v>
      </c>
      <c r="AF2126" s="75">
        <v>0</v>
      </c>
      <c r="AG2126" s="75">
        <v>0</v>
      </c>
      <c r="AH2126" s="75">
        <v>0</v>
      </c>
      <c r="AI2126" s="75">
        <v>0</v>
      </c>
      <c r="AJ2126" s="75">
        <v>0</v>
      </c>
      <c r="AK2126" s="75">
        <v>0</v>
      </c>
      <c r="AL2126" s="95">
        <v>1</v>
      </c>
      <c r="AM2126" s="92">
        <v>0</v>
      </c>
      <c r="AN2126" s="79" t="s">
        <v>80</v>
      </c>
      <c r="AO2126" s="75">
        <v>1</v>
      </c>
      <c r="AP2126" s="75" t="s">
        <v>83</v>
      </c>
      <c r="AQ2126" s="122">
        <v>1</v>
      </c>
      <c r="AR2126" s="515" t="s">
        <v>10</v>
      </c>
      <c r="AS2126" s="95">
        <v>0</v>
      </c>
      <c r="AT2126" s="75">
        <v>0</v>
      </c>
      <c r="AU2126" s="75">
        <v>0</v>
      </c>
      <c r="AV2126" s="75">
        <v>0</v>
      </c>
      <c r="AW2126" s="123">
        <v>0</v>
      </c>
      <c r="AX2126" s="516" t="s">
        <v>476</v>
      </c>
      <c r="AY2126" s="75">
        <v>1</v>
      </c>
      <c r="AZ2126" s="77" t="s">
        <v>131</v>
      </c>
      <c r="BA2126" s="78" t="s">
        <v>131</v>
      </c>
      <c r="BB2126" s="78" t="s">
        <v>131</v>
      </c>
      <c r="BC2126" s="78" t="s">
        <v>131</v>
      </c>
      <c r="BD2126" s="78" t="s">
        <v>131</v>
      </c>
      <c r="BE2126" s="78" t="s">
        <v>131</v>
      </c>
      <c r="BF2126" s="78" t="s">
        <v>131</v>
      </c>
      <c r="BG2126" s="78" t="s">
        <v>132</v>
      </c>
      <c r="BH2126" s="75" t="s">
        <v>5970</v>
      </c>
      <c r="BI2126" s="295" t="s">
        <v>2232</v>
      </c>
      <c r="BJ2126" s="546">
        <v>1</v>
      </c>
      <c r="BK2126" s="294" t="s">
        <v>16</v>
      </c>
      <c r="BL2126" s="157" t="s">
        <v>16</v>
      </c>
      <c r="BM2126" s="548" t="s">
        <v>1339</v>
      </c>
      <c r="BN2126" s="548" t="s">
        <v>1339</v>
      </c>
      <c r="BO2126" s="157" t="s">
        <v>4719</v>
      </c>
      <c r="BP2126" s="548" t="s">
        <v>2232</v>
      </c>
      <c r="BQ2126" s="157" t="s">
        <v>4229</v>
      </c>
      <c r="BR2126" s="157"/>
    </row>
    <row r="2127" spans="1:70" x14ac:dyDescent="0.25">
      <c r="A2127" s="19" t="s">
        <v>3686</v>
      </c>
      <c r="B2127" s="37" t="s">
        <v>473</v>
      </c>
      <c r="C2127" s="90">
        <v>44140.800856481481</v>
      </c>
      <c r="D2127" s="114">
        <v>44140.550856481481</v>
      </c>
      <c r="E2127" s="38">
        <v>44140</v>
      </c>
      <c r="F2127" s="91">
        <v>2020</v>
      </c>
      <c r="G2127" s="93">
        <v>11</v>
      </c>
      <c r="H2127" s="37" t="s">
        <v>218</v>
      </c>
      <c r="I2127" s="37"/>
      <c r="J2127" s="103">
        <v>-92.455980898390237</v>
      </c>
      <c r="K2127" s="40">
        <v>44.733229182137691</v>
      </c>
      <c r="L2127" s="74"/>
      <c r="M2127" s="272" t="s">
        <v>16</v>
      </c>
      <c r="N2127" s="74">
        <v>0</v>
      </c>
      <c r="O2127" s="94"/>
      <c r="P2127" s="118">
        <v>1</v>
      </c>
      <c r="Q2127" s="510">
        <v>180</v>
      </c>
      <c r="R2127" s="513">
        <v>120</v>
      </c>
      <c r="S2127" s="41"/>
      <c r="T2127" s="40"/>
      <c r="U2127" s="40">
        <v>6</v>
      </c>
      <c r="V2127" s="119">
        <v>1</v>
      </c>
      <c r="W2127" s="40">
        <v>0</v>
      </c>
      <c r="X2127" s="119">
        <v>1</v>
      </c>
      <c r="Y2127" s="40">
        <v>48</v>
      </c>
      <c r="Z2127" s="119">
        <v>1</v>
      </c>
      <c r="AA2127" s="368">
        <v>0</v>
      </c>
      <c r="AB2127" s="535">
        <v>2</v>
      </c>
      <c r="AC2127" s="39" t="s">
        <v>162</v>
      </c>
      <c r="AD2127" s="75" t="s">
        <v>10</v>
      </c>
      <c r="AE2127" s="95">
        <v>0</v>
      </c>
      <c r="AF2127" s="75">
        <v>0</v>
      </c>
      <c r="AG2127" s="75">
        <v>0</v>
      </c>
      <c r="AH2127" s="75">
        <v>0</v>
      </c>
      <c r="AI2127" s="75">
        <v>0</v>
      </c>
      <c r="AJ2127" s="75">
        <v>0</v>
      </c>
      <c r="AK2127" s="75">
        <v>0</v>
      </c>
      <c r="AL2127" s="95">
        <v>1</v>
      </c>
      <c r="AM2127" s="92">
        <v>0</v>
      </c>
      <c r="AN2127" s="79" t="s">
        <v>80</v>
      </c>
      <c r="AO2127" s="75">
        <v>1</v>
      </c>
      <c r="AP2127" s="75" t="s">
        <v>83</v>
      </c>
      <c r="AQ2127" s="122">
        <v>1</v>
      </c>
      <c r="AR2127" s="515" t="s">
        <v>10</v>
      </c>
      <c r="AS2127" s="95">
        <v>0</v>
      </c>
      <c r="AT2127" s="75">
        <v>0</v>
      </c>
      <c r="AU2127" s="75">
        <v>0</v>
      </c>
      <c r="AV2127" s="75">
        <v>0</v>
      </c>
      <c r="AW2127" s="123">
        <v>0</v>
      </c>
      <c r="AX2127" s="516"/>
      <c r="AY2127" s="75">
        <v>0</v>
      </c>
      <c r="AZ2127" s="77" t="s">
        <v>131</v>
      </c>
      <c r="BA2127" s="78" t="s">
        <v>131</v>
      </c>
      <c r="BB2127" s="78" t="s">
        <v>131</v>
      </c>
      <c r="BC2127" s="78" t="s">
        <v>131</v>
      </c>
      <c r="BD2127" s="78" t="s">
        <v>131</v>
      </c>
      <c r="BE2127" s="78" t="s">
        <v>131</v>
      </c>
      <c r="BF2127" s="78" t="s">
        <v>131</v>
      </c>
      <c r="BG2127" s="78" t="s">
        <v>132</v>
      </c>
      <c r="BH2127" s="75" t="s">
        <v>5970</v>
      </c>
      <c r="BI2127" s="295" t="s">
        <v>2289</v>
      </c>
      <c r="BJ2127" s="546" t="s">
        <v>16</v>
      </c>
      <c r="BK2127" s="294" t="s">
        <v>16</v>
      </c>
      <c r="BL2127" s="157" t="s">
        <v>16</v>
      </c>
      <c r="BM2127" s="548" t="s">
        <v>578</v>
      </c>
      <c r="BN2127" s="548" t="s">
        <v>578</v>
      </c>
      <c r="BO2127" s="157" t="s">
        <v>4283</v>
      </c>
      <c r="BP2127" s="548" t="s">
        <v>2289</v>
      </c>
      <c r="BQ2127" s="157" t="s">
        <v>4214</v>
      </c>
      <c r="BR2127" s="157"/>
    </row>
    <row r="2128" spans="1:70" x14ac:dyDescent="0.25">
      <c r="A2128" s="19" t="s">
        <v>3686</v>
      </c>
      <c r="B2128" s="37" t="s">
        <v>472</v>
      </c>
      <c r="C2128" s="90">
        <v>44140.770011574074</v>
      </c>
      <c r="D2128" s="114">
        <v>44140.520011574074</v>
      </c>
      <c r="E2128" s="38">
        <v>44140</v>
      </c>
      <c r="F2128" s="91">
        <v>2020</v>
      </c>
      <c r="G2128" s="93">
        <v>11</v>
      </c>
      <c r="H2128" s="37" t="s">
        <v>218</v>
      </c>
      <c r="I2128" s="37"/>
      <c r="J2128" s="103">
        <v>-92.268588869091644</v>
      </c>
      <c r="K2128" s="40">
        <v>44.54267618047092</v>
      </c>
      <c r="L2128" s="74"/>
      <c r="M2128" s="272" t="s">
        <v>16</v>
      </c>
      <c r="N2128" s="74">
        <v>0</v>
      </c>
      <c r="O2128" s="94"/>
      <c r="P2128" s="118">
        <v>1</v>
      </c>
      <c r="Q2128" s="510">
        <v>180</v>
      </c>
      <c r="R2128" s="513">
        <v>120</v>
      </c>
      <c r="S2128" s="41"/>
      <c r="T2128" s="40"/>
      <c r="U2128" s="40">
        <v>6</v>
      </c>
      <c r="V2128" s="119">
        <v>1</v>
      </c>
      <c r="W2128" s="40">
        <v>0</v>
      </c>
      <c r="X2128" s="119">
        <v>1</v>
      </c>
      <c r="Y2128" s="40">
        <v>48</v>
      </c>
      <c r="Z2128" s="119">
        <v>1</v>
      </c>
      <c r="AA2128" s="368">
        <v>0</v>
      </c>
      <c r="AB2128" s="535">
        <v>2</v>
      </c>
      <c r="AC2128" s="39" t="s">
        <v>162</v>
      </c>
      <c r="AD2128" s="75" t="s">
        <v>10</v>
      </c>
      <c r="AE2128" s="95">
        <v>0</v>
      </c>
      <c r="AF2128" s="75">
        <v>0</v>
      </c>
      <c r="AG2128" s="75">
        <v>0</v>
      </c>
      <c r="AH2128" s="75">
        <v>0</v>
      </c>
      <c r="AI2128" s="75">
        <v>0</v>
      </c>
      <c r="AJ2128" s="75">
        <v>0</v>
      </c>
      <c r="AK2128" s="75">
        <v>0</v>
      </c>
      <c r="AL2128" s="95">
        <v>1</v>
      </c>
      <c r="AM2128" s="92">
        <v>0</v>
      </c>
      <c r="AN2128" s="79" t="s">
        <v>80</v>
      </c>
      <c r="AO2128" s="75">
        <v>1</v>
      </c>
      <c r="AP2128" s="75" t="s">
        <v>83</v>
      </c>
      <c r="AQ2128" s="122">
        <v>1</v>
      </c>
      <c r="AR2128" s="515" t="s">
        <v>10</v>
      </c>
      <c r="AS2128" s="95">
        <v>0</v>
      </c>
      <c r="AT2128" s="75">
        <v>0</v>
      </c>
      <c r="AU2128" s="75">
        <v>0</v>
      </c>
      <c r="AV2128" s="75">
        <v>0</v>
      </c>
      <c r="AW2128" s="123">
        <v>0</v>
      </c>
      <c r="AX2128" s="516"/>
      <c r="AY2128" s="75">
        <v>0</v>
      </c>
      <c r="AZ2128" s="77" t="s">
        <v>131</v>
      </c>
      <c r="BA2128" s="78" t="s">
        <v>131</v>
      </c>
      <c r="BB2128" s="78" t="s">
        <v>131</v>
      </c>
      <c r="BC2128" s="78" t="s">
        <v>131</v>
      </c>
      <c r="BD2128" s="78" t="s">
        <v>131</v>
      </c>
      <c r="BE2128" s="78" t="s">
        <v>131</v>
      </c>
      <c r="BF2128" s="78" t="s">
        <v>131</v>
      </c>
      <c r="BG2128" s="78" t="s">
        <v>132</v>
      </c>
      <c r="BH2128" s="75" t="s">
        <v>5970</v>
      </c>
      <c r="BI2128" s="295">
        <v>0</v>
      </c>
      <c r="BJ2128" s="546">
        <v>1</v>
      </c>
      <c r="BK2128" s="294">
        <v>1</v>
      </c>
      <c r="BL2128" s="157">
        <v>1</v>
      </c>
      <c r="BM2128" s="548" t="s">
        <v>1340</v>
      </c>
      <c r="BN2128" s="548" t="s">
        <v>578</v>
      </c>
      <c r="BO2128" s="157" t="s">
        <v>4268</v>
      </c>
      <c r="BP2128" s="548" t="s">
        <v>2261</v>
      </c>
      <c r="BQ2128" s="157" t="s">
        <v>4214</v>
      </c>
      <c r="BR2128" s="157"/>
    </row>
    <row r="2129" spans="1:70" x14ac:dyDescent="0.25">
      <c r="A2129" s="19" t="s">
        <v>3686</v>
      </c>
      <c r="B2129" s="37" t="s">
        <v>471</v>
      </c>
      <c r="C2129" s="90">
        <v>44140.698703703703</v>
      </c>
      <c r="D2129" s="114">
        <v>44140.448703703703</v>
      </c>
      <c r="E2129" s="38">
        <v>44140</v>
      </c>
      <c r="F2129" s="91">
        <v>2020</v>
      </c>
      <c r="G2129" s="93">
        <v>11</v>
      </c>
      <c r="H2129" s="37" t="s">
        <v>218</v>
      </c>
      <c r="I2129" s="37"/>
      <c r="J2129" s="103">
        <v>-92.284318713281024</v>
      </c>
      <c r="K2129" s="40">
        <v>44.54224261648875</v>
      </c>
      <c r="L2129" s="74"/>
      <c r="M2129" s="272" t="s">
        <v>16</v>
      </c>
      <c r="N2129" s="74">
        <v>0</v>
      </c>
      <c r="O2129" s="94"/>
      <c r="P2129" s="118">
        <v>1</v>
      </c>
      <c r="Q2129" s="510">
        <v>180</v>
      </c>
      <c r="R2129" s="513">
        <v>120</v>
      </c>
      <c r="S2129" s="41"/>
      <c r="T2129" s="40"/>
      <c r="U2129" s="40">
        <v>7</v>
      </c>
      <c r="V2129" s="119">
        <v>1</v>
      </c>
      <c r="W2129" s="40">
        <v>0</v>
      </c>
      <c r="X2129" s="119">
        <v>1</v>
      </c>
      <c r="Y2129" s="40">
        <v>46</v>
      </c>
      <c r="Z2129" s="119">
        <v>1</v>
      </c>
      <c r="AA2129" s="368">
        <v>0</v>
      </c>
      <c r="AB2129" s="535">
        <v>5</v>
      </c>
      <c r="AC2129" s="39" t="s">
        <v>160</v>
      </c>
      <c r="AD2129" s="75" t="s">
        <v>10</v>
      </c>
      <c r="AE2129" s="95">
        <v>0</v>
      </c>
      <c r="AF2129" s="75">
        <v>0</v>
      </c>
      <c r="AG2129" s="75">
        <v>0</v>
      </c>
      <c r="AH2129" s="75">
        <v>0</v>
      </c>
      <c r="AI2129" s="75">
        <v>0</v>
      </c>
      <c r="AJ2129" s="75">
        <v>0</v>
      </c>
      <c r="AK2129" s="75">
        <v>0</v>
      </c>
      <c r="AL2129" s="95">
        <v>1</v>
      </c>
      <c r="AM2129" s="92">
        <v>0</v>
      </c>
      <c r="AN2129" s="79" t="s">
        <v>80</v>
      </c>
      <c r="AO2129" s="75">
        <v>1</v>
      </c>
      <c r="AP2129" s="75" t="s">
        <v>83</v>
      </c>
      <c r="AQ2129" s="122">
        <v>1</v>
      </c>
      <c r="AR2129" s="515" t="s">
        <v>10</v>
      </c>
      <c r="AS2129" s="95">
        <v>0</v>
      </c>
      <c r="AT2129" s="75">
        <v>0</v>
      </c>
      <c r="AU2129" s="75">
        <v>0</v>
      </c>
      <c r="AV2129" s="75">
        <v>0</v>
      </c>
      <c r="AW2129" s="123">
        <v>0</v>
      </c>
      <c r="AX2129" s="516"/>
      <c r="AY2129" s="75">
        <v>0</v>
      </c>
      <c r="AZ2129" s="77" t="s">
        <v>131</v>
      </c>
      <c r="BA2129" s="78" t="s">
        <v>131</v>
      </c>
      <c r="BB2129" s="78" t="s">
        <v>131</v>
      </c>
      <c r="BC2129" s="78" t="s">
        <v>131</v>
      </c>
      <c r="BD2129" s="78" t="s">
        <v>131</v>
      </c>
      <c r="BE2129" s="78" t="s">
        <v>131</v>
      </c>
      <c r="BF2129" s="78" t="s">
        <v>131</v>
      </c>
      <c r="BG2129" s="78" t="s">
        <v>132</v>
      </c>
      <c r="BH2129" s="75" t="s">
        <v>5970</v>
      </c>
      <c r="BI2129" s="295" t="s">
        <v>2261</v>
      </c>
      <c r="BJ2129" s="546">
        <v>1</v>
      </c>
      <c r="BK2129" s="294">
        <v>1</v>
      </c>
      <c r="BL2129" s="157">
        <v>1</v>
      </c>
      <c r="BM2129" s="548" t="s">
        <v>1340</v>
      </c>
      <c r="BN2129" s="548" t="s">
        <v>578</v>
      </c>
      <c r="BO2129" s="157" t="s">
        <v>4268</v>
      </c>
      <c r="BP2129" s="548" t="s">
        <v>2261</v>
      </c>
      <c r="BQ2129" s="157" t="s">
        <v>4214</v>
      </c>
      <c r="BR2129" s="157"/>
    </row>
    <row r="2130" spans="1:70" x14ac:dyDescent="0.25">
      <c r="A2130" s="19" t="s">
        <v>3686</v>
      </c>
      <c r="B2130" s="37" t="s">
        <v>470</v>
      </c>
      <c r="C2130" s="90">
        <v>44138.747881944444</v>
      </c>
      <c r="D2130" s="114">
        <v>44138.497881944444</v>
      </c>
      <c r="E2130" s="38">
        <v>44138</v>
      </c>
      <c r="F2130" s="91">
        <v>2020</v>
      </c>
      <c r="G2130" s="93">
        <v>11</v>
      </c>
      <c r="H2130" s="37" t="s">
        <v>218</v>
      </c>
      <c r="I2130" s="37"/>
      <c r="J2130" s="103">
        <v>-92.529779035384365</v>
      </c>
      <c r="K2130" s="40">
        <v>44.793645291975928</v>
      </c>
      <c r="L2130" s="74"/>
      <c r="M2130" s="272" t="s">
        <v>16</v>
      </c>
      <c r="N2130" s="74">
        <v>0</v>
      </c>
      <c r="O2130" s="94"/>
      <c r="P2130" s="118">
        <v>1</v>
      </c>
      <c r="Q2130" s="510">
        <v>180</v>
      </c>
      <c r="R2130" s="513">
        <v>60</v>
      </c>
      <c r="S2130" s="41"/>
      <c r="T2130" s="40"/>
      <c r="U2130" s="40">
        <v>7</v>
      </c>
      <c r="V2130" s="119">
        <v>0</v>
      </c>
      <c r="W2130" s="40"/>
      <c r="X2130" s="119">
        <v>0</v>
      </c>
      <c r="Y2130" s="40"/>
      <c r="Z2130" s="119">
        <v>1</v>
      </c>
      <c r="AA2130" s="368">
        <v>0</v>
      </c>
      <c r="AB2130" s="535">
        <v>2</v>
      </c>
      <c r="AC2130" s="39" t="s">
        <v>160</v>
      </c>
      <c r="AD2130" s="75" t="s">
        <v>10</v>
      </c>
      <c r="AE2130" s="95">
        <v>0</v>
      </c>
      <c r="AF2130" s="75">
        <v>0</v>
      </c>
      <c r="AG2130" s="75">
        <v>0</v>
      </c>
      <c r="AH2130" s="75">
        <v>0</v>
      </c>
      <c r="AI2130" s="75">
        <v>0</v>
      </c>
      <c r="AJ2130" s="75">
        <v>0</v>
      </c>
      <c r="AK2130" s="75">
        <v>0</v>
      </c>
      <c r="AL2130" s="95">
        <v>1</v>
      </c>
      <c r="AM2130" s="92">
        <v>0</v>
      </c>
      <c r="AN2130" s="79" t="s">
        <v>80</v>
      </c>
      <c r="AO2130" s="75">
        <v>1</v>
      </c>
      <c r="AP2130" s="75" t="s">
        <v>83</v>
      </c>
      <c r="AQ2130" s="122">
        <v>1</v>
      </c>
      <c r="AR2130" s="515" t="s">
        <v>10</v>
      </c>
      <c r="AS2130" s="95">
        <v>0</v>
      </c>
      <c r="AT2130" s="75">
        <v>0</v>
      </c>
      <c r="AU2130" s="75">
        <v>0</v>
      </c>
      <c r="AV2130" s="75">
        <v>0</v>
      </c>
      <c r="AW2130" s="123">
        <v>0</v>
      </c>
      <c r="AX2130" s="516"/>
      <c r="AY2130" s="75">
        <v>0</v>
      </c>
      <c r="AZ2130" s="77" t="s">
        <v>131</v>
      </c>
      <c r="BA2130" s="78" t="s">
        <v>131</v>
      </c>
      <c r="BB2130" s="78" t="s">
        <v>131</v>
      </c>
      <c r="BC2130" s="78" t="s">
        <v>131</v>
      </c>
      <c r="BD2130" s="78" t="s">
        <v>131</v>
      </c>
      <c r="BE2130" s="78" t="s">
        <v>131</v>
      </c>
      <c r="BF2130" s="78" t="s">
        <v>131</v>
      </c>
      <c r="BG2130" s="78" t="s">
        <v>132</v>
      </c>
      <c r="BH2130" s="75" t="s">
        <v>5970</v>
      </c>
      <c r="BI2130" s="295" t="s">
        <v>2236</v>
      </c>
      <c r="BJ2130" s="546">
        <v>1</v>
      </c>
      <c r="BK2130" s="294" t="s">
        <v>16</v>
      </c>
      <c r="BL2130" s="157" t="s">
        <v>16</v>
      </c>
      <c r="BM2130" s="548" t="s">
        <v>578</v>
      </c>
      <c r="BN2130" s="548" t="s">
        <v>578</v>
      </c>
      <c r="BO2130" s="157" t="s">
        <v>4658</v>
      </c>
      <c r="BP2130" s="548" t="s">
        <v>4660</v>
      </c>
      <c r="BQ2130" s="157" t="s">
        <v>4657</v>
      </c>
      <c r="BR2130" s="157"/>
    </row>
    <row r="2131" spans="1:70" x14ac:dyDescent="0.25">
      <c r="A2131" s="19" t="s">
        <v>3686</v>
      </c>
      <c r="B2131" s="37" t="s">
        <v>469</v>
      </c>
      <c r="C2131" s="90">
        <v>44138.724791666667</v>
      </c>
      <c r="D2131" s="114">
        <v>44138.474791666667</v>
      </c>
      <c r="E2131" s="38">
        <v>44138</v>
      </c>
      <c r="F2131" s="91">
        <v>2020</v>
      </c>
      <c r="G2131" s="93">
        <v>11</v>
      </c>
      <c r="H2131" s="37" t="s">
        <v>218</v>
      </c>
      <c r="I2131" s="37"/>
      <c r="J2131" s="103">
        <v>-92.531930599963715</v>
      </c>
      <c r="K2131" s="40">
        <v>44.787337657652792</v>
      </c>
      <c r="L2131" s="74"/>
      <c r="M2131" s="272" t="s">
        <v>16</v>
      </c>
      <c r="N2131" s="74">
        <v>0</v>
      </c>
      <c r="O2131" s="94"/>
      <c r="P2131" s="118">
        <v>1</v>
      </c>
      <c r="Q2131" s="510">
        <v>180</v>
      </c>
      <c r="R2131" s="513">
        <v>120</v>
      </c>
      <c r="S2131" s="41"/>
      <c r="T2131" s="40"/>
      <c r="U2131" s="40">
        <v>7</v>
      </c>
      <c r="V2131" s="119">
        <v>1</v>
      </c>
      <c r="W2131" s="40">
        <v>0</v>
      </c>
      <c r="X2131" s="119">
        <v>1</v>
      </c>
      <c r="Y2131" s="40">
        <v>45</v>
      </c>
      <c r="Z2131" s="119">
        <v>1</v>
      </c>
      <c r="AA2131" s="368">
        <v>0</v>
      </c>
      <c r="AB2131" s="535">
        <v>2</v>
      </c>
      <c r="AC2131" s="39" t="s">
        <v>160</v>
      </c>
      <c r="AD2131" s="75" t="s">
        <v>10</v>
      </c>
      <c r="AE2131" s="95">
        <v>0</v>
      </c>
      <c r="AF2131" s="75">
        <v>0</v>
      </c>
      <c r="AG2131" s="75">
        <v>0</v>
      </c>
      <c r="AH2131" s="75">
        <v>0</v>
      </c>
      <c r="AI2131" s="75">
        <v>0</v>
      </c>
      <c r="AJ2131" s="75">
        <v>0</v>
      </c>
      <c r="AK2131" s="75">
        <v>0</v>
      </c>
      <c r="AL2131" s="95">
        <v>1</v>
      </c>
      <c r="AM2131" s="92">
        <v>0</v>
      </c>
      <c r="AN2131" s="79" t="s">
        <v>80</v>
      </c>
      <c r="AO2131" s="75">
        <v>1</v>
      </c>
      <c r="AP2131" s="75" t="s">
        <v>83</v>
      </c>
      <c r="AQ2131" s="122">
        <v>1</v>
      </c>
      <c r="AR2131" s="515" t="s">
        <v>10</v>
      </c>
      <c r="AS2131" s="95">
        <v>0</v>
      </c>
      <c r="AT2131" s="75">
        <v>0</v>
      </c>
      <c r="AU2131" s="75">
        <v>0</v>
      </c>
      <c r="AV2131" s="75">
        <v>0</v>
      </c>
      <c r="AW2131" s="123">
        <v>0</v>
      </c>
      <c r="AX2131" s="516"/>
      <c r="AY2131" s="75">
        <v>0</v>
      </c>
      <c r="AZ2131" s="77" t="s">
        <v>131</v>
      </c>
      <c r="BA2131" s="78" t="s">
        <v>131</v>
      </c>
      <c r="BB2131" s="78" t="s">
        <v>131</v>
      </c>
      <c r="BC2131" s="78" t="s">
        <v>131</v>
      </c>
      <c r="BD2131" s="78" t="s">
        <v>131</v>
      </c>
      <c r="BE2131" s="78" t="s">
        <v>131</v>
      </c>
      <c r="BF2131" s="78" t="s">
        <v>131</v>
      </c>
      <c r="BG2131" s="78" t="s">
        <v>132</v>
      </c>
      <c r="BH2131" s="75" t="s">
        <v>5970</v>
      </c>
      <c r="BI2131" s="295" t="s">
        <v>2236</v>
      </c>
      <c r="BJ2131" s="546">
        <v>1</v>
      </c>
      <c r="BK2131" s="294" t="s">
        <v>16</v>
      </c>
      <c r="BL2131" s="157" t="s">
        <v>16</v>
      </c>
      <c r="BM2131" s="548" t="s">
        <v>578</v>
      </c>
      <c r="BN2131" s="548" t="s">
        <v>578</v>
      </c>
      <c r="BO2131" s="157" t="s">
        <v>4658</v>
      </c>
      <c r="BP2131" s="548" t="s">
        <v>4660</v>
      </c>
      <c r="BQ2131" s="157" t="s">
        <v>4657</v>
      </c>
      <c r="BR2131" s="157"/>
    </row>
    <row r="2132" spans="1:70" x14ac:dyDescent="0.25">
      <c r="A2132" s="19" t="s">
        <v>3686</v>
      </c>
      <c r="B2132" s="37" t="s">
        <v>468</v>
      </c>
      <c r="C2132" s="90">
        <v>44138.700532407405</v>
      </c>
      <c r="D2132" s="114">
        <v>44138.450532407405</v>
      </c>
      <c r="E2132" s="38">
        <v>44138</v>
      </c>
      <c r="F2132" s="91">
        <v>2020</v>
      </c>
      <c r="G2132" s="93">
        <v>11</v>
      </c>
      <c r="H2132" s="37" t="s">
        <v>218</v>
      </c>
      <c r="I2132" s="37"/>
      <c r="J2132" s="103">
        <v>-92.52983660393464</v>
      </c>
      <c r="K2132" s="40">
        <v>44.789609755772645</v>
      </c>
      <c r="L2132" s="74"/>
      <c r="M2132" s="272" t="s">
        <v>16</v>
      </c>
      <c r="N2132" s="74">
        <v>0</v>
      </c>
      <c r="O2132" s="94"/>
      <c r="P2132" s="118">
        <v>0</v>
      </c>
      <c r="Q2132" s="510"/>
      <c r="R2132" s="513"/>
      <c r="S2132" s="41"/>
      <c r="T2132" s="40"/>
      <c r="U2132" s="40"/>
      <c r="V2132" s="119">
        <v>1</v>
      </c>
      <c r="W2132" s="40">
        <v>0</v>
      </c>
      <c r="X2132" s="119">
        <v>1</v>
      </c>
      <c r="Y2132" s="40">
        <v>48</v>
      </c>
      <c r="Z2132" s="119">
        <v>1</v>
      </c>
      <c r="AA2132" s="368">
        <v>0</v>
      </c>
      <c r="AB2132" s="535">
        <v>2</v>
      </c>
      <c r="AC2132" s="39" t="s">
        <v>162</v>
      </c>
      <c r="AD2132" s="75" t="s">
        <v>10</v>
      </c>
      <c r="AE2132" s="95">
        <v>0</v>
      </c>
      <c r="AF2132" s="75">
        <v>0</v>
      </c>
      <c r="AG2132" s="75">
        <v>0</v>
      </c>
      <c r="AH2132" s="75">
        <v>0</v>
      </c>
      <c r="AI2132" s="75">
        <v>0</v>
      </c>
      <c r="AJ2132" s="75">
        <v>0</v>
      </c>
      <c r="AK2132" s="75">
        <v>0</v>
      </c>
      <c r="AL2132" s="95">
        <v>1</v>
      </c>
      <c r="AM2132" s="92">
        <v>0</v>
      </c>
      <c r="AN2132" s="79" t="s">
        <v>80</v>
      </c>
      <c r="AO2132" s="75">
        <v>1</v>
      </c>
      <c r="AP2132" s="75" t="s">
        <v>83</v>
      </c>
      <c r="AQ2132" s="122">
        <v>1</v>
      </c>
      <c r="AR2132" s="515" t="s">
        <v>10</v>
      </c>
      <c r="AS2132" s="95">
        <v>0</v>
      </c>
      <c r="AT2132" s="75">
        <v>0</v>
      </c>
      <c r="AU2132" s="75">
        <v>0</v>
      </c>
      <c r="AV2132" s="75">
        <v>0</v>
      </c>
      <c r="AW2132" s="123">
        <v>0</v>
      </c>
      <c r="AX2132" s="516"/>
      <c r="AY2132" s="75">
        <v>0</v>
      </c>
      <c r="AZ2132" s="77" t="s">
        <v>131</v>
      </c>
      <c r="BA2132" s="78" t="s">
        <v>131</v>
      </c>
      <c r="BB2132" s="78" t="s">
        <v>131</v>
      </c>
      <c r="BC2132" s="78" t="s">
        <v>131</v>
      </c>
      <c r="BD2132" s="78" t="s">
        <v>131</v>
      </c>
      <c r="BE2132" s="78" t="s">
        <v>131</v>
      </c>
      <c r="BF2132" s="78" t="s">
        <v>131</v>
      </c>
      <c r="BG2132" s="78" t="s">
        <v>132</v>
      </c>
      <c r="BH2132" s="75" t="s">
        <v>5970</v>
      </c>
      <c r="BI2132" s="295" t="s">
        <v>2236</v>
      </c>
      <c r="BJ2132" s="546">
        <v>1</v>
      </c>
      <c r="BK2132" s="294" t="s">
        <v>16</v>
      </c>
      <c r="BL2132" s="157" t="s">
        <v>16</v>
      </c>
      <c r="BM2132" s="548" t="s">
        <v>578</v>
      </c>
      <c r="BN2132" s="548" t="s">
        <v>578</v>
      </c>
      <c r="BO2132" s="157" t="s">
        <v>4658</v>
      </c>
      <c r="BP2132" s="548" t="s">
        <v>4660</v>
      </c>
      <c r="BQ2132" s="157" t="s">
        <v>4657</v>
      </c>
      <c r="BR2132" s="157"/>
    </row>
    <row r="2133" spans="1:70" x14ac:dyDescent="0.25">
      <c r="A2133" s="19" t="s">
        <v>3686</v>
      </c>
      <c r="B2133" s="37" t="s">
        <v>467</v>
      </c>
      <c r="C2133" s="90">
        <v>44138.696006944447</v>
      </c>
      <c r="D2133" s="114">
        <v>44138.446006944447</v>
      </c>
      <c r="E2133" s="38">
        <v>44138</v>
      </c>
      <c r="F2133" s="91">
        <v>2020</v>
      </c>
      <c r="G2133" s="93">
        <v>11</v>
      </c>
      <c r="H2133" s="37" t="s">
        <v>218</v>
      </c>
      <c r="I2133" s="37"/>
      <c r="J2133" s="103">
        <v>-92.52980975545816</v>
      </c>
      <c r="K2133" s="40">
        <v>44.789651619963664</v>
      </c>
      <c r="L2133" s="74"/>
      <c r="M2133" s="272" t="s">
        <v>16</v>
      </c>
      <c r="N2133" s="74">
        <v>0</v>
      </c>
      <c r="O2133" s="94"/>
      <c r="P2133" s="118">
        <v>1</v>
      </c>
      <c r="Q2133" s="510">
        <v>180</v>
      </c>
      <c r="R2133" s="513">
        <v>120</v>
      </c>
      <c r="S2133" s="41"/>
      <c r="T2133" s="40"/>
      <c r="U2133" s="40">
        <v>7</v>
      </c>
      <c r="V2133" s="119">
        <v>0</v>
      </c>
      <c r="W2133" s="40"/>
      <c r="X2133" s="119">
        <v>0</v>
      </c>
      <c r="Y2133" s="40"/>
      <c r="Z2133" s="119">
        <v>0</v>
      </c>
      <c r="AA2133" s="368" t="s">
        <v>16</v>
      </c>
      <c r="AB2133" s="535" t="s">
        <v>16</v>
      </c>
      <c r="AC2133" s="39" t="s">
        <v>160</v>
      </c>
      <c r="AD2133" s="75" t="s">
        <v>10</v>
      </c>
      <c r="AE2133" s="95">
        <v>0</v>
      </c>
      <c r="AF2133" s="75">
        <v>0</v>
      </c>
      <c r="AG2133" s="75">
        <v>0</v>
      </c>
      <c r="AH2133" s="75">
        <v>0</v>
      </c>
      <c r="AI2133" s="75">
        <v>0</v>
      </c>
      <c r="AJ2133" s="75">
        <v>0</v>
      </c>
      <c r="AK2133" s="75">
        <v>0</v>
      </c>
      <c r="AL2133" s="95">
        <v>1</v>
      </c>
      <c r="AM2133" s="92">
        <v>0</v>
      </c>
      <c r="AN2133" s="79" t="s">
        <v>80</v>
      </c>
      <c r="AO2133" s="75">
        <v>1</v>
      </c>
      <c r="AP2133" s="75" t="s">
        <v>83</v>
      </c>
      <c r="AQ2133" s="122">
        <v>1</v>
      </c>
      <c r="AR2133" s="515" t="s">
        <v>10</v>
      </c>
      <c r="AS2133" s="95">
        <v>0</v>
      </c>
      <c r="AT2133" s="75">
        <v>0</v>
      </c>
      <c r="AU2133" s="75">
        <v>0</v>
      </c>
      <c r="AV2133" s="75">
        <v>0</v>
      </c>
      <c r="AW2133" s="123">
        <v>0</v>
      </c>
      <c r="AX2133" s="516"/>
      <c r="AY2133" s="75">
        <v>0</v>
      </c>
      <c r="AZ2133" s="77" t="s">
        <v>131</v>
      </c>
      <c r="BA2133" s="78" t="s">
        <v>131</v>
      </c>
      <c r="BB2133" s="78" t="s">
        <v>131</v>
      </c>
      <c r="BC2133" s="78" t="s">
        <v>131</v>
      </c>
      <c r="BD2133" s="78" t="s">
        <v>131</v>
      </c>
      <c r="BE2133" s="78" t="s">
        <v>131</v>
      </c>
      <c r="BF2133" s="78" t="s">
        <v>131</v>
      </c>
      <c r="BG2133" s="78" t="s">
        <v>132</v>
      </c>
      <c r="BH2133" s="75" t="s">
        <v>5970</v>
      </c>
      <c r="BI2133" s="295" t="s">
        <v>2236</v>
      </c>
      <c r="BJ2133" s="546">
        <v>1</v>
      </c>
      <c r="BK2133" s="294" t="s">
        <v>16</v>
      </c>
      <c r="BL2133" s="157" t="s">
        <v>16</v>
      </c>
      <c r="BM2133" s="548" t="s">
        <v>578</v>
      </c>
      <c r="BN2133" s="548" t="s">
        <v>578</v>
      </c>
      <c r="BO2133" s="157" t="s">
        <v>4658</v>
      </c>
      <c r="BP2133" s="548" t="s">
        <v>4660</v>
      </c>
      <c r="BQ2133" s="157" t="s">
        <v>4657</v>
      </c>
      <c r="BR2133" s="157"/>
    </row>
    <row r="2134" spans="1:70" x14ac:dyDescent="0.25">
      <c r="A2134" s="19" t="s">
        <v>3686</v>
      </c>
      <c r="B2134" s="37" t="s">
        <v>466</v>
      </c>
      <c r="C2134" s="90">
        <v>44128.6171875</v>
      </c>
      <c r="D2134" s="114">
        <v>44128.3671875</v>
      </c>
      <c r="E2134" s="38">
        <v>44128</v>
      </c>
      <c r="F2134" s="91">
        <v>2020</v>
      </c>
      <c r="G2134" s="93">
        <v>10</v>
      </c>
      <c r="H2134" s="37" t="s">
        <v>190</v>
      </c>
      <c r="I2134" s="37" t="s">
        <v>146</v>
      </c>
      <c r="J2134" s="103">
        <v>-88.136452599999998</v>
      </c>
      <c r="K2134" s="40">
        <v>41.754592000000002</v>
      </c>
      <c r="L2134" s="74"/>
      <c r="M2134" s="272" t="s">
        <v>16</v>
      </c>
      <c r="N2134" s="74">
        <v>0</v>
      </c>
      <c r="O2134" s="94"/>
      <c r="P2134" s="118">
        <v>1</v>
      </c>
      <c r="Q2134" s="510">
        <v>120</v>
      </c>
      <c r="R2134" s="513">
        <v>60</v>
      </c>
      <c r="S2134" s="41"/>
      <c r="T2134" s="40"/>
      <c r="U2134" s="40">
        <v>7</v>
      </c>
      <c r="V2134" s="119">
        <v>0</v>
      </c>
      <c r="W2134" s="40"/>
      <c r="X2134" s="119">
        <v>1</v>
      </c>
      <c r="Y2134" s="40">
        <v>50</v>
      </c>
      <c r="Z2134" s="119">
        <v>1</v>
      </c>
      <c r="AA2134" s="368">
        <v>0</v>
      </c>
      <c r="AB2134" s="535">
        <v>2</v>
      </c>
      <c r="AC2134" s="39" t="s">
        <v>160</v>
      </c>
      <c r="AD2134" s="75" t="s">
        <v>9</v>
      </c>
      <c r="AE2134" s="95">
        <v>0</v>
      </c>
      <c r="AF2134" s="75">
        <v>0</v>
      </c>
      <c r="AG2134" s="75">
        <v>1</v>
      </c>
      <c r="AH2134" s="75">
        <v>0</v>
      </c>
      <c r="AI2134" s="75">
        <v>0</v>
      </c>
      <c r="AJ2134" s="75">
        <v>0</v>
      </c>
      <c r="AK2134" s="75">
        <v>0</v>
      </c>
      <c r="AL2134" s="95">
        <v>0</v>
      </c>
      <c r="AM2134" s="92">
        <v>0</v>
      </c>
      <c r="AN2134" s="79" t="s">
        <v>86</v>
      </c>
      <c r="AO2134" s="75">
        <v>1</v>
      </c>
      <c r="AP2134" s="75" t="s">
        <v>85</v>
      </c>
      <c r="AQ2134" s="122">
        <v>1</v>
      </c>
      <c r="AR2134" s="515" t="s">
        <v>13</v>
      </c>
      <c r="AS2134" s="95">
        <v>1</v>
      </c>
      <c r="AT2134" s="75">
        <v>0</v>
      </c>
      <c r="AU2134" s="75">
        <v>0</v>
      </c>
      <c r="AV2134" s="75">
        <v>0</v>
      </c>
      <c r="AW2134" s="123">
        <v>0</v>
      </c>
      <c r="AX2134" s="516"/>
      <c r="AY2134" s="75">
        <v>0</v>
      </c>
      <c r="AZ2134" s="77" t="s">
        <v>131</v>
      </c>
      <c r="BA2134" s="78" t="s">
        <v>131</v>
      </c>
      <c r="BB2134" s="78" t="s">
        <v>132</v>
      </c>
      <c r="BC2134" s="78" t="s">
        <v>131</v>
      </c>
      <c r="BD2134" s="78" t="s">
        <v>131</v>
      </c>
      <c r="BE2134" s="78" t="s">
        <v>131</v>
      </c>
      <c r="BF2134" s="78" t="s">
        <v>131</v>
      </c>
      <c r="BG2134" s="78" t="s">
        <v>131</v>
      </c>
      <c r="BH2134" s="75" t="s">
        <v>5970</v>
      </c>
      <c r="BI2134" s="295" t="s">
        <v>2240</v>
      </c>
      <c r="BJ2134" s="546" t="s">
        <v>16</v>
      </c>
      <c r="BK2134" s="294" t="s">
        <v>16</v>
      </c>
      <c r="BL2134" s="157" t="s">
        <v>16</v>
      </c>
      <c r="BM2134" s="548">
        <v>0</v>
      </c>
      <c r="BN2134" s="548" t="s">
        <v>2341</v>
      </c>
      <c r="BO2134" s="157" t="s">
        <v>4758</v>
      </c>
      <c r="BP2134" s="548" t="s">
        <v>4759</v>
      </c>
      <c r="BQ2134" s="157" t="s">
        <v>4757</v>
      </c>
      <c r="BR2134" s="157"/>
    </row>
    <row r="2135" spans="1:70" x14ac:dyDescent="0.25">
      <c r="A2135" s="19" t="s">
        <v>3686</v>
      </c>
      <c r="B2135" s="37" t="s">
        <v>463</v>
      </c>
      <c r="C2135" s="90">
        <v>44120.887662037036</v>
      </c>
      <c r="D2135" s="114">
        <v>44120.637662037036</v>
      </c>
      <c r="E2135" s="38">
        <v>44120</v>
      </c>
      <c r="F2135" s="91">
        <v>2020</v>
      </c>
      <c r="G2135" s="93">
        <v>10</v>
      </c>
      <c r="H2135" s="37" t="s">
        <v>464</v>
      </c>
      <c r="I2135" s="37" t="s">
        <v>349</v>
      </c>
      <c r="J2135" s="103">
        <v>-92.529895699999997</v>
      </c>
      <c r="K2135" s="40">
        <v>44.793771700000001</v>
      </c>
      <c r="L2135" s="74"/>
      <c r="M2135" s="272" t="s">
        <v>16</v>
      </c>
      <c r="N2135" s="74">
        <v>0</v>
      </c>
      <c r="O2135" s="94"/>
      <c r="P2135" s="118">
        <v>1</v>
      </c>
      <c r="Q2135" s="510">
        <v>80</v>
      </c>
      <c r="R2135" s="513">
        <v>180</v>
      </c>
      <c r="S2135" s="41"/>
      <c r="T2135" s="40"/>
      <c r="U2135" s="40">
        <v>7</v>
      </c>
      <c r="V2135" s="119">
        <v>1</v>
      </c>
      <c r="W2135" s="40">
        <v>0</v>
      </c>
      <c r="X2135" s="119">
        <v>1</v>
      </c>
      <c r="Y2135" s="40">
        <v>45</v>
      </c>
      <c r="Z2135" s="119">
        <v>0</v>
      </c>
      <c r="AA2135" s="368" t="s">
        <v>16</v>
      </c>
      <c r="AB2135" s="535">
        <v>2</v>
      </c>
      <c r="AC2135" s="39" t="s">
        <v>160</v>
      </c>
      <c r="AD2135" s="75" t="s">
        <v>10</v>
      </c>
      <c r="AE2135" s="95">
        <v>0</v>
      </c>
      <c r="AF2135" s="75">
        <v>0</v>
      </c>
      <c r="AG2135" s="75">
        <v>0</v>
      </c>
      <c r="AH2135" s="75">
        <v>0</v>
      </c>
      <c r="AI2135" s="75">
        <v>0</v>
      </c>
      <c r="AJ2135" s="75">
        <v>0</v>
      </c>
      <c r="AK2135" s="75">
        <v>0</v>
      </c>
      <c r="AL2135" s="95">
        <v>1</v>
      </c>
      <c r="AM2135" s="92">
        <v>0</v>
      </c>
      <c r="AN2135" s="79" t="s">
        <v>80</v>
      </c>
      <c r="AO2135" s="75">
        <v>1</v>
      </c>
      <c r="AP2135" s="75" t="s">
        <v>83</v>
      </c>
      <c r="AQ2135" s="122">
        <v>1</v>
      </c>
      <c r="AR2135" s="515" t="s">
        <v>10</v>
      </c>
      <c r="AS2135" s="95">
        <v>0</v>
      </c>
      <c r="AT2135" s="75">
        <v>0</v>
      </c>
      <c r="AU2135" s="75">
        <v>0</v>
      </c>
      <c r="AV2135" s="75">
        <v>0</v>
      </c>
      <c r="AW2135" s="123">
        <v>0</v>
      </c>
      <c r="AX2135" s="516" t="s">
        <v>465</v>
      </c>
      <c r="AY2135" s="75">
        <v>1</v>
      </c>
      <c r="AZ2135" s="77" t="s">
        <v>131</v>
      </c>
      <c r="BA2135" s="78" t="s">
        <v>131</v>
      </c>
      <c r="BB2135" s="78" t="s">
        <v>131</v>
      </c>
      <c r="BC2135" s="78" t="s">
        <v>131</v>
      </c>
      <c r="BD2135" s="78" t="s">
        <v>131</v>
      </c>
      <c r="BE2135" s="78" t="s">
        <v>131</v>
      </c>
      <c r="BF2135" s="78" t="s">
        <v>131</v>
      </c>
      <c r="BG2135" s="78" t="s">
        <v>132</v>
      </c>
      <c r="BH2135" s="75" t="s">
        <v>5970</v>
      </c>
      <c r="BI2135" s="295" t="s">
        <v>16</v>
      </c>
      <c r="BJ2135" s="546">
        <v>1</v>
      </c>
      <c r="BK2135" s="294" t="s">
        <v>16</v>
      </c>
      <c r="BL2135" s="157" t="s">
        <v>16</v>
      </c>
      <c r="BM2135" s="548" t="s">
        <v>578</v>
      </c>
      <c r="BN2135" s="548" t="s">
        <v>578</v>
      </c>
      <c r="BO2135" s="157" t="s">
        <v>4658</v>
      </c>
      <c r="BP2135" s="548" t="s">
        <v>4660</v>
      </c>
      <c r="BQ2135" s="157" t="s">
        <v>4657</v>
      </c>
      <c r="BR2135" s="157"/>
    </row>
    <row r="2136" spans="1:70" x14ac:dyDescent="0.25">
      <c r="A2136" s="19" t="s">
        <v>3686</v>
      </c>
      <c r="B2136" s="37" t="s">
        <v>460</v>
      </c>
      <c r="C2136" s="90">
        <v>44116.748668981483</v>
      </c>
      <c r="D2136" s="114">
        <v>44116.498668981483</v>
      </c>
      <c r="E2136" s="38">
        <v>44116</v>
      </c>
      <c r="F2136" s="91">
        <v>2020</v>
      </c>
      <c r="G2136" s="93">
        <v>10</v>
      </c>
      <c r="H2136" s="37" t="s">
        <v>461</v>
      </c>
      <c r="I2136" s="37" t="s">
        <v>154</v>
      </c>
      <c r="J2136" s="103">
        <v>-92.146993903529037</v>
      </c>
      <c r="K2136" s="40">
        <v>44.793184963096671</v>
      </c>
      <c r="L2136" s="74"/>
      <c r="M2136" s="272" t="s">
        <v>462</v>
      </c>
      <c r="N2136" s="74">
        <v>1</v>
      </c>
      <c r="O2136" s="94"/>
      <c r="P2136" s="118">
        <v>1</v>
      </c>
      <c r="Q2136" s="510">
        <v>180</v>
      </c>
      <c r="R2136" s="513">
        <v>120</v>
      </c>
      <c r="S2136" s="41"/>
      <c r="T2136" s="40"/>
      <c r="U2136" s="40">
        <v>7.5</v>
      </c>
      <c r="V2136" s="119">
        <v>1</v>
      </c>
      <c r="W2136" s="40">
        <v>100</v>
      </c>
      <c r="X2136" s="119">
        <v>1</v>
      </c>
      <c r="Y2136" s="40">
        <v>51</v>
      </c>
      <c r="Z2136" s="119">
        <v>1</v>
      </c>
      <c r="AA2136" s="368">
        <v>0</v>
      </c>
      <c r="AB2136" s="535">
        <v>2</v>
      </c>
      <c r="AC2136" s="39" t="s">
        <v>160</v>
      </c>
      <c r="AD2136" s="75" t="s">
        <v>16</v>
      </c>
      <c r="AE2136" s="95">
        <v>-1</v>
      </c>
      <c r="AF2136" s="75">
        <v>-1</v>
      </c>
      <c r="AG2136" s="75">
        <v>-1</v>
      </c>
      <c r="AH2136" s="75">
        <v>-1</v>
      </c>
      <c r="AI2136" s="75">
        <v>-1</v>
      </c>
      <c r="AJ2136" s="75">
        <v>-1</v>
      </c>
      <c r="AK2136" s="75">
        <v>-1</v>
      </c>
      <c r="AL2136" s="95">
        <v>-1</v>
      </c>
      <c r="AM2136" s="92">
        <v>1</v>
      </c>
      <c r="AN2136" s="79" t="s">
        <v>80</v>
      </c>
      <c r="AO2136" s="75">
        <v>1</v>
      </c>
      <c r="AP2136" s="75" t="s">
        <v>83</v>
      </c>
      <c r="AQ2136" s="122">
        <v>1</v>
      </c>
      <c r="AR2136" s="515" t="s">
        <v>10</v>
      </c>
      <c r="AS2136" s="95">
        <v>0</v>
      </c>
      <c r="AT2136" s="75">
        <v>0</v>
      </c>
      <c r="AU2136" s="75">
        <v>0</v>
      </c>
      <c r="AV2136" s="75">
        <v>0</v>
      </c>
      <c r="AW2136" s="123">
        <v>0</v>
      </c>
      <c r="AX2136" s="516"/>
      <c r="AY2136" s="75">
        <v>0</v>
      </c>
      <c r="AZ2136" s="77" t="s">
        <v>5971</v>
      </c>
      <c r="BA2136" s="78" t="s">
        <v>5971</v>
      </c>
      <c r="BB2136" s="78" t="s">
        <v>5971</v>
      </c>
      <c r="BC2136" s="78" t="s">
        <v>5971</v>
      </c>
      <c r="BD2136" s="78" t="s">
        <v>5971</v>
      </c>
      <c r="BE2136" s="78" t="s">
        <v>5971</v>
      </c>
      <c r="BF2136" s="78" t="s">
        <v>5971</v>
      </c>
      <c r="BG2136" s="78" t="s">
        <v>5971</v>
      </c>
      <c r="BH2136" s="75" t="s">
        <v>5971</v>
      </c>
      <c r="BI2136" s="295" t="s">
        <v>2270</v>
      </c>
      <c r="BJ2136" s="546">
        <v>1</v>
      </c>
      <c r="BK2136" s="294">
        <v>1</v>
      </c>
      <c r="BL2136" s="157">
        <v>1</v>
      </c>
      <c r="BM2136" s="548" t="s">
        <v>578</v>
      </c>
      <c r="BN2136" s="548" t="s">
        <v>578</v>
      </c>
      <c r="BO2136" s="157" t="s">
        <v>4317</v>
      </c>
      <c r="BP2136" s="548" t="s">
        <v>2270</v>
      </c>
      <c r="BQ2136" s="157" t="s">
        <v>4316</v>
      </c>
      <c r="BR2136" s="157"/>
    </row>
    <row r="2137" spans="1:70" x14ac:dyDescent="0.25">
      <c r="A2137" s="19" t="s">
        <v>3686</v>
      </c>
      <c r="B2137" s="37" t="s">
        <v>459</v>
      </c>
      <c r="C2137" s="90">
        <v>44115.582638888889</v>
      </c>
      <c r="D2137" s="114">
        <v>44115.332638888889</v>
      </c>
      <c r="E2137" s="38">
        <v>44115</v>
      </c>
      <c r="F2137" s="91">
        <v>2020</v>
      </c>
      <c r="G2137" s="93">
        <v>10</v>
      </c>
      <c r="H2137" s="37" t="s">
        <v>205</v>
      </c>
      <c r="I2137" s="37" t="s">
        <v>368</v>
      </c>
      <c r="J2137" s="103">
        <v>-92.331183021832359</v>
      </c>
      <c r="K2137" s="40">
        <v>44.746134254473915</v>
      </c>
      <c r="L2137" s="74"/>
      <c r="M2137" s="272" t="s">
        <v>16</v>
      </c>
      <c r="N2137" s="74">
        <v>0</v>
      </c>
      <c r="O2137" s="94"/>
      <c r="P2137" s="118">
        <v>0</v>
      </c>
      <c r="Q2137" s="510"/>
      <c r="R2137" s="513"/>
      <c r="S2137" s="41"/>
      <c r="T2137" s="40"/>
      <c r="U2137" s="40"/>
      <c r="V2137" s="119">
        <v>1</v>
      </c>
      <c r="W2137" s="40">
        <v>0</v>
      </c>
      <c r="X2137" s="119">
        <v>1</v>
      </c>
      <c r="Y2137" s="40">
        <v>47</v>
      </c>
      <c r="Z2137" s="119">
        <v>0</v>
      </c>
      <c r="AA2137" s="368" t="s">
        <v>16</v>
      </c>
      <c r="AB2137" s="535" t="s">
        <v>16</v>
      </c>
      <c r="AC2137" s="39" t="s">
        <v>160</v>
      </c>
      <c r="AD2137" s="75" t="s">
        <v>8</v>
      </c>
      <c r="AE2137" s="95">
        <v>0</v>
      </c>
      <c r="AF2137" s="75">
        <v>1</v>
      </c>
      <c r="AG2137" s="75">
        <v>0</v>
      </c>
      <c r="AH2137" s="75">
        <v>0</v>
      </c>
      <c r="AI2137" s="75">
        <v>0</v>
      </c>
      <c r="AJ2137" s="75">
        <v>0</v>
      </c>
      <c r="AK2137" s="75">
        <v>0</v>
      </c>
      <c r="AL2137" s="95">
        <v>0</v>
      </c>
      <c r="AM2137" s="92">
        <v>0</v>
      </c>
      <c r="AN2137" s="79" t="s">
        <v>80</v>
      </c>
      <c r="AO2137" s="75">
        <v>1</v>
      </c>
      <c r="AP2137" s="75" t="s">
        <v>83</v>
      </c>
      <c r="AQ2137" s="122">
        <v>1</v>
      </c>
      <c r="AR2137" s="515" t="s">
        <v>10</v>
      </c>
      <c r="AS2137" s="95">
        <v>0</v>
      </c>
      <c r="AT2137" s="75">
        <v>0</v>
      </c>
      <c r="AU2137" s="75">
        <v>0</v>
      </c>
      <c r="AV2137" s="75">
        <v>0</v>
      </c>
      <c r="AW2137" s="123">
        <v>0</v>
      </c>
      <c r="AX2137" s="516"/>
      <c r="AY2137" s="75">
        <v>0</v>
      </c>
      <c r="AZ2137" s="77" t="s">
        <v>131</v>
      </c>
      <c r="BA2137" s="78" t="s">
        <v>132</v>
      </c>
      <c r="BB2137" s="78" t="s">
        <v>131</v>
      </c>
      <c r="BC2137" s="78" t="s">
        <v>131</v>
      </c>
      <c r="BD2137" s="78" t="s">
        <v>131</v>
      </c>
      <c r="BE2137" s="78" t="s">
        <v>131</v>
      </c>
      <c r="BF2137" s="78" t="s">
        <v>131</v>
      </c>
      <c r="BG2137" s="78" t="s">
        <v>131</v>
      </c>
      <c r="BH2137" s="75" t="s">
        <v>5970</v>
      </c>
      <c r="BI2137" s="295" t="s">
        <v>2231</v>
      </c>
      <c r="BJ2137" s="546">
        <v>1</v>
      </c>
      <c r="BK2137" s="294">
        <v>1</v>
      </c>
      <c r="BL2137" s="157">
        <v>1</v>
      </c>
      <c r="BM2137" s="548" t="s">
        <v>578</v>
      </c>
      <c r="BN2137" s="548" t="s">
        <v>578</v>
      </c>
      <c r="BO2137" s="157" t="s">
        <v>4213</v>
      </c>
      <c r="BP2137" s="548" t="s">
        <v>4216</v>
      </c>
      <c r="BQ2137" s="157" t="s">
        <v>4212</v>
      </c>
      <c r="BR2137" s="157"/>
    </row>
    <row r="2138" spans="1:70" x14ac:dyDescent="0.25">
      <c r="A2138" s="19" t="s">
        <v>3686</v>
      </c>
      <c r="B2138" s="37" t="s">
        <v>458</v>
      </c>
      <c r="C2138" s="90">
        <v>44115.579074074078</v>
      </c>
      <c r="D2138" s="114">
        <v>44115.329074074078</v>
      </c>
      <c r="E2138" s="38">
        <v>44115</v>
      </c>
      <c r="F2138" s="91">
        <v>2020</v>
      </c>
      <c r="G2138" s="93">
        <v>10</v>
      </c>
      <c r="H2138" s="37" t="s">
        <v>205</v>
      </c>
      <c r="I2138" s="37"/>
      <c r="J2138" s="103">
        <v>-92.331412295485038</v>
      </c>
      <c r="K2138" s="40">
        <v>44.746398468020651</v>
      </c>
      <c r="L2138" s="74"/>
      <c r="M2138" s="272" t="s">
        <v>16</v>
      </c>
      <c r="N2138" s="74">
        <v>0</v>
      </c>
      <c r="O2138" s="94"/>
      <c r="P2138" s="118">
        <v>1</v>
      </c>
      <c r="Q2138" s="510">
        <v>180</v>
      </c>
      <c r="R2138" s="513">
        <v>180</v>
      </c>
      <c r="S2138" s="41"/>
      <c r="T2138" s="40"/>
      <c r="U2138" s="40">
        <v>7</v>
      </c>
      <c r="V2138" s="119">
        <v>0</v>
      </c>
      <c r="W2138" s="40"/>
      <c r="X2138" s="119">
        <v>0</v>
      </c>
      <c r="Y2138" s="40"/>
      <c r="Z2138" s="119">
        <v>1</v>
      </c>
      <c r="AA2138" s="368">
        <v>0</v>
      </c>
      <c r="AB2138" s="535">
        <v>2</v>
      </c>
      <c r="AC2138" s="39" t="s">
        <v>160</v>
      </c>
      <c r="AD2138" s="75" t="s">
        <v>16</v>
      </c>
      <c r="AE2138" s="95">
        <v>-1</v>
      </c>
      <c r="AF2138" s="75">
        <v>-1</v>
      </c>
      <c r="AG2138" s="75">
        <v>-1</v>
      </c>
      <c r="AH2138" s="75">
        <v>-1</v>
      </c>
      <c r="AI2138" s="75">
        <v>-1</v>
      </c>
      <c r="AJ2138" s="75">
        <v>-1</v>
      </c>
      <c r="AK2138" s="75">
        <v>-1</v>
      </c>
      <c r="AL2138" s="95">
        <v>-1</v>
      </c>
      <c r="AM2138" s="92">
        <v>1</v>
      </c>
      <c r="AN2138" s="79"/>
      <c r="AO2138" s="75">
        <v>0</v>
      </c>
      <c r="AP2138" s="75"/>
      <c r="AQ2138" s="122">
        <v>0</v>
      </c>
      <c r="AR2138" s="515" t="s">
        <v>16</v>
      </c>
      <c r="AS2138" s="95">
        <v>-1</v>
      </c>
      <c r="AT2138" s="75">
        <v>-1</v>
      </c>
      <c r="AU2138" s="75">
        <v>-1</v>
      </c>
      <c r="AV2138" s="75">
        <v>-1</v>
      </c>
      <c r="AW2138" s="123">
        <v>1</v>
      </c>
      <c r="AX2138" s="516"/>
      <c r="AY2138" s="75">
        <v>0</v>
      </c>
      <c r="AZ2138" s="77" t="s">
        <v>5971</v>
      </c>
      <c r="BA2138" s="78" t="s">
        <v>5971</v>
      </c>
      <c r="BB2138" s="78" t="s">
        <v>5971</v>
      </c>
      <c r="BC2138" s="78" t="s">
        <v>5971</v>
      </c>
      <c r="BD2138" s="78" t="s">
        <v>5971</v>
      </c>
      <c r="BE2138" s="78" t="s">
        <v>5971</v>
      </c>
      <c r="BF2138" s="78" t="s">
        <v>5971</v>
      </c>
      <c r="BG2138" s="78" t="s">
        <v>5971</v>
      </c>
      <c r="BH2138" s="75" t="s">
        <v>5971</v>
      </c>
      <c r="BI2138" s="295" t="s">
        <v>2231</v>
      </c>
      <c r="BJ2138" s="546">
        <v>1</v>
      </c>
      <c r="BK2138" s="294">
        <v>1</v>
      </c>
      <c r="BL2138" s="157">
        <v>1</v>
      </c>
      <c r="BM2138" s="548" t="s">
        <v>578</v>
      </c>
      <c r="BN2138" s="548" t="s">
        <v>578</v>
      </c>
      <c r="BO2138" s="157" t="s">
        <v>4213</v>
      </c>
      <c r="BP2138" s="548" t="s">
        <v>4216</v>
      </c>
      <c r="BQ2138" s="157" t="s">
        <v>4212</v>
      </c>
      <c r="BR2138" s="157"/>
    </row>
    <row r="2139" spans="1:70" x14ac:dyDescent="0.25">
      <c r="A2139" s="19" t="s">
        <v>3686</v>
      </c>
      <c r="B2139" s="37" t="s">
        <v>457</v>
      </c>
      <c r="C2139" s="90">
        <v>44114.673321759263</v>
      </c>
      <c r="D2139" s="114">
        <v>44114.423321759263</v>
      </c>
      <c r="E2139" s="38">
        <v>44114</v>
      </c>
      <c r="F2139" s="91">
        <v>2020</v>
      </c>
      <c r="G2139" s="93">
        <v>10</v>
      </c>
      <c r="H2139" s="37" t="s">
        <v>214</v>
      </c>
      <c r="I2139" s="37"/>
      <c r="J2139" s="103">
        <v>-92.342776675981384</v>
      </c>
      <c r="K2139" s="40">
        <v>44.75321740116788</v>
      </c>
      <c r="L2139" s="74"/>
      <c r="M2139" s="272" t="s">
        <v>16</v>
      </c>
      <c r="N2139" s="74">
        <v>0</v>
      </c>
      <c r="O2139" s="94"/>
      <c r="P2139" s="118">
        <v>1</v>
      </c>
      <c r="Q2139" s="510">
        <v>0</v>
      </c>
      <c r="R2139" s="513">
        <v>30</v>
      </c>
      <c r="S2139" s="41"/>
      <c r="T2139" s="40"/>
      <c r="U2139" s="40">
        <v>7.5</v>
      </c>
      <c r="V2139" s="119">
        <v>0</v>
      </c>
      <c r="W2139" s="40"/>
      <c r="X2139" s="119">
        <v>1</v>
      </c>
      <c r="Y2139" s="40">
        <v>49</v>
      </c>
      <c r="Z2139" s="119">
        <v>0</v>
      </c>
      <c r="AA2139" s="368" t="s">
        <v>16</v>
      </c>
      <c r="AB2139" s="535" t="s">
        <v>16</v>
      </c>
      <c r="AC2139" s="39" t="s">
        <v>160</v>
      </c>
      <c r="AD2139" s="75" t="s">
        <v>10</v>
      </c>
      <c r="AE2139" s="95">
        <v>0</v>
      </c>
      <c r="AF2139" s="75">
        <v>0</v>
      </c>
      <c r="AG2139" s="75">
        <v>0</v>
      </c>
      <c r="AH2139" s="75">
        <v>0</v>
      </c>
      <c r="AI2139" s="75">
        <v>0</v>
      </c>
      <c r="AJ2139" s="75">
        <v>0</v>
      </c>
      <c r="AK2139" s="75">
        <v>0</v>
      </c>
      <c r="AL2139" s="95">
        <v>1</v>
      </c>
      <c r="AM2139" s="92">
        <v>0</v>
      </c>
      <c r="AN2139" s="79" t="s">
        <v>80</v>
      </c>
      <c r="AO2139" s="75">
        <v>1</v>
      </c>
      <c r="AP2139" s="75" t="s">
        <v>83</v>
      </c>
      <c r="AQ2139" s="122">
        <v>1</v>
      </c>
      <c r="AR2139" s="515" t="s">
        <v>10</v>
      </c>
      <c r="AS2139" s="95">
        <v>0</v>
      </c>
      <c r="AT2139" s="75">
        <v>0</v>
      </c>
      <c r="AU2139" s="75">
        <v>0</v>
      </c>
      <c r="AV2139" s="75">
        <v>0</v>
      </c>
      <c r="AW2139" s="123">
        <v>0</v>
      </c>
      <c r="AX2139" s="516"/>
      <c r="AY2139" s="75">
        <v>0</v>
      </c>
      <c r="AZ2139" s="77" t="s">
        <v>131</v>
      </c>
      <c r="BA2139" s="78" t="s">
        <v>131</v>
      </c>
      <c r="BB2139" s="78" t="s">
        <v>131</v>
      </c>
      <c r="BC2139" s="78" t="s">
        <v>131</v>
      </c>
      <c r="BD2139" s="78" t="s">
        <v>131</v>
      </c>
      <c r="BE2139" s="78" t="s">
        <v>131</v>
      </c>
      <c r="BF2139" s="78" t="s">
        <v>131</v>
      </c>
      <c r="BG2139" s="78" t="s">
        <v>132</v>
      </c>
      <c r="BH2139" s="75" t="s">
        <v>5970</v>
      </c>
      <c r="BI2139" s="295" t="s">
        <v>2231</v>
      </c>
      <c r="BJ2139" s="546">
        <v>1</v>
      </c>
      <c r="BK2139" s="294">
        <v>1</v>
      </c>
      <c r="BL2139" s="157">
        <v>1</v>
      </c>
      <c r="BM2139" s="548" t="s">
        <v>578</v>
      </c>
      <c r="BN2139" s="548" t="s">
        <v>578</v>
      </c>
      <c r="BO2139" s="157" t="s">
        <v>4213</v>
      </c>
      <c r="BP2139" s="548" t="s">
        <v>4216</v>
      </c>
      <c r="BQ2139" s="157" t="s">
        <v>4212</v>
      </c>
      <c r="BR2139" s="157"/>
    </row>
    <row r="2140" spans="1:70" x14ac:dyDescent="0.25">
      <c r="A2140" s="19" t="s">
        <v>3686</v>
      </c>
      <c r="B2140" s="37" t="s">
        <v>454</v>
      </c>
      <c r="C2140" s="90">
        <v>44108.699930555558</v>
      </c>
      <c r="D2140" s="114">
        <v>44108.449930555558</v>
      </c>
      <c r="E2140" s="38">
        <v>44108</v>
      </c>
      <c r="F2140" s="91">
        <v>2020</v>
      </c>
      <c r="G2140" s="93">
        <v>10</v>
      </c>
      <c r="H2140" s="37" t="s">
        <v>455</v>
      </c>
      <c r="I2140" s="37"/>
      <c r="J2140" s="103">
        <v>-89.376276899999993</v>
      </c>
      <c r="K2140" s="40">
        <v>43.381790299999999</v>
      </c>
      <c r="L2140" s="74"/>
      <c r="M2140" s="272" t="s">
        <v>456</v>
      </c>
      <c r="N2140" s="74">
        <v>1</v>
      </c>
      <c r="O2140" s="94"/>
      <c r="P2140" s="118">
        <v>0</v>
      </c>
      <c r="Q2140" s="510"/>
      <c r="R2140" s="513"/>
      <c r="S2140" s="41"/>
      <c r="T2140" s="40"/>
      <c r="U2140" s="40"/>
      <c r="V2140" s="119">
        <v>0</v>
      </c>
      <c r="W2140" s="40"/>
      <c r="X2140" s="119">
        <v>1</v>
      </c>
      <c r="Y2140" s="40">
        <v>54</v>
      </c>
      <c r="Z2140" s="119">
        <v>0</v>
      </c>
      <c r="AA2140" s="368" t="s">
        <v>16</v>
      </c>
      <c r="AB2140" s="535" t="s">
        <v>16</v>
      </c>
      <c r="AC2140" s="39"/>
      <c r="AD2140" s="75" t="s">
        <v>16</v>
      </c>
      <c r="AE2140" s="95">
        <v>-1</v>
      </c>
      <c r="AF2140" s="75">
        <v>-1</v>
      </c>
      <c r="AG2140" s="75">
        <v>-1</v>
      </c>
      <c r="AH2140" s="75">
        <v>-1</v>
      </c>
      <c r="AI2140" s="75">
        <v>-1</v>
      </c>
      <c r="AJ2140" s="75">
        <v>-1</v>
      </c>
      <c r="AK2140" s="75">
        <v>-1</v>
      </c>
      <c r="AL2140" s="95">
        <v>-1</v>
      </c>
      <c r="AM2140" s="92">
        <v>1</v>
      </c>
      <c r="AN2140" s="79" t="s">
        <v>80</v>
      </c>
      <c r="AO2140" s="75">
        <v>1</v>
      </c>
      <c r="AP2140" s="75" t="s">
        <v>83</v>
      </c>
      <c r="AQ2140" s="122">
        <v>1</v>
      </c>
      <c r="AR2140" s="515" t="s">
        <v>16</v>
      </c>
      <c r="AS2140" s="95">
        <v>-1</v>
      </c>
      <c r="AT2140" s="75">
        <v>-1</v>
      </c>
      <c r="AU2140" s="75">
        <v>-1</v>
      </c>
      <c r="AV2140" s="75">
        <v>-1</v>
      </c>
      <c r="AW2140" s="123">
        <v>1</v>
      </c>
      <c r="AX2140" s="516"/>
      <c r="AY2140" s="75">
        <v>0</v>
      </c>
      <c r="AZ2140" s="77" t="s">
        <v>5971</v>
      </c>
      <c r="BA2140" s="78" t="s">
        <v>5971</v>
      </c>
      <c r="BB2140" s="78" t="s">
        <v>5971</v>
      </c>
      <c r="BC2140" s="78" t="s">
        <v>5971</v>
      </c>
      <c r="BD2140" s="78" t="s">
        <v>5971</v>
      </c>
      <c r="BE2140" s="78" t="s">
        <v>5971</v>
      </c>
      <c r="BF2140" s="78" t="s">
        <v>5971</v>
      </c>
      <c r="BG2140" s="78" t="s">
        <v>5971</v>
      </c>
      <c r="BH2140" s="75" t="s">
        <v>5971</v>
      </c>
      <c r="BI2140" s="295" t="s">
        <v>2295</v>
      </c>
      <c r="BJ2140" s="546">
        <v>1</v>
      </c>
      <c r="BK2140" s="294" t="s">
        <v>16</v>
      </c>
      <c r="BL2140" s="157" t="s">
        <v>16</v>
      </c>
      <c r="BM2140" s="548" t="s">
        <v>1346</v>
      </c>
      <c r="BN2140" s="548" t="s">
        <v>2342</v>
      </c>
      <c r="BO2140" s="157" t="s">
        <v>4760</v>
      </c>
      <c r="BP2140" s="548" t="s">
        <v>2295</v>
      </c>
      <c r="BQ2140" s="157" t="s">
        <v>4344</v>
      </c>
      <c r="BR2140" s="157"/>
    </row>
    <row r="2141" spans="1:70" x14ac:dyDescent="0.25">
      <c r="A2141" s="19" t="s">
        <v>3686</v>
      </c>
      <c r="B2141" s="37" t="s">
        <v>451</v>
      </c>
      <c r="C2141" s="90">
        <v>44106.778310185182</v>
      </c>
      <c r="D2141" s="114">
        <v>44106.528310185182</v>
      </c>
      <c r="E2141" s="38">
        <v>44106</v>
      </c>
      <c r="F2141" s="91">
        <v>2020</v>
      </c>
      <c r="G2141" s="93">
        <v>10</v>
      </c>
      <c r="H2141" s="37" t="s">
        <v>201</v>
      </c>
      <c r="I2141" s="37"/>
      <c r="J2141" s="103">
        <v>-92.639286990532696</v>
      </c>
      <c r="K2141" s="40">
        <v>44.850564159824245</v>
      </c>
      <c r="L2141" s="74"/>
      <c r="M2141" s="272" t="s">
        <v>452</v>
      </c>
      <c r="N2141" s="74">
        <v>1</v>
      </c>
      <c r="O2141" s="94"/>
      <c r="P2141" s="118">
        <v>1</v>
      </c>
      <c r="Q2141" s="510">
        <v>120</v>
      </c>
      <c r="R2141" s="513">
        <v>120</v>
      </c>
      <c r="S2141" s="41"/>
      <c r="T2141" s="40"/>
      <c r="U2141" s="40">
        <v>6</v>
      </c>
      <c r="V2141" s="119">
        <v>1</v>
      </c>
      <c r="W2141" s="40">
        <v>0</v>
      </c>
      <c r="X2141" s="119">
        <v>1</v>
      </c>
      <c r="Y2141" s="40">
        <v>48</v>
      </c>
      <c r="Z2141" s="119">
        <v>1</v>
      </c>
      <c r="AA2141" s="368">
        <v>0</v>
      </c>
      <c r="AB2141" s="535">
        <v>2</v>
      </c>
      <c r="AC2141" s="39" t="s">
        <v>160</v>
      </c>
      <c r="AD2141" s="75" t="s">
        <v>8</v>
      </c>
      <c r="AE2141" s="95">
        <v>0</v>
      </c>
      <c r="AF2141" s="75">
        <v>1</v>
      </c>
      <c r="AG2141" s="75">
        <v>0</v>
      </c>
      <c r="AH2141" s="75">
        <v>0</v>
      </c>
      <c r="AI2141" s="75">
        <v>0</v>
      </c>
      <c r="AJ2141" s="75">
        <v>0</v>
      </c>
      <c r="AK2141" s="75">
        <v>0</v>
      </c>
      <c r="AL2141" s="95">
        <v>0</v>
      </c>
      <c r="AM2141" s="92">
        <v>0</v>
      </c>
      <c r="AN2141" s="79" t="s">
        <v>81</v>
      </c>
      <c r="AO2141" s="75">
        <v>1</v>
      </c>
      <c r="AP2141" s="75" t="s">
        <v>83</v>
      </c>
      <c r="AQ2141" s="122">
        <v>1</v>
      </c>
      <c r="AR2141" s="515" t="s">
        <v>10</v>
      </c>
      <c r="AS2141" s="95">
        <v>0</v>
      </c>
      <c r="AT2141" s="75">
        <v>0</v>
      </c>
      <c r="AU2141" s="75">
        <v>0</v>
      </c>
      <c r="AV2141" s="75">
        <v>0</v>
      </c>
      <c r="AW2141" s="123">
        <v>0</v>
      </c>
      <c r="AX2141" s="516" t="s">
        <v>453</v>
      </c>
      <c r="AY2141" s="75">
        <v>1</v>
      </c>
      <c r="AZ2141" s="77" t="s">
        <v>131</v>
      </c>
      <c r="BA2141" s="78" t="s">
        <v>132</v>
      </c>
      <c r="BB2141" s="78" t="s">
        <v>131</v>
      </c>
      <c r="BC2141" s="78" t="s">
        <v>131</v>
      </c>
      <c r="BD2141" s="78" t="s">
        <v>131</v>
      </c>
      <c r="BE2141" s="78" t="s">
        <v>131</v>
      </c>
      <c r="BF2141" s="78" t="s">
        <v>131</v>
      </c>
      <c r="BG2141" s="78" t="s">
        <v>131</v>
      </c>
      <c r="BH2141" s="75" t="s">
        <v>5970</v>
      </c>
      <c r="BI2141" s="295" t="s">
        <v>2227</v>
      </c>
      <c r="BJ2141" s="546">
        <v>1</v>
      </c>
      <c r="BK2141" s="294">
        <v>1</v>
      </c>
      <c r="BL2141" s="157">
        <v>1</v>
      </c>
      <c r="BM2141" s="548" t="s">
        <v>578</v>
      </c>
      <c r="BN2141" s="548" t="s">
        <v>578</v>
      </c>
      <c r="BO2141" s="157" t="s">
        <v>4341</v>
      </c>
      <c r="BP2141" s="548" t="s">
        <v>4343</v>
      </c>
      <c r="BQ2141" s="157" t="s">
        <v>4309</v>
      </c>
      <c r="BR2141" s="157"/>
    </row>
    <row r="2142" spans="1:70" x14ac:dyDescent="0.25">
      <c r="A2142" s="19" t="s">
        <v>3686</v>
      </c>
      <c r="B2142" s="37" t="s">
        <v>448</v>
      </c>
      <c r="C2142" s="90">
        <v>44106.730092592596</v>
      </c>
      <c r="D2142" s="114">
        <v>44106.480092592596</v>
      </c>
      <c r="E2142" s="38">
        <v>44106</v>
      </c>
      <c r="F2142" s="91">
        <v>2020</v>
      </c>
      <c r="G2142" s="93">
        <v>10</v>
      </c>
      <c r="H2142" s="37" t="s">
        <v>201</v>
      </c>
      <c r="I2142" s="37"/>
      <c r="J2142" s="103">
        <v>-92.73201204962038</v>
      </c>
      <c r="K2142" s="40">
        <v>44.83102133382409</v>
      </c>
      <c r="L2142" s="74"/>
      <c r="M2142" s="272" t="s">
        <v>449</v>
      </c>
      <c r="N2142" s="74">
        <v>1</v>
      </c>
      <c r="O2142" s="94"/>
      <c r="P2142" s="118">
        <v>1</v>
      </c>
      <c r="Q2142" s="510">
        <v>180</v>
      </c>
      <c r="R2142" s="513">
        <v>180</v>
      </c>
      <c r="S2142" s="41"/>
      <c r="T2142" s="40"/>
      <c r="U2142" s="40">
        <v>7</v>
      </c>
      <c r="V2142" s="119">
        <v>1</v>
      </c>
      <c r="W2142" s="40">
        <v>0</v>
      </c>
      <c r="X2142" s="119">
        <v>1</v>
      </c>
      <c r="Y2142" s="40">
        <v>47</v>
      </c>
      <c r="Z2142" s="119">
        <v>1</v>
      </c>
      <c r="AA2142" s="368">
        <v>0</v>
      </c>
      <c r="AB2142" s="535">
        <v>2</v>
      </c>
      <c r="AC2142" s="39" t="s">
        <v>160</v>
      </c>
      <c r="AD2142" s="75" t="s">
        <v>8</v>
      </c>
      <c r="AE2142" s="95">
        <v>0</v>
      </c>
      <c r="AF2142" s="75">
        <v>1</v>
      </c>
      <c r="AG2142" s="75">
        <v>0</v>
      </c>
      <c r="AH2142" s="75">
        <v>0</v>
      </c>
      <c r="AI2142" s="75">
        <v>0</v>
      </c>
      <c r="AJ2142" s="75">
        <v>0</v>
      </c>
      <c r="AK2142" s="75">
        <v>0</v>
      </c>
      <c r="AL2142" s="95">
        <v>0</v>
      </c>
      <c r="AM2142" s="92">
        <v>0</v>
      </c>
      <c r="AN2142" s="79" t="s">
        <v>80</v>
      </c>
      <c r="AO2142" s="75">
        <v>1</v>
      </c>
      <c r="AP2142" s="75" t="s">
        <v>83</v>
      </c>
      <c r="AQ2142" s="122">
        <v>1</v>
      </c>
      <c r="AR2142" s="515" t="s">
        <v>10</v>
      </c>
      <c r="AS2142" s="95">
        <v>0</v>
      </c>
      <c r="AT2142" s="75">
        <v>0</v>
      </c>
      <c r="AU2142" s="75">
        <v>0</v>
      </c>
      <c r="AV2142" s="75">
        <v>0</v>
      </c>
      <c r="AW2142" s="123">
        <v>0</v>
      </c>
      <c r="AX2142" s="516" t="s">
        <v>450</v>
      </c>
      <c r="AY2142" s="75">
        <v>1</v>
      </c>
      <c r="AZ2142" s="77" t="s">
        <v>131</v>
      </c>
      <c r="BA2142" s="78" t="s">
        <v>132</v>
      </c>
      <c r="BB2142" s="78" t="s">
        <v>131</v>
      </c>
      <c r="BC2142" s="78" t="s">
        <v>131</v>
      </c>
      <c r="BD2142" s="78" t="s">
        <v>131</v>
      </c>
      <c r="BE2142" s="78" t="s">
        <v>131</v>
      </c>
      <c r="BF2142" s="78" t="s">
        <v>131</v>
      </c>
      <c r="BG2142" s="78" t="s">
        <v>131</v>
      </c>
      <c r="BH2142" s="75" t="s">
        <v>5970</v>
      </c>
      <c r="BI2142" s="295" t="s">
        <v>16</v>
      </c>
      <c r="BJ2142" s="546">
        <v>1</v>
      </c>
      <c r="BK2142" s="294" t="s">
        <v>16</v>
      </c>
      <c r="BL2142" s="157" t="s">
        <v>16</v>
      </c>
      <c r="BM2142" s="548" t="s">
        <v>578</v>
      </c>
      <c r="BN2142" s="548" t="s">
        <v>578</v>
      </c>
      <c r="BO2142" s="157" t="s">
        <v>4341</v>
      </c>
      <c r="BP2142" s="548" t="s">
        <v>4343</v>
      </c>
      <c r="BQ2142" s="157" t="s">
        <v>4309</v>
      </c>
      <c r="BR2142" s="157"/>
    </row>
    <row r="2143" spans="1:70" x14ac:dyDescent="0.25">
      <c r="A2143" s="19" t="s">
        <v>3686</v>
      </c>
      <c r="B2143" s="37" t="s">
        <v>447</v>
      </c>
      <c r="C2143" s="90">
        <v>44102.004687499997</v>
      </c>
      <c r="D2143" s="114">
        <v>44101.754687499997</v>
      </c>
      <c r="E2143" s="38">
        <v>44101</v>
      </c>
      <c r="F2143" s="91">
        <v>2020</v>
      </c>
      <c r="G2143" s="93">
        <v>9</v>
      </c>
      <c r="H2143" s="37" t="s">
        <v>434</v>
      </c>
      <c r="I2143" s="37"/>
      <c r="J2143" s="103">
        <v>-91.475166301032317</v>
      </c>
      <c r="K2143" s="40">
        <v>43.882889066951421</v>
      </c>
      <c r="L2143" s="74"/>
      <c r="M2143" s="272" t="s">
        <v>16</v>
      </c>
      <c r="N2143" s="74">
        <v>0</v>
      </c>
      <c r="O2143" s="94"/>
      <c r="P2143" s="118">
        <v>1</v>
      </c>
      <c r="Q2143" s="510">
        <v>180</v>
      </c>
      <c r="R2143" s="513">
        <v>120</v>
      </c>
      <c r="S2143" s="41"/>
      <c r="T2143" s="40"/>
      <c r="U2143" s="40">
        <v>8</v>
      </c>
      <c r="V2143" s="119">
        <v>1</v>
      </c>
      <c r="W2143" s="40">
        <v>200</v>
      </c>
      <c r="X2143" s="119">
        <v>0</v>
      </c>
      <c r="Y2143" s="40"/>
      <c r="Z2143" s="119">
        <v>1</v>
      </c>
      <c r="AA2143" s="368">
        <v>0</v>
      </c>
      <c r="AB2143" s="535">
        <v>2</v>
      </c>
      <c r="AC2143" s="39"/>
      <c r="AD2143" s="75" t="s">
        <v>8</v>
      </c>
      <c r="AE2143" s="95">
        <v>0</v>
      </c>
      <c r="AF2143" s="75">
        <v>1</v>
      </c>
      <c r="AG2143" s="75">
        <v>0</v>
      </c>
      <c r="AH2143" s="75">
        <v>0</v>
      </c>
      <c r="AI2143" s="75">
        <v>0</v>
      </c>
      <c r="AJ2143" s="75">
        <v>0</v>
      </c>
      <c r="AK2143" s="75">
        <v>0</v>
      </c>
      <c r="AL2143" s="95">
        <v>0</v>
      </c>
      <c r="AM2143" s="92">
        <v>0</v>
      </c>
      <c r="AN2143" s="79" t="s">
        <v>80</v>
      </c>
      <c r="AO2143" s="75">
        <v>1</v>
      </c>
      <c r="AP2143" s="75" t="s">
        <v>83</v>
      </c>
      <c r="AQ2143" s="122">
        <v>1</v>
      </c>
      <c r="AR2143" s="515" t="s">
        <v>16</v>
      </c>
      <c r="AS2143" s="95">
        <v>-1</v>
      </c>
      <c r="AT2143" s="75">
        <v>-1</v>
      </c>
      <c r="AU2143" s="75">
        <v>-1</v>
      </c>
      <c r="AV2143" s="75">
        <v>-1</v>
      </c>
      <c r="AW2143" s="123">
        <v>1</v>
      </c>
      <c r="AX2143" s="516"/>
      <c r="AY2143" s="75">
        <v>0</v>
      </c>
      <c r="AZ2143" s="77" t="s">
        <v>131</v>
      </c>
      <c r="BA2143" s="78" t="s">
        <v>132</v>
      </c>
      <c r="BB2143" s="78" t="s">
        <v>131</v>
      </c>
      <c r="BC2143" s="78" t="s">
        <v>131</v>
      </c>
      <c r="BD2143" s="78" t="s">
        <v>131</v>
      </c>
      <c r="BE2143" s="78" t="s">
        <v>131</v>
      </c>
      <c r="BF2143" s="78" t="s">
        <v>131</v>
      </c>
      <c r="BG2143" s="78" t="s">
        <v>131</v>
      </c>
      <c r="BH2143" s="75" t="s">
        <v>5970</v>
      </c>
      <c r="BI2143" s="295" t="s">
        <v>2261</v>
      </c>
      <c r="BJ2143" s="546">
        <v>1</v>
      </c>
      <c r="BK2143" s="294">
        <v>1</v>
      </c>
      <c r="BL2143" s="157">
        <v>1</v>
      </c>
      <c r="BM2143" s="548" t="s">
        <v>1341</v>
      </c>
      <c r="BN2143" s="548" t="s">
        <v>2345</v>
      </c>
      <c r="BO2143" s="157" t="s">
        <v>4717</v>
      </c>
      <c r="BP2143" s="548" t="s">
        <v>2261</v>
      </c>
      <c r="BQ2143" s="157" t="s">
        <v>4592</v>
      </c>
      <c r="BR2143" s="157"/>
    </row>
    <row r="2144" spans="1:70" x14ac:dyDescent="0.25">
      <c r="A2144" s="19" t="s">
        <v>3686</v>
      </c>
      <c r="B2144" s="37" t="s">
        <v>446</v>
      </c>
      <c r="C2144" s="90">
        <v>44101.793587962966</v>
      </c>
      <c r="D2144" s="114">
        <v>44101.543587962966</v>
      </c>
      <c r="E2144" s="38">
        <v>44101</v>
      </c>
      <c r="F2144" s="91">
        <v>2020</v>
      </c>
      <c r="G2144" s="93">
        <v>9</v>
      </c>
      <c r="H2144" s="37" t="s">
        <v>201</v>
      </c>
      <c r="I2144" s="37" t="s">
        <v>2362</v>
      </c>
      <c r="J2144" s="103">
        <v>-92.284314094459077</v>
      </c>
      <c r="K2144" s="40">
        <v>44.542218930471961</v>
      </c>
      <c r="L2144" s="74"/>
      <c r="M2144" s="272" t="s">
        <v>16</v>
      </c>
      <c r="N2144" s="74">
        <v>0</v>
      </c>
      <c r="O2144" s="94"/>
      <c r="P2144" s="118">
        <v>1</v>
      </c>
      <c r="Q2144" s="510">
        <v>180</v>
      </c>
      <c r="R2144" s="513">
        <v>180</v>
      </c>
      <c r="S2144" s="41"/>
      <c r="T2144" s="40"/>
      <c r="U2144" s="40">
        <v>7.5</v>
      </c>
      <c r="V2144" s="119">
        <v>1</v>
      </c>
      <c r="W2144" s="40">
        <v>0</v>
      </c>
      <c r="X2144" s="119">
        <v>1</v>
      </c>
      <c r="Y2144" s="40">
        <v>49</v>
      </c>
      <c r="Z2144" s="119">
        <v>1</v>
      </c>
      <c r="AA2144" s="368">
        <v>0</v>
      </c>
      <c r="AB2144" s="535">
        <v>5</v>
      </c>
      <c r="AC2144" s="39" t="s">
        <v>160</v>
      </c>
      <c r="AD2144" s="75" t="s">
        <v>10</v>
      </c>
      <c r="AE2144" s="95">
        <v>0</v>
      </c>
      <c r="AF2144" s="75">
        <v>0</v>
      </c>
      <c r="AG2144" s="75">
        <v>0</v>
      </c>
      <c r="AH2144" s="75">
        <v>0</v>
      </c>
      <c r="AI2144" s="75">
        <v>0</v>
      </c>
      <c r="AJ2144" s="75">
        <v>0</v>
      </c>
      <c r="AK2144" s="75">
        <v>0</v>
      </c>
      <c r="AL2144" s="95">
        <v>1</v>
      </c>
      <c r="AM2144" s="92">
        <v>0</v>
      </c>
      <c r="AN2144" s="79" t="s">
        <v>80</v>
      </c>
      <c r="AO2144" s="75">
        <v>1</v>
      </c>
      <c r="AP2144" s="75" t="s">
        <v>83</v>
      </c>
      <c r="AQ2144" s="122">
        <v>1</v>
      </c>
      <c r="AR2144" s="515" t="s">
        <v>10</v>
      </c>
      <c r="AS2144" s="95">
        <v>0</v>
      </c>
      <c r="AT2144" s="75">
        <v>0</v>
      </c>
      <c r="AU2144" s="75">
        <v>0</v>
      </c>
      <c r="AV2144" s="75">
        <v>0</v>
      </c>
      <c r="AW2144" s="123">
        <v>0</v>
      </c>
      <c r="AX2144" s="516"/>
      <c r="AY2144" s="75">
        <v>0</v>
      </c>
      <c r="AZ2144" s="77" t="s">
        <v>131</v>
      </c>
      <c r="BA2144" s="78" t="s">
        <v>131</v>
      </c>
      <c r="BB2144" s="78" t="s">
        <v>131</v>
      </c>
      <c r="BC2144" s="78" t="s">
        <v>131</v>
      </c>
      <c r="BD2144" s="78" t="s">
        <v>131</v>
      </c>
      <c r="BE2144" s="78" t="s">
        <v>131</v>
      </c>
      <c r="BF2144" s="78" t="s">
        <v>131</v>
      </c>
      <c r="BG2144" s="78" t="s">
        <v>132</v>
      </c>
      <c r="BH2144" s="75" t="s">
        <v>5970</v>
      </c>
      <c r="BI2144" s="295" t="s">
        <v>2261</v>
      </c>
      <c r="BJ2144" s="546">
        <v>1</v>
      </c>
      <c r="BK2144" s="294">
        <v>1</v>
      </c>
      <c r="BL2144" s="157">
        <v>1</v>
      </c>
      <c r="BM2144" s="548" t="s">
        <v>1340</v>
      </c>
      <c r="BN2144" s="548" t="s">
        <v>578</v>
      </c>
      <c r="BO2144" s="157" t="s">
        <v>4268</v>
      </c>
      <c r="BP2144" s="548" t="s">
        <v>2261</v>
      </c>
      <c r="BQ2144" s="157" t="s">
        <v>4214</v>
      </c>
      <c r="BR2144" s="157"/>
    </row>
    <row r="2145" spans="1:70" x14ac:dyDescent="0.25">
      <c r="A2145" s="19" t="s">
        <v>3686</v>
      </c>
      <c r="B2145" s="37" t="s">
        <v>445</v>
      </c>
      <c r="C2145" s="90">
        <v>44100.878321759257</v>
      </c>
      <c r="D2145" s="114">
        <v>44100.628321759257</v>
      </c>
      <c r="E2145" s="38">
        <v>44100</v>
      </c>
      <c r="F2145" s="91">
        <v>2020</v>
      </c>
      <c r="G2145" s="93">
        <v>9</v>
      </c>
      <c r="H2145" s="37" t="s">
        <v>443</v>
      </c>
      <c r="I2145" s="37" t="s">
        <v>16</v>
      </c>
      <c r="J2145" s="103">
        <v>-91.656794808890353</v>
      </c>
      <c r="K2145" s="40">
        <v>44.826682107564828</v>
      </c>
      <c r="L2145" s="74"/>
      <c r="M2145" s="272" t="s">
        <v>16</v>
      </c>
      <c r="N2145" s="74">
        <v>0</v>
      </c>
      <c r="O2145" s="94"/>
      <c r="P2145" s="118">
        <v>1</v>
      </c>
      <c r="Q2145" s="510">
        <v>80</v>
      </c>
      <c r="R2145" s="513">
        <v>60</v>
      </c>
      <c r="S2145" s="41"/>
      <c r="T2145" s="40"/>
      <c r="U2145" s="40">
        <v>6</v>
      </c>
      <c r="V2145" s="119">
        <v>0</v>
      </c>
      <c r="W2145" s="40"/>
      <c r="X2145" s="119">
        <v>0</v>
      </c>
      <c r="Y2145" s="40"/>
      <c r="Z2145" s="119">
        <v>1</v>
      </c>
      <c r="AA2145" s="368">
        <v>0</v>
      </c>
      <c r="AB2145" s="535">
        <v>0</v>
      </c>
      <c r="AC2145" s="39"/>
      <c r="AD2145" s="75" t="s">
        <v>16</v>
      </c>
      <c r="AE2145" s="95">
        <v>-1</v>
      </c>
      <c r="AF2145" s="75">
        <v>-1</v>
      </c>
      <c r="AG2145" s="75">
        <v>-1</v>
      </c>
      <c r="AH2145" s="75">
        <v>-1</v>
      </c>
      <c r="AI2145" s="75">
        <v>-1</v>
      </c>
      <c r="AJ2145" s="75">
        <v>-1</v>
      </c>
      <c r="AK2145" s="75">
        <v>-1</v>
      </c>
      <c r="AL2145" s="95">
        <v>-1</v>
      </c>
      <c r="AM2145" s="92">
        <v>1</v>
      </c>
      <c r="AN2145" s="79" t="s">
        <v>16</v>
      </c>
      <c r="AO2145" s="75">
        <v>0</v>
      </c>
      <c r="AP2145" s="75" t="s">
        <v>83</v>
      </c>
      <c r="AQ2145" s="122">
        <v>1</v>
      </c>
      <c r="AR2145" s="515" t="s">
        <v>16</v>
      </c>
      <c r="AS2145" s="95">
        <v>-1</v>
      </c>
      <c r="AT2145" s="75">
        <v>-1</v>
      </c>
      <c r="AU2145" s="75">
        <v>-1</v>
      </c>
      <c r="AV2145" s="75">
        <v>-1</v>
      </c>
      <c r="AW2145" s="123">
        <v>1</v>
      </c>
      <c r="AX2145" s="516"/>
      <c r="AY2145" s="75">
        <v>0</v>
      </c>
      <c r="AZ2145" s="77" t="s">
        <v>5971</v>
      </c>
      <c r="BA2145" s="78" t="s">
        <v>5971</v>
      </c>
      <c r="BB2145" s="78" t="s">
        <v>5971</v>
      </c>
      <c r="BC2145" s="78" t="s">
        <v>5971</v>
      </c>
      <c r="BD2145" s="78" t="s">
        <v>5971</v>
      </c>
      <c r="BE2145" s="78" t="s">
        <v>5971</v>
      </c>
      <c r="BF2145" s="78" t="s">
        <v>5971</v>
      </c>
      <c r="BG2145" s="78" t="s">
        <v>5971</v>
      </c>
      <c r="BH2145" s="75" t="s">
        <v>5971</v>
      </c>
      <c r="BI2145" s="295" t="s">
        <v>2246</v>
      </c>
      <c r="BJ2145" s="546">
        <v>1</v>
      </c>
      <c r="BK2145" s="294">
        <v>1</v>
      </c>
      <c r="BL2145" s="157">
        <v>1</v>
      </c>
      <c r="BM2145" s="548" t="s">
        <v>1340</v>
      </c>
      <c r="BN2145" s="548" t="s">
        <v>2344</v>
      </c>
      <c r="BO2145" s="157" t="s">
        <v>4631</v>
      </c>
      <c r="BP2145" s="548" t="s">
        <v>4632</v>
      </c>
      <c r="BQ2145" s="157" t="s">
        <v>4630</v>
      </c>
      <c r="BR2145" s="157"/>
    </row>
    <row r="2146" spans="1:70" x14ac:dyDescent="0.25">
      <c r="A2146" s="19" t="s">
        <v>3686</v>
      </c>
      <c r="B2146" s="37" t="s">
        <v>444</v>
      </c>
      <c r="C2146" s="90">
        <v>44100.875138888892</v>
      </c>
      <c r="D2146" s="114">
        <v>44100.625138888892</v>
      </c>
      <c r="E2146" s="38">
        <v>44100</v>
      </c>
      <c r="F2146" s="91">
        <v>2020</v>
      </c>
      <c r="G2146" s="93">
        <v>9</v>
      </c>
      <c r="H2146" s="37" t="s">
        <v>443</v>
      </c>
      <c r="I2146" s="37" t="s">
        <v>16</v>
      </c>
      <c r="J2146" s="103">
        <v>-91.656737979586836</v>
      </c>
      <c r="K2146" s="40">
        <v>44.826716599096379</v>
      </c>
      <c r="L2146" s="74"/>
      <c r="M2146" s="272" t="s">
        <v>16</v>
      </c>
      <c r="N2146" s="74">
        <v>0</v>
      </c>
      <c r="O2146" s="94"/>
      <c r="P2146" s="118">
        <v>1</v>
      </c>
      <c r="Q2146" s="510">
        <v>80</v>
      </c>
      <c r="R2146" s="513">
        <v>60</v>
      </c>
      <c r="S2146" s="41"/>
      <c r="T2146" s="40"/>
      <c r="U2146" s="40">
        <v>6</v>
      </c>
      <c r="V2146" s="119">
        <v>0</v>
      </c>
      <c r="W2146" s="40"/>
      <c r="X2146" s="119">
        <v>0</v>
      </c>
      <c r="Y2146" s="40"/>
      <c r="Z2146" s="119">
        <v>1</v>
      </c>
      <c r="AA2146" s="368">
        <v>0</v>
      </c>
      <c r="AB2146" s="535">
        <v>0</v>
      </c>
      <c r="AC2146" s="39"/>
      <c r="AD2146" s="75" t="s">
        <v>16</v>
      </c>
      <c r="AE2146" s="95">
        <v>-1</v>
      </c>
      <c r="AF2146" s="75">
        <v>-1</v>
      </c>
      <c r="AG2146" s="75">
        <v>-1</v>
      </c>
      <c r="AH2146" s="75">
        <v>-1</v>
      </c>
      <c r="AI2146" s="75">
        <v>-1</v>
      </c>
      <c r="AJ2146" s="75">
        <v>-1</v>
      </c>
      <c r="AK2146" s="75">
        <v>-1</v>
      </c>
      <c r="AL2146" s="95">
        <v>-1</v>
      </c>
      <c r="AM2146" s="92">
        <v>1</v>
      </c>
      <c r="AN2146" s="79" t="s">
        <v>16</v>
      </c>
      <c r="AO2146" s="75">
        <v>0</v>
      </c>
      <c r="AP2146" s="75" t="s">
        <v>83</v>
      </c>
      <c r="AQ2146" s="122">
        <v>1</v>
      </c>
      <c r="AR2146" s="515" t="s">
        <v>16</v>
      </c>
      <c r="AS2146" s="95">
        <v>-1</v>
      </c>
      <c r="AT2146" s="75">
        <v>-1</v>
      </c>
      <c r="AU2146" s="75">
        <v>-1</v>
      </c>
      <c r="AV2146" s="75">
        <v>-1</v>
      </c>
      <c r="AW2146" s="123">
        <v>1</v>
      </c>
      <c r="AX2146" s="516"/>
      <c r="AY2146" s="75">
        <v>0</v>
      </c>
      <c r="AZ2146" s="77" t="s">
        <v>5971</v>
      </c>
      <c r="BA2146" s="78" t="s">
        <v>5971</v>
      </c>
      <c r="BB2146" s="78" t="s">
        <v>5971</v>
      </c>
      <c r="BC2146" s="78" t="s">
        <v>5971</v>
      </c>
      <c r="BD2146" s="78" t="s">
        <v>5971</v>
      </c>
      <c r="BE2146" s="78" t="s">
        <v>5971</v>
      </c>
      <c r="BF2146" s="78" t="s">
        <v>5971</v>
      </c>
      <c r="BG2146" s="78" t="s">
        <v>5971</v>
      </c>
      <c r="BH2146" s="75" t="s">
        <v>5971</v>
      </c>
      <c r="BI2146" s="295" t="s">
        <v>2246</v>
      </c>
      <c r="BJ2146" s="546">
        <v>1</v>
      </c>
      <c r="BK2146" s="294">
        <v>1</v>
      </c>
      <c r="BL2146" s="157">
        <v>1</v>
      </c>
      <c r="BM2146" s="548" t="s">
        <v>1340</v>
      </c>
      <c r="BN2146" s="548" t="s">
        <v>2344</v>
      </c>
      <c r="BO2146" s="157" t="s">
        <v>4631</v>
      </c>
      <c r="BP2146" s="548" t="s">
        <v>4632</v>
      </c>
      <c r="BQ2146" s="157" t="s">
        <v>4630</v>
      </c>
      <c r="BR2146" s="157"/>
    </row>
    <row r="2147" spans="1:70" x14ac:dyDescent="0.25">
      <c r="A2147" s="19" t="s">
        <v>3686</v>
      </c>
      <c r="B2147" s="37" t="s">
        <v>442</v>
      </c>
      <c r="C2147" s="90">
        <v>44100.873935185184</v>
      </c>
      <c r="D2147" s="114">
        <v>44100.623935185184</v>
      </c>
      <c r="E2147" s="38">
        <v>44100</v>
      </c>
      <c r="F2147" s="91">
        <v>2020</v>
      </c>
      <c r="G2147" s="93">
        <v>9</v>
      </c>
      <c r="H2147" s="37" t="s">
        <v>443</v>
      </c>
      <c r="I2147" s="37" t="s">
        <v>16</v>
      </c>
      <c r="J2147" s="103">
        <v>-91.656752480279337</v>
      </c>
      <c r="K2147" s="40">
        <v>44.826706037898383</v>
      </c>
      <c r="L2147" s="74"/>
      <c r="M2147" s="272" t="s">
        <v>16</v>
      </c>
      <c r="N2147" s="74">
        <v>0</v>
      </c>
      <c r="O2147" s="94"/>
      <c r="P2147" s="118">
        <v>1</v>
      </c>
      <c r="Q2147" s="510">
        <v>80</v>
      </c>
      <c r="R2147" s="513">
        <v>60</v>
      </c>
      <c r="S2147" s="41"/>
      <c r="T2147" s="40"/>
      <c r="U2147" s="40">
        <v>6</v>
      </c>
      <c r="V2147" s="119">
        <v>0</v>
      </c>
      <c r="W2147" s="40"/>
      <c r="X2147" s="119">
        <v>0</v>
      </c>
      <c r="Y2147" s="40"/>
      <c r="Z2147" s="119">
        <v>1</v>
      </c>
      <c r="AA2147" s="368">
        <v>0</v>
      </c>
      <c r="AB2147" s="535">
        <v>0</v>
      </c>
      <c r="AC2147" s="39"/>
      <c r="AD2147" s="75" t="s">
        <v>16</v>
      </c>
      <c r="AE2147" s="95">
        <v>-1</v>
      </c>
      <c r="AF2147" s="75">
        <v>-1</v>
      </c>
      <c r="AG2147" s="75">
        <v>-1</v>
      </c>
      <c r="AH2147" s="75">
        <v>-1</v>
      </c>
      <c r="AI2147" s="75">
        <v>-1</v>
      </c>
      <c r="AJ2147" s="75">
        <v>-1</v>
      </c>
      <c r="AK2147" s="75">
        <v>-1</v>
      </c>
      <c r="AL2147" s="95">
        <v>-1</v>
      </c>
      <c r="AM2147" s="92">
        <v>1</v>
      </c>
      <c r="AN2147" s="79" t="s">
        <v>16</v>
      </c>
      <c r="AO2147" s="75">
        <v>0</v>
      </c>
      <c r="AP2147" s="75" t="s">
        <v>83</v>
      </c>
      <c r="AQ2147" s="122">
        <v>1</v>
      </c>
      <c r="AR2147" s="515" t="s">
        <v>16</v>
      </c>
      <c r="AS2147" s="95">
        <v>-1</v>
      </c>
      <c r="AT2147" s="75">
        <v>-1</v>
      </c>
      <c r="AU2147" s="75">
        <v>-1</v>
      </c>
      <c r="AV2147" s="75">
        <v>-1</v>
      </c>
      <c r="AW2147" s="123">
        <v>1</v>
      </c>
      <c r="AX2147" s="516"/>
      <c r="AY2147" s="75">
        <v>0</v>
      </c>
      <c r="AZ2147" s="77" t="s">
        <v>5971</v>
      </c>
      <c r="BA2147" s="78" t="s">
        <v>5971</v>
      </c>
      <c r="BB2147" s="78" t="s">
        <v>5971</v>
      </c>
      <c r="BC2147" s="78" t="s">
        <v>5971</v>
      </c>
      <c r="BD2147" s="78" t="s">
        <v>5971</v>
      </c>
      <c r="BE2147" s="78" t="s">
        <v>5971</v>
      </c>
      <c r="BF2147" s="78" t="s">
        <v>5971</v>
      </c>
      <c r="BG2147" s="78" t="s">
        <v>5971</v>
      </c>
      <c r="BH2147" s="75" t="s">
        <v>5971</v>
      </c>
      <c r="BI2147" s="295" t="s">
        <v>2246</v>
      </c>
      <c r="BJ2147" s="546">
        <v>1</v>
      </c>
      <c r="BK2147" s="294">
        <v>1</v>
      </c>
      <c r="BL2147" s="157">
        <v>1</v>
      </c>
      <c r="BM2147" s="548" t="s">
        <v>1340</v>
      </c>
      <c r="BN2147" s="548" t="s">
        <v>2344</v>
      </c>
      <c r="BO2147" s="157" t="s">
        <v>4631</v>
      </c>
      <c r="BP2147" s="548" t="s">
        <v>4632</v>
      </c>
      <c r="BQ2147" s="157" t="s">
        <v>4630</v>
      </c>
      <c r="BR2147" s="157"/>
    </row>
    <row r="2148" spans="1:70" x14ac:dyDescent="0.25">
      <c r="A2148" s="19" t="s">
        <v>3686</v>
      </c>
      <c r="B2148" s="37" t="s">
        <v>441</v>
      </c>
      <c r="C2148" s="90">
        <v>44099.973622685182</v>
      </c>
      <c r="D2148" s="114">
        <v>44099.723622685182</v>
      </c>
      <c r="E2148" s="38">
        <v>44099</v>
      </c>
      <c r="F2148" s="91">
        <v>2020</v>
      </c>
      <c r="G2148" s="93">
        <v>9</v>
      </c>
      <c r="H2148" s="37" t="s">
        <v>434</v>
      </c>
      <c r="I2148" s="37"/>
      <c r="J2148" s="103">
        <v>-92.036426636090923</v>
      </c>
      <c r="K2148" s="40">
        <v>44.151477753450862</v>
      </c>
      <c r="L2148" s="74"/>
      <c r="M2148" s="272" t="s">
        <v>16</v>
      </c>
      <c r="N2148" s="74">
        <v>0</v>
      </c>
      <c r="O2148" s="94"/>
      <c r="P2148" s="118">
        <v>1</v>
      </c>
      <c r="Q2148" s="510">
        <v>180</v>
      </c>
      <c r="R2148" s="513">
        <v>120</v>
      </c>
      <c r="S2148" s="41"/>
      <c r="T2148" s="40"/>
      <c r="U2148" s="40">
        <v>8</v>
      </c>
      <c r="V2148" s="119">
        <v>1</v>
      </c>
      <c r="W2148" s="40">
        <v>100</v>
      </c>
      <c r="X2148" s="119">
        <v>0</v>
      </c>
      <c r="Y2148" s="40"/>
      <c r="Z2148" s="119">
        <v>1</v>
      </c>
      <c r="AA2148" s="368">
        <v>0</v>
      </c>
      <c r="AB2148" s="535">
        <v>5</v>
      </c>
      <c r="AC2148" s="39" t="s">
        <v>160</v>
      </c>
      <c r="AD2148" s="75" t="s">
        <v>10</v>
      </c>
      <c r="AE2148" s="95">
        <v>0</v>
      </c>
      <c r="AF2148" s="75">
        <v>0</v>
      </c>
      <c r="AG2148" s="75">
        <v>0</v>
      </c>
      <c r="AH2148" s="75">
        <v>0</v>
      </c>
      <c r="AI2148" s="75">
        <v>0</v>
      </c>
      <c r="AJ2148" s="75">
        <v>0</v>
      </c>
      <c r="AK2148" s="75">
        <v>0</v>
      </c>
      <c r="AL2148" s="95">
        <v>1</v>
      </c>
      <c r="AM2148" s="92">
        <v>0</v>
      </c>
      <c r="AN2148" s="79"/>
      <c r="AO2148" s="75">
        <v>0</v>
      </c>
      <c r="AP2148" s="75"/>
      <c r="AQ2148" s="122">
        <v>0</v>
      </c>
      <c r="AR2148" s="515" t="s">
        <v>16</v>
      </c>
      <c r="AS2148" s="95">
        <v>-1</v>
      </c>
      <c r="AT2148" s="75">
        <v>-1</v>
      </c>
      <c r="AU2148" s="75">
        <v>-1</v>
      </c>
      <c r="AV2148" s="75">
        <v>-1</v>
      </c>
      <c r="AW2148" s="123">
        <v>1</v>
      </c>
      <c r="AX2148" s="516"/>
      <c r="AY2148" s="75">
        <v>0</v>
      </c>
      <c r="AZ2148" s="77" t="s">
        <v>131</v>
      </c>
      <c r="BA2148" s="78" t="s">
        <v>131</v>
      </c>
      <c r="BB2148" s="78" t="s">
        <v>131</v>
      </c>
      <c r="BC2148" s="78" t="s">
        <v>131</v>
      </c>
      <c r="BD2148" s="78" t="s">
        <v>131</v>
      </c>
      <c r="BE2148" s="78" t="s">
        <v>131</v>
      </c>
      <c r="BF2148" s="78" t="s">
        <v>131</v>
      </c>
      <c r="BG2148" s="78" t="s">
        <v>132</v>
      </c>
      <c r="BH2148" s="75" t="s">
        <v>5970</v>
      </c>
      <c r="BI2148" s="295" t="s">
        <v>307</v>
      </c>
      <c r="BJ2148" s="546">
        <v>1</v>
      </c>
      <c r="BK2148" s="294" t="s">
        <v>16</v>
      </c>
      <c r="BL2148" s="157" t="s">
        <v>16</v>
      </c>
      <c r="BM2148" s="548" t="s">
        <v>1339</v>
      </c>
      <c r="BN2148" s="548" t="s">
        <v>2345</v>
      </c>
      <c r="BO2148" s="157" t="s">
        <v>4693</v>
      </c>
      <c r="BP2148" s="548" t="s">
        <v>307</v>
      </c>
      <c r="BQ2148" s="157" t="s">
        <v>4361</v>
      </c>
      <c r="BR2148" s="157"/>
    </row>
    <row r="2149" spans="1:70" x14ac:dyDescent="0.25">
      <c r="A2149" s="19" t="s">
        <v>3686</v>
      </c>
      <c r="B2149" s="37" t="s">
        <v>440</v>
      </c>
      <c r="C2149" s="90">
        <v>44099.90357638889</v>
      </c>
      <c r="D2149" s="114">
        <v>44099.65357638889</v>
      </c>
      <c r="E2149" s="38">
        <v>44099</v>
      </c>
      <c r="F2149" s="91">
        <v>2020</v>
      </c>
      <c r="G2149" s="93">
        <v>9</v>
      </c>
      <c r="H2149" s="37" t="s">
        <v>434</v>
      </c>
      <c r="I2149" s="37"/>
      <c r="J2149" s="103">
        <v>-91.930122868392644</v>
      </c>
      <c r="K2149" s="40">
        <v>44.167517897606935</v>
      </c>
      <c r="L2149" s="74"/>
      <c r="M2149" s="272" t="s">
        <v>16</v>
      </c>
      <c r="N2149" s="74">
        <v>0</v>
      </c>
      <c r="O2149" s="94"/>
      <c r="P2149" s="118">
        <v>1</v>
      </c>
      <c r="Q2149" s="510">
        <v>180</v>
      </c>
      <c r="R2149" s="513">
        <v>120</v>
      </c>
      <c r="S2149" s="41"/>
      <c r="T2149" s="40"/>
      <c r="U2149" s="40">
        <v>7</v>
      </c>
      <c r="V2149" s="119">
        <v>1</v>
      </c>
      <c r="W2149" s="40">
        <v>100</v>
      </c>
      <c r="X2149" s="119">
        <v>0</v>
      </c>
      <c r="Y2149" s="40"/>
      <c r="Z2149" s="119">
        <v>0</v>
      </c>
      <c r="AA2149" s="368" t="s">
        <v>16</v>
      </c>
      <c r="AB2149" s="535" t="s">
        <v>16</v>
      </c>
      <c r="AC2149" s="39" t="s">
        <v>160</v>
      </c>
      <c r="AD2149" s="75" t="s">
        <v>439</v>
      </c>
      <c r="AE2149" s="95">
        <v>0</v>
      </c>
      <c r="AF2149" s="75">
        <v>1</v>
      </c>
      <c r="AG2149" s="75">
        <v>0</v>
      </c>
      <c r="AH2149" s="75">
        <v>0</v>
      </c>
      <c r="AI2149" s="75">
        <v>1</v>
      </c>
      <c r="AJ2149" s="75">
        <v>0</v>
      </c>
      <c r="AK2149" s="75">
        <v>0</v>
      </c>
      <c r="AL2149" s="95">
        <v>0</v>
      </c>
      <c r="AM2149" s="92">
        <v>0</v>
      </c>
      <c r="AN2149" s="79" t="s">
        <v>80</v>
      </c>
      <c r="AO2149" s="75">
        <v>1</v>
      </c>
      <c r="AP2149" s="75" t="s">
        <v>83</v>
      </c>
      <c r="AQ2149" s="122">
        <v>1</v>
      </c>
      <c r="AR2149" s="515" t="s">
        <v>16</v>
      </c>
      <c r="AS2149" s="95">
        <v>-1</v>
      </c>
      <c r="AT2149" s="75">
        <v>-1</v>
      </c>
      <c r="AU2149" s="75">
        <v>-1</v>
      </c>
      <c r="AV2149" s="75">
        <v>-1</v>
      </c>
      <c r="AW2149" s="123">
        <v>1</v>
      </c>
      <c r="AX2149" s="516"/>
      <c r="AY2149" s="75">
        <v>0</v>
      </c>
      <c r="AZ2149" s="77" t="s">
        <v>131</v>
      </c>
      <c r="BA2149" s="78" t="s">
        <v>132</v>
      </c>
      <c r="BB2149" s="78" t="s">
        <v>131</v>
      </c>
      <c r="BC2149" s="78" t="s">
        <v>131</v>
      </c>
      <c r="BD2149" s="78" t="s">
        <v>132</v>
      </c>
      <c r="BE2149" s="78" t="s">
        <v>131</v>
      </c>
      <c r="BF2149" s="78" t="s">
        <v>131</v>
      </c>
      <c r="BG2149" s="78" t="s">
        <v>131</v>
      </c>
      <c r="BH2149" s="75" t="s">
        <v>5970</v>
      </c>
      <c r="BI2149" s="295" t="s">
        <v>2254</v>
      </c>
      <c r="BJ2149" s="546">
        <v>1</v>
      </c>
      <c r="BK2149" s="294">
        <v>1</v>
      </c>
      <c r="BL2149" s="157">
        <v>1</v>
      </c>
      <c r="BM2149" s="548" t="s">
        <v>1341</v>
      </c>
      <c r="BN2149" s="548" t="s">
        <v>2345</v>
      </c>
      <c r="BO2149" s="157" t="s">
        <v>4655</v>
      </c>
      <c r="BP2149" s="548" t="s">
        <v>2254</v>
      </c>
      <c r="BQ2149" s="157" t="s">
        <v>4361</v>
      </c>
      <c r="BR2149" s="157"/>
    </row>
    <row r="2150" spans="1:70" x14ac:dyDescent="0.25">
      <c r="A2150" s="19" t="s">
        <v>3686</v>
      </c>
      <c r="B2150" s="37" t="s">
        <v>438</v>
      </c>
      <c r="C2150" s="90">
        <v>44099.002488425926</v>
      </c>
      <c r="D2150" s="114">
        <v>44098.752488425926</v>
      </c>
      <c r="E2150" s="38">
        <v>44098</v>
      </c>
      <c r="F2150" s="91">
        <v>2020</v>
      </c>
      <c r="G2150" s="93">
        <v>9</v>
      </c>
      <c r="H2150" s="37" t="s">
        <v>434</v>
      </c>
      <c r="I2150" s="37"/>
      <c r="J2150" s="103">
        <v>-91.665465533943845</v>
      </c>
      <c r="K2150" s="40">
        <v>43.916492282386997</v>
      </c>
      <c r="L2150" s="74"/>
      <c r="M2150" s="272" t="s">
        <v>16</v>
      </c>
      <c r="N2150" s="74">
        <v>0</v>
      </c>
      <c r="O2150" s="94"/>
      <c r="P2150" s="118">
        <v>1</v>
      </c>
      <c r="Q2150" s="510">
        <v>180</v>
      </c>
      <c r="R2150" s="513">
        <v>120</v>
      </c>
      <c r="S2150" s="41"/>
      <c r="T2150" s="40"/>
      <c r="U2150" s="40">
        <v>8</v>
      </c>
      <c r="V2150" s="119">
        <v>1</v>
      </c>
      <c r="W2150" s="40">
        <v>200</v>
      </c>
      <c r="X2150" s="119">
        <v>0</v>
      </c>
      <c r="Y2150" s="40"/>
      <c r="Z2150" s="119">
        <v>0</v>
      </c>
      <c r="AA2150" s="368" t="s">
        <v>16</v>
      </c>
      <c r="AB2150" s="535" t="s">
        <v>16</v>
      </c>
      <c r="AC2150" s="39"/>
      <c r="AD2150" s="75" t="s">
        <v>439</v>
      </c>
      <c r="AE2150" s="95">
        <v>0</v>
      </c>
      <c r="AF2150" s="75">
        <v>1</v>
      </c>
      <c r="AG2150" s="75">
        <v>0</v>
      </c>
      <c r="AH2150" s="75">
        <v>0</v>
      </c>
      <c r="AI2150" s="75">
        <v>1</v>
      </c>
      <c r="AJ2150" s="75">
        <v>0</v>
      </c>
      <c r="AK2150" s="75">
        <v>0</v>
      </c>
      <c r="AL2150" s="95">
        <v>0</v>
      </c>
      <c r="AM2150" s="92">
        <v>0</v>
      </c>
      <c r="AN2150" s="79" t="s">
        <v>80</v>
      </c>
      <c r="AO2150" s="75">
        <v>1</v>
      </c>
      <c r="AP2150" s="75" t="s">
        <v>83</v>
      </c>
      <c r="AQ2150" s="122">
        <v>1</v>
      </c>
      <c r="AR2150" s="515" t="s">
        <v>35</v>
      </c>
      <c r="AS2150" s="95">
        <v>0</v>
      </c>
      <c r="AT2150" s="75">
        <v>1</v>
      </c>
      <c r="AU2150" s="75">
        <v>0</v>
      </c>
      <c r="AV2150" s="75">
        <v>0</v>
      </c>
      <c r="AW2150" s="123">
        <v>0</v>
      </c>
      <c r="AX2150" s="516"/>
      <c r="AY2150" s="75">
        <v>0</v>
      </c>
      <c r="AZ2150" s="77" t="s">
        <v>131</v>
      </c>
      <c r="BA2150" s="78" t="s">
        <v>132</v>
      </c>
      <c r="BB2150" s="78" t="s">
        <v>131</v>
      </c>
      <c r="BC2150" s="78" t="s">
        <v>131</v>
      </c>
      <c r="BD2150" s="78" t="s">
        <v>132</v>
      </c>
      <c r="BE2150" s="78" t="s">
        <v>131</v>
      </c>
      <c r="BF2150" s="78" t="s">
        <v>131</v>
      </c>
      <c r="BG2150" s="78" t="s">
        <v>131</v>
      </c>
      <c r="BH2150" s="75" t="s">
        <v>5970</v>
      </c>
      <c r="BI2150" s="295">
        <v>0</v>
      </c>
      <c r="BJ2150" s="546">
        <v>1</v>
      </c>
      <c r="BK2150" s="294" t="s">
        <v>16</v>
      </c>
      <c r="BL2150" s="157" t="s">
        <v>16</v>
      </c>
      <c r="BM2150" s="548" t="s">
        <v>1341</v>
      </c>
      <c r="BN2150" s="548" t="s">
        <v>2345</v>
      </c>
      <c r="BO2150" s="157" t="s">
        <v>4650</v>
      </c>
      <c r="BP2150" s="548" t="s">
        <v>4651</v>
      </c>
      <c r="BQ2150" s="157" t="s">
        <v>4649</v>
      </c>
      <c r="BR2150" s="157"/>
    </row>
    <row r="2151" spans="1:70" x14ac:dyDescent="0.25">
      <c r="A2151" s="19" t="s">
        <v>3686</v>
      </c>
      <c r="B2151" s="37" t="s">
        <v>437</v>
      </c>
      <c r="C2151" s="90">
        <v>44098.913171296299</v>
      </c>
      <c r="D2151" s="114">
        <v>44098.663171296299</v>
      </c>
      <c r="E2151" s="38">
        <v>44098</v>
      </c>
      <c r="F2151" s="91">
        <v>2020</v>
      </c>
      <c r="G2151" s="93">
        <v>9</v>
      </c>
      <c r="H2151" s="37" t="s">
        <v>434</v>
      </c>
      <c r="I2151" s="37"/>
      <c r="J2151" s="103">
        <v>-91.804096096163164</v>
      </c>
      <c r="K2151" s="40">
        <v>43.853379129707086</v>
      </c>
      <c r="L2151" s="74"/>
      <c r="M2151" s="272" t="s">
        <v>16</v>
      </c>
      <c r="N2151" s="74">
        <v>0</v>
      </c>
      <c r="O2151" s="94"/>
      <c r="P2151" s="118">
        <v>1</v>
      </c>
      <c r="Q2151" s="510">
        <v>120</v>
      </c>
      <c r="R2151" s="513">
        <v>180</v>
      </c>
      <c r="S2151" s="41"/>
      <c r="T2151" s="40"/>
      <c r="U2151" s="40">
        <v>7</v>
      </c>
      <c r="V2151" s="119">
        <v>1</v>
      </c>
      <c r="W2151" s="40">
        <v>100</v>
      </c>
      <c r="X2151" s="119">
        <v>0</v>
      </c>
      <c r="Y2151" s="40"/>
      <c r="Z2151" s="119">
        <v>1</v>
      </c>
      <c r="AA2151" s="368">
        <v>0</v>
      </c>
      <c r="AB2151" s="535">
        <v>5</v>
      </c>
      <c r="AC2151" s="39" t="s">
        <v>160</v>
      </c>
      <c r="AD2151" s="75" t="s">
        <v>8</v>
      </c>
      <c r="AE2151" s="95">
        <v>0</v>
      </c>
      <c r="AF2151" s="75">
        <v>1</v>
      </c>
      <c r="AG2151" s="75">
        <v>0</v>
      </c>
      <c r="AH2151" s="75">
        <v>0</v>
      </c>
      <c r="AI2151" s="75">
        <v>0</v>
      </c>
      <c r="AJ2151" s="75">
        <v>0</v>
      </c>
      <c r="AK2151" s="75">
        <v>0</v>
      </c>
      <c r="AL2151" s="95">
        <v>0</v>
      </c>
      <c r="AM2151" s="92">
        <v>0</v>
      </c>
      <c r="AN2151" s="79" t="s">
        <v>81</v>
      </c>
      <c r="AO2151" s="75">
        <v>1</v>
      </c>
      <c r="AP2151" s="75" t="s">
        <v>85</v>
      </c>
      <c r="AQ2151" s="122">
        <v>1</v>
      </c>
      <c r="AR2151" s="515" t="s">
        <v>35</v>
      </c>
      <c r="AS2151" s="95">
        <v>0</v>
      </c>
      <c r="AT2151" s="75">
        <v>1</v>
      </c>
      <c r="AU2151" s="75">
        <v>0</v>
      </c>
      <c r="AV2151" s="75">
        <v>0</v>
      </c>
      <c r="AW2151" s="123">
        <v>0</v>
      </c>
      <c r="AX2151" s="516"/>
      <c r="AY2151" s="75">
        <v>0</v>
      </c>
      <c r="AZ2151" s="77" t="s">
        <v>131</v>
      </c>
      <c r="BA2151" s="78" t="s">
        <v>132</v>
      </c>
      <c r="BB2151" s="78" t="s">
        <v>131</v>
      </c>
      <c r="BC2151" s="78" t="s">
        <v>131</v>
      </c>
      <c r="BD2151" s="78" t="s">
        <v>131</v>
      </c>
      <c r="BE2151" s="78" t="s">
        <v>131</v>
      </c>
      <c r="BF2151" s="78" t="s">
        <v>131</v>
      </c>
      <c r="BG2151" s="78" t="s">
        <v>131</v>
      </c>
      <c r="BH2151" s="75" t="s">
        <v>5970</v>
      </c>
      <c r="BI2151" s="295" t="s">
        <v>2261</v>
      </c>
      <c r="BJ2151" s="546">
        <v>1</v>
      </c>
      <c r="BK2151" s="294" t="s">
        <v>16</v>
      </c>
      <c r="BL2151" s="157" t="s">
        <v>16</v>
      </c>
      <c r="BM2151" s="548" t="s">
        <v>1341</v>
      </c>
      <c r="BN2151" s="548" t="s">
        <v>2345</v>
      </c>
      <c r="BO2151" s="157" t="s">
        <v>4640</v>
      </c>
      <c r="BP2151" s="548" t="s">
        <v>2261</v>
      </c>
      <c r="BQ2151" s="157" t="s">
        <v>4635</v>
      </c>
      <c r="BR2151" s="157"/>
    </row>
    <row r="2152" spans="1:70" x14ac:dyDescent="0.25">
      <c r="A2152" s="19" t="s">
        <v>3686</v>
      </c>
      <c r="B2152" s="37" t="s">
        <v>435</v>
      </c>
      <c r="C2152" s="90">
        <v>44096.651539351849</v>
      </c>
      <c r="D2152" s="114">
        <v>44096.401539351849</v>
      </c>
      <c r="E2152" s="38">
        <v>44096</v>
      </c>
      <c r="F2152" s="91">
        <v>2020</v>
      </c>
      <c r="G2152" s="93">
        <v>9</v>
      </c>
      <c r="H2152" s="37" t="s">
        <v>430</v>
      </c>
      <c r="I2152" s="37" t="s">
        <v>368</v>
      </c>
      <c r="J2152" s="103">
        <v>-92.330531599086086</v>
      </c>
      <c r="K2152" s="40">
        <v>44.747767243576</v>
      </c>
      <c r="L2152" s="74"/>
      <c r="M2152" s="272" t="s">
        <v>436</v>
      </c>
      <c r="N2152" s="74">
        <v>1</v>
      </c>
      <c r="O2152" s="94"/>
      <c r="P2152" s="118">
        <v>1</v>
      </c>
      <c r="Q2152" s="510">
        <v>180</v>
      </c>
      <c r="R2152" s="513">
        <v>180</v>
      </c>
      <c r="S2152" s="41"/>
      <c r="T2152" s="40"/>
      <c r="U2152" s="40">
        <v>7</v>
      </c>
      <c r="V2152" s="119">
        <v>0</v>
      </c>
      <c r="W2152" s="40"/>
      <c r="X2152" s="119">
        <v>1</v>
      </c>
      <c r="Y2152" s="40">
        <v>54</v>
      </c>
      <c r="Z2152" s="119">
        <v>1</v>
      </c>
      <c r="AA2152" s="368">
        <v>0</v>
      </c>
      <c r="AB2152" s="535">
        <v>0</v>
      </c>
      <c r="AC2152" s="39" t="s">
        <v>160</v>
      </c>
      <c r="AD2152" s="75" t="s">
        <v>10</v>
      </c>
      <c r="AE2152" s="95">
        <v>0</v>
      </c>
      <c r="AF2152" s="75">
        <v>0</v>
      </c>
      <c r="AG2152" s="75">
        <v>0</v>
      </c>
      <c r="AH2152" s="75">
        <v>0</v>
      </c>
      <c r="AI2152" s="75">
        <v>0</v>
      </c>
      <c r="AJ2152" s="75">
        <v>0</v>
      </c>
      <c r="AK2152" s="75">
        <v>0</v>
      </c>
      <c r="AL2152" s="95">
        <v>1</v>
      </c>
      <c r="AM2152" s="92">
        <v>0</v>
      </c>
      <c r="AN2152" s="79" t="s">
        <v>81</v>
      </c>
      <c r="AO2152" s="75">
        <v>1</v>
      </c>
      <c r="AP2152" s="75"/>
      <c r="AQ2152" s="122">
        <v>0</v>
      </c>
      <c r="AR2152" s="515" t="s">
        <v>10</v>
      </c>
      <c r="AS2152" s="95">
        <v>0</v>
      </c>
      <c r="AT2152" s="75">
        <v>0</v>
      </c>
      <c r="AU2152" s="75">
        <v>0</v>
      </c>
      <c r="AV2152" s="75">
        <v>0</v>
      </c>
      <c r="AW2152" s="123">
        <v>0</v>
      </c>
      <c r="AX2152" s="516"/>
      <c r="AY2152" s="75">
        <v>0</v>
      </c>
      <c r="AZ2152" s="77" t="s">
        <v>131</v>
      </c>
      <c r="BA2152" s="78" t="s">
        <v>131</v>
      </c>
      <c r="BB2152" s="78" t="s">
        <v>131</v>
      </c>
      <c r="BC2152" s="78" t="s">
        <v>131</v>
      </c>
      <c r="BD2152" s="78" t="s">
        <v>131</v>
      </c>
      <c r="BE2152" s="78" t="s">
        <v>131</v>
      </c>
      <c r="BF2152" s="78" t="s">
        <v>131</v>
      </c>
      <c r="BG2152" s="78" t="s">
        <v>132</v>
      </c>
      <c r="BH2152" s="75" t="s">
        <v>5970</v>
      </c>
      <c r="BI2152" s="295" t="s">
        <v>16</v>
      </c>
      <c r="BJ2152" s="546">
        <v>1</v>
      </c>
      <c r="BK2152" s="294">
        <v>1</v>
      </c>
      <c r="BL2152" s="157">
        <v>1</v>
      </c>
      <c r="BM2152" s="548" t="s">
        <v>578</v>
      </c>
      <c r="BN2152" s="548" t="s">
        <v>578</v>
      </c>
      <c r="BO2152" s="157" t="s">
        <v>4213</v>
      </c>
      <c r="BP2152" s="548" t="s">
        <v>4216</v>
      </c>
      <c r="BQ2152" s="157" t="s">
        <v>4212</v>
      </c>
      <c r="BR2152" s="157"/>
    </row>
    <row r="2153" spans="1:70" x14ac:dyDescent="0.25">
      <c r="A2153" s="19" t="s">
        <v>3686</v>
      </c>
      <c r="B2153" s="37" t="s">
        <v>433</v>
      </c>
      <c r="C2153" s="90">
        <v>44096.021562499998</v>
      </c>
      <c r="D2153" s="114">
        <v>44095.771562499998</v>
      </c>
      <c r="E2153" s="38">
        <v>44095</v>
      </c>
      <c r="F2153" s="91">
        <v>2020</v>
      </c>
      <c r="G2153" s="93">
        <v>9</v>
      </c>
      <c r="H2153" s="37" t="s">
        <v>434</v>
      </c>
      <c r="I2153" s="37"/>
      <c r="J2153" s="103">
        <v>-91.7815968000195</v>
      </c>
      <c r="K2153" s="40">
        <v>44.023964107735857</v>
      </c>
      <c r="L2153" s="74"/>
      <c r="M2153" s="272" t="s">
        <v>16</v>
      </c>
      <c r="N2153" s="74">
        <v>0</v>
      </c>
      <c r="O2153" s="94"/>
      <c r="P2153" s="118">
        <v>1</v>
      </c>
      <c r="Q2153" s="510">
        <v>0</v>
      </c>
      <c r="R2153" s="513">
        <v>120</v>
      </c>
      <c r="S2153" s="41"/>
      <c r="T2153" s="40"/>
      <c r="U2153" s="40">
        <v>7.5</v>
      </c>
      <c r="V2153" s="119">
        <v>1</v>
      </c>
      <c r="W2153" s="40">
        <v>200</v>
      </c>
      <c r="X2153" s="119">
        <v>1</v>
      </c>
      <c r="Y2153" s="40">
        <v>0</v>
      </c>
      <c r="Z2153" s="119">
        <v>1</v>
      </c>
      <c r="AA2153" s="368">
        <v>0</v>
      </c>
      <c r="AB2153" s="535">
        <v>10</v>
      </c>
      <c r="AC2153" s="39" t="s">
        <v>160</v>
      </c>
      <c r="AD2153" s="75" t="s">
        <v>8</v>
      </c>
      <c r="AE2153" s="95">
        <v>0</v>
      </c>
      <c r="AF2153" s="75">
        <v>1</v>
      </c>
      <c r="AG2153" s="75">
        <v>0</v>
      </c>
      <c r="AH2153" s="75">
        <v>0</v>
      </c>
      <c r="AI2153" s="75">
        <v>0</v>
      </c>
      <c r="AJ2153" s="75">
        <v>0</v>
      </c>
      <c r="AK2153" s="75">
        <v>0</v>
      </c>
      <c r="AL2153" s="95">
        <v>0</v>
      </c>
      <c r="AM2153" s="92">
        <v>0</v>
      </c>
      <c r="AN2153" s="79" t="s">
        <v>80</v>
      </c>
      <c r="AO2153" s="75">
        <v>1</v>
      </c>
      <c r="AP2153" s="75" t="s">
        <v>83</v>
      </c>
      <c r="AQ2153" s="122">
        <v>1</v>
      </c>
      <c r="AR2153" s="515" t="s">
        <v>10</v>
      </c>
      <c r="AS2153" s="95">
        <v>0</v>
      </c>
      <c r="AT2153" s="75">
        <v>0</v>
      </c>
      <c r="AU2153" s="75">
        <v>0</v>
      </c>
      <c r="AV2153" s="75">
        <v>0</v>
      </c>
      <c r="AW2153" s="123">
        <v>0</v>
      </c>
      <c r="AX2153" s="516"/>
      <c r="AY2153" s="75">
        <v>0</v>
      </c>
      <c r="AZ2153" s="77" t="s">
        <v>131</v>
      </c>
      <c r="BA2153" s="78" t="s">
        <v>132</v>
      </c>
      <c r="BB2153" s="78" t="s">
        <v>131</v>
      </c>
      <c r="BC2153" s="78" t="s">
        <v>131</v>
      </c>
      <c r="BD2153" s="78" t="s">
        <v>131</v>
      </c>
      <c r="BE2153" s="78" t="s">
        <v>131</v>
      </c>
      <c r="BF2153" s="78" t="s">
        <v>131</v>
      </c>
      <c r="BG2153" s="78" t="s">
        <v>131</v>
      </c>
      <c r="BH2153" s="75" t="s">
        <v>5970</v>
      </c>
      <c r="BI2153" s="295" t="s">
        <v>313</v>
      </c>
      <c r="BJ2153" s="546">
        <v>1</v>
      </c>
      <c r="BK2153" s="294">
        <v>1</v>
      </c>
      <c r="BL2153" s="157">
        <v>1</v>
      </c>
      <c r="BM2153" s="548" t="s">
        <v>1341</v>
      </c>
      <c r="BN2153" s="548" t="s">
        <v>2345</v>
      </c>
      <c r="BO2153" s="157" t="s">
        <v>4360</v>
      </c>
      <c r="BP2153" s="548" t="s">
        <v>313</v>
      </c>
      <c r="BQ2153" s="157" t="s">
        <v>4359</v>
      </c>
      <c r="BR2153" s="157"/>
    </row>
    <row r="2154" spans="1:70" x14ac:dyDescent="0.25">
      <c r="A2154" s="19" t="s">
        <v>3686</v>
      </c>
      <c r="B2154" s="37" t="s">
        <v>431</v>
      </c>
      <c r="C2154" s="90">
        <v>44095.639189814814</v>
      </c>
      <c r="D2154" s="114">
        <v>44095.389189814814</v>
      </c>
      <c r="E2154" s="38">
        <v>44095</v>
      </c>
      <c r="F2154" s="91">
        <v>2020</v>
      </c>
      <c r="G2154" s="93">
        <v>9</v>
      </c>
      <c r="H2154" s="37" t="s">
        <v>201</v>
      </c>
      <c r="I2154" s="37" t="s">
        <v>337</v>
      </c>
      <c r="J2154" s="103">
        <v>-92.645116067914401</v>
      </c>
      <c r="K2154" s="40">
        <v>44.843604772656782</v>
      </c>
      <c r="L2154" s="74"/>
      <c r="M2154" s="272" t="s">
        <v>432</v>
      </c>
      <c r="N2154" s="74">
        <v>1</v>
      </c>
      <c r="O2154" s="94"/>
      <c r="P2154" s="118">
        <v>1</v>
      </c>
      <c r="Q2154" s="510">
        <v>180</v>
      </c>
      <c r="R2154" s="513">
        <v>120</v>
      </c>
      <c r="S2154" s="41"/>
      <c r="T2154" s="40"/>
      <c r="U2154" s="40">
        <v>9</v>
      </c>
      <c r="V2154" s="119">
        <v>1</v>
      </c>
      <c r="W2154" s="40">
        <v>0</v>
      </c>
      <c r="X2154" s="119">
        <v>1</v>
      </c>
      <c r="Y2154" s="40">
        <v>52</v>
      </c>
      <c r="Z2154" s="119">
        <v>1</v>
      </c>
      <c r="AA2154" s="368">
        <v>0</v>
      </c>
      <c r="AB2154" s="535">
        <v>5</v>
      </c>
      <c r="AC2154" s="39" t="s">
        <v>160</v>
      </c>
      <c r="AD2154" s="75" t="s">
        <v>8</v>
      </c>
      <c r="AE2154" s="95">
        <v>0</v>
      </c>
      <c r="AF2154" s="75">
        <v>1</v>
      </c>
      <c r="AG2154" s="75">
        <v>0</v>
      </c>
      <c r="AH2154" s="75">
        <v>0</v>
      </c>
      <c r="AI2154" s="75">
        <v>0</v>
      </c>
      <c r="AJ2154" s="75">
        <v>0</v>
      </c>
      <c r="AK2154" s="75">
        <v>0</v>
      </c>
      <c r="AL2154" s="95">
        <v>0</v>
      </c>
      <c r="AM2154" s="92">
        <v>0</v>
      </c>
      <c r="AN2154" s="79" t="s">
        <v>80</v>
      </c>
      <c r="AO2154" s="75">
        <v>1</v>
      </c>
      <c r="AP2154" s="75" t="s">
        <v>83</v>
      </c>
      <c r="AQ2154" s="122">
        <v>1</v>
      </c>
      <c r="AR2154" s="515" t="s">
        <v>10</v>
      </c>
      <c r="AS2154" s="95">
        <v>0</v>
      </c>
      <c r="AT2154" s="75">
        <v>0</v>
      </c>
      <c r="AU2154" s="75">
        <v>0</v>
      </c>
      <c r="AV2154" s="75">
        <v>0</v>
      </c>
      <c r="AW2154" s="123">
        <v>0</v>
      </c>
      <c r="AX2154" s="516"/>
      <c r="AY2154" s="75">
        <v>0</v>
      </c>
      <c r="AZ2154" s="77" t="s">
        <v>131</v>
      </c>
      <c r="BA2154" s="78" t="s">
        <v>132</v>
      </c>
      <c r="BB2154" s="78" t="s">
        <v>131</v>
      </c>
      <c r="BC2154" s="78" t="s">
        <v>131</v>
      </c>
      <c r="BD2154" s="78" t="s">
        <v>131</v>
      </c>
      <c r="BE2154" s="78" t="s">
        <v>131</v>
      </c>
      <c r="BF2154" s="78" t="s">
        <v>131</v>
      </c>
      <c r="BG2154" s="78" t="s">
        <v>131</v>
      </c>
      <c r="BH2154" s="75" t="s">
        <v>5970</v>
      </c>
      <c r="BI2154" s="295" t="s">
        <v>16</v>
      </c>
      <c r="BJ2154" s="546">
        <v>1</v>
      </c>
      <c r="BK2154" s="294" t="s">
        <v>16</v>
      </c>
      <c r="BL2154" s="157" t="s">
        <v>16</v>
      </c>
      <c r="BM2154" s="548" t="s">
        <v>578</v>
      </c>
      <c r="BN2154" s="548" t="s">
        <v>578</v>
      </c>
      <c r="BO2154" s="157" t="s">
        <v>4341</v>
      </c>
      <c r="BP2154" s="548" t="s">
        <v>4343</v>
      </c>
      <c r="BQ2154" s="157" t="s">
        <v>4309</v>
      </c>
      <c r="BR2154" s="157"/>
    </row>
    <row r="2155" spans="1:70" x14ac:dyDescent="0.25">
      <c r="A2155" s="19" t="s">
        <v>3686</v>
      </c>
      <c r="B2155" s="37" t="s">
        <v>429</v>
      </c>
      <c r="C2155" s="90">
        <v>44094.997696759259</v>
      </c>
      <c r="D2155" s="114">
        <v>44094.747696759259</v>
      </c>
      <c r="E2155" s="38">
        <v>44094</v>
      </c>
      <c r="F2155" s="91">
        <v>2020</v>
      </c>
      <c r="G2155" s="93">
        <v>9</v>
      </c>
      <c r="H2155" s="37" t="s">
        <v>430</v>
      </c>
      <c r="I2155" s="37"/>
      <c r="J2155" s="103">
        <v>-93.195760510948659</v>
      </c>
      <c r="K2155" s="40">
        <v>44.944463060279325</v>
      </c>
      <c r="L2155" s="74"/>
      <c r="M2155" s="272" t="s">
        <v>16</v>
      </c>
      <c r="N2155" s="74">
        <v>0</v>
      </c>
      <c r="O2155" s="94"/>
      <c r="P2155" s="118">
        <v>0</v>
      </c>
      <c r="Q2155" s="510"/>
      <c r="R2155" s="513"/>
      <c r="S2155" s="41"/>
      <c r="T2155" s="40"/>
      <c r="U2155" s="40"/>
      <c r="V2155" s="119">
        <v>0</v>
      </c>
      <c r="W2155" s="40"/>
      <c r="X2155" s="119">
        <v>0</v>
      </c>
      <c r="Y2155" s="40"/>
      <c r="Z2155" s="119">
        <v>0</v>
      </c>
      <c r="AA2155" s="368" t="s">
        <v>16</v>
      </c>
      <c r="AB2155" s="535" t="s">
        <v>16</v>
      </c>
      <c r="AC2155" s="39"/>
      <c r="AD2155" s="75" t="s">
        <v>16</v>
      </c>
      <c r="AE2155" s="95">
        <v>-1</v>
      </c>
      <c r="AF2155" s="75">
        <v>-1</v>
      </c>
      <c r="AG2155" s="75">
        <v>-1</v>
      </c>
      <c r="AH2155" s="75">
        <v>-1</v>
      </c>
      <c r="AI2155" s="75">
        <v>-1</v>
      </c>
      <c r="AJ2155" s="75">
        <v>-1</v>
      </c>
      <c r="AK2155" s="75">
        <v>-1</v>
      </c>
      <c r="AL2155" s="95">
        <v>-1</v>
      </c>
      <c r="AM2155" s="92">
        <v>1</v>
      </c>
      <c r="AN2155" s="79"/>
      <c r="AO2155" s="75">
        <v>0</v>
      </c>
      <c r="AP2155" s="75"/>
      <c r="AQ2155" s="122">
        <v>0</v>
      </c>
      <c r="AR2155" s="515" t="s">
        <v>16</v>
      </c>
      <c r="AS2155" s="95">
        <v>-1</v>
      </c>
      <c r="AT2155" s="75">
        <v>-1</v>
      </c>
      <c r="AU2155" s="75">
        <v>-1</v>
      </c>
      <c r="AV2155" s="75">
        <v>-1</v>
      </c>
      <c r="AW2155" s="123">
        <v>1</v>
      </c>
      <c r="AX2155" s="516"/>
      <c r="AY2155" s="75">
        <v>0</v>
      </c>
      <c r="AZ2155" s="77" t="s">
        <v>5971</v>
      </c>
      <c r="BA2155" s="78" t="s">
        <v>5971</v>
      </c>
      <c r="BB2155" s="78" t="s">
        <v>5971</v>
      </c>
      <c r="BC2155" s="78" t="s">
        <v>5971</v>
      </c>
      <c r="BD2155" s="78" t="s">
        <v>5971</v>
      </c>
      <c r="BE2155" s="78" t="s">
        <v>5971</v>
      </c>
      <c r="BF2155" s="78" t="s">
        <v>5971</v>
      </c>
      <c r="BG2155" s="78" t="s">
        <v>5971</v>
      </c>
      <c r="BH2155" s="75" t="s">
        <v>5971</v>
      </c>
      <c r="BI2155" s="295" t="s">
        <v>5930</v>
      </c>
      <c r="BJ2155" s="546" t="s">
        <v>16</v>
      </c>
      <c r="BK2155" s="294" t="s">
        <v>16</v>
      </c>
      <c r="BL2155" s="157" t="s">
        <v>16</v>
      </c>
      <c r="BM2155" s="548" t="s">
        <v>2343</v>
      </c>
      <c r="BN2155" s="548" t="s">
        <v>578</v>
      </c>
      <c r="BO2155" s="157" t="s">
        <v>4467</v>
      </c>
      <c r="BP2155" s="548" t="s">
        <v>4468</v>
      </c>
      <c r="BQ2155" s="157" t="s">
        <v>4466</v>
      </c>
      <c r="BR2155" s="157"/>
    </row>
    <row r="2156" spans="1:70" x14ac:dyDescent="0.25">
      <c r="A2156" s="19" t="s">
        <v>3686</v>
      </c>
      <c r="B2156" s="37" t="s">
        <v>425</v>
      </c>
      <c r="C2156" s="90">
        <v>44092.718171296299</v>
      </c>
      <c r="D2156" s="114">
        <v>44092.468171296299</v>
      </c>
      <c r="E2156" s="38">
        <v>44092</v>
      </c>
      <c r="F2156" s="91">
        <v>2020</v>
      </c>
      <c r="G2156" s="93">
        <v>9</v>
      </c>
      <c r="H2156" s="37" t="s">
        <v>201</v>
      </c>
      <c r="I2156" s="37"/>
      <c r="J2156" s="103">
        <v>-92.775382737100458</v>
      </c>
      <c r="K2156" s="40">
        <v>44.899687262047209</v>
      </c>
      <c r="L2156" s="74"/>
      <c r="M2156" s="272" t="s">
        <v>426</v>
      </c>
      <c r="N2156" s="74">
        <v>1</v>
      </c>
      <c r="O2156" s="94"/>
      <c r="P2156" s="118">
        <v>1</v>
      </c>
      <c r="Q2156" s="510">
        <v>80</v>
      </c>
      <c r="R2156" s="513">
        <v>30</v>
      </c>
      <c r="S2156" s="41"/>
      <c r="T2156" s="40"/>
      <c r="U2156" s="40">
        <v>7.5</v>
      </c>
      <c r="V2156" s="119">
        <v>1</v>
      </c>
      <c r="W2156" s="40">
        <v>0</v>
      </c>
      <c r="X2156" s="119">
        <v>1</v>
      </c>
      <c r="Y2156" s="40">
        <v>63</v>
      </c>
      <c r="Z2156" s="119">
        <v>1</v>
      </c>
      <c r="AA2156" s="368">
        <v>0</v>
      </c>
      <c r="AB2156" s="535">
        <v>2</v>
      </c>
      <c r="AC2156" s="39" t="s">
        <v>186</v>
      </c>
      <c r="AD2156" s="75" t="s">
        <v>427</v>
      </c>
      <c r="AE2156" s="95">
        <v>0</v>
      </c>
      <c r="AF2156" s="75">
        <v>0</v>
      </c>
      <c r="AG2156" s="75">
        <v>0</v>
      </c>
      <c r="AH2156" s="75">
        <v>0</v>
      </c>
      <c r="AI2156" s="75">
        <v>0</v>
      </c>
      <c r="AJ2156" s="75">
        <v>1</v>
      </c>
      <c r="AK2156" s="75">
        <v>0</v>
      </c>
      <c r="AL2156" s="95">
        <v>0</v>
      </c>
      <c r="AM2156" s="92">
        <v>0</v>
      </c>
      <c r="AN2156" s="79" t="s">
        <v>16</v>
      </c>
      <c r="AO2156" s="75">
        <v>0</v>
      </c>
      <c r="AP2156" s="75" t="s">
        <v>83</v>
      </c>
      <c r="AQ2156" s="122">
        <v>1</v>
      </c>
      <c r="AR2156" s="515" t="s">
        <v>10</v>
      </c>
      <c r="AS2156" s="95">
        <v>0</v>
      </c>
      <c r="AT2156" s="75">
        <v>0</v>
      </c>
      <c r="AU2156" s="75">
        <v>0</v>
      </c>
      <c r="AV2156" s="75">
        <v>0</v>
      </c>
      <c r="AW2156" s="123">
        <v>0</v>
      </c>
      <c r="AX2156" s="516" t="s">
        <v>428</v>
      </c>
      <c r="AY2156" s="75">
        <v>1</v>
      </c>
      <c r="AZ2156" s="77" t="s">
        <v>131</v>
      </c>
      <c r="BA2156" s="78" t="s">
        <v>131</v>
      </c>
      <c r="BB2156" s="78" t="s">
        <v>131</v>
      </c>
      <c r="BC2156" s="78" t="s">
        <v>131</v>
      </c>
      <c r="BD2156" s="78" t="s">
        <v>131</v>
      </c>
      <c r="BE2156" s="78" t="s">
        <v>132</v>
      </c>
      <c r="BF2156" s="78" t="s">
        <v>131</v>
      </c>
      <c r="BG2156" s="78" t="s">
        <v>131</v>
      </c>
      <c r="BH2156" s="75" t="s">
        <v>5970</v>
      </c>
      <c r="BI2156" s="295" t="s">
        <v>2286</v>
      </c>
      <c r="BJ2156" s="546" t="s">
        <v>16</v>
      </c>
      <c r="BK2156" s="294" t="s">
        <v>16</v>
      </c>
      <c r="BL2156" s="157" t="s">
        <v>16</v>
      </c>
      <c r="BM2156" s="548" t="s">
        <v>2343</v>
      </c>
      <c r="BN2156" s="548" t="s">
        <v>578</v>
      </c>
      <c r="BO2156" s="157" t="s">
        <v>4342</v>
      </c>
      <c r="BP2156" s="548" t="s">
        <v>4761</v>
      </c>
      <c r="BQ2156" s="157" t="s">
        <v>4287</v>
      </c>
      <c r="BR2156" s="157"/>
    </row>
    <row r="2157" spans="1:70" x14ac:dyDescent="0.25">
      <c r="A2157" s="19" t="s">
        <v>3686</v>
      </c>
      <c r="B2157" s="37" t="s">
        <v>423</v>
      </c>
      <c r="C2157" s="90">
        <v>44092.682847222219</v>
      </c>
      <c r="D2157" s="114">
        <v>44092.432847222219</v>
      </c>
      <c r="E2157" s="38">
        <v>44092</v>
      </c>
      <c r="F2157" s="91">
        <v>2020</v>
      </c>
      <c r="G2157" s="93">
        <v>9</v>
      </c>
      <c r="H2157" s="37" t="s">
        <v>405</v>
      </c>
      <c r="I2157" s="37"/>
      <c r="J2157" s="103">
        <v>-92.597317099657459</v>
      </c>
      <c r="K2157" s="40">
        <v>44.472420802381329</v>
      </c>
      <c r="L2157" s="74"/>
      <c r="M2157" s="272" t="s">
        <v>424</v>
      </c>
      <c r="N2157" s="74">
        <v>1</v>
      </c>
      <c r="O2157" s="94"/>
      <c r="P2157" s="118">
        <v>0</v>
      </c>
      <c r="Q2157" s="510"/>
      <c r="R2157" s="513"/>
      <c r="S2157" s="41"/>
      <c r="T2157" s="40"/>
      <c r="U2157" s="40"/>
      <c r="V2157" s="119">
        <v>0</v>
      </c>
      <c r="W2157" s="40"/>
      <c r="X2157" s="119">
        <v>0</v>
      </c>
      <c r="Y2157" s="40"/>
      <c r="Z2157" s="119">
        <v>0</v>
      </c>
      <c r="AA2157" s="368" t="s">
        <v>16</v>
      </c>
      <c r="AB2157" s="535" t="s">
        <v>16</v>
      </c>
      <c r="AC2157" s="39" t="s">
        <v>160</v>
      </c>
      <c r="AD2157" s="75" t="s">
        <v>10</v>
      </c>
      <c r="AE2157" s="95">
        <v>0</v>
      </c>
      <c r="AF2157" s="75">
        <v>0</v>
      </c>
      <c r="AG2157" s="75">
        <v>0</v>
      </c>
      <c r="AH2157" s="75">
        <v>0</v>
      </c>
      <c r="AI2157" s="75">
        <v>0</v>
      </c>
      <c r="AJ2157" s="75">
        <v>0</v>
      </c>
      <c r="AK2157" s="75">
        <v>0</v>
      </c>
      <c r="AL2157" s="95">
        <v>1</v>
      </c>
      <c r="AM2157" s="92">
        <v>0</v>
      </c>
      <c r="AN2157" s="79" t="s">
        <v>80</v>
      </c>
      <c r="AO2157" s="75">
        <v>1</v>
      </c>
      <c r="AP2157" s="75" t="s">
        <v>83</v>
      </c>
      <c r="AQ2157" s="122">
        <v>1</v>
      </c>
      <c r="AR2157" s="515" t="s">
        <v>10</v>
      </c>
      <c r="AS2157" s="95">
        <v>0</v>
      </c>
      <c r="AT2157" s="75">
        <v>0</v>
      </c>
      <c r="AU2157" s="75">
        <v>0</v>
      </c>
      <c r="AV2157" s="75">
        <v>0</v>
      </c>
      <c r="AW2157" s="123">
        <v>0</v>
      </c>
      <c r="AX2157" s="516"/>
      <c r="AY2157" s="75">
        <v>0</v>
      </c>
      <c r="AZ2157" s="77" t="s">
        <v>131</v>
      </c>
      <c r="BA2157" s="78" t="s">
        <v>131</v>
      </c>
      <c r="BB2157" s="78" t="s">
        <v>131</v>
      </c>
      <c r="BC2157" s="78" t="s">
        <v>131</v>
      </c>
      <c r="BD2157" s="78" t="s">
        <v>131</v>
      </c>
      <c r="BE2157" s="78" t="s">
        <v>131</v>
      </c>
      <c r="BF2157" s="78" t="s">
        <v>131</v>
      </c>
      <c r="BG2157" s="78" t="s">
        <v>132</v>
      </c>
      <c r="BH2157" s="75" t="s">
        <v>5970</v>
      </c>
      <c r="BI2157" s="295" t="s">
        <v>2238</v>
      </c>
      <c r="BJ2157" s="546">
        <v>1</v>
      </c>
      <c r="BK2157" s="294" t="s">
        <v>16</v>
      </c>
      <c r="BL2157" s="157" t="s">
        <v>16</v>
      </c>
      <c r="BM2157" s="548" t="s">
        <v>2343</v>
      </c>
      <c r="BN2157" s="548" t="s">
        <v>4161</v>
      </c>
      <c r="BO2157" s="157" t="s">
        <v>4308</v>
      </c>
      <c r="BP2157" s="548" t="s">
        <v>2238</v>
      </c>
      <c r="BQ2157" s="157" t="s">
        <v>4307</v>
      </c>
      <c r="BR2157" s="157"/>
    </row>
    <row r="2158" spans="1:70" x14ac:dyDescent="0.25">
      <c r="A2158" s="19" t="s">
        <v>3686</v>
      </c>
      <c r="B2158" s="37" t="s">
        <v>421</v>
      </c>
      <c r="C2158" s="90">
        <v>44091.789618055554</v>
      </c>
      <c r="D2158" s="114">
        <v>44091.539618055554</v>
      </c>
      <c r="E2158" s="38">
        <v>44091</v>
      </c>
      <c r="F2158" s="91">
        <v>2020</v>
      </c>
      <c r="G2158" s="93">
        <v>9</v>
      </c>
      <c r="H2158" s="37" t="s">
        <v>351</v>
      </c>
      <c r="I2158" s="37"/>
      <c r="J2158" s="103">
        <v>-91.104543399999997</v>
      </c>
      <c r="K2158" s="40">
        <v>44.541796099999999</v>
      </c>
      <c r="L2158" s="74"/>
      <c r="M2158" s="272" t="s">
        <v>422</v>
      </c>
      <c r="N2158" s="74">
        <v>1</v>
      </c>
      <c r="O2158" s="94"/>
      <c r="P2158" s="118">
        <v>1</v>
      </c>
      <c r="Q2158" s="510">
        <v>0</v>
      </c>
      <c r="R2158" s="513">
        <v>30</v>
      </c>
      <c r="S2158" s="41"/>
      <c r="T2158" s="40"/>
      <c r="U2158" s="40">
        <v>6</v>
      </c>
      <c r="V2158" s="119">
        <v>1</v>
      </c>
      <c r="W2158" s="40">
        <v>100</v>
      </c>
      <c r="X2158" s="119">
        <v>1</v>
      </c>
      <c r="Y2158" s="40">
        <v>54</v>
      </c>
      <c r="Z2158" s="119">
        <v>1</v>
      </c>
      <c r="AA2158" s="368">
        <v>0</v>
      </c>
      <c r="AB2158" s="535">
        <v>2</v>
      </c>
      <c r="AC2158" s="39" t="s">
        <v>160</v>
      </c>
      <c r="AD2158" s="75" t="s">
        <v>10</v>
      </c>
      <c r="AE2158" s="95">
        <v>0</v>
      </c>
      <c r="AF2158" s="75">
        <v>0</v>
      </c>
      <c r="AG2158" s="75">
        <v>0</v>
      </c>
      <c r="AH2158" s="75">
        <v>0</v>
      </c>
      <c r="AI2158" s="75">
        <v>0</v>
      </c>
      <c r="AJ2158" s="75">
        <v>0</v>
      </c>
      <c r="AK2158" s="75">
        <v>0</v>
      </c>
      <c r="AL2158" s="95">
        <v>1</v>
      </c>
      <c r="AM2158" s="92">
        <v>0</v>
      </c>
      <c r="AN2158" s="79" t="s">
        <v>81</v>
      </c>
      <c r="AO2158" s="75">
        <v>1</v>
      </c>
      <c r="AP2158" s="75" t="s">
        <v>83</v>
      </c>
      <c r="AQ2158" s="122">
        <v>1</v>
      </c>
      <c r="AR2158" s="515" t="s">
        <v>10</v>
      </c>
      <c r="AS2158" s="95">
        <v>0</v>
      </c>
      <c r="AT2158" s="75">
        <v>0</v>
      </c>
      <c r="AU2158" s="75">
        <v>0</v>
      </c>
      <c r="AV2158" s="75">
        <v>0</v>
      </c>
      <c r="AW2158" s="123">
        <v>0</v>
      </c>
      <c r="AX2158" s="516"/>
      <c r="AY2158" s="75">
        <v>0</v>
      </c>
      <c r="AZ2158" s="77" t="s">
        <v>131</v>
      </c>
      <c r="BA2158" s="78" t="s">
        <v>131</v>
      </c>
      <c r="BB2158" s="78" t="s">
        <v>131</v>
      </c>
      <c r="BC2158" s="78" t="s">
        <v>131</v>
      </c>
      <c r="BD2158" s="78" t="s">
        <v>131</v>
      </c>
      <c r="BE2158" s="78" t="s">
        <v>131</v>
      </c>
      <c r="BF2158" s="78" t="s">
        <v>131</v>
      </c>
      <c r="BG2158" s="78" t="s">
        <v>132</v>
      </c>
      <c r="BH2158" s="75" t="s">
        <v>5970</v>
      </c>
      <c r="BI2158" s="295" t="s">
        <v>2313</v>
      </c>
      <c r="BJ2158" s="546">
        <v>1</v>
      </c>
      <c r="BK2158" s="294">
        <v>1</v>
      </c>
      <c r="BL2158" s="157">
        <v>1</v>
      </c>
      <c r="BM2158" s="548" t="s">
        <v>1340</v>
      </c>
      <c r="BN2158" s="548" t="s">
        <v>4160</v>
      </c>
      <c r="BO2158" s="157" t="s">
        <v>4498</v>
      </c>
      <c r="BP2158" s="548" t="s">
        <v>4512</v>
      </c>
      <c r="BQ2158" s="157" t="s">
        <v>4492</v>
      </c>
      <c r="BR2158" s="157"/>
    </row>
    <row r="2159" spans="1:70" x14ac:dyDescent="0.25">
      <c r="A2159" s="19" t="s">
        <v>3686</v>
      </c>
      <c r="B2159" s="37" t="s">
        <v>419</v>
      </c>
      <c r="C2159" s="90">
        <v>44091.732210648152</v>
      </c>
      <c r="D2159" s="114">
        <v>44091.482210648152</v>
      </c>
      <c r="E2159" s="38">
        <v>44091</v>
      </c>
      <c r="F2159" s="91">
        <v>2020</v>
      </c>
      <c r="G2159" s="93">
        <v>9</v>
      </c>
      <c r="H2159" s="37" t="s">
        <v>351</v>
      </c>
      <c r="I2159" s="37"/>
      <c r="J2159" s="103">
        <v>-91.023808799999998</v>
      </c>
      <c r="K2159" s="40">
        <v>44.568874000000001</v>
      </c>
      <c r="L2159" s="74"/>
      <c r="M2159" s="272" t="s">
        <v>420</v>
      </c>
      <c r="N2159" s="74">
        <v>1</v>
      </c>
      <c r="O2159" s="94"/>
      <c r="P2159" s="118">
        <v>1</v>
      </c>
      <c r="Q2159" s="510">
        <v>0</v>
      </c>
      <c r="R2159" s="513">
        <v>0</v>
      </c>
      <c r="S2159" s="41"/>
      <c r="T2159" s="40"/>
      <c r="U2159" s="40">
        <v>6</v>
      </c>
      <c r="V2159" s="119">
        <v>0</v>
      </c>
      <c r="W2159" s="40"/>
      <c r="X2159" s="119">
        <v>0</v>
      </c>
      <c r="Y2159" s="40"/>
      <c r="Z2159" s="119">
        <v>1</v>
      </c>
      <c r="AA2159" s="368">
        <v>0</v>
      </c>
      <c r="AB2159" s="535">
        <v>0</v>
      </c>
      <c r="AC2159" s="39" t="s">
        <v>160</v>
      </c>
      <c r="AD2159" s="75" t="s">
        <v>10</v>
      </c>
      <c r="AE2159" s="95">
        <v>0</v>
      </c>
      <c r="AF2159" s="75">
        <v>0</v>
      </c>
      <c r="AG2159" s="75">
        <v>0</v>
      </c>
      <c r="AH2159" s="75">
        <v>0</v>
      </c>
      <c r="AI2159" s="75">
        <v>0</v>
      </c>
      <c r="AJ2159" s="75">
        <v>0</v>
      </c>
      <c r="AK2159" s="75">
        <v>0</v>
      </c>
      <c r="AL2159" s="95">
        <v>1</v>
      </c>
      <c r="AM2159" s="92">
        <v>0</v>
      </c>
      <c r="AN2159" s="79" t="s">
        <v>80</v>
      </c>
      <c r="AO2159" s="75">
        <v>1</v>
      </c>
      <c r="AP2159" s="75" t="s">
        <v>83</v>
      </c>
      <c r="AQ2159" s="122">
        <v>1</v>
      </c>
      <c r="AR2159" s="515" t="s">
        <v>10</v>
      </c>
      <c r="AS2159" s="95">
        <v>0</v>
      </c>
      <c r="AT2159" s="75">
        <v>0</v>
      </c>
      <c r="AU2159" s="75">
        <v>0</v>
      </c>
      <c r="AV2159" s="75">
        <v>0</v>
      </c>
      <c r="AW2159" s="123">
        <v>0</v>
      </c>
      <c r="AX2159" s="516"/>
      <c r="AY2159" s="75">
        <v>0</v>
      </c>
      <c r="AZ2159" s="77" t="s">
        <v>131</v>
      </c>
      <c r="BA2159" s="78" t="s">
        <v>131</v>
      </c>
      <c r="BB2159" s="78" t="s">
        <v>131</v>
      </c>
      <c r="BC2159" s="78" t="s">
        <v>131</v>
      </c>
      <c r="BD2159" s="78" t="s">
        <v>131</v>
      </c>
      <c r="BE2159" s="78" t="s">
        <v>131</v>
      </c>
      <c r="BF2159" s="78" t="s">
        <v>131</v>
      </c>
      <c r="BG2159" s="78" t="s">
        <v>132</v>
      </c>
      <c r="BH2159" s="75" t="s">
        <v>5970</v>
      </c>
      <c r="BI2159" s="295" t="s">
        <v>2282</v>
      </c>
      <c r="BJ2159" s="546">
        <v>1</v>
      </c>
      <c r="BK2159" s="294">
        <v>1</v>
      </c>
      <c r="BL2159" s="157">
        <v>1</v>
      </c>
      <c r="BM2159" s="548" t="s">
        <v>1340</v>
      </c>
      <c r="BN2159" s="548" t="s">
        <v>4160</v>
      </c>
      <c r="BO2159" s="157" t="s">
        <v>4497</v>
      </c>
      <c r="BP2159" s="548" t="s">
        <v>4499</v>
      </c>
      <c r="BQ2159" s="157" t="s">
        <v>4492</v>
      </c>
      <c r="BR2159" s="157"/>
    </row>
    <row r="2160" spans="1:70" x14ac:dyDescent="0.25">
      <c r="A2160" s="19" t="s">
        <v>3686</v>
      </c>
      <c r="B2160" s="37" t="s">
        <v>417</v>
      </c>
      <c r="C2160" s="90">
        <v>44091.712835648148</v>
      </c>
      <c r="D2160" s="114">
        <v>44091.462835648148</v>
      </c>
      <c r="E2160" s="38">
        <v>44091</v>
      </c>
      <c r="F2160" s="91">
        <v>2020</v>
      </c>
      <c r="G2160" s="93">
        <v>9</v>
      </c>
      <c r="H2160" s="37" t="s">
        <v>351</v>
      </c>
      <c r="I2160" s="37" t="s">
        <v>16</v>
      </c>
      <c r="J2160" s="103">
        <v>-91.144956199999996</v>
      </c>
      <c r="K2160" s="40">
        <v>44.588073600000001</v>
      </c>
      <c r="L2160" s="74"/>
      <c r="M2160" s="272" t="s">
        <v>418</v>
      </c>
      <c r="N2160" s="74">
        <v>1</v>
      </c>
      <c r="O2160" s="94"/>
      <c r="P2160" s="118">
        <v>1</v>
      </c>
      <c r="Q2160" s="510">
        <v>0</v>
      </c>
      <c r="R2160" s="513">
        <v>0</v>
      </c>
      <c r="S2160" s="41"/>
      <c r="T2160" s="40"/>
      <c r="U2160" s="40">
        <v>6</v>
      </c>
      <c r="V2160" s="119">
        <v>1</v>
      </c>
      <c r="W2160" s="40">
        <v>100</v>
      </c>
      <c r="X2160" s="119">
        <v>1</v>
      </c>
      <c r="Y2160" s="40">
        <v>54</v>
      </c>
      <c r="Z2160" s="119">
        <v>1</v>
      </c>
      <c r="AA2160" s="368">
        <v>0</v>
      </c>
      <c r="AB2160" s="535">
        <v>0</v>
      </c>
      <c r="AC2160" s="39" t="s">
        <v>160</v>
      </c>
      <c r="AD2160" s="75" t="s">
        <v>10</v>
      </c>
      <c r="AE2160" s="95">
        <v>0</v>
      </c>
      <c r="AF2160" s="75">
        <v>0</v>
      </c>
      <c r="AG2160" s="75">
        <v>0</v>
      </c>
      <c r="AH2160" s="75">
        <v>0</v>
      </c>
      <c r="AI2160" s="75">
        <v>0</v>
      </c>
      <c r="AJ2160" s="75">
        <v>0</v>
      </c>
      <c r="AK2160" s="75">
        <v>0</v>
      </c>
      <c r="AL2160" s="95">
        <v>1</v>
      </c>
      <c r="AM2160" s="92">
        <v>0</v>
      </c>
      <c r="AN2160" s="79" t="s">
        <v>81</v>
      </c>
      <c r="AO2160" s="75">
        <v>1</v>
      </c>
      <c r="AP2160" s="75" t="s">
        <v>83</v>
      </c>
      <c r="AQ2160" s="122">
        <v>1</v>
      </c>
      <c r="AR2160" s="515" t="s">
        <v>10</v>
      </c>
      <c r="AS2160" s="95">
        <v>0</v>
      </c>
      <c r="AT2160" s="75">
        <v>0</v>
      </c>
      <c r="AU2160" s="75">
        <v>0</v>
      </c>
      <c r="AV2160" s="75">
        <v>0</v>
      </c>
      <c r="AW2160" s="123">
        <v>0</v>
      </c>
      <c r="AX2160" s="516"/>
      <c r="AY2160" s="75">
        <v>0</v>
      </c>
      <c r="AZ2160" s="77" t="s">
        <v>131</v>
      </c>
      <c r="BA2160" s="78" t="s">
        <v>131</v>
      </c>
      <c r="BB2160" s="78" t="s">
        <v>131</v>
      </c>
      <c r="BC2160" s="78" t="s">
        <v>131</v>
      </c>
      <c r="BD2160" s="78" t="s">
        <v>131</v>
      </c>
      <c r="BE2160" s="78" t="s">
        <v>131</v>
      </c>
      <c r="BF2160" s="78" t="s">
        <v>131</v>
      </c>
      <c r="BG2160" s="78" t="s">
        <v>132</v>
      </c>
      <c r="BH2160" s="75" t="s">
        <v>5970</v>
      </c>
      <c r="BI2160" s="295" t="s">
        <v>2242</v>
      </c>
      <c r="BJ2160" s="546">
        <v>1</v>
      </c>
      <c r="BK2160" s="294">
        <v>1</v>
      </c>
      <c r="BL2160" s="157">
        <v>1</v>
      </c>
      <c r="BM2160" s="548" t="s">
        <v>1340</v>
      </c>
      <c r="BN2160" s="548" t="s">
        <v>4160</v>
      </c>
      <c r="BO2160" s="157" t="s">
        <v>4497</v>
      </c>
      <c r="BP2160" s="548" t="s">
        <v>4499</v>
      </c>
      <c r="BQ2160" s="157" t="s">
        <v>4492</v>
      </c>
      <c r="BR2160" s="157"/>
    </row>
    <row r="2161" spans="1:70" x14ac:dyDescent="0.25">
      <c r="A2161" s="19" t="s">
        <v>3686</v>
      </c>
      <c r="B2161" s="37" t="s">
        <v>415</v>
      </c>
      <c r="C2161" s="90">
        <v>44091.690763888888</v>
      </c>
      <c r="D2161" s="114">
        <v>44091.440763888888</v>
      </c>
      <c r="E2161" s="38">
        <v>44091</v>
      </c>
      <c r="F2161" s="91">
        <v>2020</v>
      </c>
      <c r="G2161" s="93">
        <v>9</v>
      </c>
      <c r="H2161" s="37" t="s">
        <v>351</v>
      </c>
      <c r="I2161" s="37"/>
      <c r="J2161" s="103">
        <v>-91.210618999999994</v>
      </c>
      <c r="K2161" s="40">
        <v>44.588783499999998</v>
      </c>
      <c r="L2161" s="74"/>
      <c r="M2161" s="272" t="s">
        <v>416</v>
      </c>
      <c r="N2161" s="74">
        <v>1</v>
      </c>
      <c r="O2161" s="94"/>
      <c r="P2161" s="118">
        <v>1</v>
      </c>
      <c r="Q2161" s="510">
        <v>0</v>
      </c>
      <c r="R2161" s="513">
        <v>30</v>
      </c>
      <c r="S2161" s="41"/>
      <c r="T2161" s="40"/>
      <c r="U2161" s="40">
        <v>6</v>
      </c>
      <c r="V2161" s="119">
        <v>1</v>
      </c>
      <c r="W2161" s="40">
        <v>0</v>
      </c>
      <c r="X2161" s="119">
        <v>1</v>
      </c>
      <c r="Y2161" s="40">
        <v>53</v>
      </c>
      <c r="Z2161" s="119">
        <v>1</v>
      </c>
      <c r="AA2161" s="368">
        <v>0</v>
      </c>
      <c r="AB2161" s="535">
        <v>0</v>
      </c>
      <c r="AC2161" s="39" t="s">
        <v>160</v>
      </c>
      <c r="AD2161" s="75" t="s">
        <v>10</v>
      </c>
      <c r="AE2161" s="95">
        <v>0</v>
      </c>
      <c r="AF2161" s="75">
        <v>0</v>
      </c>
      <c r="AG2161" s="75">
        <v>0</v>
      </c>
      <c r="AH2161" s="75">
        <v>0</v>
      </c>
      <c r="AI2161" s="75">
        <v>0</v>
      </c>
      <c r="AJ2161" s="75">
        <v>0</v>
      </c>
      <c r="AK2161" s="75">
        <v>0</v>
      </c>
      <c r="AL2161" s="95">
        <v>1</v>
      </c>
      <c r="AM2161" s="92">
        <v>0</v>
      </c>
      <c r="AN2161" s="79" t="s">
        <v>81</v>
      </c>
      <c r="AO2161" s="75">
        <v>1</v>
      </c>
      <c r="AP2161" s="75" t="s">
        <v>84</v>
      </c>
      <c r="AQ2161" s="122">
        <v>1</v>
      </c>
      <c r="AR2161" s="515" t="s">
        <v>10</v>
      </c>
      <c r="AS2161" s="95">
        <v>0</v>
      </c>
      <c r="AT2161" s="75">
        <v>0</v>
      </c>
      <c r="AU2161" s="75">
        <v>0</v>
      </c>
      <c r="AV2161" s="75">
        <v>0</v>
      </c>
      <c r="AW2161" s="123">
        <v>0</v>
      </c>
      <c r="AX2161" s="516"/>
      <c r="AY2161" s="75">
        <v>0</v>
      </c>
      <c r="AZ2161" s="77" t="s">
        <v>131</v>
      </c>
      <c r="BA2161" s="78" t="s">
        <v>131</v>
      </c>
      <c r="BB2161" s="78" t="s">
        <v>131</v>
      </c>
      <c r="BC2161" s="78" t="s">
        <v>131</v>
      </c>
      <c r="BD2161" s="78" t="s">
        <v>131</v>
      </c>
      <c r="BE2161" s="78" t="s">
        <v>131</v>
      </c>
      <c r="BF2161" s="78" t="s">
        <v>131</v>
      </c>
      <c r="BG2161" s="78" t="s">
        <v>132</v>
      </c>
      <c r="BH2161" s="75" t="s">
        <v>5970</v>
      </c>
      <c r="BI2161" s="295" t="s">
        <v>2282</v>
      </c>
      <c r="BJ2161" s="546">
        <v>1</v>
      </c>
      <c r="BK2161" s="294">
        <v>1</v>
      </c>
      <c r="BL2161" s="157">
        <v>1</v>
      </c>
      <c r="BM2161" s="548" t="s">
        <v>1340</v>
      </c>
      <c r="BN2161" s="548" t="s">
        <v>4160</v>
      </c>
      <c r="BO2161" s="157" t="s">
        <v>4497</v>
      </c>
      <c r="BP2161" s="548" t="s">
        <v>4499</v>
      </c>
      <c r="BQ2161" s="157" t="s">
        <v>4492</v>
      </c>
      <c r="BR2161" s="157"/>
    </row>
    <row r="2162" spans="1:70" x14ac:dyDescent="0.25">
      <c r="A2162" s="19" t="s">
        <v>3686</v>
      </c>
      <c r="B2162" s="37" t="s">
        <v>413</v>
      </c>
      <c r="C2162" s="90">
        <v>44091.675381944442</v>
      </c>
      <c r="D2162" s="114">
        <v>44091.425381944442</v>
      </c>
      <c r="E2162" s="38">
        <v>44091</v>
      </c>
      <c r="F2162" s="91">
        <v>2020</v>
      </c>
      <c r="G2162" s="93">
        <v>9</v>
      </c>
      <c r="H2162" s="37" t="s">
        <v>351</v>
      </c>
      <c r="I2162" s="37"/>
      <c r="J2162" s="103">
        <v>-91.247036800000004</v>
      </c>
      <c r="K2162" s="40">
        <v>44.577951200000001</v>
      </c>
      <c r="L2162" s="74"/>
      <c r="M2162" s="272" t="s">
        <v>414</v>
      </c>
      <c r="N2162" s="74">
        <v>1</v>
      </c>
      <c r="O2162" s="94"/>
      <c r="P2162" s="118">
        <v>1</v>
      </c>
      <c r="Q2162" s="510">
        <v>0</v>
      </c>
      <c r="R2162" s="513">
        <v>60</v>
      </c>
      <c r="S2162" s="41"/>
      <c r="T2162" s="40"/>
      <c r="U2162" s="40">
        <v>6</v>
      </c>
      <c r="V2162" s="119">
        <v>1</v>
      </c>
      <c r="W2162" s="40">
        <v>200</v>
      </c>
      <c r="X2162" s="119">
        <v>1</v>
      </c>
      <c r="Y2162" s="40">
        <v>56</v>
      </c>
      <c r="Z2162" s="119">
        <v>1</v>
      </c>
      <c r="AA2162" s="368">
        <v>0</v>
      </c>
      <c r="AB2162" s="535">
        <v>2</v>
      </c>
      <c r="AC2162" s="39" t="s">
        <v>160</v>
      </c>
      <c r="AD2162" s="75" t="s">
        <v>10</v>
      </c>
      <c r="AE2162" s="95">
        <v>0</v>
      </c>
      <c r="AF2162" s="75">
        <v>0</v>
      </c>
      <c r="AG2162" s="75">
        <v>0</v>
      </c>
      <c r="AH2162" s="75">
        <v>0</v>
      </c>
      <c r="AI2162" s="75">
        <v>0</v>
      </c>
      <c r="AJ2162" s="75">
        <v>0</v>
      </c>
      <c r="AK2162" s="75">
        <v>0</v>
      </c>
      <c r="AL2162" s="95">
        <v>1</v>
      </c>
      <c r="AM2162" s="92">
        <v>0</v>
      </c>
      <c r="AN2162" s="79" t="s">
        <v>81</v>
      </c>
      <c r="AO2162" s="75">
        <v>1</v>
      </c>
      <c r="AP2162" s="75" t="s">
        <v>83</v>
      </c>
      <c r="AQ2162" s="122">
        <v>1</v>
      </c>
      <c r="AR2162" s="515" t="s">
        <v>10</v>
      </c>
      <c r="AS2162" s="95">
        <v>0</v>
      </c>
      <c r="AT2162" s="75">
        <v>0</v>
      </c>
      <c r="AU2162" s="75">
        <v>0</v>
      </c>
      <c r="AV2162" s="75">
        <v>0</v>
      </c>
      <c r="AW2162" s="123">
        <v>0</v>
      </c>
      <c r="AX2162" s="516"/>
      <c r="AY2162" s="75">
        <v>0</v>
      </c>
      <c r="AZ2162" s="77" t="s">
        <v>131</v>
      </c>
      <c r="BA2162" s="78" t="s">
        <v>131</v>
      </c>
      <c r="BB2162" s="78" t="s">
        <v>131</v>
      </c>
      <c r="BC2162" s="78" t="s">
        <v>131</v>
      </c>
      <c r="BD2162" s="78" t="s">
        <v>131</v>
      </c>
      <c r="BE2162" s="78" t="s">
        <v>131</v>
      </c>
      <c r="BF2162" s="78" t="s">
        <v>131</v>
      </c>
      <c r="BG2162" s="78" t="s">
        <v>132</v>
      </c>
      <c r="BH2162" s="75" t="s">
        <v>5970</v>
      </c>
      <c r="BI2162" s="295" t="s">
        <v>2242</v>
      </c>
      <c r="BJ2162" s="546">
        <v>1</v>
      </c>
      <c r="BK2162" s="294" t="s">
        <v>16</v>
      </c>
      <c r="BL2162" s="157" t="s">
        <v>16</v>
      </c>
      <c r="BM2162" s="548" t="s">
        <v>1340</v>
      </c>
      <c r="BN2162" s="548" t="s">
        <v>4160</v>
      </c>
      <c r="BO2162" s="157" t="s">
        <v>4493</v>
      </c>
      <c r="BP2162" s="548" t="s">
        <v>4496</v>
      </c>
      <c r="BQ2162" s="157" t="s">
        <v>4492</v>
      </c>
      <c r="BR2162" s="157"/>
    </row>
    <row r="2163" spans="1:70" x14ac:dyDescent="0.25">
      <c r="A2163" s="19" t="s">
        <v>3686</v>
      </c>
      <c r="B2163" s="37" t="s">
        <v>411</v>
      </c>
      <c r="C2163" s="90">
        <v>44091.661238425928</v>
      </c>
      <c r="D2163" s="114">
        <v>44091.411238425928</v>
      </c>
      <c r="E2163" s="38">
        <v>44091</v>
      </c>
      <c r="F2163" s="91">
        <v>2020</v>
      </c>
      <c r="G2163" s="93">
        <v>9</v>
      </c>
      <c r="H2163" s="37" t="s">
        <v>351</v>
      </c>
      <c r="I2163" s="37" t="s">
        <v>146</v>
      </c>
      <c r="J2163" s="103">
        <v>-91.327042899999995</v>
      </c>
      <c r="K2163" s="40">
        <v>44.563199500000003</v>
      </c>
      <c r="L2163" s="74"/>
      <c r="M2163" s="272" t="s">
        <v>412</v>
      </c>
      <c r="N2163" s="74">
        <v>1</v>
      </c>
      <c r="O2163" s="94"/>
      <c r="P2163" s="118">
        <v>1</v>
      </c>
      <c r="Q2163" s="510">
        <v>0</v>
      </c>
      <c r="R2163" s="513">
        <v>30</v>
      </c>
      <c r="S2163" s="41"/>
      <c r="T2163" s="40"/>
      <c r="U2163" s="40">
        <v>6</v>
      </c>
      <c r="V2163" s="119">
        <v>1</v>
      </c>
      <c r="W2163" s="40">
        <v>100</v>
      </c>
      <c r="X2163" s="119">
        <v>1</v>
      </c>
      <c r="Y2163" s="40">
        <v>53</v>
      </c>
      <c r="Z2163" s="119">
        <v>1</v>
      </c>
      <c r="AA2163" s="368">
        <v>0</v>
      </c>
      <c r="AB2163" s="535">
        <v>2</v>
      </c>
      <c r="AC2163" s="39" t="s">
        <v>160</v>
      </c>
      <c r="AD2163" s="75" t="s">
        <v>10</v>
      </c>
      <c r="AE2163" s="95">
        <v>0</v>
      </c>
      <c r="AF2163" s="75">
        <v>0</v>
      </c>
      <c r="AG2163" s="75">
        <v>0</v>
      </c>
      <c r="AH2163" s="75">
        <v>0</v>
      </c>
      <c r="AI2163" s="75">
        <v>0</v>
      </c>
      <c r="AJ2163" s="75">
        <v>0</v>
      </c>
      <c r="AK2163" s="75">
        <v>0</v>
      </c>
      <c r="AL2163" s="95">
        <v>1</v>
      </c>
      <c r="AM2163" s="92">
        <v>0</v>
      </c>
      <c r="AN2163" s="79" t="s">
        <v>81</v>
      </c>
      <c r="AO2163" s="75">
        <v>1</v>
      </c>
      <c r="AP2163" s="75" t="s">
        <v>83</v>
      </c>
      <c r="AQ2163" s="122">
        <v>1</v>
      </c>
      <c r="AR2163" s="515" t="s">
        <v>10</v>
      </c>
      <c r="AS2163" s="95">
        <v>0</v>
      </c>
      <c r="AT2163" s="75">
        <v>0</v>
      </c>
      <c r="AU2163" s="75">
        <v>0</v>
      </c>
      <c r="AV2163" s="75">
        <v>0</v>
      </c>
      <c r="AW2163" s="123">
        <v>0</v>
      </c>
      <c r="AX2163" s="516"/>
      <c r="AY2163" s="75">
        <v>0</v>
      </c>
      <c r="AZ2163" s="77" t="s">
        <v>131</v>
      </c>
      <c r="BA2163" s="78" t="s">
        <v>131</v>
      </c>
      <c r="BB2163" s="78" t="s">
        <v>131</v>
      </c>
      <c r="BC2163" s="78" t="s">
        <v>131</v>
      </c>
      <c r="BD2163" s="78" t="s">
        <v>131</v>
      </c>
      <c r="BE2163" s="78" t="s">
        <v>131</v>
      </c>
      <c r="BF2163" s="78" t="s">
        <v>131</v>
      </c>
      <c r="BG2163" s="78" t="s">
        <v>132</v>
      </c>
      <c r="BH2163" s="75" t="s">
        <v>5970</v>
      </c>
      <c r="BI2163" s="295" t="s">
        <v>2242</v>
      </c>
      <c r="BJ2163" s="546">
        <v>1</v>
      </c>
      <c r="BK2163" s="294" t="s">
        <v>16</v>
      </c>
      <c r="BL2163" s="157" t="s">
        <v>16</v>
      </c>
      <c r="BM2163" s="548" t="s">
        <v>1340</v>
      </c>
      <c r="BN2163" s="548" t="s">
        <v>4160</v>
      </c>
      <c r="BO2163" s="157" t="s">
        <v>4493</v>
      </c>
      <c r="BP2163" s="548" t="s">
        <v>4496</v>
      </c>
      <c r="BQ2163" s="157" t="s">
        <v>4492</v>
      </c>
      <c r="BR2163" s="157"/>
    </row>
    <row r="2164" spans="1:70" x14ac:dyDescent="0.25">
      <c r="A2164" s="19" t="s">
        <v>3686</v>
      </c>
      <c r="B2164" s="37" t="s">
        <v>409</v>
      </c>
      <c r="C2164" s="90">
        <v>44090.912546296298</v>
      </c>
      <c r="D2164" s="114">
        <v>44090.662546296298</v>
      </c>
      <c r="E2164" s="38">
        <v>44090</v>
      </c>
      <c r="F2164" s="91">
        <v>2020</v>
      </c>
      <c r="G2164" s="93">
        <v>9</v>
      </c>
      <c r="H2164" s="37" t="s">
        <v>405</v>
      </c>
      <c r="I2164" s="37"/>
      <c r="J2164" s="103">
        <v>-91.5424755402762</v>
      </c>
      <c r="K2164" s="40">
        <v>43.742616791318859</v>
      </c>
      <c r="L2164" s="74"/>
      <c r="M2164" s="272" t="s">
        <v>410</v>
      </c>
      <c r="N2164" s="74">
        <v>1</v>
      </c>
      <c r="O2164" s="94"/>
      <c r="P2164" s="118">
        <v>0</v>
      </c>
      <c r="Q2164" s="510"/>
      <c r="R2164" s="513"/>
      <c r="S2164" s="41"/>
      <c r="T2164" s="40"/>
      <c r="U2164" s="40"/>
      <c r="V2164" s="119">
        <v>0</v>
      </c>
      <c r="W2164" s="40"/>
      <c r="X2164" s="119">
        <v>0</v>
      </c>
      <c r="Y2164" s="40"/>
      <c r="Z2164" s="119">
        <v>0</v>
      </c>
      <c r="AA2164" s="368" t="s">
        <v>16</v>
      </c>
      <c r="AB2164" s="535" t="s">
        <v>16</v>
      </c>
      <c r="AC2164" s="39" t="s">
        <v>160</v>
      </c>
      <c r="AD2164" s="75" t="s">
        <v>16</v>
      </c>
      <c r="AE2164" s="95">
        <v>-1</v>
      </c>
      <c r="AF2164" s="75">
        <v>-1</v>
      </c>
      <c r="AG2164" s="75">
        <v>-1</v>
      </c>
      <c r="AH2164" s="75">
        <v>-1</v>
      </c>
      <c r="AI2164" s="75">
        <v>-1</v>
      </c>
      <c r="AJ2164" s="75">
        <v>-1</v>
      </c>
      <c r="AK2164" s="75">
        <v>-1</v>
      </c>
      <c r="AL2164" s="95">
        <v>-1</v>
      </c>
      <c r="AM2164" s="92">
        <v>1</v>
      </c>
      <c r="AN2164" s="79" t="s">
        <v>80</v>
      </c>
      <c r="AO2164" s="75">
        <v>1</v>
      </c>
      <c r="AP2164" s="75" t="s">
        <v>83</v>
      </c>
      <c r="AQ2164" s="122">
        <v>1</v>
      </c>
      <c r="AR2164" s="515" t="s">
        <v>10</v>
      </c>
      <c r="AS2164" s="95">
        <v>0</v>
      </c>
      <c r="AT2164" s="75">
        <v>0</v>
      </c>
      <c r="AU2164" s="75">
        <v>0</v>
      </c>
      <c r="AV2164" s="75">
        <v>0</v>
      </c>
      <c r="AW2164" s="123">
        <v>0</v>
      </c>
      <c r="AX2164" s="516"/>
      <c r="AY2164" s="75">
        <v>0</v>
      </c>
      <c r="AZ2164" s="77" t="s">
        <v>5971</v>
      </c>
      <c r="BA2164" s="78" t="s">
        <v>5971</v>
      </c>
      <c r="BB2164" s="78" t="s">
        <v>5971</v>
      </c>
      <c r="BC2164" s="78" t="s">
        <v>5971</v>
      </c>
      <c r="BD2164" s="78" t="s">
        <v>5971</v>
      </c>
      <c r="BE2164" s="78" t="s">
        <v>5971</v>
      </c>
      <c r="BF2164" s="78" t="s">
        <v>5971</v>
      </c>
      <c r="BG2164" s="78" t="s">
        <v>5971</v>
      </c>
      <c r="BH2164" s="75" t="s">
        <v>5971</v>
      </c>
      <c r="BI2164" s="295" t="s">
        <v>2315</v>
      </c>
      <c r="BJ2164" s="546">
        <v>1</v>
      </c>
      <c r="BK2164" s="294">
        <v>1</v>
      </c>
      <c r="BL2164" s="157">
        <v>1</v>
      </c>
      <c r="BM2164" s="548" t="s">
        <v>1341</v>
      </c>
      <c r="BN2164" s="548" t="s">
        <v>4161</v>
      </c>
      <c r="BO2164" s="157" t="s">
        <v>4653</v>
      </c>
      <c r="BP2164" s="548" t="s">
        <v>4654</v>
      </c>
      <c r="BQ2164" s="157" t="s">
        <v>4232</v>
      </c>
      <c r="BR2164" s="157"/>
    </row>
    <row r="2165" spans="1:70" x14ac:dyDescent="0.25">
      <c r="A2165" s="19" t="s">
        <v>3686</v>
      </c>
      <c r="B2165" s="37" t="s">
        <v>407</v>
      </c>
      <c r="C2165" s="90">
        <v>44090.866956018515</v>
      </c>
      <c r="D2165" s="114">
        <v>44090.616956018515</v>
      </c>
      <c r="E2165" s="38">
        <v>44090</v>
      </c>
      <c r="F2165" s="91">
        <v>2020</v>
      </c>
      <c r="G2165" s="93">
        <v>9</v>
      </c>
      <c r="H2165" s="37" t="s">
        <v>405</v>
      </c>
      <c r="I2165" s="37"/>
      <c r="J2165" s="103">
        <v>-91.564060114409358</v>
      </c>
      <c r="K2165" s="40">
        <v>43.73193866577347</v>
      </c>
      <c r="L2165" s="74"/>
      <c r="M2165" s="272" t="s">
        <v>408</v>
      </c>
      <c r="N2165" s="74">
        <v>1</v>
      </c>
      <c r="O2165" s="94"/>
      <c r="P2165" s="118">
        <v>0</v>
      </c>
      <c r="Q2165" s="510"/>
      <c r="R2165" s="513"/>
      <c r="S2165" s="41"/>
      <c r="T2165" s="40"/>
      <c r="U2165" s="40"/>
      <c r="V2165" s="119">
        <v>0</v>
      </c>
      <c r="W2165" s="40"/>
      <c r="X2165" s="119">
        <v>0</v>
      </c>
      <c r="Y2165" s="40"/>
      <c r="Z2165" s="119">
        <v>0</v>
      </c>
      <c r="AA2165" s="368" t="s">
        <v>16</v>
      </c>
      <c r="AB2165" s="535" t="s">
        <v>16</v>
      </c>
      <c r="AC2165" s="39" t="s">
        <v>160</v>
      </c>
      <c r="AD2165" s="75" t="s">
        <v>16</v>
      </c>
      <c r="AE2165" s="95">
        <v>-1</v>
      </c>
      <c r="AF2165" s="75">
        <v>-1</v>
      </c>
      <c r="AG2165" s="75">
        <v>-1</v>
      </c>
      <c r="AH2165" s="75">
        <v>-1</v>
      </c>
      <c r="AI2165" s="75">
        <v>-1</v>
      </c>
      <c r="AJ2165" s="75">
        <v>-1</v>
      </c>
      <c r="AK2165" s="75">
        <v>-1</v>
      </c>
      <c r="AL2165" s="95">
        <v>-1</v>
      </c>
      <c r="AM2165" s="92">
        <v>1</v>
      </c>
      <c r="AN2165" s="79" t="s">
        <v>80</v>
      </c>
      <c r="AO2165" s="75">
        <v>1</v>
      </c>
      <c r="AP2165" s="75" t="s">
        <v>84</v>
      </c>
      <c r="AQ2165" s="122">
        <v>1</v>
      </c>
      <c r="AR2165" s="515" t="s">
        <v>10</v>
      </c>
      <c r="AS2165" s="95">
        <v>0</v>
      </c>
      <c r="AT2165" s="75">
        <v>0</v>
      </c>
      <c r="AU2165" s="75">
        <v>0</v>
      </c>
      <c r="AV2165" s="75">
        <v>0</v>
      </c>
      <c r="AW2165" s="123">
        <v>0</v>
      </c>
      <c r="AX2165" s="516"/>
      <c r="AY2165" s="75">
        <v>0</v>
      </c>
      <c r="AZ2165" s="77" t="s">
        <v>5971</v>
      </c>
      <c r="BA2165" s="78" t="s">
        <v>5971</v>
      </c>
      <c r="BB2165" s="78" t="s">
        <v>5971</v>
      </c>
      <c r="BC2165" s="78" t="s">
        <v>5971</v>
      </c>
      <c r="BD2165" s="78" t="s">
        <v>5971</v>
      </c>
      <c r="BE2165" s="78" t="s">
        <v>5971</v>
      </c>
      <c r="BF2165" s="78" t="s">
        <v>5971</v>
      </c>
      <c r="BG2165" s="78" t="s">
        <v>5971</v>
      </c>
      <c r="BH2165" s="75" t="s">
        <v>5971</v>
      </c>
      <c r="BI2165" s="295" t="s">
        <v>2303</v>
      </c>
      <c r="BJ2165" s="546">
        <v>1</v>
      </c>
      <c r="BK2165" s="294">
        <v>1</v>
      </c>
      <c r="BL2165" s="157">
        <v>1</v>
      </c>
      <c r="BM2165" s="548" t="s">
        <v>1341</v>
      </c>
      <c r="BN2165" s="548" t="s">
        <v>4161</v>
      </c>
      <c r="BO2165" s="157" t="s">
        <v>4653</v>
      </c>
      <c r="BP2165" s="548" t="s">
        <v>4654</v>
      </c>
      <c r="BQ2165" s="157" t="s">
        <v>4232</v>
      </c>
      <c r="BR2165" s="157"/>
    </row>
    <row r="2166" spans="1:70" x14ac:dyDescent="0.25">
      <c r="A2166" s="19" t="s">
        <v>3686</v>
      </c>
      <c r="B2166" s="37" t="s">
        <v>404</v>
      </c>
      <c r="C2166" s="90">
        <v>44089.669062499997</v>
      </c>
      <c r="D2166" s="114">
        <v>44089.419062499997</v>
      </c>
      <c r="E2166" s="38">
        <v>44089</v>
      </c>
      <c r="F2166" s="91">
        <v>2020</v>
      </c>
      <c r="G2166" s="93">
        <v>9</v>
      </c>
      <c r="H2166" s="37" t="s">
        <v>405</v>
      </c>
      <c r="I2166" s="37"/>
      <c r="J2166" s="103">
        <v>-91.827887222256365</v>
      </c>
      <c r="K2166" s="40">
        <v>43.913167272735308</v>
      </c>
      <c r="L2166" s="74"/>
      <c r="M2166" s="272" t="s">
        <v>406</v>
      </c>
      <c r="N2166" s="74">
        <v>1</v>
      </c>
      <c r="O2166" s="94"/>
      <c r="P2166" s="118">
        <v>0</v>
      </c>
      <c r="Q2166" s="510"/>
      <c r="R2166" s="513"/>
      <c r="S2166" s="41"/>
      <c r="T2166" s="40"/>
      <c r="U2166" s="40"/>
      <c r="V2166" s="119">
        <v>0</v>
      </c>
      <c r="W2166" s="40"/>
      <c r="X2166" s="119">
        <v>1</v>
      </c>
      <c r="Y2166" s="40">
        <v>55</v>
      </c>
      <c r="Z2166" s="119">
        <v>0</v>
      </c>
      <c r="AA2166" s="368" t="s">
        <v>16</v>
      </c>
      <c r="AB2166" s="535" t="s">
        <v>16</v>
      </c>
      <c r="AC2166" s="39" t="s">
        <v>160</v>
      </c>
      <c r="AD2166" s="75" t="s">
        <v>10</v>
      </c>
      <c r="AE2166" s="95">
        <v>0</v>
      </c>
      <c r="AF2166" s="75">
        <v>0</v>
      </c>
      <c r="AG2166" s="75">
        <v>0</v>
      </c>
      <c r="AH2166" s="75">
        <v>0</v>
      </c>
      <c r="AI2166" s="75">
        <v>0</v>
      </c>
      <c r="AJ2166" s="75">
        <v>0</v>
      </c>
      <c r="AK2166" s="75">
        <v>0</v>
      </c>
      <c r="AL2166" s="95">
        <v>1</v>
      </c>
      <c r="AM2166" s="92">
        <v>0</v>
      </c>
      <c r="AN2166" s="79" t="s">
        <v>80</v>
      </c>
      <c r="AO2166" s="75">
        <v>1</v>
      </c>
      <c r="AP2166" s="75" t="s">
        <v>83</v>
      </c>
      <c r="AQ2166" s="122">
        <v>1</v>
      </c>
      <c r="AR2166" s="515" t="s">
        <v>10</v>
      </c>
      <c r="AS2166" s="95">
        <v>0</v>
      </c>
      <c r="AT2166" s="75">
        <v>0</v>
      </c>
      <c r="AU2166" s="75">
        <v>0</v>
      </c>
      <c r="AV2166" s="75">
        <v>0</v>
      </c>
      <c r="AW2166" s="123">
        <v>0</v>
      </c>
      <c r="AX2166" s="516"/>
      <c r="AY2166" s="75">
        <v>0</v>
      </c>
      <c r="AZ2166" s="77" t="s">
        <v>131</v>
      </c>
      <c r="BA2166" s="78" t="s">
        <v>131</v>
      </c>
      <c r="BB2166" s="78" t="s">
        <v>131</v>
      </c>
      <c r="BC2166" s="78" t="s">
        <v>131</v>
      </c>
      <c r="BD2166" s="78" t="s">
        <v>131</v>
      </c>
      <c r="BE2166" s="78" t="s">
        <v>131</v>
      </c>
      <c r="BF2166" s="78" t="s">
        <v>131</v>
      </c>
      <c r="BG2166" s="78" t="s">
        <v>132</v>
      </c>
      <c r="BH2166" s="75" t="s">
        <v>5970</v>
      </c>
      <c r="BI2166" s="295" t="s">
        <v>2250</v>
      </c>
      <c r="BJ2166" s="546">
        <v>1</v>
      </c>
      <c r="BK2166" s="294">
        <v>1</v>
      </c>
      <c r="BL2166" s="157">
        <v>1</v>
      </c>
      <c r="BM2166" s="548" t="s">
        <v>1341</v>
      </c>
      <c r="BN2166" s="548" t="s">
        <v>4161</v>
      </c>
      <c r="BO2166" s="157" t="s">
        <v>4636</v>
      </c>
      <c r="BP2166" s="548" t="s">
        <v>4637</v>
      </c>
      <c r="BQ2166" s="157" t="s">
        <v>4635</v>
      </c>
      <c r="BR2166" s="157"/>
    </row>
    <row r="2167" spans="1:70" x14ac:dyDescent="0.25">
      <c r="A2167" s="19" t="s">
        <v>3686</v>
      </c>
      <c r="B2167" s="37" t="s">
        <v>402</v>
      </c>
      <c r="C2167" s="90">
        <v>44087.817361111112</v>
      </c>
      <c r="D2167" s="114">
        <v>44087.567361111112</v>
      </c>
      <c r="E2167" s="38">
        <v>44087</v>
      </c>
      <c r="F2167" s="91">
        <v>2020</v>
      </c>
      <c r="G2167" s="93">
        <v>9</v>
      </c>
      <c r="H2167" s="37" t="s">
        <v>201</v>
      </c>
      <c r="I2167" s="37"/>
      <c r="J2167" s="103">
        <v>-92.268484653033823</v>
      </c>
      <c r="K2167" s="40">
        <v>44.542786081108339</v>
      </c>
      <c r="L2167" s="74"/>
      <c r="M2167" s="272" t="s">
        <v>16</v>
      </c>
      <c r="N2167" s="74">
        <v>0</v>
      </c>
      <c r="O2167" s="94"/>
      <c r="P2167" s="118">
        <v>1</v>
      </c>
      <c r="Q2167" s="510">
        <v>180</v>
      </c>
      <c r="R2167" s="513">
        <v>180</v>
      </c>
      <c r="S2167" s="41"/>
      <c r="T2167" s="40"/>
      <c r="U2167" s="40">
        <v>7</v>
      </c>
      <c r="V2167" s="119">
        <v>1</v>
      </c>
      <c r="W2167" s="40">
        <v>0</v>
      </c>
      <c r="X2167" s="119">
        <v>1</v>
      </c>
      <c r="Y2167" s="40">
        <v>45</v>
      </c>
      <c r="Z2167" s="119">
        <v>1</v>
      </c>
      <c r="AA2167" s="368">
        <v>0</v>
      </c>
      <c r="AB2167" s="535">
        <v>2</v>
      </c>
      <c r="AC2167" s="39" t="s">
        <v>162</v>
      </c>
      <c r="AD2167" s="75" t="s">
        <v>10</v>
      </c>
      <c r="AE2167" s="95">
        <v>0</v>
      </c>
      <c r="AF2167" s="75">
        <v>0</v>
      </c>
      <c r="AG2167" s="75">
        <v>0</v>
      </c>
      <c r="AH2167" s="75">
        <v>0</v>
      </c>
      <c r="AI2167" s="75">
        <v>0</v>
      </c>
      <c r="AJ2167" s="75">
        <v>0</v>
      </c>
      <c r="AK2167" s="75">
        <v>0</v>
      </c>
      <c r="AL2167" s="95">
        <v>1</v>
      </c>
      <c r="AM2167" s="92">
        <v>0</v>
      </c>
      <c r="AN2167" s="79" t="s">
        <v>80</v>
      </c>
      <c r="AO2167" s="75">
        <v>1</v>
      </c>
      <c r="AP2167" s="75" t="s">
        <v>83</v>
      </c>
      <c r="AQ2167" s="122">
        <v>1</v>
      </c>
      <c r="AR2167" s="515" t="s">
        <v>10</v>
      </c>
      <c r="AS2167" s="95">
        <v>0</v>
      </c>
      <c r="AT2167" s="75">
        <v>0</v>
      </c>
      <c r="AU2167" s="75">
        <v>0</v>
      </c>
      <c r="AV2167" s="75">
        <v>0</v>
      </c>
      <c r="AW2167" s="123">
        <v>0</v>
      </c>
      <c r="AX2167" s="516" t="s">
        <v>403</v>
      </c>
      <c r="AY2167" s="75">
        <v>1</v>
      </c>
      <c r="AZ2167" s="77" t="s">
        <v>131</v>
      </c>
      <c r="BA2167" s="78" t="s">
        <v>131</v>
      </c>
      <c r="BB2167" s="78" t="s">
        <v>131</v>
      </c>
      <c r="BC2167" s="78" t="s">
        <v>131</v>
      </c>
      <c r="BD2167" s="78" t="s">
        <v>131</v>
      </c>
      <c r="BE2167" s="78" t="s">
        <v>131</v>
      </c>
      <c r="BF2167" s="78" t="s">
        <v>131</v>
      </c>
      <c r="BG2167" s="78" t="s">
        <v>132</v>
      </c>
      <c r="BH2167" s="75" t="s">
        <v>5970</v>
      </c>
      <c r="BI2167" s="295" t="s">
        <v>16</v>
      </c>
      <c r="BJ2167" s="546">
        <v>1</v>
      </c>
      <c r="BK2167" s="294">
        <v>1</v>
      </c>
      <c r="BL2167" s="157">
        <v>1</v>
      </c>
      <c r="BM2167" s="548" t="s">
        <v>1340</v>
      </c>
      <c r="BN2167" s="548" t="s">
        <v>578</v>
      </c>
      <c r="BO2167" s="157" t="s">
        <v>4268</v>
      </c>
      <c r="BP2167" s="548" t="s">
        <v>2261</v>
      </c>
      <c r="BQ2167" s="157" t="s">
        <v>4214</v>
      </c>
      <c r="BR2167" s="157"/>
    </row>
    <row r="2168" spans="1:70" x14ac:dyDescent="0.25">
      <c r="A2168" s="19" t="s">
        <v>3686</v>
      </c>
      <c r="B2168" s="37" t="s">
        <v>400</v>
      </c>
      <c r="C2168" s="90">
        <v>44085.724351851852</v>
      </c>
      <c r="D2168" s="114">
        <v>44085.474351851852</v>
      </c>
      <c r="E2168" s="38">
        <v>44085</v>
      </c>
      <c r="F2168" s="91">
        <v>2020</v>
      </c>
      <c r="G2168" s="93">
        <v>9</v>
      </c>
      <c r="H2168" s="37" t="s">
        <v>351</v>
      </c>
      <c r="I2168" s="37"/>
      <c r="J2168" s="103">
        <v>-91.433025499999999</v>
      </c>
      <c r="K2168" s="40">
        <v>44.564065200000002</v>
      </c>
      <c r="L2168" s="74"/>
      <c r="M2168" s="272" t="s">
        <v>401</v>
      </c>
      <c r="N2168" s="74">
        <v>1</v>
      </c>
      <c r="O2168" s="94"/>
      <c r="P2168" s="118">
        <v>1</v>
      </c>
      <c r="Q2168" s="510">
        <v>40</v>
      </c>
      <c r="R2168" s="513">
        <v>30</v>
      </c>
      <c r="S2168" s="41"/>
      <c r="T2168" s="40"/>
      <c r="U2168" s="40">
        <v>6</v>
      </c>
      <c r="V2168" s="119">
        <v>1</v>
      </c>
      <c r="W2168" s="40">
        <v>100</v>
      </c>
      <c r="X2168" s="119">
        <v>1</v>
      </c>
      <c r="Y2168" s="40">
        <v>52</v>
      </c>
      <c r="Z2168" s="119">
        <v>1</v>
      </c>
      <c r="AA2168" s="368">
        <v>0</v>
      </c>
      <c r="AB2168" s="535">
        <v>0</v>
      </c>
      <c r="AC2168" s="39"/>
      <c r="AD2168" s="75" t="s">
        <v>8</v>
      </c>
      <c r="AE2168" s="95">
        <v>0</v>
      </c>
      <c r="AF2168" s="75">
        <v>1</v>
      </c>
      <c r="AG2168" s="75">
        <v>0</v>
      </c>
      <c r="AH2168" s="75">
        <v>0</v>
      </c>
      <c r="AI2168" s="75">
        <v>0</v>
      </c>
      <c r="AJ2168" s="75">
        <v>0</v>
      </c>
      <c r="AK2168" s="75">
        <v>0</v>
      </c>
      <c r="AL2168" s="95">
        <v>0</v>
      </c>
      <c r="AM2168" s="92">
        <v>0</v>
      </c>
      <c r="AN2168" s="79" t="s">
        <v>81</v>
      </c>
      <c r="AO2168" s="75">
        <v>1</v>
      </c>
      <c r="AP2168" s="75" t="s">
        <v>84</v>
      </c>
      <c r="AQ2168" s="122">
        <v>1</v>
      </c>
      <c r="AR2168" s="515" t="s">
        <v>13</v>
      </c>
      <c r="AS2168" s="95">
        <v>1</v>
      </c>
      <c r="AT2168" s="75">
        <v>0</v>
      </c>
      <c r="AU2168" s="75">
        <v>0</v>
      </c>
      <c r="AV2168" s="75">
        <v>0</v>
      </c>
      <c r="AW2168" s="123">
        <v>0</v>
      </c>
      <c r="AX2168" s="516"/>
      <c r="AY2168" s="75">
        <v>0</v>
      </c>
      <c r="AZ2168" s="77" t="s">
        <v>131</v>
      </c>
      <c r="BA2168" s="78" t="s">
        <v>132</v>
      </c>
      <c r="BB2168" s="78" t="s">
        <v>131</v>
      </c>
      <c r="BC2168" s="78" t="s">
        <v>131</v>
      </c>
      <c r="BD2168" s="78" t="s">
        <v>131</v>
      </c>
      <c r="BE2168" s="78" t="s">
        <v>131</v>
      </c>
      <c r="BF2168" s="78" t="s">
        <v>131</v>
      </c>
      <c r="BG2168" s="78" t="s">
        <v>131</v>
      </c>
      <c r="BH2168" s="75" t="s">
        <v>5970</v>
      </c>
      <c r="BI2168" s="295" t="s">
        <v>2242</v>
      </c>
      <c r="BJ2168" s="546" t="s">
        <v>16</v>
      </c>
      <c r="BK2168" s="294" t="s">
        <v>16</v>
      </c>
      <c r="BL2168" s="157" t="s">
        <v>16</v>
      </c>
      <c r="BM2168" s="548" t="s">
        <v>1340</v>
      </c>
      <c r="BN2168" s="548" t="s">
        <v>4160</v>
      </c>
      <c r="BO2168" s="157" t="s">
        <v>4495</v>
      </c>
      <c r="BP2168" s="548" t="s">
        <v>4763</v>
      </c>
      <c r="BQ2168" s="157" t="s">
        <v>4492</v>
      </c>
      <c r="BR2168" s="157"/>
    </row>
    <row r="2169" spans="1:70" x14ac:dyDescent="0.25">
      <c r="A2169" s="19" t="s">
        <v>3686</v>
      </c>
      <c r="B2169" s="37" t="s">
        <v>398</v>
      </c>
      <c r="C2169" s="90">
        <v>44085.698645833334</v>
      </c>
      <c r="D2169" s="114">
        <v>44085.448645833334</v>
      </c>
      <c r="E2169" s="38">
        <v>44085</v>
      </c>
      <c r="F2169" s="91">
        <v>2020</v>
      </c>
      <c r="G2169" s="93">
        <v>9</v>
      </c>
      <c r="H2169" s="37" t="s">
        <v>351</v>
      </c>
      <c r="I2169" s="37"/>
      <c r="J2169" s="103">
        <v>-91.6883883</v>
      </c>
      <c r="K2169" s="40">
        <v>44.557984400000002</v>
      </c>
      <c r="L2169" s="74"/>
      <c r="M2169" s="272" t="s">
        <v>399</v>
      </c>
      <c r="N2169" s="74">
        <v>1</v>
      </c>
      <c r="O2169" s="94"/>
      <c r="P2169" s="118">
        <v>1</v>
      </c>
      <c r="Q2169" s="510">
        <v>80</v>
      </c>
      <c r="R2169" s="513">
        <v>120</v>
      </c>
      <c r="S2169" s="41"/>
      <c r="T2169" s="40"/>
      <c r="U2169" s="40">
        <v>7.5</v>
      </c>
      <c r="V2169" s="119">
        <v>1</v>
      </c>
      <c r="W2169" s="40">
        <v>0</v>
      </c>
      <c r="X2169" s="119">
        <v>1</v>
      </c>
      <c r="Y2169" s="40">
        <v>50</v>
      </c>
      <c r="Z2169" s="119">
        <v>1</v>
      </c>
      <c r="AA2169" s="368">
        <v>0</v>
      </c>
      <c r="AB2169" s="535">
        <v>1</v>
      </c>
      <c r="AC2169" s="39" t="s">
        <v>160</v>
      </c>
      <c r="AD2169" s="75" t="s">
        <v>10</v>
      </c>
      <c r="AE2169" s="95">
        <v>0</v>
      </c>
      <c r="AF2169" s="75">
        <v>0</v>
      </c>
      <c r="AG2169" s="75">
        <v>0</v>
      </c>
      <c r="AH2169" s="75">
        <v>0</v>
      </c>
      <c r="AI2169" s="75">
        <v>0</v>
      </c>
      <c r="AJ2169" s="75">
        <v>0</v>
      </c>
      <c r="AK2169" s="75">
        <v>0</v>
      </c>
      <c r="AL2169" s="95">
        <v>1</v>
      </c>
      <c r="AM2169" s="92">
        <v>0</v>
      </c>
      <c r="AN2169" s="79" t="s">
        <v>81</v>
      </c>
      <c r="AO2169" s="75">
        <v>1</v>
      </c>
      <c r="AP2169" s="75" t="s">
        <v>84</v>
      </c>
      <c r="AQ2169" s="122">
        <v>1</v>
      </c>
      <c r="AR2169" s="515" t="s">
        <v>13</v>
      </c>
      <c r="AS2169" s="95">
        <v>1</v>
      </c>
      <c r="AT2169" s="75">
        <v>0</v>
      </c>
      <c r="AU2169" s="75">
        <v>0</v>
      </c>
      <c r="AV2169" s="75">
        <v>0</v>
      </c>
      <c r="AW2169" s="123">
        <v>0</v>
      </c>
      <c r="AX2169" s="516"/>
      <c r="AY2169" s="75">
        <v>0</v>
      </c>
      <c r="AZ2169" s="77" t="s">
        <v>131</v>
      </c>
      <c r="BA2169" s="78" t="s">
        <v>131</v>
      </c>
      <c r="BB2169" s="78" t="s">
        <v>131</v>
      </c>
      <c r="BC2169" s="78" t="s">
        <v>131</v>
      </c>
      <c r="BD2169" s="78" t="s">
        <v>131</v>
      </c>
      <c r="BE2169" s="78" t="s">
        <v>131</v>
      </c>
      <c r="BF2169" s="78" t="s">
        <v>131</v>
      </c>
      <c r="BG2169" s="78" t="s">
        <v>132</v>
      </c>
      <c r="BH2169" s="75" t="s">
        <v>5970</v>
      </c>
      <c r="BI2169" s="295" t="s">
        <v>2242</v>
      </c>
      <c r="BJ2169" s="546" t="s">
        <v>16</v>
      </c>
      <c r="BK2169" s="294">
        <v>1</v>
      </c>
      <c r="BL2169" s="157">
        <v>1</v>
      </c>
      <c r="BM2169" s="548" t="s">
        <v>1340</v>
      </c>
      <c r="BN2169" s="548" t="s">
        <v>4160</v>
      </c>
      <c r="BO2169" s="157" t="s">
        <v>4764</v>
      </c>
      <c r="BP2169" s="548" t="s">
        <v>2280</v>
      </c>
      <c r="BQ2169" s="157" t="s">
        <v>4492</v>
      </c>
      <c r="BR2169" s="157"/>
    </row>
    <row r="2170" spans="1:70" x14ac:dyDescent="0.25">
      <c r="A2170" s="19" t="s">
        <v>3686</v>
      </c>
      <c r="B2170" s="37" t="s">
        <v>396</v>
      </c>
      <c r="C2170" s="90">
        <v>44085.681817129633</v>
      </c>
      <c r="D2170" s="114">
        <v>44085.431817129633</v>
      </c>
      <c r="E2170" s="38">
        <v>44085</v>
      </c>
      <c r="F2170" s="91">
        <v>2020</v>
      </c>
      <c r="G2170" s="93">
        <v>9</v>
      </c>
      <c r="H2170" s="37" t="s">
        <v>351</v>
      </c>
      <c r="I2170" s="37"/>
      <c r="J2170" s="103">
        <v>-91.691783799999996</v>
      </c>
      <c r="K2170" s="40">
        <v>44.567956199999998</v>
      </c>
      <c r="L2170" s="74"/>
      <c r="M2170" s="272" t="s">
        <v>397</v>
      </c>
      <c r="N2170" s="74">
        <v>1</v>
      </c>
      <c r="O2170" s="94"/>
      <c r="P2170" s="118">
        <v>1</v>
      </c>
      <c r="Q2170" s="510">
        <v>180</v>
      </c>
      <c r="R2170" s="513">
        <v>120</v>
      </c>
      <c r="S2170" s="41"/>
      <c r="T2170" s="40"/>
      <c r="U2170" s="40">
        <v>7</v>
      </c>
      <c r="V2170" s="119">
        <v>1</v>
      </c>
      <c r="W2170" s="40">
        <v>100</v>
      </c>
      <c r="X2170" s="119">
        <v>1</v>
      </c>
      <c r="Y2170" s="40">
        <v>50</v>
      </c>
      <c r="Z2170" s="119">
        <v>1</v>
      </c>
      <c r="AA2170" s="368">
        <v>0</v>
      </c>
      <c r="AB2170" s="535">
        <v>2</v>
      </c>
      <c r="AC2170" s="39"/>
      <c r="AD2170" s="75" t="s">
        <v>10</v>
      </c>
      <c r="AE2170" s="95">
        <v>0</v>
      </c>
      <c r="AF2170" s="75">
        <v>0</v>
      </c>
      <c r="AG2170" s="75">
        <v>0</v>
      </c>
      <c r="AH2170" s="75">
        <v>0</v>
      </c>
      <c r="AI2170" s="75">
        <v>0</v>
      </c>
      <c r="AJ2170" s="75">
        <v>0</v>
      </c>
      <c r="AK2170" s="75">
        <v>0</v>
      </c>
      <c r="AL2170" s="95">
        <v>1</v>
      </c>
      <c r="AM2170" s="92">
        <v>0</v>
      </c>
      <c r="AN2170" s="79" t="s">
        <v>81</v>
      </c>
      <c r="AO2170" s="75">
        <v>1</v>
      </c>
      <c r="AP2170" s="75" t="s">
        <v>85</v>
      </c>
      <c r="AQ2170" s="122">
        <v>1</v>
      </c>
      <c r="AR2170" s="515" t="s">
        <v>13</v>
      </c>
      <c r="AS2170" s="95">
        <v>1</v>
      </c>
      <c r="AT2170" s="75">
        <v>0</v>
      </c>
      <c r="AU2170" s="75">
        <v>0</v>
      </c>
      <c r="AV2170" s="75">
        <v>0</v>
      </c>
      <c r="AW2170" s="123">
        <v>0</v>
      </c>
      <c r="AX2170" s="516"/>
      <c r="AY2170" s="75">
        <v>0</v>
      </c>
      <c r="AZ2170" s="77" t="s">
        <v>131</v>
      </c>
      <c r="BA2170" s="78" t="s">
        <v>131</v>
      </c>
      <c r="BB2170" s="78" t="s">
        <v>131</v>
      </c>
      <c r="BC2170" s="78" t="s">
        <v>131</v>
      </c>
      <c r="BD2170" s="78" t="s">
        <v>131</v>
      </c>
      <c r="BE2170" s="78" t="s">
        <v>131</v>
      </c>
      <c r="BF2170" s="78" t="s">
        <v>131</v>
      </c>
      <c r="BG2170" s="78" t="s">
        <v>132</v>
      </c>
      <c r="BH2170" s="75" t="s">
        <v>5970</v>
      </c>
      <c r="BI2170" s="295" t="s">
        <v>2280</v>
      </c>
      <c r="BJ2170" s="546" t="s">
        <v>16</v>
      </c>
      <c r="BK2170" s="294">
        <v>1</v>
      </c>
      <c r="BL2170" s="157">
        <v>1</v>
      </c>
      <c r="BM2170" s="548" t="s">
        <v>1340</v>
      </c>
      <c r="BN2170" s="548" t="s">
        <v>4160</v>
      </c>
      <c r="BO2170" s="157" t="s">
        <v>4764</v>
      </c>
      <c r="BP2170" s="548" t="s">
        <v>2280</v>
      </c>
      <c r="BQ2170" s="157" t="s">
        <v>4492</v>
      </c>
      <c r="BR2170" s="157"/>
    </row>
    <row r="2171" spans="1:70" x14ac:dyDescent="0.25">
      <c r="A2171" s="19" t="s">
        <v>3686</v>
      </c>
      <c r="B2171" s="37" t="s">
        <v>394</v>
      </c>
      <c r="C2171" s="90">
        <v>44085.668344907404</v>
      </c>
      <c r="D2171" s="114">
        <v>44085.418344907404</v>
      </c>
      <c r="E2171" s="38">
        <v>44085</v>
      </c>
      <c r="F2171" s="91">
        <v>2020</v>
      </c>
      <c r="G2171" s="93">
        <v>9</v>
      </c>
      <c r="H2171" s="37" t="s">
        <v>351</v>
      </c>
      <c r="I2171" s="37"/>
      <c r="J2171" s="103">
        <v>-91.744620400000002</v>
      </c>
      <c r="K2171" s="40">
        <v>44.587985099999997</v>
      </c>
      <c r="L2171" s="74"/>
      <c r="M2171" s="272" t="s">
        <v>395</v>
      </c>
      <c r="N2171" s="74">
        <v>1</v>
      </c>
      <c r="O2171" s="94"/>
      <c r="P2171" s="118">
        <v>1</v>
      </c>
      <c r="Q2171" s="510">
        <v>180</v>
      </c>
      <c r="R2171" s="513">
        <v>180</v>
      </c>
      <c r="S2171" s="41"/>
      <c r="T2171" s="40"/>
      <c r="U2171" s="40">
        <v>7.5</v>
      </c>
      <c r="V2171" s="119">
        <v>1</v>
      </c>
      <c r="W2171" s="40">
        <v>0</v>
      </c>
      <c r="X2171" s="119">
        <v>1</v>
      </c>
      <c r="Y2171" s="40">
        <v>49</v>
      </c>
      <c r="Z2171" s="119">
        <v>1</v>
      </c>
      <c r="AA2171" s="368">
        <v>0</v>
      </c>
      <c r="AB2171" s="535">
        <v>2</v>
      </c>
      <c r="AC2171" s="39" t="s">
        <v>160</v>
      </c>
      <c r="AD2171" s="75" t="s">
        <v>10</v>
      </c>
      <c r="AE2171" s="95">
        <v>0</v>
      </c>
      <c r="AF2171" s="75">
        <v>0</v>
      </c>
      <c r="AG2171" s="75">
        <v>0</v>
      </c>
      <c r="AH2171" s="75">
        <v>0</v>
      </c>
      <c r="AI2171" s="75">
        <v>0</v>
      </c>
      <c r="AJ2171" s="75">
        <v>0</v>
      </c>
      <c r="AK2171" s="75">
        <v>0</v>
      </c>
      <c r="AL2171" s="95">
        <v>1</v>
      </c>
      <c r="AM2171" s="92">
        <v>0</v>
      </c>
      <c r="AN2171" s="79" t="s">
        <v>81</v>
      </c>
      <c r="AO2171" s="75">
        <v>1</v>
      </c>
      <c r="AP2171" s="75" t="s">
        <v>84</v>
      </c>
      <c r="AQ2171" s="122">
        <v>1</v>
      </c>
      <c r="AR2171" s="515" t="s">
        <v>16</v>
      </c>
      <c r="AS2171" s="95">
        <v>-1</v>
      </c>
      <c r="AT2171" s="75">
        <v>-1</v>
      </c>
      <c r="AU2171" s="75">
        <v>-1</v>
      </c>
      <c r="AV2171" s="75">
        <v>-1</v>
      </c>
      <c r="AW2171" s="123">
        <v>1</v>
      </c>
      <c r="AX2171" s="516"/>
      <c r="AY2171" s="75">
        <v>0</v>
      </c>
      <c r="AZ2171" s="77" t="s">
        <v>131</v>
      </c>
      <c r="BA2171" s="78" t="s">
        <v>131</v>
      </c>
      <c r="BB2171" s="78" t="s">
        <v>131</v>
      </c>
      <c r="BC2171" s="78" t="s">
        <v>131</v>
      </c>
      <c r="BD2171" s="78" t="s">
        <v>131</v>
      </c>
      <c r="BE2171" s="78" t="s">
        <v>131</v>
      </c>
      <c r="BF2171" s="78" t="s">
        <v>131</v>
      </c>
      <c r="BG2171" s="78" t="s">
        <v>132</v>
      </c>
      <c r="BH2171" s="75" t="s">
        <v>5970</v>
      </c>
      <c r="BI2171" s="295" t="s">
        <v>2280</v>
      </c>
      <c r="BJ2171" s="546">
        <v>1</v>
      </c>
      <c r="BK2171" s="294" t="s">
        <v>16</v>
      </c>
      <c r="BL2171" s="157" t="s">
        <v>16</v>
      </c>
      <c r="BM2171" s="548" t="s">
        <v>1340</v>
      </c>
      <c r="BN2171" s="548" t="s">
        <v>4160</v>
      </c>
      <c r="BO2171" s="157" t="s">
        <v>4764</v>
      </c>
      <c r="BP2171" s="548" t="s">
        <v>2280</v>
      </c>
      <c r="BQ2171" s="157" t="s">
        <v>4492</v>
      </c>
      <c r="BR2171" s="157"/>
    </row>
    <row r="2172" spans="1:70" x14ac:dyDescent="0.25">
      <c r="A2172" s="19" t="s">
        <v>3686</v>
      </c>
      <c r="B2172" s="37" t="s">
        <v>392</v>
      </c>
      <c r="C2172" s="90">
        <v>44084.814837962964</v>
      </c>
      <c r="D2172" s="114">
        <v>44084.564837962964</v>
      </c>
      <c r="E2172" s="38">
        <v>44084</v>
      </c>
      <c r="F2172" s="91">
        <v>2020</v>
      </c>
      <c r="G2172" s="93">
        <v>9</v>
      </c>
      <c r="H2172" s="37" t="s">
        <v>351</v>
      </c>
      <c r="I2172" s="37" t="s">
        <v>16</v>
      </c>
      <c r="J2172" s="103">
        <v>-91.542571899999999</v>
      </c>
      <c r="K2172" s="40">
        <v>44.0702572</v>
      </c>
      <c r="L2172" s="74"/>
      <c r="M2172" s="272" t="s">
        <v>393</v>
      </c>
      <c r="N2172" s="74">
        <v>1</v>
      </c>
      <c r="O2172" s="94"/>
      <c r="P2172" s="118">
        <v>1</v>
      </c>
      <c r="Q2172" s="510">
        <v>80</v>
      </c>
      <c r="R2172" s="513">
        <v>60</v>
      </c>
      <c r="S2172" s="41"/>
      <c r="T2172" s="40"/>
      <c r="U2172" s="40">
        <v>6.5</v>
      </c>
      <c r="V2172" s="119">
        <v>0</v>
      </c>
      <c r="W2172" s="40"/>
      <c r="X2172" s="119">
        <v>0</v>
      </c>
      <c r="Y2172" s="40"/>
      <c r="Z2172" s="119">
        <v>1</v>
      </c>
      <c r="AA2172" s="368">
        <v>0</v>
      </c>
      <c r="AB2172" s="535">
        <v>2</v>
      </c>
      <c r="AC2172" s="39"/>
      <c r="AD2172" s="75" t="s">
        <v>16</v>
      </c>
      <c r="AE2172" s="95">
        <v>-1</v>
      </c>
      <c r="AF2172" s="75">
        <v>-1</v>
      </c>
      <c r="AG2172" s="75">
        <v>-1</v>
      </c>
      <c r="AH2172" s="75">
        <v>-1</v>
      </c>
      <c r="AI2172" s="75">
        <v>-1</v>
      </c>
      <c r="AJ2172" s="75">
        <v>-1</v>
      </c>
      <c r="AK2172" s="75">
        <v>-1</v>
      </c>
      <c r="AL2172" s="95">
        <v>-1</v>
      </c>
      <c r="AM2172" s="92">
        <v>1</v>
      </c>
      <c r="AN2172" s="79" t="s">
        <v>81</v>
      </c>
      <c r="AO2172" s="75">
        <v>1</v>
      </c>
      <c r="AP2172" s="75" t="s">
        <v>85</v>
      </c>
      <c r="AQ2172" s="122">
        <v>1</v>
      </c>
      <c r="AR2172" s="515" t="s">
        <v>13</v>
      </c>
      <c r="AS2172" s="95">
        <v>1</v>
      </c>
      <c r="AT2172" s="75">
        <v>0</v>
      </c>
      <c r="AU2172" s="75">
        <v>0</v>
      </c>
      <c r="AV2172" s="75">
        <v>0</v>
      </c>
      <c r="AW2172" s="123">
        <v>0</v>
      </c>
      <c r="AX2172" s="516"/>
      <c r="AY2172" s="75">
        <v>0</v>
      </c>
      <c r="AZ2172" s="77" t="s">
        <v>5971</v>
      </c>
      <c r="BA2172" s="78" t="s">
        <v>5971</v>
      </c>
      <c r="BB2172" s="78" t="s">
        <v>5971</v>
      </c>
      <c r="BC2172" s="78" t="s">
        <v>5971</v>
      </c>
      <c r="BD2172" s="78" t="s">
        <v>5971</v>
      </c>
      <c r="BE2172" s="78" t="s">
        <v>5971</v>
      </c>
      <c r="BF2172" s="78" t="s">
        <v>5971</v>
      </c>
      <c r="BG2172" s="78" t="s">
        <v>5971</v>
      </c>
      <c r="BH2172" s="75" t="s">
        <v>5971</v>
      </c>
      <c r="BI2172" s="295" t="s">
        <v>2266</v>
      </c>
      <c r="BJ2172" s="546" t="s">
        <v>16</v>
      </c>
      <c r="BK2172" s="294" t="s">
        <v>16</v>
      </c>
      <c r="BL2172" s="157" t="s">
        <v>16</v>
      </c>
      <c r="BM2172" s="548" t="s">
        <v>1340</v>
      </c>
      <c r="BN2172" s="548" t="s">
        <v>4160</v>
      </c>
      <c r="BO2172" s="157" t="s">
        <v>4446</v>
      </c>
      <c r="BP2172" s="548" t="s">
        <v>4482</v>
      </c>
      <c r="BQ2172" s="157" t="s">
        <v>4444</v>
      </c>
      <c r="BR2172" s="157"/>
    </row>
    <row r="2173" spans="1:70" x14ac:dyDescent="0.25">
      <c r="A2173" s="19" t="s">
        <v>3686</v>
      </c>
      <c r="B2173" s="37" t="s">
        <v>390</v>
      </c>
      <c r="C2173" s="90">
        <v>44084.781666666669</v>
      </c>
      <c r="D2173" s="114">
        <v>44084.531666666669</v>
      </c>
      <c r="E2173" s="38">
        <v>44084</v>
      </c>
      <c r="F2173" s="91">
        <v>2020</v>
      </c>
      <c r="G2173" s="93">
        <v>9</v>
      </c>
      <c r="H2173" s="37" t="s">
        <v>351</v>
      </c>
      <c r="I2173" s="37"/>
      <c r="J2173" s="103">
        <v>-91.650702499999994</v>
      </c>
      <c r="K2173" s="40">
        <v>44.254164199999998</v>
      </c>
      <c r="L2173" s="74"/>
      <c r="M2173" s="272" t="s">
        <v>391</v>
      </c>
      <c r="N2173" s="74">
        <v>1</v>
      </c>
      <c r="O2173" s="94"/>
      <c r="P2173" s="118">
        <v>1</v>
      </c>
      <c r="Q2173" s="510">
        <v>120</v>
      </c>
      <c r="R2173" s="513">
        <v>180</v>
      </c>
      <c r="S2173" s="41"/>
      <c r="T2173" s="40"/>
      <c r="U2173" s="40">
        <v>7.5</v>
      </c>
      <c r="V2173" s="119">
        <v>1</v>
      </c>
      <c r="W2173" s="40">
        <v>0</v>
      </c>
      <c r="X2173" s="119">
        <v>1</v>
      </c>
      <c r="Y2173" s="40">
        <v>49</v>
      </c>
      <c r="Z2173" s="119">
        <v>1</v>
      </c>
      <c r="AA2173" s="368">
        <v>0</v>
      </c>
      <c r="AB2173" s="535">
        <v>2</v>
      </c>
      <c r="AC2173" s="39"/>
      <c r="AD2173" s="75" t="s">
        <v>16</v>
      </c>
      <c r="AE2173" s="95">
        <v>-1</v>
      </c>
      <c r="AF2173" s="75">
        <v>-1</v>
      </c>
      <c r="AG2173" s="75">
        <v>-1</v>
      </c>
      <c r="AH2173" s="75">
        <v>-1</v>
      </c>
      <c r="AI2173" s="75">
        <v>-1</v>
      </c>
      <c r="AJ2173" s="75">
        <v>-1</v>
      </c>
      <c r="AK2173" s="75">
        <v>-1</v>
      </c>
      <c r="AL2173" s="95">
        <v>-1</v>
      </c>
      <c r="AM2173" s="92">
        <v>1</v>
      </c>
      <c r="AN2173" s="79"/>
      <c r="AO2173" s="75">
        <v>0</v>
      </c>
      <c r="AP2173" s="75"/>
      <c r="AQ2173" s="122">
        <v>0</v>
      </c>
      <c r="AR2173" s="515" t="s">
        <v>16</v>
      </c>
      <c r="AS2173" s="95">
        <v>-1</v>
      </c>
      <c r="AT2173" s="75">
        <v>-1</v>
      </c>
      <c r="AU2173" s="75">
        <v>-1</v>
      </c>
      <c r="AV2173" s="75">
        <v>-1</v>
      </c>
      <c r="AW2173" s="123">
        <v>1</v>
      </c>
      <c r="AX2173" s="516"/>
      <c r="AY2173" s="75">
        <v>0</v>
      </c>
      <c r="AZ2173" s="77" t="s">
        <v>5971</v>
      </c>
      <c r="BA2173" s="78" t="s">
        <v>5971</v>
      </c>
      <c r="BB2173" s="78" t="s">
        <v>5971</v>
      </c>
      <c r="BC2173" s="78" t="s">
        <v>5971</v>
      </c>
      <c r="BD2173" s="78" t="s">
        <v>5971</v>
      </c>
      <c r="BE2173" s="78" t="s">
        <v>5971</v>
      </c>
      <c r="BF2173" s="78" t="s">
        <v>5971</v>
      </c>
      <c r="BG2173" s="78" t="s">
        <v>5971</v>
      </c>
      <c r="BH2173" s="75" t="s">
        <v>5971</v>
      </c>
      <c r="BI2173" s="295" t="s">
        <v>16</v>
      </c>
      <c r="BJ2173" s="546">
        <v>1</v>
      </c>
      <c r="BK2173" s="294">
        <v>1</v>
      </c>
      <c r="BL2173" s="157">
        <v>1</v>
      </c>
      <c r="BM2173" s="548" t="s">
        <v>1340</v>
      </c>
      <c r="BN2173" s="548" t="s">
        <v>4160</v>
      </c>
      <c r="BO2173" s="157" t="s">
        <v>4766</v>
      </c>
      <c r="BP2173" s="548" t="s">
        <v>2277</v>
      </c>
      <c r="BQ2173" s="157" t="s">
        <v>4765</v>
      </c>
      <c r="BR2173" s="157"/>
    </row>
    <row r="2174" spans="1:70" x14ac:dyDescent="0.25">
      <c r="A2174" s="19" t="s">
        <v>3686</v>
      </c>
      <c r="B2174" s="37" t="s">
        <v>388</v>
      </c>
      <c r="C2174" s="90">
        <v>44084.732164351852</v>
      </c>
      <c r="D2174" s="114">
        <v>44084.482164351852</v>
      </c>
      <c r="E2174" s="38">
        <v>44084</v>
      </c>
      <c r="F2174" s="91">
        <v>2020</v>
      </c>
      <c r="G2174" s="93">
        <v>9</v>
      </c>
      <c r="H2174" s="37" t="s">
        <v>351</v>
      </c>
      <c r="I2174" s="37"/>
      <c r="J2174" s="103">
        <v>-91.758368300000001</v>
      </c>
      <c r="K2174" s="40">
        <v>44.191429100000001</v>
      </c>
      <c r="L2174" s="74"/>
      <c r="M2174" s="272" t="s">
        <v>389</v>
      </c>
      <c r="N2174" s="74">
        <v>1</v>
      </c>
      <c r="O2174" s="94"/>
      <c r="P2174" s="118">
        <v>1</v>
      </c>
      <c r="Q2174" s="510">
        <v>120</v>
      </c>
      <c r="R2174" s="513">
        <v>180</v>
      </c>
      <c r="S2174" s="41"/>
      <c r="T2174" s="40"/>
      <c r="U2174" s="40">
        <v>7</v>
      </c>
      <c r="V2174" s="119">
        <v>1</v>
      </c>
      <c r="W2174" s="40">
        <v>0</v>
      </c>
      <c r="X2174" s="119">
        <v>1</v>
      </c>
      <c r="Y2174" s="40">
        <v>49</v>
      </c>
      <c r="Z2174" s="119">
        <v>1</v>
      </c>
      <c r="AA2174" s="368">
        <v>0</v>
      </c>
      <c r="AB2174" s="535">
        <v>2</v>
      </c>
      <c r="AC2174" s="39"/>
      <c r="AD2174" s="75" t="s">
        <v>10</v>
      </c>
      <c r="AE2174" s="95">
        <v>0</v>
      </c>
      <c r="AF2174" s="75">
        <v>0</v>
      </c>
      <c r="AG2174" s="75">
        <v>0</v>
      </c>
      <c r="AH2174" s="75">
        <v>0</v>
      </c>
      <c r="AI2174" s="75">
        <v>0</v>
      </c>
      <c r="AJ2174" s="75">
        <v>0</v>
      </c>
      <c r="AK2174" s="75">
        <v>0</v>
      </c>
      <c r="AL2174" s="95">
        <v>1</v>
      </c>
      <c r="AM2174" s="92">
        <v>0</v>
      </c>
      <c r="AN2174" s="79" t="s">
        <v>81</v>
      </c>
      <c r="AO2174" s="75">
        <v>1</v>
      </c>
      <c r="AP2174" s="75" t="s">
        <v>85</v>
      </c>
      <c r="AQ2174" s="122">
        <v>1</v>
      </c>
      <c r="AR2174" s="515" t="s">
        <v>35</v>
      </c>
      <c r="AS2174" s="95">
        <v>0</v>
      </c>
      <c r="AT2174" s="75">
        <v>1</v>
      </c>
      <c r="AU2174" s="75">
        <v>0</v>
      </c>
      <c r="AV2174" s="75">
        <v>0</v>
      </c>
      <c r="AW2174" s="123">
        <v>0</v>
      </c>
      <c r="AX2174" s="516"/>
      <c r="AY2174" s="75">
        <v>0</v>
      </c>
      <c r="AZ2174" s="77" t="s">
        <v>131</v>
      </c>
      <c r="BA2174" s="78" t="s">
        <v>131</v>
      </c>
      <c r="BB2174" s="78" t="s">
        <v>131</v>
      </c>
      <c r="BC2174" s="78" t="s">
        <v>131</v>
      </c>
      <c r="BD2174" s="78" t="s">
        <v>131</v>
      </c>
      <c r="BE2174" s="78" t="s">
        <v>131</v>
      </c>
      <c r="BF2174" s="78" t="s">
        <v>131</v>
      </c>
      <c r="BG2174" s="78" t="s">
        <v>132</v>
      </c>
      <c r="BH2174" s="75" t="s">
        <v>5970</v>
      </c>
      <c r="BI2174" s="295" t="s">
        <v>16</v>
      </c>
      <c r="BJ2174" s="546" t="s">
        <v>16</v>
      </c>
      <c r="BK2174" s="294" t="s">
        <v>16</v>
      </c>
      <c r="BL2174" s="157" t="s">
        <v>16</v>
      </c>
      <c r="BM2174" s="548" t="s">
        <v>1340</v>
      </c>
      <c r="BN2174" s="548" t="s">
        <v>4160</v>
      </c>
      <c r="BO2174" s="157" t="s">
        <v>4768</v>
      </c>
      <c r="BP2174" s="548" t="s">
        <v>4767</v>
      </c>
      <c r="BQ2174" s="157" t="s">
        <v>4765</v>
      </c>
      <c r="BR2174" s="157"/>
    </row>
    <row r="2175" spans="1:70" x14ac:dyDescent="0.25">
      <c r="A2175" s="19" t="s">
        <v>3686</v>
      </c>
      <c r="B2175" s="37" t="s">
        <v>386</v>
      </c>
      <c r="C2175" s="90">
        <v>44084.715682870374</v>
      </c>
      <c r="D2175" s="114">
        <v>44084.465682870374</v>
      </c>
      <c r="E2175" s="38">
        <v>44084</v>
      </c>
      <c r="F2175" s="91">
        <v>2020</v>
      </c>
      <c r="G2175" s="93">
        <v>9</v>
      </c>
      <c r="H2175" s="37" t="s">
        <v>351</v>
      </c>
      <c r="I2175" s="37"/>
      <c r="J2175" s="103">
        <v>-91.741531300000005</v>
      </c>
      <c r="K2175" s="40">
        <v>44.166658900000002</v>
      </c>
      <c r="L2175" s="74"/>
      <c r="M2175" s="272" t="s">
        <v>387</v>
      </c>
      <c r="N2175" s="74">
        <v>1</v>
      </c>
      <c r="O2175" s="94"/>
      <c r="P2175" s="118">
        <v>1</v>
      </c>
      <c r="Q2175" s="510">
        <v>120</v>
      </c>
      <c r="R2175" s="513">
        <v>180</v>
      </c>
      <c r="S2175" s="41"/>
      <c r="T2175" s="40"/>
      <c r="U2175" s="40">
        <v>7.5</v>
      </c>
      <c r="V2175" s="119">
        <v>0</v>
      </c>
      <c r="W2175" s="40"/>
      <c r="X2175" s="119">
        <v>0</v>
      </c>
      <c r="Y2175" s="40"/>
      <c r="Z2175" s="119">
        <v>1</v>
      </c>
      <c r="AA2175" s="368">
        <v>0</v>
      </c>
      <c r="AB2175" s="535">
        <v>2</v>
      </c>
      <c r="AC2175" s="39" t="s">
        <v>160</v>
      </c>
      <c r="AD2175" s="75" t="s">
        <v>10</v>
      </c>
      <c r="AE2175" s="95">
        <v>0</v>
      </c>
      <c r="AF2175" s="75">
        <v>0</v>
      </c>
      <c r="AG2175" s="75">
        <v>0</v>
      </c>
      <c r="AH2175" s="75">
        <v>0</v>
      </c>
      <c r="AI2175" s="75">
        <v>0</v>
      </c>
      <c r="AJ2175" s="75">
        <v>0</v>
      </c>
      <c r="AK2175" s="75">
        <v>0</v>
      </c>
      <c r="AL2175" s="95">
        <v>1</v>
      </c>
      <c r="AM2175" s="92">
        <v>0</v>
      </c>
      <c r="AN2175" s="79" t="s">
        <v>80</v>
      </c>
      <c r="AO2175" s="75">
        <v>1</v>
      </c>
      <c r="AP2175" s="75" t="s">
        <v>85</v>
      </c>
      <c r="AQ2175" s="122">
        <v>1</v>
      </c>
      <c r="AR2175" s="515" t="s">
        <v>35</v>
      </c>
      <c r="AS2175" s="95">
        <v>0</v>
      </c>
      <c r="AT2175" s="75">
        <v>1</v>
      </c>
      <c r="AU2175" s="75">
        <v>0</v>
      </c>
      <c r="AV2175" s="75">
        <v>0</v>
      </c>
      <c r="AW2175" s="123">
        <v>0</v>
      </c>
      <c r="AX2175" s="516"/>
      <c r="AY2175" s="75">
        <v>0</v>
      </c>
      <c r="AZ2175" s="77" t="s">
        <v>131</v>
      </c>
      <c r="BA2175" s="78" t="s">
        <v>131</v>
      </c>
      <c r="BB2175" s="78" t="s">
        <v>131</v>
      </c>
      <c r="BC2175" s="78" t="s">
        <v>131</v>
      </c>
      <c r="BD2175" s="78" t="s">
        <v>131</v>
      </c>
      <c r="BE2175" s="78" t="s">
        <v>131</v>
      </c>
      <c r="BF2175" s="78" t="s">
        <v>131</v>
      </c>
      <c r="BG2175" s="78" t="s">
        <v>132</v>
      </c>
      <c r="BH2175" s="75" t="s">
        <v>5970</v>
      </c>
      <c r="BI2175" s="295" t="s">
        <v>2277</v>
      </c>
      <c r="BJ2175" s="546" t="s">
        <v>16</v>
      </c>
      <c r="BK2175" s="294" t="s">
        <v>16</v>
      </c>
      <c r="BL2175" s="157" t="s">
        <v>16</v>
      </c>
      <c r="BM2175" s="548" t="s">
        <v>1340</v>
      </c>
      <c r="BN2175" s="548" t="s">
        <v>4160</v>
      </c>
      <c r="BO2175" s="157" t="s">
        <v>4766</v>
      </c>
      <c r="BP2175" s="548" t="s">
        <v>2277</v>
      </c>
      <c r="BQ2175" s="157" t="s">
        <v>4765</v>
      </c>
      <c r="BR2175" s="157"/>
    </row>
    <row r="2176" spans="1:70" x14ac:dyDescent="0.25">
      <c r="A2176" s="19" t="s">
        <v>3686</v>
      </c>
      <c r="B2176" s="37" t="s">
        <v>383</v>
      </c>
      <c r="C2176" s="90">
        <v>44084.708518518521</v>
      </c>
      <c r="D2176" s="114">
        <v>44084.458518518521</v>
      </c>
      <c r="E2176" s="38">
        <v>44084</v>
      </c>
      <c r="F2176" s="91">
        <v>2020</v>
      </c>
      <c r="G2176" s="93">
        <v>9</v>
      </c>
      <c r="H2176" s="37" t="s">
        <v>260</v>
      </c>
      <c r="I2176" s="37" t="s">
        <v>337</v>
      </c>
      <c r="J2176" s="103">
        <v>-92.644991729303641</v>
      </c>
      <c r="K2176" s="40">
        <v>44.843510726653761</v>
      </c>
      <c r="L2176" s="74"/>
      <c r="M2176" s="272" t="s">
        <v>384</v>
      </c>
      <c r="N2176" s="74">
        <v>1</v>
      </c>
      <c r="O2176" s="94"/>
      <c r="P2176" s="118">
        <v>1</v>
      </c>
      <c r="Q2176" s="510">
        <v>120</v>
      </c>
      <c r="R2176" s="513">
        <v>60</v>
      </c>
      <c r="S2176" s="41"/>
      <c r="T2176" s="40"/>
      <c r="U2176" s="40">
        <v>7.5</v>
      </c>
      <c r="V2176" s="119">
        <v>1</v>
      </c>
      <c r="W2176" s="40">
        <v>100</v>
      </c>
      <c r="X2176" s="119">
        <v>1</v>
      </c>
      <c r="Y2176" s="40">
        <v>47</v>
      </c>
      <c r="Z2176" s="119">
        <v>1</v>
      </c>
      <c r="AA2176" s="368">
        <v>0</v>
      </c>
      <c r="AB2176" s="535">
        <v>5</v>
      </c>
      <c r="AC2176" s="39" t="s">
        <v>160</v>
      </c>
      <c r="AD2176" s="75" t="s">
        <v>10</v>
      </c>
      <c r="AE2176" s="95">
        <v>0</v>
      </c>
      <c r="AF2176" s="75">
        <v>0</v>
      </c>
      <c r="AG2176" s="75">
        <v>0</v>
      </c>
      <c r="AH2176" s="75">
        <v>0</v>
      </c>
      <c r="AI2176" s="75">
        <v>0</v>
      </c>
      <c r="AJ2176" s="75">
        <v>0</v>
      </c>
      <c r="AK2176" s="75">
        <v>0</v>
      </c>
      <c r="AL2176" s="95">
        <v>1</v>
      </c>
      <c r="AM2176" s="92">
        <v>0</v>
      </c>
      <c r="AN2176" s="79" t="s">
        <v>80</v>
      </c>
      <c r="AO2176" s="75">
        <v>1</v>
      </c>
      <c r="AP2176" s="75" t="s">
        <v>83</v>
      </c>
      <c r="AQ2176" s="122">
        <v>1</v>
      </c>
      <c r="AR2176" s="515" t="s">
        <v>10</v>
      </c>
      <c r="AS2176" s="95">
        <v>0</v>
      </c>
      <c r="AT2176" s="75">
        <v>0</v>
      </c>
      <c r="AU2176" s="75">
        <v>0</v>
      </c>
      <c r="AV2176" s="75">
        <v>0</v>
      </c>
      <c r="AW2176" s="123">
        <v>0</v>
      </c>
      <c r="AX2176" s="516" t="s">
        <v>385</v>
      </c>
      <c r="AY2176" s="75">
        <v>1</v>
      </c>
      <c r="AZ2176" s="77" t="s">
        <v>131</v>
      </c>
      <c r="BA2176" s="78" t="s">
        <v>131</v>
      </c>
      <c r="BB2176" s="78" t="s">
        <v>131</v>
      </c>
      <c r="BC2176" s="78" t="s">
        <v>131</v>
      </c>
      <c r="BD2176" s="78" t="s">
        <v>131</v>
      </c>
      <c r="BE2176" s="78" t="s">
        <v>131</v>
      </c>
      <c r="BF2176" s="78" t="s">
        <v>131</v>
      </c>
      <c r="BG2176" s="78" t="s">
        <v>132</v>
      </c>
      <c r="BH2176" s="75" t="s">
        <v>5970</v>
      </c>
      <c r="BI2176" s="295" t="s">
        <v>16</v>
      </c>
      <c r="BJ2176" s="546">
        <v>1</v>
      </c>
      <c r="BK2176" s="294" t="s">
        <v>16</v>
      </c>
      <c r="BL2176" s="157" t="s">
        <v>16</v>
      </c>
      <c r="BM2176" s="548" t="s">
        <v>578</v>
      </c>
      <c r="BN2176" s="548" t="s">
        <v>578</v>
      </c>
      <c r="BO2176" s="157" t="s">
        <v>4341</v>
      </c>
      <c r="BP2176" s="548" t="s">
        <v>4343</v>
      </c>
      <c r="BQ2176" s="157" t="s">
        <v>4309</v>
      </c>
      <c r="BR2176" s="157"/>
    </row>
    <row r="2177" spans="1:70" x14ac:dyDescent="0.25">
      <c r="A2177" s="19" t="s">
        <v>3686</v>
      </c>
      <c r="B2177" s="37" t="s">
        <v>380</v>
      </c>
      <c r="C2177" s="90">
        <v>44084.708043981482</v>
      </c>
      <c r="D2177" s="114">
        <v>44084.458043981482</v>
      </c>
      <c r="E2177" s="38">
        <v>44084</v>
      </c>
      <c r="F2177" s="91">
        <v>2020</v>
      </c>
      <c r="G2177" s="93">
        <v>9</v>
      </c>
      <c r="H2177" s="37" t="s">
        <v>201</v>
      </c>
      <c r="I2177" s="37" t="s">
        <v>337</v>
      </c>
      <c r="J2177" s="103">
        <v>-92.644994549985242</v>
      </c>
      <c r="K2177" s="40">
        <v>44.843560796995391</v>
      </c>
      <c r="L2177" s="74"/>
      <c r="M2177" s="272" t="s">
        <v>381</v>
      </c>
      <c r="N2177" s="74">
        <v>1</v>
      </c>
      <c r="O2177" s="94"/>
      <c r="P2177" s="118">
        <v>1</v>
      </c>
      <c r="Q2177" s="510">
        <v>180</v>
      </c>
      <c r="R2177" s="513">
        <v>180</v>
      </c>
      <c r="S2177" s="41"/>
      <c r="T2177" s="40"/>
      <c r="U2177" s="40">
        <v>7.5</v>
      </c>
      <c r="V2177" s="119">
        <v>1</v>
      </c>
      <c r="W2177" s="40">
        <v>0</v>
      </c>
      <c r="X2177" s="119">
        <v>1</v>
      </c>
      <c r="Y2177" s="40">
        <v>48</v>
      </c>
      <c r="Z2177" s="119">
        <v>1</v>
      </c>
      <c r="AA2177" s="368">
        <v>0</v>
      </c>
      <c r="AB2177" s="535">
        <v>5</v>
      </c>
      <c r="AC2177" s="39" t="s">
        <v>160</v>
      </c>
      <c r="AD2177" s="75" t="s">
        <v>8</v>
      </c>
      <c r="AE2177" s="95">
        <v>0</v>
      </c>
      <c r="AF2177" s="75">
        <v>1</v>
      </c>
      <c r="AG2177" s="75">
        <v>0</v>
      </c>
      <c r="AH2177" s="75">
        <v>0</v>
      </c>
      <c r="AI2177" s="75">
        <v>0</v>
      </c>
      <c r="AJ2177" s="75">
        <v>0</v>
      </c>
      <c r="AK2177" s="75">
        <v>0</v>
      </c>
      <c r="AL2177" s="95">
        <v>0</v>
      </c>
      <c r="AM2177" s="92">
        <v>0</v>
      </c>
      <c r="AN2177" s="79" t="s">
        <v>80</v>
      </c>
      <c r="AO2177" s="75">
        <v>1</v>
      </c>
      <c r="AP2177" s="75" t="s">
        <v>83</v>
      </c>
      <c r="AQ2177" s="122">
        <v>1</v>
      </c>
      <c r="AR2177" s="515" t="s">
        <v>10</v>
      </c>
      <c r="AS2177" s="95">
        <v>0</v>
      </c>
      <c r="AT2177" s="75">
        <v>0</v>
      </c>
      <c r="AU2177" s="75">
        <v>0</v>
      </c>
      <c r="AV2177" s="75">
        <v>0</v>
      </c>
      <c r="AW2177" s="123">
        <v>0</v>
      </c>
      <c r="AX2177" s="516" t="s">
        <v>382</v>
      </c>
      <c r="AY2177" s="75">
        <v>1</v>
      </c>
      <c r="AZ2177" s="77" t="s">
        <v>131</v>
      </c>
      <c r="BA2177" s="78" t="s">
        <v>132</v>
      </c>
      <c r="BB2177" s="78" t="s">
        <v>131</v>
      </c>
      <c r="BC2177" s="78" t="s">
        <v>131</v>
      </c>
      <c r="BD2177" s="78" t="s">
        <v>131</v>
      </c>
      <c r="BE2177" s="78" t="s">
        <v>131</v>
      </c>
      <c r="BF2177" s="78" t="s">
        <v>131</v>
      </c>
      <c r="BG2177" s="78" t="s">
        <v>131</v>
      </c>
      <c r="BH2177" s="75" t="s">
        <v>5970</v>
      </c>
      <c r="BI2177" s="295" t="s">
        <v>2227</v>
      </c>
      <c r="BJ2177" s="546">
        <v>1</v>
      </c>
      <c r="BK2177" s="294" t="s">
        <v>16</v>
      </c>
      <c r="BL2177" s="157" t="s">
        <v>16</v>
      </c>
      <c r="BM2177" s="548" t="s">
        <v>578</v>
      </c>
      <c r="BN2177" s="548" t="s">
        <v>578</v>
      </c>
      <c r="BO2177" s="157" t="s">
        <v>4341</v>
      </c>
      <c r="BP2177" s="548" t="s">
        <v>4343</v>
      </c>
      <c r="BQ2177" s="157" t="s">
        <v>4309</v>
      </c>
      <c r="BR2177" s="157"/>
    </row>
    <row r="2178" spans="1:70" x14ac:dyDescent="0.25">
      <c r="A2178" s="19" t="s">
        <v>3686</v>
      </c>
      <c r="B2178" s="37" t="s">
        <v>378</v>
      </c>
      <c r="C2178" s="90">
        <v>44081.66851851852</v>
      </c>
      <c r="D2178" s="114">
        <v>44081.41851851852</v>
      </c>
      <c r="E2178" s="38">
        <v>44081</v>
      </c>
      <c r="F2178" s="91">
        <v>2020</v>
      </c>
      <c r="G2178" s="93">
        <v>9</v>
      </c>
      <c r="H2178" s="37" t="s">
        <v>379</v>
      </c>
      <c r="I2178" s="37"/>
      <c r="J2178" s="103">
        <v>-92.583488700000004</v>
      </c>
      <c r="K2178" s="40">
        <v>44.848870400000003</v>
      </c>
      <c r="L2178" s="74"/>
      <c r="M2178" s="272" t="s">
        <v>16</v>
      </c>
      <c r="N2178" s="74">
        <v>0</v>
      </c>
      <c r="O2178" s="94"/>
      <c r="P2178" s="118">
        <v>1</v>
      </c>
      <c r="Q2178" s="510">
        <v>180</v>
      </c>
      <c r="R2178" s="513">
        <v>120</v>
      </c>
      <c r="S2178" s="41"/>
      <c r="T2178" s="40"/>
      <c r="U2178" s="40">
        <v>8</v>
      </c>
      <c r="V2178" s="119">
        <v>1</v>
      </c>
      <c r="W2178" s="40">
        <v>0</v>
      </c>
      <c r="X2178" s="119">
        <v>0</v>
      </c>
      <c r="Y2178" s="40"/>
      <c r="Z2178" s="119">
        <v>1</v>
      </c>
      <c r="AA2178" s="368">
        <v>0</v>
      </c>
      <c r="AB2178" s="535">
        <v>2</v>
      </c>
      <c r="AC2178" s="39" t="s">
        <v>160</v>
      </c>
      <c r="AD2178" s="75" t="s">
        <v>16</v>
      </c>
      <c r="AE2178" s="95">
        <v>-1</v>
      </c>
      <c r="AF2178" s="75">
        <v>-1</v>
      </c>
      <c r="AG2178" s="75">
        <v>-1</v>
      </c>
      <c r="AH2178" s="75">
        <v>-1</v>
      </c>
      <c r="AI2178" s="75">
        <v>-1</v>
      </c>
      <c r="AJ2178" s="75">
        <v>-1</v>
      </c>
      <c r="AK2178" s="75">
        <v>-1</v>
      </c>
      <c r="AL2178" s="95">
        <v>-1</v>
      </c>
      <c r="AM2178" s="92">
        <v>1</v>
      </c>
      <c r="AN2178" s="79" t="s">
        <v>80</v>
      </c>
      <c r="AO2178" s="75">
        <v>1</v>
      </c>
      <c r="AP2178" s="75" t="s">
        <v>84</v>
      </c>
      <c r="AQ2178" s="122">
        <v>1</v>
      </c>
      <c r="AR2178" s="515" t="s">
        <v>10</v>
      </c>
      <c r="AS2178" s="95">
        <v>0</v>
      </c>
      <c r="AT2178" s="75">
        <v>0</v>
      </c>
      <c r="AU2178" s="75">
        <v>0</v>
      </c>
      <c r="AV2178" s="75">
        <v>0</v>
      </c>
      <c r="AW2178" s="123">
        <v>0</v>
      </c>
      <c r="AX2178" s="516"/>
      <c r="AY2178" s="75">
        <v>0</v>
      </c>
      <c r="AZ2178" s="77" t="s">
        <v>5971</v>
      </c>
      <c r="BA2178" s="78" t="s">
        <v>5971</v>
      </c>
      <c r="BB2178" s="78" t="s">
        <v>5971</v>
      </c>
      <c r="BC2178" s="78" t="s">
        <v>5971</v>
      </c>
      <c r="BD2178" s="78" t="s">
        <v>5971</v>
      </c>
      <c r="BE2178" s="78" t="s">
        <v>5971</v>
      </c>
      <c r="BF2178" s="78" t="s">
        <v>5971</v>
      </c>
      <c r="BG2178" s="78" t="s">
        <v>5971</v>
      </c>
      <c r="BH2178" s="75" t="s">
        <v>5971</v>
      </c>
      <c r="BI2178" s="295" t="s">
        <v>2226</v>
      </c>
      <c r="BJ2178" s="546">
        <v>1</v>
      </c>
      <c r="BK2178" s="294">
        <v>1</v>
      </c>
      <c r="BL2178" s="157">
        <v>1</v>
      </c>
      <c r="BM2178" s="548" t="s">
        <v>578</v>
      </c>
      <c r="BN2178" s="548" t="s">
        <v>578</v>
      </c>
      <c r="BO2178" s="157" t="s">
        <v>4310</v>
      </c>
      <c r="BP2178" s="548" t="s">
        <v>2226</v>
      </c>
      <c r="BQ2178" s="157" t="s">
        <v>4309</v>
      </c>
      <c r="BR2178" s="157"/>
    </row>
    <row r="2179" spans="1:70" x14ac:dyDescent="0.25">
      <c r="A2179" s="19" t="s">
        <v>3686</v>
      </c>
      <c r="B2179" s="37" t="s">
        <v>376</v>
      </c>
      <c r="C2179" s="90">
        <v>44076.774826388886</v>
      </c>
      <c r="D2179" s="114">
        <v>44076.524826388886</v>
      </c>
      <c r="E2179" s="38">
        <v>44076</v>
      </c>
      <c r="F2179" s="91">
        <v>2020</v>
      </c>
      <c r="G2179" s="93">
        <v>9</v>
      </c>
      <c r="H2179" s="37" t="s">
        <v>201</v>
      </c>
      <c r="I2179" s="37" t="s">
        <v>154</v>
      </c>
      <c r="J2179" s="103">
        <v>-92.147068295168538</v>
      </c>
      <c r="K2179" s="40">
        <v>44.793232176581149</v>
      </c>
      <c r="L2179" s="74"/>
      <c r="M2179" s="272" t="s">
        <v>377</v>
      </c>
      <c r="N2179" s="74">
        <v>1</v>
      </c>
      <c r="O2179" s="94"/>
      <c r="P2179" s="118">
        <v>1</v>
      </c>
      <c r="Q2179" s="510">
        <v>180</v>
      </c>
      <c r="R2179" s="513">
        <v>120</v>
      </c>
      <c r="S2179" s="41"/>
      <c r="T2179" s="40"/>
      <c r="U2179" s="40">
        <v>8</v>
      </c>
      <c r="V2179" s="119">
        <v>1</v>
      </c>
      <c r="W2179" s="40">
        <v>100</v>
      </c>
      <c r="X2179" s="119">
        <v>1</v>
      </c>
      <c r="Y2179" s="40">
        <v>56</v>
      </c>
      <c r="Z2179" s="119">
        <v>1</v>
      </c>
      <c r="AA2179" s="368">
        <v>0</v>
      </c>
      <c r="AB2179" s="535">
        <v>2</v>
      </c>
      <c r="AC2179" s="39" t="s">
        <v>160</v>
      </c>
      <c r="AD2179" s="75" t="s">
        <v>10</v>
      </c>
      <c r="AE2179" s="95">
        <v>0</v>
      </c>
      <c r="AF2179" s="75">
        <v>0</v>
      </c>
      <c r="AG2179" s="75">
        <v>0</v>
      </c>
      <c r="AH2179" s="75">
        <v>0</v>
      </c>
      <c r="AI2179" s="75">
        <v>0</v>
      </c>
      <c r="AJ2179" s="75">
        <v>0</v>
      </c>
      <c r="AK2179" s="75">
        <v>0</v>
      </c>
      <c r="AL2179" s="95">
        <v>1</v>
      </c>
      <c r="AM2179" s="92">
        <v>0</v>
      </c>
      <c r="AN2179" s="79" t="s">
        <v>80</v>
      </c>
      <c r="AO2179" s="75">
        <v>1</v>
      </c>
      <c r="AP2179" s="75" t="s">
        <v>83</v>
      </c>
      <c r="AQ2179" s="122">
        <v>1</v>
      </c>
      <c r="AR2179" s="515" t="s">
        <v>10</v>
      </c>
      <c r="AS2179" s="95">
        <v>0</v>
      </c>
      <c r="AT2179" s="75">
        <v>0</v>
      </c>
      <c r="AU2179" s="75">
        <v>0</v>
      </c>
      <c r="AV2179" s="75">
        <v>0</v>
      </c>
      <c r="AW2179" s="123">
        <v>0</v>
      </c>
      <c r="AX2179" s="516"/>
      <c r="AY2179" s="75">
        <v>0</v>
      </c>
      <c r="AZ2179" s="77" t="s">
        <v>131</v>
      </c>
      <c r="BA2179" s="78" t="s">
        <v>131</v>
      </c>
      <c r="BB2179" s="78" t="s">
        <v>131</v>
      </c>
      <c r="BC2179" s="78" t="s">
        <v>131</v>
      </c>
      <c r="BD2179" s="78" t="s">
        <v>131</v>
      </c>
      <c r="BE2179" s="78" t="s">
        <v>131</v>
      </c>
      <c r="BF2179" s="78" t="s">
        <v>131</v>
      </c>
      <c r="BG2179" s="78" t="s">
        <v>132</v>
      </c>
      <c r="BH2179" s="75" t="s">
        <v>5970</v>
      </c>
      <c r="BI2179" s="295" t="s">
        <v>2270</v>
      </c>
      <c r="BJ2179" s="546">
        <v>1</v>
      </c>
      <c r="BK2179" s="294">
        <v>1</v>
      </c>
      <c r="BL2179" s="157">
        <v>1</v>
      </c>
      <c r="BM2179" s="548" t="s">
        <v>578</v>
      </c>
      <c r="BN2179" s="548" t="s">
        <v>578</v>
      </c>
      <c r="BO2179" s="157" t="s">
        <v>4317</v>
      </c>
      <c r="BP2179" s="548" t="s">
        <v>2270</v>
      </c>
      <c r="BQ2179" s="157" t="s">
        <v>4316</v>
      </c>
      <c r="BR2179" s="157"/>
    </row>
    <row r="2180" spans="1:70" x14ac:dyDescent="0.25">
      <c r="A2180" s="19" t="s">
        <v>3686</v>
      </c>
      <c r="B2180" s="37" t="s">
        <v>375</v>
      </c>
      <c r="C2180" s="90">
        <v>44072.89949074074</v>
      </c>
      <c r="D2180" s="114">
        <v>44072.64949074074</v>
      </c>
      <c r="E2180" s="38">
        <v>44072</v>
      </c>
      <c r="F2180" s="91">
        <v>2020</v>
      </c>
      <c r="G2180" s="93">
        <v>8</v>
      </c>
      <c r="H2180" s="37" t="s">
        <v>370</v>
      </c>
      <c r="I2180" s="37"/>
      <c r="J2180" s="103">
        <v>-91.655721589586136</v>
      </c>
      <c r="K2180" s="40">
        <v>44.795766911919962</v>
      </c>
      <c r="L2180" s="74"/>
      <c r="M2180" s="272" t="s">
        <v>16</v>
      </c>
      <c r="N2180" s="74">
        <v>0</v>
      </c>
      <c r="O2180" s="94"/>
      <c r="P2180" s="118">
        <v>0</v>
      </c>
      <c r="Q2180" s="510"/>
      <c r="R2180" s="513"/>
      <c r="S2180" s="41"/>
      <c r="T2180" s="40"/>
      <c r="U2180" s="40"/>
      <c r="V2180" s="119">
        <v>0</v>
      </c>
      <c r="W2180" s="40"/>
      <c r="X2180" s="119">
        <v>1</v>
      </c>
      <c r="Y2180" s="40">
        <v>70</v>
      </c>
      <c r="Z2180" s="119">
        <v>1</v>
      </c>
      <c r="AA2180" s="368">
        <v>0</v>
      </c>
      <c r="AB2180" s="535">
        <v>2</v>
      </c>
      <c r="AC2180" s="39"/>
      <c r="AD2180" s="75" t="s">
        <v>16</v>
      </c>
      <c r="AE2180" s="95">
        <v>-1</v>
      </c>
      <c r="AF2180" s="75">
        <v>-1</v>
      </c>
      <c r="AG2180" s="75">
        <v>-1</v>
      </c>
      <c r="AH2180" s="75">
        <v>-1</v>
      </c>
      <c r="AI2180" s="75">
        <v>-1</v>
      </c>
      <c r="AJ2180" s="75">
        <v>-1</v>
      </c>
      <c r="AK2180" s="75">
        <v>-1</v>
      </c>
      <c r="AL2180" s="95">
        <v>-1</v>
      </c>
      <c r="AM2180" s="92">
        <v>1</v>
      </c>
      <c r="AN2180" s="79"/>
      <c r="AO2180" s="75">
        <v>0</v>
      </c>
      <c r="AP2180" s="75"/>
      <c r="AQ2180" s="122">
        <v>0</v>
      </c>
      <c r="AR2180" s="515" t="s">
        <v>16</v>
      </c>
      <c r="AS2180" s="95">
        <v>-1</v>
      </c>
      <c r="AT2180" s="75">
        <v>-1</v>
      </c>
      <c r="AU2180" s="75">
        <v>-1</v>
      </c>
      <c r="AV2180" s="75">
        <v>-1</v>
      </c>
      <c r="AW2180" s="123">
        <v>1</v>
      </c>
      <c r="AX2180" s="516"/>
      <c r="AY2180" s="75">
        <v>0</v>
      </c>
      <c r="AZ2180" s="77" t="s">
        <v>5971</v>
      </c>
      <c r="BA2180" s="78" t="s">
        <v>5971</v>
      </c>
      <c r="BB2180" s="78" t="s">
        <v>5971</v>
      </c>
      <c r="BC2180" s="78" t="s">
        <v>5971</v>
      </c>
      <c r="BD2180" s="78" t="s">
        <v>5971</v>
      </c>
      <c r="BE2180" s="78" t="s">
        <v>5971</v>
      </c>
      <c r="BF2180" s="78" t="s">
        <v>5971</v>
      </c>
      <c r="BG2180" s="78" t="s">
        <v>5971</v>
      </c>
      <c r="BH2180" s="75" t="s">
        <v>5971</v>
      </c>
      <c r="BI2180" s="295" t="s">
        <v>2246</v>
      </c>
      <c r="BJ2180" s="546">
        <v>1</v>
      </c>
      <c r="BK2180" s="294" t="s">
        <v>16</v>
      </c>
      <c r="BL2180" s="157" t="s">
        <v>16</v>
      </c>
      <c r="BM2180" s="548" t="s">
        <v>1340</v>
      </c>
      <c r="BN2180" s="548" t="s">
        <v>2344</v>
      </c>
      <c r="BO2180" s="157" t="s">
        <v>4631</v>
      </c>
      <c r="BP2180" s="548" t="s">
        <v>4632</v>
      </c>
      <c r="BQ2180" s="157" t="s">
        <v>4630</v>
      </c>
      <c r="BR2180" s="157"/>
    </row>
    <row r="2181" spans="1:70" x14ac:dyDescent="0.25">
      <c r="A2181" s="19" t="s">
        <v>3686</v>
      </c>
      <c r="B2181" s="37" t="s">
        <v>374</v>
      </c>
      <c r="C2181" s="90">
        <v>44072.895196759258</v>
      </c>
      <c r="D2181" s="114">
        <v>44072.645196759258</v>
      </c>
      <c r="E2181" s="38">
        <v>44072</v>
      </c>
      <c r="F2181" s="91">
        <v>2020</v>
      </c>
      <c r="G2181" s="93">
        <v>8</v>
      </c>
      <c r="H2181" s="37" t="s">
        <v>370</v>
      </c>
      <c r="I2181" s="37"/>
      <c r="J2181" s="103">
        <v>-91.655668697279083</v>
      </c>
      <c r="K2181" s="40">
        <v>44.795723944705351</v>
      </c>
      <c r="L2181" s="74"/>
      <c r="M2181" s="272" t="s">
        <v>16</v>
      </c>
      <c r="N2181" s="74">
        <v>0</v>
      </c>
      <c r="O2181" s="94"/>
      <c r="P2181" s="118">
        <v>1</v>
      </c>
      <c r="Q2181" s="510">
        <v>40</v>
      </c>
      <c r="R2181" s="513">
        <v>30</v>
      </c>
      <c r="S2181" s="41"/>
      <c r="T2181" s="40"/>
      <c r="U2181" s="40">
        <v>7</v>
      </c>
      <c r="V2181" s="119">
        <v>0</v>
      </c>
      <c r="W2181" s="40"/>
      <c r="X2181" s="119">
        <v>0</v>
      </c>
      <c r="Y2181" s="40"/>
      <c r="Z2181" s="119">
        <v>0</v>
      </c>
      <c r="AA2181" s="368" t="s">
        <v>16</v>
      </c>
      <c r="AB2181" s="535" t="s">
        <v>16</v>
      </c>
      <c r="AC2181" s="39" t="s">
        <v>160</v>
      </c>
      <c r="AD2181" s="75" t="s">
        <v>16</v>
      </c>
      <c r="AE2181" s="95">
        <v>-1</v>
      </c>
      <c r="AF2181" s="75">
        <v>-1</v>
      </c>
      <c r="AG2181" s="75">
        <v>-1</v>
      </c>
      <c r="AH2181" s="75">
        <v>-1</v>
      </c>
      <c r="AI2181" s="75">
        <v>-1</v>
      </c>
      <c r="AJ2181" s="75">
        <v>-1</v>
      </c>
      <c r="AK2181" s="75">
        <v>-1</v>
      </c>
      <c r="AL2181" s="95">
        <v>-1</v>
      </c>
      <c r="AM2181" s="92">
        <v>1</v>
      </c>
      <c r="AN2181" s="79" t="s">
        <v>80</v>
      </c>
      <c r="AO2181" s="75">
        <v>1</v>
      </c>
      <c r="AP2181" s="75" t="s">
        <v>84</v>
      </c>
      <c r="AQ2181" s="122">
        <v>1</v>
      </c>
      <c r="AR2181" s="515" t="s">
        <v>10</v>
      </c>
      <c r="AS2181" s="95">
        <v>0</v>
      </c>
      <c r="AT2181" s="75">
        <v>0</v>
      </c>
      <c r="AU2181" s="75">
        <v>0</v>
      </c>
      <c r="AV2181" s="75">
        <v>0</v>
      </c>
      <c r="AW2181" s="123">
        <v>0</v>
      </c>
      <c r="AX2181" s="516"/>
      <c r="AY2181" s="75">
        <v>0</v>
      </c>
      <c r="AZ2181" s="77" t="s">
        <v>5971</v>
      </c>
      <c r="BA2181" s="78" t="s">
        <v>5971</v>
      </c>
      <c r="BB2181" s="78" t="s">
        <v>5971</v>
      </c>
      <c r="BC2181" s="78" t="s">
        <v>5971</v>
      </c>
      <c r="BD2181" s="78" t="s">
        <v>5971</v>
      </c>
      <c r="BE2181" s="78" t="s">
        <v>5971</v>
      </c>
      <c r="BF2181" s="78" t="s">
        <v>5971</v>
      </c>
      <c r="BG2181" s="78" t="s">
        <v>5971</v>
      </c>
      <c r="BH2181" s="75" t="s">
        <v>5971</v>
      </c>
      <c r="BI2181" s="295" t="s">
        <v>2246</v>
      </c>
      <c r="BJ2181" s="546">
        <v>1</v>
      </c>
      <c r="BK2181" s="294" t="s">
        <v>16</v>
      </c>
      <c r="BL2181" s="157" t="s">
        <v>16</v>
      </c>
      <c r="BM2181" s="548" t="s">
        <v>1340</v>
      </c>
      <c r="BN2181" s="548" t="s">
        <v>2344</v>
      </c>
      <c r="BO2181" s="157" t="s">
        <v>4631</v>
      </c>
      <c r="BP2181" s="548" t="s">
        <v>4632</v>
      </c>
      <c r="BQ2181" s="157" t="s">
        <v>4630</v>
      </c>
      <c r="BR2181" s="157"/>
    </row>
    <row r="2182" spans="1:70" x14ac:dyDescent="0.25">
      <c r="A2182" s="19" t="s">
        <v>3686</v>
      </c>
      <c r="B2182" s="37" t="s">
        <v>373</v>
      </c>
      <c r="C2182" s="90">
        <v>44069.707962962966</v>
      </c>
      <c r="D2182" s="114">
        <v>44069.457962962966</v>
      </c>
      <c r="E2182" s="38">
        <v>44069</v>
      </c>
      <c r="F2182" s="91">
        <v>2020</v>
      </c>
      <c r="G2182" s="93">
        <v>8</v>
      </c>
      <c r="H2182" s="37" t="s">
        <v>370</v>
      </c>
      <c r="I2182" s="37" t="s">
        <v>16</v>
      </c>
      <c r="J2182" s="103">
        <v>-91.656614677569081</v>
      </c>
      <c r="K2182" s="40">
        <v>44.826669466318421</v>
      </c>
      <c r="L2182" s="74"/>
      <c r="M2182" s="272" t="s">
        <v>16</v>
      </c>
      <c r="N2182" s="74">
        <v>0</v>
      </c>
      <c r="O2182" s="94"/>
      <c r="P2182" s="118">
        <v>1</v>
      </c>
      <c r="Q2182" s="510">
        <v>80</v>
      </c>
      <c r="R2182" s="513">
        <v>0</v>
      </c>
      <c r="S2182" s="41"/>
      <c r="T2182" s="40"/>
      <c r="U2182" s="40">
        <v>6</v>
      </c>
      <c r="V2182" s="119">
        <v>1</v>
      </c>
      <c r="W2182" s="40">
        <v>300</v>
      </c>
      <c r="X2182" s="119">
        <v>1</v>
      </c>
      <c r="Y2182" s="40">
        <v>69</v>
      </c>
      <c r="Z2182" s="119">
        <v>1</v>
      </c>
      <c r="AA2182" s="368">
        <v>0</v>
      </c>
      <c r="AB2182" s="535">
        <v>2</v>
      </c>
      <c r="AC2182" s="39" t="s">
        <v>160</v>
      </c>
      <c r="AD2182" s="75" t="s">
        <v>16</v>
      </c>
      <c r="AE2182" s="95">
        <v>-1</v>
      </c>
      <c r="AF2182" s="75">
        <v>-1</v>
      </c>
      <c r="AG2182" s="75">
        <v>-1</v>
      </c>
      <c r="AH2182" s="75">
        <v>-1</v>
      </c>
      <c r="AI2182" s="75">
        <v>-1</v>
      </c>
      <c r="AJ2182" s="75">
        <v>-1</v>
      </c>
      <c r="AK2182" s="75">
        <v>-1</v>
      </c>
      <c r="AL2182" s="95">
        <v>-1</v>
      </c>
      <c r="AM2182" s="92">
        <v>1</v>
      </c>
      <c r="AN2182" s="79" t="s">
        <v>80</v>
      </c>
      <c r="AO2182" s="75">
        <v>1</v>
      </c>
      <c r="AP2182" s="75" t="s">
        <v>83</v>
      </c>
      <c r="AQ2182" s="122">
        <v>1</v>
      </c>
      <c r="AR2182" s="515" t="s">
        <v>10</v>
      </c>
      <c r="AS2182" s="95">
        <v>0</v>
      </c>
      <c r="AT2182" s="75">
        <v>0</v>
      </c>
      <c r="AU2182" s="75">
        <v>0</v>
      </c>
      <c r="AV2182" s="75">
        <v>0</v>
      </c>
      <c r="AW2182" s="123">
        <v>0</v>
      </c>
      <c r="AX2182" s="516"/>
      <c r="AY2182" s="75">
        <v>0</v>
      </c>
      <c r="AZ2182" s="77" t="s">
        <v>5971</v>
      </c>
      <c r="BA2182" s="78" t="s">
        <v>5971</v>
      </c>
      <c r="BB2182" s="78" t="s">
        <v>5971</v>
      </c>
      <c r="BC2182" s="78" t="s">
        <v>5971</v>
      </c>
      <c r="BD2182" s="78" t="s">
        <v>5971</v>
      </c>
      <c r="BE2182" s="78" t="s">
        <v>5971</v>
      </c>
      <c r="BF2182" s="78" t="s">
        <v>5971</v>
      </c>
      <c r="BG2182" s="78" t="s">
        <v>5971</v>
      </c>
      <c r="BH2182" s="75" t="s">
        <v>5971</v>
      </c>
      <c r="BI2182" s="295" t="s">
        <v>2246</v>
      </c>
      <c r="BJ2182" s="546">
        <v>1</v>
      </c>
      <c r="BK2182" s="294">
        <v>1</v>
      </c>
      <c r="BL2182" s="157">
        <v>1</v>
      </c>
      <c r="BM2182" s="548" t="s">
        <v>1340</v>
      </c>
      <c r="BN2182" s="548" t="s">
        <v>2344</v>
      </c>
      <c r="BO2182" s="157" t="s">
        <v>4631</v>
      </c>
      <c r="BP2182" s="548" t="s">
        <v>4632</v>
      </c>
      <c r="BQ2182" s="157" t="s">
        <v>4630</v>
      </c>
      <c r="BR2182" s="157"/>
    </row>
    <row r="2183" spans="1:70" x14ac:dyDescent="0.25">
      <c r="A2183" s="19" t="s">
        <v>3686</v>
      </c>
      <c r="B2183" s="37" t="s">
        <v>371</v>
      </c>
      <c r="C2183" s="90">
        <v>44068.88422453704</v>
      </c>
      <c r="D2183" s="114">
        <v>44068.63422453704</v>
      </c>
      <c r="E2183" s="38">
        <v>44068</v>
      </c>
      <c r="F2183" s="91">
        <v>2020</v>
      </c>
      <c r="G2183" s="93">
        <v>8</v>
      </c>
      <c r="H2183" s="37" t="s">
        <v>370</v>
      </c>
      <c r="I2183" s="37"/>
      <c r="J2183" s="103">
        <v>-91.528095041288765</v>
      </c>
      <c r="K2183" s="40">
        <v>44.721349865380411</v>
      </c>
      <c r="L2183" s="74"/>
      <c r="M2183" s="272" t="s">
        <v>16</v>
      </c>
      <c r="N2183" s="74">
        <v>0</v>
      </c>
      <c r="O2183" s="94"/>
      <c r="P2183" s="118">
        <v>1</v>
      </c>
      <c r="Q2183" s="510">
        <v>40</v>
      </c>
      <c r="R2183" s="513">
        <v>0</v>
      </c>
      <c r="S2183" s="41"/>
      <c r="T2183" s="40"/>
      <c r="U2183" s="40">
        <v>6</v>
      </c>
      <c r="V2183" s="119">
        <v>0</v>
      </c>
      <c r="W2183" s="40"/>
      <c r="X2183" s="119">
        <v>0</v>
      </c>
      <c r="Y2183" s="40"/>
      <c r="Z2183" s="119">
        <v>0</v>
      </c>
      <c r="AA2183" s="368" t="s">
        <v>16</v>
      </c>
      <c r="AB2183" s="535" t="s">
        <v>16</v>
      </c>
      <c r="AC2183" s="39" t="s">
        <v>372</v>
      </c>
      <c r="AD2183" s="75" t="s">
        <v>16</v>
      </c>
      <c r="AE2183" s="95">
        <v>-1</v>
      </c>
      <c r="AF2183" s="75">
        <v>-1</v>
      </c>
      <c r="AG2183" s="75">
        <v>-1</v>
      </c>
      <c r="AH2183" s="75">
        <v>-1</v>
      </c>
      <c r="AI2183" s="75">
        <v>-1</v>
      </c>
      <c r="AJ2183" s="75">
        <v>-1</v>
      </c>
      <c r="AK2183" s="75">
        <v>-1</v>
      </c>
      <c r="AL2183" s="95">
        <v>-1</v>
      </c>
      <c r="AM2183" s="92">
        <v>1</v>
      </c>
      <c r="AN2183" s="79"/>
      <c r="AO2183" s="75">
        <v>0</v>
      </c>
      <c r="AP2183" s="75"/>
      <c r="AQ2183" s="122">
        <v>0</v>
      </c>
      <c r="AR2183" s="515" t="s">
        <v>16</v>
      </c>
      <c r="AS2183" s="95">
        <v>-1</v>
      </c>
      <c r="AT2183" s="75">
        <v>-1</v>
      </c>
      <c r="AU2183" s="75">
        <v>-1</v>
      </c>
      <c r="AV2183" s="75">
        <v>-1</v>
      </c>
      <c r="AW2183" s="123">
        <v>1</v>
      </c>
      <c r="AX2183" s="516"/>
      <c r="AY2183" s="75">
        <v>0</v>
      </c>
      <c r="AZ2183" s="77" t="s">
        <v>5971</v>
      </c>
      <c r="BA2183" s="78" t="s">
        <v>5971</v>
      </c>
      <c r="BB2183" s="78" t="s">
        <v>5971</v>
      </c>
      <c r="BC2183" s="78" t="s">
        <v>5971</v>
      </c>
      <c r="BD2183" s="78" t="s">
        <v>5971</v>
      </c>
      <c r="BE2183" s="78" t="s">
        <v>5971</v>
      </c>
      <c r="BF2183" s="78" t="s">
        <v>5971</v>
      </c>
      <c r="BG2183" s="78" t="s">
        <v>5971</v>
      </c>
      <c r="BH2183" s="75" t="s">
        <v>5971</v>
      </c>
      <c r="BI2183" s="295">
        <v>0</v>
      </c>
      <c r="BJ2183" s="546" t="s">
        <v>16</v>
      </c>
      <c r="BK2183" s="294" t="s">
        <v>16</v>
      </c>
      <c r="BL2183" s="157" t="s">
        <v>16</v>
      </c>
      <c r="BM2183" s="548" t="s">
        <v>1340</v>
      </c>
      <c r="BN2183" s="548" t="s">
        <v>2344</v>
      </c>
      <c r="BO2183" s="157" t="s">
        <v>4769</v>
      </c>
      <c r="BP2183" s="548" t="s">
        <v>4770</v>
      </c>
      <c r="BQ2183" s="157" t="s">
        <v>4627</v>
      </c>
      <c r="BR2183" s="157"/>
    </row>
    <row r="2184" spans="1:70" x14ac:dyDescent="0.25">
      <c r="A2184" s="19" t="s">
        <v>3686</v>
      </c>
      <c r="B2184" s="37" t="s">
        <v>369</v>
      </c>
      <c r="C2184" s="90">
        <v>44068.852812500001</v>
      </c>
      <c r="D2184" s="114">
        <v>44068.602812500001</v>
      </c>
      <c r="E2184" s="38">
        <v>44068</v>
      </c>
      <c r="F2184" s="91">
        <v>2020</v>
      </c>
      <c r="G2184" s="93">
        <v>8</v>
      </c>
      <c r="H2184" s="37" t="s">
        <v>370</v>
      </c>
      <c r="I2184" s="37"/>
      <c r="J2184" s="103">
        <v>-91.65584080481942</v>
      </c>
      <c r="K2184" s="40">
        <v>44.795854775166532</v>
      </c>
      <c r="L2184" s="74"/>
      <c r="M2184" s="272" t="s">
        <v>16</v>
      </c>
      <c r="N2184" s="74">
        <v>0</v>
      </c>
      <c r="O2184" s="94"/>
      <c r="P2184" s="118">
        <v>0</v>
      </c>
      <c r="Q2184" s="510"/>
      <c r="R2184" s="513"/>
      <c r="S2184" s="41"/>
      <c r="T2184" s="40"/>
      <c r="U2184" s="40"/>
      <c r="V2184" s="119">
        <v>0</v>
      </c>
      <c r="W2184" s="40"/>
      <c r="X2184" s="119">
        <v>1</v>
      </c>
      <c r="Y2184" s="40">
        <v>71</v>
      </c>
      <c r="Z2184" s="119">
        <v>0</v>
      </c>
      <c r="AA2184" s="368" t="s">
        <v>16</v>
      </c>
      <c r="AB2184" s="535" t="s">
        <v>16</v>
      </c>
      <c r="AC2184" s="39" t="s">
        <v>160</v>
      </c>
      <c r="AD2184" s="75" t="s">
        <v>16</v>
      </c>
      <c r="AE2184" s="95">
        <v>-1</v>
      </c>
      <c r="AF2184" s="75">
        <v>-1</v>
      </c>
      <c r="AG2184" s="75">
        <v>-1</v>
      </c>
      <c r="AH2184" s="75">
        <v>-1</v>
      </c>
      <c r="AI2184" s="75">
        <v>-1</v>
      </c>
      <c r="AJ2184" s="75">
        <v>-1</v>
      </c>
      <c r="AK2184" s="75">
        <v>-1</v>
      </c>
      <c r="AL2184" s="95">
        <v>-1</v>
      </c>
      <c r="AM2184" s="92">
        <v>1</v>
      </c>
      <c r="AN2184" s="79"/>
      <c r="AO2184" s="75">
        <v>0</v>
      </c>
      <c r="AP2184" s="75"/>
      <c r="AQ2184" s="122">
        <v>0</v>
      </c>
      <c r="AR2184" s="515" t="s">
        <v>16</v>
      </c>
      <c r="AS2184" s="95">
        <v>-1</v>
      </c>
      <c r="AT2184" s="75">
        <v>-1</v>
      </c>
      <c r="AU2184" s="75">
        <v>-1</v>
      </c>
      <c r="AV2184" s="75">
        <v>-1</v>
      </c>
      <c r="AW2184" s="123">
        <v>1</v>
      </c>
      <c r="AX2184" s="516"/>
      <c r="AY2184" s="75">
        <v>0</v>
      </c>
      <c r="AZ2184" s="77" t="s">
        <v>5971</v>
      </c>
      <c r="BA2184" s="78" t="s">
        <v>5971</v>
      </c>
      <c r="BB2184" s="78" t="s">
        <v>5971</v>
      </c>
      <c r="BC2184" s="78" t="s">
        <v>5971</v>
      </c>
      <c r="BD2184" s="78" t="s">
        <v>5971</v>
      </c>
      <c r="BE2184" s="78" t="s">
        <v>5971</v>
      </c>
      <c r="BF2184" s="78" t="s">
        <v>5971</v>
      </c>
      <c r="BG2184" s="78" t="s">
        <v>5971</v>
      </c>
      <c r="BH2184" s="75" t="s">
        <v>5971</v>
      </c>
      <c r="BI2184" s="295" t="s">
        <v>2246</v>
      </c>
      <c r="BJ2184" s="546">
        <v>1</v>
      </c>
      <c r="BK2184" s="294" t="s">
        <v>16</v>
      </c>
      <c r="BL2184" s="157" t="s">
        <v>16</v>
      </c>
      <c r="BM2184" s="548" t="s">
        <v>1340</v>
      </c>
      <c r="BN2184" s="548" t="s">
        <v>2344</v>
      </c>
      <c r="BO2184" s="157" t="s">
        <v>4631</v>
      </c>
      <c r="BP2184" s="548" t="s">
        <v>4632</v>
      </c>
      <c r="BQ2184" s="157" t="s">
        <v>4630</v>
      </c>
      <c r="BR2184" s="157"/>
    </row>
    <row r="2185" spans="1:70" x14ac:dyDescent="0.25">
      <c r="A2185" s="19" t="s">
        <v>3686</v>
      </c>
      <c r="B2185" s="37" t="s">
        <v>367</v>
      </c>
      <c r="C2185" s="90">
        <v>44064.867314814815</v>
      </c>
      <c r="D2185" s="114">
        <v>44064.617314814815</v>
      </c>
      <c r="E2185" s="38">
        <v>44064</v>
      </c>
      <c r="F2185" s="91">
        <v>2020</v>
      </c>
      <c r="G2185" s="93">
        <v>8</v>
      </c>
      <c r="H2185" s="37" t="s">
        <v>205</v>
      </c>
      <c r="I2185" s="37" t="s">
        <v>368</v>
      </c>
      <c r="J2185" s="103">
        <v>-92.331483876871445</v>
      </c>
      <c r="K2185" s="40">
        <v>44.746241219196051</v>
      </c>
      <c r="L2185" s="74"/>
      <c r="M2185" s="272" t="s">
        <v>16</v>
      </c>
      <c r="N2185" s="74">
        <v>0</v>
      </c>
      <c r="O2185" s="94"/>
      <c r="P2185" s="118">
        <v>1</v>
      </c>
      <c r="Q2185" s="510">
        <v>180</v>
      </c>
      <c r="R2185" s="513">
        <v>180</v>
      </c>
      <c r="S2185" s="41"/>
      <c r="T2185" s="40"/>
      <c r="U2185" s="40">
        <v>8</v>
      </c>
      <c r="V2185" s="119">
        <v>1</v>
      </c>
      <c r="W2185" s="40">
        <v>0</v>
      </c>
      <c r="X2185" s="119">
        <v>1</v>
      </c>
      <c r="Y2185" s="40">
        <v>63</v>
      </c>
      <c r="Z2185" s="119">
        <v>1</v>
      </c>
      <c r="AA2185" s="368">
        <v>0</v>
      </c>
      <c r="AB2185" s="535">
        <v>5</v>
      </c>
      <c r="AC2185" s="39" t="s">
        <v>160</v>
      </c>
      <c r="AD2185" s="75" t="s">
        <v>8</v>
      </c>
      <c r="AE2185" s="95">
        <v>0</v>
      </c>
      <c r="AF2185" s="75">
        <v>1</v>
      </c>
      <c r="AG2185" s="75">
        <v>0</v>
      </c>
      <c r="AH2185" s="75">
        <v>0</v>
      </c>
      <c r="AI2185" s="75">
        <v>0</v>
      </c>
      <c r="AJ2185" s="75">
        <v>0</v>
      </c>
      <c r="AK2185" s="75">
        <v>0</v>
      </c>
      <c r="AL2185" s="95">
        <v>0</v>
      </c>
      <c r="AM2185" s="92">
        <v>0</v>
      </c>
      <c r="AN2185" s="79" t="s">
        <v>80</v>
      </c>
      <c r="AO2185" s="75">
        <v>1</v>
      </c>
      <c r="AP2185" s="75" t="s">
        <v>83</v>
      </c>
      <c r="AQ2185" s="122">
        <v>1</v>
      </c>
      <c r="AR2185" s="515" t="s">
        <v>10</v>
      </c>
      <c r="AS2185" s="95">
        <v>0</v>
      </c>
      <c r="AT2185" s="75">
        <v>0</v>
      </c>
      <c r="AU2185" s="75">
        <v>0</v>
      </c>
      <c r="AV2185" s="75">
        <v>0</v>
      </c>
      <c r="AW2185" s="123">
        <v>0</v>
      </c>
      <c r="AX2185" s="516"/>
      <c r="AY2185" s="75">
        <v>0</v>
      </c>
      <c r="AZ2185" s="77" t="s">
        <v>131</v>
      </c>
      <c r="BA2185" s="78" t="s">
        <v>132</v>
      </c>
      <c r="BB2185" s="78" t="s">
        <v>131</v>
      </c>
      <c r="BC2185" s="78" t="s">
        <v>131</v>
      </c>
      <c r="BD2185" s="78" t="s">
        <v>131</v>
      </c>
      <c r="BE2185" s="78" t="s">
        <v>131</v>
      </c>
      <c r="BF2185" s="78" t="s">
        <v>131</v>
      </c>
      <c r="BG2185" s="78" t="s">
        <v>131</v>
      </c>
      <c r="BH2185" s="75" t="s">
        <v>5970</v>
      </c>
      <c r="BI2185" s="295" t="s">
        <v>2231</v>
      </c>
      <c r="BJ2185" s="546">
        <v>1</v>
      </c>
      <c r="BK2185" s="294">
        <v>1</v>
      </c>
      <c r="BL2185" s="157">
        <v>1</v>
      </c>
      <c r="BM2185" s="548" t="s">
        <v>578</v>
      </c>
      <c r="BN2185" s="548" t="s">
        <v>578</v>
      </c>
      <c r="BO2185" s="157" t="s">
        <v>4213</v>
      </c>
      <c r="BP2185" s="548" t="s">
        <v>4216</v>
      </c>
      <c r="BQ2185" s="157" t="s">
        <v>4212</v>
      </c>
      <c r="BR2185" s="157"/>
    </row>
    <row r="2186" spans="1:70" x14ac:dyDescent="0.25">
      <c r="A2186" s="19" t="s">
        <v>3686</v>
      </c>
      <c r="B2186" s="37" t="s">
        <v>363</v>
      </c>
      <c r="C2186" s="90">
        <v>44056.725717592592</v>
      </c>
      <c r="D2186" s="114">
        <v>44056.475717592592</v>
      </c>
      <c r="E2186" s="38">
        <v>44056</v>
      </c>
      <c r="F2186" s="91">
        <v>2020</v>
      </c>
      <c r="G2186" s="93">
        <v>8</v>
      </c>
      <c r="H2186" s="37" t="s">
        <v>201</v>
      </c>
      <c r="I2186" s="37"/>
      <c r="J2186" s="103">
        <v>-92.732086154011398</v>
      </c>
      <c r="K2186" s="40">
        <v>44.831050179834982</v>
      </c>
      <c r="L2186" s="74"/>
      <c r="M2186" s="272" t="s">
        <v>364</v>
      </c>
      <c r="N2186" s="74">
        <v>1</v>
      </c>
      <c r="O2186" s="94"/>
      <c r="P2186" s="118">
        <v>1</v>
      </c>
      <c r="Q2186" s="510">
        <v>180</v>
      </c>
      <c r="R2186" s="513">
        <v>180</v>
      </c>
      <c r="S2186" s="41"/>
      <c r="T2186" s="40"/>
      <c r="U2186" s="40">
        <v>8</v>
      </c>
      <c r="V2186" s="119">
        <v>1</v>
      </c>
      <c r="W2186" s="40">
        <v>0</v>
      </c>
      <c r="X2186" s="119">
        <v>1</v>
      </c>
      <c r="Y2186" s="40">
        <v>60</v>
      </c>
      <c r="Z2186" s="119">
        <v>1</v>
      </c>
      <c r="AA2186" s="368">
        <v>0</v>
      </c>
      <c r="AB2186" s="535">
        <v>5</v>
      </c>
      <c r="AC2186" s="39" t="s">
        <v>160</v>
      </c>
      <c r="AD2186" s="75" t="s">
        <v>365</v>
      </c>
      <c r="AE2186" s="95">
        <v>0</v>
      </c>
      <c r="AF2186" s="75">
        <v>1</v>
      </c>
      <c r="AG2186" s="75">
        <v>1</v>
      </c>
      <c r="AH2186" s="75">
        <v>0</v>
      </c>
      <c r="AI2186" s="75">
        <v>0</v>
      </c>
      <c r="AJ2186" s="75">
        <v>0</v>
      </c>
      <c r="AK2186" s="75">
        <v>0</v>
      </c>
      <c r="AL2186" s="95">
        <v>0</v>
      </c>
      <c r="AM2186" s="92">
        <v>0</v>
      </c>
      <c r="AN2186" s="79" t="s">
        <v>80</v>
      </c>
      <c r="AO2186" s="75">
        <v>1</v>
      </c>
      <c r="AP2186" s="75" t="s">
        <v>83</v>
      </c>
      <c r="AQ2186" s="122">
        <v>1</v>
      </c>
      <c r="AR2186" s="515" t="s">
        <v>10</v>
      </c>
      <c r="AS2186" s="95">
        <v>0</v>
      </c>
      <c r="AT2186" s="75">
        <v>0</v>
      </c>
      <c r="AU2186" s="75">
        <v>0</v>
      </c>
      <c r="AV2186" s="75">
        <v>0</v>
      </c>
      <c r="AW2186" s="123">
        <v>0</v>
      </c>
      <c r="AX2186" s="516" t="s">
        <v>366</v>
      </c>
      <c r="AY2186" s="75">
        <v>1</v>
      </c>
      <c r="AZ2186" s="77" t="s">
        <v>131</v>
      </c>
      <c r="BA2186" s="78" t="s">
        <v>132</v>
      </c>
      <c r="BB2186" s="78" t="s">
        <v>132</v>
      </c>
      <c r="BC2186" s="78" t="s">
        <v>131</v>
      </c>
      <c r="BD2186" s="78" t="s">
        <v>131</v>
      </c>
      <c r="BE2186" s="78" t="s">
        <v>131</v>
      </c>
      <c r="BF2186" s="78" t="s">
        <v>131</v>
      </c>
      <c r="BG2186" s="78" t="s">
        <v>131</v>
      </c>
      <c r="BH2186" s="75" t="s">
        <v>5970</v>
      </c>
      <c r="BI2186" s="295" t="s">
        <v>2227</v>
      </c>
      <c r="BJ2186" s="546">
        <v>1</v>
      </c>
      <c r="BK2186" s="294" t="s">
        <v>16</v>
      </c>
      <c r="BL2186" s="157" t="s">
        <v>16</v>
      </c>
      <c r="BM2186" s="548" t="s">
        <v>578</v>
      </c>
      <c r="BN2186" s="548" t="s">
        <v>578</v>
      </c>
      <c r="BO2186" s="157" t="s">
        <v>4341</v>
      </c>
      <c r="BP2186" s="548" t="s">
        <v>4343</v>
      </c>
      <c r="BQ2186" s="157" t="s">
        <v>4309</v>
      </c>
      <c r="BR2186" s="157"/>
    </row>
    <row r="2187" spans="1:70" x14ac:dyDescent="0.25">
      <c r="A2187" s="19" t="s">
        <v>3686</v>
      </c>
      <c r="B2187" s="37" t="s">
        <v>359</v>
      </c>
      <c r="C2187" s="90">
        <v>44052.692523148151</v>
      </c>
      <c r="D2187" s="114">
        <v>44052.442523148151</v>
      </c>
      <c r="E2187" s="38">
        <v>44052</v>
      </c>
      <c r="F2187" s="91">
        <v>2020</v>
      </c>
      <c r="G2187" s="93">
        <v>8</v>
      </c>
      <c r="H2187" s="37" t="s">
        <v>260</v>
      </c>
      <c r="I2187" s="37" t="s">
        <v>360</v>
      </c>
      <c r="J2187" s="103">
        <v>-92.644997245672116</v>
      </c>
      <c r="K2187" s="40">
        <v>44.843561863834061</v>
      </c>
      <c r="L2187" s="74"/>
      <c r="M2187" s="272" t="s">
        <v>361</v>
      </c>
      <c r="N2187" s="74">
        <v>1</v>
      </c>
      <c r="O2187" s="94"/>
      <c r="P2187" s="118">
        <v>1</v>
      </c>
      <c r="Q2187" s="510">
        <v>0</v>
      </c>
      <c r="R2187" s="513">
        <v>30</v>
      </c>
      <c r="S2187" s="41"/>
      <c r="T2187" s="40"/>
      <c r="U2187" s="40">
        <v>7</v>
      </c>
      <c r="V2187" s="119">
        <v>1</v>
      </c>
      <c r="W2187" s="40">
        <v>0</v>
      </c>
      <c r="X2187" s="119">
        <v>1</v>
      </c>
      <c r="Y2187" s="40">
        <v>59</v>
      </c>
      <c r="Z2187" s="119">
        <v>1</v>
      </c>
      <c r="AA2187" s="368">
        <v>0</v>
      </c>
      <c r="AB2187" s="535">
        <v>2</v>
      </c>
      <c r="AC2187" s="39" t="s">
        <v>160</v>
      </c>
      <c r="AD2187" s="75" t="s">
        <v>10</v>
      </c>
      <c r="AE2187" s="95">
        <v>0</v>
      </c>
      <c r="AF2187" s="75">
        <v>0</v>
      </c>
      <c r="AG2187" s="75">
        <v>0</v>
      </c>
      <c r="AH2187" s="75">
        <v>0</v>
      </c>
      <c r="AI2187" s="75">
        <v>0</v>
      </c>
      <c r="AJ2187" s="75">
        <v>0</v>
      </c>
      <c r="AK2187" s="75">
        <v>0</v>
      </c>
      <c r="AL2187" s="95">
        <v>1</v>
      </c>
      <c r="AM2187" s="92">
        <v>0</v>
      </c>
      <c r="AN2187" s="79" t="s">
        <v>80</v>
      </c>
      <c r="AO2187" s="75">
        <v>1</v>
      </c>
      <c r="AP2187" s="75" t="s">
        <v>83</v>
      </c>
      <c r="AQ2187" s="122">
        <v>1</v>
      </c>
      <c r="AR2187" s="515" t="s">
        <v>10</v>
      </c>
      <c r="AS2187" s="95">
        <v>0</v>
      </c>
      <c r="AT2187" s="75">
        <v>0</v>
      </c>
      <c r="AU2187" s="75">
        <v>0</v>
      </c>
      <c r="AV2187" s="75">
        <v>0</v>
      </c>
      <c r="AW2187" s="123">
        <v>0</v>
      </c>
      <c r="AX2187" s="516" t="s">
        <v>362</v>
      </c>
      <c r="AY2187" s="75">
        <v>1</v>
      </c>
      <c r="AZ2187" s="77" t="s">
        <v>131</v>
      </c>
      <c r="BA2187" s="78" t="s">
        <v>131</v>
      </c>
      <c r="BB2187" s="78" t="s">
        <v>131</v>
      </c>
      <c r="BC2187" s="78" t="s">
        <v>131</v>
      </c>
      <c r="BD2187" s="78" t="s">
        <v>131</v>
      </c>
      <c r="BE2187" s="78" t="s">
        <v>131</v>
      </c>
      <c r="BF2187" s="78" t="s">
        <v>131</v>
      </c>
      <c r="BG2187" s="78" t="s">
        <v>132</v>
      </c>
      <c r="BH2187" s="75" t="s">
        <v>5970</v>
      </c>
      <c r="BI2187" s="295" t="s">
        <v>2227</v>
      </c>
      <c r="BJ2187" s="546">
        <v>1</v>
      </c>
      <c r="BK2187" s="294" t="s">
        <v>16</v>
      </c>
      <c r="BL2187" s="157" t="s">
        <v>16</v>
      </c>
      <c r="BM2187" s="548" t="s">
        <v>578</v>
      </c>
      <c r="BN2187" s="548" t="s">
        <v>578</v>
      </c>
      <c r="BO2187" s="157" t="s">
        <v>4341</v>
      </c>
      <c r="BP2187" s="548" t="s">
        <v>4343</v>
      </c>
      <c r="BQ2187" s="157" t="s">
        <v>4309</v>
      </c>
      <c r="BR2187" s="157"/>
    </row>
    <row r="2188" spans="1:70" x14ac:dyDescent="0.25">
      <c r="A2188" s="19" t="s">
        <v>3686</v>
      </c>
      <c r="B2188" s="37" t="s">
        <v>358</v>
      </c>
      <c r="C2188" s="90">
        <v>44050.025995370372</v>
      </c>
      <c r="D2188" s="114">
        <v>44049.775995370372</v>
      </c>
      <c r="E2188" s="38">
        <v>44049</v>
      </c>
      <c r="F2188" s="91">
        <v>2020</v>
      </c>
      <c r="G2188" s="93">
        <v>8</v>
      </c>
      <c r="H2188" s="37" t="s">
        <v>214</v>
      </c>
      <c r="I2188" s="37" t="s">
        <v>16</v>
      </c>
      <c r="J2188" s="103">
        <v>-92.363028265017761</v>
      </c>
      <c r="K2188" s="40">
        <v>44.789729157549679</v>
      </c>
      <c r="L2188" s="74"/>
      <c r="M2188" s="272" t="s">
        <v>16</v>
      </c>
      <c r="N2188" s="74">
        <v>0</v>
      </c>
      <c r="O2188" s="94"/>
      <c r="P2188" s="118">
        <v>1</v>
      </c>
      <c r="Q2188" s="510">
        <v>0</v>
      </c>
      <c r="R2188" s="513">
        <v>30</v>
      </c>
      <c r="S2188" s="41"/>
      <c r="T2188" s="40"/>
      <c r="U2188" s="40">
        <v>7</v>
      </c>
      <c r="V2188" s="119">
        <v>0</v>
      </c>
      <c r="W2188" s="40"/>
      <c r="X2188" s="119">
        <v>1</v>
      </c>
      <c r="Y2188" s="40">
        <v>60</v>
      </c>
      <c r="Z2188" s="119">
        <v>0</v>
      </c>
      <c r="AA2188" s="368" t="s">
        <v>16</v>
      </c>
      <c r="AB2188" s="535" t="s">
        <v>16</v>
      </c>
      <c r="AC2188" s="39" t="s">
        <v>160</v>
      </c>
      <c r="AD2188" s="75" t="s">
        <v>10</v>
      </c>
      <c r="AE2188" s="95">
        <v>0</v>
      </c>
      <c r="AF2188" s="75">
        <v>0</v>
      </c>
      <c r="AG2188" s="75">
        <v>0</v>
      </c>
      <c r="AH2188" s="75">
        <v>0</v>
      </c>
      <c r="AI2188" s="75">
        <v>0</v>
      </c>
      <c r="AJ2188" s="75">
        <v>0</v>
      </c>
      <c r="AK2188" s="75">
        <v>0</v>
      </c>
      <c r="AL2188" s="95">
        <v>1</v>
      </c>
      <c r="AM2188" s="92">
        <v>0</v>
      </c>
      <c r="AN2188" s="79" t="s">
        <v>80</v>
      </c>
      <c r="AO2188" s="75">
        <v>1</v>
      </c>
      <c r="AP2188" s="75" t="s">
        <v>83</v>
      </c>
      <c r="AQ2188" s="122">
        <v>1</v>
      </c>
      <c r="AR2188" s="515" t="s">
        <v>10</v>
      </c>
      <c r="AS2188" s="95">
        <v>0</v>
      </c>
      <c r="AT2188" s="75">
        <v>0</v>
      </c>
      <c r="AU2188" s="75">
        <v>0</v>
      </c>
      <c r="AV2188" s="75">
        <v>0</v>
      </c>
      <c r="AW2188" s="123">
        <v>0</v>
      </c>
      <c r="AX2188" s="516"/>
      <c r="AY2188" s="75">
        <v>0</v>
      </c>
      <c r="AZ2188" s="77" t="s">
        <v>131</v>
      </c>
      <c r="BA2188" s="78" t="s">
        <v>131</v>
      </c>
      <c r="BB2188" s="78" t="s">
        <v>131</v>
      </c>
      <c r="BC2188" s="78" t="s">
        <v>131</v>
      </c>
      <c r="BD2188" s="78" t="s">
        <v>131</v>
      </c>
      <c r="BE2188" s="78" t="s">
        <v>131</v>
      </c>
      <c r="BF2188" s="78" t="s">
        <v>131</v>
      </c>
      <c r="BG2188" s="78" t="s">
        <v>132</v>
      </c>
      <c r="BH2188" s="75" t="s">
        <v>5970</v>
      </c>
      <c r="BI2188" s="295" t="s">
        <v>2231</v>
      </c>
      <c r="BJ2188" s="546">
        <v>1</v>
      </c>
      <c r="BK2188" s="294">
        <v>1</v>
      </c>
      <c r="BL2188" s="157">
        <v>1</v>
      </c>
      <c r="BM2188" s="548" t="s">
        <v>578</v>
      </c>
      <c r="BN2188" s="548" t="s">
        <v>578</v>
      </c>
      <c r="BO2188" s="157" t="s">
        <v>4213</v>
      </c>
      <c r="BP2188" s="548" t="s">
        <v>4216</v>
      </c>
      <c r="BQ2188" s="157" t="s">
        <v>4212</v>
      </c>
      <c r="BR2188" s="157"/>
    </row>
    <row r="2189" spans="1:70" x14ac:dyDescent="0.25">
      <c r="A2189" s="19" t="s">
        <v>3686</v>
      </c>
      <c r="B2189" s="37" t="s">
        <v>356</v>
      </c>
      <c r="C2189" s="90">
        <v>44047.797395833331</v>
      </c>
      <c r="D2189" s="114">
        <v>44047.547395833331</v>
      </c>
      <c r="E2189" s="38">
        <v>44047</v>
      </c>
      <c r="F2189" s="91">
        <v>2020</v>
      </c>
      <c r="G2189" s="93">
        <v>8</v>
      </c>
      <c r="H2189" s="37" t="s">
        <v>351</v>
      </c>
      <c r="I2189" s="37" t="s">
        <v>16</v>
      </c>
      <c r="J2189" s="103">
        <v>-91.441502299999996</v>
      </c>
      <c r="K2189" s="40">
        <v>44.344353900000002</v>
      </c>
      <c r="L2189" s="74"/>
      <c r="M2189" s="272" t="s">
        <v>357</v>
      </c>
      <c r="N2189" s="74">
        <v>1</v>
      </c>
      <c r="O2189" s="94"/>
      <c r="P2189" s="118">
        <v>1</v>
      </c>
      <c r="Q2189" s="510">
        <v>180</v>
      </c>
      <c r="R2189" s="513">
        <v>180</v>
      </c>
      <c r="S2189" s="41"/>
      <c r="T2189" s="40"/>
      <c r="U2189" s="40">
        <v>7.5</v>
      </c>
      <c r="V2189" s="119">
        <v>1</v>
      </c>
      <c r="W2189" s="40">
        <v>0</v>
      </c>
      <c r="X2189" s="119">
        <v>1</v>
      </c>
      <c r="Y2189" s="40">
        <v>58</v>
      </c>
      <c r="Z2189" s="119">
        <v>1</v>
      </c>
      <c r="AA2189" s="368">
        <v>0</v>
      </c>
      <c r="AB2189" s="535">
        <v>2</v>
      </c>
      <c r="AC2189" s="39" t="s">
        <v>160</v>
      </c>
      <c r="AD2189" s="75" t="s">
        <v>10</v>
      </c>
      <c r="AE2189" s="95">
        <v>0</v>
      </c>
      <c r="AF2189" s="75">
        <v>0</v>
      </c>
      <c r="AG2189" s="75">
        <v>0</v>
      </c>
      <c r="AH2189" s="75">
        <v>0</v>
      </c>
      <c r="AI2189" s="75">
        <v>0</v>
      </c>
      <c r="AJ2189" s="75">
        <v>0</v>
      </c>
      <c r="AK2189" s="75">
        <v>0</v>
      </c>
      <c r="AL2189" s="95">
        <v>1</v>
      </c>
      <c r="AM2189" s="92">
        <v>0</v>
      </c>
      <c r="AN2189" s="79" t="s">
        <v>81</v>
      </c>
      <c r="AO2189" s="75">
        <v>1</v>
      </c>
      <c r="AP2189" s="75" t="s">
        <v>84</v>
      </c>
      <c r="AQ2189" s="122">
        <v>1</v>
      </c>
      <c r="AR2189" s="515" t="s">
        <v>10</v>
      </c>
      <c r="AS2189" s="95">
        <v>0</v>
      </c>
      <c r="AT2189" s="75">
        <v>0</v>
      </c>
      <c r="AU2189" s="75">
        <v>0</v>
      </c>
      <c r="AV2189" s="75">
        <v>0</v>
      </c>
      <c r="AW2189" s="123">
        <v>0</v>
      </c>
      <c r="AX2189" s="516"/>
      <c r="AY2189" s="75">
        <v>0</v>
      </c>
      <c r="AZ2189" s="77" t="s">
        <v>131</v>
      </c>
      <c r="BA2189" s="78" t="s">
        <v>131</v>
      </c>
      <c r="BB2189" s="78" t="s">
        <v>131</v>
      </c>
      <c r="BC2189" s="78" t="s">
        <v>131</v>
      </c>
      <c r="BD2189" s="78" t="s">
        <v>131</v>
      </c>
      <c r="BE2189" s="78" t="s">
        <v>131</v>
      </c>
      <c r="BF2189" s="78" t="s">
        <v>131</v>
      </c>
      <c r="BG2189" s="78" t="s">
        <v>132</v>
      </c>
      <c r="BH2189" s="75" t="s">
        <v>5970</v>
      </c>
      <c r="BI2189" s="295" t="s">
        <v>16</v>
      </c>
      <c r="BJ2189" s="546" t="s">
        <v>16</v>
      </c>
      <c r="BK2189" s="294" t="s">
        <v>16</v>
      </c>
      <c r="BL2189" s="157" t="s">
        <v>16</v>
      </c>
      <c r="BM2189" s="548" t="s">
        <v>1340</v>
      </c>
      <c r="BN2189" s="548" t="s">
        <v>4160</v>
      </c>
      <c r="BO2189" s="157" t="s">
        <v>4771</v>
      </c>
      <c r="BP2189" s="548" t="s">
        <v>2306</v>
      </c>
      <c r="BQ2189" s="157" t="s">
        <v>4472</v>
      </c>
      <c r="BR2189" s="157"/>
    </row>
    <row r="2190" spans="1:70" x14ac:dyDescent="0.25">
      <c r="A2190" s="19" t="s">
        <v>3686</v>
      </c>
      <c r="B2190" s="37" t="s">
        <v>353</v>
      </c>
      <c r="C2190" s="90">
        <v>44047.783020833333</v>
      </c>
      <c r="D2190" s="114">
        <v>44047.533020833333</v>
      </c>
      <c r="E2190" s="38">
        <v>44047</v>
      </c>
      <c r="F2190" s="91">
        <v>2020</v>
      </c>
      <c r="G2190" s="93">
        <v>8</v>
      </c>
      <c r="H2190" s="37" t="s">
        <v>351</v>
      </c>
      <c r="I2190" s="37"/>
      <c r="J2190" s="103">
        <v>-91.452492899999996</v>
      </c>
      <c r="K2190" s="40">
        <v>44.359726299999998</v>
      </c>
      <c r="L2190" s="74"/>
      <c r="M2190" s="272" t="s">
        <v>354</v>
      </c>
      <c r="N2190" s="74">
        <v>1</v>
      </c>
      <c r="O2190" s="94"/>
      <c r="P2190" s="118">
        <v>1</v>
      </c>
      <c r="Q2190" s="510">
        <v>120</v>
      </c>
      <c r="R2190" s="513">
        <v>180</v>
      </c>
      <c r="S2190" s="41"/>
      <c r="T2190" s="40"/>
      <c r="U2190" s="40">
        <v>8.5</v>
      </c>
      <c r="V2190" s="119">
        <v>0</v>
      </c>
      <c r="W2190" s="40"/>
      <c r="X2190" s="119">
        <v>1</v>
      </c>
      <c r="Y2190" s="40">
        <v>58</v>
      </c>
      <c r="Z2190" s="119">
        <v>1</v>
      </c>
      <c r="AA2190" s="368">
        <v>0</v>
      </c>
      <c r="AB2190" s="535">
        <v>2</v>
      </c>
      <c r="AC2190" s="39"/>
      <c r="AD2190" s="75" t="s">
        <v>355</v>
      </c>
      <c r="AE2190" s="95">
        <v>0</v>
      </c>
      <c r="AF2190" s="75">
        <v>0</v>
      </c>
      <c r="AG2190" s="75">
        <v>0</v>
      </c>
      <c r="AH2190" s="75">
        <v>1</v>
      </c>
      <c r="AI2190" s="75">
        <v>0</v>
      </c>
      <c r="AJ2190" s="75">
        <v>0</v>
      </c>
      <c r="AK2190" s="75">
        <v>0</v>
      </c>
      <c r="AL2190" s="95">
        <v>0</v>
      </c>
      <c r="AM2190" s="92">
        <v>0</v>
      </c>
      <c r="AN2190" s="79" t="s">
        <v>81</v>
      </c>
      <c r="AO2190" s="75">
        <v>1</v>
      </c>
      <c r="AP2190" s="75" t="s">
        <v>84</v>
      </c>
      <c r="AQ2190" s="122">
        <v>1</v>
      </c>
      <c r="AR2190" s="515" t="s">
        <v>10</v>
      </c>
      <c r="AS2190" s="95">
        <v>0</v>
      </c>
      <c r="AT2190" s="75">
        <v>0</v>
      </c>
      <c r="AU2190" s="75">
        <v>0</v>
      </c>
      <c r="AV2190" s="75">
        <v>0</v>
      </c>
      <c r="AW2190" s="123">
        <v>0</v>
      </c>
      <c r="AX2190" s="516"/>
      <c r="AY2190" s="75">
        <v>0</v>
      </c>
      <c r="AZ2190" s="77" t="s">
        <v>131</v>
      </c>
      <c r="BA2190" s="78" t="s">
        <v>131</v>
      </c>
      <c r="BB2190" s="78" t="s">
        <v>131</v>
      </c>
      <c r="BC2190" s="78" t="s">
        <v>132</v>
      </c>
      <c r="BD2190" s="78" t="s">
        <v>131</v>
      </c>
      <c r="BE2190" s="78" t="s">
        <v>131</v>
      </c>
      <c r="BF2190" s="78" t="s">
        <v>131</v>
      </c>
      <c r="BG2190" s="78" t="s">
        <v>131</v>
      </c>
      <c r="BH2190" s="75" t="s">
        <v>5970</v>
      </c>
      <c r="BI2190" s="295" t="s">
        <v>16</v>
      </c>
      <c r="BJ2190" s="546" t="s">
        <v>16</v>
      </c>
      <c r="BK2190" s="294" t="s">
        <v>16</v>
      </c>
      <c r="BL2190" s="157" t="s">
        <v>16</v>
      </c>
      <c r="BM2190" s="548" t="s">
        <v>1340</v>
      </c>
      <c r="BN2190" s="548" t="s">
        <v>4160</v>
      </c>
      <c r="BO2190" s="157" t="s">
        <v>4771</v>
      </c>
      <c r="BP2190" s="548" t="s">
        <v>2306</v>
      </c>
      <c r="BQ2190" s="157" t="s">
        <v>4472</v>
      </c>
      <c r="BR2190" s="157"/>
    </row>
    <row r="2191" spans="1:70" x14ac:dyDescent="0.25">
      <c r="A2191" s="19" t="s">
        <v>3686</v>
      </c>
      <c r="B2191" s="37" t="s">
        <v>350</v>
      </c>
      <c r="C2191" s="90">
        <v>44047.754606481481</v>
      </c>
      <c r="D2191" s="114">
        <v>44047.504606481481</v>
      </c>
      <c r="E2191" s="38">
        <v>44047</v>
      </c>
      <c r="F2191" s="91">
        <v>2020</v>
      </c>
      <c r="G2191" s="93">
        <v>8</v>
      </c>
      <c r="H2191" s="37" t="s">
        <v>351</v>
      </c>
      <c r="I2191" s="37" t="s">
        <v>16</v>
      </c>
      <c r="J2191" s="103">
        <v>-91.497870300000002</v>
      </c>
      <c r="K2191" s="40">
        <v>44.380921499999999</v>
      </c>
      <c r="L2191" s="74"/>
      <c r="M2191" s="272" t="s">
        <v>352</v>
      </c>
      <c r="N2191" s="74">
        <v>1</v>
      </c>
      <c r="O2191" s="94"/>
      <c r="P2191" s="118">
        <v>1</v>
      </c>
      <c r="Q2191" s="510">
        <v>120</v>
      </c>
      <c r="R2191" s="513">
        <v>180</v>
      </c>
      <c r="S2191" s="41"/>
      <c r="T2191" s="40"/>
      <c r="U2191" s="40">
        <v>7.5</v>
      </c>
      <c r="V2191" s="119">
        <v>1</v>
      </c>
      <c r="W2191" s="40">
        <v>0</v>
      </c>
      <c r="X2191" s="119">
        <v>0</v>
      </c>
      <c r="Y2191" s="40"/>
      <c r="Z2191" s="119">
        <v>1</v>
      </c>
      <c r="AA2191" s="368">
        <v>0</v>
      </c>
      <c r="AB2191" s="535">
        <v>2</v>
      </c>
      <c r="AC2191" s="39" t="s">
        <v>160</v>
      </c>
      <c r="AD2191" s="75" t="s">
        <v>10</v>
      </c>
      <c r="AE2191" s="95">
        <v>0</v>
      </c>
      <c r="AF2191" s="75">
        <v>0</v>
      </c>
      <c r="AG2191" s="75">
        <v>0</v>
      </c>
      <c r="AH2191" s="75">
        <v>0</v>
      </c>
      <c r="AI2191" s="75">
        <v>0</v>
      </c>
      <c r="AJ2191" s="75">
        <v>0</v>
      </c>
      <c r="AK2191" s="75">
        <v>0</v>
      </c>
      <c r="AL2191" s="95">
        <v>1</v>
      </c>
      <c r="AM2191" s="92">
        <v>0</v>
      </c>
      <c r="AN2191" s="79" t="s">
        <v>81</v>
      </c>
      <c r="AO2191" s="75">
        <v>1</v>
      </c>
      <c r="AP2191" s="75" t="s">
        <v>84</v>
      </c>
      <c r="AQ2191" s="122">
        <v>1</v>
      </c>
      <c r="AR2191" s="515" t="s">
        <v>10</v>
      </c>
      <c r="AS2191" s="95">
        <v>0</v>
      </c>
      <c r="AT2191" s="75">
        <v>0</v>
      </c>
      <c r="AU2191" s="75">
        <v>0</v>
      </c>
      <c r="AV2191" s="75">
        <v>0</v>
      </c>
      <c r="AW2191" s="123">
        <v>0</v>
      </c>
      <c r="AX2191" s="516"/>
      <c r="AY2191" s="75">
        <v>0</v>
      </c>
      <c r="AZ2191" s="77" t="s">
        <v>131</v>
      </c>
      <c r="BA2191" s="78" t="s">
        <v>131</v>
      </c>
      <c r="BB2191" s="78" t="s">
        <v>131</v>
      </c>
      <c r="BC2191" s="78" t="s">
        <v>131</v>
      </c>
      <c r="BD2191" s="78" t="s">
        <v>131</v>
      </c>
      <c r="BE2191" s="78" t="s">
        <v>131</v>
      </c>
      <c r="BF2191" s="78" t="s">
        <v>131</v>
      </c>
      <c r="BG2191" s="78" t="s">
        <v>132</v>
      </c>
      <c r="BH2191" s="75" t="s">
        <v>5970</v>
      </c>
      <c r="BI2191" s="295" t="s">
        <v>2307</v>
      </c>
      <c r="BJ2191" s="546" t="s">
        <v>16</v>
      </c>
      <c r="BK2191" s="294" t="s">
        <v>16</v>
      </c>
      <c r="BL2191" s="157" t="s">
        <v>16</v>
      </c>
      <c r="BM2191" s="548" t="s">
        <v>1340</v>
      </c>
      <c r="BN2191" s="548" t="s">
        <v>4160</v>
      </c>
      <c r="BO2191" s="157" t="s">
        <v>4771</v>
      </c>
      <c r="BP2191" s="548" t="s">
        <v>2306</v>
      </c>
      <c r="BQ2191" s="157" t="s">
        <v>4472</v>
      </c>
      <c r="BR2191" s="157"/>
    </row>
    <row r="2192" spans="1:70" x14ac:dyDescent="0.25">
      <c r="A2192" s="19" t="s">
        <v>3686</v>
      </c>
      <c r="B2192" s="37" t="s">
        <v>348</v>
      </c>
      <c r="C2192" s="90">
        <v>44035.623668981483</v>
      </c>
      <c r="D2192" s="114">
        <v>44035.373668981483</v>
      </c>
      <c r="E2192" s="38">
        <v>44035</v>
      </c>
      <c r="F2192" s="91">
        <v>2020</v>
      </c>
      <c r="G2192" s="93">
        <v>7</v>
      </c>
      <c r="H2192" s="37" t="s">
        <v>218</v>
      </c>
      <c r="I2192" s="37" t="s">
        <v>349</v>
      </c>
      <c r="J2192" s="103">
        <v>-92.52973657691004</v>
      </c>
      <c r="K2192" s="40">
        <v>44.793790867999427</v>
      </c>
      <c r="L2192" s="74"/>
      <c r="M2192" s="272" t="s">
        <v>16</v>
      </c>
      <c r="N2192" s="74">
        <v>0</v>
      </c>
      <c r="O2192" s="94"/>
      <c r="P2192" s="118">
        <v>1</v>
      </c>
      <c r="Q2192" s="510">
        <v>180</v>
      </c>
      <c r="R2192" s="513">
        <v>180</v>
      </c>
      <c r="S2192" s="41"/>
      <c r="T2192" s="40"/>
      <c r="U2192" s="40">
        <v>8</v>
      </c>
      <c r="V2192" s="119">
        <v>1</v>
      </c>
      <c r="W2192" s="40">
        <v>0</v>
      </c>
      <c r="X2192" s="119">
        <v>1</v>
      </c>
      <c r="Y2192" s="40">
        <v>56</v>
      </c>
      <c r="Z2192" s="119">
        <v>1</v>
      </c>
      <c r="AA2192" s="368">
        <v>0</v>
      </c>
      <c r="AB2192" s="535">
        <v>5</v>
      </c>
      <c r="AC2192" s="39" t="s">
        <v>160</v>
      </c>
      <c r="AD2192" s="75" t="s">
        <v>10</v>
      </c>
      <c r="AE2192" s="95">
        <v>0</v>
      </c>
      <c r="AF2192" s="75">
        <v>0</v>
      </c>
      <c r="AG2192" s="75">
        <v>0</v>
      </c>
      <c r="AH2192" s="75">
        <v>0</v>
      </c>
      <c r="AI2192" s="75">
        <v>0</v>
      </c>
      <c r="AJ2192" s="75">
        <v>0</v>
      </c>
      <c r="AK2192" s="75">
        <v>0</v>
      </c>
      <c r="AL2192" s="95">
        <v>1</v>
      </c>
      <c r="AM2192" s="92">
        <v>0</v>
      </c>
      <c r="AN2192" s="79" t="s">
        <v>80</v>
      </c>
      <c r="AO2192" s="75">
        <v>1</v>
      </c>
      <c r="AP2192" s="75" t="s">
        <v>83</v>
      </c>
      <c r="AQ2192" s="122">
        <v>1</v>
      </c>
      <c r="AR2192" s="515" t="s">
        <v>10</v>
      </c>
      <c r="AS2192" s="95">
        <v>0</v>
      </c>
      <c r="AT2192" s="75">
        <v>0</v>
      </c>
      <c r="AU2192" s="75">
        <v>0</v>
      </c>
      <c r="AV2192" s="75">
        <v>0</v>
      </c>
      <c r="AW2192" s="123">
        <v>0</v>
      </c>
      <c r="AX2192" s="516"/>
      <c r="AY2192" s="75">
        <v>0</v>
      </c>
      <c r="AZ2192" s="77" t="s">
        <v>131</v>
      </c>
      <c r="BA2192" s="78" t="s">
        <v>131</v>
      </c>
      <c r="BB2192" s="78" t="s">
        <v>131</v>
      </c>
      <c r="BC2192" s="78" t="s">
        <v>131</v>
      </c>
      <c r="BD2192" s="78" t="s">
        <v>131</v>
      </c>
      <c r="BE2192" s="78" t="s">
        <v>131</v>
      </c>
      <c r="BF2192" s="78" t="s">
        <v>131</v>
      </c>
      <c r="BG2192" s="78" t="s">
        <v>132</v>
      </c>
      <c r="BH2192" s="75" t="s">
        <v>5970</v>
      </c>
      <c r="BI2192" s="295" t="s">
        <v>2236</v>
      </c>
      <c r="BJ2192" s="546">
        <v>1</v>
      </c>
      <c r="BK2192" s="294" t="s">
        <v>16</v>
      </c>
      <c r="BL2192" s="157" t="s">
        <v>16</v>
      </c>
      <c r="BM2192" s="548" t="s">
        <v>578</v>
      </c>
      <c r="BN2192" s="548" t="s">
        <v>578</v>
      </c>
      <c r="BO2192" s="157" t="s">
        <v>4658</v>
      </c>
      <c r="BP2192" s="548" t="s">
        <v>4660</v>
      </c>
      <c r="BQ2192" s="157" t="s">
        <v>4657</v>
      </c>
      <c r="BR2192" s="157"/>
    </row>
    <row r="2193" spans="1:70" x14ac:dyDescent="0.25">
      <c r="A2193" s="19" t="s">
        <v>3686</v>
      </c>
      <c r="B2193" s="37" t="s">
        <v>347</v>
      </c>
      <c r="C2193" s="90">
        <v>44035.599976851852</v>
      </c>
      <c r="D2193" s="114">
        <v>44035.349976851852</v>
      </c>
      <c r="E2193" s="38">
        <v>44035</v>
      </c>
      <c r="F2193" s="91">
        <v>2020</v>
      </c>
      <c r="G2193" s="93">
        <v>7</v>
      </c>
      <c r="H2193" s="37" t="s">
        <v>218</v>
      </c>
      <c r="I2193" s="37"/>
      <c r="J2193" s="103">
        <v>-92.53189302989432</v>
      </c>
      <c r="K2193" s="40">
        <v>44.787328235440846</v>
      </c>
      <c r="L2193" s="74"/>
      <c r="M2193" s="272" t="s">
        <v>16</v>
      </c>
      <c r="N2193" s="74">
        <v>0</v>
      </c>
      <c r="O2193" s="94"/>
      <c r="P2193" s="118">
        <v>1</v>
      </c>
      <c r="Q2193" s="510">
        <v>80</v>
      </c>
      <c r="R2193" s="513">
        <v>120</v>
      </c>
      <c r="S2193" s="41"/>
      <c r="T2193" s="40"/>
      <c r="U2193" s="40">
        <v>8</v>
      </c>
      <c r="V2193" s="119">
        <v>1</v>
      </c>
      <c r="W2193" s="40">
        <v>0</v>
      </c>
      <c r="X2193" s="119">
        <v>1</v>
      </c>
      <c r="Y2193" s="40">
        <v>53</v>
      </c>
      <c r="Z2193" s="119">
        <v>1</v>
      </c>
      <c r="AA2193" s="368">
        <v>0</v>
      </c>
      <c r="AB2193" s="535">
        <v>5</v>
      </c>
      <c r="AC2193" s="39" t="s">
        <v>160</v>
      </c>
      <c r="AD2193" s="75" t="s">
        <v>10</v>
      </c>
      <c r="AE2193" s="95">
        <v>0</v>
      </c>
      <c r="AF2193" s="75">
        <v>0</v>
      </c>
      <c r="AG2193" s="75">
        <v>0</v>
      </c>
      <c r="AH2193" s="75">
        <v>0</v>
      </c>
      <c r="AI2193" s="75">
        <v>0</v>
      </c>
      <c r="AJ2193" s="75">
        <v>0</v>
      </c>
      <c r="AK2193" s="75">
        <v>0</v>
      </c>
      <c r="AL2193" s="95">
        <v>1</v>
      </c>
      <c r="AM2193" s="92">
        <v>0</v>
      </c>
      <c r="AN2193" s="79" t="s">
        <v>80</v>
      </c>
      <c r="AO2193" s="75">
        <v>1</v>
      </c>
      <c r="AP2193" s="75" t="s">
        <v>83</v>
      </c>
      <c r="AQ2193" s="122">
        <v>1</v>
      </c>
      <c r="AR2193" s="515" t="s">
        <v>10</v>
      </c>
      <c r="AS2193" s="95">
        <v>0</v>
      </c>
      <c r="AT2193" s="75">
        <v>0</v>
      </c>
      <c r="AU2193" s="75">
        <v>0</v>
      </c>
      <c r="AV2193" s="75">
        <v>0</v>
      </c>
      <c r="AW2193" s="123">
        <v>0</v>
      </c>
      <c r="AX2193" s="516"/>
      <c r="AY2193" s="75">
        <v>0</v>
      </c>
      <c r="AZ2193" s="77" t="s">
        <v>131</v>
      </c>
      <c r="BA2193" s="78" t="s">
        <v>131</v>
      </c>
      <c r="BB2193" s="78" t="s">
        <v>131</v>
      </c>
      <c r="BC2193" s="78" t="s">
        <v>131</v>
      </c>
      <c r="BD2193" s="78" t="s">
        <v>131</v>
      </c>
      <c r="BE2193" s="78" t="s">
        <v>131</v>
      </c>
      <c r="BF2193" s="78" t="s">
        <v>131</v>
      </c>
      <c r="BG2193" s="78" t="s">
        <v>132</v>
      </c>
      <c r="BH2193" s="75" t="s">
        <v>5970</v>
      </c>
      <c r="BI2193" s="295" t="s">
        <v>2236</v>
      </c>
      <c r="BJ2193" s="546">
        <v>1</v>
      </c>
      <c r="BK2193" s="294" t="s">
        <v>16</v>
      </c>
      <c r="BL2193" s="157" t="s">
        <v>16</v>
      </c>
      <c r="BM2193" s="548" t="s">
        <v>578</v>
      </c>
      <c r="BN2193" s="548" t="s">
        <v>578</v>
      </c>
      <c r="BO2193" s="157" t="s">
        <v>4658</v>
      </c>
      <c r="BP2193" s="548" t="s">
        <v>4660</v>
      </c>
      <c r="BQ2193" s="157" t="s">
        <v>4657</v>
      </c>
      <c r="BR2193" s="157"/>
    </row>
    <row r="2194" spans="1:70" x14ac:dyDescent="0.25">
      <c r="A2194" s="19" t="s">
        <v>3686</v>
      </c>
      <c r="B2194" s="37" t="s">
        <v>345</v>
      </c>
      <c r="C2194" s="90">
        <v>44028.680046296293</v>
      </c>
      <c r="D2194" s="114">
        <v>44028.430046296293</v>
      </c>
      <c r="E2194" s="38">
        <v>44028</v>
      </c>
      <c r="F2194" s="91">
        <v>2020</v>
      </c>
      <c r="G2194" s="93">
        <v>7</v>
      </c>
      <c r="H2194" s="37" t="s">
        <v>201</v>
      </c>
      <c r="I2194" s="37" t="s">
        <v>2362</v>
      </c>
      <c r="J2194" s="103">
        <v>-92.284347229486244</v>
      </c>
      <c r="K2194" s="40">
        <v>44.542225667115012</v>
      </c>
      <c r="L2194" s="74"/>
      <c r="M2194" s="272" t="s">
        <v>16</v>
      </c>
      <c r="N2194" s="74">
        <v>0</v>
      </c>
      <c r="O2194" s="94"/>
      <c r="P2194" s="118">
        <v>1</v>
      </c>
      <c r="Q2194" s="510">
        <v>180</v>
      </c>
      <c r="R2194" s="513">
        <v>120</v>
      </c>
      <c r="S2194" s="41"/>
      <c r="T2194" s="40"/>
      <c r="U2194" s="40">
        <v>8</v>
      </c>
      <c r="V2194" s="119">
        <v>1</v>
      </c>
      <c r="W2194" s="40">
        <v>0</v>
      </c>
      <c r="X2194" s="119">
        <v>1</v>
      </c>
      <c r="Y2194" s="40">
        <v>51</v>
      </c>
      <c r="Z2194" s="119">
        <v>1</v>
      </c>
      <c r="AA2194" s="368">
        <v>0</v>
      </c>
      <c r="AB2194" s="535">
        <v>5</v>
      </c>
      <c r="AC2194" s="39" t="s">
        <v>160</v>
      </c>
      <c r="AD2194" s="75" t="s">
        <v>10</v>
      </c>
      <c r="AE2194" s="95">
        <v>0</v>
      </c>
      <c r="AF2194" s="75">
        <v>0</v>
      </c>
      <c r="AG2194" s="75">
        <v>0</v>
      </c>
      <c r="AH2194" s="75">
        <v>0</v>
      </c>
      <c r="AI2194" s="75">
        <v>0</v>
      </c>
      <c r="AJ2194" s="75">
        <v>0</v>
      </c>
      <c r="AK2194" s="75">
        <v>0</v>
      </c>
      <c r="AL2194" s="95">
        <v>1</v>
      </c>
      <c r="AM2194" s="92">
        <v>0</v>
      </c>
      <c r="AN2194" s="79" t="s">
        <v>80</v>
      </c>
      <c r="AO2194" s="75">
        <v>1</v>
      </c>
      <c r="AP2194" s="75" t="s">
        <v>83</v>
      </c>
      <c r="AQ2194" s="122">
        <v>1</v>
      </c>
      <c r="AR2194" s="515" t="s">
        <v>10</v>
      </c>
      <c r="AS2194" s="95">
        <v>0</v>
      </c>
      <c r="AT2194" s="75">
        <v>0</v>
      </c>
      <c r="AU2194" s="75">
        <v>0</v>
      </c>
      <c r="AV2194" s="75">
        <v>0</v>
      </c>
      <c r="AW2194" s="123">
        <v>0</v>
      </c>
      <c r="AX2194" s="516" t="s">
        <v>346</v>
      </c>
      <c r="AY2194" s="75">
        <v>1</v>
      </c>
      <c r="AZ2194" s="77" t="s">
        <v>131</v>
      </c>
      <c r="BA2194" s="78" t="s">
        <v>131</v>
      </c>
      <c r="BB2194" s="78" t="s">
        <v>131</v>
      </c>
      <c r="BC2194" s="78" t="s">
        <v>131</v>
      </c>
      <c r="BD2194" s="78" t="s">
        <v>131</v>
      </c>
      <c r="BE2194" s="78" t="s">
        <v>131</v>
      </c>
      <c r="BF2194" s="78" t="s">
        <v>131</v>
      </c>
      <c r="BG2194" s="78" t="s">
        <v>132</v>
      </c>
      <c r="BH2194" s="75" t="s">
        <v>5970</v>
      </c>
      <c r="BI2194" s="295" t="s">
        <v>2261</v>
      </c>
      <c r="BJ2194" s="546">
        <v>1</v>
      </c>
      <c r="BK2194" s="294">
        <v>1</v>
      </c>
      <c r="BL2194" s="157">
        <v>1</v>
      </c>
      <c r="BM2194" s="548" t="s">
        <v>1340</v>
      </c>
      <c r="BN2194" s="548" t="s">
        <v>578</v>
      </c>
      <c r="BO2194" s="157" t="s">
        <v>4268</v>
      </c>
      <c r="BP2194" s="548" t="s">
        <v>2261</v>
      </c>
      <c r="BQ2194" s="157" t="s">
        <v>4214</v>
      </c>
      <c r="BR2194" s="157"/>
    </row>
    <row r="2195" spans="1:70" x14ac:dyDescent="0.25">
      <c r="A2195" s="19" t="s">
        <v>3686</v>
      </c>
      <c r="B2195" s="37" t="s">
        <v>343</v>
      </c>
      <c r="C2195" s="90">
        <v>44020.811898148146</v>
      </c>
      <c r="D2195" s="114">
        <v>44020.561898148146</v>
      </c>
      <c r="E2195" s="38">
        <v>44020</v>
      </c>
      <c r="F2195" s="91">
        <v>2020</v>
      </c>
      <c r="G2195" s="93">
        <v>7</v>
      </c>
      <c r="H2195" s="37" t="s">
        <v>201</v>
      </c>
      <c r="I2195" s="37"/>
      <c r="J2195" s="103">
        <v>-92.256891093022958</v>
      </c>
      <c r="K2195" s="40">
        <v>44.544204950704817</v>
      </c>
      <c r="L2195" s="74"/>
      <c r="M2195" s="272" t="s">
        <v>16</v>
      </c>
      <c r="N2195" s="74">
        <v>0</v>
      </c>
      <c r="O2195" s="94"/>
      <c r="P2195" s="118">
        <v>1</v>
      </c>
      <c r="Q2195" s="510">
        <v>180</v>
      </c>
      <c r="R2195" s="513">
        <v>180</v>
      </c>
      <c r="S2195" s="41"/>
      <c r="T2195" s="40"/>
      <c r="U2195" s="40">
        <v>8</v>
      </c>
      <c r="V2195" s="119">
        <v>1</v>
      </c>
      <c r="W2195" s="40">
        <v>0</v>
      </c>
      <c r="X2195" s="119">
        <v>1</v>
      </c>
      <c r="Y2195" s="40">
        <v>59</v>
      </c>
      <c r="Z2195" s="119">
        <v>1</v>
      </c>
      <c r="AA2195" s="368">
        <v>0</v>
      </c>
      <c r="AB2195" s="535">
        <v>5</v>
      </c>
      <c r="AC2195" s="39" t="s">
        <v>160</v>
      </c>
      <c r="AD2195" s="75" t="s">
        <v>8</v>
      </c>
      <c r="AE2195" s="95">
        <v>0</v>
      </c>
      <c r="AF2195" s="75">
        <v>1</v>
      </c>
      <c r="AG2195" s="75">
        <v>0</v>
      </c>
      <c r="AH2195" s="75">
        <v>0</v>
      </c>
      <c r="AI2195" s="75">
        <v>0</v>
      </c>
      <c r="AJ2195" s="75">
        <v>0</v>
      </c>
      <c r="AK2195" s="75">
        <v>0</v>
      </c>
      <c r="AL2195" s="95">
        <v>0</v>
      </c>
      <c r="AM2195" s="92">
        <v>0</v>
      </c>
      <c r="AN2195" s="79" t="s">
        <v>80</v>
      </c>
      <c r="AO2195" s="75">
        <v>1</v>
      </c>
      <c r="AP2195" s="75" t="s">
        <v>83</v>
      </c>
      <c r="AQ2195" s="122">
        <v>1</v>
      </c>
      <c r="AR2195" s="515" t="s">
        <v>10</v>
      </c>
      <c r="AS2195" s="95">
        <v>0</v>
      </c>
      <c r="AT2195" s="75">
        <v>0</v>
      </c>
      <c r="AU2195" s="75">
        <v>0</v>
      </c>
      <c r="AV2195" s="75">
        <v>0</v>
      </c>
      <c r="AW2195" s="123">
        <v>0</v>
      </c>
      <c r="AX2195" s="516" t="s">
        <v>344</v>
      </c>
      <c r="AY2195" s="75">
        <v>1</v>
      </c>
      <c r="AZ2195" s="77" t="s">
        <v>131</v>
      </c>
      <c r="BA2195" s="78" t="s">
        <v>132</v>
      </c>
      <c r="BB2195" s="78" t="s">
        <v>131</v>
      </c>
      <c r="BC2195" s="78" t="s">
        <v>131</v>
      </c>
      <c r="BD2195" s="78" t="s">
        <v>131</v>
      </c>
      <c r="BE2195" s="78" t="s">
        <v>131</v>
      </c>
      <c r="BF2195" s="78" t="s">
        <v>131</v>
      </c>
      <c r="BG2195" s="78" t="s">
        <v>131</v>
      </c>
      <c r="BH2195" s="75" t="s">
        <v>5970</v>
      </c>
      <c r="BI2195" s="295" t="s">
        <v>16</v>
      </c>
      <c r="BJ2195" s="546">
        <v>1</v>
      </c>
      <c r="BK2195" s="294">
        <v>1</v>
      </c>
      <c r="BL2195" s="157">
        <v>1</v>
      </c>
      <c r="BM2195" s="548" t="s">
        <v>1340</v>
      </c>
      <c r="BN2195" s="548" t="s">
        <v>578</v>
      </c>
      <c r="BO2195" s="157" t="s">
        <v>4268</v>
      </c>
      <c r="BP2195" s="548" t="s">
        <v>2261</v>
      </c>
      <c r="BQ2195" s="157" t="s">
        <v>4214</v>
      </c>
      <c r="BR2195" s="157"/>
    </row>
    <row r="2196" spans="1:70" x14ac:dyDescent="0.25">
      <c r="A2196" s="19" t="s">
        <v>3686</v>
      </c>
      <c r="B2196" s="37" t="s">
        <v>341</v>
      </c>
      <c r="C2196" s="90">
        <v>44020.785358796296</v>
      </c>
      <c r="D2196" s="114">
        <v>44020.535358796296</v>
      </c>
      <c r="E2196" s="38">
        <v>44020</v>
      </c>
      <c r="F2196" s="91">
        <v>2020</v>
      </c>
      <c r="G2196" s="93">
        <v>7</v>
      </c>
      <c r="H2196" s="37" t="s">
        <v>201</v>
      </c>
      <c r="I2196" s="37"/>
      <c r="J2196" s="103">
        <v>-92.268535992423196</v>
      </c>
      <c r="K2196" s="40">
        <v>44.542832598119318</v>
      </c>
      <c r="L2196" s="74"/>
      <c r="M2196" s="272" t="s">
        <v>16</v>
      </c>
      <c r="N2196" s="74">
        <v>0</v>
      </c>
      <c r="O2196" s="94"/>
      <c r="P2196" s="118">
        <v>1</v>
      </c>
      <c r="Q2196" s="510">
        <v>180</v>
      </c>
      <c r="R2196" s="513">
        <v>120</v>
      </c>
      <c r="S2196" s="41"/>
      <c r="T2196" s="40"/>
      <c r="U2196" s="40">
        <v>7.5</v>
      </c>
      <c r="V2196" s="119">
        <v>1</v>
      </c>
      <c r="W2196" s="40">
        <v>0</v>
      </c>
      <c r="X2196" s="119">
        <v>1</v>
      </c>
      <c r="Y2196" s="40">
        <v>46</v>
      </c>
      <c r="Z2196" s="119">
        <v>1</v>
      </c>
      <c r="AA2196" s="368">
        <v>0</v>
      </c>
      <c r="AB2196" s="535">
        <v>5</v>
      </c>
      <c r="AC2196" s="39" t="s">
        <v>162</v>
      </c>
      <c r="AD2196" s="75" t="s">
        <v>10</v>
      </c>
      <c r="AE2196" s="95">
        <v>0</v>
      </c>
      <c r="AF2196" s="75">
        <v>0</v>
      </c>
      <c r="AG2196" s="75">
        <v>0</v>
      </c>
      <c r="AH2196" s="75">
        <v>0</v>
      </c>
      <c r="AI2196" s="75">
        <v>0</v>
      </c>
      <c r="AJ2196" s="75">
        <v>0</v>
      </c>
      <c r="AK2196" s="75">
        <v>0</v>
      </c>
      <c r="AL2196" s="95">
        <v>1</v>
      </c>
      <c r="AM2196" s="92">
        <v>0</v>
      </c>
      <c r="AN2196" s="79" t="s">
        <v>80</v>
      </c>
      <c r="AO2196" s="75">
        <v>1</v>
      </c>
      <c r="AP2196" s="75" t="s">
        <v>83</v>
      </c>
      <c r="AQ2196" s="122">
        <v>1</v>
      </c>
      <c r="AR2196" s="515" t="s">
        <v>10</v>
      </c>
      <c r="AS2196" s="95">
        <v>0</v>
      </c>
      <c r="AT2196" s="75">
        <v>0</v>
      </c>
      <c r="AU2196" s="75">
        <v>0</v>
      </c>
      <c r="AV2196" s="75">
        <v>0</v>
      </c>
      <c r="AW2196" s="123">
        <v>0</v>
      </c>
      <c r="AX2196" s="516" t="s">
        <v>342</v>
      </c>
      <c r="AY2196" s="75">
        <v>1</v>
      </c>
      <c r="AZ2196" s="77" t="s">
        <v>131</v>
      </c>
      <c r="BA2196" s="78" t="s">
        <v>131</v>
      </c>
      <c r="BB2196" s="78" t="s">
        <v>131</v>
      </c>
      <c r="BC2196" s="78" t="s">
        <v>131</v>
      </c>
      <c r="BD2196" s="78" t="s">
        <v>131</v>
      </c>
      <c r="BE2196" s="78" t="s">
        <v>131</v>
      </c>
      <c r="BF2196" s="78" t="s">
        <v>131</v>
      </c>
      <c r="BG2196" s="78" t="s">
        <v>132</v>
      </c>
      <c r="BH2196" s="75" t="s">
        <v>5970</v>
      </c>
      <c r="BI2196" s="295">
        <v>0</v>
      </c>
      <c r="BJ2196" s="546">
        <v>1</v>
      </c>
      <c r="BK2196" s="294">
        <v>1</v>
      </c>
      <c r="BL2196" s="157">
        <v>1</v>
      </c>
      <c r="BM2196" s="548" t="s">
        <v>1340</v>
      </c>
      <c r="BN2196" s="548" t="s">
        <v>578</v>
      </c>
      <c r="BO2196" s="157" t="s">
        <v>4268</v>
      </c>
      <c r="BP2196" s="548" t="s">
        <v>2261</v>
      </c>
      <c r="BQ2196" s="157" t="s">
        <v>4214</v>
      </c>
      <c r="BR2196" s="157"/>
    </row>
    <row r="2197" spans="1:70" x14ac:dyDescent="0.25">
      <c r="A2197" s="19" t="s">
        <v>3686</v>
      </c>
      <c r="B2197" s="37" t="s">
        <v>340</v>
      </c>
      <c r="C2197" s="90">
        <v>44018.67496527778</v>
      </c>
      <c r="D2197" s="114">
        <v>44018.42496527778</v>
      </c>
      <c r="E2197" s="38">
        <v>44018</v>
      </c>
      <c r="F2197" s="91">
        <v>2020</v>
      </c>
      <c r="G2197" s="93">
        <v>7</v>
      </c>
      <c r="H2197" s="37" t="s">
        <v>302</v>
      </c>
      <c r="I2197" s="37"/>
      <c r="J2197" s="103">
        <v>-91.862124111588926</v>
      </c>
      <c r="K2197" s="40">
        <v>43.621683656278641</v>
      </c>
      <c r="L2197" s="74"/>
      <c r="M2197" s="272" t="s">
        <v>16</v>
      </c>
      <c r="N2197" s="74">
        <v>0</v>
      </c>
      <c r="O2197" s="94"/>
      <c r="P2197" s="118">
        <v>1</v>
      </c>
      <c r="Q2197" s="510">
        <v>120</v>
      </c>
      <c r="R2197" s="513">
        <v>120</v>
      </c>
      <c r="S2197" s="41"/>
      <c r="T2197" s="40"/>
      <c r="U2197" s="40">
        <v>8</v>
      </c>
      <c r="V2197" s="119">
        <v>1</v>
      </c>
      <c r="W2197" s="40">
        <v>0</v>
      </c>
      <c r="X2197" s="119">
        <v>0</v>
      </c>
      <c r="Y2197" s="40"/>
      <c r="Z2197" s="119">
        <v>1</v>
      </c>
      <c r="AA2197" s="368">
        <v>0</v>
      </c>
      <c r="AB2197" s="535">
        <v>10</v>
      </c>
      <c r="AC2197" s="39"/>
      <c r="AD2197" s="75" t="s">
        <v>10</v>
      </c>
      <c r="AE2197" s="95">
        <v>0</v>
      </c>
      <c r="AF2197" s="75">
        <v>0</v>
      </c>
      <c r="AG2197" s="75">
        <v>0</v>
      </c>
      <c r="AH2197" s="75">
        <v>0</v>
      </c>
      <c r="AI2197" s="75">
        <v>0</v>
      </c>
      <c r="AJ2197" s="75">
        <v>0</v>
      </c>
      <c r="AK2197" s="75">
        <v>0</v>
      </c>
      <c r="AL2197" s="95">
        <v>1</v>
      </c>
      <c r="AM2197" s="92">
        <v>0</v>
      </c>
      <c r="AN2197" s="79" t="s">
        <v>80</v>
      </c>
      <c r="AO2197" s="75">
        <v>1</v>
      </c>
      <c r="AP2197" s="75" t="s">
        <v>83</v>
      </c>
      <c r="AQ2197" s="122">
        <v>1</v>
      </c>
      <c r="AR2197" s="515" t="s">
        <v>10</v>
      </c>
      <c r="AS2197" s="95">
        <v>0</v>
      </c>
      <c r="AT2197" s="75">
        <v>0</v>
      </c>
      <c r="AU2197" s="75">
        <v>0</v>
      </c>
      <c r="AV2197" s="75">
        <v>0</v>
      </c>
      <c r="AW2197" s="123">
        <v>0</v>
      </c>
      <c r="AX2197" s="516"/>
      <c r="AY2197" s="75">
        <v>0</v>
      </c>
      <c r="AZ2197" s="77" t="s">
        <v>131</v>
      </c>
      <c r="BA2197" s="78" t="s">
        <v>131</v>
      </c>
      <c r="BB2197" s="78" t="s">
        <v>131</v>
      </c>
      <c r="BC2197" s="78" t="s">
        <v>131</v>
      </c>
      <c r="BD2197" s="78" t="s">
        <v>131</v>
      </c>
      <c r="BE2197" s="78" t="s">
        <v>131</v>
      </c>
      <c r="BF2197" s="78" t="s">
        <v>131</v>
      </c>
      <c r="BG2197" s="78" t="s">
        <v>132</v>
      </c>
      <c r="BH2197" s="75" t="s">
        <v>5970</v>
      </c>
      <c r="BI2197" s="295" t="s">
        <v>2249</v>
      </c>
      <c r="BJ2197" s="546">
        <v>1</v>
      </c>
      <c r="BK2197" s="294">
        <v>1</v>
      </c>
      <c r="BL2197" s="157">
        <v>1</v>
      </c>
      <c r="BM2197" s="548" t="s">
        <v>1339</v>
      </c>
      <c r="BN2197" s="548" t="s">
        <v>4160</v>
      </c>
      <c r="BO2197" s="157" t="s">
        <v>4520</v>
      </c>
      <c r="BP2197" s="548" t="s">
        <v>4521</v>
      </c>
      <c r="BQ2197" s="157" t="s">
        <v>4232</v>
      </c>
      <c r="BR2197" s="157"/>
    </row>
    <row r="2198" spans="1:70" x14ac:dyDescent="0.25">
      <c r="A2198" s="19" t="s">
        <v>3686</v>
      </c>
      <c r="B2198" s="37" t="s">
        <v>336</v>
      </c>
      <c r="C2198" s="90">
        <v>44013.699537037035</v>
      </c>
      <c r="D2198" s="114">
        <v>44013.449537037035</v>
      </c>
      <c r="E2198" s="38">
        <v>44013</v>
      </c>
      <c r="F2198" s="91">
        <v>2020</v>
      </c>
      <c r="G2198" s="93">
        <v>7</v>
      </c>
      <c r="H2198" s="37" t="s">
        <v>260</v>
      </c>
      <c r="I2198" s="37" t="s">
        <v>337</v>
      </c>
      <c r="J2198" s="103">
        <v>-92.644954934047959</v>
      </c>
      <c r="K2198" s="40">
        <v>44.843592580782129</v>
      </c>
      <c r="L2198" s="74"/>
      <c r="M2198" s="272" t="s">
        <v>338</v>
      </c>
      <c r="N2198" s="74">
        <v>1</v>
      </c>
      <c r="O2198" s="94"/>
      <c r="P2198" s="118">
        <v>1</v>
      </c>
      <c r="Q2198" s="510">
        <v>0</v>
      </c>
      <c r="R2198" s="513">
        <v>30</v>
      </c>
      <c r="S2198" s="41"/>
      <c r="T2198" s="40"/>
      <c r="U2198" s="40">
        <v>7</v>
      </c>
      <c r="V2198" s="119">
        <v>1</v>
      </c>
      <c r="W2198" s="40">
        <v>100</v>
      </c>
      <c r="X2198" s="119">
        <v>1</v>
      </c>
      <c r="Y2198" s="40">
        <v>66</v>
      </c>
      <c r="Z2198" s="119">
        <v>1</v>
      </c>
      <c r="AA2198" s="368">
        <v>0</v>
      </c>
      <c r="AB2198" s="535">
        <v>2</v>
      </c>
      <c r="AC2198" s="39" t="s">
        <v>160</v>
      </c>
      <c r="AD2198" s="75" t="s">
        <v>10</v>
      </c>
      <c r="AE2198" s="95">
        <v>0</v>
      </c>
      <c r="AF2198" s="75">
        <v>0</v>
      </c>
      <c r="AG2198" s="75">
        <v>0</v>
      </c>
      <c r="AH2198" s="75">
        <v>0</v>
      </c>
      <c r="AI2198" s="75">
        <v>0</v>
      </c>
      <c r="AJ2198" s="75">
        <v>0</v>
      </c>
      <c r="AK2198" s="75">
        <v>0</v>
      </c>
      <c r="AL2198" s="95">
        <v>1</v>
      </c>
      <c r="AM2198" s="92">
        <v>0</v>
      </c>
      <c r="AN2198" s="79"/>
      <c r="AO2198" s="75">
        <v>0</v>
      </c>
      <c r="AP2198" s="75"/>
      <c r="AQ2198" s="122">
        <v>0</v>
      </c>
      <c r="AR2198" s="515" t="s">
        <v>16</v>
      </c>
      <c r="AS2198" s="95">
        <v>-1</v>
      </c>
      <c r="AT2198" s="75">
        <v>-1</v>
      </c>
      <c r="AU2198" s="75">
        <v>-1</v>
      </c>
      <c r="AV2198" s="75">
        <v>-1</v>
      </c>
      <c r="AW2198" s="123">
        <v>1</v>
      </c>
      <c r="AX2198" s="516" t="s">
        <v>339</v>
      </c>
      <c r="AY2198" s="75">
        <v>1</v>
      </c>
      <c r="AZ2198" s="77" t="s">
        <v>131</v>
      </c>
      <c r="BA2198" s="78" t="s">
        <v>131</v>
      </c>
      <c r="BB2198" s="78" t="s">
        <v>131</v>
      </c>
      <c r="BC2198" s="78" t="s">
        <v>131</v>
      </c>
      <c r="BD2198" s="78" t="s">
        <v>131</v>
      </c>
      <c r="BE2198" s="78" t="s">
        <v>131</v>
      </c>
      <c r="BF2198" s="78" t="s">
        <v>131</v>
      </c>
      <c r="BG2198" s="78" t="s">
        <v>132</v>
      </c>
      <c r="BH2198" s="75" t="s">
        <v>5970</v>
      </c>
      <c r="BI2198" s="295" t="s">
        <v>2227</v>
      </c>
      <c r="BJ2198" s="546">
        <v>1</v>
      </c>
      <c r="BK2198" s="294" t="s">
        <v>16</v>
      </c>
      <c r="BL2198" s="157" t="s">
        <v>16</v>
      </c>
      <c r="BM2198" s="548" t="s">
        <v>578</v>
      </c>
      <c r="BN2198" s="548" t="s">
        <v>578</v>
      </c>
      <c r="BO2198" s="157" t="s">
        <v>4341</v>
      </c>
      <c r="BP2198" s="548" t="s">
        <v>4343</v>
      </c>
      <c r="BQ2198" s="157" t="s">
        <v>4309</v>
      </c>
      <c r="BR2198" s="157"/>
    </row>
    <row r="2199" spans="1:70" x14ac:dyDescent="0.25">
      <c r="A2199" s="19" t="s">
        <v>3686</v>
      </c>
      <c r="B2199" s="37" t="s">
        <v>335</v>
      </c>
      <c r="C2199" s="90">
        <v>44003.802048611113</v>
      </c>
      <c r="D2199" s="114">
        <v>44003.552048611113</v>
      </c>
      <c r="E2199" s="38">
        <v>44003</v>
      </c>
      <c r="F2199" s="91">
        <v>2020</v>
      </c>
      <c r="G2199" s="93">
        <v>6</v>
      </c>
      <c r="H2199" s="37" t="s">
        <v>218</v>
      </c>
      <c r="I2199" s="37"/>
      <c r="J2199" s="103">
        <v>-92.613552723677657</v>
      </c>
      <c r="K2199" s="40">
        <v>44.886178495327286</v>
      </c>
      <c r="L2199" s="74"/>
      <c r="M2199" s="272" t="s">
        <v>16</v>
      </c>
      <c r="N2199" s="74">
        <v>0</v>
      </c>
      <c r="O2199" s="94"/>
      <c r="P2199" s="118">
        <v>1</v>
      </c>
      <c r="Q2199" s="510">
        <v>120</v>
      </c>
      <c r="R2199" s="513">
        <v>120</v>
      </c>
      <c r="S2199" s="41"/>
      <c r="T2199" s="40"/>
      <c r="U2199" s="40">
        <v>8</v>
      </c>
      <c r="V2199" s="119">
        <v>0</v>
      </c>
      <c r="W2199" s="40"/>
      <c r="X2199" s="119">
        <v>1</v>
      </c>
      <c r="Y2199" s="40">
        <v>57</v>
      </c>
      <c r="Z2199" s="119">
        <v>1</v>
      </c>
      <c r="AA2199" s="368">
        <v>0</v>
      </c>
      <c r="AB2199" s="535">
        <v>1</v>
      </c>
      <c r="AC2199" s="39" t="s">
        <v>160</v>
      </c>
      <c r="AD2199" s="75" t="s">
        <v>16</v>
      </c>
      <c r="AE2199" s="95">
        <v>-1</v>
      </c>
      <c r="AF2199" s="75">
        <v>-1</v>
      </c>
      <c r="AG2199" s="75">
        <v>-1</v>
      </c>
      <c r="AH2199" s="75">
        <v>-1</v>
      </c>
      <c r="AI2199" s="75">
        <v>-1</v>
      </c>
      <c r="AJ2199" s="75">
        <v>-1</v>
      </c>
      <c r="AK2199" s="75">
        <v>-1</v>
      </c>
      <c r="AL2199" s="95">
        <v>-1</v>
      </c>
      <c r="AM2199" s="92">
        <v>1</v>
      </c>
      <c r="AN2199" s="79"/>
      <c r="AO2199" s="75">
        <v>0</v>
      </c>
      <c r="AP2199" s="75"/>
      <c r="AQ2199" s="122">
        <v>0</v>
      </c>
      <c r="AR2199" s="515" t="s">
        <v>16</v>
      </c>
      <c r="AS2199" s="95">
        <v>-1</v>
      </c>
      <c r="AT2199" s="75">
        <v>-1</v>
      </c>
      <c r="AU2199" s="75">
        <v>-1</v>
      </c>
      <c r="AV2199" s="75">
        <v>-1</v>
      </c>
      <c r="AW2199" s="123">
        <v>1</v>
      </c>
      <c r="AX2199" s="516"/>
      <c r="AY2199" s="75">
        <v>0</v>
      </c>
      <c r="AZ2199" s="77" t="s">
        <v>5971</v>
      </c>
      <c r="BA2199" s="78" t="s">
        <v>5971</v>
      </c>
      <c r="BB2199" s="78" t="s">
        <v>5971</v>
      </c>
      <c r="BC2199" s="78" t="s">
        <v>5971</v>
      </c>
      <c r="BD2199" s="78" t="s">
        <v>5971</v>
      </c>
      <c r="BE2199" s="78" t="s">
        <v>5971</v>
      </c>
      <c r="BF2199" s="78" t="s">
        <v>5971</v>
      </c>
      <c r="BG2199" s="78" t="s">
        <v>5971</v>
      </c>
      <c r="BH2199" s="75" t="s">
        <v>5971</v>
      </c>
      <c r="BI2199" s="295" t="s">
        <v>2227</v>
      </c>
      <c r="BJ2199" s="546">
        <v>1</v>
      </c>
      <c r="BK2199" s="294" t="s">
        <v>16</v>
      </c>
      <c r="BL2199" s="157" t="s">
        <v>16</v>
      </c>
      <c r="BM2199" s="548" t="s">
        <v>578</v>
      </c>
      <c r="BN2199" s="548" t="s">
        <v>578</v>
      </c>
      <c r="BO2199" s="157" t="s">
        <v>4311</v>
      </c>
      <c r="BP2199" s="548" t="s">
        <v>4395</v>
      </c>
      <c r="BQ2199" s="157" t="s">
        <v>4309</v>
      </c>
      <c r="BR2199" s="157"/>
    </row>
    <row r="2200" spans="1:70" x14ac:dyDescent="0.25">
      <c r="A2200" s="19" t="s">
        <v>3686</v>
      </c>
      <c r="B2200" s="37" t="s">
        <v>334</v>
      </c>
      <c r="C2200" s="90">
        <v>44003.637199074074</v>
      </c>
      <c r="D2200" s="114">
        <v>44003.387199074074</v>
      </c>
      <c r="E2200" s="38">
        <v>44003</v>
      </c>
      <c r="F2200" s="91">
        <v>2020</v>
      </c>
      <c r="G2200" s="93">
        <v>6</v>
      </c>
      <c r="H2200" s="37" t="s">
        <v>218</v>
      </c>
      <c r="I2200" s="37"/>
      <c r="J2200" s="103">
        <v>-92.57250164346388</v>
      </c>
      <c r="K2200" s="40">
        <v>44.717797566063062</v>
      </c>
      <c r="L2200" s="74"/>
      <c r="M2200" s="272" t="s">
        <v>16</v>
      </c>
      <c r="N2200" s="74">
        <v>0</v>
      </c>
      <c r="O2200" s="94"/>
      <c r="P2200" s="118">
        <v>1</v>
      </c>
      <c r="Q2200" s="510">
        <v>180</v>
      </c>
      <c r="R2200" s="513">
        <v>120</v>
      </c>
      <c r="S2200" s="41"/>
      <c r="T2200" s="40"/>
      <c r="U2200" s="40">
        <v>7.5</v>
      </c>
      <c r="V2200" s="119">
        <v>0</v>
      </c>
      <c r="W2200" s="40"/>
      <c r="X2200" s="119">
        <v>1</v>
      </c>
      <c r="Y2200" s="40">
        <v>55</v>
      </c>
      <c r="Z2200" s="119">
        <v>1</v>
      </c>
      <c r="AA2200" s="368">
        <v>0</v>
      </c>
      <c r="AB2200" s="535">
        <v>5</v>
      </c>
      <c r="AC2200" s="39" t="s">
        <v>160</v>
      </c>
      <c r="AD2200" s="75" t="s">
        <v>10</v>
      </c>
      <c r="AE2200" s="95">
        <v>0</v>
      </c>
      <c r="AF2200" s="75">
        <v>0</v>
      </c>
      <c r="AG2200" s="75">
        <v>0</v>
      </c>
      <c r="AH2200" s="75">
        <v>0</v>
      </c>
      <c r="AI2200" s="75">
        <v>0</v>
      </c>
      <c r="AJ2200" s="75">
        <v>0</v>
      </c>
      <c r="AK2200" s="75">
        <v>0</v>
      </c>
      <c r="AL2200" s="95">
        <v>1</v>
      </c>
      <c r="AM2200" s="92">
        <v>0</v>
      </c>
      <c r="AN2200" s="79" t="s">
        <v>81</v>
      </c>
      <c r="AO2200" s="75">
        <v>1</v>
      </c>
      <c r="AP2200" s="75" t="s">
        <v>84</v>
      </c>
      <c r="AQ2200" s="122">
        <v>1</v>
      </c>
      <c r="AR2200" s="515" t="s">
        <v>13</v>
      </c>
      <c r="AS2200" s="95">
        <v>1</v>
      </c>
      <c r="AT2200" s="75">
        <v>0</v>
      </c>
      <c r="AU2200" s="75">
        <v>0</v>
      </c>
      <c r="AV2200" s="75">
        <v>0</v>
      </c>
      <c r="AW2200" s="123">
        <v>0</v>
      </c>
      <c r="AX2200" s="516"/>
      <c r="AY2200" s="75">
        <v>0</v>
      </c>
      <c r="AZ2200" s="77" t="s">
        <v>131</v>
      </c>
      <c r="BA2200" s="78" t="s">
        <v>131</v>
      </c>
      <c r="BB2200" s="78" t="s">
        <v>131</v>
      </c>
      <c r="BC2200" s="78" t="s">
        <v>131</v>
      </c>
      <c r="BD2200" s="78" t="s">
        <v>131</v>
      </c>
      <c r="BE2200" s="78" t="s">
        <v>131</v>
      </c>
      <c r="BF2200" s="78" t="s">
        <v>131</v>
      </c>
      <c r="BG2200" s="78" t="s">
        <v>132</v>
      </c>
      <c r="BH2200" s="75" t="s">
        <v>5970</v>
      </c>
      <c r="BI2200" s="295" t="s">
        <v>2237</v>
      </c>
      <c r="BJ2200" s="546">
        <v>1</v>
      </c>
      <c r="BK2200" s="294" t="s">
        <v>16</v>
      </c>
      <c r="BL2200" s="157" t="s">
        <v>16</v>
      </c>
      <c r="BM2200" s="548" t="s">
        <v>578</v>
      </c>
      <c r="BN2200" s="548" t="s">
        <v>578</v>
      </c>
      <c r="BO2200" s="157" t="s">
        <v>4659</v>
      </c>
      <c r="BP2200" s="548" t="s">
        <v>4737</v>
      </c>
      <c r="BQ2200" s="157" t="s">
        <v>4657</v>
      </c>
      <c r="BR2200" s="157"/>
    </row>
    <row r="2201" spans="1:70" x14ac:dyDescent="0.25">
      <c r="A2201" s="19" t="s">
        <v>3686</v>
      </c>
      <c r="B2201" s="37" t="s">
        <v>333</v>
      </c>
      <c r="C2201" s="90">
        <v>44002.93346064815</v>
      </c>
      <c r="D2201" s="114">
        <v>44002.68346064815</v>
      </c>
      <c r="E2201" s="38">
        <v>44002</v>
      </c>
      <c r="F2201" s="91">
        <v>2020</v>
      </c>
      <c r="G2201" s="93">
        <v>6</v>
      </c>
      <c r="H2201" s="37" t="s">
        <v>218</v>
      </c>
      <c r="I2201" s="37"/>
      <c r="J2201" s="103">
        <v>-92.613560913346362</v>
      </c>
      <c r="K2201" s="40">
        <v>44.886186607105742</v>
      </c>
      <c r="L2201" s="74"/>
      <c r="M2201" s="272" t="s">
        <v>16</v>
      </c>
      <c r="N2201" s="74">
        <v>0</v>
      </c>
      <c r="O2201" s="94"/>
      <c r="P2201" s="118">
        <v>1</v>
      </c>
      <c r="Q2201" s="510">
        <v>120</v>
      </c>
      <c r="R2201" s="513">
        <v>120</v>
      </c>
      <c r="S2201" s="41"/>
      <c r="T2201" s="40"/>
      <c r="U2201" s="40">
        <v>7</v>
      </c>
      <c r="V2201" s="119">
        <v>0</v>
      </c>
      <c r="W2201" s="40"/>
      <c r="X2201" s="119">
        <v>0</v>
      </c>
      <c r="Y2201" s="40"/>
      <c r="Z2201" s="119">
        <v>1</v>
      </c>
      <c r="AA2201" s="368">
        <v>0</v>
      </c>
      <c r="AB2201" s="535">
        <v>5</v>
      </c>
      <c r="AC2201" s="39" t="s">
        <v>160</v>
      </c>
      <c r="AD2201" s="75" t="s">
        <v>10</v>
      </c>
      <c r="AE2201" s="95">
        <v>0</v>
      </c>
      <c r="AF2201" s="75">
        <v>0</v>
      </c>
      <c r="AG2201" s="75">
        <v>0</v>
      </c>
      <c r="AH2201" s="75">
        <v>0</v>
      </c>
      <c r="AI2201" s="75">
        <v>0</v>
      </c>
      <c r="AJ2201" s="75">
        <v>0</v>
      </c>
      <c r="AK2201" s="75">
        <v>0</v>
      </c>
      <c r="AL2201" s="95">
        <v>1</v>
      </c>
      <c r="AM2201" s="92">
        <v>0</v>
      </c>
      <c r="AN2201" s="79" t="s">
        <v>80</v>
      </c>
      <c r="AO2201" s="75">
        <v>1</v>
      </c>
      <c r="AP2201" s="75" t="s">
        <v>83</v>
      </c>
      <c r="AQ2201" s="122">
        <v>1</v>
      </c>
      <c r="AR2201" s="515" t="s">
        <v>13</v>
      </c>
      <c r="AS2201" s="95">
        <v>1</v>
      </c>
      <c r="AT2201" s="75">
        <v>0</v>
      </c>
      <c r="AU2201" s="75">
        <v>0</v>
      </c>
      <c r="AV2201" s="75">
        <v>0</v>
      </c>
      <c r="AW2201" s="123">
        <v>0</v>
      </c>
      <c r="AX2201" s="516"/>
      <c r="AY2201" s="75">
        <v>0</v>
      </c>
      <c r="AZ2201" s="77" t="s">
        <v>131</v>
      </c>
      <c r="BA2201" s="78" t="s">
        <v>131</v>
      </c>
      <c r="BB2201" s="78" t="s">
        <v>131</v>
      </c>
      <c r="BC2201" s="78" t="s">
        <v>131</v>
      </c>
      <c r="BD2201" s="78" t="s">
        <v>131</v>
      </c>
      <c r="BE2201" s="78" t="s">
        <v>131</v>
      </c>
      <c r="BF2201" s="78" t="s">
        <v>131</v>
      </c>
      <c r="BG2201" s="78" t="s">
        <v>132</v>
      </c>
      <c r="BH2201" s="75" t="s">
        <v>5970</v>
      </c>
      <c r="BI2201" s="295" t="s">
        <v>2227</v>
      </c>
      <c r="BJ2201" s="546">
        <v>1</v>
      </c>
      <c r="BK2201" s="294" t="s">
        <v>16</v>
      </c>
      <c r="BL2201" s="157" t="s">
        <v>16</v>
      </c>
      <c r="BM2201" s="548" t="s">
        <v>578</v>
      </c>
      <c r="BN2201" s="548" t="s">
        <v>578</v>
      </c>
      <c r="BO2201" s="157" t="s">
        <v>4311</v>
      </c>
      <c r="BP2201" s="548" t="s">
        <v>4395</v>
      </c>
      <c r="BQ2201" s="157" t="s">
        <v>4309</v>
      </c>
      <c r="BR2201" s="157"/>
    </row>
    <row r="2202" spans="1:70" x14ac:dyDescent="0.25">
      <c r="A2202" s="19" t="s">
        <v>3686</v>
      </c>
      <c r="B2202" s="37" t="s">
        <v>330</v>
      </c>
      <c r="C2202" s="90">
        <v>44001.867118055554</v>
      </c>
      <c r="D2202" s="114">
        <v>44001.617118055554</v>
      </c>
      <c r="E2202" s="38">
        <v>44001</v>
      </c>
      <c r="F2202" s="91">
        <v>2020</v>
      </c>
      <c r="G2202" s="93">
        <v>6</v>
      </c>
      <c r="H2202" s="37" t="s">
        <v>201</v>
      </c>
      <c r="I2202" s="37"/>
      <c r="J2202" s="103">
        <v>-92.6209006755942</v>
      </c>
      <c r="K2202" s="40">
        <v>44.876199383571162</v>
      </c>
      <c r="L2202" s="74"/>
      <c r="M2202" s="272" t="s">
        <v>331</v>
      </c>
      <c r="N2202" s="74">
        <v>1</v>
      </c>
      <c r="O2202" s="94"/>
      <c r="P2202" s="118">
        <v>1</v>
      </c>
      <c r="Q2202" s="510">
        <v>180</v>
      </c>
      <c r="R2202" s="513">
        <v>180</v>
      </c>
      <c r="S2202" s="41"/>
      <c r="T2202" s="40"/>
      <c r="U2202" s="40">
        <v>7.5</v>
      </c>
      <c r="V2202" s="119">
        <v>1</v>
      </c>
      <c r="W2202" s="40">
        <v>0</v>
      </c>
      <c r="X2202" s="119">
        <v>1</v>
      </c>
      <c r="Y2202" s="40">
        <v>64</v>
      </c>
      <c r="Z2202" s="119">
        <v>1</v>
      </c>
      <c r="AA2202" s="368">
        <v>0</v>
      </c>
      <c r="AB2202" s="535">
        <v>2</v>
      </c>
      <c r="AC2202" s="39" t="s">
        <v>160</v>
      </c>
      <c r="AD2202" s="75" t="s">
        <v>8</v>
      </c>
      <c r="AE2202" s="95">
        <v>0</v>
      </c>
      <c r="AF2202" s="75">
        <v>1</v>
      </c>
      <c r="AG2202" s="75">
        <v>0</v>
      </c>
      <c r="AH2202" s="75">
        <v>0</v>
      </c>
      <c r="AI2202" s="75">
        <v>0</v>
      </c>
      <c r="AJ2202" s="75">
        <v>0</v>
      </c>
      <c r="AK2202" s="75">
        <v>0</v>
      </c>
      <c r="AL2202" s="95">
        <v>0</v>
      </c>
      <c r="AM2202" s="92">
        <v>0</v>
      </c>
      <c r="AN2202" s="79" t="s">
        <v>80</v>
      </c>
      <c r="AO2202" s="75">
        <v>1</v>
      </c>
      <c r="AP2202" s="75" t="s">
        <v>83</v>
      </c>
      <c r="AQ2202" s="122">
        <v>1</v>
      </c>
      <c r="AR2202" s="515" t="s">
        <v>13</v>
      </c>
      <c r="AS2202" s="95">
        <v>1</v>
      </c>
      <c r="AT2202" s="75">
        <v>0</v>
      </c>
      <c r="AU2202" s="75">
        <v>0</v>
      </c>
      <c r="AV2202" s="75">
        <v>0</v>
      </c>
      <c r="AW2202" s="123">
        <v>0</v>
      </c>
      <c r="AX2202" s="516" t="s">
        <v>332</v>
      </c>
      <c r="AY2202" s="75">
        <v>1</v>
      </c>
      <c r="AZ2202" s="77" t="s">
        <v>131</v>
      </c>
      <c r="BA2202" s="78" t="s">
        <v>132</v>
      </c>
      <c r="BB2202" s="78" t="s">
        <v>131</v>
      </c>
      <c r="BC2202" s="78" t="s">
        <v>131</v>
      </c>
      <c r="BD2202" s="78" t="s">
        <v>131</v>
      </c>
      <c r="BE2202" s="78" t="s">
        <v>131</v>
      </c>
      <c r="BF2202" s="78" t="s">
        <v>131</v>
      </c>
      <c r="BG2202" s="78" t="s">
        <v>131</v>
      </c>
      <c r="BH2202" s="75" t="s">
        <v>5970</v>
      </c>
      <c r="BI2202" s="295" t="s">
        <v>2227</v>
      </c>
      <c r="BJ2202" s="546">
        <v>1</v>
      </c>
      <c r="BK2202" s="294" t="s">
        <v>16</v>
      </c>
      <c r="BL2202" s="157" t="s">
        <v>16</v>
      </c>
      <c r="BM2202" s="548" t="s">
        <v>578</v>
      </c>
      <c r="BN2202" s="548" t="s">
        <v>578</v>
      </c>
      <c r="BO2202" s="157" t="s">
        <v>4311</v>
      </c>
      <c r="BP2202" s="548" t="s">
        <v>4395</v>
      </c>
      <c r="BQ2202" s="157" t="s">
        <v>4309</v>
      </c>
      <c r="BR2202" s="157"/>
    </row>
    <row r="2203" spans="1:70" x14ac:dyDescent="0.25">
      <c r="A2203" s="19" t="s">
        <v>3686</v>
      </c>
      <c r="B2203" s="37" t="s">
        <v>327</v>
      </c>
      <c r="C2203" s="90">
        <v>44001.827685185184</v>
      </c>
      <c r="D2203" s="114">
        <v>44001.577685185184</v>
      </c>
      <c r="E2203" s="38">
        <v>44001</v>
      </c>
      <c r="F2203" s="91">
        <v>2020</v>
      </c>
      <c r="G2203" s="93">
        <v>6</v>
      </c>
      <c r="H2203" s="37" t="s">
        <v>201</v>
      </c>
      <c r="I2203" s="37"/>
      <c r="J2203" s="103">
        <v>-92.732208249728316</v>
      </c>
      <c r="K2203" s="40">
        <v>44.830974199185754</v>
      </c>
      <c r="L2203" s="74"/>
      <c r="M2203" s="272" t="s">
        <v>328</v>
      </c>
      <c r="N2203" s="74">
        <v>1</v>
      </c>
      <c r="O2203" s="94"/>
      <c r="P2203" s="118">
        <v>1</v>
      </c>
      <c r="Q2203" s="510">
        <v>120</v>
      </c>
      <c r="R2203" s="513">
        <v>120</v>
      </c>
      <c r="S2203" s="41"/>
      <c r="T2203" s="40"/>
      <c r="U2203" s="40">
        <v>8</v>
      </c>
      <c r="V2203" s="119">
        <v>1</v>
      </c>
      <c r="W2203" s="40">
        <v>0</v>
      </c>
      <c r="X2203" s="119">
        <v>1</v>
      </c>
      <c r="Y2203" s="40">
        <v>63</v>
      </c>
      <c r="Z2203" s="119">
        <v>1</v>
      </c>
      <c r="AA2203" s="368">
        <v>0</v>
      </c>
      <c r="AB2203" s="535">
        <v>10</v>
      </c>
      <c r="AC2203" s="39" t="s">
        <v>160</v>
      </c>
      <c r="AD2203" s="75" t="s">
        <v>8</v>
      </c>
      <c r="AE2203" s="95">
        <v>0</v>
      </c>
      <c r="AF2203" s="75">
        <v>1</v>
      </c>
      <c r="AG2203" s="75">
        <v>0</v>
      </c>
      <c r="AH2203" s="75">
        <v>0</v>
      </c>
      <c r="AI2203" s="75">
        <v>0</v>
      </c>
      <c r="AJ2203" s="75">
        <v>0</v>
      </c>
      <c r="AK2203" s="75">
        <v>0</v>
      </c>
      <c r="AL2203" s="95">
        <v>0</v>
      </c>
      <c r="AM2203" s="92">
        <v>0</v>
      </c>
      <c r="AN2203" s="79" t="s">
        <v>80</v>
      </c>
      <c r="AO2203" s="75">
        <v>1</v>
      </c>
      <c r="AP2203" s="75" t="s">
        <v>83</v>
      </c>
      <c r="AQ2203" s="122">
        <v>1</v>
      </c>
      <c r="AR2203" s="515" t="s">
        <v>13</v>
      </c>
      <c r="AS2203" s="95">
        <v>1</v>
      </c>
      <c r="AT2203" s="75">
        <v>0</v>
      </c>
      <c r="AU2203" s="75">
        <v>0</v>
      </c>
      <c r="AV2203" s="75">
        <v>0</v>
      </c>
      <c r="AW2203" s="123">
        <v>0</v>
      </c>
      <c r="AX2203" s="516" t="s">
        <v>329</v>
      </c>
      <c r="AY2203" s="75">
        <v>1</v>
      </c>
      <c r="AZ2203" s="77" t="s">
        <v>131</v>
      </c>
      <c r="BA2203" s="78" t="s">
        <v>132</v>
      </c>
      <c r="BB2203" s="78" t="s">
        <v>131</v>
      </c>
      <c r="BC2203" s="78" t="s">
        <v>131</v>
      </c>
      <c r="BD2203" s="78" t="s">
        <v>131</v>
      </c>
      <c r="BE2203" s="78" t="s">
        <v>131</v>
      </c>
      <c r="BF2203" s="78" t="s">
        <v>131</v>
      </c>
      <c r="BG2203" s="78" t="s">
        <v>131</v>
      </c>
      <c r="BH2203" s="75" t="s">
        <v>5970</v>
      </c>
      <c r="BI2203" s="295" t="s">
        <v>2227</v>
      </c>
      <c r="BJ2203" s="546">
        <v>1</v>
      </c>
      <c r="BK2203" s="294" t="s">
        <v>16</v>
      </c>
      <c r="BL2203" s="157" t="s">
        <v>16</v>
      </c>
      <c r="BM2203" s="548" t="s">
        <v>578</v>
      </c>
      <c r="BN2203" s="548" t="s">
        <v>578</v>
      </c>
      <c r="BO2203" s="157" t="s">
        <v>4341</v>
      </c>
      <c r="BP2203" s="548" t="s">
        <v>4343</v>
      </c>
      <c r="BQ2203" s="157" t="s">
        <v>4309</v>
      </c>
      <c r="BR2203" s="157"/>
    </row>
    <row r="2204" spans="1:70" x14ac:dyDescent="0.25">
      <c r="A2204" s="19" t="s">
        <v>3686</v>
      </c>
      <c r="B2204" s="37" t="s">
        <v>324</v>
      </c>
      <c r="C2204" s="90">
        <v>43991.676377314812</v>
      </c>
      <c r="D2204" s="114">
        <v>43991.426377314812</v>
      </c>
      <c r="E2204" s="38">
        <v>43991</v>
      </c>
      <c r="F2204" s="91">
        <v>2020</v>
      </c>
      <c r="G2204" s="93">
        <v>6</v>
      </c>
      <c r="H2204" s="37" t="s">
        <v>302</v>
      </c>
      <c r="I2204" s="37"/>
      <c r="J2204" s="103">
        <v>-92.115674503233393</v>
      </c>
      <c r="K2204" s="40">
        <v>44.020694098476341</v>
      </c>
      <c r="L2204" s="74"/>
      <c r="M2204" s="272" t="s">
        <v>325</v>
      </c>
      <c r="N2204" s="74">
        <v>1</v>
      </c>
      <c r="O2204" s="94"/>
      <c r="P2204" s="118">
        <v>1</v>
      </c>
      <c r="Q2204" s="510">
        <v>120</v>
      </c>
      <c r="R2204" s="513">
        <v>120</v>
      </c>
      <c r="S2204" s="41"/>
      <c r="T2204" s="40"/>
      <c r="U2204" s="40">
        <v>7.5</v>
      </c>
      <c r="V2204" s="119">
        <v>1</v>
      </c>
      <c r="W2204" s="40">
        <v>100</v>
      </c>
      <c r="X2204" s="119">
        <v>0</v>
      </c>
      <c r="Y2204" s="40"/>
      <c r="Z2204" s="119">
        <v>1</v>
      </c>
      <c r="AA2204" s="368">
        <v>0</v>
      </c>
      <c r="AB2204" s="535">
        <v>10</v>
      </c>
      <c r="AC2204" s="39" t="s">
        <v>160</v>
      </c>
      <c r="AD2204" s="75" t="s">
        <v>10</v>
      </c>
      <c r="AE2204" s="95">
        <v>0</v>
      </c>
      <c r="AF2204" s="75">
        <v>0</v>
      </c>
      <c r="AG2204" s="75">
        <v>0</v>
      </c>
      <c r="AH2204" s="75">
        <v>0</v>
      </c>
      <c r="AI2204" s="75">
        <v>0</v>
      </c>
      <c r="AJ2204" s="75">
        <v>0</v>
      </c>
      <c r="AK2204" s="75">
        <v>0</v>
      </c>
      <c r="AL2204" s="95">
        <v>1</v>
      </c>
      <c r="AM2204" s="92">
        <v>0</v>
      </c>
      <c r="AN2204" s="79" t="s">
        <v>80</v>
      </c>
      <c r="AO2204" s="75">
        <v>1</v>
      </c>
      <c r="AP2204" s="75" t="s">
        <v>83</v>
      </c>
      <c r="AQ2204" s="122">
        <v>1</v>
      </c>
      <c r="AR2204" s="515" t="s">
        <v>10</v>
      </c>
      <c r="AS2204" s="95">
        <v>0</v>
      </c>
      <c r="AT2204" s="75">
        <v>0</v>
      </c>
      <c r="AU2204" s="75">
        <v>0</v>
      </c>
      <c r="AV2204" s="75">
        <v>0</v>
      </c>
      <c r="AW2204" s="123">
        <v>0</v>
      </c>
      <c r="AX2204" s="516" t="s">
        <v>326</v>
      </c>
      <c r="AY2204" s="75">
        <v>1</v>
      </c>
      <c r="AZ2204" s="77" t="s">
        <v>131</v>
      </c>
      <c r="BA2204" s="78" t="s">
        <v>131</v>
      </c>
      <c r="BB2204" s="78" t="s">
        <v>131</v>
      </c>
      <c r="BC2204" s="78" t="s">
        <v>131</v>
      </c>
      <c r="BD2204" s="78" t="s">
        <v>131</v>
      </c>
      <c r="BE2204" s="78" t="s">
        <v>131</v>
      </c>
      <c r="BF2204" s="78" t="s">
        <v>131</v>
      </c>
      <c r="BG2204" s="78" t="s">
        <v>132</v>
      </c>
      <c r="BH2204" s="75" t="s">
        <v>5970</v>
      </c>
      <c r="BI2204" s="295" t="s">
        <v>2262</v>
      </c>
      <c r="BJ2204" s="546">
        <v>1</v>
      </c>
      <c r="BK2204" s="294">
        <v>1</v>
      </c>
      <c r="BL2204" s="157">
        <v>1</v>
      </c>
      <c r="BM2204" s="548" t="s">
        <v>1339</v>
      </c>
      <c r="BN2204" s="548" t="s">
        <v>4160</v>
      </c>
      <c r="BO2204" s="157" t="s">
        <v>4364</v>
      </c>
      <c r="BP2204" s="548" t="s">
        <v>2292</v>
      </c>
      <c r="BQ2204" s="157" t="s">
        <v>4361</v>
      </c>
      <c r="BR2204" s="157"/>
    </row>
    <row r="2205" spans="1:70" x14ac:dyDescent="0.25">
      <c r="A2205" s="19" t="s">
        <v>3686</v>
      </c>
      <c r="B2205" s="37" t="s">
        <v>321</v>
      </c>
      <c r="C2205" s="90">
        <v>43991.635324074072</v>
      </c>
      <c r="D2205" s="114">
        <v>43991.385324074072</v>
      </c>
      <c r="E2205" s="38">
        <v>43991</v>
      </c>
      <c r="F2205" s="91">
        <v>2020</v>
      </c>
      <c r="G2205" s="93">
        <v>6</v>
      </c>
      <c r="H2205" s="37" t="s">
        <v>302</v>
      </c>
      <c r="I2205" s="37"/>
      <c r="J2205" s="103">
        <v>-91.931029474448366</v>
      </c>
      <c r="K2205" s="40">
        <v>44.157120343338846</v>
      </c>
      <c r="L2205" s="74"/>
      <c r="M2205" s="272" t="s">
        <v>322</v>
      </c>
      <c r="N2205" s="74">
        <v>1</v>
      </c>
      <c r="O2205" s="94"/>
      <c r="P2205" s="118">
        <v>1</v>
      </c>
      <c r="Q2205" s="510">
        <v>180</v>
      </c>
      <c r="R2205" s="513">
        <v>60</v>
      </c>
      <c r="S2205" s="41"/>
      <c r="T2205" s="40"/>
      <c r="U2205" s="40">
        <v>8</v>
      </c>
      <c r="V2205" s="119">
        <v>1</v>
      </c>
      <c r="W2205" s="40">
        <v>0</v>
      </c>
      <c r="X2205" s="119">
        <v>0</v>
      </c>
      <c r="Y2205" s="40"/>
      <c r="Z2205" s="119">
        <v>1</v>
      </c>
      <c r="AA2205" s="368">
        <v>0</v>
      </c>
      <c r="AB2205" s="535">
        <v>5</v>
      </c>
      <c r="AC2205" s="39" t="s">
        <v>160</v>
      </c>
      <c r="AD2205" s="75" t="s">
        <v>10</v>
      </c>
      <c r="AE2205" s="95">
        <v>0</v>
      </c>
      <c r="AF2205" s="75">
        <v>0</v>
      </c>
      <c r="AG2205" s="75">
        <v>0</v>
      </c>
      <c r="AH2205" s="75">
        <v>0</v>
      </c>
      <c r="AI2205" s="75">
        <v>0</v>
      </c>
      <c r="AJ2205" s="75">
        <v>0</v>
      </c>
      <c r="AK2205" s="75">
        <v>0</v>
      </c>
      <c r="AL2205" s="95">
        <v>1</v>
      </c>
      <c r="AM2205" s="92">
        <v>0</v>
      </c>
      <c r="AN2205" s="79" t="s">
        <v>80</v>
      </c>
      <c r="AO2205" s="75">
        <v>1</v>
      </c>
      <c r="AP2205" s="75" t="s">
        <v>83</v>
      </c>
      <c r="AQ2205" s="122">
        <v>1</v>
      </c>
      <c r="AR2205" s="515" t="s">
        <v>10</v>
      </c>
      <c r="AS2205" s="95">
        <v>0</v>
      </c>
      <c r="AT2205" s="75">
        <v>0</v>
      </c>
      <c r="AU2205" s="75">
        <v>0</v>
      </c>
      <c r="AV2205" s="75">
        <v>0</v>
      </c>
      <c r="AW2205" s="123">
        <v>0</v>
      </c>
      <c r="AX2205" s="516" t="s">
        <v>323</v>
      </c>
      <c r="AY2205" s="75">
        <v>1</v>
      </c>
      <c r="AZ2205" s="77" t="s">
        <v>131</v>
      </c>
      <c r="BA2205" s="78" t="s">
        <v>131</v>
      </c>
      <c r="BB2205" s="78" t="s">
        <v>131</v>
      </c>
      <c r="BC2205" s="78" t="s">
        <v>131</v>
      </c>
      <c r="BD2205" s="78" t="s">
        <v>131</v>
      </c>
      <c r="BE2205" s="78" t="s">
        <v>131</v>
      </c>
      <c r="BF2205" s="78" t="s">
        <v>131</v>
      </c>
      <c r="BG2205" s="78" t="s">
        <v>132</v>
      </c>
      <c r="BH2205" s="75" t="s">
        <v>5970</v>
      </c>
      <c r="BI2205" s="295" t="s">
        <v>2254</v>
      </c>
      <c r="BJ2205" s="546">
        <v>1</v>
      </c>
      <c r="BK2205" s="294">
        <v>1</v>
      </c>
      <c r="BL2205" s="157">
        <v>1</v>
      </c>
      <c r="BM2205" s="548" t="s">
        <v>1341</v>
      </c>
      <c r="BN2205" s="548" t="s">
        <v>4160</v>
      </c>
      <c r="BO2205" s="157" t="s">
        <v>4655</v>
      </c>
      <c r="BP2205" s="548" t="s">
        <v>2254</v>
      </c>
      <c r="BQ2205" s="157" t="s">
        <v>4361</v>
      </c>
      <c r="BR2205" s="157"/>
    </row>
    <row r="2206" spans="1:70" x14ac:dyDescent="0.25">
      <c r="A2206" s="19" t="s">
        <v>3686</v>
      </c>
      <c r="B2206" s="37" t="s">
        <v>318</v>
      </c>
      <c r="C2206" s="90">
        <v>43990.76457175926</v>
      </c>
      <c r="D2206" s="114">
        <v>43990.51457175926</v>
      </c>
      <c r="E2206" s="38">
        <v>43990</v>
      </c>
      <c r="F2206" s="91">
        <v>2020</v>
      </c>
      <c r="G2206" s="93">
        <v>6</v>
      </c>
      <c r="H2206" s="37" t="s">
        <v>302</v>
      </c>
      <c r="I2206" s="37"/>
      <c r="J2206" s="103">
        <v>-92.026056954722876</v>
      </c>
      <c r="K2206" s="40">
        <v>44.215624686371733</v>
      </c>
      <c r="L2206" s="74"/>
      <c r="M2206" s="272" t="s">
        <v>319</v>
      </c>
      <c r="N2206" s="74">
        <v>1</v>
      </c>
      <c r="O2206" s="94"/>
      <c r="P2206" s="118">
        <v>1</v>
      </c>
      <c r="Q2206" s="510">
        <v>120</v>
      </c>
      <c r="R2206" s="513">
        <v>60</v>
      </c>
      <c r="S2206" s="41"/>
      <c r="T2206" s="40"/>
      <c r="U2206" s="40">
        <v>7.5</v>
      </c>
      <c r="V2206" s="119">
        <v>0</v>
      </c>
      <c r="W2206" s="40"/>
      <c r="X2206" s="119">
        <v>0</v>
      </c>
      <c r="Y2206" s="40"/>
      <c r="Z2206" s="119">
        <v>1</v>
      </c>
      <c r="AA2206" s="368">
        <v>0</v>
      </c>
      <c r="AB2206" s="535">
        <v>5</v>
      </c>
      <c r="AC2206" s="39" t="s">
        <v>160</v>
      </c>
      <c r="AD2206" s="75" t="s">
        <v>10</v>
      </c>
      <c r="AE2206" s="95">
        <v>0</v>
      </c>
      <c r="AF2206" s="75">
        <v>0</v>
      </c>
      <c r="AG2206" s="75">
        <v>0</v>
      </c>
      <c r="AH2206" s="75">
        <v>0</v>
      </c>
      <c r="AI2206" s="75">
        <v>0</v>
      </c>
      <c r="AJ2206" s="75">
        <v>0</v>
      </c>
      <c r="AK2206" s="75">
        <v>0</v>
      </c>
      <c r="AL2206" s="95">
        <v>1</v>
      </c>
      <c r="AM2206" s="92">
        <v>0</v>
      </c>
      <c r="AN2206" s="79" t="s">
        <v>80</v>
      </c>
      <c r="AO2206" s="75">
        <v>1</v>
      </c>
      <c r="AP2206" s="75" t="s">
        <v>83</v>
      </c>
      <c r="AQ2206" s="122">
        <v>1</v>
      </c>
      <c r="AR2206" s="515" t="s">
        <v>10</v>
      </c>
      <c r="AS2206" s="95">
        <v>0</v>
      </c>
      <c r="AT2206" s="75">
        <v>0</v>
      </c>
      <c r="AU2206" s="75">
        <v>0</v>
      </c>
      <c r="AV2206" s="75">
        <v>0</v>
      </c>
      <c r="AW2206" s="123">
        <v>0</v>
      </c>
      <c r="AX2206" s="516" t="s">
        <v>320</v>
      </c>
      <c r="AY2206" s="75">
        <v>1</v>
      </c>
      <c r="AZ2206" s="77" t="s">
        <v>131</v>
      </c>
      <c r="BA2206" s="78" t="s">
        <v>131</v>
      </c>
      <c r="BB2206" s="78" t="s">
        <v>131</v>
      </c>
      <c r="BC2206" s="78" t="s">
        <v>131</v>
      </c>
      <c r="BD2206" s="78" t="s">
        <v>131</v>
      </c>
      <c r="BE2206" s="78" t="s">
        <v>131</v>
      </c>
      <c r="BF2206" s="78" t="s">
        <v>131</v>
      </c>
      <c r="BG2206" s="78" t="s">
        <v>132</v>
      </c>
      <c r="BH2206" s="75" t="s">
        <v>5970</v>
      </c>
      <c r="BI2206" s="295" t="s">
        <v>2256</v>
      </c>
      <c r="BJ2206" s="546">
        <v>1</v>
      </c>
      <c r="BK2206" s="294">
        <v>1</v>
      </c>
      <c r="BL2206" s="157">
        <v>1</v>
      </c>
      <c r="BM2206" s="548" t="s">
        <v>1341</v>
      </c>
      <c r="BN2206" s="548" t="s">
        <v>4160</v>
      </c>
      <c r="BO2206" s="157" t="s">
        <v>4507</v>
      </c>
      <c r="BP2206" s="548" t="s">
        <v>2256</v>
      </c>
      <c r="BQ2206" s="157" t="s">
        <v>4269</v>
      </c>
      <c r="BR2206" s="157"/>
    </row>
    <row r="2207" spans="1:70" x14ac:dyDescent="0.25">
      <c r="A2207" s="19" t="s">
        <v>3686</v>
      </c>
      <c r="B2207" s="37" t="s">
        <v>315</v>
      </c>
      <c r="C2207" s="90">
        <v>43990.699872685182</v>
      </c>
      <c r="D2207" s="114">
        <v>43990.449872685182</v>
      </c>
      <c r="E2207" s="38">
        <v>43990</v>
      </c>
      <c r="F2207" s="91">
        <v>2020</v>
      </c>
      <c r="G2207" s="93">
        <v>6</v>
      </c>
      <c r="H2207" s="37" t="s">
        <v>302</v>
      </c>
      <c r="I2207" s="37"/>
      <c r="J2207" s="103">
        <v>-92.14339940817294</v>
      </c>
      <c r="K2207" s="40">
        <v>44.236267386045526</v>
      </c>
      <c r="L2207" s="74"/>
      <c r="M2207" s="272" t="s">
        <v>316</v>
      </c>
      <c r="N2207" s="74">
        <v>1</v>
      </c>
      <c r="O2207" s="94"/>
      <c r="P2207" s="118">
        <v>1</v>
      </c>
      <c r="Q2207" s="510">
        <v>80</v>
      </c>
      <c r="R2207" s="513">
        <v>60</v>
      </c>
      <c r="S2207" s="41"/>
      <c r="T2207" s="40"/>
      <c r="U2207" s="40">
        <v>8</v>
      </c>
      <c r="V2207" s="119">
        <v>0</v>
      </c>
      <c r="W2207" s="40"/>
      <c r="X2207" s="119">
        <v>0</v>
      </c>
      <c r="Y2207" s="40"/>
      <c r="Z2207" s="119">
        <v>1</v>
      </c>
      <c r="AA2207" s="368">
        <v>0</v>
      </c>
      <c r="AB2207" s="535">
        <v>5</v>
      </c>
      <c r="AC2207" s="39" t="s">
        <v>160</v>
      </c>
      <c r="AD2207" s="75" t="s">
        <v>8</v>
      </c>
      <c r="AE2207" s="95">
        <v>0</v>
      </c>
      <c r="AF2207" s="75">
        <v>1</v>
      </c>
      <c r="AG2207" s="75">
        <v>0</v>
      </c>
      <c r="AH2207" s="75">
        <v>0</v>
      </c>
      <c r="AI2207" s="75">
        <v>0</v>
      </c>
      <c r="AJ2207" s="75">
        <v>0</v>
      </c>
      <c r="AK2207" s="75">
        <v>0</v>
      </c>
      <c r="AL2207" s="95">
        <v>0</v>
      </c>
      <c r="AM2207" s="92">
        <v>0</v>
      </c>
      <c r="AN2207" s="79" t="s">
        <v>80</v>
      </c>
      <c r="AO2207" s="75">
        <v>1</v>
      </c>
      <c r="AP2207" s="75" t="s">
        <v>83</v>
      </c>
      <c r="AQ2207" s="122">
        <v>1</v>
      </c>
      <c r="AR2207" s="515" t="s">
        <v>10</v>
      </c>
      <c r="AS2207" s="95">
        <v>0</v>
      </c>
      <c r="AT2207" s="75">
        <v>0</v>
      </c>
      <c r="AU2207" s="75">
        <v>0</v>
      </c>
      <c r="AV2207" s="75">
        <v>0</v>
      </c>
      <c r="AW2207" s="123">
        <v>0</v>
      </c>
      <c r="AX2207" s="516" t="s">
        <v>317</v>
      </c>
      <c r="AY2207" s="75">
        <v>1</v>
      </c>
      <c r="AZ2207" s="77" t="s">
        <v>131</v>
      </c>
      <c r="BA2207" s="78" t="s">
        <v>132</v>
      </c>
      <c r="BB2207" s="78" t="s">
        <v>131</v>
      </c>
      <c r="BC2207" s="78" t="s">
        <v>131</v>
      </c>
      <c r="BD2207" s="78" t="s">
        <v>131</v>
      </c>
      <c r="BE2207" s="78" t="s">
        <v>131</v>
      </c>
      <c r="BF2207" s="78" t="s">
        <v>131</v>
      </c>
      <c r="BG2207" s="78" t="s">
        <v>131</v>
      </c>
      <c r="BH2207" s="75" t="s">
        <v>5970</v>
      </c>
      <c r="BI2207" s="295" t="s">
        <v>16</v>
      </c>
      <c r="BJ2207" s="546">
        <v>1</v>
      </c>
      <c r="BK2207" s="294">
        <v>1</v>
      </c>
      <c r="BL2207" s="157">
        <v>1</v>
      </c>
      <c r="BM2207" s="548" t="s">
        <v>1339</v>
      </c>
      <c r="BN2207" s="548" t="s">
        <v>4160</v>
      </c>
      <c r="BO2207" s="157" t="s">
        <v>4358</v>
      </c>
      <c r="BP2207" s="548" t="s">
        <v>317</v>
      </c>
      <c r="BQ2207" s="157" t="s">
        <v>4330</v>
      </c>
      <c r="BR2207" s="157"/>
    </row>
    <row r="2208" spans="1:70" x14ac:dyDescent="0.25">
      <c r="A2208" s="19" t="s">
        <v>3686</v>
      </c>
      <c r="B2208" s="37" t="s">
        <v>314</v>
      </c>
      <c r="C2208" s="90">
        <v>43987.861203703702</v>
      </c>
      <c r="D2208" s="114">
        <v>43987.611203703702</v>
      </c>
      <c r="E2208" s="38">
        <v>43987</v>
      </c>
      <c r="F2208" s="91">
        <v>2020</v>
      </c>
      <c r="G2208" s="93">
        <v>6</v>
      </c>
      <c r="H2208" s="37" t="s">
        <v>236</v>
      </c>
      <c r="I2208" s="37" t="s">
        <v>2361</v>
      </c>
      <c r="J2208" s="103">
        <v>-92.442900638713382</v>
      </c>
      <c r="K2208" s="40">
        <v>44.621369178943972</v>
      </c>
      <c r="L2208" s="74"/>
      <c r="M2208" s="272" t="s">
        <v>16</v>
      </c>
      <c r="N2208" s="74">
        <v>0</v>
      </c>
      <c r="O2208" s="94"/>
      <c r="P2208" s="118">
        <v>1</v>
      </c>
      <c r="Q2208" s="510">
        <v>80</v>
      </c>
      <c r="R2208" s="513">
        <v>30</v>
      </c>
      <c r="S2208" s="41"/>
      <c r="T2208" s="40"/>
      <c r="U2208" s="40">
        <v>8</v>
      </c>
      <c r="V2208" s="119">
        <v>0</v>
      </c>
      <c r="W2208" s="40"/>
      <c r="X2208" s="119">
        <v>1</v>
      </c>
      <c r="Y2208" s="40">
        <v>52</v>
      </c>
      <c r="Z2208" s="119">
        <v>1</v>
      </c>
      <c r="AA2208" s="368">
        <v>0</v>
      </c>
      <c r="AB2208" s="535">
        <v>5</v>
      </c>
      <c r="AC2208" s="39"/>
      <c r="AD2208" s="75" t="s">
        <v>10</v>
      </c>
      <c r="AE2208" s="95">
        <v>0</v>
      </c>
      <c r="AF2208" s="75">
        <v>0</v>
      </c>
      <c r="AG2208" s="75">
        <v>0</v>
      </c>
      <c r="AH2208" s="75">
        <v>0</v>
      </c>
      <c r="AI2208" s="75">
        <v>0</v>
      </c>
      <c r="AJ2208" s="75">
        <v>0</v>
      </c>
      <c r="AK2208" s="75">
        <v>0</v>
      </c>
      <c r="AL2208" s="95">
        <v>1</v>
      </c>
      <c r="AM2208" s="92">
        <v>0</v>
      </c>
      <c r="AN2208" s="79" t="s">
        <v>80</v>
      </c>
      <c r="AO2208" s="75">
        <v>1</v>
      </c>
      <c r="AP2208" s="75" t="s">
        <v>83</v>
      </c>
      <c r="AQ2208" s="122">
        <v>1</v>
      </c>
      <c r="AR2208" s="515" t="s">
        <v>10</v>
      </c>
      <c r="AS2208" s="95">
        <v>0</v>
      </c>
      <c r="AT2208" s="75">
        <v>0</v>
      </c>
      <c r="AU2208" s="75">
        <v>0</v>
      </c>
      <c r="AV2208" s="75">
        <v>0</v>
      </c>
      <c r="AW2208" s="123">
        <v>0</v>
      </c>
      <c r="AX2208" s="516"/>
      <c r="AY2208" s="75">
        <v>0</v>
      </c>
      <c r="AZ2208" s="77" t="s">
        <v>131</v>
      </c>
      <c r="BA2208" s="78" t="s">
        <v>131</v>
      </c>
      <c r="BB2208" s="78" t="s">
        <v>131</v>
      </c>
      <c r="BC2208" s="78" t="s">
        <v>131</v>
      </c>
      <c r="BD2208" s="78" t="s">
        <v>131</v>
      </c>
      <c r="BE2208" s="78" t="s">
        <v>131</v>
      </c>
      <c r="BF2208" s="78" t="s">
        <v>131</v>
      </c>
      <c r="BG2208" s="78" t="s">
        <v>132</v>
      </c>
      <c r="BH2208" s="75" t="s">
        <v>5970</v>
      </c>
      <c r="BI2208" s="295" t="s">
        <v>2289</v>
      </c>
      <c r="BJ2208" s="546">
        <v>1</v>
      </c>
      <c r="BK2208" s="294" t="s">
        <v>16</v>
      </c>
      <c r="BL2208" s="157" t="s">
        <v>16</v>
      </c>
      <c r="BM2208" s="548" t="s">
        <v>578</v>
      </c>
      <c r="BN2208" s="548" t="s">
        <v>578</v>
      </c>
      <c r="BO2208" s="157" t="s">
        <v>4283</v>
      </c>
      <c r="BP2208" s="548" t="s">
        <v>2289</v>
      </c>
      <c r="BQ2208" s="157" t="s">
        <v>4214</v>
      </c>
      <c r="BR2208" s="157"/>
    </row>
    <row r="2209" spans="1:70" x14ac:dyDescent="0.25">
      <c r="A2209" s="19" t="s">
        <v>3686</v>
      </c>
      <c r="B2209" s="37" t="s">
        <v>311</v>
      </c>
      <c r="C2209" s="90">
        <v>43986.827986111108</v>
      </c>
      <c r="D2209" s="114">
        <v>43986.577986111108</v>
      </c>
      <c r="E2209" s="38">
        <v>43986</v>
      </c>
      <c r="F2209" s="91">
        <v>2020</v>
      </c>
      <c r="G2209" s="93">
        <v>6</v>
      </c>
      <c r="H2209" s="37" t="s">
        <v>302</v>
      </c>
      <c r="I2209" s="37"/>
      <c r="J2209" s="103">
        <v>-91.800628015857001</v>
      </c>
      <c r="K2209" s="40">
        <v>44.010147820267832</v>
      </c>
      <c r="L2209" s="74"/>
      <c r="M2209" s="272" t="s">
        <v>312</v>
      </c>
      <c r="N2209" s="74">
        <v>1</v>
      </c>
      <c r="O2209" s="94"/>
      <c r="P2209" s="118">
        <v>1</v>
      </c>
      <c r="Q2209" s="510">
        <v>120</v>
      </c>
      <c r="R2209" s="513">
        <v>60</v>
      </c>
      <c r="S2209" s="41"/>
      <c r="T2209" s="40"/>
      <c r="U2209" s="40">
        <v>9</v>
      </c>
      <c r="V2209" s="119">
        <v>0</v>
      </c>
      <c r="W2209" s="40"/>
      <c r="X2209" s="119">
        <v>0</v>
      </c>
      <c r="Y2209" s="40"/>
      <c r="Z2209" s="119">
        <v>0</v>
      </c>
      <c r="AA2209" s="368" t="s">
        <v>16</v>
      </c>
      <c r="AB2209" s="535" t="s">
        <v>16</v>
      </c>
      <c r="AC2209" s="39" t="s">
        <v>160</v>
      </c>
      <c r="AD2209" s="75" t="s">
        <v>10</v>
      </c>
      <c r="AE2209" s="95">
        <v>0</v>
      </c>
      <c r="AF2209" s="75">
        <v>0</v>
      </c>
      <c r="AG2209" s="75">
        <v>0</v>
      </c>
      <c r="AH2209" s="75">
        <v>0</v>
      </c>
      <c r="AI2209" s="75">
        <v>0</v>
      </c>
      <c r="AJ2209" s="75">
        <v>0</v>
      </c>
      <c r="AK2209" s="75">
        <v>0</v>
      </c>
      <c r="AL2209" s="95">
        <v>1</v>
      </c>
      <c r="AM2209" s="92">
        <v>0</v>
      </c>
      <c r="AN2209" s="79" t="s">
        <v>80</v>
      </c>
      <c r="AO2209" s="75">
        <v>1</v>
      </c>
      <c r="AP2209" s="75" t="s">
        <v>83</v>
      </c>
      <c r="AQ2209" s="122">
        <v>1</v>
      </c>
      <c r="AR2209" s="515" t="s">
        <v>10</v>
      </c>
      <c r="AS2209" s="95">
        <v>0</v>
      </c>
      <c r="AT2209" s="75">
        <v>0</v>
      </c>
      <c r="AU2209" s="75">
        <v>0</v>
      </c>
      <c r="AV2209" s="75">
        <v>0</v>
      </c>
      <c r="AW2209" s="123">
        <v>0</v>
      </c>
      <c r="AX2209" s="516" t="s">
        <v>313</v>
      </c>
      <c r="AY2209" s="75">
        <v>1</v>
      </c>
      <c r="AZ2209" s="77" t="s">
        <v>131</v>
      </c>
      <c r="BA2209" s="78" t="s">
        <v>131</v>
      </c>
      <c r="BB2209" s="78" t="s">
        <v>131</v>
      </c>
      <c r="BC2209" s="78" t="s">
        <v>131</v>
      </c>
      <c r="BD2209" s="78" t="s">
        <v>131</v>
      </c>
      <c r="BE2209" s="78" t="s">
        <v>131</v>
      </c>
      <c r="BF2209" s="78" t="s">
        <v>131</v>
      </c>
      <c r="BG2209" s="78" t="s">
        <v>132</v>
      </c>
      <c r="BH2209" s="75" t="s">
        <v>5970</v>
      </c>
      <c r="BI2209" s="295" t="s">
        <v>313</v>
      </c>
      <c r="BJ2209" s="546">
        <v>1</v>
      </c>
      <c r="BK2209" s="294">
        <v>1</v>
      </c>
      <c r="BL2209" s="157">
        <v>1</v>
      </c>
      <c r="BM2209" s="548" t="s">
        <v>1341</v>
      </c>
      <c r="BN2209" s="548" t="s">
        <v>4160</v>
      </c>
      <c r="BO2209" s="157" t="s">
        <v>4360</v>
      </c>
      <c r="BP2209" s="548" t="s">
        <v>313</v>
      </c>
      <c r="BQ2209" s="157" t="s">
        <v>4359</v>
      </c>
      <c r="BR2209" s="157"/>
    </row>
    <row r="2210" spans="1:70" x14ac:dyDescent="0.25">
      <c r="A2210" s="19" t="s">
        <v>3686</v>
      </c>
      <c r="B2210" s="37" t="s">
        <v>308</v>
      </c>
      <c r="C2210" s="90">
        <v>43986.769259259258</v>
      </c>
      <c r="D2210" s="114">
        <v>43986.519259259258</v>
      </c>
      <c r="E2210" s="38">
        <v>43986</v>
      </c>
      <c r="F2210" s="91">
        <v>2020</v>
      </c>
      <c r="G2210" s="93">
        <v>6</v>
      </c>
      <c r="H2210" s="37" t="s">
        <v>302</v>
      </c>
      <c r="I2210" s="37"/>
      <c r="J2210" s="103">
        <v>-91.979279564779233</v>
      </c>
      <c r="K2210" s="40">
        <v>44.070406998548719</v>
      </c>
      <c r="L2210" s="74"/>
      <c r="M2210" s="272" t="s">
        <v>309</v>
      </c>
      <c r="N2210" s="74">
        <v>1</v>
      </c>
      <c r="O2210" s="94"/>
      <c r="P2210" s="118">
        <v>1</v>
      </c>
      <c r="Q2210" s="510">
        <v>80</v>
      </c>
      <c r="R2210" s="513">
        <v>30</v>
      </c>
      <c r="S2210" s="41"/>
      <c r="T2210" s="40"/>
      <c r="U2210" s="40">
        <v>8</v>
      </c>
      <c r="V2210" s="119">
        <v>0</v>
      </c>
      <c r="W2210" s="40"/>
      <c r="X2210" s="119">
        <v>0</v>
      </c>
      <c r="Y2210" s="40"/>
      <c r="Z2210" s="119">
        <v>0</v>
      </c>
      <c r="AA2210" s="368" t="s">
        <v>16</v>
      </c>
      <c r="AB2210" s="535" t="s">
        <v>16</v>
      </c>
      <c r="AC2210" s="39" t="s">
        <v>160</v>
      </c>
      <c r="AD2210" s="75" t="s">
        <v>16</v>
      </c>
      <c r="AE2210" s="95">
        <v>-1</v>
      </c>
      <c r="AF2210" s="75">
        <v>-1</v>
      </c>
      <c r="AG2210" s="75">
        <v>-1</v>
      </c>
      <c r="AH2210" s="75">
        <v>-1</v>
      </c>
      <c r="AI2210" s="75">
        <v>-1</v>
      </c>
      <c r="AJ2210" s="75">
        <v>-1</v>
      </c>
      <c r="AK2210" s="75">
        <v>-1</v>
      </c>
      <c r="AL2210" s="95">
        <v>-1</v>
      </c>
      <c r="AM2210" s="92">
        <v>1</v>
      </c>
      <c r="AN2210" s="79" t="s">
        <v>80</v>
      </c>
      <c r="AO2210" s="75">
        <v>1</v>
      </c>
      <c r="AP2210" s="75" t="s">
        <v>85</v>
      </c>
      <c r="AQ2210" s="122">
        <v>1</v>
      </c>
      <c r="AR2210" s="515" t="s">
        <v>10</v>
      </c>
      <c r="AS2210" s="95">
        <v>0</v>
      </c>
      <c r="AT2210" s="75">
        <v>0</v>
      </c>
      <c r="AU2210" s="75">
        <v>0</v>
      </c>
      <c r="AV2210" s="75">
        <v>0</v>
      </c>
      <c r="AW2210" s="123">
        <v>0</v>
      </c>
      <c r="AX2210" s="516" t="s">
        <v>310</v>
      </c>
      <c r="AY2210" s="75">
        <v>1</v>
      </c>
      <c r="AZ2210" s="77" t="s">
        <v>5971</v>
      </c>
      <c r="BA2210" s="78" t="s">
        <v>5971</v>
      </c>
      <c r="BB2210" s="78" t="s">
        <v>5971</v>
      </c>
      <c r="BC2210" s="78" t="s">
        <v>5971</v>
      </c>
      <c r="BD2210" s="78" t="s">
        <v>5971</v>
      </c>
      <c r="BE2210" s="78" t="s">
        <v>5971</v>
      </c>
      <c r="BF2210" s="78" t="s">
        <v>5971</v>
      </c>
      <c r="BG2210" s="78" t="s">
        <v>5971</v>
      </c>
      <c r="BH2210" s="75" t="s">
        <v>5971</v>
      </c>
      <c r="BI2210" s="295" t="s">
        <v>2255</v>
      </c>
      <c r="BJ2210" s="546">
        <v>1</v>
      </c>
      <c r="BK2210" s="294" t="s">
        <v>16</v>
      </c>
      <c r="BL2210" s="157" t="s">
        <v>16</v>
      </c>
      <c r="BM2210" s="548" t="s">
        <v>1341</v>
      </c>
      <c r="BN2210" s="548" t="s">
        <v>4160</v>
      </c>
      <c r="BO2210" s="157" t="s">
        <v>4362</v>
      </c>
      <c r="BP2210" s="548" t="s">
        <v>4363</v>
      </c>
      <c r="BQ2210" s="157" t="s">
        <v>4361</v>
      </c>
      <c r="BR2210" s="157"/>
    </row>
    <row r="2211" spans="1:70" x14ac:dyDescent="0.25">
      <c r="A2211" s="19" t="s">
        <v>3686</v>
      </c>
      <c r="B2211" s="37" t="s">
        <v>305</v>
      </c>
      <c r="C2211" s="90">
        <v>43986.729780092595</v>
      </c>
      <c r="D2211" s="114">
        <v>43986.479780092595</v>
      </c>
      <c r="E2211" s="38">
        <v>43986</v>
      </c>
      <c r="F2211" s="91">
        <v>2020</v>
      </c>
      <c r="G2211" s="93">
        <v>6</v>
      </c>
      <c r="H2211" s="37" t="s">
        <v>302</v>
      </c>
      <c r="I2211" s="37" t="s">
        <v>16</v>
      </c>
      <c r="J2211" s="103">
        <v>-92.052995888602041</v>
      </c>
      <c r="K2211" s="40">
        <v>44.145367364440247</v>
      </c>
      <c r="L2211" s="74"/>
      <c r="M2211" s="272" t="s">
        <v>306</v>
      </c>
      <c r="N2211" s="74">
        <v>1</v>
      </c>
      <c r="O2211" s="94"/>
      <c r="P2211" s="118">
        <v>1</v>
      </c>
      <c r="Q2211" s="510">
        <v>80</v>
      </c>
      <c r="R2211" s="513">
        <v>60</v>
      </c>
      <c r="S2211" s="41"/>
      <c r="T2211" s="40"/>
      <c r="U2211" s="40">
        <v>8</v>
      </c>
      <c r="V2211" s="119">
        <v>0</v>
      </c>
      <c r="W2211" s="40"/>
      <c r="X2211" s="119">
        <v>0</v>
      </c>
      <c r="Y2211" s="40"/>
      <c r="Z2211" s="119">
        <v>0</v>
      </c>
      <c r="AA2211" s="368" t="s">
        <v>16</v>
      </c>
      <c r="AB2211" s="535" t="s">
        <v>16</v>
      </c>
      <c r="AC2211" s="39" t="s">
        <v>160</v>
      </c>
      <c r="AD2211" s="75" t="s">
        <v>8</v>
      </c>
      <c r="AE2211" s="95">
        <v>0</v>
      </c>
      <c r="AF2211" s="75">
        <v>1</v>
      </c>
      <c r="AG2211" s="75">
        <v>0</v>
      </c>
      <c r="AH2211" s="75">
        <v>0</v>
      </c>
      <c r="AI2211" s="75">
        <v>0</v>
      </c>
      <c r="AJ2211" s="75">
        <v>0</v>
      </c>
      <c r="AK2211" s="75">
        <v>0</v>
      </c>
      <c r="AL2211" s="95">
        <v>0</v>
      </c>
      <c r="AM2211" s="92">
        <v>0</v>
      </c>
      <c r="AN2211" s="79" t="s">
        <v>80</v>
      </c>
      <c r="AO2211" s="75">
        <v>1</v>
      </c>
      <c r="AP2211" s="75" t="s">
        <v>83</v>
      </c>
      <c r="AQ2211" s="122">
        <v>1</v>
      </c>
      <c r="AR2211" s="515" t="s">
        <v>10</v>
      </c>
      <c r="AS2211" s="95">
        <v>0</v>
      </c>
      <c r="AT2211" s="75">
        <v>0</v>
      </c>
      <c r="AU2211" s="75">
        <v>0</v>
      </c>
      <c r="AV2211" s="75">
        <v>0</v>
      </c>
      <c r="AW2211" s="123">
        <v>0</v>
      </c>
      <c r="AX2211" s="516" t="s">
        <v>307</v>
      </c>
      <c r="AY2211" s="75">
        <v>1</v>
      </c>
      <c r="AZ2211" s="77" t="s">
        <v>131</v>
      </c>
      <c r="BA2211" s="78" t="s">
        <v>132</v>
      </c>
      <c r="BB2211" s="78" t="s">
        <v>131</v>
      </c>
      <c r="BC2211" s="78" t="s">
        <v>131</v>
      </c>
      <c r="BD2211" s="78" t="s">
        <v>131</v>
      </c>
      <c r="BE2211" s="78" t="s">
        <v>131</v>
      </c>
      <c r="BF2211" s="78" t="s">
        <v>131</v>
      </c>
      <c r="BG2211" s="78" t="s">
        <v>131</v>
      </c>
      <c r="BH2211" s="75" t="s">
        <v>5970</v>
      </c>
      <c r="BI2211" s="295" t="s">
        <v>307</v>
      </c>
      <c r="BJ2211" s="546">
        <v>1</v>
      </c>
      <c r="BK2211" s="294" t="s">
        <v>16</v>
      </c>
      <c r="BL2211" s="157" t="s">
        <v>16</v>
      </c>
      <c r="BM2211" s="548" t="s">
        <v>1339</v>
      </c>
      <c r="BN2211" s="548" t="s">
        <v>4160</v>
      </c>
      <c r="BO2211" s="157" t="s">
        <v>4693</v>
      </c>
      <c r="BP2211" s="548" t="s">
        <v>307</v>
      </c>
      <c r="BQ2211" s="157" t="s">
        <v>4361</v>
      </c>
      <c r="BR2211" s="157"/>
    </row>
    <row r="2212" spans="1:70" x14ac:dyDescent="0.25">
      <c r="A2212" s="19" t="s">
        <v>3686</v>
      </c>
      <c r="B2212" s="37" t="s">
        <v>301</v>
      </c>
      <c r="C2212" s="90">
        <v>43983.024108796293</v>
      </c>
      <c r="D2212" s="114">
        <v>43982.774108796293</v>
      </c>
      <c r="E2212" s="38">
        <v>43982</v>
      </c>
      <c r="F2212" s="91">
        <v>2020</v>
      </c>
      <c r="G2212" s="93">
        <v>5</v>
      </c>
      <c r="H2212" s="37" t="s">
        <v>302</v>
      </c>
      <c r="I2212" s="37"/>
      <c r="J2212" s="103">
        <v>-92.068615984257377</v>
      </c>
      <c r="K2212" s="40">
        <v>43.870542319532362</v>
      </c>
      <c r="L2212" s="74"/>
      <c r="M2212" s="272" t="s">
        <v>303</v>
      </c>
      <c r="N2212" s="74">
        <v>1</v>
      </c>
      <c r="O2212" s="94"/>
      <c r="P2212" s="118">
        <v>1</v>
      </c>
      <c r="Q2212" s="510">
        <v>40</v>
      </c>
      <c r="R2212" s="513">
        <v>60</v>
      </c>
      <c r="S2212" s="41"/>
      <c r="T2212" s="40"/>
      <c r="U2212" s="40">
        <v>7.5</v>
      </c>
      <c r="V2212" s="119">
        <v>0</v>
      </c>
      <c r="W2212" s="40"/>
      <c r="X2212" s="119">
        <v>0</v>
      </c>
      <c r="Y2212" s="40"/>
      <c r="Z2212" s="119">
        <v>0</v>
      </c>
      <c r="AA2212" s="368" t="s">
        <v>16</v>
      </c>
      <c r="AB2212" s="535" t="s">
        <v>16</v>
      </c>
      <c r="AC2212" s="39"/>
      <c r="AD2212" s="75" t="s">
        <v>16</v>
      </c>
      <c r="AE2212" s="95">
        <v>-1</v>
      </c>
      <c r="AF2212" s="75">
        <v>-1</v>
      </c>
      <c r="AG2212" s="75">
        <v>-1</v>
      </c>
      <c r="AH2212" s="75">
        <v>-1</v>
      </c>
      <c r="AI2212" s="75">
        <v>-1</v>
      </c>
      <c r="AJ2212" s="75">
        <v>-1</v>
      </c>
      <c r="AK2212" s="75">
        <v>-1</v>
      </c>
      <c r="AL2212" s="95">
        <v>-1</v>
      </c>
      <c r="AM2212" s="92">
        <v>1</v>
      </c>
      <c r="AN2212" s="79" t="s">
        <v>80</v>
      </c>
      <c r="AO2212" s="75">
        <v>1</v>
      </c>
      <c r="AP2212" s="75" t="s">
        <v>84</v>
      </c>
      <c r="AQ2212" s="122">
        <v>1</v>
      </c>
      <c r="AR2212" s="515" t="s">
        <v>10</v>
      </c>
      <c r="AS2212" s="95">
        <v>0</v>
      </c>
      <c r="AT2212" s="75">
        <v>0</v>
      </c>
      <c r="AU2212" s="75">
        <v>0</v>
      </c>
      <c r="AV2212" s="75">
        <v>0</v>
      </c>
      <c r="AW2212" s="123">
        <v>0</v>
      </c>
      <c r="AX2212" s="516" t="s">
        <v>304</v>
      </c>
      <c r="AY2212" s="75">
        <v>1</v>
      </c>
      <c r="AZ2212" s="77" t="s">
        <v>5971</v>
      </c>
      <c r="BA2212" s="78" t="s">
        <v>5971</v>
      </c>
      <c r="BB2212" s="78" t="s">
        <v>5971</v>
      </c>
      <c r="BC2212" s="78" t="s">
        <v>5971</v>
      </c>
      <c r="BD2212" s="78" t="s">
        <v>5971</v>
      </c>
      <c r="BE2212" s="78" t="s">
        <v>5971</v>
      </c>
      <c r="BF2212" s="78" t="s">
        <v>5971</v>
      </c>
      <c r="BG2212" s="78" t="s">
        <v>5971</v>
      </c>
      <c r="BH2212" s="75" t="s">
        <v>5971</v>
      </c>
      <c r="BI2212" s="295" t="s">
        <v>2235</v>
      </c>
      <c r="BJ2212" s="546">
        <v>1</v>
      </c>
      <c r="BK2212" s="294" t="s">
        <v>16</v>
      </c>
      <c r="BL2212" s="157" t="s">
        <v>16</v>
      </c>
      <c r="BM2212" s="548" t="s">
        <v>1339</v>
      </c>
      <c r="BN2212" s="548" t="s">
        <v>4160</v>
      </c>
      <c r="BO2212" s="157" t="s">
        <v>4695</v>
      </c>
      <c r="BP2212" s="548" t="s">
        <v>2235</v>
      </c>
      <c r="BQ2212" s="157" t="s">
        <v>4319</v>
      </c>
      <c r="BR2212" s="157"/>
    </row>
    <row r="2213" spans="1:70" x14ac:dyDescent="0.25">
      <c r="A2213" s="19" t="s">
        <v>3686</v>
      </c>
      <c r="B2213" s="37" t="s">
        <v>298</v>
      </c>
      <c r="C2213" s="90">
        <v>43981.732824074075</v>
      </c>
      <c r="D2213" s="114">
        <v>43981.482824074075</v>
      </c>
      <c r="E2213" s="38">
        <v>43981</v>
      </c>
      <c r="F2213" s="91">
        <v>2020</v>
      </c>
      <c r="G2213" s="93">
        <v>5</v>
      </c>
      <c r="H2213" s="37" t="s">
        <v>205</v>
      </c>
      <c r="I2213" s="37" t="s">
        <v>368</v>
      </c>
      <c r="J2213" s="103">
        <v>-92.331429362097595</v>
      </c>
      <c r="K2213" s="40">
        <v>44.746202705978384</v>
      </c>
      <c r="L2213" s="74"/>
      <c r="M2213" s="272" t="s">
        <v>299</v>
      </c>
      <c r="N2213" s="74">
        <v>1</v>
      </c>
      <c r="O2213" s="94"/>
      <c r="P2213" s="118">
        <v>1</v>
      </c>
      <c r="Q2213" s="510">
        <v>80</v>
      </c>
      <c r="R2213" s="513">
        <v>30</v>
      </c>
      <c r="S2213" s="41"/>
      <c r="T2213" s="40"/>
      <c r="U2213" s="40">
        <v>7.5</v>
      </c>
      <c r="V2213" s="119">
        <v>1</v>
      </c>
      <c r="W2213" s="40">
        <v>100</v>
      </c>
      <c r="X2213" s="119">
        <v>1</v>
      </c>
      <c r="Y2213" s="40">
        <v>56</v>
      </c>
      <c r="Z2213" s="119">
        <v>1</v>
      </c>
      <c r="AA2213" s="368">
        <v>0</v>
      </c>
      <c r="AB2213" s="535">
        <v>5</v>
      </c>
      <c r="AC2213" s="39" t="s">
        <v>160</v>
      </c>
      <c r="AD2213" s="75" t="s">
        <v>10</v>
      </c>
      <c r="AE2213" s="95">
        <v>0</v>
      </c>
      <c r="AF2213" s="75">
        <v>0</v>
      </c>
      <c r="AG2213" s="75">
        <v>0</v>
      </c>
      <c r="AH2213" s="75">
        <v>0</v>
      </c>
      <c r="AI2213" s="75">
        <v>0</v>
      </c>
      <c r="AJ2213" s="75">
        <v>0</v>
      </c>
      <c r="AK2213" s="75">
        <v>0</v>
      </c>
      <c r="AL2213" s="95">
        <v>1</v>
      </c>
      <c r="AM2213" s="92">
        <v>0</v>
      </c>
      <c r="AN2213" s="79" t="s">
        <v>80</v>
      </c>
      <c r="AO2213" s="75">
        <v>1</v>
      </c>
      <c r="AP2213" s="75" t="s">
        <v>84</v>
      </c>
      <c r="AQ2213" s="122">
        <v>1</v>
      </c>
      <c r="AR2213" s="515" t="s">
        <v>13</v>
      </c>
      <c r="AS2213" s="95">
        <v>1</v>
      </c>
      <c r="AT2213" s="75">
        <v>0</v>
      </c>
      <c r="AU2213" s="75">
        <v>0</v>
      </c>
      <c r="AV2213" s="75">
        <v>0</v>
      </c>
      <c r="AW2213" s="123">
        <v>0</v>
      </c>
      <c r="AX2213" s="516" t="s">
        <v>300</v>
      </c>
      <c r="AY2213" s="75">
        <v>1</v>
      </c>
      <c r="AZ2213" s="77" t="s">
        <v>131</v>
      </c>
      <c r="BA2213" s="78" t="s">
        <v>131</v>
      </c>
      <c r="BB2213" s="78" t="s">
        <v>131</v>
      </c>
      <c r="BC2213" s="78" t="s">
        <v>131</v>
      </c>
      <c r="BD2213" s="78" t="s">
        <v>131</v>
      </c>
      <c r="BE2213" s="78" t="s">
        <v>131</v>
      </c>
      <c r="BF2213" s="78" t="s">
        <v>131</v>
      </c>
      <c r="BG2213" s="78" t="s">
        <v>132</v>
      </c>
      <c r="BH2213" s="75" t="s">
        <v>5970</v>
      </c>
      <c r="BI2213" s="295" t="s">
        <v>2231</v>
      </c>
      <c r="BJ2213" s="546">
        <v>1</v>
      </c>
      <c r="BK2213" s="294">
        <v>1</v>
      </c>
      <c r="BL2213" s="157">
        <v>1</v>
      </c>
      <c r="BM2213" s="548" t="s">
        <v>578</v>
      </c>
      <c r="BN2213" s="548" t="s">
        <v>578</v>
      </c>
      <c r="BO2213" s="157" t="s">
        <v>4213</v>
      </c>
      <c r="BP2213" s="548" t="s">
        <v>4216</v>
      </c>
      <c r="BQ2213" s="157" t="s">
        <v>4212</v>
      </c>
      <c r="BR2213" s="157"/>
    </row>
    <row r="2214" spans="1:70" x14ac:dyDescent="0.25">
      <c r="A2214" s="19" t="s">
        <v>3686</v>
      </c>
      <c r="B2214" s="37" t="s">
        <v>297</v>
      </c>
      <c r="C2214" s="90">
        <v>43980.947465277779</v>
      </c>
      <c r="D2214" s="114">
        <v>43980.697465277779</v>
      </c>
      <c r="E2214" s="38">
        <v>43980</v>
      </c>
      <c r="F2214" s="91">
        <v>2020</v>
      </c>
      <c r="G2214" s="93">
        <v>5</v>
      </c>
      <c r="H2214" s="37" t="s">
        <v>290</v>
      </c>
      <c r="I2214" s="37"/>
      <c r="J2214" s="103">
        <v>-92.697031990062527</v>
      </c>
      <c r="K2214" s="40">
        <v>44.834439239646692</v>
      </c>
      <c r="L2214" s="74"/>
      <c r="M2214" s="272" t="s">
        <v>16</v>
      </c>
      <c r="N2214" s="74">
        <v>0</v>
      </c>
      <c r="O2214" s="94"/>
      <c r="P2214" s="118">
        <v>1</v>
      </c>
      <c r="Q2214" s="510">
        <v>80</v>
      </c>
      <c r="R2214" s="513">
        <v>120</v>
      </c>
      <c r="S2214" s="41"/>
      <c r="T2214" s="40"/>
      <c r="U2214" s="40">
        <v>7.5</v>
      </c>
      <c r="V2214" s="119">
        <v>0</v>
      </c>
      <c r="W2214" s="40"/>
      <c r="X2214" s="119">
        <v>1</v>
      </c>
      <c r="Y2214" s="40">
        <v>59</v>
      </c>
      <c r="Z2214" s="119">
        <v>1</v>
      </c>
      <c r="AA2214" s="368">
        <v>0</v>
      </c>
      <c r="AB2214" s="535">
        <v>5</v>
      </c>
      <c r="AC2214" s="39" t="s">
        <v>160</v>
      </c>
      <c r="AD2214" s="75" t="s">
        <v>10</v>
      </c>
      <c r="AE2214" s="95">
        <v>0</v>
      </c>
      <c r="AF2214" s="75">
        <v>0</v>
      </c>
      <c r="AG2214" s="75">
        <v>0</v>
      </c>
      <c r="AH2214" s="75">
        <v>0</v>
      </c>
      <c r="AI2214" s="75">
        <v>0</v>
      </c>
      <c r="AJ2214" s="75">
        <v>0</v>
      </c>
      <c r="AK2214" s="75">
        <v>0</v>
      </c>
      <c r="AL2214" s="95">
        <v>1</v>
      </c>
      <c r="AM2214" s="92">
        <v>0</v>
      </c>
      <c r="AN2214" s="79" t="s">
        <v>81</v>
      </c>
      <c r="AO2214" s="75">
        <v>1</v>
      </c>
      <c r="AP2214" s="75" t="s">
        <v>84</v>
      </c>
      <c r="AQ2214" s="122">
        <v>1</v>
      </c>
      <c r="AR2214" s="515" t="s">
        <v>10</v>
      </c>
      <c r="AS2214" s="95">
        <v>0</v>
      </c>
      <c r="AT2214" s="75">
        <v>0</v>
      </c>
      <c r="AU2214" s="75">
        <v>0</v>
      </c>
      <c r="AV2214" s="75">
        <v>0</v>
      </c>
      <c r="AW2214" s="123">
        <v>0</v>
      </c>
      <c r="AX2214" s="516"/>
      <c r="AY2214" s="75">
        <v>0</v>
      </c>
      <c r="AZ2214" s="77" t="s">
        <v>131</v>
      </c>
      <c r="BA2214" s="78" t="s">
        <v>131</v>
      </c>
      <c r="BB2214" s="78" t="s">
        <v>131</v>
      </c>
      <c r="BC2214" s="78" t="s">
        <v>131</v>
      </c>
      <c r="BD2214" s="78" t="s">
        <v>131</v>
      </c>
      <c r="BE2214" s="78" t="s">
        <v>131</v>
      </c>
      <c r="BF2214" s="78" t="s">
        <v>131</v>
      </c>
      <c r="BG2214" s="78" t="s">
        <v>132</v>
      </c>
      <c r="BH2214" s="75" t="s">
        <v>5970</v>
      </c>
      <c r="BI2214" s="295" t="s">
        <v>2227</v>
      </c>
      <c r="BJ2214" s="546">
        <v>1</v>
      </c>
      <c r="BK2214" s="294" t="s">
        <v>16</v>
      </c>
      <c r="BL2214" s="157" t="s">
        <v>16</v>
      </c>
      <c r="BM2214" s="548" t="s">
        <v>578</v>
      </c>
      <c r="BN2214" s="548" t="s">
        <v>5969</v>
      </c>
      <c r="BO2214" s="157" t="s">
        <v>4341</v>
      </c>
      <c r="BP2214" s="548" t="s">
        <v>4343</v>
      </c>
      <c r="BQ2214" s="157" t="s">
        <v>4309</v>
      </c>
      <c r="BR2214" s="157"/>
    </row>
    <row r="2215" spans="1:70" x14ac:dyDescent="0.25">
      <c r="A2215" s="19" t="s">
        <v>3686</v>
      </c>
      <c r="B2215" s="37" t="s">
        <v>294</v>
      </c>
      <c r="C2215" s="90">
        <v>43980.937997685185</v>
      </c>
      <c r="D2215" s="114">
        <v>43980.687997685185</v>
      </c>
      <c r="E2215" s="38">
        <v>43980</v>
      </c>
      <c r="F2215" s="91">
        <v>2020</v>
      </c>
      <c r="G2215" s="93">
        <v>5</v>
      </c>
      <c r="H2215" s="37" t="s">
        <v>201</v>
      </c>
      <c r="I2215" s="37"/>
      <c r="J2215" s="103">
        <v>-92.73201000218036</v>
      </c>
      <c r="K2215" s="40">
        <v>44.831055917252826</v>
      </c>
      <c r="L2215" s="74"/>
      <c r="M2215" s="272" t="s">
        <v>295</v>
      </c>
      <c r="N2215" s="74">
        <v>1</v>
      </c>
      <c r="O2215" s="94"/>
      <c r="P2215" s="118">
        <v>1</v>
      </c>
      <c r="Q2215" s="510">
        <v>180</v>
      </c>
      <c r="R2215" s="513">
        <v>120</v>
      </c>
      <c r="S2215" s="41"/>
      <c r="T2215" s="40"/>
      <c r="U2215" s="40">
        <v>7.5</v>
      </c>
      <c r="V2215" s="119">
        <v>1</v>
      </c>
      <c r="W2215" s="40">
        <v>0</v>
      </c>
      <c r="X2215" s="119">
        <v>1</v>
      </c>
      <c r="Y2215" s="40">
        <v>61</v>
      </c>
      <c r="Z2215" s="119">
        <v>0</v>
      </c>
      <c r="AA2215" s="368" t="s">
        <v>16</v>
      </c>
      <c r="AB2215" s="535" t="s">
        <v>16</v>
      </c>
      <c r="AC2215" s="39" t="s">
        <v>160</v>
      </c>
      <c r="AD2215" s="75" t="s">
        <v>8</v>
      </c>
      <c r="AE2215" s="95">
        <v>0</v>
      </c>
      <c r="AF2215" s="75">
        <v>1</v>
      </c>
      <c r="AG2215" s="75">
        <v>0</v>
      </c>
      <c r="AH2215" s="75">
        <v>0</v>
      </c>
      <c r="AI2215" s="75">
        <v>0</v>
      </c>
      <c r="AJ2215" s="75">
        <v>0</v>
      </c>
      <c r="AK2215" s="75">
        <v>0</v>
      </c>
      <c r="AL2215" s="95">
        <v>0</v>
      </c>
      <c r="AM2215" s="92">
        <v>0</v>
      </c>
      <c r="AN2215" s="79" t="s">
        <v>80</v>
      </c>
      <c r="AO2215" s="75">
        <v>1</v>
      </c>
      <c r="AP2215" s="75" t="s">
        <v>84</v>
      </c>
      <c r="AQ2215" s="122">
        <v>1</v>
      </c>
      <c r="AR2215" s="515" t="s">
        <v>10</v>
      </c>
      <c r="AS2215" s="95">
        <v>0</v>
      </c>
      <c r="AT2215" s="75">
        <v>0</v>
      </c>
      <c r="AU2215" s="75">
        <v>0</v>
      </c>
      <c r="AV2215" s="75">
        <v>0</v>
      </c>
      <c r="AW2215" s="123">
        <v>0</v>
      </c>
      <c r="AX2215" s="516" t="s">
        <v>296</v>
      </c>
      <c r="AY2215" s="75">
        <v>1</v>
      </c>
      <c r="AZ2215" s="77" t="s">
        <v>131</v>
      </c>
      <c r="BA2215" s="78" t="s">
        <v>132</v>
      </c>
      <c r="BB2215" s="78" t="s">
        <v>131</v>
      </c>
      <c r="BC2215" s="78" t="s">
        <v>131</v>
      </c>
      <c r="BD2215" s="78" t="s">
        <v>131</v>
      </c>
      <c r="BE2215" s="78" t="s">
        <v>131</v>
      </c>
      <c r="BF2215" s="78" t="s">
        <v>131</v>
      </c>
      <c r="BG2215" s="78" t="s">
        <v>131</v>
      </c>
      <c r="BH2215" s="75" t="s">
        <v>5970</v>
      </c>
      <c r="BI2215" s="295" t="s">
        <v>2227</v>
      </c>
      <c r="BJ2215" s="546">
        <v>1</v>
      </c>
      <c r="BK2215" s="294" t="s">
        <v>16</v>
      </c>
      <c r="BL2215" s="157" t="s">
        <v>16</v>
      </c>
      <c r="BM2215" s="548" t="s">
        <v>578</v>
      </c>
      <c r="BN2215" s="548" t="s">
        <v>578</v>
      </c>
      <c r="BO2215" s="157" t="s">
        <v>4341</v>
      </c>
      <c r="BP2215" s="548" t="s">
        <v>4343</v>
      </c>
      <c r="BQ2215" s="157" t="s">
        <v>4309</v>
      </c>
      <c r="BR2215" s="157"/>
    </row>
    <row r="2216" spans="1:70" x14ac:dyDescent="0.25">
      <c r="A2216" s="19" t="s">
        <v>3686</v>
      </c>
      <c r="B2216" s="37" t="s">
        <v>291</v>
      </c>
      <c r="C2216" s="90">
        <v>43980.904039351852</v>
      </c>
      <c r="D2216" s="114">
        <v>43980.654039351852</v>
      </c>
      <c r="E2216" s="38">
        <v>43980</v>
      </c>
      <c r="F2216" s="91">
        <v>2020</v>
      </c>
      <c r="G2216" s="93">
        <v>5</v>
      </c>
      <c r="H2216" s="37" t="s">
        <v>201</v>
      </c>
      <c r="I2216" s="37" t="s">
        <v>349</v>
      </c>
      <c r="J2216" s="103">
        <v>-92.52986832948244</v>
      </c>
      <c r="K2216" s="40">
        <v>44.793668316818831</v>
      </c>
      <c r="L2216" s="74"/>
      <c r="M2216" s="272" t="s">
        <v>292</v>
      </c>
      <c r="N2216" s="74">
        <v>1</v>
      </c>
      <c r="O2216" s="94"/>
      <c r="P2216" s="118">
        <v>1</v>
      </c>
      <c r="Q2216" s="510">
        <v>180</v>
      </c>
      <c r="R2216" s="513">
        <v>180</v>
      </c>
      <c r="S2216" s="41"/>
      <c r="T2216" s="40"/>
      <c r="U2216" s="40">
        <v>7.5</v>
      </c>
      <c r="V2216" s="119">
        <v>1</v>
      </c>
      <c r="W2216" s="40">
        <v>0</v>
      </c>
      <c r="X2216" s="119">
        <v>1</v>
      </c>
      <c r="Y2216" s="40">
        <v>61</v>
      </c>
      <c r="Z2216" s="119">
        <v>0</v>
      </c>
      <c r="AA2216" s="368" t="s">
        <v>16</v>
      </c>
      <c r="AB2216" s="535" t="s">
        <v>16</v>
      </c>
      <c r="AC2216" s="39" t="s">
        <v>160</v>
      </c>
      <c r="AD2216" s="75" t="s">
        <v>10</v>
      </c>
      <c r="AE2216" s="95">
        <v>0</v>
      </c>
      <c r="AF2216" s="75">
        <v>0</v>
      </c>
      <c r="AG2216" s="75">
        <v>0</v>
      </c>
      <c r="AH2216" s="75">
        <v>0</v>
      </c>
      <c r="AI2216" s="75">
        <v>0</v>
      </c>
      <c r="AJ2216" s="75">
        <v>0</v>
      </c>
      <c r="AK2216" s="75">
        <v>0</v>
      </c>
      <c r="AL2216" s="95">
        <v>1</v>
      </c>
      <c r="AM2216" s="92">
        <v>0</v>
      </c>
      <c r="AN2216" s="79" t="s">
        <v>80</v>
      </c>
      <c r="AO2216" s="75">
        <v>1</v>
      </c>
      <c r="AP2216" s="75" t="s">
        <v>83</v>
      </c>
      <c r="AQ2216" s="122">
        <v>1</v>
      </c>
      <c r="AR2216" s="515" t="s">
        <v>10</v>
      </c>
      <c r="AS2216" s="95">
        <v>0</v>
      </c>
      <c r="AT2216" s="75">
        <v>0</v>
      </c>
      <c r="AU2216" s="75">
        <v>0</v>
      </c>
      <c r="AV2216" s="75">
        <v>0</v>
      </c>
      <c r="AW2216" s="123">
        <v>0</v>
      </c>
      <c r="AX2216" s="516" t="s">
        <v>293</v>
      </c>
      <c r="AY2216" s="75">
        <v>1</v>
      </c>
      <c r="AZ2216" s="77" t="s">
        <v>131</v>
      </c>
      <c r="BA2216" s="78" t="s">
        <v>131</v>
      </c>
      <c r="BB2216" s="78" t="s">
        <v>131</v>
      </c>
      <c r="BC2216" s="78" t="s">
        <v>131</v>
      </c>
      <c r="BD2216" s="78" t="s">
        <v>131</v>
      </c>
      <c r="BE2216" s="78" t="s">
        <v>131</v>
      </c>
      <c r="BF2216" s="78" t="s">
        <v>131</v>
      </c>
      <c r="BG2216" s="78" t="s">
        <v>132</v>
      </c>
      <c r="BH2216" s="75" t="s">
        <v>5970</v>
      </c>
      <c r="BI2216" s="295" t="s">
        <v>2236</v>
      </c>
      <c r="BJ2216" s="546">
        <v>1</v>
      </c>
      <c r="BK2216" s="294" t="s">
        <v>16</v>
      </c>
      <c r="BL2216" s="157" t="s">
        <v>16</v>
      </c>
      <c r="BM2216" s="548" t="s">
        <v>578</v>
      </c>
      <c r="BN2216" s="548" t="s">
        <v>578</v>
      </c>
      <c r="BO2216" s="157" t="s">
        <v>4658</v>
      </c>
      <c r="BP2216" s="548" t="s">
        <v>4660</v>
      </c>
      <c r="BQ2216" s="157" t="s">
        <v>4657</v>
      </c>
      <c r="BR2216" s="157"/>
    </row>
    <row r="2217" spans="1:70" x14ac:dyDescent="0.25">
      <c r="A2217" s="19" t="s">
        <v>3686</v>
      </c>
      <c r="B2217" s="37" t="s">
        <v>289</v>
      </c>
      <c r="C2217" s="90">
        <v>43980.833680555559</v>
      </c>
      <c r="D2217" s="114">
        <v>43980.583680555559</v>
      </c>
      <c r="E2217" s="38">
        <v>43980</v>
      </c>
      <c r="F2217" s="91">
        <v>2020</v>
      </c>
      <c r="G2217" s="93">
        <v>5</v>
      </c>
      <c r="H2217" s="37" t="s">
        <v>290</v>
      </c>
      <c r="I2217" s="37"/>
      <c r="J2217" s="103">
        <v>-92.613542744581238</v>
      </c>
      <c r="K2217" s="40">
        <v>44.886186336889153</v>
      </c>
      <c r="L2217" s="74"/>
      <c r="M2217" s="272" t="s">
        <v>16</v>
      </c>
      <c r="N2217" s="74">
        <v>0</v>
      </c>
      <c r="O2217" s="94"/>
      <c r="P2217" s="118">
        <v>1</v>
      </c>
      <c r="Q2217" s="510">
        <v>120</v>
      </c>
      <c r="R2217" s="513">
        <v>120</v>
      </c>
      <c r="S2217" s="41"/>
      <c r="T2217" s="40"/>
      <c r="U2217" s="40">
        <v>7</v>
      </c>
      <c r="V2217" s="119">
        <v>0</v>
      </c>
      <c r="W2217" s="40"/>
      <c r="X2217" s="119">
        <v>0</v>
      </c>
      <c r="Y2217" s="40"/>
      <c r="Z2217" s="119">
        <v>1</v>
      </c>
      <c r="AA2217" s="368">
        <v>0</v>
      </c>
      <c r="AB2217" s="535">
        <v>2</v>
      </c>
      <c r="AC2217" s="39" t="s">
        <v>160</v>
      </c>
      <c r="AD2217" s="75" t="s">
        <v>10</v>
      </c>
      <c r="AE2217" s="95">
        <v>0</v>
      </c>
      <c r="AF2217" s="75">
        <v>0</v>
      </c>
      <c r="AG2217" s="75">
        <v>0</v>
      </c>
      <c r="AH2217" s="75">
        <v>0</v>
      </c>
      <c r="AI2217" s="75">
        <v>0</v>
      </c>
      <c r="AJ2217" s="75">
        <v>0</v>
      </c>
      <c r="AK2217" s="75">
        <v>0</v>
      </c>
      <c r="AL2217" s="95">
        <v>1</v>
      </c>
      <c r="AM2217" s="92">
        <v>0</v>
      </c>
      <c r="AN2217" s="79" t="s">
        <v>81</v>
      </c>
      <c r="AO2217" s="75">
        <v>1</v>
      </c>
      <c r="AP2217" s="75" t="s">
        <v>83</v>
      </c>
      <c r="AQ2217" s="122">
        <v>1</v>
      </c>
      <c r="AR2217" s="515" t="s">
        <v>10</v>
      </c>
      <c r="AS2217" s="95">
        <v>0</v>
      </c>
      <c r="AT2217" s="75">
        <v>0</v>
      </c>
      <c r="AU2217" s="75">
        <v>0</v>
      </c>
      <c r="AV2217" s="75">
        <v>0</v>
      </c>
      <c r="AW2217" s="123">
        <v>0</v>
      </c>
      <c r="AX2217" s="516"/>
      <c r="AY2217" s="75">
        <v>0</v>
      </c>
      <c r="AZ2217" s="77" t="s">
        <v>131</v>
      </c>
      <c r="BA2217" s="78" t="s">
        <v>131</v>
      </c>
      <c r="BB2217" s="78" t="s">
        <v>131</v>
      </c>
      <c r="BC2217" s="78" t="s">
        <v>131</v>
      </c>
      <c r="BD2217" s="78" t="s">
        <v>131</v>
      </c>
      <c r="BE2217" s="78" t="s">
        <v>131</v>
      </c>
      <c r="BF2217" s="78" t="s">
        <v>131</v>
      </c>
      <c r="BG2217" s="78" t="s">
        <v>132</v>
      </c>
      <c r="BH2217" s="75" t="s">
        <v>5970</v>
      </c>
      <c r="BI2217" s="295" t="s">
        <v>2227</v>
      </c>
      <c r="BJ2217" s="546">
        <v>1</v>
      </c>
      <c r="BK2217" s="294" t="s">
        <v>16</v>
      </c>
      <c r="BL2217" s="157" t="s">
        <v>16</v>
      </c>
      <c r="BM2217" s="548" t="s">
        <v>578</v>
      </c>
      <c r="BN2217" s="548" t="s">
        <v>5969</v>
      </c>
      <c r="BO2217" s="157" t="s">
        <v>4311</v>
      </c>
      <c r="BP2217" s="548" t="s">
        <v>4395</v>
      </c>
      <c r="BQ2217" s="157" t="s">
        <v>4309</v>
      </c>
      <c r="BR2217" s="157"/>
    </row>
    <row r="2218" spans="1:70" x14ac:dyDescent="0.25">
      <c r="A2218" s="19" t="s">
        <v>3686</v>
      </c>
      <c r="B2218" s="37" t="s">
        <v>286</v>
      </c>
      <c r="C2218" s="90">
        <v>43979.898252314815</v>
      </c>
      <c r="D2218" s="114">
        <v>43979.648252314815</v>
      </c>
      <c r="E2218" s="38">
        <v>43979</v>
      </c>
      <c r="F2218" s="91">
        <v>2020</v>
      </c>
      <c r="G2218" s="93">
        <v>5</v>
      </c>
      <c r="H2218" s="37" t="s">
        <v>201</v>
      </c>
      <c r="I2218" s="37" t="s">
        <v>2363</v>
      </c>
      <c r="J2218" s="103">
        <v>-92.189864433164502</v>
      </c>
      <c r="K2218" s="40">
        <v>44.632838911070479</v>
      </c>
      <c r="L2218" s="74"/>
      <c r="M2218" s="272" t="s">
        <v>287</v>
      </c>
      <c r="N2218" s="74">
        <v>1</v>
      </c>
      <c r="O2218" s="94"/>
      <c r="P2218" s="118">
        <v>1</v>
      </c>
      <c r="Q2218" s="510">
        <v>180</v>
      </c>
      <c r="R2218" s="513">
        <v>120</v>
      </c>
      <c r="S2218" s="41"/>
      <c r="T2218" s="40"/>
      <c r="U2218" s="40">
        <v>7</v>
      </c>
      <c r="V2218" s="119">
        <v>1</v>
      </c>
      <c r="W2218" s="40">
        <v>0</v>
      </c>
      <c r="X2218" s="119">
        <v>1</v>
      </c>
      <c r="Y2218" s="40">
        <v>66</v>
      </c>
      <c r="Z2218" s="119">
        <v>0</v>
      </c>
      <c r="AA2218" s="368" t="s">
        <v>16</v>
      </c>
      <c r="AB2218" s="535" t="s">
        <v>16</v>
      </c>
      <c r="AC2218" s="39" t="s">
        <v>160</v>
      </c>
      <c r="AD2218" s="75" t="s">
        <v>10</v>
      </c>
      <c r="AE2218" s="95">
        <v>0</v>
      </c>
      <c r="AF2218" s="75">
        <v>0</v>
      </c>
      <c r="AG2218" s="75">
        <v>0</v>
      </c>
      <c r="AH2218" s="75">
        <v>0</v>
      </c>
      <c r="AI2218" s="75">
        <v>0</v>
      </c>
      <c r="AJ2218" s="75">
        <v>0</v>
      </c>
      <c r="AK2218" s="75">
        <v>0</v>
      </c>
      <c r="AL2218" s="95">
        <v>1</v>
      </c>
      <c r="AM2218" s="92">
        <v>0</v>
      </c>
      <c r="AN2218" s="79" t="s">
        <v>81</v>
      </c>
      <c r="AO2218" s="75">
        <v>1</v>
      </c>
      <c r="AP2218" s="75" t="s">
        <v>84</v>
      </c>
      <c r="AQ2218" s="122">
        <v>1</v>
      </c>
      <c r="AR2218" s="515" t="s">
        <v>13</v>
      </c>
      <c r="AS2218" s="95">
        <v>1</v>
      </c>
      <c r="AT2218" s="75">
        <v>0</v>
      </c>
      <c r="AU2218" s="75">
        <v>0</v>
      </c>
      <c r="AV2218" s="75">
        <v>0</v>
      </c>
      <c r="AW2218" s="123">
        <v>0</v>
      </c>
      <c r="AX2218" s="516" t="s">
        <v>288</v>
      </c>
      <c r="AY2218" s="75">
        <v>1</v>
      </c>
      <c r="AZ2218" s="77" t="s">
        <v>131</v>
      </c>
      <c r="BA2218" s="78" t="s">
        <v>131</v>
      </c>
      <c r="BB2218" s="78" t="s">
        <v>131</v>
      </c>
      <c r="BC2218" s="78" t="s">
        <v>131</v>
      </c>
      <c r="BD2218" s="78" t="s">
        <v>131</v>
      </c>
      <c r="BE2218" s="78" t="s">
        <v>131</v>
      </c>
      <c r="BF2218" s="78" t="s">
        <v>131</v>
      </c>
      <c r="BG2218" s="78" t="s">
        <v>132</v>
      </c>
      <c r="BH2218" s="75" t="s">
        <v>5970</v>
      </c>
      <c r="BI2218" s="295" t="s">
        <v>2248</v>
      </c>
      <c r="BJ2218" s="546">
        <v>1</v>
      </c>
      <c r="BK2218" s="294">
        <v>1</v>
      </c>
      <c r="BL2218" s="157">
        <v>1</v>
      </c>
      <c r="BM2218" s="548" t="s">
        <v>578</v>
      </c>
      <c r="BN2218" s="548" t="s">
        <v>578</v>
      </c>
      <c r="BO2218" s="157" t="s">
        <v>4218</v>
      </c>
      <c r="BP2218" s="548" t="s">
        <v>4221</v>
      </c>
      <c r="BQ2218" s="157" t="s">
        <v>4217</v>
      </c>
      <c r="BR2218" s="157"/>
    </row>
    <row r="2219" spans="1:70" x14ac:dyDescent="0.25">
      <c r="A2219" s="19" t="s">
        <v>3686</v>
      </c>
      <c r="B2219" s="37" t="s">
        <v>283</v>
      </c>
      <c r="C2219" s="90">
        <v>43979.782476851855</v>
      </c>
      <c r="D2219" s="114">
        <v>43979.532476851855</v>
      </c>
      <c r="E2219" s="38">
        <v>43979</v>
      </c>
      <c r="F2219" s="91">
        <v>2020</v>
      </c>
      <c r="G2219" s="93">
        <v>5</v>
      </c>
      <c r="H2219" s="37" t="s">
        <v>201</v>
      </c>
      <c r="I2219" s="37" t="s">
        <v>2362</v>
      </c>
      <c r="J2219" s="103">
        <v>-92.284266435498296</v>
      </c>
      <c r="K2219" s="40">
        <v>44.542207150551768</v>
      </c>
      <c r="L2219" s="74"/>
      <c r="M2219" s="272" t="s">
        <v>284</v>
      </c>
      <c r="N2219" s="74">
        <v>1</v>
      </c>
      <c r="O2219" s="94"/>
      <c r="P2219" s="118">
        <v>1</v>
      </c>
      <c r="Q2219" s="510">
        <v>180</v>
      </c>
      <c r="R2219" s="513">
        <v>180</v>
      </c>
      <c r="S2219" s="41"/>
      <c r="T2219" s="40"/>
      <c r="U2219" s="40">
        <v>8</v>
      </c>
      <c r="V2219" s="119">
        <v>1</v>
      </c>
      <c r="W2219" s="40">
        <v>0</v>
      </c>
      <c r="X2219" s="119">
        <v>1</v>
      </c>
      <c r="Y2219" s="40">
        <v>52</v>
      </c>
      <c r="Z2219" s="119">
        <v>0</v>
      </c>
      <c r="AA2219" s="368" t="s">
        <v>16</v>
      </c>
      <c r="AB2219" s="535">
        <v>5</v>
      </c>
      <c r="AC2219" s="39" t="s">
        <v>160</v>
      </c>
      <c r="AD2219" s="75" t="s">
        <v>10</v>
      </c>
      <c r="AE2219" s="95">
        <v>0</v>
      </c>
      <c r="AF2219" s="75">
        <v>0</v>
      </c>
      <c r="AG2219" s="75">
        <v>0</v>
      </c>
      <c r="AH2219" s="75">
        <v>0</v>
      </c>
      <c r="AI2219" s="75">
        <v>0</v>
      </c>
      <c r="AJ2219" s="75">
        <v>0</v>
      </c>
      <c r="AK2219" s="75">
        <v>0</v>
      </c>
      <c r="AL2219" s="95">
        <v>1</v>
      </c>
      <c r="AM2219" s="92">
        <v>0</v>
      </c>
      <c r="AN2219" s="79" t="s">
        <v>80</v>
      </c>
      <c r="AO2219" s="75">
        <v>1</v>
      </c>
      <c r="AP2219" s="75" t="s">
        <v>83</v>
      </c>
      <c r="AQ2219" s="122">
        <v>1</v>
      </c>
      <c r="AR2219" s="515" t="s">
        <v>13</v>
      </c>
      <c r="AS2219" s="95">
        <v>1</v>
      </c>
      <c r="AT2219" s="75">
        <v>0</v>
      </c>
      <c r="AU2219" s="75">
        <v>0</v>
      </c>
      <c r="AV2219" s="75">
        <v>0</v>
      </c>
      <c r="AW2219" s="123">
        <v>0</v>
      </c>
      <c r="AX2219" s="516" t="s">
        <v>285</v>
      </c>
      <c r="AY2219" s="75">
        <v>1</v>
      </c>
      <c r="AZ2219" s="77" t="s">
        <v>131</v>
      </c>
      <c r="BA2219" s="78" t="s">
        <v>131</v>
      </c>
      <c r="BB2219" s="78" t="s">
        <v>131</v>
      </c>
      <c r="BC2219" s="78" t="s">
        <v>131</v>
      </c>
      <c r="BD2219" s="78" t="s">
        <v>131</v>
      </c>
      <c r="BE2219" s="78" t="s">
        <v>131</v>
      </c>
      <c r="BF2219" s="78" t="s">
        <v>131</v>
      </c>
      <c r="BG2219" s="78" t="s">
        <v>132</v>
      </c>
      <c r="BH2219" s="75" t="s">
        <v>5970</v>
      </c>
      <c r="BI2219" s="295" t="s">
        <v>16</v>
      </c>
      <c r="BJ2219" s="546">
        <v>1</v>
      </c>
      <c r="BK2219" s="294">
        <v>1</v>
      </c>
      <c r="BL2219" s="157">
        <v>1</v>
      </c>
      <c r="BM2219" s="548" t="s">
        <v>1340</v>
      </c>
      <c r="BN2219" s="548" t="s">
        <v>578</v>
      </c>
      <c r="BO2219" s="157" t="s">
        <v>4268</v>
      </c>
      <c r="BP2219" s="548" t="s">
        <v>2261</v>
      </c>
      <c r="BQ2219" s="157" t="s">
        <v>4214</v>
      </c>
      <c r="BR2219" s="157"/>
    </row>
    <row r="2220" spans="1:70" x14ac:dyDescent="0.25">
      <c r="A2220" s="19" t="s">
        <v>3686</v>
      </c>
      <c r="B2220" s="37" t="s">
        <v>280</v>
      </c>
      <c r="C2220" s="90">
        <v>43979.734386574077</v>
      </c>
      <c r="D2220" s="114">
        <v>43979.484386574077</v>
      </c>
      <c r="E2220" s="38">
        <v>43979</v>
      </c>
      <c r="F2220" s="91">
        <v>2020</v>
      </c>
      <c r="G2220" s="93">
        <v>5</v>
      </c>
      <c r="H2220" s="37" t="s">
        <v>201</v>
      </c>
      <c r="I2220" s="37"/>
      <c r="J2220" s="103">
        <v>-92.268552341889446</v>
      </c>
      <c r="K2220" s="40">
        <v>44.542851584149453</v>
      </c>
      <c r="L2220" s="74"/>
      <c r="M2220" s="272" t="s">
        <v>281</v>
      </c>
      <c r="N2220" s="74">
        <v>1</v>
      </c>
      <c r="O2220" s="94"/>
      <c r="P2220" s="118">
        <v>1</v>
      </c>
      <c r="Q2220" s="510">
        <v>180</v>
      </c>
      <c r="R2220" s="513">
        <v>180</v>
      </c>
      <c r="S2220" s="41"/>
      <c r="T2220" s="40"/>
      <c r="U2220" s="40">
        <v>7.5</v>
      </c>
      <c r="V2220" s="119">
        <v>1</v>
      </c>
      <c r="W2220" s="40">
        <v>0</v>
      </c>
      <c r="X2220" s="119">
        <v>1</v>
      </c>
      <c r="Y2220" s="40">
        <v>46</v>
      </c>
      <c r="Z2220" s="119">
        <v>1</v>
      </c>
      <c r="AA2220" s="368">
        <v>0</v>
      </c>
      <c r="AB2220" s="535">
        <v>2</v>
      </c>
      <c r="AC2220" s="39" t="s">
        <v>162</v>
      </c>
      <c r="AD2220" s="75" t="s">
        <v>10</v>
      </c>
      <c r="AE2220" s="95">
        <v>0</v>
      </c>
      <c r="AF2220" s="75">
        <v>0</v>
      </c>
      <c r="AG2220" s="75">
        <v>0</v>
      </c>
      <c r="AH2220" s="75">
        <v>0</v>
      </c>
      <c r="AI2220" s="75">
        <v>0</v>
      </c>
      <c r="AJ2220" s="75">
        <v>0</v>
      </c>
      <c r="AK2220" s="75">
        <v>0</v>
      </c>
      <c r="AL2220" s="95">
        <v>1</v>
      </c>
      <c r="AM2220" s="92">
        <v>0</v>
      </c>
      <c r="AN2220" s="79" t="s">
        <v>80</v>
      </c>
      <c r="AO2220" s="75">
        <v>1</v>
      </c>
      <c r="AP2220" s="75" t="s">
        <v>83</v>
      </c>
      <c r="AQ2220" s="122">
        <v>1</v>
      </c>
      <c r="AR2220" s="515" t="s">
        <v>13</v>
      </c>
      <c r="AS2220" s="95">
        <v>1</v>
      </c>
      <c r="AT2220" s="75">
        <v>0</v>
      </c>
      <c r="AU2220" s="75">
        <v>0</v>
      </c>
      <c r="AV2220" s="75">
        <v>0</v>
      </c>
      <c r="AW2220" s="123">
        <v>0</v>
      </c>
      <c r="AX2220" s="516" t="s">
        <v>282</v>
      </c>
      <c r="AY2220" s="75">
        <v>1</v>
      </c>
      <c r="AZ2220" s="77" t="s">
        <v>131</v>
      </c>
      <c r="BA2220" s="78" t="s">
        <v>131</v>
      </c>
      <c r="BB2220" s="78" t="s">
        <v>131</v>
      </c>
      <c r="BC2220" s="78" t="s">
        <v>131</v>
      </c>
      <c r="BD2220" s="78" t="s">
        <v>131</v>
      </c>
      <c r="BE2220" s="78" t="s">
        <v>131</v>
      </c>
      <c r="BF2220" s="78" t="s">
        <v>131</v>
      </c>
      <c r="BG2220" s="78" t="s">
        <v>132</v>
      </c>
      <c r="BH2220" s="75" t="s">
        <v>5970</v>
      </c>
      <c r="BI2220" s="295">
        <v>0</v>
      </c>
      <c r="BJ2220" s="546">
        <v>1</v>
      </c>
      <c r="BK2220" s="294">
        <v>1</v>
      </c>
      <c r="BL2220" s="157">
        <v>1</v>
      </c>
      <c r="BM2220" s="548" t="s">
        <v>1340</v>
      </c>
      <c r="BN2220" s="548" t="s">
        <v>578</v>
      </c>
      <c r="BO2220" s="157" t="s">
        <v>4268</v>
      </c>
      <c r="BP2220" s="548" t="s">
        <v>2261</v>
      </c>
      <c r="BQ2220" s="157" t="s">
        <v>4214</v>
      </c>
      <c r="BR2220" s="157"/>
    </row>
    <row r="2221" spans="1:70" x14ac:dyDescent="0.25">
      <c r="A2221" s="19" t="s">
        <v>3686</v>
      </c>
      <c r="B2221" s="37" t="s">
        <v>277</v>
      </c>
      <c r="C2221" s="90">
        <v>43973.86241898148</v>
      </c>
      <c r="D2221" s="114">
        <v>43973.61241898148</v>
      </c>
      <c r="E2221" s="38">
        <v>43973</v>
      </c>
      <c r="F2221" s="91">
        <v>2020</v>
      </c>
      <c r="G2221" s="93">
        <v>5</v>
      </c>
      <c r="H2221" s="37" t="s">
        <v>201</v>
      </c>
      <c r="I2221" s="37"/>
      <c r="J2221" s="103">
        <v>-92.731886076458125</v>
      </c>
      <c r="K2221" s="40">
        <v>44.830937472165147</v>
      </c>
      <c r="L2221" s="74"/>
      <c r="M2221" s="272" t="s">
        <v>278</v>
      </c>
      <c r="N2221" s="74">
        <v>1</v>
      </c>
      <c r="O2221" s="94"/>
      <c r="P2221" s="118">
        <v>1</v>
      </c>
      <c r="Q2221" s="510">
        <v>120</v>
      </c>
      <c r="R2221" s="513">
        <v>60</v>
      </c>
      <c r="S2221" s="41"/>
      <c r="T2221" s="40"/>
      <c r="U2221" s="40">
        <v>8</v>
      </c>
      <c r="V2221" s="119">
        <v>0</v>
      </c>
      <c r="W2221" s="40"/>
      <c r="X2221" s="119">
        <v>1</v>
      </c>
      <c r="Y2221" s="40">
        <v>58</v>
      </c>
      <c r="Z2221" s="119">
        <v>1</v>
      </c>
      <c r="AA2221" s="368">
        <v>0</v>
      </c>
      <c r="AB2221" s="535">
        <v>5</v>
      </c>
      <c r="AC2221" s="39" t="s">
        <v>160</v>
      </c>
      <c r="AD2221" s="75" t="s">
        <v>16</v>
      </c>
      <c r="AE2221" s="95">
        <v>-1</v>
      </c>
      <c r="AF2221" s="75">
        <v>-1</v>
      </c>
      <c r="AG2221" s="75">
        <v>-1</v>
      </c>
      <c r="AH2221" s="75">
        <v>-1</v>
      </c>
      <c r="AI2221" s="75">
        <v>-1</v>
      </c>
      <c r="AJ2221" s="75">
        <v>-1</v>
      </c>
      <c r="AK2221" s="75">
        <v>-1</v>
      </c>
      <c r="AL2221" s="95">
        <v>-1</v>
      </c>
      <c r="AM2221" s="92">
        <v>1</v>
      </c>
      <c r="AN2221" s="79" t="s">
        <v>80</v>
      </c>
      <c r="AO2221" s="75">
        <v>1</v>
      </c>
      <c r="AP2221" s="75" t="s">
        <v>83</v>
      </c>
      <c r="AQ2221" s="122">
        <v>1</v>
      </c>
      <c r="AR2221" s="515" t="s">
        <v>10</v>
      </c>
      <c r="AS2221" s="95">
        <v>0</v>
      </c>
      <c r="AT2221" s="75">
        <v>0</v>
      </c>
      <c r="AU2221" s="75">
        <v>0</v>
      </c>
      <c r="AV2221" s="75">
        <v>0</v>
      </c>
      <c r="AW2221" s="123">
        <v>0</v>
      </c>
      <c r="AX2221" s="516" t="s">
        <v>279</v>
      </c>
      <c r="AY2221" s="75">
        <v>1</v>
      </c>
      <c r="AZ2221" s="77" t="s">
        <v>5971</v>
      </c>
      <c r="BA2221" s="78" t="s">
        <v>5971</v>
      </c>
      <c r="BB2221" s="78" t="s">
        <v>5971</v>
      </c>
      <c r="BC2221" s="78" t="s">
        <v>5971</v>
      </c>
      <c r="BD2221" s="78" t="s">
        <v>5971</v>
      </c>
      <c r="BE2221" s="78" t="s">
        <v>5971</v>
      </c>
      <c r="BF2221" s="78" t="s">
        <v>5971</v>
      </c>
      <c r="BG2221" s="78" t="s">
        <v>5971</v>
      </c>
      <c r="BH2221" s="75" t="s">
        <v>5971</v>
      </c>
      <c r="BI2221" s="295" t="s">
        <v>2227</v>
      </c>
      <c r="BJ2221" s="546">
        <v>1</v>
      </c>
      <c r="BK2221" s="294" t="s">
        <v>16</v>
      </c>
      <c r="BL2221" s="157" t="s">
        <v>16</v>
      </c>
      <c r="BM2221" s="548" t="s">
        <v>578</v>
      </c>
      <c r="BN2221" s="548" t="s">
        <v>578</v>
      </c>
      <c r="BO2221" s="157" t="s">
        <v>4341</v>
      </c>
      <c r="BP2221" s="548" t="s">
        <v>4343</v>
      </c>
      <c r="BQ2221" s="157" t="s">
        <v>4309</v>
      </c>
      <c r="BR2221" s="157"/>
    </row>
    <row r="2222" spans="1:70" x14ac:dyDescent="0.25">
      <c r="A2222" s="19" t="s">
        <v>3686</v>
      </c>
      <c r="B2222" s="37" t="s">
        <v>274</v>
      </c>
      <c r="C2222" s="90">
        <v>43972.891238425924</v>
      </c>
      <c r="D2222" s="114">
        <v>43972.641238425924</v>
      </c>
      <c r="E2222" s="38">
        <v>43972</v>
      </c>
      <c r="F2222" s="91">
        <v>2020</v>
      </c>
      <c r="G2222" s="93">
        <v>5</v>
      </c>
      <c r="H2222" s="37" t="s">
        <v>201</v>
      </c>
      <c r="I2222" s="37" t="s">
        <v>349</v>
      </c>
      <c r="J2222" s="103">
        <v>-92.529863689351401</v>
      </c>
      <c r="K2222" s="40">
        <v>44.79370636512192</v>
      </c>
      <c r="L2222" s="74"/>
      <c r="M2222" s="272" t="s">
        <v>275</v>
      </c>
      <c r="N2222" s="74">
        <v>1</v>
      </c>
      <c r="O2222" s="94"/>
      <c r="P2222" s="118">
        <v>0</v>
      </c>
      <c r="Q2222" s="510"/>
      <c r="R2222" s="513"/>
      <c r="S2222" s="41"/>
      <c r="T2222" s="40"/>
      <c r="U2222" s="40"/>
      <c r="V2222" s="119">
        <v>1</v>
      </c>
      <c r="W2222" s="40">
        <v>0</v>
      </c>
      <c r="X2222" s="119">
        <v>1</v>
      </c>
      <c r="Y2222" s="40">
        <v>59</v>
      </c>
      <c r="Z2222" s="119">
        <v>1</v>
      </c>
      <c r="AA2222" s="368">
        <v>0</v>
      </c>
      <c r="AB2222" s="535">
        <v>2</v>
      </c>
      <c r="AC2222" s="39" t="s">
        <v>160</v>
      </c>
      <c r="AD2222" s="75" t="s">
        <v>16</v>
      </c>
      <c r="AE2222" s="95">
        <v>-1</v>
      </c>
      <c r="AF2222" s="75">
        <v>-1</v>
      </c>
      <c r="AG2222" s="75">
        <v>-1</v>
      </c>
      <c r="AH2222" s="75">
        <v>-1</v>
      </c>
      <c r="AI2222" s="75">
        <v>-1</v>
      </c>
      <c r="AJ2222" s="75">
        <v>-1</v>
      </c>
      <c r="AK2222" s="75">
        <v>-1</v>
      </c>
      <c r="AL2222" s="95">
        <v>-1</v>
      </c>
      <c r="AM2222" s="92">
        <v>1</v>
      </c>
      <c r="AN2222" s="79" t="s">
        <v>80</v>
      </c>
      <c r="AO2222" s="75">
        <v>1</v>
      </c>
      <c r="AP2222" s="75" t="s">
        <v>83</v>
      </c>
      <c r="AQ2222" s="122">
        <v>1</v>
      </c>
      <c r="AR2222" s="515" t="s">
        <v>10</v>
      </c>
      <c r="AS2222" s="95">
        <v>0</v>
      </c>
      <c r="AT2222" s="75">
        <v>0</v>
      </c>
      <c r="AU2222" s="75">
        <v>0</v>
      </c>
      <c r="AV2222" s="75">
        <v>0</v>
      </c>
      <c r="AW2222" s="123">
        <v>0</v>
      </c>
      <c r="AX2222" s="516" t="s">
        <v>276</v>
      </c>
      <c r="AY2222" s="75">
        <v>1</v>
      </c>
      <c r="AZ2222" s="77" t="s">
        <v>5971</v>
      </c>
      <c r="BA2222" s="78" t="s">
        <v>5971</v>
      </c>
      <c r="BB2222" s="78" t="s">
        <v>5971</v>
      </c>
      <c r="BC2222" s="78" t="s">
        <v>5971</v>
      </c>
      <c r="BD2222" s="78" t="s">
        <v>5971</v>
      </c>
      <c r="BE2222" s="78" t="s">
        <v>5971</v>
      </c>
      <c r="BF2222" s="78" t="s">
        <v>5971</v>
      </c>
      <c r="BG2222" s="78" t="s">
        <v>5971</v>
      </c>
      <c r="BH2222" s="75" t="s">
        <v>5971</v>
      </c>
      <c r="BI2222" s="295" t="s">
        <v>2236</v>
      </c>
      <c r="BJ2222" s="546">
        <v>1</v>
      </c>
      <c r="BK2222" s="294" t="s">
        <v>16</v>
      </c>
      <c r="BL2222" s="157" t="s">
        <v>16</v>
      </c>
      <c r="BM2222" s="548" t="s">
        <v>578</v>
      </c>
      <c r="BN2222" s="548" t="s">
        <v>578</v>
      </c>
      <c r="BO2222" s="157" t="s">
        <v>4658</v>
      </c>
      <c r="BP2222" s="548" t="s">
        <v>4660</v>
      </c>
      <c r="BQ2222" s="157" t="s">
        <v>4657</v>
      </c>
      <c r="BR2222" s="157"/>
    </row>
    <row r="2223" spans="1:70" x14ac:dyDescent="0.25">
      <c r="A2223" s="19" t="s">
        <v>3686</v>
      </c>
      <c r="B2223" s="37" t="s">
        <v>271</v>
      </c>
      <c r="C2223" s="90">
        <v>43972.734594907408</v>
      </c>
      <c r="D2223" s="114">
        <v>43972.484594907408</v>
      </c>
      <c r="E2223" s="38">
        <v>43972</v>
      </c>
      <c r="F2223" s="91">
        <v>2020</v>
      </c>
      <c r="G2223" s="93">
        <v>5</v>
      </c>
      <c r="H2223" s="37" t="s">
        <v>201</v>
      </c>
      <c r="I2223" s="37"/>
      <c r="J2223" s="103">
        <v>-92.268468781528441</v>
      </c>
      <c r="K2223" s="40">
        <v>44.542859061879327</v>
      </c>
      <c r="L2223" s="74"/>
      <c r="M2223" s="272" t="s">
        <v>272</v>
      </c>
      <c r="N2223" s="74">
        <v>1</v>
      </c>
      <c r="O2223" s="94"/>
      <c r="P2223" s="118">
        <v>1</v>
      </c>
      <c r="Q2223" s="510">
        <v>180</v>
      </c>
      <c r="R2223" s="513">
        <v>30</v>
      </c>
      <c r="S2223" s="41"/>
      <c r="T2223" s="40"/>
      <c r="U2223" s="40">
        <v>8</v>
      </c>
      <c r="V2223" s="119">
        <v>1</v>
      </c>
      <c r="W2223" s="40">
        <v>0</v>
      </c>
      <c r="X2223" s="119">
        <v>1</v>
      </c>
      <c r="Y2223" s="40">
        <v>47</v>
      </c>
      <c r="Z2223" s="119">
        <v>1</v>
      </c>
      <c r="AA2223" s="368">
        <v>0</v>
      </c>
      <c r="AB2223" s="535">
        <v>5</v>
      </c>
      <c r="AC2223" s="39" t="s">
        <v>162</v>
      </c>
      <c r="AD2223" s="75" t="s">
        <v>16</v>
      </c>
      <c r="AE2223" s="95">
        <v>-1</v>
      </c>
      <c r="AF2223" s="75">
        <v>-1</v>
      </c>
      <c r="AG2223" s="75">
        <v>-1</v>
      </c>
      <c r="AH2223" s="75">
        <v>-1</v>
      </c>
      <c r="AI2223" s="75">
        <v>-1</v>
      </c>
      <c r="AJ2223" s="75">
        <v>-1</v>
      </c>
      <c r="AK2223" s="75">
        <v>-1</v>
      </c>
      <c r="AL2223" s="95">
        <v>-1</v>
      </c>
      <c r="AM2223" s="92">
        <v>1</v>
      </c>
      <c r="AN2223" s="79" t="s">
        <v>80</v>
      </c>
      <c r="AO2223" s="75">
        <v>1</v>
      </c>
      <c r="AP2223" s="75" t="s">
        <v>83</v>
      </c>
      <c r="AQ2223" s="122">
        <v>1</v>
      </c>
      <c r="AR2223" s="515" t="s">
        <v>10</v>
      </c>
      <c r="AS2223" s="95">
        <v>0</v>
      </c>
      <c r="AT2223" s="75">
        <v>0</v>
      </c>
      <c r="AU2223" s="75">
        <v>0</v>
      </c>
      <c r="AV2223" s="75">
        <v>0</v>
      </c>
      <c r="AW2223" s="123">
        <v>0</v>
      </c>
      <c r="AX2223" s="516" t="s">
        <v>273</v>
      </c>
      <c r="AY2223" s="75">
        <v>1</v>
      </c>
      <c r="AZ2223" s="77" t="s">
        <v>5971</v>
      </c>
      <c r="BA2223" s="78" t="s">
        <v>5971</v>
      </c>
      <c r="BB2223" s="78" t="s">
        <v>5971</v>
      </c>
      <c r="BC2223" s="78" t="s">
        <v>5971</v>
      </c>
      <c r="BD2223" s="78" t="s">
        <v>5971</v>
      </c>
      <c r="BE2223" s="78" t="s">
        <v>5971</v>
      </c>
      <c r="BF2223" s="78" t="s">
        <v>5971</v>
      </c>
      <c r="BG2223" s="78" t="s">
        <v>5971</v>
      </c>
      <c r="BH2223" s="75" t="s">
        <v>5971</v>
      </c>
      <c r="BI2223" s="295" t="s">
        <v>16</v>
      </c>
      <c r="BJ2223" s="546">
        <v>1</v>
      </c>
      <c r="BK2223" s="294">
        <v>1</v>
      </c>
      <c r="BL2223" s="157">
        <v>1</v>
      </c>
      <c r="BM2223" s="548" t="s">
        <v>1340</v>
      </c>
      <c r="BN2223" s="548" t="s">
        <v>578</v>
      </c>
      <c r="BO2223" s="157" t="s">
        <v>4268</v>
      </c>
      <c r="BP2223" s="548" t="s">
        <v>2261</v>
      </c>
      <c r="BQ2223" s="157" t="s">
        <v>4214</v>
      </c>
      <c r="BR2223" s="157"/>
    </row>
    <row r="2224" spans="1:70" x14ac:dyDescent="0.25">
      <c r="A2224" s="19" t="s">
        <v>3686</v>
      </c>
      <c r="B2224" s="37" t="s">
        <v>268</v>
      </c>
      <c r="C2224" s="90">
        <v>43972.69295138889</v>
      </c>
      <c r="D2224" s="114">
        <v>43972.44295138889</v>
      </c>
      <c r="E2224" s="38">
        <v>43972</v>
      </c>
      <c r="F2224" s="91">
        <v>2020</v>
      </c>
      <c r="G2224" s="93">
        <v>5</v>
      </c>
      <c r="H2224" s="37" t="s">
        <v>201</v>
      </c>
      <c r="I2224" s="37" t="s">
        <v>2362</v>
      </c>
      <c r="J2224" s="103">
        <v>-92.284344648669006</v>
      </c>
      <c r="K2224" s="40">
        <v>44.542257270414801</v>
      </c>
      <c r="L2224" s="74"/>
      <c r="M2224" s="272" t="s">
        <v>269</v>
      </c>
      <c r="N2224" s="74">
        <v>1</v>
      </c>
      <c r="O2224" s="94"/>
      <c r="P2224" s="118">
        <v>1</v>
      </c>
      <c r="Q2224" s="510">
        <v>180</v>
      </c>
      <c r="R2224" s="513">
        <v>60</v>
      </c>
      <c r="S2224" s="41"/>
      <c r="T2224" s="40"/>
      <c r="U2224" s="40">
        <v>8</v>
      </c>
      <c r="V2224" s="119">
        <v>1</v>
      </c>
      <c r="W2224" s="40">
        <v>0</v>
      </c>
      <c r="X2224" s="119">
        <v>1</v>
      </c>
      <c r="Y2224" s="40">
        <v>51</v>
      </c>
      <c r="Z2224" s="119">
        <v>1</v>
      </c>
      <c r="AA2224" s="368">
        <v>0</v>
      </c>
      <c r="AB2224" s="535">
        <v>2</v>
      </c>
      <c r="AC2224" s="39" t="s">
        <v>160</v>
      </c>
      <c r="AD2224" s="75" t="s">
        <v>16</v>
      </c>
      <c r="AE2224" s="95">
        <v>-1</v>
      </c>
      <c r="AF2224" s="75">
        <v>-1</v>
      </c>
      <c r="AG2224" s="75">
        <v>-1</v>
      </c>
      <c r="AH2224" s="75">
        <v>-1</v>
      </c>
      <c r="AI2224" s="75">
        <v>-1</v>
      </c>
      <c r="AJ2224" s="75">
        <v>-1</v>
      </c>
      <c r="AK2224" s="75">
        <v>-1</v>
      </c>
      <c r="AL2224" s="95">
        <v>-1</v>
      </c>
      <c r="AM2224" s="92">
        <v>1</v>
      </c>
      <c r="AN2224" s="79" t="s">
        <v>80</v>
      </c>
      <c r="AO2224" s="75">
        <v>1</v>
      </c>
      <c r="AP2224" s="75" t="s">
        <v>83</v>
      </c>
      <c r="AQ2224" s="122">
        <v>1</v>
      </c>
      <c r="AR2224" s="515" t="s">
        <v>10</v>
      </c>
      <c r="AS2224" s="95">
        <v>0</v>
      </c>
      <c r="AT2224" s="75">
        <v>0</v>
      </c>
      <c r="AU2224" s="75">
        <v>0</v>
      </c>
      <c r="AV2224" s="75">
        <v>0</v>
      </c>
      <c r="AW2224" s="123">
        <v>0</v>
      </c>
      <c r="AX2224" s="516" t="s">
        <v>270</v>
      </c>
      <c r="AY2224" s="75">
        <v>1</v>
      </c>
      <c r="AZ2224" s="77" t="s">
        <v>5971</v>
      </c>
      <c r="BA2224" s="78" t="s">
        <v>5971</v>
      </c>
      <c r="BB2224" s="78" t="s">
        <v>5971</v>
      </c>
      <c r="BC2224" s="78" t="s">
        <v>5971</v>
      </c>
      <c r="BD2224" s="78" t="s">
        <v>5971</v>
      </c>
      <c r="BE2224" s="78" t="s">
        <v>5971</v>
      </c>
      <c r="BF2224" s="78" t="s">
        <v>5971</v>
      </c>
      <c r="BG2224" s="78" t="s">
        <v>5971</v>
      </c>
      <c r="BH2224" s="75" t="s">
        <v>5971</v>
      </c>
      <c r="BI2224" s="295" t="s">
        <v>2261</v>
      </c>
      <c r="BJ2224" s="546">
        <v>1</v>
      </c>
      <c r="BK2224" s="294">
        <v>1</v>
      </c>
      <c r="BL2224" s="157">
        <v>1</v>
      </c>
      <c r="BM2224" s="548" t="s">
        <v>1340</v>
      </c>
      <c r="BN2224" s="548" t="s">
        <v>578</v>
      </c>
      <c r="BO2224" s="157" t="s">
        <v>4268</v>
      </c>
      <c r="BP2224" s="548" t="s">
        <v>2261</v>
      </c>
      <c r="BQ2224" s="157" t="s">
        <v>4214</v>
      </c>
      <c r="BR2224" s="157"/>
    </row>
    <row r="2225" spans="1:70" x14ac:dyDescent="0.25">
      <c r="A2225" s="19" t="s">
        <v>3686</v>
      </c>
      <c r="B2225" s="37" t="s">
        <v>265</v>
      </c>
      <c r="C2225" s="90">
        <v>43971.7424537037</v>
      </c>
      <c r="D2225" s="114">
        <v>43971.4924537037</v>
      </c>
      <c r="E2225" s="38">
        <v>43971</v>
      </c>
      <c r="F2225" s="91">
        <v>2020</v>
      </c>
      <c r="G2225" s="93">
        <v>5</v>
      </c>
      <c r="H2225" s="37" t="s">
        <v>260</v>
      </c>
      <c r="I2225" s="37"/>
      <c r="J2225" s="103">
        <v>-92.645100600000006</v>
      </c>
      <c r="K2225" s="40">
        <v>44.8434867</v>
      </c>
      <c r="L2225" s="74"/>
      <c r="M2225" s="272" t="s">
        <v>266</v>
      </c>
      <c r="N2225" s="74">
        <v>1</v>
      </c>
      <c r="O2225" s="94"/>
      <c r="P2225" s="118">
        <v>1</v>
      </c>
      <c r="Q2225" s="510">
        <v>0</v>
      </c>
      <c r="R2225" s="513">
        <v>60</v>
      </c>
      <c r="S2225" s="41"/>
      <c r="T2225" s="40"/>
      <c r="U2225" s="40">
        <v>7</v>
      </c>
      <c r="V2225" s="119">
        <v>1</v>
      </c>
      <c r="W2225" s="40">
        <v>100</v>
      </c>
      <c r="X2225" s="119">
        <v>1</v>
      </c>
      <c r="Y2225" s="40">
        <v>58</v>
      </c>
      <c r="Z2225" s="119">
        <v>1</v>
      </c>
      <c r="AA2225" s="368">
        <v>0</v>
      </c>
      <c r="AB2225" s="535">
        <v>2</v>
      </c>
      <c r="AC2225" s="39" t="s">
        <v>160</v>
      </c>
      <c r="AD2225" s="75" t="s">
        <v>10</v>
      </c>
      <c r="AE2225" s="95">
        <v>0</v>
      </c>
      <c r="AF2225" s="75">
        <v>0</v>
      </c>
      <c r="AG2225" s="75">
        <v>0</v>
      </c>
      <c r="AH2225" s="75">
        <v>0</v>
      </c>
      <c r="AI2225" s="75">
        <v>0</v>
      </c>
      <c r="AJ2225" s="75">
        <v>0</v>
      </c>
      <c r="AK2225" s="75">
        <v>0</v>
      </c>
      <c r="AL2225" s="95">
        <v>1</v>
      </c>
      <c r="AM2225" s="92">
        <v>0</v>
      </c>
      <c r="AN2225" s="79" t="s">
        <v>81</v>
      </c>
      <c r="AO2225" s="75">
        <v>1</v>
      </c>
      <c r="AP2225" s="75" t="s">
        <v>83</v>
      </c>
      <c r="AQ2225" s="122">
        <v>1</v>
      </c>
      <c r="AR2225" s="515" t="s">
        <v>10</v>
      </c>
      <c r="AS2225" s="95">
        <v>0</v>
      </c>
      <c r="AT2225" s="75">
        <v>0</v>
      </c>
      <c r="AU2225" s="75">
        <v>0</v>
      </c>
      <c r="AV2225" s="75">
        <v>0</v>
      </c>
      <c r="AW2225" s="123">
        <v>0</v>
      </c>
      <c r="AX2225" s="516" t="s">
        <v>267</v>
      </c>
      <c r="AY2225" s="75">
        <v>1</v>
      </c>
      <c r="AZ2225" s="77" t="s">
        <v>131</v>
      </c>
      <c r="BA2225" s="78" t="s">
        <v>131</v>
      </c>
      <c r="BB2225" s="78" t="s">
        <v>131</v>
      </c>
      <c r="BC2225" s="78" t="s">
        <v>131</v>
      </c>
      <c r="BD2225" s="78" t="s">
        <v>131</v>
      </c>
      <c r="BE2225" s="78" t="s">
        <v>131</v>
      </c>
      <c r="BF2225" s="78" t="s">
        <v>131</v>
      </c>
      <c r="BG2225" s="78" t="s">
        <v>132</v>
      </c>
      <c r="BH2225" s="75" t="s">
        <v>5970</v>
      </c>
      <c r="BI2225" s="295" t="s">
        <v>2227</v>
      </c>
      <c r="BJ2225" s="546">
        <v>1</v>
      </c>
      <c r="BK2225" s="294" t="s">
        <v>16</v>
      </c>
      <c r="BL2225" s="157" t="s">
        <v>16</v>
      </c>
      <c r="BM2225" s="548" t="s">
        <v>578</v>
      </c>
      <c r="BN2225" s="548" t="s">
        <v>578</v>
      </c>
      <c r="BO2225" s="157" t="s">
        <v>4341</v>
      </c>
      <c r="BP2225" s="548" t="s">
        <v>4343</v>
      </c>
      <c r="BQ2225" s="157" t="s">
        <v>4309</v>
      </c>
      <c r="BR2225" s="157"/>
    </row>
    <row r="2226" spans="1:70" x14ac:dyDescent="0.25">
      <c r="A2226" s="19" t="s">
        <v>3686</v>
      </c>
      <c r="B2226" s="37" t="s">
        <v>264</v>
      </c>
      <c r="C2226" s="90">
        <v>43966.932939814818</v>
      </c>
      <c r="D2226" s="114">
        <v>43966.682939814818</v>
      </c>
      <c r="E2226" s="38">
        <v>43966</v>
      </c>
      <c r="F2226" s="91">
        <v>2020</v>
      </c>
      <c r="G2226" s="93">
        <v>5</v>
      </c>
      <c r="H2226" s="37" t="s">
        <v>201</v>
      </c>
      <c r="I2226" s="37"/>
      <c r="J2226" s="103">
        <v>-92.732115550089659</v>
      </c>
      <c r="K2226" s="40">
        <v>44.831205950397489</v>
      </c>
      <c r="L2226" s="74"/>
      <c r="M2226" s="272" t="s">
        <v>16</v>
      </c>
      <c r="N2226" s="74">
        <v>0</v>
      </c>
      <c r="O2226" s="94"/>
      <c r="P2226" s="118">
        <v>0</v>
      </c>
      <c r="Q2226" s="510"/>
      <c r="R2226" s="513"/>
      <c r="S2226" s="41"/>
      <c r="T2226" s="40"/>
      <c r="U2226" s="40"/>
      <c r="V2226" s="119">
        <v>1</v>
      </c>
      <c r="W2226" s="40">
        <v>0</v>
      </c>
      <c r="X2226" s="119">
        <v>1</v>
      </c>
      <c r="Y2226" s="40">
        <v>63</v>
      </c>
      <c r="Z2226" s="119">
        <v>1</v>
      </c>
      <c r="AA2226" s="368">
        <v>0</v>
      </c>
      <c r="AB2226" s="535">
        <v>5</v>
      </c>
      <c r="AC2226" s="39" t="s">
        <v>160</v>
      </c>
      <c r="AD2226" s="75" t="s">
        <v>16</v>
      </c>
      <c r="AE2226" s="95">
        <v>-1</v>
      </c>
      <c r="AF2226" s="75">
        <v>-1</v>
      </c>
      <c r="AG2226" s="75">
        <v>-1</v>
      </c>
      <c r="AH2226" s="75">
        <v>-1</v>
      </c>
      <c r="AI2226" s="75">
        <v>-1</v>
      </c>
      <c r="AJ2226" s="75">
        <v>-1</v>
      </c>
      <c r="AK2226" s="75">
        <v>-1</v>
      </c>
      <c r="AL2226" s="95">
        <v>-1</v>
      </c>
      <c r="AM2226" s="92">
        <v>1</v>
      </c>
      <c r="AN2226" s="79" t="s">
        <v>80</v>
      </c>
      <c r="AO2226" s="75">
        <v>1</v>
      </c>
      <c r="AP2226" s="75" t="s">
        <v>83</v>
      </c>
      <c r="AQ2226" s="122">
        <v>1</v>
      </c>
      <c r="AR2226" s="515" t="s">
        <v>10</v>
      </c>
      <c r="AS2226" s="95">
        <v>0</v>
      </c>
      <c r="AT2226" s="75">
        <v>0</v>
      </c>
      <c r="AU2226" s="75">
        <v>0</v>
      </c>
      <c r="AV2226" s="75">
        <v>0</v>
      </c>
      <c r="AW2226" s="123">
        <v>0</v>
      </c>
      <c r="AX2226" s="516"/>
      <c r="AY2226" s="75">
        <v>0</v>
      </c>
      <c r="AZ2226" s="77" t="s">
        <v>5971</v>
      </c>
      <c r="BA2226" s="78" t="s">
        <v>5971</v>
      </c>
      <c r="BB2226" s="78" t="s">
        <v>5971</v>
      </c>
      <c r="BC2226" s="78" t="s">
        <v>5971</v>
      </c>
      <c r="BD2226" s="78" t="s">
        <v>5971</v>
      </c>
      <c r="BE2226" s="78" t="s">
        <v>5971</v>
      </c>
      <c r="BF2226" s="78" t="s">
        <v>5971</v>
      </c>
      <c r="BG2226" s="78" t="s">
        <v>5971</v>
      </c>
      <c r="BH2226" s="75" t="s">
        <v>5971</v>
      </c>
      <c r="BI2226" s="295" t="s">
        <v>2227</v>
      </c>
      <c r="BJ2226" s="546">
        <v>1</v>
      </c>
      <c r="BK2226" s="294" t="s">
        <v>16</v>
      </c>
      <c r="BL2226" s="157" t="s">
        <v>16</v>
      </c>
      <c r="BM2226" s="548" t="s">
        <v>578</v>
      </c>
      <c r="BN2226" s="548" t="s">
        <v>578</v>
      </c>
      <c r="BO2226" s="157" t="s">
        <v>4341</v>
      </c>
      <c r="BP2226" s="548" t="s">
        <v>4343</v>
      </c>
      <c r="BQ2226" s="157" t="s">
        <v>4309</v>
      </c>
      <c r="BR2226" s="157"/>
    </row>
    <row r="2227" spans="1:70" x14ac:dyDescent="0.25">
      <c r="A2227" s="19" t="s">
        <v>3686</v>
      </c>
      <c r="B2227" s="37" t="s">
        <v>263</v>
      </c>
      <c r="C2227" s="90">
        <v>43958.664814814816</v>
      </c>
      <c r="D2227" s="114">
        <v>43958.414814814816</v>
      </c>
      <c r="E2227" s="38">
        <v>43958</v>
      </c>
      <c r="F2227" s="91">
        <v>2020</v>
      </c>
      <c r="G2227" s="93">
        <v>5</v>
      </c>
      <c r="H2227" s="37" t="s">
        <v>214</v>
      </c>
      <c r="I2227" s="37"/>
      <c r="J2227" s="103">
        <v>-92.363181905270395</v>
      </c>
      <c r="K2227" s="40">
        <v>44.789615146600653</v>
      </c>
      <c r="L2227" s="74"/>
      <c r="M2227" s="272" t="s">
        <v>16</v>
      </c>
      <c r="N2227" s="74">
        <v>0</v>
      </c>
      <c r="O2227" s="94"/>
      <c r="P2227" s="118">
        <v>1</v>
      </c>
      <c r="Q2227" s="510">
        <v>0</v>
      </c>
      <c r="R2227" s="513">
        <v>60</v>
      </c>
      <c r="S2227" s="41"/>
      <c r="T2227" s="40"/>
      <c r="U2227" s="40">
        <v>7</v>
      </c>
      <c r="V2227" s="119">
        <v>0</v>
      </c>
      <c r="W2227" s="40"/>
      <c r="X2227" s="119">
        <v>1</v>
      </c>
      <c r="Y2227" s="40">
        <v>47</v>
      </c>
      <c r="Z2227" s="119">
        <v>0</v>
      </c>
      <c r="AA2227" s="368" t="s">
        <v>16</v>
      </c>
      <c r="AB2227" s="535" t="s">
        <v>16</v>
      </c>
      <c r="AC2227" s="39" t="s">
        <v>160</v>
      </c>
      <c r="AD2227" s="75" t="s">
        <v>10</v>
      </c>
      <c r="AE2227" s="95">
        <v>0</v>
      </c>
      <c r="AF2227" s="75">
        <v>0</v>
      </c>
      <c r="AG2227" s="75">
        <v>0</v>
      </c>
      <c r="AH2227" s="75">
        <v>0</v>
      </c>
      <c r="AI2227" s="75">
        <v>0</v>
      </c>
      <c r="AJ2227" s="75">
        <v>0</v>
      </c>
      <c r="AK2227" s="75">
        <v>0</v>
      </c>
      <c r="AL2227" s="95">
        <v>1</v>
      </c>
      <c r="AM2227" s="92">
        <v>0</v>
      </c>
      <c r="AN2227" s="79" t="s">
        <v>80</v>
      </c>
      <c r="AO2227" s="75">
        <v>1</v>
      </c>
      <c r="AP2227" s="75" t="s">
        <v>83</v>
      </c>
      <c r="AQ2227" s="122">
        <v>1</v>
      </c>
      <c r="AR2227" s="515" t="s">
        <v>10</v>
      </c>
      <c r="AS2227" s="95">
        <v>0</v>
      </c>
      <c r="AT2227" s="75">
        <v>0</v>
      </c>
      <c r="AU2227" s="75">
        <v>0</v>
      </c>
      <c r="AV2227" s="75">
        <v>0</v>
      </c>
      <c r="AW2227" s="123">
        <v>0</v>
      </c>
      <c r="AX2227" s="516"/>
      <c r="AY2227" s="75">
        <v>0</v>
      </c>
      <c r="AZ2227" s="77" t="s">
        <v>131</v>
      </c>
      <c r="BA2227" s="78" t="s">
        <v>131</v>
      </c>
      <c r="BB2227" s="78" t="s">
        <v>131</v>
      </c>
      <c r="BC2227" s="78" t="s">
        <v>131</v>
      </c>
      <c r="BD2227" s="78" t="s">
        <v>131</v>
      </c>
      <c r="BE2227" s="78" t="s">
        <v>131</v>
      </c>
      <c r="BF2227" s="78" t="s">
        <v>131</v>
      </c>
      <c r="BG2227" s="78" t="s">
        <v>132</v>
      </c>
      <c r="BH2227" s="75" t="s">
        <v>5970</v>
      </c>
      <c r="BI2227" s="295" t="s">
        <v>2231</v>
      </c>
      <c r="BJ2227" s="546">
        <v>1</v>
      </c>
      <c r="BK2227" s="294">
        <v>1</v>
      </c>
      <c r="BL2227" s="157">
        <v>1</v>
      </c>
      <c r="BM2227" s="548" t="s">
        <v>578</v>
      </c>
      <c r="BN2227" s="548" t="s">
        <v>578</v>
      </c>
      <c r="BO2227" s="157" t="s">
        <v>4213</v>
      </c>
      <c r="BP2227" s="548" t="s">
        <v>4216</v>
      </c>
      <c r="BQ2227" s="157" t="s">
        <v>4212</v>
      </c>
      <c r="BR2227" s="157"/>
    </row>
    <row r="2228" spans="1:70" x14ac:dyDescent="0.25">
      <c r="A2228" s="19" t="s">
        <v>3686</v>
      </c>
      <c r="B2228" s="37" t="s">
        <v>259</v>
      </c>
      <c r="C2228" s="90">
        <v>43951.828842592593</v>
      </c>
      <c r="D2228" s="114">
        <v>43951.578842592593</v>
      </c>
      <c r="E2228" s="38">
        <v>43951</v>
      </c>
      <c r="F2228" s="91">
        <v>2020</v>
      </c>
      <c r="G2228" s="93">
        <v>4</v>
      </c>
      <c r="H2228" s="37" t="s">
        <v>260</v>
      </c>
      <c r="I2228" s="37"/>
      <c r="J2228" s="103">
        <v>-92.644949400000002</v>
      </c>
      <c r="K2228" s="40">
        <v>44.843532600000003</v>
      </c>
      <c r="L2228" s="74"/>
      <c r="M2228" s="272" t="s">
        <v>261</v>
      </c>
      <c r="N2228" s="74">
        <v>1</v>
      </c>
      <c r="O2228" s="94"/>
      <c r="P2228" s="118">
        <v>1</v>
      </c>
      <c r="Q2228" s="510">
        <v>0</v>
      </c>
      <c r="R2228" s="513">
        <v>120</v>
      </c>
      <c r="S2228" s="41"/>
      <c r="T2228" s="40"/>
      <c r="U2228" s="40">
        <v>7.5</v>
      </c>
      <c r="V2228" s="119">
        <v>1</v>
      </c>
      <c r="W2228" s="40">
        <v>100</v>
      </c>
      <c r="X2228" s="119">
        <v>1</v>
      </c>
      <c r="Y2228" s="40">
        <v>55</v>
      </c>
      <c r="Z2228" s="119">
        <v>1</v>
      </c>
      <c r="AA2228" s="368">
        <v>0</v>
      </c>
      <c r="AB2228" s="535">
        <v>0</v>
      </c>
      <c r="AC2228" s="39" t="s">
        <v>160</v>
      </c>
      <c r="AD2228" s="75" t="s">
        <v>10</v>
      </c>
      <c r="AE2228" s="95">
        <v>0</v>
      </c>
      <c r="AF2228" s="75">
        <v>0</v>
      </c>
      <c r="AG2228" s="75">
        <v>0</v>
      </c>
      <c r="AH2228" s="75">
        <v>0</v>
      </c>
      <c r="AI2228" s="75">
        <v>0</v>
      </c>
      <c r="AJ2228" s="75">
        <v>0</v>
      </c>
      <c r="AK2228" s="75">
        <v>0</v>
      </c>
      <c r="AL2228" s="95">
        <v>1</v>
      </c>
      <c r="AM2228" s="92">
        <v>0</v>
      </c>
      <c r="AN2228" s="79" t="s">
        <v>81</v>
      </c>
      <c r="AO2228" s="75">
        <v>1</v>
      </c>
      <c r="AP2228" s="75" t="s">
        <v>84</v>
      </c>
      <c r="AQ2228" s="122">
        <v>1</v>
      </c>
      <c r="AR2228" s="515" t="s">
        <v>10</v>
      </c>
      <c r="AS2228" s="95">
        <v>0</v>
      </c>
      <c r="AT2228" s="75">
        <v>0</v>
      </c>
      <c r="AU2228" s="75">
        <v>0</v>
      </c>
      <c r="AV2228" s="75">
        <v>0</v>
      </c>
      <c r="AW2228" s="123">
        <v>0</v>
      </c>
      <c r="AX2228" s="516" t="s">
        <v>262</v>
      </c>
      <c r="AY2228" s="75">
        <v>1</v>
      </c>
      <c r="AZ2228" s="77" t="s">
        <v>131</v>
      </c>
      <c r="BA2228" s="78" t="s">
        <v>131</v>
      </c>
      <c r="BB2228" s="78" t="s">
        <v>131</v>
      </c>
      <c r="BC2228" s="78" t="s">
        <v>131</v>
      </c>
      <c r="BD2228" s="78" t="s">
        <v>131</v>
      </c>
      <c r="BE2228" s="78" t="s">
        <v>131</v>
      </c>
      <c r="BF2228" s="78" t="s">
        <v>131</v>
      </c>
      <c r="BG2228" s="78" t="s">
        <v>132</v>
      </c>
      <c r="BH2228" s="75" t="s">
        <v>5970</v>
      </c>
      <c r="BI2228" s="295" t="s">
        <v>2227</v>
      </c>
      <c r="BJ2228" s="546">
        <v>1</v>
      </c>
      <c r="BK2228" s="294" t="s">
        <v>16</v>
      </c>
      <c r="BL2228" s="157" t="s">
        <v>16</v>
      </c>
      <c r="BM2228" s="548" t="s">
        <v>578</v>
      </c>
      <c r="BN2228" s="548" t="s">
        <v>578</v>
      </c>
      <c r="BO2228" s="157" t="s">
        <v>4341</v>
      </c>
      <c r="BP2228" s="548" t="s">
        <v>4343</v>
      </c>
      <c r="BQ2228" s="157" t="s">
        <v>4309</v>
      </c>
      <c r="BR2228" s="157"/>
    </row>
    <row r="2229" spans="1:70" x14ac:dyDescent="0.25">
      <c r="A2229" s="19" t="s">
        <v>3686</v>
      </c>
      <c r="B2229" s="37" t="s">
        <v>256</v>
      </c>
      <c r="C2229" s="90">
        <v>43945.647268518522</v>
      </c>
      <c r="D2229" s="114">
        <v>43945.397268518522</v>
      </c>
      <c r="E2229" s="38">
        <v>43945</v>
      </c>
      <c r="F2229" s="91">
        <v>2020</v>
      </c>
      <c r="G2229" s="93">
        <v>4</v>
      </c>
      <c r="H2229" s="37" t="s">
        <v>205</v>
      </c>
      <c r="I2229" s="37" t="s">
        <v>368</v>
      </c>
      <c r="J2229" s="103">
        <v>-92.33150816217794</v>
      </c>
      <c r="K2229" s="40">
        <v>44.746238581225043</v>
      </c>
      <c r="L2229" s="74"/>
      <c r="M2229" s="272" t="s">
        <v>257</v>
      </c>
      <c r="N2229" s="74">
        <v>1</v>
      </c>
      <c r="O2229" s="94"/>
      <c r="P2229" s="118">
        <v>1</v>
      </c>
      <c r="Q2229" s="510">
        <v>240</v>
      </c>
      <c r="R2229" s="513">
        <v>30</v>
      </c>
      <c r="S2229" s="41"/>
      <c r="T2229" s="40"/>
      <c r="U2229" s="40">
        <v>6.5</v>
      </c>
      <c r="V2229" s="119">
        <v>1</v>
      </c>
      <c r="W2229" s="40">
        <v>0</v>
      </c>
      <c r="X2229" s="119">
        <v>1</v>
      </c>
      <c r="Y2229" s="40">
        <v>47</v>
      </c>
      <c r="Z2229" s="119">
        <v>1</v>
      </c>
      <c r="AA2229" s="368">
        <v>0</v>
      </c>
      <c r="AB2229" s="535">
        <v>0</v>
      </c>
      <c r="AC2229" s="39" t="s">
        <v>160</v>
      </c>
      <c r="AD2229" s="75" t="s">
        <v>10</v>
      </c>
      <c r="AE2229" s="95">
        <v>0</v>
      </c>
      <c r="AF2229" s="75">
        <v>0</v>
      </c>
      <c r="AG2229" s="75">
        <v>0</v>
      </c>
      <c r="AH2229" s="75">
        <v>0</v>
      </c>
      <c r="AI2229" s="75">
        <v>0</v>
      </c>
      <c r="AJ2229" s="75">
        <v>0</v>
      </c>
      <c r="AK2229" s="75">
        <v>0</v>
      </c>
      <c r="AL2229" s="95">
        <v>1</v>
      </c>
      <c r="AM2229" s="92">
        <v>0</v>
      </c>
      <c r="AN2229" s="79" t="s">
        <v>80</v>
      </c>
      <c r="AO2229" s="75">
        <v>1</v>
      </c>
      <c r="AP2229" s="75" t="s">
        <v>83</v>
      </c>
      <c r="AQ2229" s="122">
        <v>1</v>
      </c>
      <c r="AR2229" s="515" t="s">
        <v>10</v>
      </c>
      <c r="AS2229" s="95">
        <v>0</v>
      </c>
      <c r="AT2229" s="75">
        <v>0</v>
      </c>
      <c r="AU2229" s="75">
        <v>0</v>
      </c>
      <c r="AV2229" s="75">
        <v>0</v>
      </c>
      <c r="AW2229" s="123">
        <v>0</v>
      </c>
      <c r="AX2229" s="516" t="s">
        <v>258</v>
      </c>
      <c r="AY2229" s="75">
        <v>1</v>
      </c>
      <c r="AZ2229" s="77" t="s">
        <v>131</v>
      </c>
      <c r="BA2229" s="78" t="s">
        <v>131</v>
      </c>
      <c r="BB2229" s="78" t="s">
        <v>131</v>
      </c>
      <c r="BC2229" s="78" t="s">
        <v>131</v>
      </c>
      <c r="BD2229" s="78" t="s">
        <v>131</v>
      </c>
      <c r="BE2229" s="78" t="s">
        <v>131</v>
      </c>
      <c r="BF2229" s="78" t="s">
        <v>131</v>
      </c>
      <c r="BG2229" s="78" t="s">
        <v>132</v>
      </c>
      <c r="BH2229" s="75" t="s">
        <v>5970</v>
      </c>
      <c r="BI2229" s="295" t="s">
        <v>2231</v>
      </c>
      <c r="BJ2229" s="546">
        <v>1</v>
      </c>
      <c r="BK2229" s="294">
        <v>1</v>
      </c>
      <c r="BL2229" s="157">
        <v>1</v>
      </c>
      <c r="BM2229" s="548" t="s">
        <v>578</v>
      </c>
      <c r="BN2229" s="548" t="s">
        <v>578</v>
      </c>
      <c r="BO2229" s="157" t="s">
        <v>4213</v>
      </c>
      <c r="BP2229" s="548" t="s">
        <v>4216</v>
      </c>
      <c r="BQ2229" s="157" t="s">
        <v>4212</v>
      </c>
      <c r="BR2229" s="157"/>
    </row>
    <row r="2230" spans="1:70" x14ac:dyDescent="0.25">
      <c r="A2230" s="19" t="s">
        <v>3686</v>
      </c>
      <c r="B2230" s="37" t="s">
        <v>254</v>
      </c>
      <c r="C2230" s="90">
        <v>43941.844467592593</v>
      </c>
      <c r="D2230" s="114">
        <v>43941.594467592593</v>
      </c>
      <c r="E2230" s="38">
        <v>43941</v>
      </c>
      <c r="F2230" s="91">
        <v>2020</v>
      </c>
      <c r="G2230" s="93">
        <v>4</v>
      </c>
      <c r="H2230" s="37" t="s">
        <v>201</v>
      </c>
      <c r="I2230" s="37" t="s">
        <v>2362</v>
      </c>
      <c r="J2230" s="103">
        <v>-92.284345614597044</v>
      </c>
      <c r="K2230" s="40">
        <v>44.542218178444074</v>
      </c>
      <c r="L2230" s="74"/>
      <c r="M2230" s="272" t="s">
        <v>255</v>
      </c>
      <c r="N2230" s="74">
        <v>1</v>
      </c>
      <c r="O2230" s="94"/>
      <c r="P2230" s="118">
        <v>0</v>
      </c>
      <c r="Q2230" s="510"/>
      <c r="R2230" s="513"/>
      <c r="S2230" s="41"/>
      <c r="T2230" s="40"/>
      <c r="U2230" s="40"/>
      <c r="V2230" s="119">
        <v>1</v>
      </c>
      <c r="W2230" s="40">
        <v>0</v>
      </c>
      <c r="X2230" s="119">
        <v>0</v>
      </c>
      <c r="Y2230" s="40"/>
      <c r="Z2230" s="119">
        <v>1</v>
      </c>
      <c r="AA2230" s="368">
        <v>0</v>
      </c>
      <c r="AB2230" s="535">
        <v>5</v>
      </c>
      <c r="AC2230" s="39" t="s">
        <v>160</v>
      </c>
      <c r="AD2230" s="75" t="s">
        <v>10</v>
      </c>
      <c r="AE2230" s="95">
        <v>0</v>
      </c>
      <c r="AF2230" s="75">
        <v>0</v>
      </c>
      <c r="AG2230" s="75">
        <v>0</v>
      </c>
      <c r="AH2230" s="75">
        <v>0</v>
      </c>
      <c r="AI2230" s="75">
        <v>0</v>
      </c>
      <c r="AJ2230" s="75">
        <v>0</v>
      </c>
      <c r="AK2230" s="75">
        <v>0</v>
      </c>
      <c r="AL2230" s="95">
        <v>1</v>
      </c>
      <c r="AM2230" s="92">
        <v>0</v>
      </c>
      <c r="AN2230" s="79" t="s">
        <v>80</v>
      </c>
      <c r="AO2230" s="75">
        <v>1</v>
      </c>
      <c r="AP2230" s="75" t="s">
        <v>83</v>
      </c>
      <c r="AQ2230" s="122">
        <v>1</v>
      </c>
      <c r="AR2230" s="515" t="s">
        <v>10</v>
      </c>
      <c r="AS2230" s="95">
        <v>0</v>
      </c>
      <c r="AT2230" s="75">
        <v>0</v>
      </c>
      <c r="AU2230" s="75">
        <v>0</v>
      </c>
      <c r="AV2230" s="75">
        <v>0</v>
      </c>
      <c r="AW2230" s="123">
        <v>0</v>
      </c>
      <c r="AX2230" s="516"/>
      <c r="AY2230" s="75">
        <v>0</v>
      </c>
      <c r="AZ2230" s="77" t="s">
        <v>131</v>
      </c>
      <c r="BA2230" s="78" t="s">
        <v>131</v>
      </c>
      <c r="BB2230" s="78" t="s">
        <v>131</v>
      </c>
      <c r="BC2230" s="78" t="s">
        <v>131</v>
      </c>
      <c r="BD2230" s="78" t="s">
        <v>131</v>
      </c>
      <c r="BE2230" s="78" t="s">
        <v>131</v>
      </c>
      <c r="BF2230" s="78" t="s">
        <v>131</v>
      </c>
      <c r="BG2230" s="78" t="s">
        <v>132</v>
      </c>
      <c r="BH2230" s="75" t="s">
        <v>5970</v>
      </c>
      <c r="BI2230" s="295" t="s">
        <v>2261</v>
      </c>
      <c r="BJ2230" s="546">
        <v>1</v>
      </c>
      <c r="BK2230" s="294">
        <v>1</v>
      </c>
      <c r="BL2230" s="157">
        <v>1</v>
      </c>
      <c r="BM2230" s="548" t="s">
        <v>1340</v>
      </c>
      <c r="BN2230" s="548" t="s">
        <v>578</v>
      </c>
      <c r="BO2230" s="157" t="s">
        <v>4268</v>
      </c>
      <c r="BP2230" s="548" t="s">
        <v>2261</v>
      </c>
      <c r="BQ2230" s="157" t="s">
        <v>4214</v>
      </c>
      <c r="BR2230" s="157"/>
    </row>
    <row r="2231" spans="1:70" x14ac:dyDescent="0.25">
      <c r="A2231" s="19" t="s">
        <v>3686</v>
      </c>
      <c r="B2231" s="37" t="s">
        <v>252</v>
      </c>
      <c r="C2231" s="90">
        <v>43938.789293981485</v>
      </c>
      <c r="D2231" s="114">
        <v>43938.539293981485</v>
      </c>
      <c r="E2231" s="38">
        <v>43938</v>
      </c>
      <c r="F2231" s="91">
        <v>2020</v>
      </c>
      <c r="G2231" s="93">
        <v>4</v>
      </c>
      <c r="H2231" s="37" t="s">
        <v>201</v>
      </c>
      <c r="I2231" s="37" t="s">
        <v>349</v>
      </c>
      <c r="J2231" s="103">
        <v>-92.52987502060904</v>
      </c>
      <c r="K2231" s="40">
        <v>44.793640747229446</v>
      </c>
      <c r="L2231" s="74"/>
      <c r="M2231" s="272" t="s">
        <v>253</v>
      </c>
      <c r="N2231" s="74">
        <v>1</v>
      </c>
      <c r="O2231" s="94"/>
      <c r="P2231" s="118">
        <v>0</v>
      </c>
      <c r="Q2231" s="510"/>
      <c r="R2231" s="513"/>
      <c r="S2231" s="41"/>
      <c r="T2231" s="40"/>
      <c r="U2231" s="40"/>
      <c r="V2231" s="119">
        <v>1</v>
      </c>
      <c r="W2231" s="40">
        <v>0</v>
      </c>
      <c r="X2231" s="119">
        <v>1</v>
      </c>
      <c r="Y2231" s="40">
        <v>48</v>
      </c>
      <c r="Z2231" s="119">
        <v>1</v>
      </c>
      <c r="AA2231" s="368">
        <v>0</v>
      </c>
      <c r="AB2231" s="535">
        <v>2</v>
      </c>
      <c r="AC2231" s="39" t="s">
        <v>160</v>
      </c>
      <c r="AD2231" s="75" t="s">
        <v>10</v>
      </c>
      <c r="AE2231" s="95">
        <v>0</v>
      </c>
      <c r="AF2231" s="75">
        <v>0</v>
      </c>
      <c r="AG2231" s="75">
        <v>0</v>
      </c>
      <c r="AH2231" s="75">
        <v>0</v>
      </c>
      <c r="AI2231" s="75">
        <v>0</v>
      </c>
      <c r="AJ2231" s="75">
        <v>0</v>
      </c>
      <c r="AK2231" s="75">
        <v>0</v>
      </c>
      <c r="AL2231" s="95">
        <v>1</v>
      </c>
      <c r="AM2231" s="92">
        <v>0</v>
      </c>
      <c r="AN2231" s="79" t="s">
        <v>80</v>
      </c>
      <c r="AO2231" s="75">
        <v>1</v>
      </c>
      <c r="AP2231" s="75" t="s">
        <v>83</v>
      </c>
      <c r="AQ2231" s="122">
        <v>1</v>
      </c>
      <c r="AR2231" s="515" t="s">
        <v>10</v>
      </c>
      <c r="AS2231" s="95">
        <v>0</v>
      </c>
      <c r="AT2231" s="75">
        <v>0</v>
      </c>
      <c r="AU2231" s="75">
        <v>0</v>
      </c>
      <c r="AV2231" s="75">
        <v>0</v>
      </c>
      <c r="AW2231" s="123">
        <v>0</v>
      </c>
      <c r="AX2231" s="516"/>
      <c r="AY2231" s="75">
        <v>0</v>
      </c>
      <c r="AZ2231" s="77" t="s">
        <v>131</v>
      </c>
      <c r="BA2231" s="78" t="s">
        <v>131</v>
      </c>
      <c r="BB2231" s="78" t="s">
        <v>131</v>
      </c>
      <c r="BC2231" s="78" t="s">
        <v>131</v>
      </c>
      <c r="BD2231" s="78" t="s">
        <v>131</v>
      </c>
      <c r="BE2231" s="78" t="s">
        <v>131</v>
      </c>
      <c r="BF2231" s="78" t="s">
        <v>131</v>
      </c>
      <c r="BG2231" s="78" t="s">
        <v>132</v>
      </c>
      <c r="BH2231" s="75" t="s">
        <v>5970</v>
      </c>
      <c r="BI2231" s="295" t="s">
        <v>2236</v>
      </c>
      <c r="BJ2231" s="546">
        <v>1</v>
      </c>
      <c r="BK2231" s="294" t="s">
        <v>16</v>
      </c>
      <c r="BL2231" s="157" t="s">
        <v>16</v>
      </c>
      <c r="BM2231" s="548" t="s">
        <v>578</v>
      </c>
      <c r="BN2231" s="548" t="s">
        <v>578</v>
      </c>
      <c r="BO2231" s="157" t="s">
        <v>4658</v>
      </c>
      <c r="BP2231" s="548" t="s">
        <v>4660</v>
      </c>
      <c r="BQ2231" s="157" t="s">
        <v>4657</v>
      </c>
      <c r="BR2231" s="157"/>
    </row>
    <row r="2232" spans="1:70" x14ac:dyDescent="0.25">
      <c r="A2232" s="19" t="s">
        <v>3686</v>
      </c>
      <c r="B2232" s="37" t="s">
        <v>249</v>
      </c>
      <c r="C2232" s="90">
        <v>43938.761956018519</v>
      </c>
      <c r="D2232" s="114">
        <v>43938.511956018519</v>
      </c>
      <c r="E2232" s="38">
        <v>43938</v>
      </c>
      <c r="F2232" s="91">
        <v>2020</v>
      </c>
      <c r="G2232" s="93">
        <v>4</v>
      </c>
      <c r="H2232" s="37" t="s">
        <v>201</v>
      </c>
      <c r="I2232" s="37"/>
      <c r="J2232" s="103">
        <v>-92.52977324299674</v>
      </c>
      <c r="K2232" s="40">
        <v>44.78961883852768</v>
      </c>
      <c r="L2232" s="74"/>
      <c r="M2232" s="272" t="s">
        <v>250</v>
      </c>
      <c r="N2232" s="74">
        <v>1</v>
      </c>
      <c r="O2232" s="94"/>
      <c r="P2232" s="118">
        <v>0</v>
      </c>
      <c r="Q2232" s="510"/>
      <c r="R2232" s="513"/>
      <c r="S2232" s="41"/>
      <c r="T2232" s="40"/>
      <c r="U2232" s="40"/>
      <c r="V2232" s="119">
        <v>1</v>
      </c>
      <c r="W2232" s="40">
        <v>0</v>
      </c>
      <c r="X2232" s="119">
        <v>1</v>
      </c>
      <c r="Y2232" s="40">
        <v>48</v>
      </c>
      <c r="Z2232" s="119">
        <v>1</v>
      </c>
      <c r="AA2232" s="368">
        <v>0</v>
      </c>
      <c r="AB2232" s="535">
        <v>5</v>
      </c>
      <c r="AC2232" s="39" t="s">
        <v>162</v>
      </c>
      <c r="AD2232" s="75" t="s">
        <v>10</v>
      </c>
      <c r="AE2232" s="95">
        <v>0</v>
      </c>
      <c r="AF2232" s="75">
        <v>0</v>
      </c>
      <c r="AG2232" s="75">
        <v>0</v>
      </c>
      <c r="AH2232" s="75">
        <v>0</v>
      </c>
      <c r="AI2232" s="75">
        <v>0</v>
      </c>
      <c r="AJ2232" s="75">
        <v>0</v>
      </c>
      <c r="AK2232" s="75">
        <v>0</v>
      </c>
      <c r="AL2232" s="95">
        <v>1</v>
      </c>
      <c r="AM2232" s="92">
        <v>0</v>
      </c>
      <c r="AN2232" s="79" t="s">
        <v>80</v>
      </c>
      <c r="AO2232" s="75">
        <v>1</v>
      </c>
      <c r="AP2232" s="75" t="s">
        <v>83</v>
      </c>
      <c r="AQ2232" s="122">
        <v>1</v>
      </c>
      <c r="AR2232" s="515" t="s">
        <v>10</v>
      </c>
      <c r="AS2232" s="95">
        <v>0</v>
      </c>
      <c r="AT2232" s="75">
        <v>0</v>
      </c>
      <c r="AU2232" s="75">
        <v>0</v>
      </c>
      <c r="AV2232" s="75">
        <v>0</v>
      </c>
      <c r="AW2232" s="123">
        <v>0</v>
      </c>
      <c r="AX2232" s="516" t="s">
        <v>251</v>
      </c>
      <c r="AY2232" s="75">
        <v>1</v>
      </c>
      <c r="AZ2232" s="77" t="s">
        <v>131</v>
      </c>
      <c r="BA2232" s="78" t="s">
        <v>131</v>
      </c>
      <c r="BB2232" s="78" t="s">
        <v>131</v>
      </c>
      <c r="BC2232" s="78" t="s">
        <v>131</v>
      </c>
      <c r="BD2232" s="78" t="s">
        <v>131</v>
      </c>
      <c r="BE2232" s="78" t="s">
        <v>131</v>
      </c>
      <c r="BF2232" s="78" t="s">
        <v>131</v>
      </c>
      <c r="BG2232" s="78" t="s">
        <v>132</v>
      </c>
      <c r="BH2232" s="75" t="s">
        <v>5970</v>
      </c>
      <c r="BI2232" s="295" t="s">
        <v>2236</v>
      </c>
      <c r="BJ2232" s="546">
        <v>1</v>
      </c>
      <c r="BK2232" s="294" t="s">
        <v>16</v>
      </c>
      <c r="BL2232" s="157" t="s">
        <v>16</v>
      </c>
      <c r="BM2232" s="548" t="s">
        <v>578</v>
      </c>
      <c r="BN2232" s="548" t="s">
        <v>578</v>
      </c>
      <c r="BO2232" s="157" t="s">
        <v>4658</v>
      </c>
      <c r="BP2232" s="548" t="s">
        <v>4660</v>
      </c>
      <c r="BQ2232" s="157" t="s">
        <v>4657</v>
      </c>
      <c r="BR2232" s="157"/>
    </row>
    <row r="2233" spans="1:70" x14ac:dyDescent="0.25">
      <c r="A2233" s="19" t="s">
        <v>3686</v>
      </c>
      <c r="B2233" s="37" t="s">
        <v>246</v>
      </c>
      <c r="C2233" s="90">
        <v>43938.711585648147</v>
      </c>
      <c r="D2233" s="114">
        <v>43938.461585648147</v>
      </c>
      <c r="E2233" s="38">
        <v>43938</v>
      </c>
      <c r="F2233" s="91">
        <v>2020</v>
      </c>
      <c r="G2233" s="93">
        <v>4</v>
      </c>
      <c r="H2233" s="37" t="s">
        <v>201</v>
      </c>
      <c r="I2233" s="37"/>
      <c r="J2233" s="103">
        <v>-92.732079613924</v>
      </c>
      <c r="K2233" s="40">
        <v>44.831094584490138</v>
      </c>
      <c r="L2233" s="74"/>
      <c r="M2233" s="272" t="s">
        <v>247</v>
      </c>
      <c r="N2233" s="74">
        <v>1</v>
      </c>
      <c r="O2233" s="94"/>
      <c r="P2233" s="118">
        <v>0</v>
      </c>
      <c r="Q2233" s="510"/>
      <c r="R2233" s="513"/>
      <c r="S2233" s="41"/>
      <c r="T2233" s="40"/>
      <c r="U2233" s="40"/>
      <c r="V2233" s="119">
        <v>1</v>
      </c>
      <c r="W2233" s="40">
        <v>0</v>
      </c>
      <c r="X2233" s="119">
        <v>1</v>
      </c>
      <c r="Y2233" s="40">
        <v>45</v>
      </c>
      <c r="Z2233" s="119">
        <v>1</v>
      </c>
      <c r="AA2233" s="368">
        <v>0</v>
      </c>
      <c r="AB2233" s="535">
        <v>10</v>
      </c>
      <c r="AC2233" s="39" t="s">
        <v>160</v>
      </c>
      <c r="AD2233" s="75" t="s">
        <v>8</v>
      </c>
      <c r="AE2233" s="95">
        <v>0</v>
      </c>
      <c r="AF2233" s="75">
        <v>1</v>
      </c>
      <c r="AG2233" s="75">
        <v>0</v>
      </c>
      <c r="AH2233" s="75">
        <v>0</v>
      </c>
      <c r="AI2233" s="75">
        <v>0</v>
      </c>
      <c r="AJ2233" s="75">
        <v>0</v>
      </c>
      <c r="AK2233" s="75">
        <v>0</v>
      </c>
      <c r="AL2233" s="95">
        <v>0</v>
      </c>
      <c r="AM2233" s="92">
        <v>0</v>
      </c>
      <c r="AN2233" s="79" t="s">
        <v>80</v>
      </c>
      <c r="AO2233" s="75">
        <v>1</v>
      </c>
      <c r="AP2233" s="75" t="s">
        <v>83</v>
      </c>
      <c r="AQ2233" s="122">
        <v>1</v>
      </c>
      <c r="AR2233" s="515" t="s">
        <v>10</v>
      </c>
      <c r="AS2233" s="95">
        <v>0</v>
      </c>
      <c r="AT2233" s="75">
        <v>0</v>
      </c>
      <c r="AU2233" s="75">
        <v>0</v>
      </c>
      <c r="AV2233" s="75">
        <v>0</v>
      </c>
      <c r="AW2233" s="123">
        <v>0</v>
      </c>
      <c r="AX2233" s="516" t="s">
        <v>248</v>
      </c>
      <c r="AY2233" s="75">
        <v>1</v>
      </c>
      <c r="AZ2233" s="77" t="s">
        <v>131</v>
      </c>
      <c r="BA2233" s="78" t="s">
        <v>132</v>
      </c>
      <c r="BB2233" s="78" t="s">
        <v>131</v>
      </c>
      <c r="BC2233" s="78" t="s">
        <v>131</v>
      </c>
      <c r="BD2233" s="78" t="s">
        <v>131</v>
      </c>
      <c r="BE2233" s="78" t="s">
        <v>131</v>
      </c>
      <c r="BF2233" s="78" t="s">
        <v>131</v>
      </c>
      <c r="BG2233" s="78" t="s">
        <v>131</v>
      </c>
      <c r="BH2233" s="75" t="s">
        <v>5970</v>
      </c>
      <c r="BI2233" s="295" t="s">
        <v>2227</v>
      </c>
      <c r="BJ2233" s="546">
        <v>1</v>
      </c>
      <c r="BK2233" s="294" t="s">
        <v>16</v>
      </c>
      <c r="BL2233" s="157" t="s">
        <v>16</v>
      </c>
      <c r="BM2233" s="548" t="s">
        <v>578</v>
      </c>
      <c r="BN2233" s="548" t="s">
        <v>578</v>
      </c>
      <c r="BO2233" s="157" t="s">
        <v>4341</v>
      </c>
      <c r="BP2233" s="548" t="s">
        <v>4343</v>
      </c>
      <c r="BQ2233" s="157" t="s">
        <v>4309</v>
      </c>
      <c r="BR2233" s="157"/>
    </row>
    <row r="2234" spans="1:70" x14ac:dyDescent="0.25">
      <c r="A2234" s="19" t="s">
        <v>3686</v>
      </c>
      <c r="B2234" s="37" t="s">
        <v>243</v>
      </c>
      <c r="C2234" s="90">
        <v>43938.671759259261</v>
      </c>
      <c r="D2234" s="114">
        <v>43938.421759259261</v>
      </c>
      <c r="E2234" s="38">
        <v>43938</v>
      </c>
      <c r="F2234" s="91">
        <v>2020</v>
      </c>
      <c r="G2234" s="93">
        <v>4</v>
      </c>
      <c r="H2234" s="37" t="s">
        <v>205</v>
      </c>
      <c r="I2234" s="37" t="s">
        <v>368</v>
      </c>
      <c r="J2234" s="103">
        <v>-92.331413430933281</v>
      </c>
      <c r="K2234" s="40">
        <v>44.746262749320415</v>
      </c>
      <c r="L2234" s="74"/>
      <c r="M2234" s="272" t="s">
        <v>244</v>
      </c>
      <c r="N2234" s="74">
        <v>1</v>
      </c>
      <c r="O2234" s="94"/>
      <c r="P2234" s="118">
        <v>1</v>
      </c>
      <c r="Q2234" s="510">
        <v>240</v>
      </c>
      <c r="R2234" s="513">
        <v>30</v>
      </c>
      <c r="S2234" s="41"/>
      <c r="T2234" s="40"/>
      <c r="U2234" s="40">
        <v>6.5</v>
      </c>
      <c r="V2234" s="119">
        <v>1</v>
      </c>
      <c r="W2234" s="40">
        <v>0</v>
      </c>
      <c r="X2234" s="119">
        <v>1</v>
      </c>
      <c r="Y2234" s="40">
        <v>42</v>
      </c>
      <c r="Z2234" s="119">
        <v>1</v>
      </c>
      <c r="AA2234" s="368">
        <v>0</v>
      </c>
      <c r="AB2234" s="535">
        <v>0</v>
      </c>
      <c r="AC2234" s="39" t="s">
        <v>160</v>
      </c>
      <c r="AD2234" s="75" t="s">
        <v>10</v>
      </c>
      <c r="AE2234" s="95">
        <v>0</v>
      </c>
      <c r="AF2234" s="75">
        <v>0</v>
      </c>
      <c r="AG2234" s="75">
        <v>0</v>
      </c>
      <c r="AH2234" s="75">
        <v>0</v>
      </c>
      <c r="AI2234" s="75">
        <v>0</v>
      </c>
      <c r="AJ2234" s="75">
        <v>0</v>
      </c>
      <c r="AK2234" s="75">
        <v>0</v>
      </c>
      <c r="AL2234" s="95">
        <v>1</v>
      </c>
      <c r="AM2234" s="92">
        <v>0</v>
      </c>
      <c r="AN2234" s="79" t="s">
        <v>80</v>
      </c>
      <c r="AO2234" s="75">
        <v>1</v>
      </c>
      <c r="AP2234" s="75" t="s">
        <v>83</v>
      </c>
      <c r="AQ2234" s="122">
        <v>1</v>
      </c>
      <c r="AR2234" s="515" t="s">
        <v>10</v>
      </c>
      <c r="AS2234" s="95">
        <v>0</v>
      </c>
      <c r="AT2234" s="75">
        <v>0</v>
      </c>
      <c r="AU2234" s="75">
        <v>0</v>
      </c>
      <c r="AV2234" s="75">
        <v>0</v>
      </c>
      <c r="AW2234" s="123">
        <v>0</v>
      </c>
      <c r="AX2234" s="516" t="s">
        <v>245</v>
      </c>
      <c r="AY2234" s="75">
        <v>1</v>
      </c>
      <c r="AZ2234" s="77" t="s">
        <v>131</v>
      </c>
      <c r="BA2234" s="78" t="s">
        <v>131</v>
      </c>
      <c r="BB2234" s="78" t="s">
        <v>131</v>
      </c>
      <c r="BC2234" s="78" t="s">
        <v>131</v>
      </c>
      <c r="BD2234" s="78" t="s">
        <v>131</v>
      </c>
      <c r="BE2234" s="78" t="s">
        <v>131</v>
      </c>
      <c r="BF2234" s="78" t="s">
        <v>131</v>
      </c>
      <c r="BG2234" s="78" t="s">
        <v>132</v>
      </c>
      <c r="BH2234" s="75" t="s">
        <v>5970</v>
      </c>
      <c r="BI2234" s="295" t="s">
        <v>2231</v>
      </c>
      <c r="BJ2234" s="546">
        <v>1</v>
      </c>
      <c r="BK2234" s="294">
        <v>1</v>
      </c>
      <c r="BL2234" s="157">
        <v>1</v>
      </c>
      <c r="BM2234" s="548" t="s">
        <v>578</v>
      </c>
      <c r="BN2234" s="548" t="s">
        <v>578</v>
      </c>
      <c r="BO2234" s="157" t="s">
        <v>4213</v>
      </c>
      <c r="BP2234" s="548" t="s">
        <v>4216</v>
      </c>
      <c r="BQ2234" s="157" t="s">
        <v>4212</v>
      </c>
      <c r="BR2234" s="157"/>
    </row>
    <row r="2235" spans="1:70" x14ac:dyDescent="0.25">
      <c r="A2235" s="19" t="s">
        <v>3686</v>
      </c>
      <c r="B2235" s="37" t="s">
        <v>242</v>
      </c>
      <c r="C2235" s="90">
        <v>43932.850995370369</v>
      </c>
      <c r="D2235" s="114">
        <v>43932.600995370369</v>
      </c>
      <c r="E2235" s="38">
        <v>43932</v>
      </c>
      <c r="F2235" s="91">
        <v>2020</v>
      </c>
      <c r="G2235" s="93">
        <v>4</v>
      </c>
      <c r="H2235" s="37" t="s">
        <v>218</v>
      </c>
      <c r="I2235" s="37"/>
      <c r="J2235" s="103">
        <v>-92.162345613480639</v>
      </c>
      <c r="K2235" s="40">
        <v>44.585714911604938</v>
      </c>
      <c r="L2235" s="74"/>
      <c r="M2235" s="272" t="s">
        <v>16</v>
      </c>
      <c r="N2235" s="74">
        <v>0</v>
      </c>
      <c r="O2235" s="94"/>
      <c r="P2235" s="118">
        <v>0</v>
      </c>
      <c r="Q2235" s="510"/>
      <c r="R2235" s="513"/>
      <c r="S2235" s="41"/>
      <c r="T2235" s="40"/>
      <c r="U2235" s="40"/>
      <c r="V2235" s="119">
        <v>0</v>
      </c>
      <c r="W2235" s="40"/>
      <c r="X2235" s="119">
        <v>1</v>
      </c>
      <c r="Y2235" s="40">
        <v>48</v>
      </c>
      <c r="Z2235" s="119">
        <v>0</v>
      </c>
      <c r="AA2235" s="368" t="s">
        <v>16</v>
      </c>
      <c r="AB2235" s="535" t="s">
        <v>16</v>
      </c>
      <c r="AC2235" s="39" t="s">
        <v>160</v>
      </c>
      <c r="AD2235" s="75" t="s">
        <v>16</v>
      </c>
      <c r="AE2235" s="95">
        <v>-1</v>
      </c>
      <c r="AF2235" s="75">
        <v>-1</v>
      </c>
      <c r="AG2235" s="75">
        <v>-1</v>
      </c>
      <c r="AH2235" s="75">
        <v>-1</v>
      </c>
      <c r="AI2235" s="75">
        <v>-1</v>
      </c>
      <c r="AJ2235" s="75">
        <v>-1</v>
      </c>
      <c r="AK2235" s="75">
        <v>-1</v>
      </c>
      <c r="AL2235" s="95">
        <v>-1</v>
      </c>
      <c r="AM2235" s="92">
        <v>1</v>
      </c>
      <c r="AN2235" s="79" t="s">
        <v>80</v>
      </c>
      <c r="AO2235" s="75">
        <v>1</v>
      </c>
      <c r="AP2235" s="75" t="s">
        <v>84</v>
      </c>
      <c r="AQ2235" s="122">
        <v>1</v>
      </c>
      <c r="AR2235" s="515" t="s">
        <v>10</v>
      </c>
      <c r="AS2235" s="95">
        <v>0</v>
      </c>
      <c r="AT2235" s="75">
        <v>0</v>
      </c>
      <c r="AU2235" s="75">
        <v>0</v>
      </c>
      <c r="AV2235" s="75">
        <v>0</v>
      </c>
      <c r="AW2235" s="123">
        <v>0</v>
      </c>
      <c r="AX2235" s="516"/>
      <c r="AY2235" s="75">
        <v>0</v>
      </c>
      <c r="AZ2235" s="77" t="s">
        <v>5971</v>
      </c>
      <c r="BA2235" s="78" t="s">
        <v>5971</v>
      </c>
      <c r="BB2235" s="78" t="s">
        <v>5971</v>
      </c>
      <c r="BC2235" s="78" t="s">
        <v>5971</v>
      </c>
      <c r="BD2235" s="78" t="s">
        <v>5971</v>
      </c>
      <c r="BE2235" s="78" t="s">
        <v>5971</v>
      </c>
      <c r="BF2235" s="78" t="s">
        <v>5971</v>
      </c>
      <c r="BG2235" s="78" t="s">
        <v>5971</v>
      </c>
      <c r="BH2235" s="75" t="s">
        <v>5971</v>
      </c>
      <c r="BI2235" s="295" t="s">
        <v>2320</v>
      </c>
      <c r="BJ2235" s="546">
        <v>1</v>
      </c>
      <c r="BK2235" s="294">
        <v>1</v>
      </c>
      <c r="BL2235" s="157">
        <v>1</v>
      </c>
      <c r="BM2235" s="548" t="s">
        <v>578</v>
      </c>
      <c r="BN2235" s="548" t="s">
        <v>578</v>
      </c>
      <c r="BO2235" s="157" t="s">
        <v>4220</v>
      </c>
      <c r="BP2235" s="548" t="s">
        <v>4729</v>
      </c>
      <c r="BQ2235" s="157" t="s">
        <v>4217</v>
      </c>
      <c r="BR2235" s="157"/>
    </row>
    <row r="2236" spans="1:70" x14ac:dyDescent="0.25">
      <c r="A2236" s="19" t="s">
        <v>3686</v>
      </c>
      <c r="B2236" s="37" t="s">
        <v>239</v>
      </c>
      <c r="C2236" s="90">
        <v>43932.766203703701</v>
      </c>
      <c r="D2236" s="114">
        <v>43932.516203703701</v>
      </c>
      <c r="E2236" s="38">
        <v>43932</v>
      </c>
      <c r="F2236" s="91">
        <v>2020</v>
      </c>
      <c r="G2236" s="93">
        <v>4</v>
      </c>
      <c r="H2236" s="37" t="s">
        <v>205</v>
      </c>
      <c r="I2236" s="37" t="s">
        <v>368</v>
      </c>
      <c r="J2236" s="103">
        <v>-92.331379091944015</v>
      </c>
      <c r="K2236" s="40">
        <v>44.746219259644398</v>
      </c>
      <c r="L2236" s="74"/>
      <c r="M2236" s="272" t="s">
        <v>240</v>
      </c>
      <c r="N2236" s="74">
        <v>1</v>
      </c>
      <c r="O2236" s="94"/>
      <c r="P2236" s="118">
        <v>1</v>
      </c>
      <c r="Q2236" s="510">
        <v>240</v>
      </c>
      <c r="R2236" s="513">
        <v>30</v>
      </c>
      <c r="S2236" s="41"/>
      <c r="T2236" s="40"/>
      <c r="U2236" s="40">
        <v>6.5</v>
      </c>
      <c r="V2236" s="119">
        <v>1</v>
      </c>
      <c r="W2236" s="40">
        <v>0</v>
      </c>
      <c r="X2236" s="119">
        <v>1</v>
      </c>
      <c r="Y2236" s="40">
        <v>45</v>
      </c>
      <c r="Z2236" s="119">
        <v>0</v>
      </c>
      <c r="AA2236" s="368" t="s">
        <v>16</v>
      </c>
      <c r="AB2236" s="535" t="s">
        <v>16</v>
      </c>
      <c r="AC2236" s="39" t="s">
        <v>160</v>
      </c>
      <c r="AD2236" s="75" t="s">
        <v>10</v>
      </c>
      <c r="AE2236" s="95">
        <v>0</v>
      </c>
      <c r="AF2236" s="75">
        <v>0</v>
      </c>
      <c r="AG2236" s="75">
        <v>0</v>
      </c>
      <c r="AH2236" s="75">
        <v>0</v>
      </c>
      <c r="AI2236" s="75">
        <v>0</v>
      </c>
      <c r="AJ2236" s="75">
        <v>0</v>
      </c>
      <c r="AK2236" s="75">
        <v>0</v>
      </c>
      <c r="AL2236" s="95">
        <v>1</v>
      </c>
      <c r="AM2236" s="92">
        <v>0</v>
      </c>
      <c r="AN2236" s="79" t="s">
        <v>80</v>
      </c>
      <c r="AO2236" s="75">
        <v>1</v>
      </c>
      <c r="AP2236" s="75" t="s">
        <v>83</v>
      </c>
      <c r="AQ2236" s="122">
        <v>1</v>
      </c>
      <c r="AR2236" s="515" t="s">
        <v>10</v>
      </c>
      <c r="AS2236" s="95">
        <v>0</v>
      </c>
      <c r="AT2236" s="75">
        <v>0</v>
      </c>
      <c r="AU2236" s="75">
        <v>0</v>
      </c>
      <c r="AV2236" s="75">
        <v>0</v>
      </c>
      <c r="AW2236" s="123">
        <v>0</v>
      </c>
      <c r="AX2236" s="516" t="s">
        <v>241</v>
      </c>
      <c r="AY2236" s="75">
        <v>1</v>
      </c>
      <c r="AZ2236" s="77" t="s">
        <v>131</v>
      </c>
      <c r="BA2236" s="78" t="s">
        <v>131</v>
      </c>
      <c r="BB2236" s="78" t="s">
        <v>131</v>
      </c>
      <c r="BC2236" s="78" t="s">
        <v>131</v>
      </c>
      <c r="BD2236" s="78" t="s">
        <v>131</v>
      </c>
      <c r="BE2236" s="78" t="s">
        <v>131</v>
      </c>
      <c r="BF2236" s="78" t="s">
        <v>131</v>
      </c>
      <c r="BG2236" s="78" t="s">
        <v>132</v>
      </c>
      <c r="BH2236" s="75" t="s">
        <v>5970</v>
      </c>
      <c r="BI2236" s="295" t="s">
        <v>2231</v>
      </c>
      <c r="BJ2236" s="546">
        <v>1</v>
      </c>
      <c r="BK2236" s="294">
        <v>1</v>
      </c>
      <c r="BL2236" s="157">
        <v>1</v>
      </c>
      <c r="BM2236" s="548" t="s">
        <v>578</v>
      </c>
      <c r="BN2236" s="548" t="s">
        <v>578</v>
      </c>
      <c r="BO2236" s="157" t="s">
        <v>4213</v>
      </c>
      <c r="BP2236" s="548" t="s">
        <v>4216</v>
      </c>
      <c r="BQ2236" s="157" t="s">
        <v>4212</v>
      </c>
      <c r="BR2236" s="157"/>
    </row>
    <row r="2237" spans="1:70" x14ac:dyDescent="0.25">
      <c r="A2237" s="19" t="s">
        <v>3686</v>
      </c>
      <c r="B2237" s="37" t="s">
        <v>237</v>
      </c>
      <c r="C2237" s="90">
        <v>43930.750243055554</v>
      </c>
      <c r="D2237" s="114">
        <v>43930.500243055554</v>
      </c>
      <c r="E2237" s="38">
        <v>43930</v>
      </c>
      <c r="F2237" s="91">
        <v>2020</v>
      </c>
      <c r="G2237" s="93">
        <v>4</v>
      </c>
      <c r="H2237" s="37" t="s">
        <v>205</v>
      </c>
      <c r="I2237" s="37" t="s">
        <v>368</v>
      </c>
      <c r="J2237" s="103">
        <v>-92.331184031512166</v>
      </c>
      <c r="K2237" s="40">
        <v>44.746052848942313</v>
      </c>
      <c r="L2237" s="74"/>
      <c r="M2237" s="272" t="s">
        <v>16</v>
      </c>
      <c r="N2237" s="74">
        <v>0</v>
      </c>
      <c r="O2237" s="94"/>
      <c r="P2237" s="118">
        <v>0</v>
      </c>
      <c r="Q2237" s="510"/>
      <c r="R2237" s="513"/>
      <c r="S2237" s="41"/>
      <c r="T2237" s="40"/>
      <c r="U2237" s="40"/>
      <c r="V2237" s="119">
        <v>1</v>
      </c>
      <c r="W2237" s="40">
        <v>0</v>
      </c>
      <c r="X2237" s="119">
        <v>1</v>
      </c>
      <c r="Y2237" s="40">
        <v>43</v>
      </c>
      <c r="Z2237" s="119">
        <v>0</v>
      </c>
      <c r="AA2237" s="368" t="s">
        <v>16</v>
      </c>
      <c r="AB2237" s="535" t="s">
        <v>16</v>
      </c>
      <c r="AC2237" s="39" t="s">
        <v>160</v>
      </c>
      <c r="AD2237" s="75" t="s">
        <v>10</v>
      </c>
      <c r="AE2237" s="95">
        <v>0</v>
      </c>
      <c r="AF2237" s="75">
        <v>0</v>
      </c>
      <c r="AG2237" s="75">
        <v>0</v>
      </c>
      <c r="AH2237" s="75">
        <v>0</v>
      </c>
      <c r="AI2237" s="75">
        <v>0</v>
      </c>
      <c r="AJ2237" s="75">
        <v>0</v>
      </c>
      <c r="AK2237" s="75">
        <v>0</v>
      </c>
      <c r="AL2237" s="95">
        <v>1</v>
      </c>
      <c r="AM2237" s="92">
        <v>0</v>
      </c>
      <c r="AN2237" s="79" t="s">
        <v>80</v>
      </c>
      <c r="AO2237" s="75">
        <v>1</v>
      </c>
      <c r="AP2237" s="75" t="s">
        <v>83</v>
      </c>
      <c r="AQ2237" s="122">
        <v>1</v>
      </c>
      <c r="AR2237" s="515" t="s">
        <v>10</v>
      </c>
      <c r="AS2237" s="95">
        <v>0</v>
      </c>
      <c r="AT2237" s="75">
        <v>0</v>
      </c>
      <c r="AU2237" s="75">
        <v>0</v>
      </c>
      <c r="AV2237" s="75">
        <v>0</v>
      </c>
      <c r="AW2237" s="123">
        <v>0</v>
      </c>
      <c r="AX2237" s="516" t="s">
        <v>238</v>
      </c>
      <c r="AY2237" s="75">
        <v>1</v>
      </c>
      <c r="AZ2237" s="77" t="s">
        <v>131</v>
      </c>
      <c r="BA2237" s="78" t="s">
        <v>131</v>
      </c>
      <c r="BB2237" s="78" t="s">
        <v>131</v>
      </c>
      <c r="BC2237" s="78" t="s">
        <v>131</v>
      </c>
      <c r="BD2237" s="78" t="s">
        <v>131</v>
      </c>
      <c r="BE2237" s="78" t="s">
        <v>131</v>
      </c>
      <c r="BF2237" s="78" t="s">
        <v>131</v>
      </c>
      <c r="BG2237" s="78" t="s">
        <v>132</v>
      </c>
      <c r="BH2237" s="75" t="s">
        <v>5970</v>
      </c>
      <c r="BI2237" s="295" t="s">
        <v>2231</v>
      </c>
      <c r="BJ2237" s="546">
        <v>1</v>
      </c>
      <c r="BK2237" s="294">
        <v>1</v>
      </c>
      <c r="BL2237" s="157">
        <v>1</v>
      </c>
      <c r="BM2237" s="548" t="s">
        <v>578</v>
      </c>
      <c r="BN2237" s="548" t="s">
        <v>578</v>
      </c>
      <c r="BO2237" s="157" t="s">
        <v>4213</v>
      </c>
      <c r="BP2237" s="548" t="s">
        <v>4216</v>
      </c>
      <c r="BQ2237" s="157" t="s">
        <v>4212</v>
      </c>
      <c r="BR2237" s="157"/>
    </row>
    <row r="2238" spans="1:70" x14ac:dyDescent="0.25">
      <c r="A2238" s="19" t="s">
        <v>3686</v>
      </c>
      <c r="B2238" s="37" t="s">
        <v>235</v>
      </c>
      <c r="C2238" s="90">
        <v>43930.662280092591</v>
      </c>
      <c r="D2238" s="114">
        <v>43930.412280092591</v>
      </c>
      <c r="E2238" s="38">
        <v>43930</v>
      </c>
      <c r="F2238" s="91">
        <v>2020</v>
      </c>
      <c r="G2238" s="93">
        <v>4</v>
      </c>
      <c r="H2238" s="37" t="s">
        <v>236</v>
      </c>
      <c r="I2238" s="37" t="s">
        <v>16</v>
      </c>
      <c r="J2238" s="103">
        <v>-92.443167274595524</v>
      </c>
      <c r="K2238" s="40">
        <v>44.62138038086055</v>
      </c>
      <c r="L2238" s="74"/>
      <c r="M2238" s="272" t="s">
        <v>16</v>
      </c>
      <c r="N2238" s="74">
        <v>0</v>
      </c>
      <c r="O2238" s="94"/>
      <c r="P2238" s="118">
        <v>1</v>
      </c>
      <c r="Q2238" s="510">
        <v>180</v>
      </c>
      <c r="R2238" s="513">
        <v>60</v>
      </c>
      <c r="S2238" s="41"/>
      <c r="T2238" s="40"/>
      <c r="U2238" s="40">
        <v>8</v>
      </c>
      <c r="V2238" s="119">
        <v>0</v>
      </c>
      <c r="W2238" s="40"/>
      <c r="X2238" s="119">
        <v>0</v>
      </c>
      <c r="Y2238" s="40"/>
      <c r="Z2238" s="119">
        <v>0</v>
      </c>
      <c r="AA2238" s="368" t="s">
        <v>16</v>
      </c>
      <c r="AB2238" s="535" t="s">
        <v>16</v>
      </c>
      <c r="AC2238" s="39" t="s">
        <v>16</v>
      </c>
      <c r="AD2238" s="75" t="s">
        <v>16</v>
      </c>
      <c r="AE2238" s="95">
        <v>-1</v>
      </c>
      <c r="AF2238" s="75">
        <v>-1</v>
      </c>
      <c r="AG2238" s="75">
        <v>-1</v>
      </c>
      <c r="AH2238" s="75">
        <v>-1</v>
      </c>
      <c r="AI2238" s="75">
        <v>-1</v>
      </c>
      <c r="AJ2238" s="75">
        <v>-1</v>
      </c>
      <c r="AK2238" s="75">
        <v>-1</v>
      </c>
      <c r="AL2238" s="95">
        <v>-1</v>
      </c>
      <c r="AM2238" s="92">
        <v>1</v>
      </c>
      <c r="AN2238" s="79" t="s">
        <v>16</v>
      </c>
      <c r="AO2238" s="75">
        <v>0</v>
      </c>
      <c r="AP2238" s="75" t="s">
        <v>16</v>
      </c>
      <c r="AQ2238" s="122">
        <v>0</v>
      </c>
      <c r="AR2238" s="515" t="s">
        <v>16</v>
      </c>
      <c r="AS2238" s="95">
        <v>-1</v>
      </c>
      <c r="AT2238" s="75">
        <v>-1</v>
      </c>
      <c r="AU2238" s="75">
        <v>-1</v>
      </c>
      <c r="AV2238" s="75">
        <v>-1</v>
      </c>
      <c r="AW2238" s="123">
        <v>1</v>
      </c>
      <c r="AX2238" s="516"/>
      <c r="AY2238" s="75">
        <v>0</v>
      </c>
      <c r="AZ2238" s="77" t="s">
        <v>5971</v>
      </c>
      <c r="BA2238" s="78" t="s">
        <v>5971</v>
      </c>
      <c r="BB2238" s="78" t="s">
        <v>5971</v>
      </c>
      <c r="BC2238" s="78" t="s">
        <v>5971</v>
      </c>
      <c r="BD2238" s="78" t="s">
        <v>5971</v>
      </c>
      <c r="BE2238" s="78" t="s">
        <v>5971</v>
      </c>
      <c r="BF2238" s="78" t="s">
        <v>5971</v>
      </c>
      <c r="BG2238" s="78" t="s">
        <v>5971</v>
      </c>
      <c r="BH2238" s="75" t="s">
        <v>5971</v>
      </c>
      <c r="BI2238" s="295" t="s">
        <v>2289</v>
      </c>
      <c r="BJ2238" s="546">
        <v>1</v>
      </c>
      <c r="BK2238" s="294" t="s">
        <v>16</v>
      </c>
      <c r="BL2238" s="157" t="s">
        <v>16</v>
      </c>
      <c r="BM2238" s="548" t="s">
        <v>578</v>
      </c>
      <c r="BN2238" s="548" t="s">
        <v>578</v>
      </c>
      <c r="BO2238" s="157" t="s">
        <v>4283</v>
      </c>
      <c r="BP2238" s="548" t="s">
        <v>2289</v>
      </c>
      <c r="BQ2238" s="157" t="s">
        <v>4214</v>
      </c>
      <c r="BR2238" s="157"/>
    </row>
    <row r="2239" spans="1:70" x14ac:dyDescent="0.25">
      <c r="A2239" s="19" t="s">
        <v>3686</v>
      </c>
      <c r="B2239" s="37" t="s">
        <v>232</v>
      </c>
      <c r="C2239" s="90">
        <v>43926.850775462961</v>
      </c>
      <c r="D2239" s="114">
        <v>43926.600775462961</v>
      </c>
      <c r="E2239" s="38">
        <v>43926</v>
      </c>
      <c r="F2239" s="91">
        <v>2020</v>
      </c>
      <c r="G2239" s="93">
        <v>4</v>
      </c>
      <c r="H2239" s="37" t="s">
        <v>201</v>
      </c>
      <c r="I2239" s="37"/>
      <c r="J2239" s="103">
        <v>-92.268536734477237</v>
      </c>
      <c r="K2239" s="40">
        <v>44.542862702033965</v>
      </c>
      <c r="L2239" s="74"/>
      <c r="M2239" s="272" t="s">
        <v>233</v>
      </c>
      <c r="N2239" s="74">
        <v>1</v>
      </c>
      <c r="O2239" s="94"/>
      <c r="P2239" s="118">
        <v>0</v>
      </c>
      <c r="Q2239" s="510"/>
      <c r="R2239" s="513"/>
      <c r="S2239" s="41"/>
      <c r="T2239" s="40"/>
      <c r="U2239" s="40"/>
      <c r="V2239" s="119">
        <v>1</v>
      </c>
      <c r="W2239" s="40">
        <v>0</v>
      </c>
      <c r="X2239" s="119">
        <v>1</v>
      </c>
      <c r="Y2239" s="40">
        <v>47</v>
      </c>
      <c r="Z2239" s="119">
        <v>1</v>
      </c>
      <c r="AA2239" s="368">
        <v>0</v>
      </c>
      <c r="AB2239" s="535">
        <v>5</v>
      </c>
      <c r="AC2239" s="39" t="s">
        <v>162</v>
      </c>
      <c r="AD2239" s="75" t="s">
        <v>10</v>
      </c>
      <c r="AE2239" s="95">
        <v>0</v>
      </c>
      <c r="AF2239" s="75">
        <v>0</v>
      </c>
      <c r="AG2239" s="75">
        <v>0</v>
      </c>
      <c r="AH2239" s="75">
        <v>0</v>
      </c>
      <c r="AI2239" s="75">
        <v>0</v>
      </c>
      <c r="AJ2239" s="75">
        <v>0</v>
      </c>
      <c r="AK2239" s="75">
        <v>0</v>
      </c>
      <c r="AL2239" s="95">
        <v>1</v>
      </c>
      <c r="AM2239" s="92">
        <v>0</v>
      </c>
      <c r="AN2239" s="79" t="s">
        <v>80</v>
      </c>
      <c r="AO2239" s="75">
        <v>1</v>
      </c>
      <c r="AP2239" s="75" t="s">
        <v>83</v>
      </c>
      <c r="AQ2239" s="122">
        <v>1</v>
      </c>
      <c r="AR2239" s="515" t="s">
        <v>10</v>
      </c>
      <c r="AS2239" s="95">
        <v>0</v>
      </c>
      <c r="AT2239" s="75">
        <v>0</v>
      </c>
      <c r="AU2239" s="75">
        <v>0</v>
      </c>
      <c r="AV2239" s="75">
        <v>0</v>
      </c>
      <c r="AW2239" s="123">
        <v>0</v>
      </c>
      <c r="AX2239" s="516" t="s">
        <v>234</v>
      </c>
      <c r="AY2239" s="75">
        <v>1</v>
      </c>
      <c r="AZ2239" s="77" t="s">
        <v>131</v>
      </c>
      <c r="BA2239" s="78" t="s">
        <v>131</v>
      </c>
      <c r="BB2239" s="78" t="s">
        <v>131</v>
      </c>
      <c r="BC2239" s="78" t="s">
        <v>131</v>
      </c>
      <c r="BD2239" s="78" t="s">
        <v>131</v>
      </c>
      <c r="BE2239" s="78" t="s">
        <v>131</v>
      </c>
      <c r="BF2239" s="78" t="s">
        <v>131</v>
      </c>
      <c r="BG2239" s="78" t="s">
        <v>132</v>
      </c>
      <c r="BH2239" s="75" t="s">
        <v>5970</v>
      </c>
      <c r="BI2239" s="295">
        <v>0</v>
      </c>
      <c r="BJ2239" s="546">
        <v>1</v>
      </c>
      <c r="BK2239" s="294">
        <v>1</v>
      </c>
      <c r="BL2239" s="157">
        <v>1</v>
      </c>
      <c r="BM2239" s="548" t="s">
        <v>1340</v>
      </c>
      <c r="BN2239" s="548" t="s">
        <v>578</v>
      </c>
      <c r="BO2239" s="157" t="s">
        <v>4268</v>
      </c>
      <c r="BP2239" s="548" t="s">
        <v>2261</v>
      </c>
      <c r="BQ2239" s="157" t="s">
        <v>4214</v>
      </c>
      <c r="BR2239" s="157"/>
    </row>
    <row r="2240" spans="1:70" x14ac:dyDescent="0.25">
      <c r="A2240" s="19" t="s">
        <v>3686</v>
      </c>
      <c r="B2240" s="37" t="s">
        <v>231</v>
      </c>
      <c r="C2240" s="90">
        <v>43923.859166666669</v>
      </c>
      <c r="D2240" s="114">
        <v>43923.609166666669</v>
      </c>
      <c r="E2240" s="38">
        <v>43923</v>
      </c>
      <c r="F2240" s="91">
        <v>2020</v>
      </c>
      <c r="G2240" s="93">
        <v>4</v>
      </c>
      <c r="H2240" s="37" t="s">
        <v>218</v>
      </c>
      <c r="I2240" s="37"/>
      <c r="J2240" s="103">
        <v>-92.351307386498277</v>
      </c>
      <c r="K2240" s="40">
        <v>44.776538626075293</v>
      </c>
      <c r="L2240" s="74"/>
      <c r="M2240" s="272" t="s">
        <v>16</v>
      </c>
      <c r="N2240" s="74">
        <v>0</v>
      </c>
      <c r="O2240" s="94"/>
      <c r="P2240" s="118">
        <v>0</v>
      </c>
      <c r="Q2240" s="510"/>
      <c r="R2240" s="513"/>
      <c r="S2240" s="41"/>
      <c r="T2240" s="40"/>
      <c r="U2240" s="40"/>
      <c r="V2240" s="119">
        <v>0</v>
      </c>
      <c r="W2240" s="40"/>
      <c r="X2240" s="119">
        <v>1</v>
      </c>
      <c r="Y2240" s="40">
        <v>50</v>
      </c>
      <c r="Z2240" s="119">
        <v>0</v>
      </c>
      <c r="AA2240" s="368" t="s">
        <v>16</v>
      </c>
      <c r="AB2240" s="535" t="s">
        <v>16</v>
      </c>
      <c r="AC2240" s="39" t="s">
        <v>160</v>
      </c>
      <c r="AD2240" s="75" t="s">
        <v>10</v>
      </c>
      <c r="AE2240" s="95">
        <v>0</v>
      </c>
      <c r="AF2240" s="75">
        <v>0</v>
      </c>
      <c r="AG2240" s="75">
        <v>0</v>
      </c>
      <c r="AH2240" s="75">
        <v>0</v>
      </c>
      <c r="AI2240" s="75">
        <v>0</v>
      </c>
      <c r="AJ2240" s="75">
        <v>0</v>
      </c>
      <c r="AK2240" s="75">
        <v>0</v>
      </c>
      <c r="AL2240" s="95">
        <v>1</v>
      </c>
      <c r="AM2240" s="92">
        <v>0</v>
      </c>
      <c r="AN2240" s="79" t="s">
        <v>80</v>
      </c>
      <c r="AO2240" s="75">
        <v>1</v>
      </c>
      <c r="AP2240" s="75" t="s">
        <v>83</v>
      </c>
      <c r="AQ2240" s="122">
        <v>1</v>
      </c>
      <c r="AR2240" s="515" t="s">
        <v>10</v>
      </c>
      <c r="AS2240" s="95">
        <v>0</v>
      </c>
      <c r="AT2240" s="75">
        <v>0</v>
      </c>
      <c r="AU2240" s="75">
        <v>0</v>
      </c>
      <c r="AV2240" s="75">
        <v>0</v>
      </c>
      <c r="AW2240" s="123">
        <v>0</v>
      </c>
      <c r="AX2240" s="516"/>
      <c r="AY2240" s="75">
        <v>0</v>
      </c>
      <c r="AZ2240" s="77" t="s">
        <v>131</v>
      </c>
      <c r="BA2240" s="78" t="s">
        <v>131</v>
      </c>
      <c r="BB2240" s="78" t="s">
        <v>131</v>
      </c>
      <c r="BC2240" s="78" t="s">
        <v>131</v>
      </c>
      <c r="BD2240" s="78" t="s">
        <v>131</v>
      </c>
      <c r="BE2240" s="78" t="s">
        <v>131</v>
      </c>
      <c r="BF2240" s="78" t="s">
        <v>131</v>
      </c>
      <c r="BG2240" s="78" t="s">
        <v>132</v>
      </c>
      <c r="BH2240" s="75" t="s">
        <v>5970</v>
      </c>
      <c r="BI2240" s="295" t="s">
        <v>16</v>
      </c>
      <c r="BJ2240" s="546">
        <v>1</v>
      </c>
      <c r="BK2240" s="294">
        <v>1</v>
      </c>
      <c r="BL2240" s="157">
        <v>1</v>
      </c>
      <c r="BM2240" s="548" t="s">
        <v>578</v>
      </c>
      <c r="BN2240" s="548" t="s">
        <v>578</v>
      </c>
      <c r="BO2240" s="157" t="s">
        <v>4213</v>
      </c>
      <c r="BP2240" s="548" t="s">
        <v>4216</v>
      </c>
      <c r="BQ2240" s="157" t="s">
        <v>4212</v>
      </c>
      <c r="BR2240" s="157"/>
    </row>
    <row r="2241" spans="1:70" x14ac:dyDescent="0.25">
      <c r="A2241" s="19" t="s">
        <v>3686</v>
      </c>
      <c r="B2241" s="37" t="s">
        <v>228</v>
      </c>
      <c r="C2241" s="90">
        <v>43920.772592592592</v>
      </c>
      <c r="D2241" s="114">
        <v>43920.522592592592</v>
      </c>
      <c r="E2241" s="38">
        <v>43920</v>
      </c>
      <c r="F2241" s="91">
        <v>2020</v>
      </c>
      <c r="G2241" s="93">
        <v>3</v>
      </c>
      <c r="H2241" s="37" t="s">
        <v>201</v>
      </c>
      <c r="I2241" s="37"/>
      <c r="J2241" s="103">
        <v>-92.732157352693378</v>
      </c>
      <c r="K2241" s="40">
        <v>44.831168833818275</v>
      </c>
      <c r="L2241" s="74"/>
      <c r="M2241" s="272" t="s">
        <v>229</v>
      </c>
      <c r="N2241" s="74">
        <v>1</v>
      </c>
      <c r="O2241" s="94"/>
      <c r="P2241" s="118">
        <v>0</v>
      </c>
      <c r="Q2241" s="510"/>
      <c r="R2241" s="513"/>
      <c r="S2241" s="41"/>
      <c r="T2241" s="40"/>
      <c r="U2241" s="40"/>
      <c r="V2241" s="119">
        <v>1</v>
      </c>
      <c r="W2241" s="40">
        <v>0</v>
      </c>
      <c r="X2241" s="119">
        <v>1</v>
      </c>
      <c r="Y2241" s="40">
        <v>45</v>
      </c>
      <c r="Z2241" s="119">
        <v>1</v>
      </c>
      <c r="AA2241" s="368">
        <v>0</v>
      </c>
      <c r="AB2241" s="535">
        <v>5</v>
      </c>
      <c r="AC2241" s="39" t="s">
        <v>160</v>
      </c>
      <c r="AD2241" s="75" t="s">
        <v>8</v>
      </c>
      <c r="AE2241" s="95">
        <v>0</v>
      </c>
      <c r="AF2241" s="75">
        <v>1</v>
      </c>
      <c r="AG2241" s="75">
        <v>0</v>
      </c>
      <c r="AH2241" s="75">
        <v>0</v>
      </c>
      <c r="AI2241" s="75">
        <v>0</v>
      </c>
      <c r="AJ2241" s="75">
        <v>0</v>
      </c>
      <c r="AK2241" s="75">
        <v>0</v>
      </c>
      <c r="AL2241" s="95">
        <v>0</v>
      </c>
      <c r="AM2241" s="92">
        <v>0</v>
      </c>
      <c r="AN2241" s="79" t="s">
        <v>81</v>
      </c>
      <c r="AO2241" s="75">
        <v>1</v>
      </c>
      <c r="AP2241" s="75" t="s">
        <v>84</v>
      </c>
      <c r="AQ2241" s="122">
        <v>1</v>
      </c>
      <c r="AR2241" s="515" t="s">
        <v>13</v>
      </c>
      <c r="AS2241" s="95">
        <v>1</v>
      </c>
      <c r="AT2241" s="75">
        <v>0</v>
      </c>
      <c r="AU2241" s="75">
        <v>0</v>
      </c>
      <c r="AV2241" s="75">
        <v>0</v>
      </c>
      <c r="AW2241" s="123">
        <v>0</v>
      </c>
      <c r="AX2241" s="516" t="s">
        <v>230</v>
      </c>
      <c r="AY2241" s="75">
        <v>1</v>
      </c>
      <c r="AZ2241" s="77" t="s">
        <v>131</v>
      </c>
      <c r="BA2241" s="78" t="s">
        <v>132</v>
      </c>
      <c r="BB2241" s="78" t="s">
        <v>131</v>
      </c>
      <c r="BC2241" s="78" t="s">
        <v>131</v>
      </c>
      <c r="BD2241" s="78" t="s">
        <v>131</v>
      </c>
      <c r="BE2241" s="78" t="s">
        <v>131</v>
      </c>
      <c r="BF2241" s="78" t="s">
        <v>131</v>
      </c>
      <c r="BG2241" s="78" t="s">
        <v>131</v>
      </c>
      <c r="BH2241" s="75" t="s">
        <v>5970</v>
      </c>
      <c r="BI2241" s="295" t="s">
        <v>16</v>
      </c>
      <c r="BJ2241" s="546">
        <v>1</v>
      </c>
      <c r="BK2241" s="294" t="s">
        <v>16</v>
      </c>
      <c r="BL2241" s="157" t="s">
        <v>16</v>
      </c>
      <c r="BM2241" s="548" t="s">
        <v>578</v>
      </c>
      <c r="BN2241" s="548" t="s">
        <v>578</v>
      </c>
      <c r="BO2241" s="157" t="s">
        <v>4341</v>
      </c>
      <c r="BP2241" s="548" t="s">
        <v>4343</v>
      </c>
      <c r="BQ2241" s="157" t="s">
        <v>4309</v>
      </c>
      <c r="BR2241" s="157"/>
    </row>
    <row r="2242" spans="1:70" x14ac:dyDescent="0.25">
      <c r="A2242" s="19" t="s">
        <v>3686</v>
      </c>
      <c r="B2242" s="37" t="s">
        <v>225</v>
      </c>
      <c r="C2242" s="90">
        <v>43918.749513888892</v>
      </c>
      <c r="D2242" s="114">
        <v>43918.499513888892</v>
      </c>
      <c r="E2242" s="38">
        <v>43918</v>
      </c>
      <c r="F2242" s="91">
        <v>2020</v>
      </c>
      <c r="G2242" s="93">
        <v>3</v>
      </c>
      <c r="H2242" s="37" t="s">
        <v>205</v>
      </c>
      <c r="I2242" s="37" t="s">
        <v>368</v>
      </c>
      <c r="J2242" s="103">
        <v>-92.331047383869119</v>
      </c>
      <c r="K2242" s="40">
        <v>44.746052263559861</v>
      </c>
      <c r="L2242" s="74"/>
      <c r="M2242" s="272" t="s">
        <v>16</v>
      </c>
      <c r="N2242" s="74">
        <v>0</v>
      </c>
      <c r="O2242" s="94"/>
      <c r="P2242" s="118">
        <v>1</v>
      </c>
      <c r="Q2242" s="510">
        <v>240</v>
      </c>
      <c r="R2242" s="513">
        <v>120</v>
      </c>
      <c r="S2242" s="41"/>
      <c r="T2242" s="40"/>
      <c r="U2242" s="40">
        <v>6.5</v>
      </c>
      <c r="V2242" s="119">
        <v>1</v>
      </c>
      <c r="W2242" s="40">
        <v>0</v>
      </c>
      <c r="X2242" s="119">
        <v>1</v>
      </c>
      <c r="Y2242" s="40">
        <v>45</v>
      </c>
      <c r="Z2242" s="119">
        <v>0</v>
      </c>
      <c r="AA2242" s="368" t="s">
        <v>16</v>
      </c>
      <c r="AB2242" s="535" t="s">
        <v>16</v>
      </c>
      <c r="AC2242" s="39" t="s">
        <v>160</v>
      </c>
      <c r="AD2242" s="75" t="s">
        <v>10</v>
      </c>
      <c r="AE2242" s="95">
        <v>0</v>
      </c>
      <c r="AF2242" s="75">
        <v>0</v>
      </c>
      <c r="AG2242" s="75">
        <v>0</v>
      </c>
      <c r="AH2242" s="75">
        <v>0</v>
      </c>
      <c r="AI2242" s="75">
        <v>0</v>
      </c>
      <c r="AJ2242" s="75">
        <v>0</v>
      </c>
      <c r="AK2242" s="75">
        <v>0</v>
      </c>
      <c r="AL2242" s="95">
        <v>1</v>
      </c>
      <c r="AM2242" s="92">
        <v>0</v>
      </c>
      <c r="AN2242" s="79" t="s">
        <v>80</v>
      </c>
      <c r="AO2242" s="75">
        <v>1</v>
      </c>
      <c r="AP2242" s="75" t="s">
        <v>84</v>
      </c>
      <c r="AQ2242" s="122">
        <v>1</v>
      </c>
      <c r="AR2242" s="515" t="s">
        <v>226</v>
      </c>
      <c r="AS2242" s="95">
        <v>1</v>
      </c>
      <c r="AT2242" s="75">
        <v>0</v>
      </c>
      <c r="AU2242" s="75">
        <v>1</v>
      </c>
      <c r="AV2242" s="75">
        <v>0</v>
      </c>
      <c r="AW2242" s="123">
        <v>0</v>
      </c>
      <c r="AX2242" s="516" t="s">
        <v>227</v>
      </c>
      <c r="AY2242" s="75">
        <v>1</v>
      </c>
      <c r="AZ2242" s="77" t="s">
        <v>131</v>
      </c>
      <c r="BA2242" s="78" t="s">
        <v>131</v>
      </c>
      <c r="BB2242" s="78" t="s">
        <v>131</v>
      </c>
      <c r="BC2242" s="78" t="s">
        <v>131</v>
      </c>
      <c r="BD2242" s="78" t="s">
        <v>131</v>
      </c>
      <c r="BE2242" s="78" t="s">
        <v>131</v>
      </c>
      <c r="BF2242" s="78" t="s">
        <v>131</v>
      </c>
      <c r="BG2242" s="78" t="s">
        <v>132</v>
      </c>
      <c r="BH2242" s="75" t="s">
        <v>5970</v>
      </c>
      <c r="BI2242" s="295" t="s">
        <v>2231</v>
      </c>
      <c r="BJ2242" s="546">
        <v>1</v>
      </c>
      <c r="BK2242" s="294">
        <v>1</v>
      </c>
      <c r="BL2242" s="157">
        <v>1</v>
      </c>
      <c r="BM2242" s="548" t="s">
        <v>578</v>
      </c>
      <c r="BN2242" s="548" t="s">
        <v>578</v>
      </c>
      <c r="BO2242" s="157" t="s">
        <v>4213</v>
      </c>
      <c r="BP2242" s="548" t="s">
        <v>4216</v>
      </c>
      <c r="BQ2242" s="157" t="s">
        <v>4212</v>
      </c>
      <c r="BR2242" s="157"/>
    </row>
    <row r="2243" spans="1:70" x14ac:dyDescent="0.25">
      <c r="A2243" s="19" t="s">
        <v>3686</v>
      </c>
      <c r="B2243" s="37" t="s">
        <v>222</v>
      </c>
      <c r="C2243" s="90">
        <v>43917.857002314813</v>
      </c>
      <c r="D2243" s="114">
        <v>43917.607002314813</v>
      </c>
      <c r="E2243" s="38">
        <v>43917</v>
      </c>
      <c r="F2243" s="91">
        <v>2020</v>
      </c>
      <c r="G2243" s="93">
        <v>3</v>
      </c>
      <c r="H2243" s="37" t="s">
        <v>201</v>
      </c>
      <c r="I2243" s="37"/>
      <c r="J2243" s="103">
        <v>-92.696365742712601</v>
      </c>
      <c r="K2243" s="40">
        <v>44.836251936453024</v>
      </c>
      <c r="L2243" s="74"/>
      <c r="M2243" s="272" t="s">
        <v>223</v>
      </c>
      <c r="N2243" s="74">
        <v>1</v>
      </c>
      <c r="O2243" s="94"/>
      <c r="P2243" s="118">
        <v>0</v>
      </c>
      <c r="Q2243" s="510"/>
      <c r="R2243" s="513"/>
      <c r="S2243" s="41"/>
      <c r="T2243" s="40"/>
      <c r="U2243" s="40"/>
      <c r="V2243" s="119">
        <v>1</v>
      </c>
      <c r="W2243" s="40">
        <v>0</v>
      </c>
      <c r="X2243" s="119">
        <v>1</v>
      </c>
      <c r="Y2243" s="40">
        <v>50</v>
      </c>
      <c r="Z2243" s="119">
        <v>1</v>
      </c>
      <c r="AA2243" s="368">
        <v>0</v>
      </c>
      <c r="AB2243" s="535">
        <v>5</v>
      </c>
      <c r="AC2243" s="39" t="s">
        <v>160</v>
      </c>
      <c r="AD2243" s="75" t="s">
        <v>8</v>
      </c>
      <c r="AE2243" s="95">
        <v>0</v>
      </c>
      <c r="AF2243" s="75">
        <v>1</v>
      </c>
      <c r="AG2243" s="75">
        <v>0</v>
      </c>
      <c r="AH2243" s="75">
        <v>0</v>
      </c>
      <c r="AI2243" s="75">
        <v>0</v>
      </c>
      <c r="AJ2243" s="75">
        <v>0</v>
      </c>
      <c r="AK2243" s="75">
        <v>0</v>
      </c>
      <c r="AL2243" s="95">
        <v>0</v>
      </c>
      <c r="AM2243" s="92">
        <v>0</v>
      </c>
      <c r="AN2243" s="79" t="s">
        <v>80</v>
      </c>
      <c r="AO2243" s="75">
        <v>1</v>
      </c>
      <c r="AP2243" s="75" t="s">
        <v>83</v>
      </c>
      <c r="AQ2243" s="122">
        <v>1</v>
      </c>
      <c r="AR2243" s="515" t="s">
        <v>10</v>
      </c>
      <c r="AS2243" s="95">
        <v>0</v>
      </c>
      <c r="AT2243" s="75">
        <v>0</v>
      </c>
      <c r="AU2243" s="75">
        <v>0</v>
      </c>
      <c r="AV2243" s="75">
        <v>0</v>
      </c>
      <c r="AW2243" s="123">
        <v>0</v>
      </c>
      <c r="AX2243" s="516" t="s">
        <v>224</v>
      </c>
      <c r="AY2243" s="75">
        <v>1</v>
      </c>
      <c r="AZ2243" s="77" t="s">
        <v>131</v>
      </c>
      <c r="BA2243" s="78" t="s">
        <v>132</v>
      </c>
      <c r="BB2243" s="78" t="s">
        <v>131</v>
      </c>
      <c r="BC2243" s="78" t="s">
        <v>131</v>
      </c>
      <c r="BD2243" s="78" t="s">
        <v>131</v>
      </c>
      <c r="BE2243" s="78" t="s">
        <v>131</v>
      </c>
      <c r="BF2243" s="78" t="s">
        <v>131</v>
      </c>
      <c r="BG2243" s="78" t="s">
        <v>131</v>
      </c>
      <c r="BH2243" s="75" t="s">
        <v>5970</v>
      </c>
      <c r="BI2243" s="295" t="s">
        <v>2227</v>
      </c>
      <c r="BJ2243" s="546">
        <v>1</v>
      </c>
      <c r="BK2243" s="294" t="s">
        <v>16</v>
      </c>
      <c r="BL2243" s="157" t="s">
        <v>16</v>
      </c>
      <c r="BM2243" s="548" t="s">
        <v>578</v>
      </c>
      <c r="BN2243" s="548" t="s">
        <v>578</v>
      </c>
      <c r="BO2243" s="157" t="s">
        <v>4341</v>
      </c>
      <c r="BP2243" s="548" t="s">
        <v>4343</v>
      </c>
      <c r="BQ2243" s="157" t="s">
        <v>4309</v>
      </c>
      <c r="BR2243" s="157"/>
    </row>
    <row r="2244" spans="1:70" x14ac:dyDescent="0.25">
      <c r="A2244" s="19" t="s">
        <v>3686</v>
      </c>
      <c r="B2244" s="37" t="s">
        <v>219</v>
      </c>
      <c r="C2244" s="90">
        <v>43905.955243055556</v>
      </c>
      <c r="D2244" s="114">
        <v>43905.705243055556</v>
      </c>
      <c r="E2244" s="38">
        <v>43905</v>
      </c>
      <c r="F2244" s="91">
        <v>2020</v>
      </c>
      <c r="G2244" s="93">
        <v>3</v>
      </c>
      <c r="H2244" s="37" t="s">
        <v>201</v>
      </c>
      <c r="I2244" s="37"/>
      <c r="J2244" s="103">
        <v>-92.732821042050958</v>
      </c>
      <c r="K2244" s="40">
        <v>44.983979391639728</v>
      </c>
      <c r="L2244" s="74"/>
      <c r="M2244" s="272" t="s">
        <v>220</v>
      </c>
      <c r="N2244" s="74">
        <v>1</v>
      </c>
      <c r="O2244" s="94"/>
      <c r="P2244" s="118">
        <v>1</v>
      </c>
      <c r="Q2244" s="510">
        <v>120</v>
      </c>
      <c r="R2244" s="513">
        <v>30</v>
      </c>
      <c r="S2244" s="41"/>
      <c r="T2244" s="40"/>
      <c r="U2244" s="40">
        <v>8</v>
      </c>
      <c r="V2244" s="119">
        <v>1</v>
      </c>
      <c r="W2244" s="40">
        <v>0</v>
      </c>
      <c r="X2244" s="119">
        <v>1</v>
      </c>
      <c r="Y2244" s="40">
        <v>43</v>
      </c>
      <c r="Z2244" s="119">
        <v>1</v>
      </c>
      <c r="AA2244" s="368">
        <v>0</v>
      </c>
      <c r="AB2244" s="535">
        <v>5</v>
      </c>
      <c r="AC2244" s="39" t="s">
        <v>160</v>
      </c>
      <c r="AD2244" s="75" t="s">
        <v>8</v>
      </c>
      <c r="AE2244" s="95">
        <v>0</v>
      </c>
      <c r="AF2244" s="75">
        <v>1</v>
      </c>
      <c r="AG2244" s="75">
        <v>0</v>
      </c>
      <c r="AH2244" s="75">
        <v>0</v>
      </c>
      <c r="AI2244" s="75">
        <v>0</v>
      </c>
      <c r="AJ2244" s="75">
        <v>0</v>
      </c>
      <c r="AK2244" s="75">
        <v>0</v>
      </c>
      <c r="AL2244" s="95">
        <v>0</v>
      </c>
      <c r="AM2244" s="92">
        <v>0</v>
      </c>
      <c r="AN2244" s="79" t="s">
        <v>80</v>
      </c>
      <c r="AO2244" s="75">
        <v>1</v>
      </c>
      <c r="AP2244" s="75" t="s">
        <v>83</v>
      </c>
      <c r="AQ2244" s="122">
        <v>1</v>
      </c>
      <c r="AR2244" s="515" t="s">
        <v>10</v>
      </c>
      <c r="AS2244" s="95">
        <v>0</v>
      </c>
      <c r="AT2244" s="75">
        <v>0</v>
      </c>
      <c r="AU2244" s="75">
        <v>0</v>
      </c>
      <c r="AV2244" s="75">
        <v>0</v>
      </c>
      <c r="AW2244" s="123">
        <v>0</v>
      </c>
      <c r="AX2244" s="516" t="s">
        <v>221</v>
      </c>
      <c r="AY2244" s="75">
        <v>1</v>
      </c>
      <c r="AZ2244" s="77" t="s">
        <v>131</v>
      </c>
      <c r="BA2244" s="78" t="s">
        <v>132</v>
      </c>
      <c r="BB2244" s="78" t="s">
        <v>131</v>
      </c>
      <c r="BC2244" s="78" t="s">
        <v>131</v>
      </c>
      <c r="BD2244" s="78" t="s">
        <v>131</v>
      </c>
      <c r="BE2244" s="78" t="s">
        <v>131</v>
      </c>
      <c r="BF2244" s="78" t="s">
        <v>131</v>
      </c>
      <c r="BG2244" s="78" t="s">
        <v>131</v>
      </c>
      <c r="BH2244" s="75" t="s">
        <v>5970</v>
      </c>
      <c r="BI2244" s="295" t="s">
        <v>16</v>
      </c>
      <c r="BJ2244" s="546" t="s">
        <v>16</v>
      </c>
      <c r="BK2244" s="294" t="s">
        <v>16</v>
      </c>
      <c r="BL2244" s="157" t="s">
        <v>16</v>
      </c>
      <c r="BM2244" s="548" t="s">
        <v>578</v>
      </c>
      <c r="BN2244" s="548" t="s">
        <v>578</v>
      </c>
      <c r="BO2244" s="157" t="s">
        <v>4691</v>
      </c>
      <c r="BP2244" s="548" t="s">
        <v>4692</v>
      </c>
      <c r="BQ2244" s="157" t="s">
        <v>4690</v>
      </c>
      <c r="BR2244" s="157"/>
    </row>
    <row r="2245" spans="1:70" x14ac:dyDescent="0.25">
      <c r="A2245" s="19" t="s">
        <v>3686</v>
      </c>
      <c r="B2245" s="37" t="s">
        <v>217</v>
      </c>
      <c r="C2245" s="90">
        <v>43905.868750000001</v>
      </c>
      <c r="D2245" s="114">
        <v>43905.618750000001</v>
      </c>
      <c r="E2245" s="38">
        <v>43905</v>
      </c>
      <c r="F2245" s="91">
        <v>2020</v>
      </c>
      <c r="G2245" s="93">
        <v>3</v>
      </c>
      <c r="H2245" s="37" t="s">
        <v>218</v>
      </c>
      <c r="I2245" s="37" t="s">
        <v>16</v>
      </c>
      <c r="J2245" s="103">
        <v>-92.319371756589106</v>
      </c>
      <c r="K2245" s="40">
        <v>44.723931216721354</v>
      </c>
      <c r="L2245" s="74"/>
      <c r="M2245" s="272" t="s">
        <v>16</v>
      </c>
      <c r="N2245" s="74">
        <v>0</v>
      </c>
      <c r="O2245" s="94"/>
      <c r="P2245" s="118">
        <v>0</v>
      </c>
      <c r="Q2245" s="510"/>
      <c r="R2245" s="513"/>
      <c r="S2245" s="41"/>
      <c r="T2245" s="40"/>
      <c r="U2245" s="40"/>
      <c r="V2245" s="119">
        <v>0</v>
      </c>
      <c r="W2245" s="40"/>
      <c r="X2245" s="119">
        <v>1</v>
      </c>
      <c r="Y2245" s="40">
        <v>39</v>
      </c>
      <c r="Z2245" s="119">
        <v>0</v>
      </c>
      <c r="AA2245" s="368" t="s">
        <v>16</v>
      </c>
      <c r="AB2245" s="535" t="s">
        <v>16</v>
      </c>
      <c r="AC2245" s="39" t="s">
        <v>160</v>
      </c>
      <c r="AD2245" s="75" t="s">
        <v>10</v>
      </c>
      <c r="AE2245" s="95">
        <v>0</v>
      </c>
      <c r="AF2245" s="75">
        <v>0</v>
      </c>
      <c r="AG2245" s="75">
        <v>0</v>
      </c>
      <c r="AH2245" s="75">
        <v>0</v>
      </c>
      <c r="AI2245" s="75">
        <v>0</v>
      </c>
      <c r="AJ2245" s="75">
        <v>0</v>
      </c>
      <c r="AK2245" s="75">
        <v>0</v>
      </c>
      <c r="AL2245" s="95">
        <v>1</v>
      </c>
      <c r="AM2245" s="92">
        <v>0</v>
      </c>
      <c r="AN2245" s="79" t="s">
        <v>80</v>
      </c>
      <c r="AO2245" s="75">
        <v>1</v>
      </c>
      <c r="AP2245" s="75" t="s">
        <v>83</v>
      </c>
      <c r="AQ2245" s="122">
        <v>1</v>
      </c>
      <c r="AR2245" s="515" t="s">
        <v>10</v>
      </c>
      <c r="AS2245" s="95">
        <v>0</v>
      </c>
      <c r="AT2245" s="75">
        <v>0</v>
      </c>
      <c r="AU2245" s="75">
        <v>0</v>
      </c>
      <c r="AV2245" s="75">
        <v>0</v>
      </c>
      <c r="AW2245" s="123">
        <v>0</v>
      </c>
      <c r="AX2245" s="516"/>
      <c r="AY2245" s="75">
        <v>0</v>
      </c>
      <c r="AZ2245" s="77" t="s">
        <v>131</v>
      </c>
      <c r="BA2245" s="78" t="s">
        <v>131</v>
      </c>
      <c r="BB2245" s="78" t="s">
        <v>131</v>
      </c>
      <c r="BC2245" s="78" t="s">
        <v>131</v>
      </c>
      <c r="BD2245" s="78" t="s">
        <v>131</v>
      </c>
      <c r="BE2245" s="78" t="s">
        <v>131</v>
      </c>
      <c r="BF2245" s="78" t="s">
        <v>131</v>
      </c>
      <c r="BG2245" s="78" t="s">
        <v>132</v>
      </c>
      <c r="BH2245" s="75" t="s">
        <v>5970</v>
      </c>
      <c r="BI2245" s="295" t="s">
        <v>2318</v>
      </c>
      <c r="BJ2245" s="546">
        <v>1</v>
      </c>
      <c r="BK2245" s="294">
        <v>1</v>
      </c>
      <c r="BL2245" s="157">
        <v>1</v>
      </c>
      <c r="BM2245" s="548" t="s">
        <v>578</v>
      </c>
      <c r="BN2245" s="548" t="s">
        <v>578</v>
      </c>
      <c r="BO2245" s="157" t="s">
        <v>4213</v>
      </c>
      <c r="BP2245" s="548" t="s">
        <v>4216</v>
      </c>
      <c r="BQ2245" s="157" t="s">
        <v>4212</v>
      </c>
      <c r="BR2245" s="157"/>
    </row>
    <row r="2246" spans="1:70" x14ac:dyDescent="0.25">
      <c r="A2246" s="19" t="s">
        <v>3686</v>
      </c>
      <c r="B2246" s="37" t="s">
        <v>215</v>
      </c>
      <c r="C2246" s="90">
        <v>43905.613333333335</v>
      </c>
      <c r="D2246" s="114">
        <v>43905.363333333335</v>
      </c>
      <c r="E2246" s="38">
        <v>43905</v>
      </c>
      <c r="F2246" s="91">
        <v>2020</v>
      </c>
      <c r="G2246" s="93">
        <v>3</v>
      </c>
      <c r="H2246" s="37" t="s">
        <v>205</v>
      </c>
      <c r="I2246" s="37" t="s">
        <v>368</v>
      </c>
      <c r="J2246" s="103">
        <v>-92.331282284000523</v>
      </c>
      <c r="K2246" s="40">
        <v>44.746039100170641</v>
      </c>
      <c r="L2246" s="74"/>
      <c r="M2246" s="272" t="s">
        <v>16</v>
      </c>
      <c r="N2246" s="74">
        <v>0</v>
      </c>
      <c r="O2246" s="94"/>
      <c r="P2246" s="118">
        <v>1</v>
      </c>
      <c r="Q2246" s="510">
        <v>240</v>
      </c>
      <c r="R2246" s="513">
        <v>60</v>
      </c>
      <c r="S2246" s="41"/>
      <c r="T2246" s="40"/>
      <c r="U2246" s="40">
        <v>7</v>
      </c>
      <c r="V2246" s="119">
        <v>1</v>
      </c>
      <c r="W2246" s="40">
        <v>0</v>
      </c>
      <c r="X2246" s="119">
        <v>1</v>
      </c>
      <c r="Y2246" s="40">
        <v>34</v>
      </c>
      <c r="Z2246" s="119">
        <v>0</v>
      </c>
      <c r="AA2246" s="368" t="s">
        <v>16</v>
      </c>
      <c r="AB2246" s="535" t="s">
        <v>16</v>
      </c>
      <c r="AC2246" s="39" t="s">
        <v>160</v>
      </c>
      <c r="AD2246" s="75" t="s">
        <v>10</v>
      </c>
      <c r="AE2246" s="95">
        <v>0</v>
      </c>
      <c r="AF2246" s="75">
        <v>0</v>
      </c>
      <c r="AG2246" s="75">
        <v>0</v>
      </c>
      <c r="AH2246" s="75">
        <v>0</v>
      </c>
      <c r="AI2246" s="75">
        <v>0</v>
      </c>
      <c r="AJ2246" s="75">
        <v>0</v>
      </c>
      <c r="AK2246" s="75">
        <v>0</v>
      </c>
      <c r="AL2246" s="95">
        <v>1</v>
      </c>
      <c r="AM2246" s="92">
        <v>0</v>
      </c>
      <c r="AN2246" s="79" t="s">
        <v>80</v>
      </c>
      <c r="AO2246" s="75">
        <v>1</v>
      </c>
      <c r="AP2246" s="75" t="s">
        <v>84</v>
      </c>
      <c r="AQ2246" s="122">
        <v>1</v>
      </c>
      <c r="AR2246" s="515" t="s">
        <v>58</v>
      </c>
      <c r="AS2246" s="95">
        <v>0</v>
      </c>
      <c r="AT2246" s="75">
        <v>0</v>
      </c>
      <c r="AU2246" s="75">
        <v>1</v>
      </c>
      <c r="AV2246" s="75">
        <v>0</v>
      </c>
      <c r="AW2246" s="123">
        <v>0</v>
      </c>
      <c r="AX2246" s="516" t="s">
        <v>216</v>
      </c>
      <c r="AY2246" s="75">
        <v>1</v>
      </c>
      <c r="AZ2246" s="77" t="s">
        <v>131</v>
      </c>
      <c r="BA2246" s="78" t="s">
        <v>131</v>
      </c>
      <c r="BB2246" s="78" t="s">
        <v>131</v>
      </c>
      <c r="BC2246" s="78" t="s">
        <v>131</v>
      </c>
      <c r="BD2246" s="78" t="s">
        <v>131</v>
      </c>
      <c r="BE2246" s="78" t="s">
        <v>131</v>
      </c>
      <c r="BF2246" s="78" t="s">
        <v>131</v>
      </c>
      <c r="BG2246" s="78" t="s">
        <v>132</v>
      </c>
      <c r="BH2246" s="75" t="s">
        <v>5970</v>
      </c>
      <c r="BI2246" s="295" t="s">
        <v>2231</v>
      </c>
      <c r="BJ2246" s="546">
        <v>1</v>
      </c>
      <c r="BK2246" s="294">
        <v>1</v>
      </c>
      <c r="BL2246" s="157">
        <v>1</v>
      </c>
      <c r="BM2246" s="548" t="s">
        <v>578</v>
      </c>
      <c r="BN2246" s="548" t="s">
        <v>578</v>
      </c>
      <c r="BO2246" s="157" t="s">
        <v>4213</v>
      </c>
      <c r="BP2246" s="548" t="s">
        <v>4216</v>
      </c>
      <c r="BQ2246" s="157" t="s">
        <v>4212</v>
      </c>
      <c r="BR2246" s="157"/>
    </row>
    <row r="2247" spans="1:70" x14ac:dyDescent="0.25">
      <c r="A2247" s="19" t="s">
        <v>3686</v>
      </c>
      <c r="B2247" s="37" t="s">
        <v>213</v>
      </c>
      <c r="C2247" s="90">
        <v>43903.776516203703</v>
      </c>
      <c r="D2247" s="114">
        <v>43903.526516203703</v>
      </c>
      <c r="E2247" s="38">
        <v>43903</v>
      </c>
      <c r="F2247" s="91">
        <v>2020</v>
      </c>
      <c r="G2247" s="93">
        <v>3</v>
      </c>
      <c r="H2247" s="37" t="s">
        <v>214</v>
      </c>
      <c r="I2247" s="37"/>
      <c r="J2247" s="103">
        <v>-92.651247290771281</v>
      </c>
      <c r="K2247" s="40">
        <v>44.847290116872415</v>
      </c>
      <c r="L2247" s="74"/>
      <c r="M2247" s="272" t="s">
        <v>16</v>
      </c>
      <c r="N2247" s="74">
        <v>0</v>
      </c>
      <c r="O2247" s="94"/>
      <c r="P2247" s="118">
        <v>0</v>
      </c>
      <c r="Q2247" s="510"/>
      <c r="R2247" s="513"/>
      <c r="S2247" s="41"/>
      <c r="T2247" s="40"/>
      <c r="U2247" s="40"/>
      <c r="V2247" s="119">
        <v>0</v>
      </c>
      <c r="W2247" s="40"/>
      <c r="X2247" s="119">
        <v>1</v>
      </c>
      <c r="Y2247" s="40">
        <v>40</v>
      </c>
      <c r="Z2247" s="119">
        <v>1</v>
      </c>
      <c r="AA2247" s="368">
        <v>0</v>
      </c>
      <c r="AB2247" s="535">
        <v>0</v>
      </c>
      <c r="AC2247" s="39" t="s">
        <v>160</v>
      </c>
      <c r="AD2247" s="75" t="s">
        <v>10</v>
      </c>
      <c r="AE2247" s="95">
        <v>0</v>
      </c>
      <c r="AF2247" s="75">
        <v>0</v>
      </c>
      <c r="AG2247" s="75">
        <v>0</v>
      </c>
      <c r="AH2247" s="75">
        <v>0</v>
      </c>
      <c r="AI2247" s="75">
        <v>0</v>
      </c>
      <c r="AJ2247" s="75">
        <v>0</v>
      </c>
      <c r="AK2247" s="75">
        <v>0</v>
      </c>
      <c r="AL2247" s="95">
        <v>1</v>
      </c>
      <c r="AM2247" s="92">
        <v>0</v>
      </c>
      <c r="AN2247" s="79" t="s">
        <v>195</v>
      </c>
      <c r="AO2247" s="75">
        <v>1</v>
      </c>
      <c r="AP2247" s="75" t="s">
        <v>84</v>
      </c>
      <c r="AQ2247" s="122">
        <v>1</v>
      </c>
      <c r="AR2247" s="515" t="s">
        <v>10</v>
      </c>
      <c r="AS2247" s="95">
        <v>0</v>
      </c>
      <c r="AT2247" s="75">
        <v>0</v>
      </c>
      <c r="AU2247" s="75">
        <v>0</v>
      </c>
      <c r="AV2247" s="75">
        <v>0</v>
      </c>
      <c r="AW2247" s="123">
        <v>0</v>
      </c>
      <c r="AX2247" s="516"/>
      <c r="AY2247" s="75">
        <v>0</v>
      </c>
      <c r="AZ2247" s="77" t="s">
        <v>131</v>
      </c>
      <c r="BA2247" s="78" t="s">
        <v>131</v>
      </c>
      <c r="BB2247" s="78" t="s">
        <v>131</v>
      </c>
      <c r="BC2247" s="78" t="s">
        <v>131</v>
      </c>
      <c r="BD2247" s="78" t="s">
        <v>131</v>
      </c>
      <c r="BE2247" s="78" t="s">
        <v>131</v>
      </c>
      <c r="BF2247" s="78" t="s">
        <v>131</v>
      </c>
      <c r="BG2247" s="78" t="s">
        <v>132</v>
      </c>
      <c r="BH2247" s="75" t="s">
        <v>5970</v>
      </c>
      <c r="BI2247" s="295" t="s">
        <v>2227</v>
      </c>
      <c r="BJ2247" s="546">
        <v>1</v>
      </c>
      <c r="BK2247" s="294" t="s">
        <v>16</v>
      </c>
      <c r="BL2247" s="157" t="s">
        <v>16</v>
      </c>
      <c r="BM2247" s="548" t="s">
        <v>578</v>
      </c>
      <c r="BN2247" s="548" t="s">
        <v>578</v>
      </c>
      <c r="BO2247" s="157" t="s">
        <v>4341</v>
      </c>
      <c r="BP2247" s="548" t="s">
        <v>4343</v>
      </c>
      <c r="BQ2247" s="157" t="s">
        <v>4309</v>
      </c>
      <c r="BR2247" s="157"/>
    </row>
    <row r="2248" spans="1:70" x14ac:dyDescent="0.25">
      <c r="A2248" s="19" t="s">
        <v>3686</v>
      </c>
      <c r="B2248" s="37" t="s">
        <v>211</v>
      </c>
      <c r="C2248" s="90">
        <v>43898.608634259261</v>
      </c>
      <c r="D2248" s="114">
        <v>43898.358634259261</v>
      </c>
      <c r="E2248" s="38">
        <v>43898</v>
      </c>
      <c r="F2248" s="91">
        <v>2020</v>
      </c>
      <c r="G2248" s="93">
        <v>3</v>
      </c>
      <c r="H2248" s="37" t="s">
        <v>205</v>
      </c>
      <c r="I2248" s="37" t="s">
        <v>368</v>
      </c>
      <c r="J2248" s="103">
        <v>-92.331320183936384</v>
      </c>
      <c r="K2248" s="40">
        <v>44.746086808104408</v>
      </c>
      <c r="L2248" s="74"/>
      <c r="M2248" s="272" t="s">
        <v>16</v>
      </c>
      <c r="N2248" s="74">
        <v>0</v>
      </c>
      <c r="O2248" s="94"/>
      <c r="P2248" s="118">
        <v>1</v>
      </c>
      <c r="Q2248" s="510">
        <v>240</v>
      </c>
      <c r="R2248" s="513">
        <v>60</v>
      </c>
      <c r="S2248" s="41"/>
      <c r="T2248" s="40"/>
      <c r="U2248" s="40">
        <v>7</v>
      </c>
      <c r="V2248" s="119">
        <v>1</v>
      </c>
      <c r="W2248" s="40">
        <v>0</v>
      </c>
      <c r="X2248" s="119">
        <v>1</v>
      </c>
      <c r="Y2248" s="40">
        <v>40</v>
      </c>
      <c r="Z2248" s="119">
        <v>0</v>
      </c>
      <c r="AA2248" s="368" t="s">
        <v>16</v>
      </c>
      <c r="AB2248" s="535" t="s">
        <v>16</v>
      </c>
      <c r="AC2248" s="39" t="s">
        <v>160</v>
      </c>
      <c r="AD2248" s="75" t="s">
        <v>10</v>
      </c>
      <c r="AE2248" s="95">
        <v>0</v>
      </c>
      <c r="AF2248" s="75">
        <v>0</v>
      </c>
      <c r="AG2248" s="75">
        <v>0</v>
      </c>
      <c r="AH2248" s="75">
        <v>0</v>
      </c>
      <c r="AI2248" s="75">
        <v>0</v>
      </c>
      <c r="AJ2248" s="75">
        <v>0</v>
      </c>
      <c r="AK2248" s="75">
        <v>0</v>
      </c>
      <c r="AL2248" s="95">
        <v>1</v>
      </c>
      <c r="AM2248" s="92">
        <v>0</v>
      </c>
      <c r="AN2248" s="79" t="s">
        <v>80</v>
      </c>
      <c r="AO2248" s="75">
        <v>1</v>
      </c>
      <c r="AP2248" s="75" t="s">
        <v>83</v>
      </c>
      <c r="AQ2248" s="122">
        <v>1</v>
      </c>
      <c r="AR2248" s="515" t="s">
        <v>58</v>
      </c>
      <c r="AS2248" s="95">
        <v>0</v>
      </c>
      <c r="AT2248" s="75">
        <v>0</v>
      </c>
      <c r="AU2248" s="75">
        <v>1</v>
      </c>
      <c r="AV2248" s="75">
        <v>0</v>
      </c>
      <c r="AW2248" s="123">
        <v>0</v>
      </c>
      <c r="AX2248" s="516" t="s">
        <v>212</v>
      </c>
      <c r="AY2248" s="75">
        <v>1</v>
      </c>
      <c r="AZ2248" s="77" t="s">
        <v>131</v>
      </c>
      <c r="BA2248" s="78" t="s">
        <v>131</v>
      </c>
      <c r="BB2248" s="78" t="s">
        <v>131</v>
      </c>
      <c r="BC2248" s="78" t="s">
        <v>131</v>
      </c>
      <c r="BD2248" s="78" t="s">
        <v>131</v>
      </c>
      <c r="BE2248" s="78" t="s">
        <v>131</v>
      </c>
      <c r="BF2248" s="78" t="s">
        <v>131</v>
      </c>
      <c r="BG2248" s="78" t="s">
        <v>132</v>
      </c>
      <c r="BH2248" s="75" t="s">
        <v>5970</v>
      </c>
      <c r="BI2248" s="295" t="s">
        <v>16</v>
      </c>
      <c r="BJ2248" s="546">
        <v>1</v>
      </c>
      <c r="BK2248" s="294">
        <v>1</v>
      </c>
      <c r="BL2248" s="157">
        <v>1</v>
      </c>
      <c r="BM2248" s="548" t="s">
        <v>578</v>
      </c>
      <c r="BN2248" s="548" t="s">
        <v>578</v>
      </c>
      <c r="BO2248" s="157" t="s">
        <v>4213</v>
      </c>
      <c r="BP2248" s="548" t="s">
        <v>4216</v>
      </c>
      <c r="BQ2248" s="157" t="s">
        <v>4212</v>
      </c>
      <c r="BR2248" s="157"/>
    </row>
    <row r="2249" spans="1:70" x14ac:dyDescent="0.25">
      <c r="A2249" s="19" t="s">
        <v>3686</v>
      </c>
      <c r="B2249" s="37" t="s">
        <v>208</v>
      </c>
      <c r="C2249" s="90">
        <v>43896.870185185187</v>
      </c>
      <c r="D2249" s="114">
        <v>43896.620185185187</v>
      </c>
      <c r="E2249" s="38">
        <v>43896</v>
      </c>
      <c r="F2249" s="91">
        <v>2020</v>
      </c>
      <c r="G2249" s="93">
        <v>3</v>
      </c>
      <c r="H2249" s="37" t="s">
        <v>201</v>
      </c>
      <c r="I2249" s="37"/>
      <c r="J2249" s="103">
        <v>-92.732067016385017</v>
      </c>
      <c r="K2249" s="40">
        <v>44.831197279969906</v>
      </c>
      <c r="L2249" s="74"/>
      <c r="M2249" s="272" t="s">
        <v>209</v>
      </c>
      <c r="N2249" s="74">
        <v>1</v>
      </c>
      <c r="O2249" s="94"/>
      <c r="P2249" s="118">
        <v>0</v>
      </c>
      <c r="Q2249" s="510"/>
      <c r="R2249" s="513"/>
      <c r="S2249" s="41"/>
      <c r="T2249" s="40"/>
      <c r="U2249" s="40"/>
      <c r="V2249" s="119">
        <v>1</v>
      </c>
      <c r="W2249" s="40">
        <v>0</v>
      </c>
      <c r="X2249" s="119">
        <v>1</v>
      </c>
      <c r="Y2249" s="40">
        <v>42</v>
      </c>
      <c r="Z2249" s="119">
        <v>0</v>
      </c>
      <c r="AA2249" s="368" t="s">
        <v>16</v>
      </c>
      <c r="AB2249" s="535" t="s">
        <v>16</v>
      </c>
      <c r="AC2249" s="39" t="s">
        <v>160</v>
      </c>
      <c r="AD2249" s="75" t="s">
        <v>8</v>
      </c>
      <c r="AE2249" s="95">
        <v>0</v>
      </c>
      <c r="AF2249" s="75">
        <v>1</v>
      </c>
      <c r="AG2249" s="75">
        <v>0</v>
      </c>
      <c r="AH2249" s="75">
        <v>0</v>
      </c>
      <c r="AI2249" s="75">
        <v>0</v>
      </c>
      <c r="AJ2249" s="75">
        <v>0</v>
      </c>
      <c r="AK2249" s="75">
        <v>0</v>
      </c>
      <c r="AL2249" s="95">
        <v>0</v>
      </c>
      <c r="AM2249" s="92">
        <v>0</v>
      </c>
      <c r="AN2249" s="79" t="s">
        <v>80</v>
      </c>
      <c r="AO2249" s="75">
        <v>1</v>
      </c>
      <c r="AP2249" s="75" t="s">
        <v>83</v>
      </c>
      <c r="AQ2249" s="122">
        <v>1</v>
      </c>
      <c r="AR2249" s="515" t="s">
        <v>58</v>
      </c>
      <c r="AS2249" s="95">
        <v>0</v>
      </c>
      <c r="AT2249" s="75">
        <v>0</v>
      </c>
      <c r="AU2249" s="75">
        <v>1</v>
      </c>
      <c r="AV2249" s="75">
        <v>0</v>
      </c>
      <c r="AW2249" s="123">
        <v>0</v>
      </c>
      <c r="AX2249" s="516" t="s">
        <v>210</v>
      </c>
      <c r="AY2249" s="75">
        <v>1</v>
      </c>
      <c r="AZ2249" s="77" t="s">
        <v>131</v>
      </c>
      <c r="BA2249" s="78" t="s">
        <v>132</v>
      </c>
      <c r="BB2249" s="78" t="s">
        <v>131</v>
      </c>
      <c r="BC2249" s="78" t="s">
        <v>131</v>
      </c>
      <c r="BD2249" s="78" t="s">
        <v>131</v>
      </c>
      <c r="BE2249" s="78" t="s">
        <v>131</v>
      </c>
      <c r="BF2249" s="78" t="s">
        <v>131</v>
      </c>
      <c r="BG2249" s="78" t="s">
        <v>131</v>
      </c>
      <c r="BH2249" s="75" t="s">
        <v>5970</v>
      </c>
      <c r="BI2249" s="295" t="s">
        <v>2227</v>
      </c>
      <c r="BJ2249" s="546">
        <v>1</v>
      </c>
      <c r="BK2249" s="294" t="s">
        <v>16</v>
      </c>
      <c r="BL2249" s="157" t="s">
        <v>16</v>
      </c>
      <c r="BM2249" s="548" t="s">
        <v>578</v>
      </c>
      <c r="BN2249" s="548" t="s">
        <v>578</v>
      </c>
      <c r="BO2249" s="157" t="s">
        <v>4341</v>
      </c>
      <c r="BP2249" s="548" t="s">
        <v>4343</v>
      </c>
      <c r="BQ2249" s="157" t="s">
        <v>4309</v>
      </c>
      <c r="BR2249" s="157"/>
    </row>
    <row r="2250" spans="1:70" x14ac:dyDescent="0.25">
      <c r="A2250" s="19" t="s">
        <v>3686</v>
      </c>
      <c r="B2250" s="37" t="s">
        <v>207</v>
      </c>
      <c r="C2250" s="90">
        <v>43896.653101851851</v>
      </c>
      <c r="D2250" s="114">
        <v>43896.403101851851</v>
      </c>
      <c r="E2250" s="38">
        <v>43896</v>
      </c>
      <c r="F2250" s="91">
        <v>2020</v>
      </c>
      <c r="G2250" s="93">
        <v>3</v>
      </c>
      <c r="H2250" s="37" t="s">
        <v>179</v>
      </c>
      <c r="I2250" s="37" t="s">
        <v>146</v>
      </c>
      <c r="J2250" s="103">
        <v>-91.780546099999995</v>
      </c>
      <c r="K2250" s="40">
        <v>43.272373299999998</v>
      </c>
      <c r="L2250" s="74"/>
      <c r="M2250" s="272" t="s">
        <v>16</v>
      </c>
      <c r="N2250" s="74">
        <v>0</v>
      </c>
      <c r="O2250" s="94"/>
      <c r="P2250" s="118">
        <v>1</v>
      </c>
      <c r="Q2250" s="510">
        <v>240</v>
      </c>
      <c r="R2250" s="513">
        <v>60</v>
      </c>
      <c r="S2250" s="41"/>
      <c r="T2250" s="40"/>
      <c r="U2250" s="40">
        <v>7.5</v>
      </c>
      <c r="V2250" s="119">
        <v>0</v>
      </c>
      <c r="W2250" s="40"/>
      <c r="X2250" s="119">
        <v>0</v>
      </c>
      <c r="Y2250" s="40"/>
      <c r="Z2250" s="119">
        <v>0</v>
      </c>
      <c r="AA2250" s="368" t="s">
        <v>16</v>
      </c>
      <c r="AB2250" s="535" t="s">
        <v>16</v>
      </c>
      <c r="AC2250" s="39" t="s">
        <v>160</v>
      </c>
      <c r="AD2250" s="75" t="s">
        <v>10</v>
      </c>
      <c r="AE2250" s="95">
        <v>0</v>
      </c>
      <c r="AF2250" s="75">
        <v>0</v>
      </c>
      <c r="AG2250" s="75">
        <v>0</v>
      </c>
      <c r="AH2250" s="75">
        <v>0</v>
      </c>
      <c r="AI2250" s="75">
        <v>0</v>
      </c>
      <c r="AJ2250" s="75">
        <v>0</v>
      </c>
      <c r="AK2250" s="75">
        <v>0</v>
      </c>
      <c r="AL2250" s="95">
        <v>1</v>
      </c>
      <c r="AM2250" s="92">
        <v>0</v>
      </c>
      <c r="AN2250" s="79" t="s">
        <v>81</v>
      </c>
      <c r="AO2250" s="75">
        <v>1</v>
      </c>
      <c r="AP2250" s="75" t="s">
        <v>85</v>
      </c>
      <c r="AQ2250" s="122">
        <v>1</v>
      </c>
      <c r="AR2250" s="515" t="s">
        <v>58</v>
      </c>
      <c r="AS2250" s="95">
        <v>0</v>
      </c>
      <c r="AT2250" s="75">
        <v>0</v>
      </c>
      <c r="AU2250" s="75">
        <v>1</v>
      </c>
      <c r="AV2250" s="75">
        <v>0</v>
      </c>
      <c r="AW2250" s="123">
        <v>0</v>
      </c>
      <c r="AX2250" s="516"/>
      <c r="AY2250" s="75">
        <v>0</v>
      </c>
      <c r="AZ2250" s="77" t="s">
        <v>131</v>
      </c>
      <c r="BA2250" s="78" t="s">
        <v>131</v>
      </c>
      <c r="BB2250" s="78" t="s">
        <v>131</v>
      </c>
      <c r="BC2250" s="78" t="s">
        <v>131</v>
      </c>
      <c r="BD2250" s="78" t="s">
        <v>131</v>
      </c>
      <c r="BE2250" s="78" t="s">
        <v>131</v>
      </c>
      <c r="BF2250" s="78" t="s">
        <v>131</v>
      </c>
      <c r="BG2250" s="78" t="s">
        <v>132</v>
      </c>
      <c r="BH2250" s="75" t="s">
        <v>5970</v>
      </c>
      <c r="BI2250" s="295" t="s">
        <v>2254</v>
      </c>
      <c r="BJ2250" s="546">
        <v>1</v>
      </c>
      <c r="BK2250" s="294" t="s">
        <v>16</v>
      </c>
      <c r="BL2250" s="157" t="s">
        <v>16</v>
      </c>
      <c r="BM2250" s="548" t="s">
        <v>1344</v>
      </c>
      <c r="BN2250" s="548" t="s">
        <v>5969</v>
      </c>
      <c r="BO2250" s="157" t="s">
        <v>4491</v>
      </c>
      <c r="BP2250" s="548" t="s">
        <v>2254</v>
      </c>
      <c r="BQ2250" s="157" t="s">
        <v>4377</v>
      </c>
      <c r="BR2250" s="157"/>
    </row>
    <row r="2251" spans="1:70" x14ac:dyDescent="0.25">
      <c r="A2251" s="19" t="s">
        <v>3686</v>
      </c>
      <c r="B2251" s="37" t="s">
        <v>204</v>
      </c>
      <c r="C2251" s="90">
        <v>43891.62400462963</v>
      </c>
      <c r="D2251" s="114">
        <v>43891.37400462963</v>
      </c>
      <c r="E2251" s="38">
        <v>43891</v>
      </c>
      <c r="F2251" s="91">
        <v>2020</v>
      </c>
      <c r="G2251" s="93">
        <v>3</v>
      </c>
      <c r="H2251" s="37" t="s">
        <v>205</v>
      </c>
      <c r="I2251" s="37" t="s">
        <v>368</v>
      </c>
      <c r="J2251" s="103">
        <v>-92.331503532752279</v>
      </c>
      <c r="K2251" s="40">
        <v>44.7462983708824</v>
      </c>
      <c r="L2251" s="74"/>
      <c r="M2251" s="272" t="s">
        <v>16</v>
      </c>
      <c r="N2251" s="74">
        <v>0</v>
      </c>
      <c r="O2251" s="94"/>
      <c r="P2251" s="118">
        <v>0</v>
      </c>
      <c r="Q2251" s="510"/>
      <c r="R2251" s="513"/>
      <c r="S2251" s="41"/>
      <c r="T2251" s="40"/>
      <c r="U2251" s="40"/>
      <c r="V2251" s="119">
        <v>0</v>
      </c>
      <c r="W2251" s="40"/>
      <c r="X2251" s="119">
        <v>1</v>
      </c>
      <c r="Y2251" s="40">
        <v>36</v>
      </c>
      <c r="Z2251" s="119">
        <v>0</v>
      </c>
      <c r="AA2251" s="368" t="s">
        <v>16</v>
      </c>
      <c r="AB2251" s="535" t="s">
        <v>16</v>
      </c>
      <c r="AC2251" s="39"/>
      <c r="AD2251" s="75" t="s">
        <v>10</v>
      </c>
      <c r="AE2251" s="95">
        <v>0</v>
      </c>
      <c r="AF2251" s="75">
        <v>0</v>
      </c>
      <c r="AG2251" s="75">
        <v>0</v>
      </c>
      <c r="AH2251" s="75">
        <v>0</v>
      </c>
      <c r="AI2251" s="75">
        <v>0</v>
      </c>
      <c r="AJ2251" s="75">
        <v>0</v>
      </c>
      <c r="AK2251" s="75">
        <v>0</v>
      </c>
      <c r="AL2251" s="95">
        <v>1</v>
      </c>
      <c r="AM2251" s="92">
        <v>0</v>
      </c>
      <c r="AN2251" s="79" t="s">
        <v>80</v>
      </c>
      <c r="AO2251" s="75">
        <v>1</v>
      </c>
      <c r="AP2251" s="75" t="s">
        <v>83</v>
      </c>
      <c r="AQ2251" s="122">
        <v>1</v>
      </c>
      <c r="AR2251" s="515" t="s">
        <v>58</v>
      </c>
      <c r="AS2251" s="95">
        <v>0</v>
      </c>
      <c r="AT2251" s="75">
        <v>0</v>
      </c>
      <c r="AU2251" s="75">
        <v>1</v>
      </c>
      <c r="AV2251" s="75">
        <v>0</v>
      </c>
      <c r="AW2251" s="123">
        <v>0</v>
      </c>
      <c r="AX2251" s="516" t="s">
        <v>206</v>
      </c>
      <c r="AY2251" s="75">
        <v>1</v>
      </c>
      <c r="AZ2251" s="77" t="s">
        <v>131</v>
      </c>
      <c r="BA2251" s="78" t="s">
        <v>131</v>
      </c>
      <c r="BB2251" s="78" t="s">
        <v>131</v>
      </c>
      <c r="BC2251" s="78" t="s">
        <v>131</v>
      </c>
      <c r="BD2251" s="78" t="s">
        <v>131</v>
      </c>
      <c r="BE2251" s="78" t="s">
        <v>131</v>
      </c>
      <c r="BF2251" s="78" t="s">
        <v>131</v>
      </c>
      <c r="BG2251" s="78" t="s">
        <v>132</v>
      </c>
      <c r="BH2251" s="75" t="s">
        <v>5970</v>
      </c>
      <c r="BI2251" s="295" t="s">
        <v>2231</v>
      </c>
      <c r="BJ2251" s="546">
        <v>1</v>
      </c>
      <c r="BK2251" s="294">
        <v>1</v>
      </c>
      <c r="BL2251" s="157">
        <v>1</v>
      </c>
      <c r="BM2251" s="548" t="s">
        <v>578</v>
      </c>
      <c r="BN2251" s="548" t="s">
        <v>578</v>
      </c>
      <c r="BO2251" s="157" t="s">
        <v>4213</v>
      </c>
      <c r="BP2251" s="548" t="s">
        <v>4216</v>
      </c>
      <c r="BQ2251" s="157" t="s">
        <v>4212</v>
      </c>
      <c r="BR2251" s="157"/>
    </row>
    <row r="2252" spans="1:70" x14ac:dyDescent="0.25">
      <c r="A2252" s="19" t="s">
        <v>3686</v>
      </c>
      <c r="B2252" s="37" t="s">
        <v>200</v>
      </c>
      <c r="C2252" s="90">
        <v>43885.876967592594</v>
      </c>
      <c r="D2252" s="114">
        <v>43885.626967592594</v>
      </c>
      <c r="E2252" s="38">
        <v>43885</v>
      </c>
      <c r="F2252" s="91">
        <v>2020</v>
      </c>
      <c r="G2252" s="93">
        <v>2</v>
      </c>
      <c r="H2252" s="37" t="s">
        <v>201</v>
      </c>
      <c r="I2252" s="37" t="s">
        <v>16</v>
      </c>
      <c r="J2252" s="103">
        <v>-92.732032050304497</v>
      </c>
      <c r="K2252" s="40">
        <v>44.831103989533752</v>
      </c>
      <c r="L2252" s="74"/>
      <c r="M2252" s="272" t="s">
        <v>202</v>
      </c>
      <c r="N2252" s="74">
        <v>1</v>
      </c>
      <c r="O2252" s="94"/>
      <c r="P2252" s="118">
        <v>0</v>
      </c>
      <c r="Q2252" s="510"/>
      <c r="R2252" s="513"/>
      <c r="S2252" s="41"/>
      <c r="T2252" s="40"/>
      <c r="U2252" s="40"/>
      <c r="V2252" s="119">
        <v>1</v>
      </c>
      <c r="W2252" s="40">
        <v>0</v>
      </c>
      <c r="X2252" s="119">
        <v>1</v>
      </c>
      <c r="Y2252" s="40">
        <v>41</v>
      </c>
      <c r="Z2252" s="119">
        <v>0</v>
      </c>
      <c r="AA2252" s="368" t="s">
        <v>16</v>
      </c>
      <c r="AB2252" s="535" t="s">
        <v>16</v>
      </c>
      <c r="AC2252" s="39" t="s">
        <v>160</v>
      </c>
      <c r="AD2252" s="75" t="s">
        <v>10</v>
      </c>
      <c r="AE2252" s="95">
        <v>0</v>
      </c>
      <c r="AF2252" s="75">
        <v>0</v>
      </c>
      <c r="AG2252" s="75">
        <v>0</v>
      </c>
      <c r="AH2252" s="75">
        <v>0</v>
      </c>
      <c r="AI2252" s="75">
        <v>0</v>
      </c>
      <c r="AJ2252" s="75">
        <v>0</v>
      </c>
      <c r="AK2252" s="75">
        <v>0</v>
      </c>
      <c r="AL2252" s="95">
        <v>1</v>
      </c>
      <c r="AM2252" s="92">
        <v>0</v>
      </c>
      <c r="AN2252" s="79" t="s">
        <v>80</v>
      </c>
      <c r="AO2252" s="75">
        <v>1</v>
      </c>
      <c r="AP2252" s="75" t="s">
        <v>83</v>
      </c>
      <c r="AQ2252" s="122">
        <v>1</v>
      </c>
      <c r="AR2252" s="515" t="s">
        <v>10</v>
      </c>
      <c r="AS2252" s="95">
        <v>0</v>
      </c>
      <c r="AT2252" s="75">
        <v>0</v>
      </c>
      <c r="AU2252" s="75">
        <v>0</v>
      </c>
      <c r="AV2252" s="75">
        <v>0</v>
      </c>
      <c r="AW2252" s="123">
        <v>0</v>
      </c>
      <c r="AX2252" s="516" t="s">
        <v>203</v>
      </c>
      <c r="AY2252" s="75">
        <v>1</v>
      </c>
      <c r="AZ2252" s="77" t="s">
        <v>131</v>
      </c>
      <c r="BA2252" s="78" t="s">
        <v>131</v>
      </c>
      <c r="BB2252" s="78" t="s">
        <v>131</v>
      </c>
      <c r="BC2252" s="78" t="s">
        <v>131</v>
      </c>
      <c r="BD2252" s="78" t="s">
        <v>131</v>
      </c>
      <c r="BE2252" s="78" t="s">
        <v>131</v>
      </c>
      <c r="BF2252" s="78" t="s">
        <v>131</v>
      </c>
      <c r="BG2252" s="78" t="s">
        <v>132</v>
      </c>
      <c r="BH2252" s="75" t="s">
        <v>5970</v>
      </c>
      <c r="BI2252" s="295" t="s">
        <v>2227</v>
      </c>
      <c r="BJ2252" s="546">
        <v>1</v>
      </c>
      <c r="BK2252" s="294" t="s">
        <v>16</v>
      </c>
      <c r="BL2252" s="157" t="s">
        <v>16</v>
      </c>
      <c r="BM2252" s="548" t="s">
        <v>578</v>
      </c>
      <c r="BN2252" s="548" t="s">
        <v>578</v>
      </c>
      <c r="BO2252" s="157" t="s">
        <v>4341</v>
      </c>
      <c r="BP2252" s="548" t="s">
        <v>4343</v>
      </c>
      <c r="BQ2252" s="157" t="s">
        <v>4309</v>
      </c>
      <c r="BR2252" s="157"/>
    </row>
    <row r="2253" spans="1:70" x14ac:dyDescent="0.25">
      <c r="A2253" s="19" t="s">
        <v>3686</v>
      </c>
      <c r="B2253" s="37" t="s">
        <v>199</v>
      </c>
      <c r="C2253" s="90">
        <v>43866.84138888889</v>
      </c>
      <c r="D2253" s="114">
        <v>43866.59138888889</v>
      </c>
      <c r="E2253" s="38">
        <v>43866</v>
      </c>
      <c r="F2253" s="91">
        <v>2020</v>
      </c>
      <c r="G2253" s="93">
        <v>2</v>
      </c>
      <c r="H2253" s="37" t="s">
        <v>183</v>
      </c>
      <c r="I2253" s="37"/>
      <c r="J2253" s="103">
        <v>-91.2551498507068</v>
      </c>
      <c r="K2253" s="40">
        <v>43.813246395479709</v>
      </c>
      <c r="L2253" s="74"/>
      <c r="M2253" s="272" t="s">
        <v>16</v>
      </c>
      <c r="N2253" s="74">
        <v>0</v>
      </c>
      <c r="O2253" s="94"/>
      <c r="P2253" s="118">
        <v>0</v>
      </c>
      <c r="Q2253" s="510"/>
      <c r="R2253" s="513"/>
      <c r="S2253" s="41"/>
      <c r="T2253" s="40"/>
      <c r="U2253" s="40"/>
      <c r="V2253" s="119">
        <v>0</v>
      </c>
      <c r="W2253" s="40"/>
      <c r="X2253" s="119">
        <v>0</v>
      </c>
      <c r="Y2253" s="40"/>
      <c r="Z2253" s="119">
        <v>0</v>
      </c>
      <c r="AA2253" s="368" t="s">
        <v>16</v>
      </c>
      <c r="AB2253" s="535" t="s">
        <v>16</v>
      </c>
      <c r="AC2253" s="39" t="s">
        <v>16</v>
      </c>
      <c r="AD2253" s="75" t="s">
        <v>16</v>
      </c>
      <c r="AE2253" s="95">
        <v>-1</v>
      </c>
      <c r="AF2253" s="75">
        <v>-1</v>
      </c>
      <c r="AG2253" s="75">
        <v>-1</v>
      </c>
      <c r="AH2253" s="75">
        <v>-1</v>
      </c>
      <c r="AI2253" s="75">
        <v>-1</v>
      </c>
      <c r="AJ2253" s="75">
        <v>-1</v>
      </c>
      <c r="AK2253" s="75">
        <v>-1</v>
      </c>
      <c r="AL2253" s="95">
        <v>-1</v>
      </c>
      <c r="AM2253" s="92">
        <v>1</v>
      </c>
      <c r="AN2253" s="79"/>
      <c r="AO2253" s="75">
        <v>0</v>
      </c>
      <c r="AP2253" s="75"/>
      <c r="AQ2253" s="122">
        <v>0</v>
      </c>
      <c r="AR2253" s="515" t="s">
        <v>16</v>
      </c>
      <c r="AS2253" s="95">
        <v>-1</v>
      </c>
      <c r="AT2253" s="75">
        <v>-1</v>
      </c>
      <c r="AU2253" s="75">
        <v>-1</v>
      </c>
      <c r="AV2253" s="75">
        <v>-1</v>
      </c>
      <c r="AW2253" s="123">
        <v>1</v>
      </c>
      <c r="AX2253" s="516"/>
      <c r="AY2253" s="75">
        <v>0</v>
      </c>
      <c r="AZ2253" s="77" t="s">
        <v>5971</v>
      </c>
      <c r="BA2253" s="78" t="s">
        <v>5971</v>
      </c>
      <c r="BB2253" s="78" t="s">
        <v>5971</v>
      </c>
      <c r="BC2253" s="78" t="s">
        <v>5971</v>
      </c>
      <c r="BD2253" s="78" t="s">
        <v>5971</v>
      </c>
      <c r="BE2253" s="78" t="s">
        <v>5971</v>
      </c>
      <c r="BF2253" s="78" t="s">
        <v>5971</v>
      </c>
      <c r="BG2253" s="78" t="s">
        <v>5971</v>
      </c>
      <c r="BH2253" s="75" t="s">
        <v>5971</v>
      </c>
      <c r="BI2253" s="295" t="s">
        <v>5930</v>
      </c>
      <c r="BJ2253" s="546" t="s">
        <v>16</v>
      </c>
      <c r="BK2253" s="294" t="s">
        <v>16</v>
      </c>
      <c r="BL2253" s="157" t="s">
        <v>16</v>
      </c>
      <c r="BM2253" s="548" t="s">
        <v>1342</v>
      </c>
      <c r="BN2253" s="548" t="s">
        <v>5969</v>
      </c>
      <c r="BO2253" s="157" t="s">
        <v>4616</v>
      </c>
      <c r="BP2253" s="548" t="s">
        <v>4624</v>
      </c>
      <c r="BQ2253" s="157" t="s">
        <v>4592</v>
      </c>
      <c r="BR2253" s="157"/>
    </row>
    <row r="2254" spans="1:70" x14ac:dyDescent="0.25">
      <c r="A2254" s="19" t="s">
        <v>3686</v>
      </c>
      <c r="B2254" s="37" t="s">
        <v>196</v>
      </c>
      <c r="C2254" s="90">
        <v>43866.827187499999</v>
      </c>
      <c r="D2254" s="114">
        <v>43866.577187499999</v>
      </c>
      <c r="E2254" s="38">
        <v>43866</v>
      </c>
      <c r="F2254" s="91">
        <v>2020</v>
      </c>
      <c r="G2254" s="93">
        <v>2</v>
      </c>
      <c r="H2254" s="37" t="s">
        <v>197</v>
      </c>
      <c r="I2254" s="37" t="s">
        <v>16</v>
      </c>
      <c r="J2254" s="103">
        <v>-91.25511808329378</v>
      </c>
      <c r="K2254" s="40">
        <v>43.813222590874702</v>
      </c>
      <c r="L2254" s="74"/>
      <c r="M2254" s="272" t="s">
        <v>198</v>
      </c>
      <c r="N2254" s="74">
        <v>1</v>
      </c>
      <c r="O2254" s="94"/>
      <c r="P2254" s="118">
        <v>0</v>
      </c>
      <c r="Q2254" s="510"/>
      <c r="R2254" s="513"/>
      <c r="S2254" s="41"/>
      <c r="T2254" s="40"/>
      <c r="U2254" s="40"/>
      <c r="V2254" s="119">
        <v>0</v>
      </c>
      <c r="W2254" s="40"/>
      <c r="X2254" s="119">
        <v>0</v>
      </c>
      <c r="Y2254" s="40"/>
      <c r="Z2254" s="119">
        <v>0</v>
      </c>
      <c r="AA2254" s="368" t="s">
        <v>16</v>
      </c>
      <c r="AB2254" s="535" t="s">
        <v>16</v>
      </c>
      <c r="AC2254" s="39" t="s">
        <v>16</v>
      </c>
      <c r="AD2254" s="75" t="s">
        <v>16</v>
      </c>
      <c r="AE2254" s="95">
        <v>-1</v>
      </c>
      <c r="AF2254" s="75">
        <v>-1</v>
      </c>
      <c r="AG2254" s="75">
        <v>-1</v>
      </c>
      <c r="AH2254" s="75">
        <v>-1</v>
      </c>
      <c r="AI2254" s="75">
        <v>-1</v>
      </c>
      <c r="AJ2254" s="75">
        <v>-1</v>
      </c>
      <c r="AK2254" s="75">
        <v>-1</v>
      </c>
      <c r="AL2254" s="95">
        <v>-1</v>
      </c>
      <c r="AM2254" s="92">
        <v>1</v>
      </c>
      <c r="AN2254" s="79" t="s">
        <v>16</v>
      </c>
      <c r="AO2254" s="75">
        <v>0</v>
      </c>
      <c r="AP2254" s="75" t="s">
        <v>16</v>
      </c>
      <c r="AQ2254" s="122">
        <v>0</v>
      </c>
      <c r="AR2254" s="515" t="s">
        <v>16</v>
      </c>
      <c r="AS2254" s="95">
        <v>-1</v>
      </c>
      <c r="AT2254" s="75">
        <v>-1</v>
      </c>
      <c r="AU2254" s="75">
        <v>-1</v>
      </c>
      <c r="AV2254" s="75">
        <v>-1</v>
      </c>
      <c r="AW2254" s="123">
        <v>1</v>
      </c>
      <c r="AX2254" s="516"/>
      <c r="AY2254" s="75">
        <v>0</v>
      </c>
      <c r="AZ2254" s="77" t="s">
        <v>5971</v>
      </c>
      <c r="BA2254" s="78" t="s">
        <v>5971</v>
      </c>
      <c r="BB2254" s="78" t="s">
        <v>5971</v>
      </c>
      <c r="BC2254" s="78" t="s">
        <v>5971</v>
      </c>
      <c r="BD2254" s="78" t="s">
        <v>5971</v>
      </c>
      <c r="BE2254" s="78" t="s">
        <v>5971</v>
      </c>
      <c r="BF2254" s="78" t="s">
        <v>5971</v>
      </c>
      <c r="BG2254" s="78" t="s">
        <v>5971</v>
      </c>
      <c r="BH2254" s="75" t="s">
        <v>5971</v>
      </c>
      <c r="BI2254" s="295" t="s">
        <v>5930</v>
      </c>
      <c r="BJ2254" s="546" t="s">
        <v>16</v>
      </c>
      <c r="BK2254" s="294" t="s">
        <v>16</v>
      </c>
      <c r="BL2254" s="157" t="s">
        <v>16</v>
      </c>
      <c r="BM2254" s="548" t="s">
        <v>1342</v>
      </c>
      <c r="BN2254" s="548" t="s">
        <v>5969</v>
      </c>
      <c r="BO2254" s="157" t="s">
        <v>4616</v>
      </c>
      <c r="BP2254" s="548" t="s">
        <v>4624</v>
      </c>
      <c r="BQ2254" s="157" t="s">
        <v>4592</v>
      </c>
      <c r="BR2254" s="157"/>
    </row>
    <row r="2255" spans="1:70" x14ac:dyDescent="0.25">
      <c r="A2255" s="19" t="s">
        <v>3686</v>
      </c>
      <c r="B2255" s="37" t="s">
        <v>193</v>
      </c>
      <c r="C2255" s="90">
        <v>43866.826354166667</v>
      </c>
      <c r="D2255" s="114">
        <v>43866.576354166667</v>
      </c>
      <c r="E2255" s="38">
        <v>43866</v>
      </c>
      <c r="F2255" s="91">
        <v>2020</v>
      </c>
      <c r="G2255" s="93">
        <v>2</v>
      </c>
      <c r="H2255" s="37" t="s">
        <v>194</v>
      </c>
      <c r="I2255" s="37" t="s">
        <v>2362</v>
      </c>
      <c r="J2255" s="103">
        <v>-91.255130672769965</v>
      </c>
      <c r="K2255" s="40">
        <v>43.813270124270886</v>
      </c>
      <c r="L2255" s="74"/>
      <c r="M2255" s="272" t="s">
        <v>16</v>
      </c>
      <c r="N2255" s="74">
        <v>0</v>
      </c>
      <c r="O2255" s="94"/>
      <c r="P2255" s="118">
        <v>0</v>
      </c>
      <c r="Q2255" s="510"/>
      <c r="R2255" s="513"/>
      <c r="S2255" s="41"/>
      <c r="T2255" s="40"/>
      <c r="U2255" s="40"/>
      <c r="V2255" s="119">
        <v>0</v>
      </c>
      <c r="W2255" s="40"/>
      <c r="X2255" s="119">
        <v>0</v>
      </c>
      <c r="Y2255" s="40"/>
      <c r="Z2255" s="119">
        <v>0</v>
      </c>
      <c r="AA2255" s="368" t="s">
        <v>16</v>
      </c>
      <c r="AB2255" s="535" t="s">
        <v>16</v>
      </c>
      <c r="AC2255" s="39"/>
      <c r="AD2255" s="75" t="s">
        <v>16</v>
      </c>
      <c r="AE2255" s="95">
        <v>-1</v>
      </c>
      <c r="AF2255" s="75">
        <v>-1</v>
      </c>
      <c r="AG2255" s="75">
        <v>-1</v>
      </c>
      <c r="AH2255" s="75">
        <v>-1</v>
      </c>
      <c r="AI2255" s="75">
        <v>-1</v>
      </c>
      <c r="AJ2255" s="75">
        <v>-1</v>
      </c>
      <c r="AK2255" s="75">
        <v>-1</v>
      </c>
      <c r="AL2255" s="95">
        <v>-1</v>
      </c>
      <c r="AM2255" s="92">
        <v>1</v>
      </c>
      <c r="AN2255" s="79" t="s">
        <v>195</v>
      </c>
      <c r="AO2255" s="75">
        <v>1</v>
      </c>
      <c r="AP2255" s="75"/>
      <c r="AQ2255" s="122">
        <v>0</v>
      </c>
      <c r="AR2255" s="515" t="s">
        <v>35</v>
      </c>
      <c r="AS2255" s="95">
        <v>0</v>
      </c>
      <c r="AT2255" s="75">
        <v>1</v>
      </c>
      <c r="AU2255" s="75">
        <v>0</v>
      </c>
      <c r="AV2255" s="75">
        <v>0</v>
      </c>
      <c r="AW2255" s="123">
        <v>0</v>
      </c>
      <c r="AX2255" s="516"/>
      <c r="AY2255" s="75">
        <v>0</v>
      </c>
      <c r="AZ2255" s="77" t="s">
        <v>5971</v>
      </c>
      <c r="BA2255" s="78" t="s">
        <v>5971</v>
      </c>
      <c r="BB2255" s="78" t="s">
        <v>5971</v>
      </c>
      <c r="BC2255" s="78" t="s">
        <v>5971</v>
      </c>
      <c r="BD2255" s="78" t="s">
        <v>5971</v>
      </c>
      <c r="BE2255" s="78" t="s">
        <v>5971</v>
      </c>
      <c r="BF2255" s="78" t="s">
        <v>5971</v>
      </c>
      <c r="BG2255" s="78" t="s">
        <v>5971</v>
      </c>
      <c r="BH2255" s="75" t="s">
        <v>5971</v>
      </c>
      <c r="BI2255" s="295" t="s">
        <v>16</v>
      </c>
      <c r="BJ2255" s="546" t="s">
        <v>16</v>
      </c>
      <c r="BK2255" s="294" t="s">
        <v>16</v>
      </c>
      <c r="BL2255" s="157" t="s">
        <v>16</v>
      </c>
      <c r="BM2255" s="548" t="s">
        <v>1342</v>
      </c>
      <c r="BN2255" s="548" t="s">
        <v>5969</v>
      </c>
      <c r="BO2255" s="157" t="s">
        <v>4616</v>
      </c>
      <c r="BP2255" s="548" t="s">
        <v>4624</v>
      </c>
      <c r="BQ2255" s="157" t="s">
        <v>4592</v>
      </c>
      <c r="BR2255" s="157"/>
    </row>
    <row r="2256" spans="1:70" x14ac:dyDescent="0.25">
      <c r="A2256" s="19" t="s">
        <v>3686</v>
      </c>
      <c r="B2256" s="37" t="s">
        <v>191</v>
      </c>
      <c r="C2256" s="90">
        <v>43866.826284722221</v>
      </c>
      <c r="D2256" s="114">
        <v>43866.576284722221</v>
      </c>
      <c r="E2256" s="38">
        <v>43866</v>
      </c>
      <c r="F2256" s="91">
        <v>2020</v>
      </c>
      <c r="G2256" s="93">
        <v>2</v>
      </c>
      <c r="H2256" s="37" t="s">
        <v>192</v>
      </c>
      <c r="I2256" s="37" t="s">
        <v>16</v>
      </c>
      <c r="J2256" s="103">
        <v>-91.254929993386597</v>
      </c>
      <c r="K2256" s="40">
        <v>43.813250209245652</v>
      </c>
      <c r="L2256" s="74"/>
      <c r="M2256" s="272" t="s">
        <v>16</v>
      </c>
      <c r="N2256" s="74">
        <v>0</v>
      </c>
      <c r="O2256" s="94"/>
      <c r="P2256" s="118">
        <v>1</v>
      </c>
      <c r="Q2256" s="510">
        <v>240</v>
      </c>
      <c r="R2256" s="513">
        <v>0</v>
      </c>
      <c r="S2256" s="41"/>
      <c r="T2256" s="40"/>
      <c r="U2256" s="40">
        <v>6</v>
      </c>
      <c r="V2256" s="119">
        <v>0</v>
      </c>
      <c r="W2256" s="40"/>
      <c r="X2256" s="119">
        <v>0</v>
      </c>
      <c r="Y2256" s="40"/>
      <c r="Z2256" s="119">
        <v>0</v>
      </c>
      <c r="AA2256" s="368" t="s">
        <v>16</v>
      </c>
      <c r="AB2256" s="535" t="s">
        <v>16</v>
      </c>
      <c r="AC2256" s="39"/>
      <c r="AD2256" s="75" t="s">
        <v>16</v>
      </c>
      <c r="AE2256" s="95">
        <v>-1</v>
      </c>
      <c r="AF2256" s="75">
        <v>-1</v>
      </c>
      <c r="AG2256" s="75">
        <v>-1</v>
      </c>
      <c r="AH2256" s="75">
        <v>-1</v>
      </c>
      <c r="AI2256" s="75">
        <v>-1</v>
      </c>
      <c r="AJ2256" s="75">
        <v>-1</v>
      </c>
      <c r="AK2256" s="75">
        <v>-1</v>
      </c>
      <c r="AL2256" s="95">
        <v>-1</v>
      </c>
      <c r="AM2256" s="92">
        <v>1</v>
      </c>
      <c r="AN2256" s="79" t="s">
        <v>16</v>
      </c>
      <c r="AO2256" s="75">
        <v>0</v>
      </c>
      <c r="AP2256" s="75" t="s">
        <v>16</v>
      </c>
      <c r="AQ2256" s="122">
        <v>0</v>
      </c>
      <c r="AR2256" s="515" t="s">
        <v>16</v>
      </c>
      <c r="AS2256" s="95">
        <v>-1</v>
      </c>
      <c r="AT2256" s="75">
        <v>-1</v>
      </c>
      <c r="AU2256" s="75">
        <v>-1</v>
      </c>
      <c r="AV2256" s="75">
        <v>-1</v>
      </c>
      <c r="AW2256" s="123">
        <v>1</v>
      </c>
      <c r="AX2256" s="516"/>
      <c r="AY2256" s="75">
        <v>0</v>
      </c>
      <c r="AZ2256" s="77" t="s">
        <v>5971</v>
      </c>
      <c r="BA2256" s="78" t="s">
        <v>5971</v>
      </c>
      <c r="BB2256" s="78" t="s">
        <v>5971</v>
      </c>
      <c r="BC2256" s="78" t="s">
        <v>5971</v>
      </c>
      <c r="BD2256" s="78" t="s">
        <v>5971</v>
      </c>
      <c r="BE2256" s="78" t="s">
        <v>5971</v>
      </c>
      <c r="BF2256" s="78" t="s">
        <v>5971</v>
      </c>
      <c r="BG2256" s="78" t="s">
        <v>5971</v>
      </c>
      <c r="BH2256" s="75" t="s">
        <v>5971</v>
      </c>
      <c r="BI2256" s="295" t="s">
        <v>5930</v>
      </c>
      <c r="BJ2256" s="546" t="s">
        <v>16</v>
      </c>
      <c r="BK2256" s="294" t="s">
        <v>16</v>
      </c>
      <c r="BL2256" s="157" t="s">
        <v>16</v>
      </c>
      <c r="BM2256" s="548" t="s">
        <v>1342</v>
      </c>
      <c r="BN2256" s="548" t="s">
        <v>1344</v>
      </c>
      <c r="BO2256" s="157" t="s">
        <v>4616</v>
      </c>
      <c r="BP2256" s="548" t="s">
        <v>4624</v>
      </c>
      <c r="BQ2256" s="157" t="s">
        <v>4592</v>
      </c>
      <c r="BR2256" s="157"/>
    </row>
    <row r="2257" spans="1:70" x14ac:dyDescent="0.25">
      <c r="A2257" s="19" t="s">
        <v>3686</v>
      </c>
      <c r="B2257" s="37" t="s">
        <v>189</v>
      </c>
      <c r="C2257" s="90">
        <v>43866.825972222221</v>
      </c>
      <c r="D2257" s="114">
        <v>43866.575972222221</v>
      </c>
      <c r="E2257" s="38">
        <v>43866</v>
      </c>
      <c r="F2257" s="91">
        <v>2020</v>
      </c>
      <c r="G2257" s="93">
        <v>2</v>
      </c>
      <c r="H2257" s="37" t="s">
        <v>190</v>
      </c>
      <c r="I2257" s="37"/>
      <c r="J2257" s="103">
        <v>-91.255362099999999</v>
      </c>
      <c r="K2257" s="40">
        <v>43.813216599999997</v>
      </c>
      <c r="L2257" s="74"/>
      <c r="M2257" s="272" t="s">
        <v>16</v>
      </c>
      <c r="N2257" s="74">
        <v>0</v>
      </c>
      <c r="O2257" s="94"/>
      <c r="P2257" s="118">
        <v>0</v>
      </c>
      <c r="Q2257" s="510"/>
      <c r="R2257" s="513"/>
      <c r="S2257" s="41"/>
      <c r="T2257" s="40"/>
      <c r="U2257" s="40"/>
      <c r="V2257" s="119">
        <v>0</v>
      </c>
      <c r="W2257" s="40"/>
      <c r="X2257" s="119">
        <v>0</v>
      </c>
      <c r="Y2257" s="40"/>
      <c r="Z2257" s="119">
        <v>0</v>
      </c>
      <c r="AA2257" s="368" t="s">
        <v>16</v>
      </c>
      <c r="AB2257" s="535" t="s">
        <v>16</v>
      </c>
      <c r="AC2257" s="39"/>
      <c r="AD2257" s="75" t="s">
        <v>7</v>
      </c>
      <c r="AE2257" s="95">
        <v>1</v>
      </c>
      <c r="AF2257" s="75">
        <v>0</v>
      </c>
      <c r="AG2257" s="75">
        <v>0</v>
      </c>
      <c r="AH2257" s="75">
        <v>0</v>
      </c>
      <c r="AI2257" s="75">
        <v>0</v>
      </c>
      <c r="AJ2257" s="75">
        <v>0</v>
      </c>
      <c r="AK2257" s="75">
        <v>0</v>
      </c>
      <c r="AL2257" s="95">
        <v>0</v>
      </c>
      <c r="AM2257" s="92">
        <v>0</v>
      </c>
      <c r="AN2257" s="79"/>
      <c r="AO2257" s="75">
        <v>0</v>
      </c>
      <c r="AP2257" s="75"/>
      <c r="AQ2257" s="122">
        <v>0</v>
      </c>
      <c r="AR2257" s="515" t="s">
        <v>16</v>
      </c>
      <c r="AS2257" s="95">
        <v>-1</v>
      </c>
      <c r="AT2257" s="75">
        <v>-1</v>
      </c>
      <c r="AU2257" s="75">
        <v>-1</v>
      </c>
      <c r="AV2257" s="75">
        <v>-1</v>
      </c>
      <c r="AW2257" s="123">
        <v>1</v>
      </c>
      <c r="AX2257" s="516"/>
      <c r="AY2257" s="75">
        <v>0</v>
      </c>
      <c r="AZ2257" s="77" t="s">
        <v>132</v>
      </c>
      <c r="BA2257" s="78" t="s">
        <v>131</v>
      </c>
      <c r="BB2257" s="78" t="s">
        <v>131</v>
      </c>
      <c r="BC2257" s="78" t="s">
        <v>131</v>
      </c>
      <c r="BD2257" s="78" t="s">
        <v>131</v>
      </c>
      <c r="BE2257" s="78" t="s">
        <v>131</v>
      </c>
      <c r="BF2257" s="78" t="s">
        <v>131</v>
      </c>
      <c r="BG2257" s="78" t="s">
        <v>131</v>
      </c>
      <c r="BH2257" s="75" t="s">
        <v>5970</v>
      </c>
      <c r="BI2257" s="295" t="s">
        <v>5930</v>
      </c>
      <c r="BJ2257" s="546" t="s">
        <v>16</v>
      </c>
      <c r="BK2257" s="294" t="s">
        <v>16</v>
      </c>
      <c r="BL2257" s="157" t="s">
        <v>16</v>
      </c>
      <c r="BM2257" s="548" t="s">
        <v>1342</v>
      </c>
      <c r="BN2257" s="548" t="s">
        <v>2341</v>
      </c>
      <c r="BO2257" s="157" t="s">
        <v>4616</v>
      </c>
      <c r="BP2257" s="548" t="s">
        <v>4624</v>
      </c>
      <c r="BQ2257" s="157" t="s">
        <v>4592</v>
      </c>
      <c r="BR2257" s="157"/>
    </row>
    <row r="2258" spans="1:70" x14ac:dyDescent="0.25">
      <c r="A2258" s="19" t="s">
        <v>3686</v>
      </c>
      <c r="B2258" s="37" t="s">
        <v>187</v>
      </c>
      <c r="C2258" s="90">
        <v>43866.825925925928</v>
      </c>
      <c r="D2258" s="114">
        <v>43866.575925925928</v>
      </c>
      <c r="E2258" s="38">
        <v>43866</v>
      </c>
      <c r="F2258" s="91">
        <v>2020</v>
      </c>
      <c r="G2258" s="93">
        <v>2</v>
      </c>
      <c r="H2258" s="37" t="s">
        <v>188</v>
      </c>
      <c r="I2258" s="37"/>
      <c r="J2258" s="103">
        <v>-91.255462699999995</v>
      </c>
      <c r="K2258" s="40">
        <v>43.813260399999997</v>
      </c>
      <c r="L2258" s="74"/>
      <c r="M2258" s="272" t="s">
        <v>16</v>
      </c>
      <c r="N2258" s="74">
        <v>0</v>
      </c>
      <c r="O2258" s="94"/>
      <c r="P2258" s="118">
        <v>0</v>
      </c>
      <c r="Q2258" s="510"/>
      <c r="R2258" s="513"/>
      <c r="S2258" s="41"/>
      <c r="T2258" s="40"/>
      <c r="U2258" s="40"/>
      <c r="V2258" s="119">
        <v>1</v>
      </c>
      <c r="W2258" s="40">
        <v>100</v>
      </c>
      <c r="X2258" s="119">
        <v>1</v>
      </c>
      <c r="Y2258" s="40">
        <v>43</v>
      </c>
      <c r="Z2258" s="119">
        <v>0</v>
      </c>
      <c r="AA2258" s="368" t="s">
        <v>16</v>
      </c>
      <c r="AB2258" s="535" t="s">
        <v>16</v>
      </c>
      <c r="AC2258" s="39" t="s">
        <v>186</v>
      </c>
      <c r="AD2258" s="75" t="s">
        <v>16</v>
      </c>
      <c r="AE2258" s="95">
        <v>-1</v>
      </c>
      <c r="AF2258" s="75">
        <v>-1</v>
      </c>
      <c r="AG2258" s="75">
        <v>-1</v>
      </c>
      <c r="AH2258" s="75">
        <v>-1</v>
      </c>
      <c r="AI2258" s="75">
        <v>-1</v>
      </c>
      <c r="AJ2258" s="75">
        <v>-1</v>
      </c>
      <c r="AK2258" s="75">
        <v>-1</v>
      </c>
      <c r="AL2258" s="95">
        <v>-1</v>
      </c>
      <c r="AM2258" s="92">
        <v>1</v>
      </c>
      <c r="AN2258" s="79" t="s">
        <v>80</v>
      </c>
      <c r="AO2258" s="75">
        <v>1</v>
      </c>
      <c r="AP2258" s="75" t="s">
        <v>84</v>
      </c>
      <c r="AQ2258" s="122">
        <v>1</v>
      </c>
      <c r="AR2258" s="515" t="s">
        <v>58</v>
      </c>
      <c r="AS2258" s="95">
        <v>0</v>
      </c>
      <c r="AT2258" s="75">
        <v>0</v>
      </c>
      <c r="AU2258" s="75">
        <v>1</v>
      </c>
      <c r="AV2258" s="75">
        <v>0</v>
      </c>
      <c r="AW2258" s="123">
        <v>0</v>
      </c>
      <c r="AX2258" s="516"/>
      <c r="AY2258" s="75">
        <v>0</v>
      </c>
      <c r="AZ2258" s="77" t="s">
        <v>5971</v>
      </c>
      <c r="BA2258" s="78" t="s">
        <v>5971</v>
      </c>
      <c r="BB2258" s="78" t="s">
        <v>5971</v>
      </c>
      <c r="BC2258" s="78" t="s">
        <v>5971</v>
      </c>
      <c r="BD2258" s="78" t="s">
        <v>5971</v>
      </c>
      <c r="BE2258" s="78" t="s">
        <v>5971</v>
      </c>
      <c r="BF2258" s="78" t="s">
        <v>5971</v>
      </c>
      <c r="BG2258" s="78" t="s">
        <v>5971</v>
      </c>
      <c r="BH2258" s="75" t="s">
        <v>5971</v>
      </c>
      <c r="BI2258" s="295" t="s">
        <v>5930</v>
      </c>
      <c r="BJ2258" s="546" t="s">
        <v>16</v>
      </c>
      <c r="BK2258" s="294" t="s">
        <v>16</v>
      </c>
      <c r="BL2258" s="157" t="s">
        <v>16</v>
      </c>
      <c r="BM2258" s="548" t="s">
        <v>1342</v>
      </c>
      <c r="BN2258" s="548" t="s">
        <v>4158</v>
      </c>
      <c r="BO2258" s="157" t="s">
        <v>4616</v>
      </c>
      <c r="BP2258" s="548" t="s">
        <v>4624</v>
      </c>
      <c r="BQ2258" s="157" t="s">
        <v>4592</v>
      </c>
      <c r="BR2258" s="157"/>
    </row>
    <row r="2259" spans="1:70" x14ac:dyDescent="0.25">
      <c r="A2259" s="19" t="s">
        <v>3686</v>
      </c>
      <c r="B2259" s="37" t="s">
        <v>184</v>
      </c>
      <c r="C2259" s="90">
        <v>43866.825833333336</v>
      </c>
      <c r="D2259" s="114">
        <v>43866.575833333336</v>
      </c>
      <c r="E2259" s="38">
        <v>43866</v>
      </c>
      <c r="F2259" s="91">
        <v>2020</v>
      </c>
      <c r="G2259" s="93">
        <v>2</v>
      </c>
      <c r="H2259" s="37" t="s">
        <v>185</v>
      </c>
      <c r="I2259" s="37"/>
      <c r="J2259" s="103">
        <v>-91.255389600000001</v>
      </c>
      <c r="K2259" s="40">
        <v>43.813210699999999</v>
      </c>
      <c r="L2259" s="74"/>
      <c r="M2259" s="272" t="s">
        <v>16</v>
      </c>
      <c r="N2259" s="74">
        <v>0</v>
      </c>
      <c r="O2259" s="94"/>
      <c r="P2259" s="118">
        <v>0</v>
      </c>
      <c r="Q2259" s="510"/>
      <c r="R2259" s="513"/>
      <c r="S2259" s="41"/>
      <c r="T2259" s="40"/>
      <c r="U2259" s="40"/>
      <c r="V2259" s="119">
        <v>0</v>
      </c>
      <c r="W2259" s="40"/>
      <c r="X2259" s="119">
        <v>0</v>
      </c>
      <c r="Y2259" s="40"/>
      <c r="Z2259" s="119">
        <v>0</v>
      </c>
      <c r="AA2259" s="368" t="s">
        <v>16</v>
      </c>
      <c r="AB2259" s="535" t="s">
        <v>16</v>
      </c>
      <c r="AC2259" s="39" t="s">
        <v>186</v>
      </c>
      <c r="AD2259" s="75" t="s">
        <v>16</v>
      </c>
      <c r="AE2259" s="95">
        <v>-1</v>
      </c>
      <c r="AF2259" s="75">
        <v>-1</v>
      </c>
      <c r="AG2259" s="75">
        <v>-1</v>
      </c>
      <c r="AH2259" s="75">
        <v>-1</v>
      </c>
      <c r="AI2259" s="75">
        <v>-1</v>
      </c>
      <c r="AJ2259" s="75">
        <v>-1</v>
      </c>
      <c r="AK2259" s="75">
        <v>-1</v>
      </c>
      <c r="AL2259" s="95">
        <v>-1</v>
      </c>
      <c r="AM2259" s="92">
        <v>1</v>
      </c>
      <c r="AN2259" s="79"/>
      <c r="AO2259" s="75">
        <v>0</v>
      </c>
      <c r="AP2259" s="75"/>
      <c r="AQ2259" s="122">
        <v>0</v>
      </c>
      <c r="AR2259" s="515" t="s">
        <v>16</v>
      </c>
      <c r="AS2259" s="95">
        <v>-1</v>
      </c>
      <c r="AT2259" s="75">
        <v>-1</v>
      </c>
      <c r="AU2259" s="75">
        <v>-1</v>
      </c>
      <c r="AV2259" s="75">
        <v>-1</v>
      </c>
      <c r="AW2259" s="123">
        <v>1</v>
      </c>
      <c r="AX2259" s="516"/>
      <c r="AY2259" s="75">
        <v>0</v>
      </c>
      <c r="AZ2259" s="77" t="s">
        <v>5971</v>
      </c>
      <c r="BA2259" s="78" t="s">
        <v>5971</v>
      </c>
      <c r="BB2259" s="78" t="s">
        <v>5971</v>
      </c>
      <c r="BC2259" s="78" t="s">
        <v>5971</v>
      </c>
      <c r="BD2259" s="78" t="s">
        <v>5971</v>
      </c>
      <c r="BE2259" s="78" t="s">
        <v>5971</v>
      </c>
      <c r="BF2259" s="78" t="s">
        <v>5971</v>
      </c>
      <c r="BG2259" s="78" t="s">
        <v>5971</v>
      </c>
      <c r="BH2259" s="75" t="s">
        <v>5971</v>
      </c>
      <c r="BI2259" s="295" t="s">
        <v>5930</v>
      </c>
      <c r="BJ2259" s="546" t="s">
        <v>16</v>
      </c>
      <c r="BK2259" s="294" t="s">
        <v>16</v>
      </c>
      <c r="BL2259" s="157" t="s">
        <v>16</v>
      </c>
      <c r="BM2259" s="548" t="s">
        <v>1342</v>
      </c>
      <c r="BN2259" s="548" t="s">
        <v>5969</v>
      </c>
      <c r="BO2259" s="157" t="s">
        <v>4616</v>
      </c>
      <c r="BP2259" s="548" t="s">
        <v>4624</v>
      </c>
      <c r="BQ2259" s="157" t="s">
        <v>4592</v>
      </c>
      <c r="BR2259" s="157"/>
    </row>
    <row r="2260" spans="1:70" x14ac:dyDescent="0.25">
      <c r="A2260" s="19" t="s">
        <v>3686</v>
      </c>
      <c r="B2260" s="37" t="s">
        <v>182</v>
      </c>
      <c r="C2260" s="90">
        <v>43866.825208333335</v>
      </c>
      <c r="D2260" s="114">
        <v>43866.575208333335</v>
      </c>
      <c r="E2260" s="38">
        <v>43866</v>
      </c>
      <c r="F2260" s="91">
        <v>2020</v>
      </c>
      <c r="G2260" s="93">
        <v>2</v>
      </c>
      <c r="H2260" s="37" t="s">
        <v>183</v>
      </c>
      <c r="I2260" s="37" t="s">
        <v>16</v>
      </c>
      <c r="J2260" s="103">
        <v>-91.255171793585603</v>
      </c>
      <c r="K2260" s="40">
        <v>43.813274688765254</v>
      </c>
      <c r="L2260" s="74"/>
      <c r="M2260" s="272" t="s">
        <v>16</v>
      </c>
      <c r="N2260" s="74">
        <v>0</v>
      </c>
      <c r="O2260" s="94"/>
      <c r="P2260" s="118">
        <v>0</v>
      </c>
      <c r="Q2260" s="510"/>
      <c r="R2260" s="513"/>
      <c r="S2260" s="41"/>
      <c r="T2260" s="40"/>
      <c r="U2260" s="40"/>
      <c r="V2260" s="119">
        <v>0</v>
      </c>
      <c r="W2260" s="40"/>
      <c r="X2260" s="119">
        <v>0</v>
      </c>
      <c r="Y2260" s="40"/>
      <c r="Z2260" s="119">
        <v>0</v>
      </c>
      <c r="AA2260" s="368" t="s">
        <v>16</v>
      </c>
      <c r="AB2260" s="535" t="s">
        <v>16</v>
      </c>
      <c r="AC2260" s="39"/>
      <c r="AD2260" s="75" t="s">
        <v>16</v>
      </c>
      <c r="AE2260" s="95">
        <v>-1</v>
      </c>
      <c r="AF2260" s="75">
        <v>-1</v>
      </c>
      <c r="AG2260" s="75">
        <v>-1</v>
      </c>
      <c r="AH2260" s="75">
        <v>-1</v>
      </c>
      <c r="AI2260" s="75">
        <v>-1</v>
      </c>
      <c r="AJ2260" s="75">
        <v>-1</v>
      </c>
      <c r="AK2260" s="75">
        <v>-1</v>
      </c>
      <c r="AL2260" s="95">
        <v>-1</v>
      </c>
      <c r="AM2260" s="92">
        <v>1</v>
      </c>
      <c r="AN2260" s="79" t="s">
        <v>16</v>
      </c>
      <c r="AO2260" s="75">
        <v>0</v>
      </c>
      <c r="AP2260" s="75" t="s">
        <v>16</v>
      </c>
      <c r="AQ2260" s="122">
        <v>0</v>
      </c>
      <c r="AR2260" s="515" t="s">
        <v>16</v>
      </c>
      <c r="AS2260" s="95">
        <v>-1</v>
      </c>
      <c r="AT2260" s="75">
        <v>-1</v>
      </c>
      <c r="AU2260" s="75">
        <v>-1</v>
      </c>
      <c r="AV2260" s="75">
        <v>-1</v>
      </c>
      <c r="AW2260" s="123">
        <v>1</v>
      </c>
      <c r="AX2260" s="516"/>
      <c r="AY2260" s="75">
        <v>0</v>
      </c>
      <c r="AZ2260" s="77" t="s">
        <v>5971</v>
      </c>
      <c r="BA2260" s="78" t="s">
        <v>5971</v>
      </c>
      <c r="BB2260" s="78" t="s">
        <v>5971</v>
      </c>
      <c r="BC2260" s="78" t="s">
        <v>5971</v>
      </c>
      <c r="BD2260" s="78" t="s">
        <v>5971</v>
      </c>
      <c r="BE2260" s="78" t="s">
        <v>5971</v>
      </c>
      <c r="BF2260" s="78" t="s">
        <v>5971</v>
      </c>
      <c r="BG2260" s="78" t="s">
        <v>5971</v>
      </c>
      <c r="BH2260" s="75" t="s">
        <v>5971</v>
      </c>
      <c r="BI2260" s="295" t="s">
        <v>5930</v>
      </c>
      <c r="BJ2260" s="546" t="s">
        <v>16</v>
      </c>
      <c r="BK2260" s="294" t="s">
        <v>16</v>
      </c>
      <c r="BL2260" s="157" t="s">
        <v>16</v>
      </c>
      <c r="BM2260" s="548" t="s">
        <v>1342</v>
      </c>
      <c r="BN2260" s="548" t="s">
        <v>5969</v>
      </c>
      <c r="BO2260" s="157" t="s">
        <v>4616</v>
      </c>
      <c r="BP2260" s="548" t="s">
        <v>4624</v>
      </c>
      <c r="BQ2260" s="157" t="s">
        <v>4592</v>
      </c>
      <c r="BR2260" s="157"/>
    </row>
    <row r="2261" spans="1:70" x14ac:dyDescent="0.25">
      <c r="A2261" s="19" t="s">
        <v>3686</v>
      </c>
      <c r="B2261" s="37" t="s">
        <v>178</v>
      </c>
      <c r="C2261" s="90">
        <v>43866.82508101852</v>
      </c>
      <c r="D2261" s="114">
        <v>43866.57508101852</v>
      </c>
      <c r="E2261" s="38">
        <v>43866</v>
      </c>
      <c r="F2261" s="91">
        <v>2020</v>
      </c>
      <c r="G2261" s="93">
        <v>2</v>
      </c>
      <c r="H2261" s="37" t="s">
        <v>179</v>
      </c>
      <c r="I2261" s="37"/>
      <c r="J2261" s="103">
        <v>-91.255454900000004</v>
      </c>
      <c r="K2261" s="40">
        <v>43.813195499999999</v>
      </c>
      <c r="L2261" s="74"/>
      <c r="M2261" s="272" t="s">
        <v>180</v>
      </c>
      <c r="N2261" s="74">
        <v>1</v>
      </c>
      <c r="O2261" s="94"/>
      <c r="P2261" s="118">
        <v>1</v>
      </c>
      <c r="Q2261" s="510">
        <v>120</v>
      </c>
      <c r="R2261" s="513">
        <v>60</v>
      </c>
      <c r="S2261" s="41"/>
      <c r="T2261" s="40"/>
      <c r="U2261" s="40">
        <v>7</v>
      </c>
      <c r="V2261" s="119">
        <v>0</v>
      </c>
      <c r="W2261" s="40"/>
      <c r="X2261" s="119">
        <v>1</v>
      </c>
      <c r="Y2261" s="40">
        <v>66</v>
      </c>
      <c r="Z2261" s="119">
        <v>0</v>
      </c>
      <c r="AA2261" s="368" t="s">
        <v>16</v>
      </c>
      <c r="AB2261" s="535" t="s">
        <v>16</v>
      </c>
      <c r="AC2261" s="39"/>
      <c r="AD2261" s="75" t="s">
        <v>181</v>
      </c>
      <c r="AE2261" s="95">
        <v>0</v>
      </c>
      <c r="AF2261" s="75">
        <v>0</v>
      </c>
      <c r="AG2261" s="75">
        <v>1</v>
      </c>
      <c r="AH2261" s="75">
        <v>1</v>
      </c>
      <c r="AI2261" s="75">
        <v>0</v>
      </c>
      <c r="AJ2261" s="75">
        <v>0</v>
      </c>
      <c r="AK2261" s="75">
        <v>0</v>
      </c>
      <c r="AL2261" s="95">
        <v>0</v>
      </c>
      <c r="AM2261" s="92">
        <v>0</v>
      </c>
      <c r="AN2261" s="79" t="s">
        <v>81</v>
      </c>
      <c r="AO2261" s="75">
        <v>1</v>
      </c>
      <c r="AP2261" s="75" t="s">
        <v>16</v>
      </c>
      <c r="AQ2261" s="122">
        <v>0</v>
      </c>
      <c r="AR2261" s="515" t="s">
        <v>13</v>
      </c>
      <c r="AS2261" s="95">
        <v>1</v>
      </c>
      <c r="AT2261" s="75">
        <v>0</v>
      </c>
      <c r="AU2261" s="75">
        <v>0</v>
      </c>
      <c r="AV2261" s="75">
        <v>0</v>
      </c>
      <c r="AW2261" s="123">
        <v>0</v>
      </c>
      <c r="AX2261" s="516" t="s">
        <v>16</v>
      </c>
      <c r="AY2261" s="75">
        <v>0</v>
      </c>
      <c r="AZ2261" s="77" t="s">
        <v>131</v>
      </c>
      <c r="BA2261" s="78" t="s">
        <v>131</v>
      </c>
      <c r="BB2261" s="78" t="s">
        <v>132</v>
      </c>
      <c r="BC2261" s="78" t="s">
        <v>132</v>
      </c>
      <c r="BD2261" s="78" t="s">
        <v>131</v>
      </c>
      <c r="BE2261" s="78" t="s">
        <v>131</v>
      </c>
      <c r="BF2261" s="78" t="s">
        <v>131</v>
      </c>
      <c r="BG2261" s="78" t="s">
        <v>131</v>
      </c>
      <c r="BH2261" s="75" t="s">
        <v>5970</v>
      </c>
      <c r="BI2261" s="295" t="s">
        <v>5930</v>
      </c>
      <c r="BJ2261" s="546" t="s">
        <v>16</v>
      </c>
      <c r="BK2261" s="294" t="s">
        <v>16</v>
      </c>
      <c r="BL2261" s="157" t="s">
        <v>16</v>
      </c>
      <c r="BM2261" s="548" t="s">
        <v>1342</v>
      </c>
      <c r="BN2261" s="548" t="s">
        <v>5969</v>
      </c>
      <c r="BO2261" s="157" t="s">
        <v>4616</v>
      </c>
      <c r="BP2261" s="548" t="s">
        <v>4624</v>
      </c>
      <c r="BQ2261" s="157" t="s">
        <v>4592</v>
      </c>
      <c r="BR2261" s="157"/>
    </row>
    <row r="2262" spans="1:70" x14ac:dyDescent="0.25">
      <c r="A2262" s="19" t="s">
        <v>3686</v>
      </c>
      <c r="B2262" s="37" t="s">
        <v>174</v>
      </c>
      <c r="C2262" s="90">
        <v>43866.817418981482</v>
      </c>
      <c r="D2262" s="114">
        <v>43866.567418981482</v>
      </c>
      <c r="E2262" s="38">
        <v>43866</v>
      </c>
      <c r="F2262" s="91">
        <v>2020</v>
      </c>
      <c r="G2262" s="93">
        <v>2</v>
      </c>
      <c r="H2262" s="37" t="s">
        <v>175</v>
      </c>
      <c r="I2262" s="37" t="s">
        <v>146</v>
      </c>
      <c r="J2262" s="103">
        <v>-91.255412000000007</v>
      </c>
      <c r="K2262" s="40">
        <v>43.813242799999998</v>
      </c>
      <c r="L2262" s="74"/>
      <c r="M2262" s="272" t="s">
        <v>176</v>
      </c>
      <c r="N2262" s="74">
        <v>1</v>
      </c>
      <c r="O2262" s="94"/>
      <c r="P2262" s="118">
        <v>1</v>
      </c>
      <c r="Q2262" s="510">
        <v>240</v>
      </c>
      <c r="R2262" s="513">
        <v>0</v>
      </c>
      <c r="S2262" s="41"/>
      <c r="T2262" s="40"/>
      <c r="U2262" s="40">
        <v>7.5</v>
      </c>
      <c r="V2262" s="119">
        <v>0</v>
      </c>
      <c r="W2262" s="40"/>
      <c r="X2262" s="119">
        <v>1</v>
      </c>
      <c r="Y2262" s="40">
        <v>70</v>
      </c>
      <c r="Z2262" s="119">
        <v>0</v>
      </c>
      <c r="AA2262" s="368" t="s">
        <v>16</v>
      </c>
      <c r="AB2262" s="535" t="s">
        <v>16</v>
      </c>
      <c r="AC2262" s="39" t="s">
        <v>160</v>
      </c>
      <c r="AD2262" s="75" t="s">
        <v>16</v>
      </c>
      <c r="AE2262" s="95">
        <v>-1</v>
      </c>
      <c r="AF2262" s="75">
        <v>-1</v>
      </c>
      <c r="AG2262" s="75">
        <v>-1</v>
      </c>
      <c r="AH2262" s="75">
        <v>-1</v>
      </c>
      <c r="AI2262" s="75">
        <v>-1</v>
      </c>
      <c r="AJ2262" s="75">
        <v>-1</v>
      </c>
      <c r="AK2262" s="75">
        <v>-1</v>
      </c>
      <c r="AL2262" s="95">
        <v>-1</v>
      </c>
      <c r="AM2262" s="92">
        <v>1</v>
      </c>
      <c r="AN2262" s="79"/>
      <c r="AO2262" s="75">
        <v>0</v>
      </c>
      <c r="AP2262" s="75"/>
      <c r="AQ2262" s="122">
        <v>0</v>
      </c>
      <c r="AR2262" s="515" t="s">
        <v>16</v>
      </c>
      <c r="AS2262" s="95">
        <v>-1</v>
      </c>
      <c r="AT2262" s="75">
        <v>-1</v>
      </c>
      <c r="AU2262" s="75">
        <v>-1</v>
      </c>
      <c r="AV2262" s="75">
        <v>-1</v>
      </c>
      <c r="AW2262" s="123">
        <v>1</v>
      </c>
      <c r="AX2262" s="516" t="s">
        <v>177</v>
      </c>
      <c r="AY2262" s="75">
        <v>1</v>
      </c>
      <c r="AZ2262" s="77" t="s">
        <v>5971</v>
      </c>
      <c r="BA2262" s="78" t="s">
        <v>5971</v>
      </c>
      <c r="BB2262" s="78" t="s">
        <v>5971</v>
      </c>
      <c r="BC2262" s="78" t="s">
        <v>5971</v>
      </c>
      <c r="BD2262" s="78" t="s">
        <v>5971</v>
      </c>
      <c r="BE2262" s="78" t="s">
        <v>5971</v>
      </c>
      <c r="BF2262" s="78" t="s">
        <v>5971</v>
      </c>
      <c r="BG2262" s="78" t="s">
        <v>5971</v>
      </c>
      <c r="BH2262" s="75" t="s">
        <v>5971</v>
      </c>
      <c r="BI2262" s="295" t="s">
        <v>16</v>
      </c>
      <c r="BJ2262" s="546" t="s">
        <v>16</v>
      </c>
      <c r="BK2262" s="294" t="s">
        <v>16</v>
      </c>
      <c r="BL2262" s="157" t="s">
        <v>16</v>
      </c>
      <c r="BM2262" s="548" t="s">
        <v>1342</v>
      </c>
      <c r="BN2262" s="548" t="s">
        <v>5969</v>
      </c>
      <c r="BO2262" s="157" t="s">
        <v>4616</v>
      </c>
      <c r="BP2262" s="548" t="s">
        <v>4624</v>
      </c>
      <c r="BQ2262" s="157" t="s">
        <v>4592</v>
      </c>
      <c r="BR2262" s="157"/>
    </row>
    <row r="2263" spans="1:70" x14ac:dyDescent="0.25">
      <c r="A2263" s="19" t="s">
        <v>3686</v>
      </c>
      <c r="B2263" s="37" t="s">
        <v>172</v>
      </c>
      <c r="C2263" s="90">
        <v>43866.813993055555</v>
      </c>
      <c r="D2263" s="114">
        <v>43866.563993055555</v>
      </c>
      <c r="E2263" s="38">
        <v>43866</v>
      </c>
      <c r="F2263" s="91">
        <v>2020</v>
      </c>
      <c r="G2263" s="93">
        <v>2</v>
      </c>
      <c r="H2263" s="37" t="s">
        <v>173</v>
      </c>
      <c r="I2263" s="37"/>
      <c r="J2263" s="103">
        <v>-91.25549627476488</v>
      </c>
      <c r="K2263" s="40">
        <v>43.813267434056669</v>
      </c>
      <c r="L2263" s="74"/>
      <c r="M2263" s="272" t="s">
        <v>16</v>
      </c>
      <c r="N2263" s="74">
        <v>0</v>
      </c>
      <c r="O2263" s="94"/>
      <c r="P2263" s="118">
        <v>0</v>
      </c>
      <c r="Q2263" s="510"/>
      <c r="R2263" s="513"/>
      <c r="S2263" s="41"/>
      <c r="T2263" s="40"/>
      <c r="U2263" s="40"/>
      <c r="V2263" s="119">
        <v>0</v>
      </c>
      <c r="W2263" s="40"/>
      <c r="X2263" s="119">
        <v>0</v>
      </c>
      <c r="Y2263" s="40"/>
      <c r="Z2263" s="119">
        <v>0</v>
      </c>
      <c r="AA2263" s="368" t="s">
        <v>16</v>
      </c>
      <c r="AB2263" s="535" t="s">
        <v>16</v>
      </c>
      <c r="AC2263" s="39" t="s">
        <v>160</v>
      </c>
      <c r="AD2263" s="75" t="s">
        <v>16</v>
      </c>
      <c r="AE2263" s="95">
        <v>-1</v>
      </c>
      <c r="AF2263" s="75">
        <v>-1</v>
      </c>
      <c r="AG2263" s="75">
        <v>-1</v>
      </c>
      <c r="AH2263" s="75">
        <v>-1</v>
      </c>
      <c r="AI2263" s="75">
        <v>-1</v>
      </c>
      <c r="AJ2263" s="75">
        <v>-1</v>
      </c>
      <c r="AK2263" s="75">
        <v>-1</v>
      </c>
      <c r="AL2263" s="95">
        <v>-1</v>
      </c>
      <c r="AM2263" s="92">
        <v>1</v>
      </c>
      <c r="AN2263" s="79"/>
      <c r="AO2263" s="75">
        <v>0</v>
      </c>
      <c r="AP2263" s="75"/>
      <c r="AQ2263" s="122">
        <v>0</v>
      </c>
      <c r="AR2263" s="515" t="s">
        <v>16</v>
      </c>
      <c r="AS2263" s="95">
        <v>-1</v>
      </c>
      <c r="AT2263" s="75">
        <v>-1</v>
      </c>
      <c r="AU2263" s="75">
        <v>-1</v>
      </c>
      <c r="AV2263" s="75">
        <v>-1</v>
      </c>
      <c r="AW2263" s="123">
        <v>1</v>
      </c>
      <c r="AX2263" s="516"/>
      <c r="AY2263" s="75">
        <v>0</v>
      </c>
      <c r="AZ2263" s="77" t="s">
        <v>5971</v>
      </c>
      <c r="BA2263" s="78" t="s">
        <v>5971</v>
      </c>
      <c r="BB2263" s="78" t="s">
        <v>5971</v>
      </c>
      <c r="BC2263" s="78" t="s">
        <v>5971</v>
      </c>
      <c r="BD2263" s="78" t="s">
        <v>5971</v>
      </c>
      <c r="BE2263" s="78" t="s">
        <v>5971</v>
      </c>
      <c r="BF2263" s="78" t="s">
        <v>5971</v>
      </c>
      <c r="BG2263" s="78" t="s">
        <v>5971</v>
      </c>
      <c r="BH2263" s="75" t="s">
        <v>5971</v>
      </c>
      <c r="BI2263" s="295" t="s">
        <v>5930</v>
      </c>
      <c r="BJ2263" s="546" t="s">
        <v>16</v>
      </c>
      <c r="BK2263" s="294" t="s">
        <v>16</v>
      </c>
      <c r="BL2263" s="157" t="s">
        <v>16</v>
      </c>
      <c r="BM2263" s="548" t="s">
        <v>1342</v>
      </c>
      <c r="BN2263" s="548" t="s">
        <v>5969</v>
      </c>
      <c r="BO2263" s="157" t="s">
        <v>4616</v>
      </c>
      <c r="BP2263" s="548" t="s">
        <v>4624</v>
      </c>
      <c r="BQ2263" s="157" t="s">
        <v>4592</v>
      </c>
      <c r="BR2263" s="157"/>
    </row>
    <row r="2264" spans="1:70" x14ac:dyDescent="0.25">
      <c r="A2264" s="19" t="s">
        <v>3686</v>
      </c>
      <c r="B2264" s="37" t="s">
        <v>168</v>
      </c>
      <c r="C2264" s="90">
        <v>43864.835081018522</v>
      </c>
      <c r="D2264" s="114">
        <v>43864.585081018522</v>
      </c>
      <c r="E2264" s="38">
        <v>43864</v>
      </c>
      <c r="F2264" s="91">
        <v>2020</v>
      </c>
      <c r="G2264" s="93">
        <v>2</v>
      </c>
      <c r="H2264" s="37" t="s">
        <v>169</v>
      </c>
      <c r="I2264" s="37"/>
      <c r="J2264" s="103">
        <v>-92.575523500000003</v>
      </c>
      <c r="K2264" s="40">
        <v>44.4883363</v>
      </c>
      <c r="L2264" s="74"/>
      <c r="M2264" s="272" t="s">
        <v>170</v>
      </c>
      <c r="N2264" s="74">
        <v>1</v>
      </c>
      <c r="O2264" s="94"/>
      <c r="P2264" s="118">
        <v>1</v>
      </c>
      <c r="Q2264" s="510">
        <v>240</v>
      </c>
      <c r="R2264" s="513">
        <v>180</v>
      </c>
      <c r="S2264" s="41"/>
      <c r="T2264" s="40"/>
      <c r="U2264" s="40">
        <v>7.5</v>
      </c>
      <c r="V2264" s="119">
        <v>0</v>
      </c>
      <c r="W2264" s="40"/>
      <c r="X2264" s="119">
        <v>0</v>
      </c>
      <c r="Y2264" s="40"/>
      <c r="Z2264" s="119">
        <v>0</v>
      </c>
      <c r="AA2264" s="368" t="s">
        <v>16</v>
      </c>
      <c r="AB2264" s="535" t="s">
        <v>16</v>
      </c>
      <c r="AC2264" s="39" t="s">
        <v>160</v>
      </c>
      <c r="AD2264" s="75" t="s">
        <v>10</v>
      </c>
      <c r="AE2264" s="95">
        <v>0</v>
      </c>
      <c r="AF2264" s="75">
        <v>0</v>
      </c>
      <c r="AG2264" s="75">
        <v>0</v>
      </c>
      <c r="AH2264" s="75">
        <v>0</v>
      </c>
      <c r="AI2264" s="75">
        <v>0</v>
      </c>
      <c r="AJ2264" s="75">
        <v>0</v>
      </c>
      <c r="AK2264" s="75">
        <v>0</v>
      </c>
      <c r="AL2264" s="95">
        <v>1</v>
      </c>
      <c r="AM2264" s="92">
        <v>0</v>
      </c>
      <c r="AN2264" s="79" t="s">
        <v>81</v>
      </c>
      <c r="AO2264" s="75">
        <v>1</v>
      </c>
      <c r="AP2264" s="75" t="s">
        <v>83</v>
      </c>
      <c r="AQ2264" s="122">
        <v>1</v>
      </c>
      <c r="AR2264" s="515" t="s">
        <v>58</v>
      </c>
      <c r="AS2264" s="95">
        <v>0</v>
      </c>
      <c r="AT2264" s="75">
        <v>0</v>
      </c>
      <c r="AU2264" s="75">
        <v>1</v>
      </c>
      <c r="AV2264" s="75">
        <v>0</v>
      </c>
      <c r="AW2264" s="123">
        <v>0</v>
      </c>
      <c r="AX2264" s="516" t="s">
        <v>171</v>
      </c>
      <c r="AY2264" s="75">
        <v>1</v>
      </c>
      <c r="AZ2264" s="77" t="s">
        <v>131</v>
      </c>
      <c r="BA2264" s="78" t="s">
        <v>131</v>
      </c>
      <c r="BB2264" s="78" t="s">
        <v>131</v>
      </c>
      <c r="BC2264" s="78" t="s">
        <v>131</v>
      </c>
      <c r="BD2264" s="78" t="s">
        <v>131</v>
      </c>
      <c r="BE2264" s="78" t="s">
        <v>131</v>
      </c>
      <c r="BF2264" s="78" t="s">
        <v>131</v>
      </c>
      <c r="BG2264" s="78" t="s">
        <v>132</v>
      </c>
      <c r="BH2264" s="75" t="s">
        <v>5970</v>
      </c>
      <c r="BI2264" s="295" t="s">
        <v>2238</v>
      </c>
      <c r="BJ2264" s="546">
        <v>1</v>
      </c>
      <c r="BK2264" s="294" t="s">
        <v>16</v>
      </c>
      <c r="BL2264" s="157" t="s">
        <v>16</v>
      </c>
      <c r="BM2264" s="548" t="s">
        <v>2343</v>
      </c>
      <c r="BN2264" s="548" t="s">
        <v>5969</v>
      </c>
      <c r="BO2264" s="157" t="s">
        <v>4308</v>
      </c>
      <c r="BP2264" s="548" t="s">
        <v>2238</v>
      </c>
      <c r="BQ2264" s="157" t="s">
        <v>4307</v>
      </c>
      <c r="BR2264" s="157"/>
    </row>
    <row r="2265" spans="1:70" x14ac:dyDescent="0.25">
      <c r="A2265" s="19" t="s">
        <v>3686</v>
      </c>
      <c r="B2265" s="37" t="s">
        <v>165</v>
      </c>
      <c r="C2265" s="90">
        <v>43862.943518518521</v>
      </c>
      <c r="D2265" s="114">
        <v>43862.693518518521</v>
      </c>
      <c r="E2265" s="38">
        <v>43862</v>
      </c>
      <c r="F2265" s="91">
        <v>2020</v>
      </c>
      <c r="G2265" s="93">
        <v>2</v>
      </c>
      <c r="H2265" s="37" t="s">
        <v>163</v>
      </c>
      <c r="I2265" s="37"/>
      <c r="J2265" s="103">
        <v>-88.537835571512105</v>
      </c>
      <c r="K2265" s="40">
        <v>44.01471642277388</v>
      </c>
      <c r="L2265" s="74"/>
      <c r="M2265" s="272" t="s">
        <v>166</v>
      </c>
      <c r="N2265" s="74">
        <v>1</v>
      </c>
      <c r="O2265" s="94"/>
      <c r="P2265" s="118">
        <v>1</v>
      </c>
      <c r="Q2265" s="510">
        <v>0</v>
      </c>
      <c r="R2265" s="513">
        <v>120</v>
      </c>
      <c r="S2265" s="41"/>
      <c r="T2265" s="40"/>
      <c r="U2265" s="40">
        <v>8</v>
      </c>
      <c r="V2265" s="119">
        <v>1</v>
      </c>
      <c r="W2265" s="40">
        <v>300</v>
      </c>
      <c r="X2265" s="119">
        <v>1</v>
      </c>
      <c r="Y2265" s="40">
        <v>55</v>
      </c>
      <c r="Z2265" s="119">
        <v>0</v>
      </c>
      <c r="AA2265" s="368" t="s">
        <v>16</v>
      </c>
      <c r="AB2265" s="535" t="s">
        <v>16</v>
      </c>
      <c r="AC2265" s="39" t="s">
        <v>161</v>
      </c>
      <c r="AD2265" s="75" t="s">
        <v>16</v>
      </c>
      <c r="AE2265" s="95">
        <v>-1</v>
      </c>
      <c r="AF2265" s="75">
        <v>-1</v>
      </c>
      <c r="AG2265" s="75">
        <v>-1</v>
      </c>
      <c r="AH2265" s="75">
        <v>-1</v>
      </c>
      <c r="AI2265" s="75">
        <v>-1</v>
      </c>
      <c r="AJ2265" s="75">
        <v>-1</v>
      </c>
      <c r="AK2265" s="75">
        <v>-1</v>
      </c>
      <c r="AL2265" s="95">
        <v>-1</v>
      </c>
      <c r="AM2265" s="92">
        <v>1</v>
      </c>
      <c r="AN2265" s="79" t="s">
        <v>16</v>
      </c>
      <c r="AO2265" s="75">
        <v>0</v>
      </c>
      <c r="AP2265" s="75" t="s">
        <v>83</v>
      </c>
      <c r="AQ2265" s="122">
        <v>1</v>
      </c>
      <c r="AR2265" s="515" t="s">
        <v>10</v>
      </c>
      <c r="AS2265" s="95">
        <v>0</v>
      </c>
      <c r="AT2265" s="75">
        <v>0</v>
      </c>
      <c r="AU2265" s="75">
        <v>0</v>
      </c>
      <c r="AV2265" s="75">
        <v>0</v>
      </c>
      <c r="AW2265" s="123">
        <v>0</v>
      </c>
      <c r="AX2265" s="516" t="s">
        <v>167</v>
      </c>
      <c r="AY2265" s="75">
        <v>1</v>
      </c>
      <c r="AZ2265" s="77" t="s">
        <v>5971</v>
      </c>
      <c r="BA2265" s="78" t="s">
        <v>5971</v>
      </c>
      <c r="BB2265" s="78" t="s">
        <v>5971</v>
      </c>
      <c r="BC2265" s="78" t="s">
        <v>5971</v>
      </c>
      <c r="BD2265" s="78" t="s">
        <v>5971</v>
      </c>
      <c r="BE2265" s="78" t="s">
        <v>5971</v>
      </c>
      <c r="BF2265" s="78" t="s">
        <v>5971</v>
      </c>
      <c r="BG2265" s="78" t="s">
        <v>5971</v>
      </c>
      <c r="BH2265" s="75" t="s">
        <v>5971</v>
      </c>
      <c r="BI2265" s="295" t="s">
        <v>16</v>
      </c>
      <c r="BJ2265" s="546" t="s">
        <v>16</v>
      </c>
      <c r="BK2265" s="294" t="s">
        <v>16</v>
      </c>
      <c r="BL2265" s="157" t="s">
        <v>16</v>
      </c>
      <c r="BM2265" s="548">
        <v>0</v>
      </c>
      <c r="BN2265" s="548" t="s">
        <v>5969</v>
      </c>
      <c r="BO2265" s="157" t="s">
        <v>4773</v>
      </c>
      <c r="BP2265" s="548" t="s">
        <v>4774</v>
      </c>
      <c r="BQ2265" s="157" t="s">
        <v>4772</v>
      </c>
      <c r="BR2265" s="157"/>
    </row>
    <row r="2266" spans="1:70" x14ac:dyDescent="0.25">
      <c r="A2266" s="19" t="s">
        <v>3686</v>
      </c>
      <c r="B2266" s="37" t="s">
        <v>164</v>
      </c>
      <c r="C2266" s="90">
        <v>43861.873599537037</v>
      </c>
      <c r="D2266" s="114">
        <v>43861.623599537037</v>
      </c>
      <c r="E2266" s="38">
        <v>43861</v>
      </c>
      <c r="F2266" s="91">
        <v>2020</v>
      </c>
      <c r="G2266" s="93">
        <v>1</v>
      </c>
      <c r="H2266" s="37" t="s">
        <v>163</v>
      </c>
      <c r="I2266" s="37"/>
      <c r="J2266" s="103">
        <v>-92.732962793480397</v>
      </c>
      <c r="K2266" s="40">
        <v>44.984004760940763</v>
      </c>
      <c r="L2266" s="74"/>
      <c r="M2266" s="272" t="s">
        <v>16</v>
      </c>
      <c r="N2266" s="74">
        <v>0</v>
      </c>
      <c r="O2266" s="94"/>
      <c r="P2266" s="118">
        <v>1</v>
      </c>
      <c r="Q2266" s="510">
        <v>0</v>
      </c>
      <c r="R2266" s="513">
        <v>120</v>
      </c>
      <c r="S2266" s="41"/>
      <c r="T2266" s="40"/>
      <c r="U2266" s="40">
        <v>8</v>
      </c>
      <c r="V2266" s="119">
        <v>1</v>
      </c>
      <c r="W2266" s="40">
        <v>0</v>
      </c>
      <c r="X2266" s="119">
        <v>0</v>
      </c>
      <c r="Y2266" s="40"/>
      <c r="Z2266" s="119">
        <v>0</v>
      </c>
      <c r="AA2266" s="368" t="s">
        <v>16</v>
      </c>
      <c r="AB2266" s="535" t="s">
        <v>16</v>
      </c>
      <c r="AC2266" s="39" t="s">
        <v>161</v>
      </c>
      <c r="AD2266" s="75" t="s">
        <v>16</v>
      </c>
      <c r="AE2266" s="95">
        <v>-1</v>
      </c>
      <c r="AF2266" s="75">
        <v>-1</v>
      </c>
      <c r="AG2266" s="75">
        <v>-1</v>
      </c>
      <c r="AH2266" s="75">
        <v>-1</v>
      </c>
      <c r="AI2266" s="75">
        <v>-1</v>
      </c>
      <c r="AJ2266" s="75">
        <v>-1</v>
      </c>
      <c r="AK2266" s="75">
        <v>-1</v>
      </c>
      <c r="AL2266" s="95">
        <v>-1</v>
      </c>
      <c r="AM2266" s="92">
        <v>1</v>
      </c>
      <c r="AN2266" s="79"/>
      <c r="AO2266" s="75">
        <v>0</v>
      </c>
      <c r="AP2266" s="75"/>
      <c r="AQ2266" s="122">
        <v>0</v>
      </c>
      <c r="AR2266" s="515" t="s">
        <v>16</v>
      </c>
      <c r="AS2266" s="95">
        <v>-1</v>
      </c>
      <c r="AT2266" s="75">
        <v>-1</v>
      </c>
      <c r="AU2266" s="75">
        <v>-1</v>
      </c>
      <c r="AV2266" s="75">
        <v>-1</v>
      </c>
      <c r="AW2266" s="123">
        <v>1</v>
      </c>
      <c r="AX2266" s="516"/>
      <c r="AY2266" s="75">
        <v>0</v>
      </c>
      <c r="AZ2266" s="77" t="s">
        <v>5971</v>
      </c>
      <c r="BA2266" s="78" t="s">
        <v>5971</v>
      </c>
      <c r="BB2266" s="78" t="s">
        <v>5971</v>
      </c>
      <c r="BC2266" s="78" t="s">
        <v>5971</v>
      </c>
      <c r="BD2266" s="78" t="s">
        <v>5971</v>
      </c>
      <c r="BE2266" s="78" t="s">
        <v>5971</v>
      </c>
      <c r="BF2266" s="78" t="s">
        <v>5971</v>
      </c>
      <c r="BG2266" s="78" t="s">
        <v>5971</v>
      </c>
      <c r="BH2266" s="75" t="s">
        <v>5971</v>
      </c>
      <c r="BI2266" s="295" t="s">
        <v>16</v>
      </c>
      <c r="BJ2266" s="546" t="s">
        <v>16</v>
      </c>
      <c r="BK2266" s="294" t="s">
        <v>16</v>
      </c>
      <c r="BL2266" s="157" t="s">
        <v>16</v>
      </c>
      <c r="BM2266" s="548" t="s">
        <v>578</v>
      </c>
      <c r="BN2266" s="548" t="s">
        <v>5969</v>
      </c>
      <c r="BO2266" s="157" t="s">
        <v>4691</v>
      </c>
      <c r="BP2266" s="548" t="s">
        <v>4692</v>
      </c>
      <c r="BQ2266" s="157" t="s">
        <v>4690</v>
      </c>
      <c r="BR2266" s="157"/>
    </row>
    <row r="2267" spans="1:70" x14ac:dyDescent="0.25">
      <c r="A2267" s="19" t="s">
        <v>3686</v>
      </c>
      <c r="B2267" s="37" t="s">
        <v>567</v>
      </c>
      <c r="C2267" s="90">
        <v>43768.695243055554</v>
      </c>
      <c r="D2267" s="114">
        <v>43768.445243055554</v>
      </c>
      <c r="E2267" s="38">
        <v>43768</v>
      </c>
      <c r="F2267" s="91">
        <v>2019</v>
      </c>
      <c r="G2267" s="93">
        <v>10</v>
      </c>
      <c r="H2267" s="37" t="s">
        <v>163</v>
      </c>
      <c r="I2267" s="37" t="s">
        <v>349</v>
      </c>
      <c r="J2267" s="103">
        <v>-92.529814644561327</v>
      </c>
      <c r="K2267" s="40">
        <v>44.793674363235176</v>
      </c>
      <c r="L2267" s="74"/>
      <c r="M2267" s="272" t="s">
        <v>16</v>
      </c>
      <c r="N2267" s="74">
        <v>0</v>
      </c>
      <c r="O2267" s="94" t="b">
        <v>1</v>
      </c>
      <c r="P2267" s="118">
        <v>1</v>
      </c>
      <c r="Q2267" s="510">
        <v>180</v>
      </c>
      <c r="R2267" s="513">
        <v>180</v>
      </c>
      <c r="S2267" s="41"/>
      <c r="T2267" s="40"/>
      <c r="U2267" s="40">
        <v>7.5</v>
      </c>
      <c r="V2267" s="119">
        <v>1</v>
      </c>
      <c r="W2267" s="40">
        <v>0</v>
      </c>
      <c r="X2267" s="119">
        <v>1</v>
      </c>
      <c r="Y2267" s="40">
        <v>40</v>
      </c>
      <c r="Z2267" s="119">
        <v>0</v>
      </c>
      <c r="AA2267" s="368" t="s">
        <v>16</v>
      </c>
      <c r="AB2267" s="535" t="s">
        <v>16</v>
      </c>
      <c r="AC2267" s="39" t="s">
        <v>160</v>
      </c>
      <c r="AD2267" s="75" t="s">
        <v>10</v>
      </c>
      <c r="AE2267" s="95">
        <v>0</v>
      </c>
      <c r="AF2267" s="75">
        <v>0</v>
      </c>
      <c r="AG2267" s="75">
        <v>0</v>
      </c>
      <c r="AH2267" s="75">
        <v>0</v>
      </c>
      <c r="AI2267" s="75">
        <v>0</v>
      </c>
      <c r="AJ2267" s="75">
        <v>0</v>
      </c>
      <c r="AK2267" s="75">
        <v>0</v>
      </c>
      <c r="AL2267" s="95">
        <v>1</v>
      </c>
      <c r="AM2267" s="92">
        <v>0</v>
      </c>
      <c r="AN2267" s="79" t="s">
        <v>80</v>
      </c>
      <c r="AO2267" s="75">
        <v>1</v>
      </c>
      <c r="AP2267" s="75" t="s">
        <v>83</v>
      </c>
      <c r="AQ2267" s="122">
        <v>1</v>
      </c>
      <c r="AR2267" s="515" t="s">
        <v>10</v>
      </c>
      <c r="AS2267" s="95">
        <v>0</v>
      </c>
      <c r="AT2267" s="75">
        <v>0</v>
      </c>
      <c r="AU2267" s="75">
        <v>0</v>
      </c>
      <c r="AV2267" s="75">
        <v>0</v>
      </c>
      <c r="AW2267" s="123">
        <v>0</v>
      </c>
      <c r="AX2267" s="516" t="s">
        <v>16</v>
      </c>
      <c r="AY2267" s="75">
        <v>0</v>
      </c>
      <c r="AZ2267" s="77" t="s">
        <v>131</v>
      </c>
      <c r="BA2267" s="78" t="s">
        <v>131</v>
      </c>
      <c r="BB2267" s="78" t="s">
        <v>131</v>
      </c>
      <c r="BC2267" s="78" t="s">
        <v>131</v>
      </c>
      <c r="BD2267" s="78" t="s">
        <v>131</v>
      </c>
      <c r="BE2267" s="78" t="s">
        <v>131</v>
      </c>
      <c r="BF2267" s="78" t="s">
        <v>131</v>
      </c>
      <c r="BG2267" s="78" t="s">
        <v>132</v>
      </c>
      <c r="BH2267" s="75" t="s">
        <v>5970</v>
      </c>
      <c r="BI2267" s="295" t="s">
        <v>2236</v>
      </c>
      <c r="BJ2267" s="546">
        <v>1</v>
      </c>
      <c r="BK2267" s="294" t="s">
        <v>16</v>
      </c>
      <c r="BL2267" s="157" t="s">
        <v>16</v>
      </c>
      <c r="BM2267" s="548" t="s">
        <v>578</v>
      </c>
      <c r="BN2267" s="548" t="s">
        <v>5969</v>
      </c>
      <c r="BO2267" s="157" t="s">
        <v>4658</v>
      </c>
      <c r="BP2267" s="548" t="s">
        <v>4660</v>
      </c>
      <c r="BQ2267" s="157" t="s">
        <v>4657</v>
      </c>
      <c r="BR2267" s="157"/>
    </row>
    <row r="2268" spans="1:70" x14ac:dyDescent="0.25">
      <c r="A2268" s="19" t="s">
        <v>3686</v>
      </c>
      <c r="B2268" s="37" t="s">
        <v>568</v>
      </c>
      <c r="C2268" s="90">
        <v>43768.644201388888</v>
      </c>
      <c r="D2268" s="114">
        <v>43768.394201388888</v>
      </c>
      <c r="E2268" s="38">
        <v>43768</v>
      </c>
      <c r="F2268" s="91">
        <v>2019</v>
      </c>
      <c r="G2268" s="93">
        <v>10</v>
      </c>
      <c r="H2268" s="37" t="s">
        <v>163</v>
      </c>
      <c r="I2268" s="37" t="s">
        <v>544</v>
      </c>
      <c r="J2268" s="103">
        <v>-92.529750086413159</v>
      </c>
      <c r="K2268" s="40">
        <v>44.789775695053152</v>
      </c>
      <c r="L2268" s="74"/>
      <c r="M2268" s="272" t="s">
        <v>16</v>
      </c>
      <c r="N2268" s="74">
        <v>0</v>
      </c>
      <c r="O2268" s="94" t="b">
        <v>1</v>
      </c>
      <c r="P2268" s="118">
        <v>1</v>
      </c>
      <c r="Q2268" s="510">
        <v>180</v>
      </c>
      <c r="R2268" s="513">
        <v>180</v>
      </c>
      <c r="S2268" s="41"/>
      <c r="T2268" s="40"/>
      <c r="U2268" s="40">
        <v>7.5</v>
      </c>
      <c r="V2268" s="119">
        <v>1</v>
      </c>
      <c r="W2268" s="40">
        <v>0</v>
      </c>
      <c r="X2268" s="119">
        <v>1</v>
      </c>
      <c r="Y2268" s="40">
        <v>47</v>
      </c>
      <c r="Z2268" s="119">
        <v>0</v>
      </c>
      <c r="AA2268" s="368" t="s">
        <v>16</v>
      </c>
      <c r="AB2268" s="535" t="s">
        <v>16</v>
      </c>
      <c r="AC2268" s="39" t="s">
        <v>162</v>
      </c>
      <c r="AD2268" s="75" t="s">
        <v>10</v>
      </c>
      <c r="AE2268" s="95">
        <v>0</v>
      </c>
      <c r="AF2268" s="75">
        <v>0</v>
      </c>
      <c r="AG2268" s="75">
        <v>0</v>
      </c>
      <c r="AH2268" s="75">
        <v>0</v>
      </c>
      <c r="AI2268" s="75">
        <v>0</v>
      </c>
      <c r="AJ2268" s="75">
        <v>0</v>
      </c>
      <c r="AK2268" s="75">
        <v>0</v>
      </c>
      <c r="AL2268" s="95">
        <v>1</v>
      </c>
      <c r="AM2268" s="92">
        <v>0</v>
      </c>
      <c r="AN2268" s="79" t="s">
        <v>80</v>
      </c>
      <c r="AO2268" s="75">
        <v>1</v>
      </c>
      <c r="AP2268" s="75" t="s">
        <v>83</v>
      </c>
      <c r="AQ2268" s="122">
        <v>1</v>
      </c>
      <c r="AR2268" s="515" t="s">
        <v>10</v>
      </c>
      <c r="AS2268" s="95">
        <v>0</v>
      </c>
      <c r="AT2268" s="75">
        <v>0</v>
      </c>
      <c r="AU2268" s="75">
        <v>0</v>
      </c>
      <c r="AV2268" s="75">
        <v>0</v>
      </c>
      <c r="AW2268" s="123">
        <v>0</v>
      </c>
      <c r="AX2268" s="516" t="s">
        <v>16</v>
      </c>
      <c r="AY2268" s="75">
        <v>0</v>
      </c>
      <c r="AZ2268" s="77" t="s">
        <v>131</v>
      </c>
      <c r="BA2268" s="78" t="s">
        <v>131</v>
      </c>
      <c r="BB2268" s="78" t="s">
        <v>131</v>
      </c>
      <c r="BC2268" s="78" t="s">
        <v>131</v>
      </c>
      <c r="BD2268" s="78" t="s">
        <v>131</v>
      </c>
      <c r="BE2268" s="78" t="s">
        <v>131</v>
      </c>
      <c r="BF2268" s="78" t="s">
        <v>131</v>
      </c>
      <c r="BG2268" s="78" t="s">
        <v>132</v>
      </c>
      <c r="BH2268" s="75" t="s">
        <v>5970</v>
      </c>
      <c r="BI2268" s="295" t="s">
        <v>2236</v>
      </c>
      <c r="BJ2268" s="546">
        <v>1</v>
      </c>
      <c r="BK2268" s="294" t="s">
        <v>16</v>
      </c>
      <c r="BL2268" s="157" t="s">
        <v>16</v>
      </c>
      <c r="BM2268" s="548" t="s">
        <v>578</v>
      </c>
      <c r="BN2268" s="548" t="s">
        <v>5969</v>
      </c>
      <c r="BO2268" s="157" t="s">
        <v>4658</v>
      </c>
      <c r="BP2268" s="548" t="s">
        <v>4660</v>
      </c>
      <c r="BQ2268" s="157" t="s">
        <v>4657</v>
      </c>
      <c r="BR2268" s="157"/>
    </row>
    <row r="2269" spans="1:70" x14ac:dyDescent="0.25">
      <c r="A2269" s="19" t="s">
        <v>3686</v>
      </c>
      <c r="B2269" s="37" t="s">
        <v>555</v>
      </c>
      <c r="C2269" s="90">
        <v>43767.730937499997</v>
      </c>
      <c r="D2269" s="114">
        <v>43767.480937499997</v>
      </c>
      <c r="E2269" s="38">
        <v>43767</v>
      </c>
      <c r="F2269" s="91">
        <v>2019</v>
      </c>
      <c r="G2269" s="93">
        <v>10</v>
      </c>
      <c r="H2269" s="37" t="s">
        <v>163</v>
      </c>
      <c r="I2269" s="37" t="s">
        <v>544</v>
      </c>
      <c r="J2269" s="103">
        <v>-92.268506238127301</v>
      </c>
      <c r="K2269" s="40">
        <v>44.542923904306768</v>
      </c>
      <c r="L2269" s="74"/>
      <c r="M2269" s="272" t="s">
        <v>16</v>
      </c>
      <c r="N2269" s="74">
        <v>0</v>
      </c>
      <c r="O2269" s="94" t="b">
        <v>1</v>
      </c>
      <c r="P2269" s="118">
        <v>1</v>
      </c>
      <c r="Q2269" s="510">
        <v>180</v>
      </c>
      <c r="R2269" s="513">
        <v>120</v>
      </c>
      <c r="S2269" s="41"/>
      <c r="T2269" s="40"/>
      <c r="U2269" s="40">
        <v>7.5</v>
      </c>
      <c r="V2269" s="119">
        <v>1</v>
      </c>
      <c r="W2269" s="40">
        <v>0</v>
      </c>
      <c r="X2269" s="119">
        <v>1</v>
      </c>
      <c r="Y2269" s="40">
        <v>47</v>
      </c>
      <c r="Z2269" s="119">
        <v>0</v>
      </c>
      <c r="AA2269" s="368" t="s">
        <v>16</v>
      </c>
      <c r="AB2269" s="535" t="s">
        <v>16</v>
      </c>
      <c r="AC2269" s="39" t="s">
        <v>162</v>
      </c>
      <c r="AD2269" s="75" t="s">
        <v>10</v>
      </c>
      <c r="AE2269" s="95">
        <v>0</v>
      </c>
      <c r="AF2269" s="75">
        <v>0</v>
      </c>
      <c r="AG2269" s="75">
        <v>0</v>
      </c>
      <c r="AH2269" s="75">
        <v>0</v>
      </c>
      <c r="AI2269" s="75">
        <v>0</v>
      </c>
      <c r="AJ2269" s="75">
        <v>0</v>
      </c>
      <c r="AK2269" s="75">
        <v>0</v>
      </c>
      <c r="AL2269" s="95">
        <v>1</v>
      </c>
      <c r="AM2269" s="92">
        <v>0</v>
      </c>
      <c r="AN2269" s="79" t="s">
        <v>80</v>
      </c>
      <c r="AO2269" s="75">
        <v>1</v>
      </c>
      <c r="AP2269" s="75" t="s">
        <v>83</v>
      </c>
      <c r="AQ2269" s="122">
        <v>1</v>
      </c>
      <c r="AR2269" s="515" t="s">
        <v>10</v>
      </c>
      <c r="AS2269" s="95">
        <v>0</v>
      </c>
      <c r="AT2269" s="75">
        <v>0</v>
      </c>
      <c r="AU2269" s="75">
        <v>0</v>
      </c>
      <c r="AV2269" s="75">
        <v>0</v>
      </c>
      <c r="AW2269" s="123">
        <v>0</v>
      </c>
      <c r="AX2269" s="516" t="s">
        <v>16</v>
      </c>
      <c r="AY2269" s="75">
        <v>0</v>
      </c>
      <c r="AZ2269" s="77" t="s">
        <v>131</v>
      </c>
      <c r="BA2269" s="78" t="s">
        <v>131</v>
      </c>
      <c r="BB2269" s="78" t="s">
        <v>131</v>
      </c>
      <c r="BC2269" s="78" t="s">
        <v>131</v>
      </c>
      <c r="BD2269" s="78" t="s">
        <v>131</v>
      </c>
      <c r="BE2269" s="78" t="s">
        <v>131</v>
      </c>
      <c r="BF2269" s="78" t="s">
        <v>131</v>
      </c>
      <c r="BG2269" s="78" t="s">
        <v>132</v>
      </c>
      <c r="BH2269" s="75" t="s">
        <v>5970</v>
      </c>
      <c r="BI2269" s="295">
        <v>0</v>
      </c>
      <c r="BJ2269" s="546">
        <v>1</v>
      </c>
      <c r="BK2269" s="294">
        <v>1</v>
      </c>
      <c r="BL2269" s="157">
        <v>1</v>
      </c>
      <c r="BM2269" s="548" t="s">
        <v>1340</v>
      </c>
      <c r="BN2269" s="548" t="s">
        <v>5969</v>
      </c>
      <c r="BO2269" s="157" t="s">
        <v>4268</v>
      </c>
      <c r="BP2269" s="548" t="s">
        <v>2261</v>
      </c>
      <c r="BQ2269" s="157" t="s">
        <v>4214</v>
      </c>
      <c r="BR2269" s="157"/>
    </row>
    <row r="2270" spans="1:70" x14ac:dyDescent="0.25">
      <c r="A2270" s="19" t="s">
        <v>3686</v>
      </c>
      <c r="B2270" s="37" t="s">
        <v>554</v>
      </c>
      <c r="C2270" s="90">
        <v>43767.665520833332</v>
      </c>
      <c r="D2270" s="114">
        <v>43767.415520833332</v>
      </c>
      <c r="E2270" s="38">
        <v>43767</v>
      </c>
      <c r="F2270" s="91">
        <v>2019</v>
      </c>
      <c r="G2270" s="93">
        <v>10</v>
      </c>
      <c r="H2270" s="37" t="s">
        <v>163</v>
      </c>
      <c r="I2270" s="37" t="s">
        <v>2362</v>
      </c>
      <c r="J2270" s="103">
        <v>-92.284301113269279</v>
      </c>
      <c r="K2270" s="40">
        <v>44.542175750285118</v>
      </c>
      <c r="L2270" s="74"/>
      <c r="M2270" s="272" t="s">
        <v>16</v>
      </c>
      <c r="N2270" s="74">
        <v>0</v>
      </c>
      <c r="O2270" s="94" t="b">
        <v>1</v>
      </c>
      <c r="P2270" s="118">
        <v>1</v>
      </c>
      <c r="Q2270" s="510">
        <v>180</v>
      </c>
      <c r="R2270" s="513">
        <v>180</v>
      </c>
      <c r="S2270" s="41"/>
      <c r="T2270" s="40"/>
      <c r="U2270" s="40">
        <v>8.5</v>
      </c>
      <c r="V2270" s="119">
        <v>1</v>
      </c>
      <c r="W2270" s="40">
        <v>0</v>
      </c>
      <c r="X2270" s="119">
        <v>1</v>
      </c>
      <c r="Y2270" s="40">
        <v>45</v>
      </c>
      <c r="Z2270" s="119">
        <v>0</v>
      </c>
      <c r="AA2270" s="368" t="s">
        <v>16</v>
      </c>
      <c r="AB2270" s="535" t="s">
        <v>16</v>
      </c>
      <c r="AC2270" s="39" t="s">
        <v>160</v>
      </c>
      <c r="AD2270" s="75" t="s">
        <v>10</v>
      </c>
      <c r="AE2270" s="95">
        <v>0</v>
      </c>
      <c r="AF2270" s="75">
        <v>0</v>
      </c>
      <c r="AG2270" s="75">
        <v>0</v>
      </c>
      <c r="AH2270" s="75">
        <v>0</v>
      </c>
      <c r="AI2270" s="75">
        <v>0</v>
      </c>
      <c r="AJ2270" s="75">
        <v>0</v>
      </c>
      <c r="AK2270" s="75">
        <v>0</v>
      </c>
      <c r="AL2270" s="95">
        <v>1</v>
      </c>
      <c r="AM2270" s="92">
        <v>0</v>
      </c>
      <c r="AN2270" s="79" t="s">
        <v>80</v>
      </c>
      <c r="AO2270" s="75">
        <v>1</v>
      </c>
      <c r="AP2270" s="75" t="s">
        <v>83</v>
      </c>
      <c r="AQ2270" s="122">
        <v>1</v>
      </c>
      <c r="AR2270" s="515" t="s">
        <v>10</v>
      </c>
      <c r="AS2270" s="95">
        <v>0</v>
      </c>
      <c r="AT2270" s="75">
        <v>0</v>
      </c>
      <c r="AU2270" s="75">
        <v>0</v>
      </c>
      <c r="AV2270" s="75">
        <v>0</v>
      </c>
      <c r="AW2270" s="123">
        <v>0</v>
      </c>
      <c r="AX2270" s="516" t="s">
        <v>543</v>
      </c>
      <c r="AY2270" s="75">
        <v>1</v>
      </c>
      <c r="AZ2270" s="77" t="s">
        <v>131</v>
      </c>
      <c r="BA2270" s="78" t="s">
        <v>131</v>
      </c>
      <c r="BB2270" s="78" t="s">
        <v>131</v>
      </c>
      <c r="BC2270" s="78" t="s">
        <v>131</v>
      </c>
      <c r="BD2270" s="78" t="s">
        <v>131</v>
      </c>
      <c r="BE2270" s="78" t="s">
        <v>131</v>
      </c>
      <c r="BF2270" s="78" t="s">
        <v>131</v>
      </c>
      <c r="BG2270" s="78" t="s">
        <v>132</v>
      </c>
      <c r="BH2270" s="75" t="s">
        <v>5970</v>
      </c>
      <c r="BI2270" s="295" t="s">
        <v>2261</v>
      </c>
      <c r="BJ2270" s="546">
        <v>1</v>
      </c>
      <c r="BK2270" s="294">
        <v>1</v>
      </c>
      <c r="BL2270" s="157">
        <v>1</v>
      </c>
      <c r="BM2270" s="548" t="s">
        <v>1340</v>
      </c>
      <c r="BN2270" s="548" t="s">
        <v>5969</v>
      </c>
      <c r="BO2270" s="157" t="s">
        <v>4268</v>
      </c>
      <c r="BP2270" s="548" t="s">
        <v>2261</v>
      </c>
      <c r="BQ2270" s="157" t="s">
        <v>4214</v>
      </c>
      <c r="BR2270" s="157"/>
    </row>
    <row r="2271" spans="1:70" x14ac:dyDescent="0.25">
      <c r="A2271" s="19" t="s">
        <v>3686</v>
      </c>
      <c r="B2271" s="37" t="s">
        <v>49</v>
      </c>
      <c r="C2271" s="90">
        <v>43646.855868055558</v>
      </c>
      <c r="D2271" s="114">
        <v>43646.605868055558</v>
      </c>
      <c r="E2271" s="38">
        <v>43646</v>
      </c>
      <c r="F2271" s="91">
        <v>2019</v>
      </c>
      <c r="G2271" s="93">
        <v>6</v>
      </c>
      <c r="H2271" s="37" t="s">
        <v>566</v>
      </c>
      <c r="I2271" s="37" t="s">
        <v>1212</v>
      </c>
      <c r="J2271" s="103">
        <v>-92.236067899999995</v>
      </c>
      <c r="K2271" s="40">
        <v>44.840516800000003</v>
      </c>
      <c r="L2271" s="74"/>
      <c r="M2271" s="272" t="s">
        <v>16</v>
      </c>
      <c r="N2271" s="74">
        <v>0</v>
      </c>
      <c r="O2271" s="94" t="b">
        <v>1</v>
      </c>
      <c r="P2271" s="118">
        <v>0</v>
      </c>
      <c r="Q2271" s="510"/>
      <c r="R2271" s="513"/>
      <c r="S2271" s="41">
        <v>-14</v>
      </c>
      <c r="T2271" s="40">
        <v>75</v>
      </c>
      <c r="U2271" s="40"/>
      <c r="V2271" s="119">
        <v>0</v>
      </c>
      <c r="W2271" s="40"/>
      <c r="X2271" s="119">
        <v>1</v>
      </c>
      <c r="Y2271" s="40">
        <v>65</v>
      </c>
      <c r="Z2271" s="119">
        <v>0</v>
      </c>
      <c r="AA2271" s="368" t="s">
        <v>16</v>
      </c>
      <c r="AB2271" s="535" t="s">
        <v>16</v>
      </c>
      <c r="AC2271" s="39" t="s">
        <v>160</v>
      </c>
      <c r="AD2271" s="75" t="s">
        <v>10</v>
      </c>
      <c r="AE2271" s="95">
        <v>0</v>
      </c>
      <c r="AF2271" s="75">
        <v>0</v>
      </c>
      <c r="AG2271" s="75">
        <v>0</v>
      </c>
      <c r="AH2271" s="75">
        <v>0</v>
      </c>
      <c r="AI2271" s="75">
        <v>0</v>
      </c>
      <c r="AJ2271" s="75">
        <v>0</v>
      </c>
      <c r="AK2271" s="75">
        <v>0</v>
      </c>
      <c r="AL2271" s="95">
        <v>1</v>
      </c>
      <c r="AM2271" s="92">
        <v>0</v>
      </c>
      <c r="AN2271" s="79" t="s">
        <v>81</v>
      </c>
      <c r="AO2271" s="75">
        <v>1</v>
      </c>
      <c r="AP2271" s="75" t="s">
        <v>84</v>
      </c>
      <c r="AQ2271" s="122">
        <v>1</v>
      </c>
      <c r="AR2271" s="515" t="s">
        <v>35</v>
      </c>
      <c r="AS2271" s="95">
        <v>0</v>
      </c>
      <c r="AT2271" s="75">
        <v>1</v>
      </c>
      <c r="AU2271" s="75">
        <v>0</v>
      </c>
      <c r="AV2271" s="75">
        <v>0</v>
      </c>
      <c r="AW2271" s="123">
        <v>0</v>
      </c>
      <c r="AX2271" s="516" t="s">
        <v>16</v>
      </c>
      <c r="AY2271" s="75">
        <v>0</v>
      </c>
      <c r="AZ2271" s="77" t="s">
        <v>131</v>
      </c>
      <c r="BA2271" s="78" t="s">
        <v>131</v>
      </c>
      <c r="BB2271" s="78" t="s">
        <v>131</v>
      </c>
      <c r="BC2271" s="78" t="s">
        <v>131</v>
      </c>
      <c r="BD2271" s="78" t="s">
        <v>131</v>
      </c>
      <c r="BE2271" s="78" t="s">
        <v>131</v>
      </c>
      <c r="BF2271" s="78" t="s">
        <v>131</v>
      </c>
      <c r="BG2271" s="78" t="s">
        <v>132</v>
      </c>
      <c r="BH2271" s="75" t="s">
        <v>5970</v>
      </c>
      <c r="BI2271" s="295" t="s">
        <v>16</v>
      </c>
      <c r="BJ2271" s="546">
        <v>1</v>
      </c>
      <c r="BK2271" s="294">
        <v>1</v>
      </c>
      <c r="BL2271" s="157">
        <v>1</v>
      </c>
      <c r="BM2271" s="548" t="s">
        <v>578</v>
      </c>
      <c r="BN2271" s="548" t="s">
        <v>5969</v>
      </c>
      <c r="BO2271" s="157" t="s">
        <v>4318</v>
      </c>
      <c r="BP2271" s="548" t="s">
        <v>4439</v>
      </c>
      <c r="BQ2271" s="157" t="s">
        <v>4316</v>
      </c>
      <c r="BR2271" s="157"/>
    </row>
    <row r="2272" spans="1:70" x14ac:dyDescent="0.25">
      <c r="A2272" s="19" t="s">
        <v>3686</v>
      </c>
      <c r="B2272" s="37" t="s">
        <v>37</v>
      </c>
      <c r="C2272" s="90">
        <v>43644.66684027778</v>
      </c>
      <c r="D2272" s="114">
        <v>43644.41684027778</v>
      </c>
      <c r="E2272" s="38">
        <v>43644</v>
      </c>
      <c r="F2272" s="91">
        <v>2019</v>
      </c>
      <c r="G2272" s="93">
        <v>6</v>
      </c>
      <c r="H2272" s="37" t="s">
        <v>556</v>
      </c>
      <c r="I2272" s="37" t="s">
        <v>337</v>
      </c>
      <c r="J2272" s="103">
        <v>-92.645009299999998</v>
      </c>
      <c r="K2272" s="40">
        <v>44.843623999999998</v>
      </c>
      <c r="L2272" s="74"/>
      <c r="M2272" s="272" t="s">
        <v>16</v>
      </c>
      <c r="N2272" s="74">
        <v>0</v>
      </c>
      <c r="O2272" s="94" t="b">
        <v>1</v>
      </c>
      <c r="P2272" s="118">
        <v>0</v>
      </c>
      <c r="Q2272" s="510"/>
      <c r="R2272" s="513"/>
      <c r="S2272" s="41">
        <v>31</v>
      </c>
      <c r="T2272" s="40">
        <v>-28</v>
      </c>
      <c r="U2272" s="40"/>
      <c r="V2272" s="119">
        <v>1</v>
      </c>
      <c r="W2272" s="40">
        <v>100</v>
      </c>
      <c r="X2272" s="119">
        <v>1</v>
      </c>
      <c r="Y2272" s="40">
        <v>57</v>
      </c>
      <c r="Z2272" s="119">
        <v>0</v>
      </c>
      <c r="AA2272" s="368" t="s">
        <v>16</v>
      </c>
      <c r="AB2272" s="535" t="s">
        <v>16</v>
      </c>
      <c r="AC2272" s="39" t="s">
        <v>160</v>
      </c>
      <c r="AD2272" s="75" t="s">
        <v>10</v>
      </c>
      <c r="AE2272" s="95">
        <v>0</v>
      </c>
      <c r="AF2272" s="75">
        <v>0</v>
      </c>
      <c r="AG2272" s="75">
        <v>0</v>
      </c>
      <c r="AH2272" s="75">
        <v>0</v>
      </c>
      <c r="AI2272" s="75">
        <v>0</v>
      </c>
      <c r="AJ2272" s="75">
        <v>0</v>
      </c>
      <c r="AK2272" s="75">
        <v>0</v>
      </c>
      <c r="AL2272" s="95">
        <v>1</v>
      </c>
      <c r="AM2272" s="92">
        <v>0</v>
      </c>
      <c r="AN2272" s="79" t="s">
        <v>80</v>
      </c>
      <c r="AO2272" s="75">
        <v>1</v>
      </c>
      <c r="AP2272" s="75" t="s">
        <v>84</v>
      </c>
      <c r="AQ2272" s="122">
        <v>1</v>
      </c>
      <c r="AR2272" s="515" t="s">
        <v>13</v>
      </c>
      <c r="AS2272" s="95">
        <v>1</v>
      </c>
      <c r="AT2272" s="75">
        <v>0</v>
      </c>
      <c r="AU2272" s="75">
        <v>0</v>
      </c>
      <c r="AV2272" s="75">
        <v>0</v>
      </c>
      <c r="AW2272" s="123">
        <v>0</v>
      </c>
      <c r="AX2272" s="516" t="s">
        <v>543</v>
      </c>
      <c r="AY2272" s="75">
        <v>1</v>
      </c>
      <c r="AZ2272" s="77" t="s">
        <v>131</v>
      </c>
      <c r="BA2272" s="78" t="s">
        <v>131</v>
      </c>
      <c r="BB2272" s="78" t="s">
        <v>131</v>
      </c>
      <c r="BC2272" s="78" t="s">
        <v>131</v>
      </c>
      <c r="BD2272" s="78" t="s">
        <v>131</v>
      </c>
      <c r="BE2272" s="78" t="s">
        <v>131</v>
      </c>
      <c r="BF2272" s="78" t="s">
        <v>131</v>
      </c>
      <c r="BG2272" s="78" t="s">
        <v>132</v>
      </c>
      <c r="BH2272" s="75" t="s">
        <v>5970</v>
      </c>
      <c r="BI2272" s="295" t="s">
        <v>2227</v>
      </c>
      <c r="BJ2272" s="546">
        <v>1</v>
      </c>
      <c r="BK2272" s="294" t="s">
        <v>16</v>
      </c>
      <c r="BL2272" s="157" t="s">
        <v>16</v>
      </c>
      <c r="BM2272" s="548" t="s">
        <v>578</v>
      </c>
      <c r="BN2272" s="548" t="s">
        <v>5969</v>
      </c>
      <c r="BO2272" s="157" t="s">
        <v>4341</v>
      </c>
      <c r="BP2272" s="548" t="s">
        <v>4343</v>
      </c>
      <c r="BQ2272" s="157" t="s">
        <v>4309</v>
      </c>
      <c r="BR2272" s="157"/>
    </row>
    <row r="2273" spans="1:70" x14ac:dyDescent="0.25">
      <c r="A2273" s="19" t="s">
        <v>3686</v>
      </c>
      <c r="B2273" s="37" t="s">
        <v>34</v>
      </c>
      <c r="C2273" s="90">
        <v>43643.844212962962</v>
      </c>
      <c r="D2273" s="114">
        <v>43643.594212962962</v>
      </c>
      <c r="E2273" s="38">
        <v>43643</v>
      </c>
      <c r="F2273" s="91">
        <v>2019</v>
      </c>
      <c r="G2273" s="93">
        <v>6</v>
      </c>
      <c r="H2273" s="37" t="s">
        <v>549</v>
      </c>
      <c r="I2273" s="37" t="s">
        <v>360</v>
      </c>
      <c r="J2273" s="103">
        <v>-92.634280899999993</v>
      </c>
      <c r="K2273" s="40">
        <v>44.840575299999998</v>
      </c>
      <c r="L2273" s="74"/>
      <c r="M2273" s="272" t="s">
        <v>16</v>
      </c>
      <c r="N2273" s="74">
        <v>0</v>
      </c>
      <c r="O2273" s="94" t="b">
        <v>1</v>
      </c>
      <c r="P2273" s="118">
        <v>0</v>
      </c>
      <c r="Q2273" s="510"/>
      <c r="R2273" s="513"/>
      <c r="S2273" s="41">
        <v>25</v>
      </c>
      <c r="T2273" s="40">
        <v>-106</v>
      </c>
      <c r="U2273" s="40"/>
      <c r="V2273" s="119">
        <v>1</v>
      </c>
      <c r="W2273" s="40">
        <v>100</v>
      </c>
      <c r="X2273" s="119">
        <v>1</v>
      </c>
      <c r="Y2273" s="40">
        <v>55</v>
      </c>
      <c r="Z2273" s="119">
        <v>0</v>
      </c>
      <c r="AA2273" s="368" t="s">
        <v>16</v>
      </c>
      <c r="AB2273" s="535" t="s">
        <v>16</v>
      </c>
      <c r="AC2273" s="39" t="s">
        <v>160</v>
      </c>
      <c r="AD2273" s="75" t="s">
        <v>8</v>
      </c>
      <c r="AE2273" s="95">
        <v>0</v>
      </c>
      <c r="AF2273" s="75">
        <v>1</v>
      </c>
      <c r="AG2273" s="75">
        <v>0</v>
      </c>
      <c r="AH2273" s="75">
        <v>0</v>
      </c>
      <c r="AI2273" s="75">
        <v>0</v>
      </c>
      <c r="AJ2273" s="75">
        <v>0</v>
      </c>
      <c r="AK2273" s="75">
        <v>0</v>
      </c>
      <c r="AL2273" s="95">
        <v>0</v>
      </c>
      <c r="AM2273" s="92">
        <v>0</v>
      </c>
      <c r="AN2273" s="79" t="s">
        <v>80</v>
      </c>
      <c r="AO2273" s="75">
        <v>1</v>
      </c>
      <c r="AP2273" s="75" t="s">
        <v>83</v>
      </c>
      <c r="AQ2273" s="122">
        <v>1</v>
      </c>
      <c r="AR2273" s="515" t="s">
        <v>35</v>
      </c>
      <c r="AS2273" s="95">
        <v>0</v>
      </c>
      <c r="AT2273" s="75">
        <v>1</v>
      </c>
      <c r="AU2273" s="75">
        <v>0</v>
      </c>
      <c r="AV2273" s="75">
        <v>0</v>
      </c>
      <c r="AW2273" s="123">
        <v>0</v>
      </c>
      <c r="AX2273" s="516" t="s">
        <v>16</v>
      </c>
      <c r="AY2273" s="75">
        <v>0</v>
      </c>
      <c r="AZ2273" s="77" t="s">
        <v>131</v>
      </c>
      <c r="BA2273" s="78" t="s">
        <v>132</v>
      </c>
      <c r="BB2273" s="78" t="s">
        <v>131</v>
      </c>
      <c r="BC2273" s="78" t="s">
        <v>131</v>
      </c>
      <c r="BD2273" s="78" t="s">
        <v>131</v>
      </c>
      <c r="BE2273" s="78" t="s">
        <v>131</v>
      </c>
      <c r="BF2273" s="78" t="s">
        <v>131</v>
      </c>
      <c r="BG2273" s="78" t="s">
        <v>131</v>
      </c>
      <c r="BH2273" s="75" t="s">
        <v>5970</v>
      </c>
      <c r="BI2273" s="295">
        <v>0</v>
      </c>
      <c r="BJ2273" s="546">
        <v>1</v>
      </c>
      <c r="BK2273" s="294" t="s">
        <v>16</v>
      </c>
      <c r="BL2273" s="157" t="s">
        <v>16</v>
      </c>
      <c r="BM2273" s="548" t="s">
        <v>578</v>
      </c>
      <c r="BN2273" s="548" t="s">
        <v>5969</v>
      </c>
      <c r="BO2273" s="157" t="s">
        <v>4341</v>
      </c>
      <c r="BP2273" s="548" t="s">
        <v>4343</v>
      </c>
      <c r="BQ2273" s="157" t="s">
        <v>4309</v>
      </c>
      <c r="BR2273" s="157"/>
    </row>
    <row r="2274" spans="1:70" x14ac:dyDescent="0.25">
      <c r="A2274" s="19" t="s">
        <v>3686</v>
      </c>
      <c r="B2274" s="37" t="s">
        <v>60</v>
      </c>
      <c r="C2274" s="90">
        <v>43642.932662037034</v>
      </c>
      <c r="D2274" s="114">
        <v>43642.682662037034</v>
      </c>
      <c r="E2274" s="38">
        <v>43642</v>
      </c>
      <c r="F2274" s="91">
        <v>2019</v>
      </c>
      <c r="G2274" s="93">
        <v>6</v>
      </c>
      <c r="H2274" s="37" t="s">
        <v>557</v>
      </c>
      <c r="I2274" s="37" t="s">
        <v>349</v>
      </c>
      <c r="J2274" s="103">
        <v>-92.509630000000001</v>
      </c>
      <c r="K2274" s="40">
        <v>44.773288200000003</v>
      </c>
      <c r="L2274" s="74"/>
      <c r="M2274" s="272" t="s">
        <v>16</v>
      </c>
      <c r="N2274" s="74">
        <v>0</v>
      </c>
      <c r="O2274" s="94" t="b">
        <v>1</v>
      </c>
      <c r="P2274" s="118">
        <v>0</v>
      </c>
      <c r="Q2274" s="510"/>
      <c r="R2274" s="513"/>
      <c r="S2274" s="41">
        <v>41</v>
      </c>
      <c r="T2274" s="40">
        <v>-83</v>
      </c>
      <c r="U2274" s="40"/>
      <c r="V2274" s="119">
        <v>1</v>
      </c>
      <c r="W2274" s="40">
        <v>0</v>
      </c>
      <c r="X2274" s="119">
        <v>0</v>
      </c>
      <c r="Y2274" s="40"/>
      <c r="Z2274" s="119">
        <v>0</v>
      </c>
      <c r="AA2274" s="368" t="s">
        <v>16</v>
      </c>
      <c r="AB2274" s="535" t="s">
        <v>16</v>
      </c>
      <c r="AC2274" s="39" t="s">
        <v>544</v>
      </c>
      <c r="AD2274" s="75" t="s">
        <v>10</v>
      </c>
      <c r="AE2274" s="95">
        <v>0</v>
      </c>
      <c r="AF2274" s="75">
        <v>0</v>
      </c>
      <c r="AG2274" s="75">
        <v>0</v>
      </c>
      <c r="AH2274" s="75">
        <v>0</v>
      </c>
      <c r="AI2274" s="75">
        <v>0</v>
      </c>
      <c r="AJ2274" s="75">
        <v>0</v>
      </c>
      <c r="AK2274" s="75">
        <v>0</v>
      </c>
      <c r="AL2274" s="95">
        <v>1</v>
      </c>
      <c r="AM2274" s="92">
        <v>0</v>
      </c>
      <c r="AN2274" s="79" t="s">
        <v>80</v>
      </c>
      <c r="AO2274" s="75">
        <v>1</v>
      </c>
      <c r="AP2274" s="75" t="s">
        <v>83</v>
      </c>
      <c r="AQ2274" s="122">
        <v>1</v>
      </c>
      <c r="AR2274" s="515" t="s">
        <v>10</v>
      </c>
      <c r="AS2274" s="95">
        <v>0</v>
      </c>
      <c r="AT2274" s="75">
        <v>0</v>
      </c>
      <c r="AU2274" s="75">
        <v>0</v>
      </c>
      <c r="AV2274" s="75">
        <v>0</v>
      </c>
      <c r="AW2274" s="123">
        <v>0</v>
      </c>
      <c r="AX2274" s="516" t="s">
        <v>16</v>
      </c>
      <c r="AY2274" s="75">
        <v>0</v>
      </c>
      <c r="AZ2274" s="77" t="s">
        <v>131</v>
      </c>
      <c r="BA2274" s="78" t="s">
        <v>131</v>
      </c>
      <c r="BB2274" s="78" t="s">
        <v>131</v>
      </c>
      <c r="BC2274" s="78" t="s">
        <v>131</v>
      </c>
      <c r="BD2274" s="78" t="s">
        <v>131</v>
      </c>
      <c r="BE2274" s="78" t="s">
        <v>131</v>
      </c>
      <c r="BF2274" s="78" t="s">
        <v>131</v>
      </c>
      <c r="BG2274" s="78" t="s">
        <v>132</v>
      </c>
      <c r="BH2274" s="75" t="s">
        <v>5970</v>
      </c>
      <c r="BI2274" s="295" t="s">
        <v>2297</v>
      </c>
      <c r="BJ2274" s="546">
        <v>1</v>
      </c>
      <c r="BK2274" s="294" t="s">
        <v>16</v>
      </c>
      <c r="BL2274" s="157" t="s">
        <v>16</v>
      </c>
      <c r="BM2274" s="548" t="s">
        <v>578</v>
      </c>
      <c r="BN2274" s="548" t="s">
        <v>5969</v>
      </c>
      <c r="BO2274" s="157" t="s">
        <v>4658</v>
      </c>
      <c r="BP2274" s="548" t="s">
        <v>4660</v>
      </c>
      <c r="BQ2274" s="157" t="s">
        <v>4657</v>
      </c>
      <c r="BR2274" s="157"/>
    </row>
    <row r="2275" spans="1:70" x14ac:dyDescent="0.25">
      <c r="A2275" s="19" t="s">
        <v>3686</v>
      </c>
      <c r="B2275" s="37" t="s">
        <v>23</v>
      </c>
      <c r="C2275" s="90">
        <v>43636.027650462966</v>
      </c>
      <c r="D2275" s="114">
        <v>43635.777650462966</v>
      </c>
      <c r="E2275" s="38">
        <v>43635</v>
      </c>
      <c r="F2275" s="91">
        <v>2019</v>
      </c>
      <c r="G2275" s="93">
        <v>6</v>
      </c>
      <c r="H2275" s="37" t="s">
        <v>552</v>
      </c>
      <c r="I2275" s="37" t="s">
        <v>544</v>
      </c>
      <c r="J2275" s="103">
        <v>-92.651395100000002</v>
      </c>
      <c r="K2275" s="40">
        <v>44.847151400000001</v>
      </c>
      <c r="L2275" s="74"/>
      <c r="M2275" s="272" t="s">
        <v>16</v>
      </c>
      <c r="N2275" s="74">
        <v>0</v>
      </c>
      <c r="O2275" s="94" t="b">
        <v>1</v>
      </c>
      <c r="P2275" s="118">
        <v>0</v>
      </c>
      <c r="Q2275" s="510"/>
      <c r="R2275" s="513"/>
      <c r="S2275" s="41">
        <v>28</v>
      </c>
      <c r="T2275" s="40">
        <v>-87</v>
      </c>
      <c r="U2275" s="40"/>
      <c r="V2275" s="119">
        <v>0</v>
      </c>
      <c r="W2275" s="40"/>
      <c r="X2275" s="119">
        <v>1</v>
      </c>
      <c r="Y2275" s="40">
        <v>61</v>
      </c>
      <c r="Z2275" s="119">
        <v>0</v>
      </c>
      <c r="AA2275" s="368" t="s">
        <v>16</v>
      </c>
      <c r="AB2275" s="535" t="s">
        <v>16</v>
      </c>
      <c r="AC2275" s="39" t="s">
        <v>160</v>
      </c>
      <c r="AD2275" s="75" t="s">
        <v>10</v>
      </c>
      <c r="AE2275" s="95">
        <v>0</v>
      </c>
      <c r="AF2275" s="75">
        <v>0</v>
      </c>
      <c r="AG2275" s="75">
        <v>0</v>
      </c>
      <c r="AH2275" s="75">
        <v>0</v>
      </c>
      <c r="AI2275" s="75">
        <v>0</v>
      </c>
      <c r="AJ2275" s="75">
        <v>0</v>
      </c>
      <c r="AK2275" s="75">
        <v>0</v>
      </c>
      <c r="AL2275" s="95">
        <v>1</v>
      </c>
      <c r="AM2275" s="92">
        <v>0</v>
      </c>
      <c r="AN2275" s="79" t="s">
        <v>80</v>
      </c>
      <c r="AO2275" s="75">
        <v>1</v>
      </c>
      <c r="AP2275" s="75" t="s">
        <v>83</v>
      </c>
      <c r="AQ2275" s="122">
        <v>1</v>
      </c>
      <c r="AR2275" s="515" t="s">
        <v>10</v>
      </c>
      <c r="AS2275" s="95">
        <v>0</v>
      </c>
      <c r="AT2275" s="75">
        <v>0</v>
      </c>
      <c r="AU2275" s="75">
        <v>0</v>
      </c>
      <c r="AV2275" s="75">
        <v>0</v>
      </c>
      <c r="AW2275" s="123">
        <v>0</v>
      </c>
      <c r="AX2275" s="516" t="s">
        <v>16</v>
      </c>
      <c r="AY2275" s="75">
        <v>0</v>
      </c>
      <c r="AZ2275" s="77" t="s">
        <v>131</v>
      </c>
      <c r="BA2275" s="78" t="s">
        <v>131</v>
      </c>
      <c r="BB2275" s="78" t="s">
        <v>131</v>
      </c>
      <c r="BC2275" s="78" t="s">
        <v>131</v>
      </c>
      <c r="BD2275" s="78" t="s">
        <v>131</v>
      </c>
      <c r="BE2275" s="78" t="s">
        <v>131</v>
      </c>
      <c r="BF2275" s="78" t="s">
        <v>131</v>
      </c>
      <c r="BG2275" s="78" t="s">
        <v>132</v>
      </c>
      <c r="BH2275" s="75" t="s">
        <v>5970</v>
      </c>
      <c r="BI2275" s="295" t="s">
        <v>2227</v>
      </c>
      <c r="BJ2275" s="546">
        <v>1</v>
      </c>
      <c r="BK2275" s="294" t="s">
        <v>16</v>
      </c>
      <c r="BL2275" s="157" t="s">
        <v>16</v>
      </c>
      <c r="BM2275" s="548" t="s">
        <v>578</v>
      </c>
      <c r="BN2275" s="548" t="s">
        <v>5969</v>
      </c>
      <c r="BO2275" s="157" t="s">
        <v>4341</v>
      </c>
      <c r="BP2275" s="548" t="s">
        <v>4343</v>
      </c>
      <c r="BQ2275" s="157" t="s">
        <v>4309</v>
      </c>
      <c r="BR2275" s="157"/>
    </row>
    <row r="2276" spans="1:70" x14ac:dyDescent="0.25">
      <c r="A2276" s="19" t="s">
        <v>3686</v>
      </c>
      <c r="B2276" s="37" t="s">
        <v>26</v>
      </c>
      <c r="C2276" s="90">
        <v>43626.926782407405</v>
      </c>
      <c r="D2276" s="114">
        <v>43626.676782407405</v>
      </c>
      <c r="E2276" s="38">
        <v>43626</v>
      </c>
      <c r="F2276" s="91">
        <v>2019</v>
      </c>
      <c r="G2276" s="93">
        <v>6</v>
      </c>
      <c r="H2276" s="37" t="s">
        <v>556</v>
      </c>
      <c r="I2276" s="37" t="s">
        <v>337</v>
      </c>
      <c r="J2276" s="103">
        <v>-92.645202800000007</v>
      </c>
      <c r="K2276" s="40">
        <v>44.843479500000001</v>
      </c>
      <c r="L2276" s="74"/>
      <c r="M2276" s="272" t="s">
        <v>16</v>
      </c>
      <c r="N2276" s="74">
        <v>0</v>
      </c>
      <c r="O2276" s="94" t="b">
        <v>1</v>
      </c>
      <c r="P2276" s="118">
        <v>0</v>
      </c>
      <c r="Q2276" s="510"/>
      <c r="R2276" s="513"/>
      <c r="S2276" s="41">
        <v>11</v>
      </c>
      <c r="T2276" s="40">
        <v>8</v>
      </c>
      <c r="U2276" s="40"/>
      <c r="V2276" s="119">
        <v>1</v>
      </c>
      <c r="W2276" s="40">
        <v>100</v>
      </c>
      <c r="X2276" s="119">
        <v>1</v>
      </c>
      <c r="Y2276" s="40">
        <v>61</v>
      </c>
      <c r="Z2276" s="119">
        <v>0</v>
      </c>
      <c r="AA2276" s="368" t="s">
        <v>16</v>
      </c>
      <c r="AB2276" s="535" t="s">
        <v>16</v>
      </c>
      <c r="AC2276" s="39" t="s">
        <v>160</v>
      </c>
      <c r="AD2276" s="75" t="s">
        <v>10</v>
      </c>
      <c r="AE2276" s="95">
        <v>0</v>
      </c>
      <c r="AF2276" s="75">
        <v>0</v>
      </c>
      <c r="AG2276" s="75">
        <v>0</v>
      </c>
      <c r="AH2276" s="75">
        <v>0</v>
      </c>
      <c r="AI2276" s="75">
        <v>0</v>
      </c>
      <c r="AJ2276" s="75">
        <v>0</v>
      </c>
      <c r="AK2276" s="75">
        <v>0</v>
      </c>
      <c r="AL2276" s="95">
        <v>1</v>
      </c>
      <c r="AM2276" s="92">
        <v>0</v>
      </c>
      <c r="AN2276" s="79" t="s">
        <v>80</v>
      </c>
      <c r="AO2276" s="75">
        <v>1</v>
      </c>
      <c r="AP2276" s="75" t="s">
        <v>83</v>
      </c>
      <c r="AQ2276" s="122">
        <v>1</v>
      </c>
      <c r="AR2276" s="515" t="s">
        <v>10</v>
      </c>
      <c r="AS2276" s="95">
        <v>0</v>
      </c>
      <c r="AT2276" s="75">
        <v>0</v>
      </c>
      <c r="AU2276" s="75">
        <v>0</v>
      </c>
      <c r="AV2276" s="75">
        <v>0</v>
      </c>
      <c r="AW2276" s="123">
        <v>0</v>
      </c>
      <c r="AX2276" s="516" t="s">
        <v>543</v>
      </c>
      <c r="AY2276" s="75">
        <v>1</v>
      </c>
      <c r="AZ2276" s="77" t="s">
        <v>131</v>
      </c>
      <c r="BA2276" s="78" t="s">
        <v>131</v>
      </c>
      <c r="BB2276" s="78" t="s">
        <v>131</v>
      </c>
      <c r="BC2276" s="78" t="s">
        <v>131</v>
      </c>
      <c r="BD2276" s="78" t="s">
        <v>131</v>
      </c>
      <c r="BE2276" s="78" t="s">
        <v>131</v>
      </c>
      <c r="BF2276" s="78" t="s">
        <v>131</v>
      </c>
      <c r="BG2276" s="78" t="s">
        <v>132</v>
      </c>
      <c r="BH2276" s="75" t="s">
        <v>5970</v>
      </c>
      <c r="BI2276" s="295" t="s">
        <v>2227</v>
      </c>
      <c r="BJ2276" s="546">
        <v>1</v>
      </c>
      <c r="BK2276" s="294" t="s">
        <v>16</v>
      </c>
      <c r="BL2276" s="157" t="s">
        <v>16</v>
      </c>
      <c r="BM2276" s="548" t="s">
        <v>578</v>
      </c>
      <c r="BN2276" s="548" t="s">
        <v>5969</v>
      </c>
      <c r="BO2276" s="157" t="s">
        <v>4341</v>
      </c>
      <c r="BP2276" s="548" t="s">
        <v>4343</v>
      </c>
      <c r="BQ2276" s="157" t="s">
        <v>4309</v>
      </c>
      <c r="BR2276" s="157"/>
    </row>
    <row r="2277" spans="1:70" x14ac:dyDescent="0.25">
      <c r="A2277" s="19" t="s">
        <v>3686</v>
      </c>
      <c r="B2277" s="37" t="s">
        <v>69</v>
      </c>
      <c r="C2277" s="90">
        <v>43624.573113425926</v>
      </c>
      <c r="D2277" s="114">
        <v>43624.323113425926</v>
      </c>
      <c r="E2277" s="38">
        <v>43624</v>
      </c>
      <c r="F2277" s="91">
        <v>2019</v>
      </c>
      <c r="G2277" s="93">
        <v>6</v>
      </c>
      <c r="H2277" s="37" t="s">
        <v>562</v>
      </c>
      <c r="I2277" s="37"/>
      <c r="J2277" s="103">
        <v>-92.151009999999999</v>
      </c>
      <c r="K2277" s="40">
        <v>44.777846699999998</v>
      </c>
      <c r="L2277" s="74"/>
      <c r="M2277" s="272" t="s">
        <v>16</v>
      </c>
      <c r="N2277" s="74">
        <v>0</v>
      </c>
      <c r="O2277" s="94"/>
      <c r="P2277" s="118">
        <v>0</v>
      </c>
      <c r="Q2277" s="510"/>
      <c r="R2277" s="513"/>
      <c r="S2277" s="41">
        <v>1</v>
      </c>
      <c r="T2277" s="40">
        <v>39</v>
      </c>
      <c r="U2277" s="40"/>
      <c r="V2277" s="119">
        <v>1</v>
      </c>
      <c r="W2277" s="40">
        <v>0</v>
      </c>
      <c r="X2277" s="119">
        <v>1</v>
      </c>
      <c r="Y2277" s="40">
        <v>56</v>
      </c>
      <c r="Z2277" s="119">
        <v>0</v>
      </c>
      <c r="AA2277" s="368" t="s">
        <v>16</v>
      </c>
      <c r="AB2277" s="535" t="s">
        <v>16</v>
      </c>
      <c r="AC2277" s="39" t="s">
        <v>160</v>
      </c>
      <c r="AD2277" s="75" t="s">
        <v>10</v>
      </c>
      <c r="AE2277" s="95">
        <v>0</v>
      </c>
      <c r="AF2277" s="75">
        <v>0</v>
      </c>
      <c r="AG2277" s="75">
        <v>0</v>
      </c>
      <c r="AH2277" s="75">
        <v>0</v>
      </c>
      <c r="AI2277" s="75">
        <v>0</v>
      </c>
      <c r="AJ2277" s="75">
        <v>0</v>
      </c>
      <c r="AK2277" s="75">
        <v>0</v>
      </c>
      <c r="AL2277" s="95">
        <v>1</v>
      </c>
      <c r="AM2277" s="92">
        <v>0</v>
      </c>
      <c r="AN2277" s="79" t="s">
        <v>80</v>
      </c>
      <c r="AO2277" s="75">
        <v>1</v>
      </c>
      <c r="AP2277" s="75" t="s">
        <v>83</v>
      </c>
      <c r="AQ2277" s="122">
        <v>1</v>
      </c>
      <c r="AR2277" s="515" t="s">
        <v>10</v>
      </c>
      <c r="AS2277" s="95">
        <v>0</v>
      </c>
      <c r="AT2277" s="75">
        <v>0</v>
      </c>
      <c r="AU2277" s="75">
        <v>0</v>
      </c>
      <c r="AV2277" s="75">
        <v>0</v>
      </c>
      <c r="AW2277" s="123">
        <v>0</v>
      </c>
      <c r="AX2277" s="516"/>
      <c r="AY2277" s="75">
        <v>0</v>
      </c>
      <c r="AZ2277" s="77" t="s">
        <v>131</v>
      </c>
      <c r="BA2277" s="78" t="s">
        <v>131</v>
      </c>
      <c r="BB2277" s="78" t="s">
        <v>131</v>
      </c>
      <c r="BC2277" s="78" t="s">
        <v>131</v>
      </c>
      <c r="BD2277" s="78" t="s">
        <v>131</v>
      </c>
      <c r="BE2277" s="78" t="s">
        <v>131</v>
      </c>
      <c r="BF2277" s="78" t="s">
        <v>131</v>
      </c>
      <c r="BG2277" s="78" t="s">
        <v>132</v>
      </c>
      <c r="BH2277" s="75" t="s">
        <v>5970</v>
      </c>
      <c r="BI2277" s="295" t="s">
        <v>16</v>
      </c>
      <c r="BJ2277" s="546">
        <v>1</v>
      </c>
      <c r="BK2277" s="294">
        <v>1</v>
      </c>
      <c r="BL2277" s="157">
        <v>1</v>
      </c>
      <c r="BM2277" s="548" t="s">
        <v>578</v>
      </c>
      <c r="BN2277" s="548" t="s">
        <v>5969</v>
      </c>
      <c r="BO2277" s="157" t="s">
        <v>4318</v>
      </c>
      <c r="BP2277" s="548" t="s">
        <v>4439</v>
      </c>
      <c r="BQ2277" s="157" t="s">
        <v>4316</v>
      </c>
      <c r="BR2277" s="157"/>
    </row>
    <row r="2278" spans="1:70" x14ac:dyDescent="0.25">
      <c r="A2278" s="19" t="s">
        <v>3686</v>
      </c>
      <c r="B2278" s="37" t="s">
        <v>64</v>
      </c>
      <c r="C2278" s="90">
        <v>43621.776770833334</v>
      </c>
      <c r="D2278" s="114">
        <v>43621.526770833334</v>
      </c>
      <c r="E2278" s="38">
        <v>43621</v>
      </c>
      <c r="F2278" s="91">
        <v>2019</v>
      </c>
      <c r="G2278" s="93">
        <v>6</v>
      </c>
      <c r="H2278" s="37" t="s">
        <v>547</v>
      </c>
      <c r="I2278" s="37" t="s">
        <v>2361</v>
      </c>
      <c r="J2278" s="103">
        <v>-92.443025000000006</v>
      </c>
      <c r="K2278" s="40">
        <v>44.621465800000003</v>
      </c>
      <c r="L2278" s="74"/>
      <c r="M2278" s="272" t="s">
        <v>16</v>
      </c>
      <c r="N2278" s="74">
        <v>0</v>
      </c>
      <c r="O2278" s="94" t="b">
        <v>1</v>
      </c>
      <c r="P2278" s="118">
        <v>0</v>
      </c>
      <c r="Q2278" s="510"/>
      <c r="R2278" s="513"/>
      <c r="S2278" s="41">
        <v>35</v>
      </c>
      <c r="T2278" s="40">
        <v>-95</v>
      </c>
      <c r="U2278" s="40"/>
      <c r="V2278" s="119">
        <v>1</v>
      </c>
      <c r="W2278" s="40">
        <v>0</v>
      </c>
      <c r="X2278" s="119">
        <v>1</v>
      </c>
      <c r="Y2278" s="40">
        <v>62</v>
      </c>
      <c r="Z2278" s="119">
        <v>0</v>
      </c>
      <c r="AA2278" s="368" t="s">
        <v>16</v>
      </c>
      <c r="AB2278" s="535" t="s">
        <v>16</v>
      </c>
      <c r="AC2278" s="39" t="s">
        <v>160</v>
      </c>
      <c r="AD2278" s="75" t="s">
        <v>10</v>
      </c>
      <c r="AE2278" s="95">
        <v>0</v>
      </c>
      <c r="AF2278" s="75">
        <v>0</v>
      </c>
      <c r="AG2278" s="75">
        <v>0</v>
      </c>
      <c r="AH2278" s="75">
        <v>0</v>
      </c>
      <c r="AI2278" s="75">
        <v>0</v>
      </c>
      <c r="AJ2278" s="75">
        <v>0</v>
      </c>
      <c r="AK2278" s="75">
        <v>0</v>
      </c>
      <c r="AL2278" s="95">
        <v>1</v>
      </c>
      <c r="AM2278" s="92">
        <v>0</v>
      </c>
      <c r="AN2278" s="79" t="s">
        <v>80</v>
      </c>
      <c r="AO2278" s="75">
        <v>1</v>
      </c>
      <c r="AP2278" s="75" t="s">
        <v>84</v>
      </c>
      <c r="AQ2278" s="122">
        <v>1</v>
      </c>
      <c r="AR2278" s="515" t="s">
        <v>35</v>
      </c>
      <c r="AS2278" s="95">
        <v>0</v>
      </c>
      <c r="AT2278" s="75">
        <v>1</v>
      </c>
      <c r="AU2278" s="75">
        <v>0</v>
      </c>
      <c r="AV2278" s="75">
        <v>0</v>
      </c>
      <c r="AW2278" s="123">
        <v>0</v>
      </c>
      <c r="AX2278" s="516" t="s">
        <v>16</v>
      </c>
      <c r="AY2278" s="75">
        <v>0</v>
      </c>
      <c r="AZ2278" s="77" t="s">
        <v>131</v>
      </c>
      <c r="BA2278" s="78" t="s">
        <v>131</v>
      </c>
      <c r="BB2278" s="78" t="s">
        <v>131</v>
      </c>
      <c r="BC2278" s="78" t="s">
        <v>131</v>
      </c>
      <c r="BD2278" s="78" t="s">
        <v>131</v>
      </c>
      <c r="BE2278" s="78" t="s">
        <v>131</v>
      </c>
      <c r="BF2278" s="78" t="s">
        <v>131</v>
      </c>
      <c r="BG2278" s="78" t="s">
        <v>132</v>
      </c>
      <c r="BH2278" s="75" t="s">
        <v>5970</v>
      </c>
      <c r="BI2278" s="295" t="s">
        <v>2289</v>
      </c>
      <c r="BJ2278" s="546">
        <v>1</v>
      </c>
      <c r="BK2278" s="294" t="s">
        <v>16</v>
      </c>
      <c r="BL2278" s="157" t="s">
        <v>16</v>
      </c>
      <c r="BM2278" s="548" t="s">
        <v>578</v>
      </c>
      <c r="BN2278" s="548" t="s">
        <v>5969</v>
      </c>
      <c r="BO2278" s="157" t="s">
        <v>4283</v>
      </c>
      <c r="BP2278" s="548" t="s">
        <v>2289</v>
      </c>
      <c r="BQ2278" s="157" t="s">
        <v>4214</v>
      </c>
      <c r="BR2278" s="157"/>
    </row>
    <row r="2279" spans="1:70" x14ac:dyDescent="0.25">
      <c r="A2279" s="19" t="s">
        <v>3686</v>
      </c>
      <c r="B2279" s="37" t="s">
        <v>67</v>
      </c>
      <c r="C2279" s="90">
        <v>43619.847314814811</v>
      </c>
      <c r="D2279" s="114">
        <v>43619.597314814811</v>
      </c>
      <c r="E2279" s="38">
        <v>43619</v>
      </c>
      <c r="F2279" s="91">
        <v>2019</v>
      </c>
      <c r="G2279" s="93">
        <v>6</v>
      </c>
      <c r="H2279" s="37" t="s">
        <v>547</v>
      </c>
      <c r="I2279" s="37" t="s">
        <v>2363</v>
      </c>
      <c r="J2279" s="103">
        <v>-92.190892399999996</v>
      </c>
      <c r="K2279" s="40">
        <v>44.633518500000001</v>
      </c>
      <c r="L2279" s="74"/>
      <c r="M2279" s="272" t="s">
        <v>16</v>
      </c>
      <c r="N2279" s="74">
        <v>0</v>
      </c>
      <c r="O2279" s="94" t="b">
        <v>1</v>
      </c>
      <c r="P2279" s="118">
        <v>0</v>
      </c>
      <c r="Q2279" s="510"/>
      <c r="R2279" s="513"/>
      <c r="S2279" s="41">
        <v>7</v>
      </c>
      <c r="T2279" s="40">
        <v>-44</v>
      </c>
      <c r="U2279" s="40"/>
      <c r="V2279" s="119">
        <v>1</v>
      </c>
      <c r="W2279" s="40">
        <v>0</v>
      </c>
      <c r="X2279" s="119">
        <v>1</v>
      </c>
      <c r="Y2279" s="40">
        <v>61</v>
      </c>
      <c r="Z2279" s="119">
        <v>0</v>
      </c>
      <c r="AA2279" s="368" t="s">
        <v>16</v>
      </c>
      <c r="AB2279" s="535" t="s">
        <v>16</v>
      </c>
      <c r="AC2279" s="39" t="s">
        <v>160</v>
      </c>
      <c r="AD2279" s="75" t="s">
        <v>7</v>
      </c>
      <c r="AE2279" s="95">
        <v>1</v>
      </c>
      <c r="AF2279" s="75">
        <v>0</v>
      </c>
      <c r="AG2279" s="75">
        <v>0</v>
      </c>
      <c r="AH2279" s="75">
        <v>0</v>
      </c>
      <c r="AI2279" s="75">
        <v>0</v>
      </c>
      <c r="AJ2279" s="75">
        <v>0</v>
      </c>
      <c r="AK2279" s="75">
        <v>0</v>
      </c>
      <c r="AL2279" s="95">
        <v>0</v>
      </c>
      <c r="AM2279" s="92">
        <v>0</v>
      </c>
      <c r="AN2279" s="79" t="s">
        <v>80</v>
      </c>
      <c r="AO2279" s="75">
        <v>1</v>
      </c>
      <c r="AP2279" s="75" t="s">
        <v>83</v>
      </c>
      <c r="AQ2279" s="122">
        <v>1</v>
      </c>
      <c r="AR2279" s="515" t="s">
        <v>10</v>
      </c>
      <c r="AS2279" s="95">
        <v>0</v>
      </c>
      <c r="AT2279" s="75">
        <v>0</v>
      </c>
      <c r="AU2279" s="75">
        <v>0</v>
      </c>
      <c r="AV2279" s="75">
        <v>0</v>
      </c>
      <c r="AW2279" s="123">
        <v>0</v>
      </c>
      <c r="AX2279" s="516" t="s">
        <v>16</v>
      </c>
      <c r="AY2279" s="75">
        <v>0</v>
      </c>
      <c r="AZ2279" s="77" t="s">
        <v>132</v>
      </c>
      <c r="BA2279" s="78" t="s">
        <v>131</v>
      </c>
      <c r="BB2279" s="78" t="s">
        <v>131</v>
      </c>
      <c r="BC2279" s="78" t="s">
        <v>131</v>
      </c>
      <c r="BD2279" s="78" t="s">
        <v>131</v>
      </c>
      <c r="BE2279" s="78" t="s">
        <v>131</v>
      </c>
      <c r="BF2279" s="78" t="s">
        <v>131</v>
      </c>
      <c r="BG2279" s="78" t="s">
        <v>131</v>
      </c>
      <c r="BH2279" s="75" t="s">
        <v>5970</v>
      </c>
      <c r="BI2279" s="295" t="s">
        <v>2248</v>
      </c>
      <c r="BJ2279" s="546">
        <v>1</v>
      </c>
      <c r="BK2279" s="294">
        <v>1</v>
      </c>
      <c r="BL2279" s="157">
        <v>1</v>
      </c>
      <c r="BM2279" s="548" t="s">
        <v>578</v>
      </c>
      <c r="BN2279" s="548" t="s">
        <v>5969</v>
      </c>
      <c r="BO2279" s="157" t="s">
        <v>4218</v>
      </c>
      <c r="BP2279" s="548" t="s">
        <v>4221</v>
      </c>
      <c r="BQ2279" s="157" t="s">
        <v>4217</v>
      </c>
      <c r="BR2279" s="157"/>
    </row>
    <row r="2280" spans="1:70" x14ac:dyDescent="0.25">
      <c r="A2280" s="19" t="s">
        <v>3686</v>
      </c>
      <c r="B2280" s="37" t="s">
        <v>50</v>
      </c>
      <c r="C2280" s="90">
        <v>43617.685046296298</v>
      </c>
      <c r="D2280" s="114">
        <v>43617.435046296298</v>
      </c>
      <c r="E2280" s="38">
        <v>43617</v>
      </c>
      <c r="F2280" s="91">
        <v>2019</v>
      </c>
      <c r="G2280" s="93">
        <v>6</v>
      </c>
      <c r="H2280" s="37" t="s">
        <v>557</v>
      </c>
      <c r="I2280" s="37" t="s">
        <v>349</v>
      </c>
      <c r="J2280" s="103">
        <v>-92.529713099999995</v>
      </c>
      <c r="K2280" s="40">
        <v>44.793793299999997</v>
      </c>
      <c r="L2280" s="74"/>
      <c r="M2280" s="272" t="s">
        <v>16</v>
      </c>
      <c r="N2280" s="74">
        <v>0</v>
      </c>
      <c r="O2280" s="94" t="b">
        <v>1</v>
      </c>
      <c r="P2280" s="118">
        <v>0</v>
      </c>
      <c r="Q2280" s="510"/>
      <c r="R2280" s="513"/>
      <c r="S2280" s="41">
        <v>22</v>
      </c>
      <c r="T2280" s="40">
        <v>-62</v>
      </c>
      <c r="U2280" s="40"/>
      <c r="V2280" s="119">
        <v>1</v>
      </c>
      <c r="W2280" s="40">
        <v>0</v>
      </c>
      <c r="X2280" s="119">
        <v>0</v>
      </c>
      <c r="Y2280" s="40"/>
      <c r="Z2280" s="119">
        <v>0</v>
      </c>
      <c r="AA2280" s="368" t="s">
        <v>16</v>
      </c>
      <c r="AB2280" s="535" t="s">
        <v>16</v>
      </c>
      <c r="AC2280" s="39" t="s">
        <v>160</v>
      </c>
      <c r="AD2280" s="75" t="s">
        <v>51</v>
      </c>
      <c r="AE2280" s="95">
        <v>1</v>
      </c>
      <c r="AF2280" s="75">
        <v>0</v>
      </c>
      <c r="AG2280" s="75">
        <v>0</v>
      </c>
      <c r="AH2280" s="75">
        <v>0</v>
      </c>
      <c r="AI2280" s="75">
        <v>0</v>
      </c>
      <c r="AJ2280" s="75">
        <v>0</v>
      </c>
      <c r="AK2280" s="75">
        <v>0</v>
      </c>
      <c r="AL2280" s="95">
        <v>1</v>
      </c>
      <c r="AM2280" s="92">
        <v>0</v>
      </c>
      <c r="AN2280" s="79" t="s">
        <v>80</v>
      </c>
      <c r="AO2280" s="75">
        <v>1</v>
      </c>
      <c r="AP2280" s="75" t="s">
        <v>83</v>
      </c>
      <c r="AQ2280" s="122">
        <v>1</v>
      </c>
      <c r="AR2280" s="515" t="s">
        <v>10</v>
      </c>
      <c r="AS2280" s="95">
        <v>0</v>
      </c>
      <c r="AT2280" s="75">
        <v>0</v>
      </c>
      <c r="AU2280" s="75">
        <v>0</v>
      </c>
      <c r="AV2280" s="75">
        <v>0</v>
      </c>
      <c r="AW2280" s="123">
        <v>0</v>
      </c>
      <c r="AX2280" s="516" t="s">
        <v>16</v>
      </c>
      <c r="AY2280" s="75">
        <v>0</v>
      </c>
      <c r="AZ2280" s="77" t="s">
        <v>132</v>
      </c>
      <c r="BA2280" s="78" t="s">
        <v>131</v>
      </c>
      <c r="BB2280" s="78" t="s">
        <v>131</v>
      </c>
      <c r="BC2280" s="78" t="s">
        <v>131</v>
      </c>
      <c r="BD2280" s="78" t="s">
        <v>131</v>
      </c>
      <c r="BE2280" s="78" t="s">
        <v>131</v>
      </c>
      <c r="BF2280" s="78" t="s">
        <v>131</v>
      </c>
      <c r="BG2280" s="78" t="s">
        <v>132</v>
      </c>
      <c r="BH2280" s="75" t="s">
        <v>5970</v>
      </c>
      <c r="BI2280" s="295" t="s">
        <v>16</v>
      </c>
      <c r="BJ2280" s="546">
        <v>1</v>
      </c>
      <c r="BK2280" s="294" t="s">
        <v>16</v>
      </c>
      <c r="BL2280" s="157" t="s">
        <v>16</v>
      </c>
      <c r="BM2280" s="548" t="s">
        <v>578</v>
      </c>
      <c r="BN2280" s="548" t="s">
        <v>5969</v>
      </c>
      <c r="BO2280" s="157" t="s">
        <v>4658</v>
      </c>
      <c r="BP2280" s="548" t="s">
        <v>4660</v>
      </c>
      <c r="BQ2280" s="157" t="s">
        <v>4657</v>
      </c>
      <c r="BR2280" s="157"/>
    </row>
    <row r="2281" spans="1:70" x14ac:dyDescent="0.25">
      <c r="A2281" s="19" t="s">
        <v>3686</v>
      </c>
      <c r="B2281" s="37" t="s">
        <v>22</v>
      </c>
      <c r="C2281" s="90">
        <v>43617.082060185188</v>
      </c>
      <c r="D2281" s="114">
        <v>43616.832060185188</v>
      </c>
      <c r="E2281" s="38">
        <v>43616</v>
      </c>
      <c r="F2281" s="91">
        <v>2019</v>
      </c>
      <c r="G2281" s="93">
        <v>5</v>
      </c>
      <c r="H2281" s="37" t="s">
        <v>545</v>
      </c>
      <c r="I2281" s="37"/>
      <c r="J2281" s="103">
        <v>-92.3512889</v>
      </c>
      <c r="K2281" s="40">
        <v>44.773636600000003</v>
      </c>
      <c r="L2281" s="74"/>
      <c r="M2281" s="272" t="s">
        <v>16</v>
      </c>
      <c r="N2281" s="74">
        <v>0</v>
      </c>
      <c r="O2281" s="94"/>
      <c r="P2281" s="118">
        <v>0</v>
      </c>
      <c r="Q2281" s="510"/>
      <c r="R2281" s="513"/>
      <c r="S2281" s="41">
        <v>34</v>
      </c>
      <c r="T2281" s="40">
        <v>-90</v>
      </c>
      <c r="U2281" s="40"/>
      <c r="V2281" s="119">
        <v>0</v>
      </c>
      <c r="W2281" s="40"/>
      <c r="X2281" s="119">
        <v>1</v>
      </c>
      <c r="Y2281" s="40">
        <v>60</v>
      </c>
      <c r="Z2281" s="119">
        <v>0</v>
      </c>
      <c r="AA2281" s="368" t="s">
        <v>16</v>
      </c>
      <c r="AB2281" s="535" t="s">
        <v>16</v>
      </c>
      <c r="AC2281" s="39" t="s">
        <v>160</v>
      </c>
      <c r="AD2281" s="75" t="s">
        <v>10</v>
      </c>
      <c r="AE2281" s="95">
        <v>0</v>
      </c>
      <c r="AF2281" s="75">
        <v>0</v>
      </c>
      <c r="AG2281" s="75">
        <v>0</v>
      </c>
      <c r="AH2281" s="75">
        <v>0</v>
      </c>
      <c r="AI2281" s="75">
        <v>0</v>
      </c>
      <c r="AJ2281" s="75">
        <v>0</v>
      </c>
      <c r="AK2281" s="75">
        <v>0</v>
      </c>
      <c r="AL2281" s="95">
        <v>1</v>
      </c>
      <c r="AM2281" s="92">
        <v>0</v>
      </c>
      <c r="AN2281" s="79" t="s">
        <v>80</v>
      </c>
      <c r="AO2281" s="75">
        <v>1</v>
      </c>
      <c r="AP2281" s="75" t="s">
        <v>83</v>
      </c>
      <c r="AQ2281" s="122">
        <v>1</v>
      </c>
      <c r="AR2281" s="515" t="s">
        <v>13</v>
      </c>
      <c r="AS2281" s="95">
        <v>1</v>
      </c>
      <c r="AT2281" s="75">
        <v>0</v>
      </c>
      <c r="AU2281" s="75">
        <v>0</v>
      </c>
      <c r="AV2281" s="75">
        <v>0</v>
      </c>
      <c r="AW2281" s="123">
        <v>0</v>
      </c>
      <c r="AX2281" s="516"/>
      <c r="AY2281" s="75">
        <v>0</v>
      </c>
      <c r="AZ2281" s="77" t="s">
        <v>131</v>
      </c>
      <c r="BA2281" s="78" t="s">
        <v>131</v>
      </c>
      <c r="BB2281" s="78" t="s">
        <v>131</v>
      </c>
      <c r="BC2281" s="78" t="s">
        <v>131</v>
      </c>
      <c r="BD2281" s="78" t="s">
        <v>131</v>
      </c>
      <c r="BE2281" s="78" t="s">
        <v>131</v>
      </c>
      <c r="BF2281" s="78" t="s">
        <v>131</v>
      </c>
      <c r="BG2281" s="78" t="s">
        <v>132</v>
      </c>
      <c r="BH2281" s="75" t="s">
        <v>5970</v>
      </c>
      <c r="BI2281" s="295" t="s">
        <v>2231</v>
      </c>
      <c r="BJ2281" s="546">
        <v>1</v>
      </c>
      <c r="BK2281" s="294">
        <v>1</v>
      </c>
      <c r="BL2281" s="157">
        <v>1</v>
      </c>
      <c r="BM2281" s="548" t="s">
        <v>578</v>
      </c>
      <c r="BN2281" s="548" t="s">
        <v>5969</v>
      </c>
      <c r="BO2281" s="157" t="s">
        <v>4213</v>
      </c>
      <c r="BP2281" s="548" t="s">
        <v>4216</v>
      </c>
      <c r="BQ2281" s="157" t="s">
        <v>4212</v>
      </c>
      <c r="BR2281" s="157"/>
    </row>
    <row r="2282" spans="1:70" x14ac:dyDescent="0.25">
      <c r="A2282" s="19" t="s">
        <v>3686</v>
      </c>
      <c r="B2282" s="37" t="s">
        <v>27</v>
      </c>
      <c r="C2282" s="90">
        <v>43613.664027777777</v>
      </c>
      <c r="D2282" s="114">
        <v>43613.414027777777</v>
      </c>
      <c r="E2282" s="38">
        <v>43613</v>
      </c>
      <c r="F2282" s="91">
        <v>2019</v>
      </c>
      <c r="G2282" s="93">
        <v>5</v>
      </c>
      <c r="H2282" s="37" t="s">
        <v>556</v>
      </c>
      <c r="I2282" s="37" t="s">
        <v>337</v>
      </c>
      <c r="J2282" s="103">
        <v>-92.641605100000007</v>
      </c>
      <c r="K2282" s="40">
        <v>44.847351600000003</v>
      </c>
      <c r="L2282" s="74"/>
      <c r="M2282" s="272" t="s">
        <v>16</v>
      </c>
      <c r="N2282" s="74">
        <v>0</v>
      </c>
      <c r="O2282" s="94" t="b">
        <v>1</v>
      </c>
      <c r="P2282" s="118">
        <v>0</v>
      </c>
      <c r="Q2282" s="510"/>
      <c r="R2282" s="513"/>
      <c r="S2282" s="41">
        <v>13</v>
      </c>
      <c r="T2282" s="40">
        <v>18</v>
      </c>
      <c r="U2282" s="40"/>
      <c r="V2282" s="119">
        <v>1</v>
      </c>
      <c r="W2282" s="40">
        <v>100</v>
      </c>
      <c r="X2282" s="119">
        <v>1</v>
      </c>
      <c r="Y2282" s="40">
        <v>51</v>
      </c>
      <c r="Z2282" s="119">
        <v>0</v>
      </c>
      <c r="AA2282" s="368" t="s">
        <v>16</v>
      </c>
      <c r="AB2282" s="535" t="s">
        <v>16</v>
      </c>
      <c r="AC2282" s="39" t="s">
        <v>160</v>
      </c>
      <c r="AD2282" s="75" t="s">
        <v>10</v>
      </c>
      <c r="AE2282" s="95">
        <v>0</v>
      </c>
      <c r="AF2282" s="75">
        <v>0</v>
      </c>
      <c r="AG2282" s="75">
        <v>0</v>
      </c>
      <c r="AH2282" s="75">
        <v>0</v>
      </c>
      <c r="AI2282" s="75">
        <v>0</v>
      </c>
      <c r="AJ2282" s="75">
        <v>0</v>
      </c>
      <c r="AK2282" s="75">
        <v>0</v>
      </c>
      <c r="AL2282" s="95">
        <v>1</v>
      </c>
      <c r="AM2282" s="92">
        <v>0</v>
      </c>
      <c r="AN2282" s="79" t="s">
        <v>82</v>
      </c>
      <c r="AO2282" s="75">
        <v>1</v>
      </c>
      <c r="AP2282" s="75" t="s">
        <v>85</v>
      </c>
      <c r="AQ2282" s="122">
        <v>1</v>
      </c>
      <c r="AR2282" s="515" t="s">
        <v>13</v>
      </c>
      <c r="AS2282" s="95">
        <v>1</v>
      </c>
      <c r="AT2282" s="75">
        <v>0</v>
      </c>
      <c r="AU2282" s="75">
        <v>0</v>
      </c>
      <c r="AV2282" s="75">
        <v>0</v>
      </c>
      <c r="AW2282" s="123">
        <v>0</v>
      </c>
      <c r="AX2282" s="516" t="s">
        <v>543</v>
      </c>
      <c r="AY2282" s="75">
        <v>1</v>
      </c>
      <c r="AZ2282" s="77" t="s">
        <v>131</v>
      </c>
      <c r="BA2282" s="78" t="s">
        <v>131</v>
      </c>
      <c r="BB2282" s="78" t="s">
        <v>131</v>
      </c>
      <c r="BC2282" s="78" t="s">
        <v>131</v>
      </c>
      <c r="BD2282" s="78" t="s">
        <v>131</v>
      </c>
      <c r="BE2282" s="78" t="s">
        <v>131</v>
      </c>
      <c r="BF2282" s="78" t="s">
        <v>131</v>
      </c>
      <c r="BG2282" s="78" t="s">
        <v>132</v>
      </c>
      <c r="BH2282" s="75" t="s">
        <v>5970</v>
      </c>
      <c r="BI2282" s="295" t="s">
        <v>2227</v>
      </c>
      <c r="BJ2282" s="546">
        <v>1</v>
      </c>
      <c r="BK2282" s="294">
        <v>1</v>
      </c>
      <c r="BL2282" s="157">
        <v>1</v>
      </c>
      <c r="BM2282" s="548" t="s">
        <v>578</v>
      </c>
      <c r="BN2282" s="548" t="s">
        <v>5969</v>
      </c>
      <c r="BO2282" s="157" t="s">
        <v>4341</v>
      </c>
      <c r="BP2282" s="548" t="s">
        <v>4343</v>
      </c>
      <c r="BQ2282" s="157" t="s">
        <v>4309</v>
      </c>
      <c r="BR2282" s="157"/>
    </row>
    <row r="2283" spans="1:70" x14ac:dyDescent="0.25">
      <c r="A2283" s="19" t="s">
        <v>3686</v>
      </c>
      <c r="B2283" s="37" t="s">
        <v>47</v>
      </c>
      <c r="C2283" s="90">
        <v>43611.981678240743</v>
      </c>
      <c r="D2283" s="114">
        <v>43611.731678240743</v>
      </c>
      <c r="E2283" s="38">
        <v>43611</v>
      </c>
      <c r="F2283" s="91">
        <v>2019</v>
      </c>
      <c r="G2283" s="93">
        <v>5</v>
      </c>
      <c r="H2283" s="37" t="s">
        <v>566</v>
      </c>
      <c r="I2283" s="37" t="s">
        <v>1212</v>
      </c>
      <c r="J2283" s="103">
        <v>-92.236039700000006</v>
      </c>
      <c r="K2283" s="40">
        <v>44.840905100000001</v>
      </c>
      <c r="L2283" s="74"/>
      <c r="M2283" s="272" t="s">
        <v>16</v>
      </c>
      <c r="N2283" s="74">
        <v>0</v>
      </c>
      <c r="O2283" s="94" t="b">
        <v>1</v>
      </c>
      <c r="P2283" s="118">
        <v>0</v>
      </c>
      <c r="Q2283" s="510"/>
      <c r="R2283" s="513"/>
      <c r="S2283" s="41">
        <v>9</v>
      </c>
      <c r="T2283" s="40">
        <v>-35</v>
      </c>
      <c r="U2283" s="40"/>
      <c r="V2283" s="119">
        <v>0</v>
      </c>
      <c r="W2283" s="40"/>
      <c r="X2283" s="119">
        <v>1</v>
      </c>
      <c r="Y2283" s="40">
        <v>57</v>
      </c>
      <c r="Z2283" s="119">
        <v>0</v>
      </c>
      <c r="AA2283" s="368" t="s">
        <v>16</v>
      </c>
      <c r="AB2283" s="535" t="s">
        <v>16</v>
      </c>
      <c r="AC2283" s="39" t="s">
        <v>160</v>
      </c>
      <c r="AD2283" s="75" t="s">
        <v>16</v>
      </c>
      <c r="AE2283" s="95">
        <v>-1</v>
      </c>
      <c r="AF2283" s="75">
        <v>-1</v>
      </c>
      <c r="AG2283" s="75">
        <v>-1</v>
      </c>
      <c r="AH2283" s="75">
        <v>-1</v>
      </c>
      <c r="AI2283" s="75">
        <v>-1</v>
      </c>
      <c r="AJ2283" s="75">
        <v>-1</v>
      </c>
      <c r="AK2283" s="75">
        <v>-1</v>
      </c>
      <c r="AL2283" s="95">
        <v>-1</v>
      </c>
      <c r="AM2283" s="92">
        <v>1</v>
      </c>
      <c r="AN2283" s="79" t="s">
        <v>80</v>
      </c>
      <c r="AO2283" s="75">
        <v>1</v>
      </c>
      <c r="AP2283" s="75" t="s">
        <v>83</v>
      </c>
      <c r="AQ2283" s="122">
        <v>1</v>
      </c>
      <c r="AR2283" s="515" t="s">
        <v>10</v>
      </c>
      <c r="AS2283" s="95">
        <v>0</v>
      </c>
      <c r="AT2283" s="75">
        <v>0</v>
      </c>
      <c r="AU2283" s="75">
        <v>0</v>
      </c>
      <c r="AV2283" s="75">
        <v>0</v>
      </c>
      <c r="AW2283" s="123">
        <v>0</v>
      </c>
      <c r="AX2283" s="516" t="s">
        <v>16</v>
      </c>
      <c r="AY2283" s="75">
        <v>0</v>
      </c>
      <c r="AZ2283" s="77" t="s">
        <v>5971</v>
      </c>
      <c r="BA2283" s="78" t="s">
        <v>5971</v>
      </c>
      <c r="BB2283" s="78" t="s">
        <v>5971</v>
      </c>
      <c r="BC2283" s="78" t="s">
        <v>5971</v>
      </c>
      <c r="BD2283" s="78" t="s">
        <v>5971</v>
      </c>
      <c r="BE2283" s="78" t="s">
        <v>5971</v>
      </c>
      <c r="BF2283" s="78" t="s">
        <v>5971</v>
      </c>
      <c r="BG2283" s="78" t="s">
        <v>5971</v>
      </c>
      <c r="BH2283" s="75" t="s">
        <v>5971</v>
      </c>
      <c r="BI2283" s="295" t="s">
        <v>2247</v>
      </c>
      <c r="BJ2283" s="546">
        <v>1</v>
      </c>
      <c r="BK2283" s="294">
        <v>1</v>
      </c>
      <c r="BL2283" s="157">
        <v>1</v>
      </c>
      <c r="BM2283" s="548" t="s">
        <v>578</v>
      </c>
      <c r="BN2283" s="548" t="s">
        <v>5969</v>
      </c>
      <c r="BO2283" s="157" t="s">
        <v>4318</v>
      </c>
      <c r="BP2283" s="548" t="s">
        <v>4439</v>
      </c>
      <c r="BQ2283" s="157" t="s">
        <v>4316</v>
      </c>
      <c r="BR2283" s="157"/>
    </row>
    <row r="2284" spans="1:70" x14ac:dyDescent="0.25">
      <c r="A2284" s="19" t="s">
        <v>3686</v>
      </c>
      <c r="B2284" s="37" t="s">
        <v>33</v>
      </c>
      <c r="C2284" s="90">
        <v>43610.692083333335</v>
      </c>
      <c r="D2284" s="114">
        <v>43610.442083333335</v>
      </c>
      <c r="E2284" s="38">
        <v>43610</v>
      </c>
      <c r="F2284" s="91">
        <v>2019</v>
      </c>
      <c r="G2284" s="93">
        <v>5</v>
      </c>
      <c r="H2284" s="37" t="s">
        <v>557</v>
      </c>
      <c r="I2284" s="37" t="s">
        <v>349</v>
      </c>
      <c r="J2284" s="103">
        <v>-92.493341599999994</v>
      </c>
      <c r="K2284" s="40">
        <v>44.794023299999999</v>
      </c>
      <c r="L2284" s="74"/>
      <c r="M2284" s="272" t="s">
        <v>16</v>
      </c>
      <c r="N2284" s="74">
        <v>0</v>
      </c>
      <c r="O2284" s="94" t="b">
        <v>1</v>
      </c>
      <c r="P2284" s="118">
        <v>0</v>
      </c>
      <c r="Q2284" s="510"/>
      <c r="R2284" s="513"/>
      <c r="S2284" s="41"/>
      <c r="T2284" s="40"/>
      <c r="U2284" s="40"/>
      <c r="V2284" s="119">
        <v>0</v>
      </c>
      <c r="W2284" s="40"/>
      <c r="X2284" s="119">
        <v>0</v>
      </c>
      <c r="Y2284" s="40"/>
      <c r="Z2284" s="119">
        <v>0</v>
      </c>
      <c r="AA2284" s="368" t="s">
        <v>16</v>
      </c>
      <c r="AB2284" s="535" t="s">
        <v>16</v>
      </c>
      <c r="AC2284" s="39" t="s">
        <v>160</v>
      </c>
      <c r="AD2284" s="75" t="s">
        <v>10</v>
      </c>
      <c r="AE2284" s="95">
        <v>0</v>
      </c>
      <c r="AF2284" s="75">
        <v>0</v>
      </c>
      <c r="AG2284" s="75">
        <v>0</v>
      </c>
      <c r="AH2284" s="75">
        <v>0</v>
      </c>
      <c r="AI2284" s="75">
        <v>0</v>
      </c>
      <c r="AJ2284" s="75">
        <v>0</v>
      </c>
      <c r="AK2284" s="75">
        <v>0</v>
      </c>
      <c r="AL2284" s="95">
        <v>1</v>
      </c>
      <c r="AM2284" s="92">
        <v>0</v>
      </c>
      <c r="AN2284" s="79" t="s">
        <v>80</v>
      </c>
      <c r="AO2284" s="75">
        <v>1</v>
      </c>
      <c r="AP2284" s="75" t="s">
        <v>83</v>
      </c>
      <c r="AQ2284" s="122">
        <v>1</v>
      </c>
      <c r="AR2284" s="515" t="s">
        <v>10</v>
      </c>
      <c r="AS2284" s="95">
        <v>0</v>
      </c>
      <c r="AT2284" s="75">
        <v>0</v>
      </c>
      <c r="AU2284" s="75">
        <v>0</v>
      </c>
      <c r="AV2284" s="75">
        <v>0</v>
      </c>
      <c r="AW2284" s="123">
        <v>0</v>
      </c>
      <c r="AX2284" s="516" t="s">
        <v>16</v>
      </c>
      <c r="AY2284" s="75">
        <v>0</v>
      </c>
      <c r="AZ2284" s="77" t="s">
        <v>131</v>
      </c>
      <c r="BA2284" s="78" t="s">
        <v>131</v>
      </c>
      <c r="BB2284" s="78" t="s">
        <v>131</v>
      </c>
      <c r="BC2284" s="78" t="s">
        <v>131</v>
      </c>
      <c r="BD2284" s="78" t="s">
        <v>131</v>
      </c>
      <c r="BE2284" s="78" t="s">
        <v>131</v>
      </c>
      <c r="BF2284" s="78" t="s">
        <v>131</v>
      </c>
      <c r="BG2284" s="78" t="s">
        <v>132</v>
      </c>
      <c r="BH2284" s="75" t="s">
        <v>5970</v>
      </c>
      <c r="BI2284" s="295" t="s">
        <v>16</v>
      </c>
      <c r="BJ2284" s="546" t="s">
        <v>16</v>
      </c>
      <c r="BK2284" s="294" t="s">
        <v>16</v>
      </c>
      <c r="BL2284" s="157" t="s">
        <v>16</v>
      </c>
      <c r="BM2284" s="548" t="s">
        <v>578</v>
      </c>
      <c r="BN2284" s="548" t="s">
        <v>5969</v>
      </c>
      <c r="BO2284" s="157" t="s">
        <v>4658</v>
      </c>
      <c r="BP2284" s="548" t="s">
        <v>4660</v>
      </c>
      <c r="BQ2284" s="157" t="s">
        <v>4657</v>
      </c>
      <c r="BR2284" s="157"/>
    </row>
    <row r="2285" spans="1:70" x14ac:dyDescent="0.25">
      <c r="A2285" s="19" t="s">
        <v>3686</v>
      </c>
      <c r="B2285" s="37" t="s">
        <v>17</v>
      </c>
      <c r="C2285" s="90">
        <v>43608.824363425927</v>
      </c>
      <c r="D2285" s="114">
        <v>43608.574363425927</v>
      </c>
      <c r="E2285" s="38">
        <v>43608</v>
      </c>
      <c r="F2285" s="91">
        <v>2019</v>
      </c>
      <c r="G2285" s="93">
        <v>5</v>
      </c>
      <c r="H2285" s="37" t="s">
        <v>547</v>
      </c>
      <c r="I2285" s="37" t="s">
        <v>2363</v>
      </c>
      <c r="J2285" s="103">
        <v>-92.189658100000003</v>
      </c>
      <c r="K2285" s="40">
        <v>44.632823700000003</v>
      </c>
      <c r="L2285" s="74"/>
      <c r="M2285" s="272" t="s">
        <v>16</v>
      </c>
      <c r="N2285" s="74">
        <v>0</v>
      </c>
      <c r="O2285" s="94" t="b">
        <v>1</v>
      </c>
      <c r="P2285" s="118">
        <v>0</v>
      </c>
      <c r="Q2285" s="510"/>
      <c r="R2285" s="513"/>
      <c r="S2285" s="41">
        <v>3</v>
      </c>
      <c r="T2285" s="40">
        <v>-18</v>
      </c>
      <c r="U2285" s="40"/>
      <c r="V2285" s="119">
        <v>1</v>
      </c>
      <c r="W2285" s="40">
        <v>0</v>
      </c>
      <c r="X2285" s="119">
        <v>1</v>
      </c>
      <c r="Y2285" s="40">
        <v>54</v>
      </c>
      <c r="Z2285" s="119">
        <v>0</v>
      </c>
      <c r="AA2285" s="368" t="s">
        <v>16</v>
      </c>
      <c r="AB2285" s="535" t="s">
        <v>16</v>
      </c>
      <c r="AC2285" s="39" t="s">
        <v>160</v>
      </c>
      <c r="AD2285" s="75" t="s">
        <v>7</v>
      </c>
      <c r="AE2285" s="95">
        <v>1</v>
      </c>
      <c r="AF2285" s="75">
        <v>0</v>
      </c>
      <c r="AG2285" s="75">
        <v>0</v>
      </c>
      <c r="AH2285" s="75">
        <v>0</v>
      </c>
      <c r="AI2285" s="75">
        <v>0</v>
      </c>
      <c r="AJ2285" s="75">
        <v>0</v>
      </c>
      <c r="AK2285" s="75">
        <v>0</v>
      </c>
      <c r="AL2285" s="95">
        <v>0</v>
      </c>
      <c r="AM2285" s="92">
        <v>0</v>
      </c>
      <c r="AN2285" s="79" t="s">
        <v>81</v>
      </c>
      <c r="AO2285" s="75">
        <v>1</v>
      </c>
      <c r="AP2285" s="75" t="s">
        <v>84</v>
      </c>
      <c r="AQ2285" s="122">
        <v>1</v>
      </c>
      <c r="AR2285" s="515" t="s">
        <v>10</v>
      </c>
      <c r="AS2285" s="95">
        <v>0</v>
      </c>
      <c r="AT2285" s="75">
        <v>0</v>
      </c>
      <c r="AU2285" s="75">
        <v>0</v>
      </c>
      <c r="AV2285" s="75">
        <v>0</v>
      </c>
      <c r="AW2285" s="123">
        <v>0</v>
      </c>
      <c r="AX2285" s="516" t="s">
        <v>16</v>
      </c>
      <c r="AY2285" s="75">
        <v>0</v>
      </c>
      <c r="AZ2285" s="77" t="s">
        <v>132</v>
      </c>
      <c r="BA2285" s="78" t="s">
        <v>131</v>
      </c>
      <c r="BB2285" s="78" t="s">
        <v>131</v>
      </c>
      <c r="BC2285" s="78" t="s">
        <v>131</v>
      </c>
      <c r="BD2285" s="78" t="s">
        <v>131</v>
      </c>
      <c r="BE2285" s="78" t="s">
        <v>131</v>
      </c>
      <c r="BF2285" s="78" t="s">
        <v>131</v>
      </c>
      <c r="BG2285" s="78" t="s">
        <v>131</v>
      </c>
      <c r="BH2285" s="75" t="s">
        <v>5970</v>
      </c>
      <c r="BI2285" s="295" t="s">
        <v>2248</v>
      </c>
      <c r="BJ2285" s="546">
        <v>1</v>
      </c>
      <c r="BK2285" s="294">
        <v>1</v>
      </c>
      <c r="BL2285" s="157">
        <v>1</v>
      </c>
      <c r="BM2285" s="548" t="s">
        <v>578</v>
      </c>
      <c r="BN2285" s="548" t="s">
        <v>5969</v>
      </c>
      <c r="BO2285" s="157" t="s">
        <v>4218</v>
      </c>
      <c r="BP2285" s="548" t="s">
        <v>4221</v>
      </c>
      <c r="BQ2285" s="157" t="s">
        <v>4217</v>
      </c>
      <c r="BR2285" s="157"/>
    </row>
    <row r="2286" spans="1:70" x14ac:dyDescent="0.25">
      <c r="A2286" s="19" t="s">
        <v>3686</v>
      </c>
      <c r="B2286" s="37" t="s">
        <v>54</v>
      </c>
      <c r="C2286" s="90">
        <v>43608.655590277776</v>
      </c>
      <c r="D2286" s="114">
        <v>43608.405590277776</v>
      </c>
      <c r="E2286" s="38">
        <v>43608</v>
      </c>
      <c r="F2286" s="91">
        <v>2019</v>
      </c>
      <c r="G2286" s="93">
        <v>5</v>
      </c>
      <c r="H2286" s="37" t="s">
        <v>547</v>
      </c>
      <c r="I2286" s="37" t="s">
        <v>2362</v>
      </c>
      <c r="J2286" s="103">
        <v>-92.284306400000006</v>
      </c>
      <c r="K2286" s="40">
        <v>44.542196099999998</v>
      </c>
      <c r="L2286" s="74"/>
      <c r="M2286" s="272" t="s">
        <v>16</v>
      </c>
      <c r="N2286" s="74">
        <v>0</v>
      </c>
      <c r="O2286" s="94" t="b">
        <v>1</v>
      </c>
      <c r="P2286" s="118">
        <v>0</v>
      </c>
      <c r="Q2286" s="510"/>
      <c r="R2286" s="513"/>
      <c r="S2286" s="41">
        <v>4</v>
      </c>
      <c r="T2286" s="40">
        <v>-31</v>
      </c>
      <c r="U2286" s="40"/>
      <c r="V2286" s="119">
        <v>1</v>
      </c>
      <c r="W2286" s="40">
        <v>0</v>
      </c>
      <c r="X2286" s="119">
        <v>1</v>
      </c>
      <c r="Y2286" s="40">
        <v>49</v>
      </c>
      <c r="Z2286" s="119">
        <v>0</v>
      </c>
      <c r="AA2286" s="368" t="s">
        <v>16</v>
      </c>
      <c r="AB2286" s="535" t="s">
        <v>16</v>
      </c>
      <c r="AC2286" s="39" t="s">
        <v>160</v>
      </c>
      <c r="AD2286" s="75" t="s">
        <v>10</v>
      </c>
      <c r="AE2286" s="95">
        <v>0</v>
      </c>
      <c r="AF2286" s="75">
        <v>0</v>
      </c>
      <c r="AG2286" s="75">
        <v>0</v>
      </c>
      <c r="AH2286" s="75">
        <v>0</v>
      </c>
      <c r="AI2286" s="75">
        <v>0</v>
      </c>
      <c r="AJ2286" s="75">
        <v>0</v>
      </c>
      <c r="AK2286" s="75">
        <v>0</v>
      </c>
      <c r="AL2286" s="95">
        <v>1</v>
      </c>
      <c r="AM2286" s="92">
        <v>0</v>
      </c>
      <c r="AN2286" s="79" t="s">
        <v>80</v>
      </c>
      <c r="AO2286" s="75">
        <v>1</v>
      </c>
      <c r="AP2286" s="75" t="s">
        <v>83</v>
      </c>
      <c r="AQ2286" s="122">
        <v>1</v>
      </c>
      <c r="AR2286" s="515" t="s">
        <v>10</v>
      </c>
      <c r="AS2286" s="95">
        <v>0</v>
      </c>
      <c r="AT2286" s="75">
        <v>0</v>
      </c>
      <c r="AU2286" s="75">
        <v>0</v>
      </c>
      <c r="AV2286" s="75">
        <v>0</v>
      </c>
      <c r="AW2286" s="123">
        <v>0</v>
      </c>
      <c r="AX2286" s="516" t="s">
        <v>16</v>
      </c>
      <c r="AY2286" s="75">
        <v>0</v>
      </c>
      <c r="AZ2286" s="77" t="s">
        <v>131</v>
      </c>
      <c r="BA2286" s="78" t="s">
        <v>131</v>
      </c>
      <c r="BB2286" s="78" t="s">
        <v>131</v>
      </c>
      <c r="BC2286" s="78" t="s">
        <v>131</v>
      </c>
      <c r="BD2286" s="78" t="s">
        <v>131</v>
      </c>
      <c r="BE2286" s="78" t="s">
        <v>131</v>
      </c>
      <c r="BF2286" s="78" t="s">
        <v>131</v>
      </c>
      <c r="BG2286" s="78" t="s">
        <v>132</v>
      </c>
      <c r="BH2286" s="75" t="s">
        <v>5970</v>
      </c>
      <c r="BI2286" s="295" t="s">
        <v>2261</v>
      </c>
      <c r="BJ2286" s="546">
        <v>1</v>
      </c>
      <c r="BK2286" s="294">
        <v>1</v>
      </c>
      <c r="BL2286" s="157">
        <v>1</v>
      </c>
      <c r="BM2286" s="548" t="s">
        <v>1340</v>
      </c>
      <c r="BN2286" s="548" t="s">
        <v>5969</v>
      </c>
      <c r="BO2286" s="157" t="s">
        <v>4268</v>
      </c>
      <c r="BP2286" s="548" t="s">
        <v>2261</v>
      </c>
      <c r="BQ2286" s="157" t="s">
        <v>4214</v>
      </c>
      <c r="BR2286" s="157"/>
    </row>
    <row r="2287" spans="1:70" x14ac:dyDescent="0.25">
      <c r="A2287" s="19" t="s">
        <v>3686</v>
      </c>
      <c r="B2287" s="37" t="s">
        <v>59</v>
      </c>
      <c r="C2287" s="90">
        <v>43605.707557870373</v>
      </c>
      <c r="D2287" s="114">
        <v>43605.457557870373</v>
      </c>
      <c r="E2287" s="38">
        <v>43605</v>
      </c>
      <c r="F2287" s="91">
        <v>2019</v>
      </c>
      <c r="G2287" s="93">
        <v>5</v>
      </c>
      <c r="H2287" s="37" t="s">
        <v>547</v>
      </c>
      <c r="I2287" s="37" t="s">
        <v>544</v>
      </c>
      <c r="J2287" s="103">
        <v>-92.696339300000005</v>
      </c>
      <c r="K2287" s="40">
        <v>44.8364707</v>
      </c>
      <c r="L2287" s="74"/>
      <c r="M2287" s="272" t="s">
        <v>16</v>
      </c>
      <c r="N2287" s="74">
        <v>0</v>
      </c>
      <c r="O2287" s="94" t="b">
        <v>1</v>
      </c>
      <c r="P2287" s="118">
        <v>0</v>
      </c>
      <c r="Q2287" s="510"/>
      <c r="R2287" s="513"/>
      <c r="S2287" s="41">
        <v>13</v>
      </c>
      <c r="T2287" s="40">
        <v>-36</v>
      </c>
      <c r="U2287" s="40"/>
      <c r="V2287" s="119">
        <v>1</v>
      </c>
      <c r="W2287" s="40">
        <v>100</v>
      </c>
      <c r="X2287" s="119">
        <v>0</v>
      </c>
      <c r="Y2287" s="40"/>
      <c r="Z2287" s="119">
        <v>0</v>
      </c>
      <c r="AA2287" s="368" t="s">
        <v>16</v>
      </c>
      <c r="AB2287" s="535" t="s">
        <v>16</v>
      </c>
      <c r="AC2287" s="39" t="s">
        <v>160</v>
      </c>
      <c r="AD2287" s="75" t="s">
        <v>8</v>
      </c>
      <c r="AE2287" s="95">
        <v>0</v>
      </c>
      <c r="AF2287" s="75">
        <v>1</v>
      </c>
      <c r="AG2287" s="75">
        <v>0</v>
      </c>
      <c r="AH2287" s="75">
        <v>0</v>
      </c>
      <c r="AI2287" s="75">
        <v>0</v>
      </c>
      <c r="AJ2287" s="75">
        <v>0</v>
      </c>
      <c r="AK2287" s="75">
        <v>0</v>
      </c>
      <c r="AL2287" s="95">
        <v>0</v>
      </c>
      <c r="AM2287" s="92">
        <v>0</v>
      </c>
      <c r="AN2287" s="79" t="s">
        <v>81</v>
      </c>
      <c r="AO2287" s="75">
        <v>1</v>
      </c>
      <c r="AP2287" s="75" t="s">
        <v>84</v>
      </c>
      <c r="AQ2287" s="122">
        <v>1</v>
      </c>
      <c r="AR2287" s="515" t="s">
        <v>13</v>
      </c>
      <c r="AS2287" s="95">
        <v>1</v>
      </c>
      <c r="AT2287" s="75">
        <v>0</v>
      </c>
      <c r="AU2287" s="75">
        <v>0</v>
      </c>
      <c r="AV2287" s="75">
        <v>0</v>
      </c>
      <c r="AW2287" s="123">
        <v>0</v>
      </c>
      <c r="AX2287" s="516" t="s">
        <v>543</v>
      </c>
      <c r="AY2287" s="75">
        <v>1</v>
      </c>
      <c r="AZ2287" s="77" t="s">
        <v>131</v>
      </c>
      <c r="BA2287" s="78" t="s">
        <v>132</v>
      </c>
      <c r="BB2287" s="78" t="s">
        <v>131</v>
      </c>
      <c r="BC2287" s="78" t="s">
        <v>131</v>
      </c>
      <c r="BD2287" s="78" t="s">
        <v>131</v>
      </c>
      <c r="BE2287" s="78" t="s">
        <v>131</v>
      </c>
      <c r="BF2287" s="78" t="s">
        <v>131</v>
      </c>
      <c r="BG2287" s="78" t="s">
        <v>131</v>
      </c>
      <c r="BH2287" s="75" t="s">
        <v>5970</v>
      </c>
      <c r="BI2287" s="295" t="s">
        <v>2227</v>
      </c>
      <c r="BJ2287" s="546">
        <v>1</v>
      </c>
      <c r="BK2287" s="294" t="s">
        <v>16</v>
      </c>
      <c r="BL2287" s="157" t="s">
        <v>16</v>
      </c>
      <c r="BM2287" s="548" t="s">
        <v>578</v>
      </c>
      <c r="BN2287" s="548" t="s">
        <v>5969</v>
      </c>
      <c r="BO2287" s="157" t="s">
        <v>4341</v>
      </c>
      <c r="BP2287" s="548" t="s">
        <v>4343</v>
      </c>
      <c r="BQ2287" s="157" t="s">
        <v>4309</v>
      </c>
      <c r="BR2287" s="157"/>
    </row>
    <row r="2288" spans="1:70" x14ac:dyDescent="0.25">
      <c r="A2288" s="19" t="s">
        <v>3686</v>
      </c>
      <c r="B2288" s="37" t="s">
        <v>62</v>
      </c>
      <c r="C2288" s="90">
        <v>43604.890763888892</v>
      </c>
      <c r="D2288" s="114">
        <v>43604.640763888892</v>
      </c>
      <c r="E2288" s="38">
        <v>43604</v>
      </c>
      <c r="F2288" s="91">
        <v>2019</v>
      </c>
      <c r="G2288" s="93">
        <v>5</v>
      </c>
      <c r="H2288" s="37" t="s">
        <v>549</v>
      </c>
      <c r="I2288" s="37" t="s">
        <v>360</v>
      </c>
      <c r="J2288" s="103">
        <v>-92.631178700000007</v>
      </c>
      <c r="K2288" s="40">
        <v>44.838308699999999</v>
      </c>
      <c r="L2288" s="74"/>
      <c r="M2288" s="272" t="s">
        <v>16</v>
      </c>
      <c r="N2288" s="74">
        <v>0</v>
      </c>
      <c r="O2288" s="94" t="b">
        <v>1</v>
      </c>
      <c r="P2288" s="118">
        <v>0</v>
      </c>
      <c r="Q2288" s="510"/>
      <c r="R2288" s="513"/>
      <c r="S2288" s="41">
        <v>18</v>
      </c>
      <c r="T2288" s="40">
        <v>-100</v>
      </c>
      <c r="U2288" s="40"/>
      <c r="V2288" s="119">
        <v>1</v>
      </c>
      <c r="W2288" s="40">
        <v>100</v>
      </c>
      <c r="X2288" s="119">
        <v>1</v>
      </c>
      <c r="Y2288" s="40">
        <v>46</v>
      </c>
      <c r="Z2288" s="119">
        <v>0</v>
      </c>
      <c r="AA2288" s="368" t="s">
        <v>16</v>
      </c>
      <c r="AB2288" s="535" t="s">
        <v>16</v>
      </c>
      <c r="AC2288" s="39" t="s">
        <v>160</v>
      </c>
      <c r="AD2288" s="75" t="s">
        <v>8</v>
      </c>
      <c r="AE2288" s="95">
        <v>0</v>
      </c>
      <c r="AF2288" s="75">
        <v>1</v>
      </c>
      <c r="AG2288" s="75">
        <v>0</v>
      </c>
      <c r="AH2288" s="75">
        <v>0</v>
      </c>
      <c r="AI2288" s="75">
        <v>0</v>
      </c>
      <c r="AJ2288" s="75">
        <v>0</v>
      </c>
      <c r="AK2288" s="75">
        <v>0</v>
      </c>
      <c r="AL2288" s="95">
        <v>0</v>
      </c>
      <c r="AM2288" s="92">
        <v>0</v>
      </c>
      <c r="AN2288" s="79" t="s">
        <v>81</v>
      </c>
      <c r="AO2288" s="75">
        <v>1</v>
      </c>
      <c r="AP2288" s="75" t="s">
        <v>85</v>
      </c>
      <c r="AQ2288" s="122">
        <v>1</v>
      </c>
      <c r="AR2288" s="515" t="s">
        <v>13</v>
      </c>
      <c r="AS2288" s="95">
        <v>1</v>
      </c>
      <c r="AT2288" s="75">
        <v>0</v>
      </c>
      <c r="AU2288" s="75">
        <v>0</v>
      </c>
      <c r="AV2288" s="75">
        <v>0</v>
      </c>
      <c r="AW2288" s="123">
        <v>0</v>
      </c>
      <c r="AX2288" s="516" t="s">
        <v>16</v>
      </c>
      <c r="AY2288" s="75">
        <v>0</v>
      </c>
      <c r="AZ2288" s="77" t="s">
        <v>131</v>
      </c>
      <c r="BA2288" s="78" t="s">
        <v>132</v>
      </c>
      <c r="BB2288" s="78" t="s">
        <v>131</v>
      </c>
      <c r="BC2288" s="78" t="s">
        <v>131</v>
      </c>
      <c r="BD2288" s="78" t="s">
        <v>131</v>
      </c>
      <c r="BE2288" s="78" t="s">
        <v>131</v>
      </c>
      <c r="BF2288" s="78" t="s">
        <v>131</v>
      </c>
      <c r="BG2288" s="78" t="s">
        <v>131</v>
      </c>
      <c r="BH2288" s="75" t="s">
        <v>5970</v>
      </c>
      <c r="BI2288" s="295">
        <v>0</v>
      </c>
      <c r="BJ2288" s="546">
        <v>1</v>
      </c>
      <c r="BK2288" s="294" t="s">
        <v>16</v>
      </c>
      <c r="BL2288" s="157" t="s">
        <v>16</v>
      </c>
      <c r="BM2288" s="548" t="s">
        <v>578</v>
      </c>
      <c r="BN2288" s="548" t="s">
        <v>5969</v>
      </c>
      <c r="BO2288" s="157" t="s">
        <v>4341</v>
      </c>
      <c r="BP2288" s="548" t="s">
        <v>4343</v>
      </c>
      <c r="BQ2288" s="157" t="s">
        <v>4309</v>
      </c>
      <c r="BR2288" s="157"/>
    </row>
    <row r="2289" spans="1:70" x14ac:dyDescent="0.25">
      <c r="A2289" s="19" t="s">
        <v>3686</v>
      </c>
      <c r="B2289" s="37" t="s">
        <v>42</v>
      </c>
      <c r="C2289" s="90">
        <v>43603.660590277781</v>
      </c>
      <c r="D2289" s="114">
        <v>43603.410590277781</v>
      </c>
      <c r="E2289" s="38">
        <v>43603</v>
      </c>
      <c r="F2289" s="91">
        <v>2019</v>
      </c>
      <c r="G2289" s="93">
        <v>5</v>
      </c>
      <c r="H2289" s="37" t="s">
        <v>550</v>
      </c>
      <c r="I2289" s="37" t="s">
        <v>642</v>
      </c>
      <c r="J2289" s="103">
        <v>-92.5834811</v>
      </c>
      <c r="K2289" s="40">
        <v>44.8488489</v>
      </c>
      <c r="L2289" s="74"/>
      <c r="M2289" s="272" t="s">
        <v>16</v>
      </c>
      <c r="N2289" s="74">
        <v>0</v>
      </c>
      <c r="O2289" s="94" t="b">
        <v>1</v>
      </c>
      <c r="P2289" s="118">
        <v>0</v>
      </c>
      <c r="Q2289" s="510"/>
      <c r="R2289" s="513"/>
      <c r="S2289" s="41">
        <v>27</v>
      </c>
      <c r="T2289" s="40">
        <v>-116</v>
      </c>
      <c r="U2289" s="40"/>
      <c r="V2289" s="119">
        <v>1</v>
      </c>
      <c r="W2289" s="40">
        <v>0</v>
      </c>
      <c r="X2289" s="119">
        <v>0</v>
      </c>
      <c r="Y2289" s="40"/>
      <c r="Z2289" s="119">
        <v>0</v>
      </c>
      <c r="AA2289" s="368" t="s">
        <v>16</v>
      </c>
      <c r="AB2289" s="535" t="s">
        <v>16</v>
      </c>
      <c r="AC2289" s="39" t="s">
        <v>160</v>
      </c>
      <c r="AD2289" s="75" t="s">
        <v>16</v>
      </c>
      <c r="AE2289" s="95">
        <v>-1</v>
      </c>
      <c r="AF2289" s="75">
        <v>-1</v>
      </c>
      <c r="AG2289" s="75">
        <v>-1</v>
      </c>
      <c r="AH2289" s="75">
        <v>-1</v>
      </c>
      <c r="AI2289" s="75">
        <v>-1</v>
      </c>
      <c r="AJ2289" s="75">
        <v>-1</v>
      </c>
      <c r="AK2289" s="75">
        <v>-1</v>
      </c>
      <c r="AL2289" s="95">
        <v>-1</v>
      </c>
      <c r="AM2289" s="92">
        <v>1</v>
      </c>
      <c r="AN2289" s="79" t="s">
        <v>82</v>
      </c>
      <c r="AO2289" s="75">
        <v>1</v>
      </c>
      <c r="AP2289" s="75" t="s">
        <v>85</v>
      </c>
      <c r="AQ2289" s="122">
        <v>1</v>
      </c>
      <c r="AR2289" s="515" t="s">
        <v>13</v>
      </c>
      <c r="AS2289" s="95">
        <v>1</v>
      </c>
      <c r="AT2289" s="75">
        <v>0</v>
      </c>
      <c r="AU2289" s="75">
        <v>0</v>
      </c>
      <c r="AV2289" s="75">
        <v>0</v>
      </c>
      <c r="AW2289" s="123">
        <v>0</v>
      </c>
      <c r="AX2289" s="516" t="s">
        <v>543</v>
      </c>
      <c r="AY2289" s="75">
        <v>1</v>
      </c>
      <c r="AZ2289" s="77" t="s">
        <v>5971</v>
      </c>
      <c r="BA2289" s="78" t="s">
        <v>5971</v>
      </c>
      <c r="BB2289" s="78" t="s">
        <v>5971</v>
      </c>
      <c r="BC2289" s="78" t="s">
        <v>5971</v>
      </c>
      <c r="BD2289" s="78" t="s">
        <v>5971</v>
      </c>
      <c r="BE2289" s="78" t="s">
        <v>5971</v>
      </c>
      <c r="BF2289" s="78" t="s">
        <v>5971</v>
      </c>
      <c r="BG2289" s="78" t="s">
        <v>5971</v>
      </c>
      <c r="BH2289" s="75" t="s">
        <v>5971</v>
      </c>
      <c r="BI2289" s="295" t="s">
        <v>2226</v>
      </c>
      <c r="BJ2289" s="546">
        <v>1</v>
      </c>
      <c r="BK2289" s="294">
        <v>1</v>
      </c>
      <c r="BL2289" s="157">
        <v>1</v>
      </c>
      <c r="BM2289" s="548" t="s">
        <v>578</v>
      </c>
      <c r="BN2289" s="548" t="s">
        <v>5969</v>
      </c>
      <c r="BO2289" s="157" t="s">
        <v>4310</v>
      </c>
      <c r="BP2289" s="548" t="s">
        <v>2226</v>
      </c>
      <c r="BQ2289" s="157" t="s">
        <v>4309</v>
      </c>
      <c r="BR2289" s="157"/>
    </row>
    <row r="2290" spans="1:70" x14ac:dyDescent="0.25">
      <c r="A2290" s="19" t="s">
        <v>3686</v>
      </c>
      <c r="B2290" s="37" t="s">
        <v>56</v>
      </c>
      <c r="C2290" s="90">
        <v>43602.626631944448</v>
      </c>
      <c r="D2290" s="114">
        <v>43602.376631944448</v>
      </c>
      <c r="E2290" s="38">
        <v>43602</v>
      </c>
      <c r="F2290" s="91">
        <v>2019</v>
      </c>
      <c r="G2290" s="93">
        <v>5</v>
      </c>
      <c r="H2290" s="37" t="s">
        <v>556</v>
      </c>
      <c r="I2290" s="37" t="s">
        <v>337</v>
      </c>
      <c r="J2290" s="103">
        <v>-92.645045499999995</v>
      </c>
      <c r="K2290" s="40">
        <v>44.843572000000002</v>
      </c>
      <c r="L2290" s="74"/>
      <c r="M2290" s="272" t="s">
        <v>16</v>
      </c>
      <c r="N2290" s="74">
        <v>0</v>
      </c>
      <c r="O2290" s="94" t="b">
        <v>1</v>
      </c>
      <c r="P2290" s="118">
        <v>0</v>
      </c>
      <c r="Q2290" s="510"/>
      <c r="R2290" s="513"/>
      <c r="S2290" s="41">
        <v>33</v>
      </c>
      <c r="T2290" s="40">
        <v>-102</v>
      </c>
      <c r="U2290" s="40"/>
      <c r="V2290" s="119">
        <v>1</v>
      </c>
      <c r="W2290" s="40">
        <v>100</v>
      </c>
      <c r="X2290" s="119">
        <v>1</v>
      </c>
      <c r="Y2290" s="40">
        <v>55</v>
      </c>
      <c r="Z2290" s="119">
        <v>0</v>
      </c>
      <c r="AA2290" s="368" t="s">
        <v>16</v>
      </c>
      <c r="AB2290" s="535" t="s">
        <v>16</v>
      </c>
      <c r="AC2290" s="39" t="s">
        <v>160</v>
      </c>
      <c r="AD2290" s="75" t="s">
        <v>10</v>
      </c>
      <c r="AE2290" s="95">
        <v>0</v>
      </c>
      <c r="AF2290" s="75">
        <v>0</v>
      </c>
      <c r="AG2290" s="75">
        <v>0</v>
      </c>
      <c r="AH2290" s="75">
        <v>0</v>
      </c>
      <c r="AI2290" s="75">
        <v>0</v>
      </c>
      <c r="AJ2290" s="75">
        <v>0</v>
      </c>
      <c r="AK2290" s="75">
        <v>0</v>
      </c>
      <c r="AL2290" s="95">
        <v>1</v>
      </c>
      <c r="AM2290" s="92">
        <v>0</v>
      </c>
      <c r="AN2290" s="79" t="s">
        <v>80</v>
      </c>
      <c r="AO2290" s="75">
        <v>1</v>
      </c>
      <c r="AP2290" s="75" t="s">
        <v>83</v>
      </c>
      <c r="AQ2290" s="122">
        <v>1</v>
      </c>
      <c r="AR2290" s="515" t="s">
        <v>35</v>
      </c>
      <c r="AS2290" s="95">
        <v>0</v>
      </c>
      <c r="AT2290" s="75">
        <v>1</v>
      </c>
      <c r="AU2290" s="75">
        <v>0</v>
      </c>
      <c r="AV2290" s="75">
        <v>0</v>
      </c>
      <c r="AW2290" s="123">
        <v>0</v>
      </c>
      <c r="AX2290" s="516" t="s">
        <v>543</v>
      </c>
      <c r="AY2290" s="75">
        <v>1</v>
      </c>
      <c r="AZ2290" s="77" t="s">
        <v>131</v>
      </c>
      <c r="BA2290" s="78" t="s">
        <v>131</v>
      </c>
      <c r="BB2290" s="78" t="s">
        <v>131</v>
      </c>
      <c r="BC2290" s="78" t="s">
        <v>131</v>
      </c>
      <c r="BD2290" s="78" t="s">
        <v>131</v>
      </c>
      <c r="BE2290" s="78" t="s">
        <v>131</v>
      </c>
      <c r="BF2290" s="78" t="s">
        <v>131</v>
      </c>
      <c r="BG2290" s="78" t="s">
        <v>132</v>
      </c>
      <c r="BH2290" s="75" t="s">
        <v>5970</v>
      </c>
      <c r="BI2290" s="295" t="s">
        <v>2227</v>
      </c>
      <c r="BJ2290" s="546">
        <v>1</v>
      </c>
      <c r="BK2290" s="294" t="s">
        <v>16</v>
      </c>
      <c r="BL2290" s="157" t="s">
        <v>16</v>
      </c>
      <c r="BM2290" s="548" t="s">
        <v>578</v>
      </c>
      <c r="BN2290" s="548" t="s">
        <v>5969</v>
      </c>
      <c r="BO2290" s="157" t="s">
        <v>4341</v>
      </c>
      <c r="BP2290" s="548" t="s">
        <v>4343</v>
      </c>
      <c r="BQ2290" s="157" t="s">
        <v>4309</v>
      </c>
      <c r="BR2290" s="157"/>
    </row>
    <row r="2291" spans="1:70" x14ac:dyDescent="0.25">
      <c r="A2291" s="19" t="s">
        <v>3686</v>
      </c>
      <c r="B2291" s="37" t="s">
        <v>61</v>
      </c>
      <c r="C2291" s="90">
        <v>43600.919548611113</v>
      </c>
      <c r="D2291" s="114">
        <v>43600.669548611113</v>
      </c>
      <c r="E2291" s="38">
        <v>43600</v>
      </c>
      <c r="F2291" s="91">
        <v>2019</v>
      </c>
      <c r="G2291" s="93">
        <v>5</v>
      </c>
      <c r="H2291" s="37" t="s">
        <v>547</v>
      </c>
      <c r="I2291" s="37" t="s">
        <v>544</v>
      </c>
      <c r="J2291" s="103">
        <v>-92.531289299999997</v>
      </c>
      <c r="K2291" s="40">
        <v>44.792409300000003</v>
      </c>
      <c r="L2291" s="74"/>
      <c r="M2291" s="272" t="s">
        <v>16</v>
      </c>
      <c r="N2291" s="74">
        <v>0</v>
      </c>
      <c r="O2291" s="94" t="b">
        <v>1</v>
      </c>
      <c r="P2291" s="118">
        <v>0</v>
      </c>
      <c r="Q2291" s="510"/>
      <c r="R2291" s="513"/>
      <c r="S2291" s="41">
        <v>17</v>
      </c>
      <c r="T2291" s="40">
        <v>-56</v>
      </c>
      <c r="U2291" s="40"/>
      <c r="V2291" s="119">
        <v>1</v>
      </c>
      <c r="W2291" s="40">
        <v>0</v>
      </c>
      <c r="X2291" s="119">
        <v>1</v>
      </c>
      <c r="Y2291" s="40">
        <v>65</v>
      </c>
      <c r="Z2291" s="119">
        <v>0</v>
      </c>
      <c r="AA2291" s="368" t="s">
        <v>16</v>
      </c>
      <c r="AB2291" s="535" t="s">
        <v>16</v>
      </c>
      <c r="AC2291" s="39" t="s">
        <v>160</v>
      </c>
      <c r="AD2291" s="75" t="s">
        <v>10</v>
      </c>
      <c r="AE2291" s="95">
        <v>0</v>
      </c>
      <c r="AF2291" s="75">
        <v>0</v>
      </c>
      <c r="AG2291" s="75">
        <v>0</v>
      </c>
      <c r="AH2291" s="75">
        <v>0</v>
      </c>
      <c r="AI2291" s="75">
        <v>0</v>
      </c>
      <c r="AJ2291" s="75">
        <v>0</v>
      </c>
      <c r="AK2291" s="75">
        <v>0</v>
      </c>
      <c r="AL2291" s="95">
        <v>1</v>
      </c>
      <c r="AM2291" s="92">
        <v>0</v>
      </c>
      <c r="AN2291" s="79" t="s">
        <v>80</v>
      </c>
      <c r="AO2291" s="75">
        <v>1</v>
      </c>
      <c r="AP2291" s="75" t="s">
        <v>83</v>
      </c>
      <c r="AQ2291" s="122">
        <v>1</v>
      </c>
      <c r="AR2291" s="515" t="s">
        <v>10</v>
      </c>
      <c r="AS2291" s="95">
        <v>0</v>
      </c>
      <c r="AT2291" s="75">
        <v>0</v>
      </c>
      <c r="AU2291" s="75">
        <v>0</v>
      </c>
      <c r="AV2291" s="75">
        <v>0</v>
      </c>
      <c r="AW2291" s="123">
        <v>0</v>
      </c>
      <c r="AX2291" s="516" t="s">
        <v>543</v>
      </c>
      <c r="AY2291" s="75">
        <v>1</v>
      </c>
      <c r="AZ2291" s="77" t="s">
        <v>131</v>
      </c>
      <c r="BA2291" s="78" t="s">
        <v>131</v>
      </c>
      <c r="BB2291" s="78" t="s">
        <v>131</v>
      </c>
      <c r="BC2291" s="78" t="s">
        <v>131</v>
      </c>
      <c r="BD2291" s="78" t="s">
        <v>131</v>
      </c>
      <c r="BE2291" s="78" t="s">
        <v>131</v>
      </c>
      <c r="BF2291" s="78" t="s">
        <v>131</v>
      </c>
      <c r="BG2291" s="78" t="s">
        <v>132</v>
      </c>
      <c r="BH2291" s="75" t="s">
        <v>5970</v>
      </c>
      <c r="BI2291" s="295" t="s">
        <v>2236</v>
      </c>
      <c r="BJ2291" s="546">
        <v>1</v>
      </c>
      <c r="BK2291" s="294" t="s">
        <v>16</v>
      </c>
      <c r="BL2291" s="157" t="s">
        <v>16</v>
      </c>
      <c r="BM2291" s="548" t="s">
        <v>578</v>
      </c>
      <c r="BN2291" s="548" t="s">
        <v>5969</v>
      </c>
      <c r="BO2291" s="157" t="s">
        <v>4658</v>
      </c>
      <c r="BP2291" s="548" t="s">
        <v>4660</v>
      </c>
      <c r="BQ2291" s="157" t="s">
        <v>4657</v>
      </c>
      <c r="BR2291" s="157"/>
    </row>
    <row r="2292" spans="1:70" x14ac:dyDescent="0.25">
      <c r="A2292" s="19" t="s">
        <v>3686</v>
      </c>
      <c r="B2292" s="37" t="s">
        <v>40</v>
      </c>
      <c r="C2292" s="90">
        <v>43598.807986111111</v>
      </c>
      <c r="D2292" s="114">
        <v>43598.557986111111</v>
      </c>
      <c r="E2292" s="38">
        <v>43598</v>
      </c>
      <c r="F2292" s="91">
        <v>2019</v>
      </c>
      <c r="G2292" s="93">
        <v>5</v>
      </c>
      <c r="H2292" s="37" t="s">
        <v>547</v>
      </c>
      <c r="I2292" s="37" t="s">
        <v>544</v>
      </c>
      <c r="J2292" s="103">
        <v>-92.732005700000002</v>
      </c>
      <c r="K2292" s="40">
        <v>44.831073099999998</v>
      </c>
      <c r="L2292" s="74"/>
      <c r="M2292" s="272" t="s">
        <v>16</v>
      </c>
      <c r="N2292" s="74">
        <v>0</v>
      </c>
      <c r="O2292" s="94" t="b">
        <v>1</v>
      </c>
      <c r="P2292" s="118">
        <v>0</v>
      </c>
      <c r="Q2292" s="510"/>
      <c r="R2292" s="513"/>
      <c r="S2292" s="41">
        <v>17</v>
      </c>
      <c r="T2292" s="40">
        <v>-36</v>
      </c>
      <c r="U2292" s="40"/>
      <c r="V2292" s="119">
        <v>1</v>
      </c>
      <c r="W2292" s="40">
        <v>0</v>
      </c>
      <c r="X2292" s="119">
        <v>1</v>
      </c>
      <c r="Y2292" s="40">
        <v>57</v>
      </c>
      <c r="Z2292" s="119">
        <v>0</v>
      </c>
      <c r="AA2292" s="368" t="s">
        <v>16</v>
      </c>
      <c r="AB2292" s="535" t="s">
        <v>16</v>
      </c>
      <c r="AC2292" s="39" t="s">
        <v>160</v>
      </c>
      <c r="AD2292" s="75" t="s">
        <v>8</v>
      </c>
      <c r="AE2292" s="95">
        <v>0</v>
      </c>
      <c r="AF2292" s="75">
        <v>1</v>
      </c>
      <c r="AG2292" s="75">
        <v>0</v>
      </c>
      <c r="AH2292" s="75">
        <v>0</v>
      </c>
      <c r="AI2292" s="75">
        <v>0</v>
      </c>
      <c r="AJ2292" s="75">
        <v>0</v>
      </c>
      <c r="AK2292" s="75">
        <v>0</v>
      </c>
      <c r="AL2292" s="95">
        <v>0</v>
      </c>
      <c r="AM2292" s="92">
        <v>0</v>
      </c>
      <c r="AN2292" s="79" t="s">
        <v>80</v>
      </c>
      <c r="AO2292" s="75">
        <v>1</v>
      </c>
      <c r="AP2292" s="75" t="s">
        <v>83</v>
      </c>
      <c r="AQ2292" s="122">
        <v>1</v>
      </c>
      <c r="AR2292" s="515" t="s">
        <v>10</v>
      </c>
      <c r="AS2292" s="95">
        <v>0</v>
      </c>
      <c r="AT2292" s="75">
        <v>0</v>
      </c>
      <c r="AU2292" s="75">
        <v>0</v>
      </c>
      <c r="AV2292" s="75">
        <v>0</v>
      </c>
      <c r="AW2292" s="123">
        <v>0</v>
      </c>
      <c r="AX2292" s="516" t="s">
        <v>543</v>
      </c>
      <c r="AY2292" s="75">
        <v>1</v>
      </c>
      <c r="AZ2292" s="77" t="s">
        <v>131</v>
      </c>
      <c r="BA2292" s="78" t="s">
        <v>132</v>
      </c>
      <c r="BB2292" s="78" t="s">
        <v>131</v>
      </c>
      <c r="BC2292" s="78" t="s">
        <v>131</v>
      </c>
      <c r="BD2292" s="78" t="s">
        <v>131</v>
      </c>
      <c r="BE2292" s="78" t="s">
        <v>131</v>
      </c>
      <c r="BF2292" s="78" t="s">
        <v>131</v>
      </c>
      <c r="BG2292" s="78" t="s">
        <v>131</v>
      </c>
      <c r="BH2292" s="75" t="s">
        <v>5970</v>
      </c>
      <c r="BI2292" s="295" t="s">
        <v>2227</v>
      </c>
      <c r="BJ2292" s="546">
        <v>1</v>
      </c>
      <c r="BK2292" s="294" t="s">
        <v>16</v>
      </c>
      <c r="BL2292" s="157" t="s">
        <v>16</v>
      </c>
      <c r="BM2292" s="548" t="s">
        <v>578</v>
      </c>
      <c r="BN2292" s="548" t="s">
        <v>5969</v>
      </c>
      <c r="BO2292" s="157" t="s">
        <v>4341</v>
      </c>
      <c r="BP2292" s="548" t="s">
        <v>4343</v>
      </c>
      <c r="BQ2292" s="157" t="s">
        <v>4309</v>
      </c>
      <c r="BR2292" s="157"/>
    </row>
    <row r="2293" spans="1:70" x14ac:dyDescent="0.25">
      <c r="A2293" s="19" t="s">
        <v>3686</v>
      </c>
      <c r="B2293" s="37" t="s">
        <v>28</v>
      </c>
      <c r="C2293" s="90">
        <v>43597.859120370369</v>
      </c>
      <c r="D2293" s="114">
        <v>43597.609120370369</v>
      </c>
      <c r="E2293" s="38">
        <v>43597</v>
      </c>
      <c r="F2293" s="91">
        <v>2019</v>
      </c>
      <c r="G2293" s="93">
        <v>5</v>
      </c>
      <c r="H2293" s="37" t="s">
        <v>557</v>
      </c>
      <c r="I2293" s="37" t="s">
        <v>349</v>
      </c>
      <c r="J2293" s="103">
        <v>-92.529866200000001</v>
      </c>
      <c r="K2293" s="40">
        <v>44.7938203</v>
      </c>
      <c r="L2293" s="74"/>
      <c r="M2293" s="272" t="s">
        <v>16</v>
      </c>
      <c r="N2293" s="74">
        <v>0</v>
      </c>
      <c r="O2293" s="94" t="b">
        <v>1</v>
      </c>
      <c r="P2293" s="118">
        <v>0</v>
      </c>
      <c r="Q2293" s="510"/>
      <c r="R2293" s="513"/>
      <c r="S2293" s="41">
        <v>13</v>
      </c>
      <c r="T2293" s="40">
        <v>-50</v>
      </c>
      <c r="U2293" s="40"/>
      <c r="V2293" s="119">
        <v>1</v>
      </c>
      <c r="W2293" s="40">
        <v>0</v>
      </c>
      <c r="X2293" s="119">
        <v>1</v>
      </c>
      <c r="Y2293" s="40">
        <v>54</v>
      </c>
      <c r="Z2293" s="119">
        <v>0</v>
      </c>
      <c r="AA2293" s="368" t="s">
        <v>16</v>
      </c>
      <c r="AB2293" s="535" t="s">
        <v>16</v>
      </c>
      <c r="AC2293" s="39" t="s">
        <v>160</v>
      </c>
      <c r="AD2293" s="75" t="s">
        <v>10</v>
      </c>
      <c r="AE2293" s="95">
        <v>0</v>
      </c>
      <c r="AF2293" s="75">
        <v>0</v>
      </c>
      <c r="AG2293" s="75">
        <v>0</v>
      </c>
      <c r="AH2293" s="75">
        <v>0</v>
      </c>
      <c r="AI2293" s="75">
        <v>0</v>
      </c>
      <c r="AJ2293" s="75">
        <v>0</v>
      </c>
      <c r="AK2293" s="75">
        <v>0</v>
      </c>
      <c r="AL2293" s="95">
        <v>1</v>
      </c>
      <c r="AM2293" s="92">
        <v>0</v>
      </c>
      <c r="AN2293" s="79" t="s">
        <v>81</v>
      </c>
      <c r="AO2293" s="75">
        <v>1</v>
      </c>
      <c r="AP2293" s="75" t="s">
        <v>83</v>
      </c>
      <c r="AQ2293" s="122">
        <v>1</v>
      </c>
      <c r="AR2293" s="515" t="s">
        <v>10</v>
      </c>
      <c r="AS2293" s="95">
        <v>0</v>
      </c>
      <c r="AT2293" s="75">
        <v>0</v>
      </c>
      <c r="AU2293" s="75">
        <v>0</v>
      </c>
      <c r="AV2293" s="75">
        <v>0</v>
      </c>
      <c r="AW2293" s="123">
        <v>0</v>
      </c>
      <c r="AX2293" s="516" t="s">
        <v>16</v>
      </c>
      <c r="AY2293" s="75">
        <v>0</v>
      </c>
      <c r="AZ2293" s="77" t="s">
        <v>131</v>
      </c>
      <c r="BA2293" s="78" t="s">
        <v>131</v>
      </c>
      <c r="BB2293" s="78" t="s">
        <v>131</v>
      </c>
      <c r="BC2293" s="78" t="s">
        <v>131</v>
      </c>
      <c r="BD2293" s="78" t="s">
        <v>131</v>
      </c>
      <c r="BE2293" s="78" t="s">
        <v>131</v>
      </c>
      <c r="BF2293" s="78" t="s">
        <v>131</v>
      </c>
      <c r="BG2293" s="78" t="s">
        <v>132</v>
      </c>
      <c r="BH2293" s="75" t="s">
        <v>5970</v>
      </c>
      <c r="BI2293" s="295" t="s">
        <v>2236</v>
      </c>
      <c r="BJ2293" s="546">
        <v>1</v>
      </c>
      <c r="BK2293" s="294" t="s">
        <v>16</v>
      </c>
      <c r="BL2293" s="157" t="s">
        <v>16</v>
      </c>
      <c r="BM2293" s="548" t="s">
        <v>578</v>
      </c>
      <c r="BN2293" s="548" t="s">
        <v>5969</v>
      </c>
      <c r="BO2293" s="157" t="s">
        <v>4658</v>
      </c>
      <c r="BP2293" s="548" t="s">
        <v>4660</v>
      </c>
      <c r="BQ2293" s="157" t="s">
        <v>4657</v>
      </c>
      <c r="BR2293" s="157"/>
    </row>
    <row r="2294" spans="1:70" x14ac:dyDescent="0.25">
      <c r="A2294" s="19" t="s">
        <v>3686</v>
      </c>
      <c r="B2294" s="37" t="s">
        <v>19</v>
      </c>
      <c r="C2294" s="90">
        <v>43596.816770833335</v>
      </c>
      <c r="D2294" s="114">
        <v>43596.566770833335</v>
      </c>
      <c r="E2294" s="38">
        <v>43596</v>
      </c>
      <c r="F2294" s="91">
        <v>2019</v>
      </c>
      <c r="G2294" s="93">
        <v>5</v>
      </c>
      <c r="H2294" s="37" t="s">
        <v>549</v>
      </c>
      <c r="I2294" s="37" t="s">
        <v>360</v>
      </c>
      <c r="J2294" s="103">
        <v>-92.643727699999999</v>
      </c>
      <c r="K2294" s="40">
        <v>44.8428252</v>
      </c>
      <c r="L2294" s="74"/>
      <c r="M2294" s="272" t="s">
        <v>16</v>
      </c>
      <c r="N2294" s="74">
        <v>0</v>
      </c>
      <c r="O2294" s="94" t="b">
        <v>1</v>
      </c>
      <c r="P2294" s="118">
        <v>0</v>
      </c>
      <c r="Q2294" s="510"/>
      <c r="R2294" s="513"/>
      <c r="S2294" s="41">
        <v>13</v>
      </c>
      <c r="T2294" s="40">
        <v>-53</v>
      </c>
      <c r="U2294" s="40"/>
      <c r="V2294" s="119">
        <v>1</v>
      </c>
      <c r="W2294" s="40">
        <v>0</v>
      </c>
      <c r="X2294" s="119">
        <v>1</v>
      </c>
      <c r="Y2294" s="40">
        <v>55</v>
      </c>
      <c r="Z2294" s="119">
        <v>0</v>
      </c>
      <c r="AA2294" s="368" t="s">
        <v>16</v>
      </c>
      <c r="AB2294" s="535" t="s">
        <v>16</v>
      </c>
      <c r="AC2294" s="39" t="s">
        <v>160</v>
      </c>
      <c r="AD2294" s="75" t="s">
        <v>8</v>
      </c>
      <c r="AE2294" s="95">
        <v>0</v>
      </c>
      <c r="AF2294" s="75">
        <v>1</v>
      </c>
      <c r="AG2294" s="75">
        <v>0</v>
      </c>
      <c r="AH2294" s="75">
        <v>0</v>
      </c>
      <c r="AI2294" s="75">
        <v>0</v>
      </c>
      <c r="AJ2294" s="75">
        <v>0</v>
      </c>
      <c r="AK2294" s="75">
        <v>0</v>
      </c>
      <c r="AL2294" s="95">
        <v>0</v>
      </c>
      <c r="AM2294" s="92">
        <v>0</v>
      </c>
      <c r="AN2294" s="79" t="s">
        <v>80</v>
      </c>
      <c r="AO2294" s="75">
        <v>1</v>
      </c>
      <c r="AP2294" s="75" t="s">
        <v>83</v>
      </c>
      <c r="AQ2294" s="122">
        <v>1</v>
      </c>
      <c r="AR2294" s="515" t="s">
        <v>10</v>
      </c>
      <c r="AS2294" s="95">
        <v>0</v>
      </c>
      <c r="AT2294" s="75">
        <v>0</v>
      </c>
      <c r="AU2294" s="75">
        <v>0</v>
      </c>
      <c r="AV2294" s="75">
        <v>0</v>
      </c>
      <c r="AW2294" s="123">
        <v>0</v>
      </c>
      <c r="AX2294" s="516" t="s">
        <v>16</v>
      </c>
      <c r="AY2294" s="75">
        <v>0</v>
      </c>
      <c r="AZ2294" s="77" t="s">
        <v>131</v>
      </c>
      <c r="BA2294" s="78" t="s">
        <v>132</v>
      </c>
      <c r="BB2294" s="78" t="s">
        <v>131</v>
      </c>
      <c r="BC2294" s="78" t="s">
        <v>131</v>
      </c>
      <c r="BD2294" s="78" t="s">
        <v>131</v>
      </c>
      <c r="BE2294" s="78" t="s">
        <v>131</v>
      </c>
      <c r="BF2294" s="78" t="s">
        <v>131</v>
      </c>
      <c r="BG2294" s="78" t="s">
        <v>131</v>
      </c>
      <c r="BH2294" s="75" t="s">
        <v>5970</v>
      </c>
      <c r="BI2294" s="295" t="s">
        <v>2227</v>
      </c>
      <c r="BJ2294" s="546">
        <v>1</v>
      </c>
      <c r="BK2294" s="294" t="s">
        <v>16</v>
      </c>
      <c r="BL2294" s="157" t="s">
        <v>16</v>
      </c>
      <c r="BM2294" s="548" t="s">
        <v>578</v>
      </c>
      <c r="BN2294" s="548" t="s">
        <v>5969</v>
      </c>
      <c r="BO2294" s="157" t="s">
        <v>4341</v>
      </c>
      <c r="BP2294" s="548" t="s">
        <v>4343</v>
      </c>
      <c r="BQ2294" s="157" t="s">
        <v>4309</v>
      </c>
      <c r="BR2294" s="157"/>
    </row>
    <row r="2295" spans="1:70" x14ac:dyDescent="0.25">
      <c r="A2295" s="19" t="s">
        <v>3686</v>
      </c>
      <c r="B2295" s="37" t="s">
        <v>65</v>
      </c>
      <c r="C2295" s="90">
        <v>43593.563831018517</v>
      </c>
      <c r="D2295" s="114">
        <v>43593.313831018517</v>
      </c>
      <c r="E2295" s="38">
        <v>43593</v>
      </c>
      <c r="F2295" s="91">
        <v>2019</v>
      </c>
      <c r="G2295" s="93">
        <v>5</v>
      </c>
      <c r="H2295" s="37" t="s">
        <v>547</v>
      </c>
      <c r="I2295" s="37" t="s">
        <v>349</v>
      </c>
      <c r="J2295" s="103">
        <v>-92.529165000000006</v>
      </c>
      <c r="K2295" s="40">
        <v>44.793925199999997</v>
      </c>
      <c r="L2295" s="74"/>
      <c r="M2295" s="272" t="s">
        <v>16</v>
      </c>
      <c r="N2295" s="74">
        <v>0</v>
      </c>
      <c r="O2295" s="94" t="b">
        <v>1</v>
      </c>
      <c r="P2295" s="118">
        <v>0</v>
      </c>
      <c r="Q2295" s="510"/>
      <c r="R2295" s="513"/>
      <c r="S2295" s="41">
        <v>-1</v>
      </c>
      <c r="T2295" s="40">
        <v>-11</v>
      </c>
      <c r="U2295" s="40"/>
      <c r="V2295" s="119">
        <v>1</v>
      </c>
      <c r="W2295" s="40">
        <v>0</v>
      </c>
      <c r="X2295" s="119">
        <v>1</v>
      </c>
      <c r="Y2295" s="40">
        <v>46</v>
      </c>
      <c r="Z2295" s="119">
        <v>0</v>
      </c>
      <c r="AA2295" s="368" t="s">
        <v>16</v>
      </c>
      <c r="AB2295" s="535" t="s">
        <v>16</v>
      </c>
      <c r="AC2295" s="39" t="s">
        <v>160</v>
      </c>
      <c r="AD2295" s="75" t="s">
        <v>10</v>
      </c>
      <c r="AE2295" s="95">
        <v>0</v>
      </c>
      <c r="AF2295" s="75">
        <v>0</v>
      </c>
      <c r="AG2295" s="75">
        <v>0</v>
      </c>
      <c r="AH2295" s="75">
        <v>0</v>
      </c>
      <c r="AI2295" s="75">
        <v>0</v>
      </c>
      <c r="AJ2295" s="75">
        <v>0</v>
      </c>
      <c r="AK2295" s="75">
        <v>0</v>
      </c>
      <c r="AL2295" s="95">
        <v>1</v>
      </c>
      <c r="AM2295" s="92">
        <v>0</v>
      </c>
      <c r="AN2295" s="79" t="s">
        <v>80</v>
      </c>
      <c r="AO2295" s="75">
        <v>1</v>
      </c>
      <c r="AP2295" s="75" t="s">
        <v>83</v>
      </c>
      <c r="AQ2295" s="122">
        <v>1</v>
      </c>
      <c r="AR2295" s="515" t="s">
        <v>10</v>
      </c>
      <c r="AS2295" s="95">
        <v>0</v>
      </c>
      <c r="AT2295" s="75">
        <v>0</v>
      </c>
      <c r="AU2295" s="75">
        <v>0</v>
      </c>
      <c r="AV2295" s="75">
        <v>0</v>
      </c>
      <c r="AW2295" s="123">
        <v>0</v>
      </c>
      <c r="AX2295" s="516" t="s">
        <v>16</v>
      </c>
      <c r="AY2295" s="75">
        <v>0</v>
      </c>
      <c r="AZ2295" s="77" t="s">
        <v>131</v>
      </c>
      <c r="BA2295" s="78" t="s">
        <v>131</v>
      </c>
      <c r="BB2295" s="78" t="s">
        <v>131</v>
      </c>
      <c r="BC2295" s="78" t="s">
        <v>131</v>
      </c>
      <c r="BD2295" s="78" t="s">
        <v>131</v>
      </c>
      <c r="BE2295" s="78" t="s">
        <v>131</v>
      </c>
      <c r="BF2295" s="78" t="s">
        <v>131</v>
      </c>
      <c r="BG2295" s="78" t="s">
        <v>132</v>
      </c>
      <c r="BH2295" s="75" t="s">
        <v>5970</v>
      </c>
      <c r="BI2295" s="295" t="s">
        <v>2236</v>
      </c>
      <c r="BJ2295" s="546">
        <v>1</v>
      </c>
      <c r="BK2295" s="294" t="s">
        <v>16</v>
      </c>
      <c r="BL2295" s="157" t="s">
        <v>16</v>
      </c>
      <c r="BM2295" s="548" t="s">
        <v>578</v>
      </c>
      <c r="BN2295" s="548" t="s">
        <v>5969</v>
      </c>
      <c r="BO2295" s="157" t="s">
        <v>4658</v>
      </c>
      <c r="BP2295" s="548" t="s">
        <v>4660</v>
      </c>
      <c r="BQ2295" s="157" t="s">
        <v>4657</v>
      </c>
      <c r="BR2295" s="157"/>
    </row>
    <row r="2296" spans="1:70" x14ac:dyDescent="0.25">
      <c r="A2296" s="19" t="s">
        <v>3686</v>
      </c>
      <c r="B2296" s="37" t="s">
        <v>66</v>
      </c>
      <c r="C2296" s="90">
        <v>43586.757719907408</v>
      </c>
      <c r="D2296" s="114">
        <v>43586.507719907408</v>
      </c>
      <c r="E2296" s="38">
        <v>43586</v>
      </c>
      <c r="F2296" s="91">
        <v>2019</v>
      </c>
      <c r="G2296" s="93">
        <v>5</v>
      </c>
      <c r="H2296" s="37" t="s">
        <v>547</v>
      </c>
      <c r="I2296" s="37" t="s">
        <v>2362</v>
      </c>
      <c r="J2296" s="103">
        <v>-92.284608800000001</v>
      </c>
      <c r="K2296" s="40">
        <v>44.542262700000002</v>
      </c>
      <c r="L2296" s="74"/>
      <c r="M2296" s="272" t="s">
        <v>16</v>
      </c>
      <c r="N2296" s="74">
        <v>0</v>
      </c>
      <c r="O2296" s="94" t="b">
        <v>1</v>
      </c>
      <c r="P2296" s="118">
        <v>0</v>
      </c>
      <c r="Q2296" s="510"/>
      <c r="R2296" s="513"/>
      <c r="S2296" s="41">
        <v>13</v>
      </c>
      <c r="T2296" s="40">
        <v>-55</v>
      </c>
      <c r="U2296" s="40"/>
      <c r="V2296" s="119">
        <v>1</v>
      </c>
      <c r="W2296" s="40">
        <v>0</v>
      </c>
      <c r="X2296" s="119">
        <v>1</v>
      </c>
      <c r="Y2296" s="40">
        <v>48</v>
      </c>
      <c r="Z2296" s="119">
        <v>0</v>
      </c>
      <c r="AA2296" s="368" t="s">
        <v>16</v>
      </c>
      <c r="AB2296" s="535" t="s">
        <v>16</v>
      </c>
      <c r="AC2296" s="39" t="s">
        <v>160</v>
      </c>
      <c r="AD2296" s="75" t="s">
        <v>10</v>
      </c>
      <c r="AE2296" s="95">
        <v>0</v>
      </c>
      <c r="AF2296" s="75">
        <v>0</v>
      </c>
      <c r="AG2296" s="75">
        <v>0</v>
      </c>
      <c r="AH2296" s="75">
        <v>0</v>
      </c>
      <c r="AI2296" s="75">
        <v>0</v>
      </c>
      <c r="AJ2296" s="75">
        <v>0</v>
      </c>
      <c r="AK2296" s="75">
        <v>0</v>
      </c>
      <c r="AL2296" s="95">
        <v>1</v>
      </c>
      <c r="AM2296" s="92">
        <v>0</v>
      </c>
      <c r="AN2296" s="79" t="s">
        <v>80</v>
      </c>
      <c r="AO2296" s="75">
        <v>1</v>
      </c>
      <c r="AP2296" s="75" t="s">
        <v>83</v>
      </c>
      <c r="AQ2296" s="122">
        <v>1</v>
      </c>
      <c r="AR2296" s="515" t="s">
        <v>10</v>
      </c>
      <c r="AS2296" s="95">
        <v>0</v>
      </c>
      <c r="AT2296" s="75">
        <v>0</v>
      </c>
      <c r="AU2296" s="75">
        <v>0</v>
      </c>
      <c r="AV2296" s="75">
        <v>0</v>
      </c>
      <c r="AW2296" s="123">
        <v>0</v>
      </c>
      <c r="AX2296" s="516" t="s">
        <v>543</v>
      </c>
      <c r="AY2296" s="75">
        <v>1</v>
      </c>
      <c r="AZ2296" s="77" t="s">
        <v>131</v>
      </c>
      <c r="BA2296" s="78" t="s">
        <v>131</v>
      </c>
      <c r="BB2296" s="78" t="s">
        <v>131</v>
      </c>
      <c r="BC2296" s="78" t="s">
        <v>131</v>
      </c>
      <c r="BD2296" s="78" t="s">
        <v>131</v>
      </c>
      <c r="BE2296" s="78" t="s">
        <v>131</v>
      </c>
      <c r="BF2296" s="78" t="s">
        <v>131</v>
      </c>
      <c r="BG2296" s="78" t="s">
        <v>132</v>
      </c>
      <c r="BH2296" s="75" t="s">
        <v>5970</v>
      </c>
      <c r="BI2296" s="295" t="s">
        <v>2261</v>
      </c>
      <c r="BJ2296" s="546">
        <v>1</v>
      </c>
      <c r="BK2296" s="294">
        <v>1</v>
      </c>
      <c r="BL2296" s="157">
        <v>1</v>
      </c>
      <c r="BM2296" s="548" t="s">
        <v>1340</v>
      </c>
      <c r="BN2296" s="548" t="s">
        <v>5969</v>
      </c>
      <c r="BO2296" s="157" t="s">
        <v>4268</v>
      </c>
      <c r="BP2296" s="548" t="s">
        <v>2261</v>
      </c>
      <c r="BQ2296" s="157" t="s">
        <v>4214</v>
      </c>
      <c r="BR2296" s="157"/>
    </row>
    <row r="2297" spans="1:70" x14ac:dyDescent="0.25">
      <c r="A2297" s="19" t="s">
        <v>3686</v>
      </c>
      <c r="B2297" s="37" t="s">
        <v>21</v>
      </c>
      <c r="C2297" s="90">
        <v>43583.788055555553</v>
      </c>
      <c r="D2297" s="114">
        <v>43583.538055555553</v>
      </c>
      <c r="E2297" s="38">
        <v>43583</v>
      </c>
      <c r="F2297" s="91">
        <v>2019</v>
      </c>
      <c r="G2297" s="93">
        <v>4</v>
      </c>
      <c r="H2297" s="37" t="s">
        <v>550</v>
      </c>
      <c r="I2297" s="37" t="s">
        <v>544</v>
      </c>
      <c r="J2297" s="103">
        <v>-92.641064499999999</v>
      </c>
      <c r="K2297" s="40">
        <v>44.838949900000003</v>
      </c>
      <c r="L2297" s="74"/>
      <c r="M2297" s="272" t="s">
        <v>16</v>
      </c>
      <c r="N2297" s="74">
        <v>0</v>
      </c>
      <c r="O2297" s="94" t="b">
        <v>1</v>
      </c>
      <c r="P2297" s="118">
        <v>0</v>
      </c>
      <c r="Q2297" s="510"/>
      <c r="R2297" s="513"/>
      <c r="S2297" s="41"/>
      <c r="T2297" s="40"/>
      <c r="U2297" s="40"/>
      <c r="V2297" s="119">
        <v>0</v>
      </c>
      <c r="W2297" s="40"/>
      <c r="X2297" s="119">
        <v>0</v>
      </c>
      <c r="Y2297" s="40"/>
      <c r="Z2297" s="119">
        <v>0</v>
      </c>
      <c r="AA2297" s="368" t="s">
        <v>16</v>
      </c>
      <c r="AB2297" s="535" t="s">
        <v>16</v>
      </c>
      <c r="AC2297" s="39" t="s">
        <v>544</v>
      </c>
      <c r="AD2297" s="75" t="s">
        <v>8</v>
      </c>
      <c r="AE2297" s="95">
        <v>0</v>
      </c>
      <c r="AF2297" s="75">
        <v>1</v>
      </c>
      <c r="AG2297" s="75">
        <v>0</v>
      </c>
      <c r="AH2297" s="75">
        <v>0</v>
      </c>
      <c r="AI2297" s="75">
        <v>0</v>
      </c>
      <c r="AJ2297" s="75">
        <v>0</v>
      </c>
      <c r="AK2297" s="75">
        <v>0</v>
      </c>
      <c r="AL2297" s="95">
        <v>0</v>
      </c>
      <c r="AM2297" s="92">
        <v>0</v>
      </c>
      <c r="AN2297" s="79"/>
      <c r="AO2297" s="75">
        <v>0</v>
      </c>
      <c r="AP2297" s="75"/>
      <c r="AQ2297" s="122">
        <v>0</v>
      </c>
      <c r="AR2297" s="515" t="s">
        <v>16</v>
      </c>
      <c r="AS2297" s="95">
        <v>-1</v>
      </c>
      <c r="AT2297" s="75">
        <v>-1</v>
      </c>
      <c r="AU2297" s="75">
        <v>-1</v>
      </c>
      <c r="AV2297" s="75">
        <v>-1</v>
      </c>
      <c r="AW2297" s="123">
        <v>1</v>
      </c>
      <c r="AX2297" s="516" t="s">
        <v>543</v>
      </c>
      <c r="AY2297" s="75">
        <v>1</v>
      </c>
      <c r="AZ2297" s="77" t="s">
        <v>131</v>
      </c>
      <c r="BA2297" s="78" t="s">
        <v>132</v>
      </c>
      <c r="BB2297" s="78" t="s">
        <v>131</v>
      </c>
      <c r="BC2297" s="78" t="s">
        <v>131</v>
      </c>
      <c r="BD2297" s="78" t="s">
        <v>131</v>
      </c>
      <c r="BE2297" s="78" t="s">
        <v>131</v>
      </c>
      <c r="BF2297" s="78" t="s">
        <v>131</v>
      </c>
      <c r="BG2297" s="78" t="s">
        <v>131</v>
      </c>
      <c r="BH2297" s="75" t="s">
        <v>5970</v>
      </c>
      <c r="BI2297" s="295">
        <v>0</v>
      </c>
      <c r="BJ2297" s="546">
        <v>1</v>
      </c>
      <c r="BK2297" s="294" t="s">
        <v>16</v>
      </c>
      <c r="BL2297" s="157" t="s">
        <v>16</v>
      </c>
      <c r="BM2297" s="548" t="s">
        <v>578</v>
      </c>
      <c r="BN2297" s="548" t="s">
        <v>5969</v>
      </c>
      <c r="BO2297" s="157" t="s">
        <v>4341</v>
      </c>
      <c r="BP2297" s="548" t="s">
        <v>4343</v>
      </c>
      <c r="BQ2297" s="157" t="s">
        <v>4309</v>
      </c>
      <c r="BR2297" s="157"/>
    </row>
    <row r="2298" spans="1:70" x14ac:dyDescent="0.25">
      <c r="A2298" s="19" t="s">
        <v>3686</v>
      </c>
      <c r="B2298" s="37" t="s">
        <v>68</v>
      </c>
      <c r="C2298" s="90">
        <v>43575.723333333335</v>
      </c>
      <c r="D2298" s="114">
        <v>43575.473333333335</v>
      </c>
      <c r="E2298" s="38">
        <v>43575</v>
      </c>
      <c r="F2298" s="91">
        <v>2019</v>
      </c>
      <c r="G2298" s="93">
        <v>4</v>
      </c>
      <c r="H2298" s="37" t="s">
        <v>571</v>
      </c>
      <c r="I2298" s="37"/>
      <c r="J2298" s="103">
        <v>-92.443028499999997</v>
      </c>
      <c r="K2298" s="40">
        <v>44.6213877</v>
      </c>
      <c r="L2298" s="74"/>
      <c r="M2298" s="272" t="s">
        <v>16</v>
      </c>
      <c r="N2298" s="74">
        <v>0</v>
      </c>
      <c r="O2298" s="94"/>
      <c r="P2298" s="118">
        <v>0</v>
      </c>
      <c r="Q2298" s="510"/>
      <c r="R2298" s="513"/>
      <c r="S2298" s="41">
        <v>8</v>
      </c>
      <c r="T2298" s="40">
        <v>45</v>
      </c>
      <c r="U2298" s="40"/>
      <c r="V2298" s="119">
        <v>1</v>
      </c>
      <c r="W2298" s="40">
        <v>0</v>
      </c>
      <c r="X2298" s="119">
        <v>0</v>
      </c>
      <c r="Y2298" s="40"/>
      <c r="Z2298" s="119">
        <v>0</v>
      </c>
      <c r="AA2298" s="368" t="s">
        <v>16</v>
      </c>
      <c r="AB2298" s="535" t="s">
        <v>16</v>
      </c>
      <c r="AC2298" s="39" t="s">
        <v>544</v>
      </c>
      <c r="AD2298" s="75" t="s">
        <v>10</v>
      </c>
      <c r="AE2298" s="95">
        <v>0</v>
      </c>
      <c r="AF2298" s="75">
        <v>0</v>
      </c>
      <c r="AG2298" s="75">
        <v>0</v>
      </c>
      <c r="AH2298" s="75">
        <v>0</v>
      </c>
      <c r="AI2298" s="75">
        <v>0</v>
      </c>
      <c r="AJ2298" s="75">
        <v>0</v>
      </c>
      <c r="AK2298" s="75">
        <v>0</v>
      </c>
      <c r="AL2298" s="95">
        <v>1</v>
      </c>
      <c r="AM2298" s="92">
        <v>0</v>
      </c>
      <c r="AN2298" s="79" t="s">
        <v>81</v>
      </c>
      <c r="AO2298" s="75">
        <v>1</v>
      </c>
      <c r="AP2298" s="75" t="s">
        <v>83</v>
      </c>
      <c r="AQ2298" s="122">
        <v>1</v>
      </c>
      <c r="AR2298" s="515" t="s">
        <v>10</v>
      </c>
      <c r="AS2298" s="95">
        <v>0</v>
      </c>
      <c r="AT2298" s="75">
        <v>0</v>
      </c>
      <c r="AU2298" s="75">
        <v>0</v>
      </c>
      <c r="AV2298" s="75">
        <v>0</v>
      </c>
      <c r="AW2298" s="123">
        <v>0</v>
      </c>
      <c r="AX2298" s="516"/>
      <c r="AY2298" s="75">
        <v>0</v>
      </c>
      <c r="AZ2298" s="77" t="s">
        <v>131</v>
      </c>
      <c r="BA2298" s="78" t="s">
        <v>131</v>
      </c>
      <c r="BB2298" s="78" t="s">
        <v>131</v>
      </c>
      <c r="BC2298" s="78" t="s">
        <v>131</v>
      </c>
      <c r="BD2298" s="78" t="s">
        <v>131</v>
      </c>
      <c r="BE2298" s="78" t="s">
        <v>131</v>
      </c>
      <c r="BF2298" s="78" t="s">
        <v>131</v>
      </c>
      <c r="BG2298" s="78" t="s">
        <v>132</v>
      </c>
      <c r="BH2298" s="75" t="s">
        <v>5970</v>
      </c>
      <c r="BI2298" s="295" t="s">
        <v>16</v>
      </c>
      <c r="BJ2298" s="546">
        <v>1</v>
      </c>
      <c r="BK2298" s="294" t="s">
        <v>16</v>
      </c>
      <c r="BL2298" s="157" t="s">
        <v>16</v>
      </c>
      <c r="BM2298" s="548" t="s">
        <v>578</v>
      </c>
      <c r="BN2298" s="548" t="s">
        <v>5969</v>
      </c>
      <c r="BO2298" s="157" t="s">
        <v>4283</v>
      </c>
      <c r="BP2298" s="548" t="s">
        <v>2289</v>
      </c>
      <c r="BQ2298" s="157" t="s">
        <v>4214</v>
      </c>
      <c r="BR2298" s="157"/>
    </row>
    <row r="2299" spans="1:70" x14ac:dyDescent="0.25">
      <c r="A2299" s="19" t="s">
        <v>3686</v>
      </c>
      <c r="B2299" s="37" t="s">
        <v>57</v>
      </c>
      <c r="C2299" s="90">
        <v>43571.934756944444</v>
      </c>
      <c r="D2299" s="114">
        <v>43571.684756944444</v>
      </c>
      <c r="E2299" s="38">
        <v>43571</v>
      </c>
      <c r="F2299" s="91">
        <v>2019</v>
      </c>
      <c r="G2299" s="93">
        <v>4</v>
      </c>
      <c r="H2299" s="37" t="s">
        <v>557</v>
      </c>
      <c r="I2299" s="37" t="s">
        <v>349</v>
      </c>
      <c r="J2299" s="103">
        <v>-92.529821299999995</v>
      </c>
      <c r="K2299" s="40">
        <v>44.793694199999997</v>
      </c>
      <c r="L2299" s="74"/>
      <c r="M2299" s="272" t="s">
        <v>16</v>
      </c>
      <c r="N2299" s="74">
        <v>0</v>
      </c>
      <c r="O2299" s="94" t="b">
        <v>0</v>
      </c>
      <c r="P2299" s="118">
        <v>0</v>
      </c>
      <c r="Q2299" s="510"/>
      <c r="R2299" s="513"/>
      <c r="S2299" s="41">
        <v>20</v>
      </c>
      <c r="T2299" s="40">
        <v>-41</v>
      </c>
      <c r="U2299" s="40"/>
      <c r="V2299" s="119">
        <v>1</v>
      </c>
      <c r="W2299" s="40">
        <v>0</v>
      </c>
      <c r="X2299" s="119">
        <v>1</v>
      </c>
      <c r="Y2299" s="40">
        <v>53</v>
      </c>
      <c r="Z2299" s="119">
        <v>0</v>
      </c>
      <c r="AA2299" s="368" t="s">
        <v>16</v>
      </c>
      <c r="AB2299" s="535" t="s">
        <v>16</v>
      </c>
      <c r="AC2299" s="39" t="s">
        <v>160</v>
      </c>
      <c r="AD2299" s="75" t="s">
        <v>10</v>
      </c>
      <c r="AE2299" s="95">
        <v>0</v>
      </c>
      <c r="AF2299" s="75">
        <v>0</v>
      </c>
      <c r="AG2299" s="75">
        <v>0</v>
      </c>
      <c r="AH2299" s="75">
        <v>0</v>
      </c>
      <c r="AI2299" s="75">
        <v>0</v>
      </c>
      <c r="AJ2299" s="75">
        <v>0</v>
      </c>
      <c r="AK2299" s="75">
        <v>0</v>
      </c>
      <c r="AL2299" s="95">
        <v>1</v>
      </c>
      <c r="AM2299" s="92">
        <v>0</v>
      </c>
      <c r="AN2299" s="79" t="s">
        <v>82</v>
      </c>
      <c r="AO2299" s="75">
        <v>1</v>
      </c>
      <c r="AP2299" s="75" t="s">
        <v>84</v>
      </c>
      <c r="AQ2299" s="122">
        <v>1</v>
      </c>
      <c r="AR2299" s="515" t="s">
        <v>58</v>
      </c>
      <c r="AS2299" s="95">
        <v>0</v>
      </c>
      <c r="AT2299" s="75">
        <v>0</v>
      </c>
      <c r="AU2299" s="75">
        <v>1</v>
      </c>
      <c r="AV2299" s="75">
        <v>0</v>
      </c>
      <c r="AW2299" s="123">
        <v>0</v>
      </c>
      <c r="AX2299" s="516" t="s">
        <v>16</v>
      </c>
      <c r="AY2299" s="75">
        <v>0</v>
      </c>
      <c r="AZ2299" s="77" t="s">
        <v>131</v>
      </c>
      <c r="BA2299" s="78" t="s">
        <v>131</v>
      </c>
      <c r="BB2299" s="78" t="s">
        <v>131</v>
      </c>
      <c r="BC2299" s="78" t="s">
        <v>131</v>
      </c>
      <c r="BD2299" s="78" t="s">
        <v>131</v>
      </c>
      <c r="BE2299" s="78" t="s">
        <v>131</v>
      </c>
      <c r="BF2299" s="78" t="s">
        <v>131</v>
      </c>
      <c r="BG2299" s="78" t="s">
        <v>132</v>
      </c>
      <c r="BH2299" s="75" t="s">
        <v>5970</v>
      </c>
      <c r="BI2299" s="295" t="s">
        <v>2236</v>
      </c>
      <c r="BJ2299" s="546">
        <v>1</v>
      </c>
      <c r="BK2299" s="294" t="s">
        <v>16</v>
      </c>
      <c r="BL2299" s="157" t="s">
        <v>16</v>
      </c>
      <c r="BM2299" s="548" t="s">
        <v>578</v>
      </c>
      <c r="BN2299" s="548" t="s">
        <v>5969</v>
      </c>
      <c r="BO2299" s="157" t="s">
        <v>4658</v>
      </c>
      <c r="BP2299" s="548" t="s">
        <v>4660</v>
      </c>
      <c r="BQ2299" s="157" t="s">
        <v>4657</v>
      </c>
      <c r="BR2299" s="157"/>
    </row>
    <row r="2300" spans="1:70" x14ac:dyDescent="0.25">
      <c r="A2300" s="19" t="s">
        <v>3686</v>
      </c>
      <c r="B2300" s="37" t="s">
        <v>25</v>
      </c>
      <c r="C2300" s="90">
        <v>43571.859317129631</v>
      </c>
      <c r="D2300" s="114">
        <v>43571.609317129631</v>
      </c>
      <c r="E2300" s="38">
        <v>43571</v>
      </c>
      <c r="F2300" s="91">
        <v>2019</v>
      </c>
      <c r="G2300" s="93">
        <v>4</v>
      </c>
      <c r="H2300" s="37" t="s">
        <v>547</v>
      </c>
      <c r="I2300" s="37" t="s">
        <v>2362</v>
      </c>
      <c r="J2300" s="103">
        <v>-92.284396000000001</v>
      </c>
      <c r="K2300" s="40">
        <v>44.542199799999999</v>
      </c>
      <c r="L2300" s="74"/>
      <c r="M2300" s="272" t="s">
        <v>16</v>
      </c>
      <c r="N2300" s="74">
        <v>0</v>
      </c>
      <c r="O2300" s="94" t="b">
        <v>0</v>
      </c>
      <c r="P2300" s="118">
        <v>0</v>
      </c>
      <c r="Q2300" s="510"/>
      <c r="R2300" s="513"/>
      <c r="S2300" s="41">
        <v>20</v>
      </c>
      <c r="T2300" s="40">
        <v>-55</v>
      </c>
      <c r="U2300" s="40"/>
      <c r="V2300" s="119">
        <v>1</v>
      </c>
      <c r="W2300" s="40">
        <v>0</v>
      </c>
      <c r="X2300" s="119">
        <v>1</v>
      </c>
      <c r="Y2300" s="40">
        <v>54</v>
      </c>
      <c r="Z2300" s="119">
        <v>0</v>
      </c>
      <c r="AA2300" s="368" t="s">
        <v>16</v>
      </c>
      <c r="AB2300" s="535" t="s">
        <v>16</v>
      </c>
      <c r="AC2300" s="39" t="s">
        <v>160</v>
      </c>
      <c r="AD2300" s="75" t="s">
        <v>10</v>
      </c>
      <c r="AE2300" s="95">
        <v>0</v>
      </c>
      <c r="AF2300" s="75">
        <v>0</v>
      </c>
      <c r="AG2300" s="75">
        <v>0</v>
      </c>
      <c r="AH2300" s="75">
        <v>0</v>
      </c>
      <c r="AI2300" s="75">
        <v>0</v>
      </c>
      <c r="AJ2300" s="75">
        <v>0</v>
      </c>
      <c r="AK2300" s="75">
        <v>0</v>
      </c>
      <c r="AL2300" s="95">
        <v>1</v>
      </c>
      <c r="AM2300" s="92">
        <v>0</v>
      </c>
      <c r="AN2300" s="79" t="s">
        <v>80</v>
      </c>
      <c r="AO2300" s="75">
        <v>1</v>
      </c>
      <c r="AP2300" s="75" t="s">
        <v>83</v>
      </c>
      <c r="AQ2300" s="122">
        <v>1</v>
      </c>
      <c r="AR2300" s="515" t="s">
        <v>10</v>
      </c>
      <c r="AS2300" s="95">
        <v>0</v>
      </c>
      <c r="AT2300" s="75">
        <v>0</v>
      </c>
      <c r="AU2300" s="75">
        <v>0</v>
      </c>
      <c r="AV2300" s="75">
        <v>0</v>
      </c>
      <c r="AW2300" s="123">
        <v>0</v>
      </c>
      <c r="AX2300" s="516" t="s">
        <v>16</v>
      </c>
      <c r="AY2300" s="75">
        <v>0</v>
      </c>
      <c r="AZ2300" s="77" t="s">
        <v>131</v>
      </c>
      <c r="BA2300" s="78" t="s">
        <v>131</v>
      </c>
      <c r="BB2300" s="78" t="s">
        <v>131</v>
      </c>
      <c r="BC2300" s="78" t="s">
        <v>131</v>
      </c>
      <c r="BD2300" s="78" t="s">
        <v>131</v>
      </c>
      <c r="BE2300" s="78" t="s">
        <v>131</v>
      </c>
      <c r="BF2300" s="78" t="s">
        <v>131</v>
      </c>
      <c r="BG2300" s="78" t="s">
        <v>132</v>
      </c>
      <c r="BH2300" s="75" t="s">
        <v>5970</v>
      </c>
      <c r="BI2300" s="295" t="s">
        <v>2261</v>
      </c>
      <c r="BJ2300" s="546">
        <v>1</v>
      </c>
      <c r="BK2300" s="294">
        <v>1</v>
      </c>
      <c r="BL2300" s="157">
        <v>1</v>
      </c>
      <c r="BM2300" s="548" t="s">
        <v>1340</v>
      </c>
      <c r="BN2300" s="548" t="s">
        <v>5969</v>
      </c>
      <c r="BO2300" s="157" t="s">
        <v>4268</v>
      </c>
      <c r="BP2300" s="548" t="s">
        <v>2261</v>
      </c>
      <c r="BQ2300" s="157" t="s">
        <v>4214</v>
      </c>
      <c r="BR2300" s="157"/>
    </row>
    <row r="2301" spans="1:70" x14ac:dyDescent="0.25">
      <c r="A2301" s="19" t="s">
        <v>3686</v>
      </c>
      <c r="B2301" s="37" t="s">
        <v>569</v>
      </c>
      <c r="C2301" s="90">
        <v>43570.915335648147</v>
      </c>
      <c r="D2301" s="114">
        <v>43570.665335648147</v>
      </c>
      <c r="E2301" s="38">
        <v>43570</v>
      </c>
      <c r="F2301" s="91">
        <v>2019</v>
      </c>
      <c r="G2301" s="93">
        <v>4</v>
      </c>
      <c r="H2301" s="37" t="s">
        <v>557</v>
      </c>
      <c r="I2301" s="37" t="s">
        <v>544</v>
      </c>
      <c r="J2301" s="103">
        <v>-93.167067299999999</v>
      </c>
      <c r="K2301" s="40">
        <v>45.0014428</v>
      </c>
      <c r="L2301" s="74"/>
      <c r="M2301" s="272" t="s">
        <v>16</v>
      </c>
      <c r="N2301" s="74">
        <v>0</v>
      </c>
      <c r="O2301" s="94" t="b">
        <v>1</v>
      </c>
      <c r="P2301" s="118">
        <v>0</v>
      </c>
      <c r="Q2301" s="510"/>
      <c r="R2301" s="513"/>
      <c r="S2301" s="41">
        <v>-13</v>
      </c>
      <c r="T2301" s="40">
        <v>54</v>
      </c>
      <c r="U2301" s="40"/>
      <c r="V2301" s="119">
        <v>1</v>
      </c>
      <c r="W2301" s="40">
        <v>0</v>
      </c>
      <c r="X2301" s="119">
        <v>1</v>
      </c>
      <c r="Y2301" s="40">
        <v>46</v>
      </c>
      <c r="Z2301" s="119">
        <v>0</v>
      </c>
      <c r="AA2301" s="368" t="s">
        <v>16</v>
      </c>
      <c r="AB2301" s="535" t="s">
        <v>16</v>
      </c>
      <c r="AC2301" s="39" t="s">
        <v>161</v>
      </c>
      <c r="AD2301" s="75" t="s">
        <v>10</v>
      </c>
      <c r="AE2301" s="95">
        <v>0</v>
      </c>
      <c r="AF2301" s="75">
        <v>0</v>
      </c>
      <c r="AG2301" s="75">
        <v>0</v>
      </c>
      <c r="AH2301" s="75">
        <v>0</v>
      </c>
      <c r="AI2301" s="75">
        <v>0</v>
      </c>
      <c r="AJ2301" s="75">
        <v>0</v>
      </c>
      <c r="AK2301" s="75">
        <v>0</v>
      </c>
      <c r="AL2301" s="95">
        <v>1</v>
      </c>
      <c r="AM2301" s="92">
        <v>0</v>
      </c>
      <c r="AN2301" s="79" t="s">
        <v>80</v>
      </c>
      <c r="AO2301" s="75">
        <v>1</v>
      </c>
      <c r="AP2301" s="75" t="s">
        <v>83</v>
      </c>
      <c r="AQ2301" s="122">
        <v>1</v>
      </c>
      <c r="AR2301" s="515" t="s">
        <v>10</v>
      </c>
      <c r="AS2301" s="95">
        <v>0</v>
      </c>
      <c r="AT2301" s="75">
        <v>0</v>
      </c>
      <c r="AU2301" s="75">
        <v>0</v>
      </c>
      <c r="AV2301" s="75">
        <v>0</v>
      </c>
      <c r="AW2301" s="123">
        <v>0</v>
      </c>
      <c r="AX2301" s="516" t="s">
        <v>16</v>
      </c>
      <c r="AY2301" s="75">
        <v>0</v>
      </c>
      <c r="AZ2301" s="77" t="s">
        <v>131</v>
      </c>
      <c r="BA2301" s="78" t="s">
        <v>131</v>
      </c>
      <c r="BB2301" s="78" t="s">
        <v>131</v>
      </c>
      <c r="BC2301" s="78" t="s">
        <v>131</v>
      </c>
      <c r="BD2301" s="78" t="s">
        <v>131</v>
      </c>
      <c r="BE2301" s="78" t="s">
        <v>131</v>
      </c>
      <c r="BF2301" s="78" t="s">
        <v>131</v>
      </c>
      <c r="BG2301" s="78" t="s">
        <v>132</v>
      </c>
      <c r="BH2301" s="75" t="s">
        <v>5970</v>
      </c>
      <c r="BI2301" s="295" t="s">
        <v>16</v>
      </c>
      <c r="BJ2301" s="546" t="s">
        <v>16</v>
      </c>
      <c r="BK2301" s="294" t="s">
        <v>16</v>
      </c>
      <c r="BL2301" s="157" t="s">
        <v>16</v>
      </c>
      <c r="BM2301" s="548" t="s">
        <v>2343</v>
      </c>
      <c r="BN2301" s="548" t="s">
        <v>5969</v>
      </c>
      <c r="BO2301" s="157" t="s">
        <v>4742</v>
      </c>
      <c r="BP2301" s="548" t="s">
        <v>4743</v>
      </c>
      <c r="BQ2301" s="157" t="s">
        <v>4741</v>
      </c>
      <c r="BR2301" s="157"/>
    </row>
    <row r="2302" spans="1:70" x14ac:dyDescent="0.25">
      <c r="A2302" s="19" t="s">
        <v>3686</v>
      </c>
      <c r="B2302" s="37" t="s">
        <v>564</v>
      </c>
      <c r="C2302" s="90">
        <v>43570.909895833334</v>
      </c>
      <c r="D2302" s="114">
        <v>43570.659895833334</v>
      </c>
      <c r="E2302" s="38">
        <v>43570</v>
      </c>
      <c r="F2302" s="91">
        <v>2019</v>
      </c>
      <c r="G2302" s="93">
        <v>4</v>
      </c>
      <c r="H2302" s="37" t="s">
        <v>557</v>
      </c>
      <c r="I2302" s="37" t="s">
        <v>544</v>
      </c>
      <c r="J2302" s="103">
        <v>-93.167064400000001</v>
      </c>
      <c r="K2302" s="40">
        <v>45.001447900000002</v>
      </c>
      <c r="L2302" s="74"/>
      <c r="M2302" s="272" t="s">
        <v>16</v>
      </c>
      <c r="N2302" s="74">
        <v>0</v>
      </c>
      <c r="O2302" s="94" t="b">
        <v>1</v>
      </c>
      <c r="P2302" s="118">
        <v>0</v>
      </c>
      <c r="Q2302" s="510"/>
      <c r="R2302" s="513"/>
      <c r="S2302" s="41"/>
      <c r="T2302" s="40"/>
      <c r="U2302" s="40"/>
      <c r="V2302" s="119">
        <v>0</v>
      </c>
      <c r="W2302" s="40"/>
      <c r="X2302" s="119">
        <v>0</v>
      </c>
      <c r="Y2302" s="40"/>
      <c r="Z2302" s="119">
        <v>0</v>
      </c>
      <c r="AA2302" s="368" t="s">
        <v>16</v>
      </c>
      <c r="AB2302" s="535" t="s">
        <v>16</v>
      </c>
      <c r="AC2302" s="39" t="s">
        <v>161</v>
      </c>
      <c r="AD2302" s="75" t="s">
        <v>16</v>
      </c>
      <c r="AE2302" s="95">
        <v>-1</v>
      </c>
      <c r="AF2302" s="75">
        <v>-1</v>
      </c>
      <c r="AG2302" s="75">
        <v>-1</v>
      </c>
      <c r="AH2302" s="75">
        <v>-1</v>
      </c>
      <c r="AI2302" s="75">
        <v>-1</v>
      </c>
      <c r="AJ2302" s="75">
        <v>-1</v>
      </c>
      <c r="AK2302" s="75">
        <v>-1</v>
      </c>
      <c r="AL2302" s="95">
        <v>-1</v>
      </c>
      <c r="AM2302" s="92">
        <v>1</v>
      </c>
      <c r="AN2302" s="79"/>
      <c r="AO2302" s="75">
        <v>0</v>
      </c>
      <c r="AP2302" s="75"/>
      <c r="AQ2302" s="122">
        <v>0</v>
      </c>
      <c r="AR2302" s="515" t="s">
        <v>16</v>
      </c>
      <c r="AS2302" s="95">
        <v>-1</v>
      </c>
      <c r="AT2302" s="75">
        <v>-1</v>
      </c>
      <c r="AU2302" s="75">
        <v>-1</v>
      </c>
      <c r="AV2302" s="75">
        <v>-1</v>
      </c>
      <c r="AW2302" s="123">
        <v>1</v>
      </c>
      <c r="AX2302" s="516" t="s">
        <v>16</v>
      </c>
      <c r="AY2302" s="75">
        <v>0</v>
      </c>
      <c r="AZ2302" s="77" t="s">
        <v>5971</v>
      </c>
      <c r="BA2302" s="78" t="s">
        <v>5971</v>
      </c>
      <c r="BB2302" s="78" t="s">
        <v>5971</v>
      </c>
      <c r="BC2302" s="78" t="s">
        <v>5971</v>
      </c>
      <c r="BD2302" s="78" t="s">
        <v>5971</v>
      </c>
      <c r="BE2302" s="78" t="s">
        <v>5971</v>
      </c>
      <c r="BF2302" s="78" t="s">
        <v>5971</v>
      </c>
      <c r="BG2302" s="78" t="s">
        <v>5971</v>
      </c>
      <c r="BH2302" s="75" t="s">
        <v>5971</v>
      </c>
      <c r="BI2302" s="295" t="s">
        <v>16</v>
      </c>
      <c r="BJ2302" s="546" t="s">
        <v>16</v>
      </c>
      <c r="BK2302" s="294" t="s">
        <v>16</v>
      </c>
      <c r="BL2302" s="157" t="s">
        <v>16</v>
      </c>
      <c r="BM2302" s="548" t="s">
        <v>2343</v>
      </c>
      <c r="BN2302" s="548" t="s">
        <v>5969</v>
      </c>
      <c r="BO2302" s="157" t="s">
        <v>4742</v>
      </c>
      <c r="BP2302" s="548" t="s">
        <v>4743</v>
      </c>
      <c r="BQ2302" s="157" t="s">
        <v>4741</v>
      </c>
      <c r="BR2302" s="157"/>
    </row>
    <row r="2303" spans="1:70" x14ac:dyDescent="0.25">
      <c r="A2303" s="19" t="s">
        <v>3686</v>
      </c>
      <c r="B2303" s="37" t="s">
        <v>570</v>
      </c>
      <c r="C2303" s="90">
        <v>43570.909421296295</v>
      </c>
      <c r="D2303" s="114">
        <v>43570.659421296295</v>
      </c>
      <c r="E2303" s="38">
        <v>43570</v>
      </c>
      <c r="F2303" s="91">
        <v>2019</v>
      </c>
      <c r="G2303" s="93">
        <v>4</v>
      </c>
      <c r="H2303" s="37" t="s">
        <v>557</v>
      </c>
      <c r="I2303" s="37" t="s">
        <v>544</v>
      </c>
      <c r="J2303" s="103">
        <v>-93.167169099999995</v>
      </c>
      <c r="K2303" s="40">
        <v>45.0014064</v>
      </c>
      <c r="L2303" s="74"/>
      <c r="M2303" s="272" t="s">
        <v>16</v>
      </c>
      <c r="N2303" s="74">
        <v>0</v>
      </c>
      <c r="O2303" s="94" t="b">
        <v>1</v>
      </c>
      <c r="P2303" s="118">
        <v>0</v>
      </c>
      <c r="Q2303" s="510"/>
      <c r="R2303" s="513"/>
      <c r="S2303" s="41"/>
      <c r="T2303" s="40"/>
      <c r="U2303" s="40"/>
      <c r="V2303" s="119">
        <v>0</v>
      </c>
      <c r="W2303" s="40"/>
      <c r="X2303" s="119">
        <v>0</v>
      </c>
      <c r="Y2303" s="40"/>
      <c r="Z2303" s="119">
        <v>0</v>
      </c>
      <c r="AA2303" s="368" t="s">
        <v>16</v>
      </c>
      <c r="AB2303" s="535" t="s">
        <v>16</v>
      </c>
      <c r="AC2303" s="39" t="s">
        <v>161</v>
      </c>
      <c r="AD2303" s="75" t="s">
        <v>10</v>
      </c>
      <c r="AE2303" s="95">
        <v>0</v>
      </c>
      <c r="AF2303" s="75">
        <v>0</v>
      </c>
      <c r="AG2303" s="75">
        <v>0</v>
      </c>
      <c r="AH2303" s="75">
        <v>0</v>
      </c>
      <c r="AI2303" s="75">
        <v>0</v>
      </c>
      <c r="AJ2303" s="75">
        <v>0</v>
      </c>
      <c r="AK2303" s="75">
        <v>0</v>
      </c>
      <c r="AL2303" s="95">
        <v>1</v>
      </c>
      <c r="AM2303" s="92">
        <v>0</v>
      </c>
      <c r="AN2303" s="79"/>
      <c r="AO2303" s="75">
        <v>0</v>
      </c>
      <c r="AP2303" s="75"/>
      <c r="AQ2303" s="122">
        <v>0</v>
      </c>
      <c r="AR2303" s="515" t="s">
        <v>16</v>
      </c>
      <c r="AS2303" s="95">
        <v>-1</v>
      </c>
      <c r="AT2303" s="75">
        <v>-1</v>
      </c>
      <c r="AU2303" s="75">
        <v>-1</v>
      </c>
      <c r="AV2303" s="75">
        <v>-1</v>
      </c>
      <c r="AW2303" s="123">
        <v>1</v>
      </c>
      <c r="AX2303" s="516" t="s">
        <v>16</v>
      </c>
      <c r="AY2303" s="75">
        <v>0</v>
      </c>
      <c r="AZ2303" s="77" t="s">
        <v>131</v>
      </c>
      <c r="BA2303" s="78" t="s">
        <v>131</v>
      </c>
      <c r="BB2303" s="78" t="s">
        <v>131</v>
      </c>
      <c r="BC2303" s="78" t="s">
        <v>131</v>
      </c>
      <c r="BD2303" s="78" t="s">
        <v>131</v>
      </c>
      <c r="BE2303" s="78" t="s">
        <v>131</v>
      </c>
      <c r="BF2303" s="78" t="s">
        <v>131</v>
      </c>
      <c r="BG2303" s="78" t="s">
        <v>132</v>
      </c>
      <c r="BH2303" s="75" t="s">
        <v>5970</v>
      </c>
      <c r="BI2303" s="295" t="s">
        <v>16</v>
      </c>
      <c r="BJ2303" s="546" t="s">
        <v>16</v>
      </c>
      <c r="BK2303" s="294" t="s">
        <v>16</v>
      </c>
      <c r="BL2303" s="157" t="s">
        <v>16</v>
      </c>
      <c r="BM2303" s="548" t="s">
        <v>2343</v>
      </c>
      <c r="BN2303" s="548" t="s">
        <v>5969</v>
      </c>
      <c r="BO2303" s="157" t="s">
        <v>4742</v>
      </c>
      <c r="BP2303" s="548" t="s">
        <v>4743</v>
      </c>
      <c r="BQ2303" s="157" t="s">
        <v>4741</v>
      </c>
      <c r="BR2303" s="157"/>
    </row>
    <row r="2304" spans="1:70" x14ac:dyDescent="0.25">
      <c r="A2304" s="19" t="s">
        <v>3686</v>
      </c>
      <c r="B2304" s="37" t="s">
        <v>39</v>
      </c>
      <c r="C2304" s="90">
        <v>43569.803935185184</v>
      </c>
      <c r="D2304" s="114">
        <v>43569.553935185184</v>
      </c>
      <c r="E2304" s="38">
        <v>43569</v>
      </c>
      <c r="F2304" s="91">
        <v>2019</v>
      </c>
      <c r="G2304" s="93">
        <v>4</v>
      </c>
      <c r="H2304" s="37" t="s">
        <v>547</v>
      </c>
      <c r="I2304" s="37" t="s">
        <v>544</v>
      </c>
      <c r="J2304" s="103">
        <v>-92.189697499999994</v>
      </c>
      <c r="K2304" s="40">
        <v>44.632640500000001</v>
      </c>
      <c r="L2304" s="74"/>
      <c r="M2304" s="272" t="s">
        <v>16</v>
      </c>
      <c r="N2304" s="74">
        <v>0</v>
      </c>
      <c r="O2304" s="94" t="b">
        <v>1</v>
      </c>
      <c r="P2304" s="118">
        <v>0</v>
      </c>
      <c r="Q2304" s="510"/>
      <c r="R2304" s="513"/>
      <c r="S2304" s="41">
        <v>33</v>
      </c>
      <c r="T2304" s="40">
        <v>-104</v>
      </c>
      <c r="U2304" s="40"/>
      <c r="V2304" s="119">
        <v>1</v>
      </c>
      <c r="W2304" s="40">
        <v>0</v>
      </c>
      <c r="X2304" s="119">
        <v>1</v>
      </c>
      <c r="Y2304" s="40">
        <v>48</v>
      </c>
      <c r="Z2304" s="119">
        <v>0</v>
      </c>
      <c r="AA2304" s="368" t="s">
        <v>16</v>
      </c>
      <c r="AB2304" s="535" t="s">
        <v>16</v>
      </c>
      <c r="AC2304" s="39" t="s">
        <v>160</v>
      </c>
      <c r="AD2304" s="75" t="s">
        <v>10</v>
      </c>
      <c r="AE2304" s="95">
        <v>0</v>
      </c>
      <c r="AF2304" s="75">
        <v>0</v>
      </c>
      <c r="AG2304" s="75">
        <v>0</v>
      </c>
      <c r="AH2304" s="75">
        <v>0</v>
      </c>
      <c r="AI2304" s="75">
        <v>0</v>
      </c>
      <c r="AJ2304" s="75">
        <v>0</v>
      </c>
      <c r="AK2304" s="75">
        <v>0</v>
      </c>
      <c r="AL2304" s="95">
        <v>1</v>
      </c>
      <c r="AM2304" s="92">
        <v>0</v>
      </c>
      <c r="AN2304" s="79" t="s">
        <v>81</v>
      </c>
      <c r="AO2304" s="75">
        <v>1</v>
      </c>
      <c r="AP2304" s="75" t="s">
        <v>84</v>
      </c>
      <c r="AQ2304" s="122">
        <v>1</v>
      </c>
      <c r="AR2304" s="515" t="s">
        <v>10</v>
      </c>
      <c r="AS2304" s="95">
        <v>0</v>
      </c>
      <c r="AT2304" s="75">
        <v>0</v>
      </c>
      <c r="AU2304" s="75">
        <v>0</v>
      </c>
      <c r="AV2304" s="75">
        <v>0</v>
      </c>
      <c r="AW2304" s="123">
        <v>0</v>
      </c>
      <c r="AX2304" s="516" t="s">
        <v>16</v>
      </c>
      <c r="AY2304" s="75">
        <v>0</v>
      </c>
      <c r="AZ2304" s="77" t="s">
        <v>131</v>
      </c>
      <c r="BA2304" s="78" t="s">
        <v>131</v>
      </c>
      <c r="BB2304" s="78" t="s">
        <v>131</v>
      </c>
      <c r="BC2304" s="78" t="s">
        <v>131</v>
      </c>
      <c r="BD2304" s="78" t="s">
        <v>131</v>
      </c>
      <c r="BE2304" s="78" t="s">
        <v>131</v>
      </c>
      <c r="BF2304" s="78" t="s">
        <v>131</v>
      </c>
      <c r="BG2304" s="78" t="s">
        <v>132</v>
      </c>
      <c r="BH2304" s="75" t="s">
        <v>5970</v>
      </c>
      <c r="BI2304" s="295" t="s">
        <v>2248</v>
      </c>
      <c r="BJ2304" s="546">
        <v>1</v>
      </c>
      <c r="BK2304" s="294">
        <v>1</v>
      </c>
      <c r="BL2304" s="157">
        <v>1</v>
      </c>
      <c r="BM2304" s="548" t="s">
        <v>578</v>
      </c>
      <c r="BN2304" s="548" t="s">
        <v>5969</v>
      </c>
      <c r="BO2304" s="157" t="s">
        <v>4218</v>
      </c>
      <c r="BP2304" s="548" t="s">
        <v>4221</v>
      </c>
      <c r="BQ2304" s="157" t="s">
        <v>4217</v>
      </c>
      <c r="BR2304" s="157"/>
    </row>
    <row r="2305" spans="1:70" x14ac:dyDescent="0.25">
      <c r="A2305" s="19" t="s">
        <v>3686</v>
      </c>
      <c r="B2305" s="37" t="s">
        <v>55</v>
      </c>
      <c r="C2305" s="90">
        <v>43569.698541666665</v>
      </c>
      <c r="D2305" s="114">
        <v>43569.448541666665</v>
      </c>
      <c r="E2305" s="38">
        <v>43569</v>
      </c>
      <c r="F2305" s="91">
        <v>2019</v>
      </c>
      <c r="G2305" s="93">
        <v>4</v>
      </c>
      <c r="H2305" s="37" t="s">
        <v>549</v>
      </c>
      <c r="I2305" s="37" t="s">
        <v>360</v>
      </c>
      <c r="J2305" s="103">
        <v>-92.643386800000002</v>
      </c>
      <c r="K2305" s="40">
        <v>44.842784799999997</v>
      </c>
      <c r="L2305" s="74"/>
      <c r="M2305" s="272" t="s">
        <v>16</v>
      </c>
      <c r="N2305" s="74">
        <v>0</v>
      </c>
      <c r="O2305" s="94" t="b">
        <v>1</v>
      </c>
      <c r="P2305" s="118">
        <v>0</v>
      </c>
      <c r="Q2305" s="510"/>
      <c r="R2305" s="513"/>
      <c r="S2305" s="41">
        <v>12</v>
      </c>
      <c r="T2305" s="40">
        <v>-8</v>
      </c>
      <c r="U2305" s="40"/>
      <c r="V2305" s="119">
        <v>1</v>
      </c>
      <c r="W2305" s="40">
        <v>0</v>
      </c>
      <c r="X2305" s="119">
        <v>1</v>
      </c>
      <c r="Y2305" s="40">
        <v>49</v>
      </c>
      <c r="Z2305" s="119">
        <v>0</v>
      </c>
      <c r="AA2305" s="368" t="s">
        <v>16</v>
      </c>
      <c r="AB2305" s="535" t="s">
        <v>16</v>
      </c>
      <c r="AC2305" s="39" t="s">
        <v>160</v>
      </c>
      <c r="AD2305" s="75" t="s">
        <v>8</v>
      </c>
      <c r="AE2305" s="95">
        <v>0</v>
      </c>
      <c r="AF2305" s="75">
        <v>1</v>
      </c>
      <c r="AG2305" s="75">
        <v>0</v>
      </c>
      <c r="AH2305" s="75">
        <v>0</v>
      </c>
      <c r="AI2305" s="75">
        <v>0</v>
      </c>
      <c r="AJ2305" s="75">
        <v>0</v>
      </c>
      <c r="AK2305" s="75">
        <v>0</v>
      </c>
      <c r="AL2305" s="95">
        <v>0</v>
      </c>
      <c r="AM2305" s="92">
        <v>0</v>
      </c>
      <c r="AN2305" s="79" t="s">
        <v>80</v>
      </c>
      <c r="AO2305" s="75">
        <v>1</v>
      </c>
      <c r="AP2305" s="75" t="s">
        <v>83</v>
      </c>
      <c r="AQ2305" s="122">
        <v>1</v>
      </c>
      <c r="AR2305" s="515" t="s">
        <v>10</v>
      </c>
      <c r="AS2305" s="95">
        <v>0</v>
      </c>
      <c r="AT2305" s="75">
        <v>0</v>
      </c>
      <c r="AU2305" s="75">
        <v>0</v>
      </c>
      <c r="AV2305" s="75">
        <v>0</v>
      </c>
      <c r="AW2305" s="123">
        <v>0</v>
      </c>
      <c r="AX2305" s="516" t="s">
        <v>16</v>
      </c>
      <c r="AY2305" s="75">
        <v>0</v>
      </c>
      <c r="AZ2305" s="77" t="s">
        <v>131</v>
      </c>
      <c r="BA2305" s="78" t="s">
        <v>132</v>
      </c>
      <c r="BB2305" s="78" t="s">
        <v>131</v>
      </c>
      <c r="BC2305" s="78" t="s">
        <v>131</v>
      </c>
      <c r="BD2305" s="78" t="s">
        <v>131</v>
      </c>
      <c r="BE2305" s="78" t="s">
        <v>131</v>
      </c>
      <c r="BF2305" s="78" t="s">
        <v>131</v>
      </c>
      <c r="BG2305" s="78" t="s">
        <v>131</v>
      </c>
      <c r="BH2305" s="75" t="s">
        <v>5970</v>
      </c>
      <c r="BI2305" s="295" t="s">
        <v>2227</v>
      </c>
      <c r="BJ2305" s="546">
        <v>1</v>
      </c>
      <c r="BK2305" s="294" t="s">
        <v>16</v>
      </c>
      <c r="BL2305" s="157" t="s">
        <v>16</v>
      </c>
      <c r="BM2305" s="548" t="s">
        <v>578</v>
      </c>
      <c r="BN2305" s="548" t="s">
        <v>5969</v>
      </c>
      <c r="BO2305" s="157" t="s">
        <v>4341</v>
      </c>
      <c r="BP2305" s="548" t="s">
        <v>4343</v>
      </c>
      <c r="BQ2305" s="157" t="s">
        <v>4309</v>
      </c>
      <c r="BR2305" s="157"/>
    </row>
    <row r="2306" spans="1:70" x14ac:dyDescent="0.25">
      <c r="A2306" s="19" t="s">
        <v>3686</v>
      </c>
      <c r="B2306" s="37" t="s">
        <v>559</v>
      </c>
      <c r="C2306" s="90">
        <v>43565.87358796296</v>
      </c>
      <c r="D2306" s="114">
        <v>43565.62358796296</v>
      </c>
      <c r="E2306" s="38">
        <v>43565</v>
      </c>
      <c r="F2306" s="91">
        <v>2019</v>
      </c>
      <c r="G2306" s="93">
        <v>4</v>
      </c>
      <c r="H2306" s="37" t="s">
        <v>547</v>
      </c>
      <c r="I2306" s="37" t="s">
        <v>544</v>
      </c>
      <c r="J2306" s="103">
        <v>-92.732820500000003</v>
      </c>
      <c r="K2306" s="40">
        <v>44.983962400000003</v>
      </c>
      <c r="L2306" s="74"/>
      <c r="M2306" s="272" t="s">
        <v>16</v>
      </c>
      <c r="N2306" s="74">
        <v>0</v>
      </c>
      <c r="O2306" s="94" t="b">
        <v>1</v>
      </c>
      <c r="P2306" s="118">
        <v>0</v>
      </c>
      <c r="Q2306" s="510"/>
      <c r="R2306" s="513"/>
      <c r="S2306" s="41"/>
      <c r="T2306" s="40"/>
      <c r="U2306" s="40"/>
      <c r="V2306" s="119">
        <v>1</v>
      </c>
      <c r="W2306" s="40">
        <v>200</v>
      </c>
      <c r="X2306" s="119">
        <v>1</v>
      </c>
      <c r="Y2306" s="40">
        <v>50</v>
      </c>
      <c r="Z2306" s="119">
        <v>0</v>
      </c>
      <c r="AA2306" s="368" t="s">
        <v>16</v>
      </c>
      <c r="AB2306" s="535" t="s">
        <v>16</v>
      </c>
      <c r="AC2306" s="39" t="s">
        <v>160</v>
      </c>
      <c r="AD2306" s="75" t="s">
        <v>10</v>
      </c>
      <c r="AE2306" s="95">
        <v>0</v>
      </c>
      <c r="AF2306" s="75">
        <v>0</v>
      </c>
      <c r="AG2306" s="75">
        <v>0</v>
      </c>
      <c r="AH2306" s="75">
        <v>0</v>
      </c>
      <c r="AI2306" s="75">
        <v>0</v>
      </c>
      <c r="AJ2306" s="75">
        <v>0</v>
      </c>
      <c r="AK2306" s="75">
        <v>0</v>
      </c>
      <c r="AL2306" s="95">
        <v>1</v>
      </c>
      <c r="AM2306" s="92">
        <v>0</v>
      </c>
      <c r="AN2306" s="79" t="s">
        <v>81</v>
      </c>
      <c r="AO2306" s="75">
        <v>1</v>
      </c>
      <c r="AP2306" s="75" t="s">
        <v>83</v>
      </c>
      <c r="AQ2306" s="122">
        <v>1</v>
      </c>
      <c r="AR2306" s="515" t="s">
        <v>13</v>
      </c>
      <c r="AS2306" s="95">
        <v>1</v>
      </c>
      <c r="AT2306" s="75">
        <v>0</v>
      </c>
      <c r="AU2306" s="75">
        <v>0</v>
      </c>
      <c r="AV2306" s="75">
        <v>0</v>
      </c>
      <c r="AW2306" s="123">
        <v>0</v>
      </c>
      <c r="AX2306" s="516" t="s">
        <v>16</v>
      </c>
      <c r="AY2306" s="75">
        <v>0</v>
      </c>
      <c r="AZ2306" s="77" t="s">
        <v>131</v>
      </c>
      <c r="BA2306" s="78" t="s">
        <v>131</v>
      </c>
      <c r="BB2306" s="78" t="s">
        <v>131</v>
      </c>
      <c r="BC2306" s="78" t="s">
        <v>131</v>
      </c>
      <c r="BD2306" s="78" t="s">
        <v>131</v>
      </c>
      <c r="BE2306" s="78" t="s">
        <v>131</v>
      </c>
      <c r="BF2306" s="78" t="s">
        <v>131</v>
      </c>
      <c r="BG2306" s="78" t="s">
        <v>132</v>
      </c>
      <c r="BH2306" s="75" t="s">
        <v>5970</v>
      </c>
      <c r="BI2306" s="295" t="s">
        <v>16</v>
      </c>
      <c r="BJ2306" s="546" t="s">
        <v>16</v>
      </c>
      <c r="BK2306" s="294" t="s">
        <v>16</v>
      </c>
      <c r="BL2306" s="157" t="s">
        <v>16</v>
      </c>
      <c r="BM2306" s="548" t="s">
        <v>578</v>
      </c>
      <c r="BN2306" s="548" t="s">
        <v>5969</v>
      </c>
      <c r="BO2306" s="157" t="s">
        <v>4691</v>
      </c>
      <c r="BP2306" s="548" t="s">
        <v>4692</v>
      </c>
      <c r="BQ2306" s="157" t="s">
        <v>4690</v>
      </c>
      <c r="BR2306" s="157"/>
    </row>
    <row r="2307" spans="1:70" x14ac:dyDescent="0.25">
      <c r="A2307" s="19" t="s">
        <v>3686</v>
      </c>
      <c r="B2307" s="37" t="s">
        <v>565</v>
      </c>
      <c r="C2307" s="90">
        <v>43565.85359953704</v>
      </c>
      <c r="D2307" s="114">
        <v>43565.60359953704</v>
      </c>
      <c r="E2307" s="38">
        <v>43565</v>
      </c>
      <c r="F2307" s="91">
        <v>2019</v>
      </c>
      <c r="G2307" s="93">
        <v>4</v>
      </c>
      <c r="H2307" s="37" t="s">
        <v>547</v>
      </c>
      <c r="I2307" s="37" t="s">
        <v>544</v>
      </c>
      <c r="J2307" s="103">
        <v>-92.732859500000004</v>
      </c>
      <c r="K2307" s="40">
        <v>44.983995299999997</v>
      </c>
      <c r="L2307" s="74"/>
      <c r="M2307" s="272" t="s">
        <v>16</v>
      </c>
      <c r="N2307" s="74">
        <v>0</v>
      </c>
      <c r="O2307" s="94" t="b">
        <v>1</v>
      </c>
      <c r="P2307" s="118">
        <v>0</v>
      </c>
      <c r="Q2307" s="510"/>
      <c r="R2307" s="513"/>
      <c r="S2307" s="41"/>
      <c r="T2307" s="40"/>
      <c r="U2307" s="40"/>
      <c r="V2307" s="119">
        <v>1</v>
      </c>
      <c r="W2307" s="40">
        <v>200</v>
      </c>
      <c r="X2307" s="119">
        <v>1</v>
      </c>
      <c r="Y2307" s="40">
        <v>54</v>
      </c>
      <c r="Z2307" s="119">
        <v>0</v>
      </c>
      <c r="AA2307" s="368" t="s">
        <v>16</v>
      </c>
      <c r="AB2307" s="535" t="s">
        <v>16</v>
      </c>
      <c r="AC2307" s="39" t="s">
        <v>544</v>
      </c>
      <c r="AD2307" s="75" t="s">
        <v>16</v>
      </c>
      <c r="AE2307" s="95">
        <v>-1</v>
      </c>
      <c r="AF2307" s="75">
        <v>-1</v>
      </c>
      <c r="AG2307" s="75">
        <v>-1</v>
      </c>
      <c r="AH2307" s="75">
        <v>-1</v>
      </c>
      <c r="AI2307" s="75">
        <v>-1</v>
      </c>
      <c r="AJ2307" s="75">
        <v>-1</v>
      </c>
      <c r="AK2307" s="75">
        <v>-1</v>
      </c>
      <c r="AL2307" s="95">
        <v>-1</v>
      </c>
      <c r="AM2307" s="92">
        <v>1</v>
      </c>
      <c r="AN2307" s="79"/>
      <c r="AO2307" s="75">
        <v>0</v>
      </c>
      <c r="AP2307" s="75"/>
      <c r="AQ2307" s="122">
        <v>0</v>
      </c>
      <c r="AR2307" s="515" t="s">
        <v>16</v>
      </c>
      <c r="AS2307" s="95">
        <v>-1</v>
      </c>
      <c r="AT2307" s="75">
        <v>-1</v>
      </c>
      <c r="AU2307" s="75">
        <v>-1</v>
      </c>
      <c r="AV2307" s="75">
        <v>-1</v>
      </c>
      <c r="AW2307" s="123">
        <v>1</v>
      </c>
      <c r="AX2307" s="516" t="s">
        <v>16</v>
      </c>
      <c r="AY2307" s="75">
        <v>0</v>
      </c>
      <c r="AZ2307" s="77" t="s">
        <v>5971</v>
      </c>
      <c r="BA2307" s="78" t="s">
        <v>5971</v>
      </c>
      <c r="BB2307" s="78" t="s">
        <v>5971</v>
      </c>
      <c r="BC2307" s="78" t="s">
        <v>5971</v>
      </c>
      <c r="BD2307" s="78" t="s">
        <v>5971</v>
      </c>
      <c r="BE2307" s="78" t="s">
        <v>5971</v>
      </c>
      <c r="BF2307" s="78" t="s">
        <v>5971</v>
      </c>
      <c r="BG2307" s="78" t="s">
        <v>5971</v>
      </c>
      <c r="BH2307" s="75" t="s">
        <v>5971</v>
      </c>
      <c r="BI2307" s="295" t="s">
        <v>16</v>
      </c>
      <c r="BJ2307" s="546" t="s">
        <v>16</v>
      </c>
      <c r="BK2307" s="294" t="s">
        <v>16</v>
      </c>
      <c r="BL2307" s="157" t="s">
        <v>16</v>
      </c>
      <c r="BM2307" s="548" t="s">
        <v>578</v>
      </c>
      <c r="BN2307" s="548" t="s">
        <v>5969</v>
      </c>
      <c r="BO2307" s="157" t="s">
        <v>4691</v>
      </c>
      <c r="BP2307" s="548" t="s">
        <v>4692</v>
      </c>
      <c r="BQ2307" s="157" t="s">
        <v>4690</v>
      </c>
      <c r="BR2307" s="157"/>
    </row>
    <row r="2308" spans="1:70" x14ac:dyDescent="0.25">
      <c r="A2308" s="19" t="s">
        <v>3686</v>
      </c>
      <c r="B2308" s="37" t="s">
        <v>45</v>
      </c>
      <c r="C2308" s="90">
        <v>43564.994837962964</v>
      </c>
      <c r="D2308" s="114">
        <v>43564.744837962964</v>
      </c>
      <c r="E2308" s="38">
        <v>43564</v>
      </c>
      <c r="F2308" s="91">
        <v>2019</v>
      </c>
      <c r="G2308" s="93">
        <v>4</v>
      </c>
      <c r="H2308" s="37" t="s">
        <v>566</v>
      </c>
      <c r="I2308" s="37" t="s">
        <v>1212</v>
      </c>
      <c r="J2308" s="103">
        <v>-92.235020300000002</v>
      </c>
      <c r="K2308" s="40">
        <v>44.841925600000003</v>
      </c>
      <c r="L2308" s="74"/>
      <c r="M2308" s="272" t="s">
        <v>16</v>
      </c>
      <c r="N2308" s="74">
        <v>0</v>
      </c>
      <c r="O2308" s="94" t="b">
        <v>0</v>
      </c>
      <c r="P2308" s="118">
        <v>0</v>
      </c>
      <c r="Q2308" s="510"/>
      <c r="R2308" s="513"/>
      <c r="S2308" s="41">
        <v>-2</v>
      </c>
      <c r="T2308" s="40">
        <v>2</v>
      </c>
      <c r="U2308" s="40"/>
      <c r="V2308" s="119">
        <v>1</v>
      </c>
      <c r="W2308" s="40">
        <v>100</v>
      </c>
      <c r="X2308" s="119">
        <v>1</v>
      </c>
      <c r="Y2308" s="40">
        <v>42</v>
      </c>
      <c r="Z2308" s="119">
        <v>0</v>
      </c>
      <c r="AA2308" s="368" t="s">
        <v>16</v>
      </c>
      <c r="AB2308" s="535" t="s">
        <v>16</v>
      </c>
      <c r="AC2308" s="39" t="s">
        <v>160</v>
      </c>
      <c r="AD2308" s="75" t="s">
        <v>10</v>
      </c>
      <c r="AE2308" s="95">
        <v>0</v>
      </c>
      <c r="AF2308" s="75">
        <v>0</v>
      </c>
      <c r="AG2308" s="75">
        <v>0</v>
      </c>
      <c r="AH2308" s="75">
        <v>0</v>
      </c>
      <c r="AI2308" s="75">
        <v>0</v>
      </c>
      <c r="AJ2308" s="75">
        <v>0</v>
      </c>
      <c r="AK2308" s="75">
        <v>0</v>
      </c>
      <c r="AL2308" s="95">
        <v>1</v>
      </c>
      <c r="AM2308" s="92">
        <v>0</v>
      </c>
      <c r="AN2308" s="79" t="s">
        <v>81</v>
      </c>
      <c r="AO2308" s="75">
        <v>1</v>
      </c>
      <c r="AP2308" s="75" t="s">
        <v>83</v>
      </c>
      <c r="AQ2308" s="122">
        <v>1</v>
      </c>
      <c r="AR2308" s="515" t="s">
        <v>10</v>
      </c>
      <c r="AS2308" s="95">
        <v>0</v>
      </c>
      <c r="AT2308" s="75">
        <v>0</v>
      </c>
      <c r="AU2308" s="75">
        <v>0</v>
      </c>
      <c r="AV2308" s="75">
        <v>0</v>
      </c>
      <c r="AW2308" s="123">
        <v>0</v>
      </c>
      <c r="AX2308" s="516" t="s">
        <v>16</v>
      </c>
      <c r="AY2308" s="75">
        <v>0</v>
      </c>
      <c r="AZ2308" s="77" t="s">
        <v>131</v>
      </c>
      <c r="BA2308" s="78" t="s">
        <v>131</v>
      </c>
      <c r="BB2308" s="78" t="s">
        <v>131</v>
      </c>
      <c r="BC2308" s="78" t="s">
        <v>131</v>
      </c>
      <c r="BD2308" s="78" t="s">
        <v>131</v>
      </c>
      <c r="BE2308" s="78" t="s">
        <v>131</v>
      </c>
      <c r="BF2308" s="78" t="s">
        <v>131</v>
      </c>
      <c r="BG2308" s="78" t="s">
        <v>132</v>
      </c>
      <c r="BH2308" s="75" t="s">
        <v>5970</v>
      </c>
      <c r="BI2308" s="295" t="s">
        <v>2247</v>
      </c>
      <c r="BJ2308" s="546">
        <v>1</v>
      </c>
      <c r="BK2308" s="294">
        <v>1</v>
      </c>
      <c r="BL2308" s="157">
        <v>1</v>
      </c>
      <c r="BM2308" s="548" t="s">
        <v>578</v>
      </c>
      <c r="BN2308" s="548" t="s">
        <v>5969</v>
      </c>
      <c r="BO2308" s="157" t="s">
        <v>4318</v>
      </c>
      <c r="BP2308" s="548" t="s">
        <v>4439</v>
      </c>
      <c r="BQ2308" s="157" t="s">
        <v>4316</v>
      </c>
      <c r="BR2308" s="157"/>
    </row>
    <row r="2309" spans="1:70" x14ac:dyDescent="0.25">
      <c r="A2309" s="19" t="s">
        <v>3686</v>
      </c>
      <c r="B2309" s="37" t="s">
        <v>52</v>
      </c>
      <c r="C2309" s="90">
        <v>43563.941435185188</v>
      </c>
      <c r="D2309" s="114">
        <v>43563.691435185188</v>
      </c>
      <c r="E2309" s="38">
        <v>43563</v>
      </c>
      <c r="F2309" s="91">
        <v>2019</v>
      </c>
      <c r="G2309" s="93">
        <v>4</v>
      </c>
      <c r="H2309" s="37" t="s">
        <v>550</v>
      </c>
      <c r="I2309" s="37" t="s">
        <v>544</v>
      </c>
      <c r="J2309" s="103">
        <v>-92.583468100000005</v>
      </c>
      <c r="K2309" s="40">
        <v>44.848864499999998</v>
      </c>
      <c r="L2309" s="74"/>
      <c r="M2309" s="272" t="s">
        <v>16</v>
      </c>
      <c r="N2309" s="74">
        <v>0</v>
      </c>
      <c r="O2309" s="94" t="b">
        <v>1</v>
      </c>
      <c r="P2309" s="118">
        <v>0</v>
      </c>
      <c r="Q2309" s="510"/>
      <c r="R2309" s="513"/>
      <c r="S2309" s="41">
        <v>12</v>
      </c>
      <c r="T2309" s="40">
        <v>-41</v>
      </c>
      <c r="U2309" s="40"/>
      <c r="V2309" s="119">
        <v>1</v>
      </c>
      <c r="W2309" s="40">
        <v>0</v>
      </c>
      <c r="X2309" s="119">
        <v>1</v>
      </c>
      <c r="Y2309" s="40">
        <v>42</v>
      </c>
      <c r="Z2309" s="119">
        <v>0</v>
      </c>
      <c r="AA2309" s="368" t="s">
        <v>16</v>
      </c>
      <c r="AB2309" s="535" t="s">
        <v>16</v>
      </c>
      <c r="AC2309" s="39" t="s">
        <v>160</v>
      </c>
      <c r="AD2309" s="75" t="s">
        <v>16</v>
      </c>
      <c r="AE2309" s="95">
        <v>-1</v>
      </c>
      <c r="AF2309" s="75">
        <v>-1</v>
      </c>
      <c r="AG2309" s="75">
        <v>-1</v>
      </c>
      <c r="AH2309" s="75">
        <v>-1</v>
      </c>
      <c r="AI2309" s="75">
        <v>-1</v>
      </c>
      <c r="AJ2309" s="75">
        <v>-1</v>
      </c>
      <c r="AK2309" s="75">
        <v>-1</v>
      </c>
      <c r="AL2309" s="95">
        <v>-1</v>
      </c>
      <c r="AM2309" s="92">
        <v>1</v>
      </c>
      <c r="AN2309" s="79"/>
      <c r="AO2309" s="75">
        <v>0</v>
      </c>
      <c r="AP2309" s="75"/>
      <c r="AQ2309" s="122">
        <v>0</v>
      </c>
      <c r="AR2309" s="515" t="s">
        <v>16</v>
      </c>
      <c r="AS2309" s="95">
        <v>-1</v>
      </c>
      <c r="AT2309" s="75">
        <v>-1</v>
      </c>
      <c r="AU2309" s="75">
        <v>-1</v>
      </c>
      <c r="AV2309" s="75">
        <v>-1</v>
      </c>
      <c r="AW2309" s="123">
        <v>1</v>
      </c>
      <c r="AX2309" s="516" t="s">
        <v>16</v>
      </c>
      <c r="AY2309" s="75">
        <v>0</v>
      </c>
      <c r="AZ2309" s="77" t="s">
        <v>5971</v>
      </c>
      <c r="BA2309" s="78" t="s">
        <v>5971</v>
      </c>
      <c r="BB2309" s="78" t="s">
        <v>5971</v>
      </c>
      <c r="BC2309" s="78" t="s">
        <v>5971</v>
      </c>
      <c r="BD2309" s="78" t="s">
        <v>5971</v>
      </c>
      <c r="BE2309" s="78" t="s">
        <v>5971</v>
      </c>
      <c r="BF2309" s="78" t="s">
        <v>5971</v>
      </c>
      <c r="BG2309" s="78" t="s">
        <v>5971</v>
      </c>
      <c r="BH2309" s="75" t="s">
        <v>5971</v>
      </c>
      <c r="BI2309" s="295" t="s">
        <v>16</v>
      </c>
      <c r="BJ2309" s="546">
        <v>1</v>
      </c>
      <c r="BK2309" s="294">
        <v>1</v>
      </c>
      <c r="BL2309" s="157">
        <v>1</v>
      </c>
      <c r="BM2309" s="548" t="s">
        <v>578</v>
      </c>
      <c r="BN2309" s="548" t="s">
        <v>5969</v>
      </c>
      <c r="BO2309" s="157" t="s">
        <v>4310</v>
      </c>
      <c r="BP2309" s="548" t="s">
        <v>2226</v>
      </c>
      <c r="BQ2309" s="157" t="s">
        <v>4309</v>
      </c>
      <c r="BR2309" s="157"/>
    </row>
    <row r="2310" spans="1:70" x14ac:dyDescent="0.25">
      <c r="A2310" s="19" t="s">
        <v>3686</v>
      </c>
      <c r="B2310" s="37" t="s">
        <v>32</v>
      </c>
      <c r="C2310" s="90">
        <v>43561.612222222226</v>
      </c>
      <c r="D2310" s="114">
        <v>43561.362222222226</v>
      </c>
      <c r="E2310" s="38">
        <v>43561</v>
      </c>
      <c r="F2310" s="91">
        <v>2019</v>
      </c>
      <c r="G2310" s="93">
        <v>4</v>
      </c>
      <c r="H2310" s="37" t="s">
        <v>562</v>
      </c>
      <c r="I2310" s="37"/>
      <c r="J2310" s="103">
        <v>-92.146952499999998</v>
      </c>
      <c r="K2310" s="40">
        <v>44.793195599999997</v>
      </c>
      <c r="L2310" s="74"/>
      <c r="M2310" s="272" t="s">
        <v>16</v>
      </c>
      <c r="N2310" s="74">
        <v>0</v>
      </c>
      <c r="O2310" s="94"/>
      <c r="P2310" s="118">
        <v>0</v>
      </c>
      <c r="Q2310" s="510"/>
      <c r="R2310" s="513"/>
      <c r="S2310" s="41">
        <v>-16</v>
      </c>
      <c r="T2310" s="40">
        <v>42</v>
      </c>
      <c r="U2310" s="40"/>
      <c r="V2310" s="119">
        <v>1</v>
      </c>
      <c r="W2310" s="40">
        <v>0</v>
      </c>
      <c r="X2310" s="119">
        <v>1</v>
      </c>
      <c r="Y2310" s="40">
        <v>42</v>
      </c>
      <c r="Z2310" s="119">
        <v>0</v>
      </c>
      <c r="AA2310" s="368" t="s">
        <v>16</v>
      </c>
      <c r="AB2310" s="535" t="s">
        <v>16</v>
      </c>
      <c r="AC2310" s="39" t="s">
        <v>160</v>
      </c>
      <c r="AD2310" s="75" t="s">
        <v>10</v>
      </c>
      <c r="AE2310" s="95">
        <v>0</v>
      </c>
      <c r="AF2310" s="75">
        <v>0</v>
      </c>
      <c r="AG2310" s="75">
        <v>0</v>
      </c>
      <c r="AH2310" s="75">
        <v>0</v>
      </c>
      <c r="AI2310" s="75">
        <v>0</v>
      </c>
      <c r="AJ2310" s="75">
        <v>0</v>
      </c>
      <c r="AK2310" s="75">
        <v>0</v>
      </c>
      <c r="AL2310" s="95">
        <v>1</v>
      </c>
      <c r="AM2310" s="92">
        <v>0</v>
      </c>
      <c r="AN2310" s="79" t="s">
        <v>81</v>
      </c>
      <c r="AO2310" s="75">
        <v>1</v>
      </c>
      <c r="AP2310" s="75" t="s">
        <v>84</v>
      </c>
      <c r="AQ2310" s="122">
        <v>1</v>
      </c>
      <c r="AR2310" s="515" t="s">
        <v>13</v>
      </c>
      <c r="AS2310" s="95">
        <v>1</v>
      </c>
      <c r="AT2310" s="75">
        <v>0</v>
      </c>
      <c r="AU2310" s="75">
        <v>0</v>
      </c>
      <c r="AV2310" s="75">
        <v>0</v>
      </c>
      <c r="AW2310" s="123">
        <v>0</v>
      </c>
      <c r="AX2310" s="516"/>
      <c r="AY2310" s="75">
        <v>0</v>
      </c>
      <c r="AZ2310" s="77" t="s">
        <v>131</v>
      </c>
      <c r="BA2310" s="78" t="s">
        <v>131</v>
      </c>
      <c r="BB2310" s="78" t="s">
        <v>131</v>
      </c>
      <c r="BC2310" s="78" t="s">
        <v>131</v>
      </c>
      <c r="BD2310" s="78" t="s">
        <v>131</v>
      </c>
      <c r="BE2310" s="78" t="s">
        <v>131</v>
      </c>
      <c r="BF2310" s="78" t="s">
        <v>131</v>
      </c>
      <c r="BG2310" s="78" t="s">
        <v>132</v>
      </c>
      <c r="BH2310" s="75" t="s">
        <v>5970</v>
      </c>
      <c r="BI2310" s="295" t="s">
        <v>2270</v>
      </c>
      <c r="BJ2310" s="546">
        <v>1</v>
      </c>
      <c r="BK2310" s="294">
        <v>1</v>
      </c>
      <c r="BL2310" s="157">
        <v>1</v>
      </c>
      <c r="BM2310" s="548" t="s">
        <v>578</v>
      </c>
      <c r="BN2310" s="548" t="s">
        <v>5969</v>
      </c>
      <c r="BO2310" s="157" t="s">
        <v>4317</v>
      </c>
      <c r="BP2310" s="548" t="s">
        <v>2270</v>
      </c>
      <c r="BQ2310" s="157" t="s">
        <v>4316</v>
      </c>
      <c r="BR2310" s="157"/>
    </row>
    <row r="2311" spans="1:70" x14ac:dyDescent="0.25">
      <c r="A2311" s="19" t="s">
        <v>3686</v>
      </c>
      <c r="B2311" s="37" t="s">
        <v>15</v>
      </c>
      <c r="C2311" s="90">
        <v>43556.982766203706</v>
      </c>
      <c r="D2311" s="114">
        <v>43556.732766203706</v>
      </c>
      <c r="E2311" s="38">
        <v>43556</v>
      </c>
      <c r="F2311" s="91">
        <v>2019</v>
      </c>
      <c r="G2311" s="93">
        <v>4</v>
      </c>
      <c r="H2311" s="37" t="s">
        <v>545</v>
      </c>
      <c r="I2311" s="37"/>
      <c r="J2311" s="103">
        <v>-92.7333055</v>
      </c>
      <c r="K2311" s="40">
        <v>44.831432599999999</v>
      </c>
      <c r="L2311" s="74"/>
      <c r="M2311" s="272" t="s">
        <v>16</v>
      </c>
      <c r="N2311" s="74">
        <v>0</v>
      </c>
      <c r="O2311" s="94"/>
      <c r="P2311" s="118">
        <v>0</v>
      </c>
      <c r="Q2311" s="510"/>
      <c r="R2311" s="513"/>
      <c r="S2311" s="41">
        <v>15</v>
      </c>
      <c r="T2311" s="40">
        <v>-48</v>
      </c>
      <c r="U2311" s="40"/>
      <c r="V2311" s="119">
        <v>0</v>
      </c>
      <c r="W2311" s="40"/>
      <c r="X2311" s="119">
        <v>0</v>
      </c>
      <c r="Y2311" s="40"/>
      <c r="Z2311" s="119">
        <v>0</v>
      </c>
      <c r="AA2311" s="368" t="s">
        <v>16</v>
      </c>
      <c r="AB2311" s="535" t="s">
        <v>16</v>
      </c>
      <c r="AC2311" s="39" t="s">
        <v>160</v>
      </c>
      <c r="AD2311" s="75" t="s">
        <v>10</v>
      </c>
      <c r="AE2311" s="95">
        <v>0</v>
      </c>
      <c r="AF2311" s="75">
        <v>0</v>
      </c>
      <c r="AG2311" s="75">
        <v>0</v>
      </c>
      <c r="AH2311" s="75">
        <v>0</v>
      </c>
      <c r="AI2311" s="75">
        <v>0</v>
      </c>
      <c r="AJ2311" s="75">
        <v>0</v>
      </c>
      <c r="AK2311" s="75">
        <v>0</v>
      </c>
      <c r="AL2311" s="95">
        <v>1</v>
      </c>
      <c r="AM2311" s="92">
        <v>0</v>
      </c>
      <c r="AN2311" s="79" t="s">
        <v>80</v>
      </c>
      <c r="AO2311" s="75">
        <v>1</v>
      </c>
      <c r="AP2311" s="75" t="s">
        <v>83</v>
      </c>
      <c r="AQ2311" s="122">
        <v>1</v>
      </c>
      <c r="AR2311" s="515" t="s">
        <v>10</v>
      </c>
      <c r="AS2311" s="95">
        <v>0</v>
      </c>
      <c r="AT2311" s="75">
        <v>0</v>
      </c>
      <c r="AU2311" s="75">
        <v>0</v>
      </c>
      <c r="AV2311" s="75">
        <v>0</v>
      </c>
      <c r="AW2311" s="123">
        <v>0</v>
      </c>
      <c r="AX2311" s="516"/>
      <c r="AY2311" s="75">
        <v>0</v>
      </c>
      <c r="AZ2311" s="77" t="s">
        <v>131</v>
      </c>
      <c r="BA2311" s="78" t="s">
        <v>131</v>
      </c>
      <c r="BB2311" s="78" t="s">
        <v>131</v>
      </c>
      <c r="BC2311" s="78" t="s">
        <v>131</v>
      </c>
      <c r="BD2311" s="78" t="s">
        <v>131</v>
      </c>
      <c r="BE2311" s="78" t="s">
        <v>131</v>
      </c>
      <c r="BF2311" s="78" t="s">
        <v>131</v>
      </c>
      <c r="BG2311" s="78" t="s">
        <v>132</v>
      </c>
      <c r="BH2311" s="75" t="s">
        <v>5970</v>
      </c>
      <c r="BI2311" s="295" t="s">
        <v>2227</v>
      </c>
      <c r="BJ2311" s="546">
        <v>1</v>
      </c>
      <c r="BK2311" s="294" t="s">
        <v>16</v>
      </c>
      <c r="BL2311" s="157" t="s">
        <v>16</v>
      </c>
      <c r="BM2311" s="548" t="s">
        <v>578</v>
      </c>
      <c r="BN2311" s="548" t="s">
        <v>5969</v>
      </c>
      <c r="BO2311" s="157" t="s">
        <v>4341</v>
      </c>
      <c r="BP2311" s="548" t="s">
        <v>4343</v>
      </c>
      <c r="BQ2311" s="157" t="s">
        <v>4309</v>
      </c>
      <c r="BR2311" s="157"/>
    </row>
    <row r="2312" spans="1:70" x14ac:dyDescent="0.25">
      <c r="A2312" s="19" t="s">
        <v>3686</v>
      </c>
      <c r="B2312" s="37" t="s">
        <v>36</v>
      </c>
      <c r="C2312" s="90">
        <v>43545.834374999999</v>
      </c>
      <c r="D2312" s="114">
        <v>43545.584374999999</v>
      </c>
      <c r="E2312" s="38">
        <v>43545</v>
      </c>
      <c r="F2312" s="91">
        <v>2019</v>
      </c>
      <c r="G2312" s="93">
        <v>3</v>
      </c>
      <c r="H2312" s="37" t="s">
        <v>547</v>
      </c>
      <c r="I2312" s="37"/>
      <c r="J2312" s="103">
        <v>-92.529949090000002</v>
      </c>
      <c r="K2312" s="40">
        <v>44.793594599999999</v>
      </c>
      <c r="L2312" s="74"/>
      <c r="M2312" s="272" t="s">
        <v>16</v>
      </c>
      <c r="N2312" s="74">
        <v>0</v>
      </c>
      <c r="O2312" s="94"/>
      <c r="P2312" s="118">
        <v>0</v>
      </c>
      <c r="Q2312" s="510"/>
      <c r="R2312" s="513"/>
      <c r="S2312" s="41">
        <v>12</v>
      </c>
      <c r="T2312" s="40">
        <v>-40</v>
      </c>
      <c r="U2312" s="40"/>
      <c r="V2312" s="119">
        <v>1</v>
      </c>
      <c r="W2312" s="40">
        <v>100</v>
      </c>
      <c r="X2312" s="119">
        <v>1</v>
      </c>
      <c r="Y2312" s="40">
        <v>35</v>
      </c>
      <c r="Z2312" s="119">
        <v>0</v>
      </c>
      <c r="AA2312" s="368" t="s">
        <v>16</v>
      </c>
      <c r="AB2312" s="535" t="s">
        <v>16</v>
      </c>
      <c r="AC2312" s="39" t="s">
        <v>160</v>
      </c>
      <c r="AD2312" s="75" t="s">
        <v>10</v>
      </c>
      <c r="AE2312" s="95">
        <v>0</v>
      </c>
      <c r="AF2312" s="75">
        <v>0</v>
      </c>
      <c r="AG2312" s="75">
        <v>0</v>
      </c>
      <c r="AH2312" s="75">
        <v>0</v>
      </c>
      <c r="AI2312" s="75">
        <v>0</v>
      </c>
      <c r="AJ2312" s="75">
        <v>0</v>
      </c>
      <c r="AK2312" s="75">
        <v>0</v>
      </c>
      <c r="AL2312" s="95">
        <v>1</v>
      </c>
      <c r="AM2312" s="92">
        <v>0</v>
      </c>
      <c r="AN2312" s="79" t="s">
        <v>86</v>
      </c>
      <c r="AO2312" s="75">
        <v>1</v>
      </c>
      <c r="AP2312" s="75" t="s">
        <v>84</v>
      </c>
      <c r="AQ2312" s="122">
        <v>1</v>
      </c>
      <c r="AR2312" s="515" t="s">
        <v>58</v>
      </c>
      <c r="AS2312" s="95">
        <v>0</v>
      </c>
      <c r="AT2312" s="75">
        <v>0</v>
      </c>
      <c r="AU2312" s="75">
        <v>1</v>
      </c>
      <c r="AV2312" s="75">
        <v>0</v>
      </c>
      <c r="AW2312" s="123">
        <v>0</v>
      </c>
      <c r="AX2312" s="516"/>
      <c r="AY2312" s="75">
        <v>0</v>
      </c>
      <c r="AZ2312" s="77" t="s">
        <v>131</v>
      </c>
      <c r="BA2312" s="78" t="s">
        <v>131</v>
      </c>
      <c r="BB2312" s="78" t="s">
        <v>131</v>
      </c>
      <c r="BC2312" s="78" t="s">
        <v>131</v>
      </c>
      <c r="BD2312" s="78" t="s">
        <v>131</v>
      </c>
      <c r="BE2312" s="78" t="s">
        <v>131</v>
      </c>
      <c r="BF2312" s="78" t="s">
        <v>131</v>
      </c>
      <c r="BG2312" s="78" t="s">
        <v>132</v>
      </c>
      <c r="BH2312" s="75" t="s">
        <v>5970</v>
      </c>
      <c r="BI2312" s="295" t="s">
        <v>2236</v>
      </c>
      <c r="BJ2312" s="546">
        <v>1</v>
      </c>
      <c r="BK2312" s="294" t="s">
        <v>16</v>
      </c>
      <c r="BL2312" s="157" t="s">
        <v>16</v>
      </c>
      <c r="BM2312" s="548" t="s">
        <v>578</v>
      </c>
      <c r="BN2312" s="548" t="s">
        <v>5969</v>
      </c>
      <c r="BO2312" s="157" t="s">
        <v>4658</v>
      </c>
      <c r="BP2312" s="548" t="s">
        <v>4660</v>
      </c>
      <c r="BQ2312" s="157" t="s">
        <v>4657</v>
      </c>
      <c r="BR2312" s="157"/>
    </row>
    <row r="2313" spans="1:70" x14ac:dyDescent="0.25">
      <c r="A2313" s="19" t="s">
        <v>3686</v>
      </c>
      <c r="B2313" s="37" t="s">
        <v>63</v>
      </c>
      <c r="C2313" s="90">
        <v>43544.838796296295</v>
      </c>
      <c r="D2313" s="114">
        <v>43544.588796296295</v>
      </c>
      <c r="E2313" s="38">
        <v>43544</v>
      </c>
      <c r="F2313" s="91">
        <v>2019</v>
      </c>
      <c r="G2313" s="93">
        <v>3</v>
      </c>
      <c r="H2313" s="37" t="s">
        <v>547</v>
      </c>
      <c r="I2313" s="37"/>
      <c r="J2313" s="103">
        <v>-92.529863730000002</v>
      </c>
      <c r="K2313" s="40">
        <v>44.793739629999997</v>
      </c>
      <c r="L2313" s="74"/>
      <c r="M2313" s="272" t="s">
        <v>16</v>
      </c>
      <c r="N2313" s="74">
        <v>0</v>
      </c>
      <c r="O2313" s="94"/>
      <c r="P2313" s="118">
        <v>0</v>
      </c>
      <c r="Q2313" s="510"/>
      <c r="R2313" s="513"/>
      <c r="S2313" s="41">
        <v>11</v>
      </c>
      <c r="T2313" s="40">
        <v>-40</v>
      </c>
      <c r="U2313" s="40"/>
      <c r="V2313" s="119">
        <v>1</v>
      </c>
      <c r="W2313" s="40">
        <v>200</v>
      </c>
      <c r="X2313" s="119">
        <v>1</v>
      </c>
      <c r="Y2313" s="40">
        <v>34</v>
      </c>
      <c r="Z2313" s="119">
        <v>0</v>
      </c>
      <c r="AA2313" s="368" t="s">
        <v>16</v>
      </c>
      <c r="AB2313" s="535" t="s">
        <v>16</v>
      </c>
      <c r="AC2313" s="39" t="s">
        <v>160</v>
      </c>
      <c r="AD2313" s="75" t="s">
        <v>10</v>
      </c>
      <c r="AE2313" s="95">
        <v>0</v>
      </c>
      <c r="AF2313" s="75">
        <v>0</v>
      </c>
      <c r="AG2313" s="75">
        <v>0</v>
      </c>
      <c r="AH2313" s="75">
        <v>0</v>
      </c>
      <c r="AI2313" s="75">
        <v>0</v>
      </c>
      <c r="AJ2313" s="75">
        <v>0</v>
      </c>
      <c r="AK2313" s="75">
        <v>0</v>
      </c>
      <c r="AL2313" s="95">
        <v>1</v>
      </c>
      <c r="AM2313" s="92">
        <v>0</v>
      </c>
      <c r="AN2313" s="79" t="s">
        <v>86</v>
      </c>
      <c r="AO2313" s="75">
        <v>1</v>
      </c>
      <c r="AP2313" s="75" t="s">
        <v>84</v>
      </c>
      <c r="AQ2313" s="122">
        <v>1</v>
      </c>
      <c r="AR2313" s="515" t="s">
        <v>58</v>
      </c>
      <c r="AS2313" s="95">
        <v>0</v>
      </c>
      <c r="AT2313" s="75">
        <v>0</v>
      </c>
      <c r="AU2313" s="75">
        <v>1</v>
      </c>
      <c r="AV2313" s="75">
        <v>0</v>
      </c>
      <c r="AW2313" s="123">
        <v>0</v>
      </c>
      <c r="AX2313" s="516"/>
      <c r="AY2313" s="75">
        <v>0</v>
      </c>
      <c r="AZ2313" s="77" t="s">
        <v>131</v>
      </c>
      <c r="BA2313" s="78" t="s">
        <v>131</v>
      </c>
      <c r="BB2313" s="78" t="s">
        <v>131</v>
      </c>
      <c r="BC2313" s="78" t="s">
        <v>131</v>
      </c>
      <c r="BD2313" s="78" t="s">
        <v>131</v>
      </c>
      <c r="BE2313" s="78" t="s">
        <v>131</v>
      </c>
      <c r="BF2313" s="78" t="s">
        <v>131</v>
      </c>
      <c r="BG2313" s="78" t="s">
        <v>132</v>
      </c>
      <c r="BH2313" s="75" t="s">
        <v>5970</v>
      </c>
      <c r="BI2313" s="295" t="s">
        <v>2236</v>
      </c>
      <c r="BJ2313" s="546">
        <v>1</v>
      </c>
      <c r="BK2313" s="294" t="s">
        <v>16</v>
      </c>
      <c r="BL2313" s="157" t="s">
        <v>16</v>
      </c>
      <c r="BM2313" s="548" t="s">
        <v>578</v>
      </c>
      <c r="BN2313" s="548" t="s">
        <v>5969</v>
      </c>
      <c r="BO2313" s="157" t="s">
        <v>4658</v>
      </c>
      <c r="BP2313" s="548" t="s">
        <v>4660</v>
      </c>
      <c r="BQ2313" s="157" t="s">
        <v>4657</v>
      </c>
      <c r="BR2313" s="157"/>
    </row>
    <row r="2314" spans="1:70" x14ac:dyDescent="0.25">
      <c r="A2314" s="19" t="s">
        <v>3686</v>
      </c>
      <c r="B2314" s="37" t="s">
        <v>20</v>
      </c>
      <c r="C2314" s="90">
        <v>43544.813310185185</v>
      </c>
      <c r="D2314" s="114">
        <v>43544.563310185185</v>
      </c>
      <c r="E2314" s="38">
        <v>43544</v>
      </c>
      <c r="F2314" s="91">
        <v>2019</v>
      </c>
      <c r="G2314" s="93">
        <v>3</v>
      </c>
      <c r="H2314" s="37" t="s">
        <v>547</v>
      </c>
      <c r="I2314" s="37"/>
      <c r="J2314" s="103">
        <v>-92.529788429999996</v>
      </c>
      <c r="K2314" s="40">
        <v>44.789732780000001</v>
      </c>
      <c r="L2314" s="74"/>
      <c r="M2314" s="272" t="s">
        <v>16</v>
      </c>
      <c r="N2314" s="74">
        <v>0</v>
      </c>
      <c r="O2314" s="94"/>
      <c r="P2314" s="118">
        <v>0</v>
      </c>
      <c r="Q2314" s="510"/>
      <c r="R2314" s="513"/>
      <c r="S2314" s="41"/>
      <c r="T2314" s="40"/>
      <c r="U2314" s="40"/>
      <c r="V2314" s="119">
        <v>0</v>
      </c>
      <c r="W2314" s="40"/>
      <c r="X2314" s="119">
        <v>1</v>
      </c>
      <c r="Y2314" s="40">
        <v>48</v>
      </c>
      <c r="Z2314" s="119">
        <v>0</v>
      </c>
      <c r="AA2314" s="368" t="s">
        <v>16</v>
      </c>
      <c r="AB2314" s="535" t="s">
        <v>16</v>
      </c>
      <c r="AC2314" s="39" t="s">
        <v>162</v>
      </c>
      <c r="AD2314" s="75" t="s">
        <v>10</v>
      </c>
      <c r="AE2314" s="95">
        <v>0</v>
      </c>
      <c r="AF2314" s="75">
        <v>0</v>
      </c>
      <c r="AG2314" s="75">
        <v>0</v>
      </c>
      <c r="AH2314" s="75">
        <v>0</v>
      </c>
      <c r="AI2314" s="75">
        <v>0</v>
      </c>
      <c r="AJ2314" s="75">
        <v>0</v>
      </c>
      <c r="AK2314" s="75">
        <v>0</v>
      </c>
      <c r="AL2314" s="95">
        <v>1</v>
      </c>
      <c r="AM2314" s="92">
        <v>0</v>
      </c>
      <c r="AN2314" s="79" t="s">
        <v>82</v>
      </c>
      <c r="AO2314" s="75">
        <v>1</v>
      </c>
      <c r="AP2314" s="75" t="s">
        <v>83</v>
      </c>
      <c r="AQ2314" s="122">
        <v>1</v>
      </c>
      <c r="AR2314" s="515" t="s">
        <v>58</v>
      </c>
      <c r="AS2314" s="95">
        <v>0</v>
      </c>
      <c r="AT2314" s="75">
        <v>0</v>
      </c>
      <c r="AU2314" s="75">
        <v>1</v>
      </c>
      <c r="AV2314" s="75">
        <v>0</v>
      </c>
      <c r="AW2314" s="123">
        <v>0</v>
      </c>
      <c r="AX2314" s="516"/>
      <c r="AY2314" s="75">
        <v>0</v>
      </c>
      <c r="AZ2314" s="77" t="s">
        <v>131</v>
      </c>
      <c r="BA2314" s="78" t="s">
        <v>131</v>
      </c>
      <c r="BB2314" s="78" t="s">
        <v>131</v>
      </c>
      <c r="BC2314" s="78" t="s">
        <v>131</v>
      </c>
      <c r="BD2314" s="78" t="s">
        <v>131</v>
      </c>
      <c r="BE2314" s="78" t="s">
        <v>131</v>
      </c>
      <c r="BF2314" s="78" t="s">
        <v>131</v>
      </c>
      <c r="BG2314" s="78" t="s">
        <v>132</v>
      </c>
      <c r="BH2314" s="75" t="s">
        <v>5970</v>
      </c>
      <c r="BI2314" s="295" t="s">
        <v>2236</v>
      </c>
      <c r="BJ2314" s="546">
        <v>1</v>
      </c>
      <c r="BK2314" s="294" t="s">
        <v>16</v>
      </c>
      <c r="BL2314" s="157" t="s">
        <v>16</v>
      </c>
      <c r="BM2314" s="548" t="s">
        <v>578</v>
      </c>
      <c r="BN2314" s="548" t="s">
        <v>5969</v>
      </c>
      <c r="BO2314" s="157" t="s">
        <v>4658</v>
      </c>
      <c r="BP2314" s="548" t="s">
        <v>4660</v>
      </c>
      <c r="BQ2314" s="157" t="s">
        <v>4657</v>
      </c>
      <c r="BR2314" s="157"/>
    </row>
    <row r="2315" spans="1:70" x14ac:dyDescent="0.25">
      <c r="A2315" s="19" t="s">
        <v>3686</v>
      </c>
      <c r="B2315" s="37" t="s">
        <v>38</v>
      </c>
      <c r="C2315" s="90">
        <v>43540.93545138889</v>
      </c>
      <c r="D2315" s="114">
        <v>43540.68545138889</v>
      </c>
      <c r="E2315" s="38">
        <v>43540</v>
      </c>
      <c r="F2315" s="91">
        <v>2019</v>
      </c>
      <c r="G2315" s="93">
        <v>3</v>
      </c>
      <c r="H2315" s="37" t="s">
        <v>563</v>
      </c>
      <c r="I2315" s="37"/>
      <c r="J2315" s="103">
        <v>-92.275545039999997</v>
      </c>
      <c r="K2315" s="40">
        <v>44.543375730000001</v>
      </c>
      <c r="L2315" s="74"/>
      <c r="M2315" s="272" t="s">
        <v>16</v>
      </c>
      <c r="N2315" s="74">
        <v>0</v>
      </c>
      <c r="O2315" s="94"/>
      <c r="P2315" s="118">
        <v>0</v>
      </c>
      <c r="Q2315" s="510"/>
      <c r="R2315" s="513"/>
      <c r="S2315" s="41"/>
      <c r="T2315" s="40"/>
      <c r="U2315" s="40"/>
      <c r="V2315" s="119">
        <v>0</v>
      </c>
      <c r="W2315" s="40"/>
      <c r="X2315" s="119">
        <v>0</v>
      </c>
      <c r="Y2315" s="40"/>
      <c r="Z2315" s="119">
        <v>0</v>
      </c>
      <c r="AA2315" s="368" t="s">
        <v>16</v>
      </c>
      <c r="AB2315" s="535" t="s">
        <v>16</v>
      </c>
      <c r="AC2315" s="39" t="s">
        <v>160</v>
      </c>
      <c r="AD2315" s="75" t="s">
        <v>8</v>
      </c>
      <c r="AE2315" s="95">
        <v>0</v>
      </c>
      <c r="AF2315" s="75">
        <v>1</v>
      </c>
      <c r="AG2315" s="75">
        <v>0</v>
      </c>
      <c r="AH2315" s="75">
        <v>0</v>
      </c>
      <c r="AI2315" s="75">
        <v>0</v>
      </c>
      <c r="AJ2315" s="75">
        <v>0</v>
      </c>
      <c r="AK2315" s="75">
        <v>0</v>
      </c>
      <c r="AL2315" s="95">
        <v>0</v>
      </c>
      <c r="AM2315" s="92">
        <v>0</v>
      </c>
      <c r="AN2315" s="79" t="s">
        <v>82</v>
      </c>
      <c r="AO2315" s="75">
        <v>1</v>
      </c>
      <c r="AP2315" s="75" t="s">
        <v>84</v>
      </c>
      <c r="AQ2315" s="122">
        <v>1</v>
      </c>
      <c r="AR2315" s="515" t="s">
        <v>58</v>
      </c>
      <c r="AS2315" s="95">
        <v>0</v>
      </c>
      <c r="AT2315" s="75">
        <v>0</v>
      </c>
      <c r="AU2315" s="75">
        <v>1</v>
      </c>
      <c r="AV2315" s="75">
        <v>0</v>
      </c>
      <c r="AW2315" s="123">
        <v>0</v>
      </c>
      <c r="AX2315" s="516"/>
      <c r="AY2315" s="75">
        <v>0</v>
      </c>
      <c r="AZ2315" s="77" t="s">
        <v>131</v>
      </c>
      <c r="BA2315" s="78" t="s">
        <v>132</v>
      </c>
      <c r="BB2315" s="78" t="s">
        <v>131</v>
      </c>
      <c r="BC2315" s="78" t="s">
        <v>131</v>
      </c>
      <c r="BD2315" s="78" t="s">
        <v>131</v>
      </c>
      <c r="BE2315" s="78" t="s">
        <v>131</v>
      </c>
      <c r="BF2315" s="78" t="s">
        <v>131</v>
      </c>
      <c r="BG2315" s="78" t="s">
        <v>131</v>
      </c>
      <c r="BH2315" s="75" t="s">
        <v>5970</v>
      </c>
      <c r="BI2315" s="295" t="s">
        <v>5931</v>
      </c>
      <c r="BJ2315" s="546">
        <v>1</v>
      </c>
      <c r="BK2315" s="294">
        <v>1</v>
      </c>
      <c r="BL2315" s="157">
        <v>1</v>
      </c>
      <c r="BM2315" s="548" t="s">
        <v>1340</v>
      </c>
      <c r="BN2315" s="548" t="s">
        <v>5969</v>
      </c>
      <c r="BO2315" s="157" t="s">
        <v>4268</v>
      </c>
      <c r="BP2315" s="548" t="s">
        <v>2261</v>
      </c>
      <c r="BQ2315" s="157" t="s">
        <v>4214</v>
      </c>
      <c r="BR2315" s="157"/>
    </row>
    <row r="2316" spans="1:70" x14ac:dyDescent="0.25">
      <c r="A2316" s="19" t="s">
        <v>3686</v>
      </c>
      <c r="B2316" s="37" t="s">
        <v>24</v>
      </c>
      <c r="C2316" s="90">
        <v>43540.763043981482</v>
      </c>
      <c r="D2316" s="114">
        <v>43540.513043981482</v>
      </c>
      <c r="E2316" s="38">
        <v>43540</v>
      </c>
      <c r="F2316" s="91">
        <v>2019</v>
      </c>
      <c r="G2316" s="93">
        <v>3</v>
      </c>
      <c r="H2316" s="37" t="s">
        <v>553</v>
      </c>
      <c r="I2316" s="37"/>
      <c r="J2316" s="103">
        <v>-92.624472800000007</v>
      </c>
      <c r="K2316" s="40">
        <v>44.850615050000002</v>
      </c>
      <c r="L2316" s="74"/>
      <c r="M2316" s="272" t="s">
        <v>16</v>
      </c>
      <c r="N2316" s="74">
        <v>0</v>
      </c>
      <c r="O2316" s="94"/>
      <c r="P2316" s="118">
        <v>0</v>
      </c>
      <c r="Q2316" s="510"/>
      <c r="R2316" s="513"/>
      <c r="S2316" s="41">
        <v>32</v>
      </c>
      <c r="T2316" s="40">
        <v>-62</v>
      </c>
      <c r="U2316" s="40"/>
      <c r="V2316" s="119">
        <v>1</v>
      </c>
      <c r="W2316" s="40">
        <v>100</v>
      </c>
      <c r="X2316" s="119">
        <v>1</v>
      </c>
      <c r="Y2316" s="40">
        <v>45</v>
      </c>
      <c r="Z2316" s="119">
        <v>0</v>
      </c>
      <c r="AA2316" s="368" t="s">
        <v>16</v>
      </c>
      <c r="AB2316" s="535" t="s">
        <v>16</v>
      </c>
      <c r="AC2316" s="39" t="s">
        <v>160</v>
      </c>
      <c r="AD2316" s="75" t="s">
        <v>10</v>
      </c>
      <c r="AE2316" s="95">
        <v>0</v>
      </c>
      <c r="AF2316" s="75">
        <v>0</v>
      </c>
      <c r="AG2316" s="75">
        <v>0</v>
      </c>
      <c r="AH2316" s="75">
        <v>0</v>
      </c>
      <c r="AI2316" s="75">
        <v>0</v>
      </c>
      <c r="AJ2316" s="75">
        <v>0</v>
      </c>
      <c r="AK2316" s="75">
        <v>0</v>
      </c>
      <c r="AL2316" s="95">
        <v>1</v>
      </c>
      <c r="AM2316" s="92">
        <v>0</v>
      </c>
      <c r="AN2316" s="79" t="s">
        <v>81</v>
      </c>
      <c r="AO2316" s="75">
        <v>1</v>
      </c>
      <c r="AP2316" s="75" t="s">
        <v>84</v>
      </c>
      <c r="AQ2316" s="122">
        <v>1</v>
      </c>
      <c r="AR2316" s="515" t="s">
        <v>58</v>
      </c>
      <c r="AS2316" s="95">
        <v>0</v>
      </c>
      <c r="AT2316" s="75">
        <v>0</v>
      </c>
      <c r="AU2316" s="75">
        <v>1</v>
      </c>
      <c r="AV2316" s="75">
        <v>0</v>
      </c>
      <c r="AW2316" s="123">
        <v>0</v>
      </c>
      <c r="AX2316" s="516"/>
      <c r="AY2316" s="75">
        <v>0</v>
      </c>
      <c r="AZ2316" s="77" t="s">
        <v>131</v>
      </c>
      <c r="BA2316" s="78" t="s">
        <v>131</v>
      </c>
      <c r="BB2316" s="78" t="s">
        <v>131</v>
      </c>
      <c r="BC2316" s="78" t="s">
        <v>131</v>
      </c>
      <c r="BD2316" s="78" t="s">
        <v>131</v>
      </c>
      <c r="BE2316" s="78" t="s">
        <v>131</v>
      </c>
      <c r="BF2316" s="78" t="s">
        <v>131</v>
      </c>
      <c r="BG2316" s="78" t="s">
        <v>132</v>
      </c>
      <c r="BH2316" s="75" t="s">
        <v>5970</v>
      </c>
      <c r="BI2316" s="295" t="s">
        <v>2226</v>
      </c>
      <c r="BJ2316" s="546">
        <v>1</v>
      </c>
      <c r="BK2316" s="294">
        <v>1</v>
      </c>
      <c r="BL2316" s="157">
        <v>1</v>
      </c>
      <c r="BM2316" s="548" t="s">
        <v>578</v>
      </c>
      <c r="BN2316" s="548" t="s">
        <v>5969</v>
      </c>
      <c r="BO2316" s="157" t="s">
        <v>4310</v>
      </c>
      <c r="BP2316" s="548" t="s">
        <v>2226</v>
      </c>
      <c r="BQ2316" s="157" t="s">
        <v>4309</v>
      </c>
      <c r="BR2316" s="157"/>
    </row>
    <row r="2317" spans="1:70" x14ac:dyDescent="0.25">
      <c r="A2317" s="19" t="s">
        <v>3686</v>
      </c>
      <c r="B2317" s="37" t="s">
        <v>41</v>
      </c>
      <c r="C2317" s="90">
        <v>43540.76284722222</v>
      </c>
      <c r="D2317" s="114">
        <v>43540.51284722222</v>
      </c>
      <c r="E2317" s="38">
        <v>43540</v>
      </c>
      <c r="F2317" s="91">
        <v>2019</v>
      </c>
      <c r="G2317" s="93">
        <v>3</v>
      </c>
      <c r="H2317" s="37" t="s">
        <v>561</v>
      </c>
      <c r="I2317" s="37"/>
      <c r="J2317" s="103">
        <v>-92.624507730000005</v>
      </c>
      <c r="K2317" s="40">
        <v>44.850485849999998</v>
      </c>
      <c r="L2317" s="74"/>
      <c r="M2317" s="272" t="s">
        <v>16</v>
      </c>
      <c r="N2317" s="74">
        <v>0</v>
      </c>
      <c r="O2317" s="94"/>
      <c r="P2317" s="118">
        <v>0</v>
      </c>
      <c r="Q2317" s="510"/>
      <c r="R2317" s="513"/>
      <c r="S2317" s="41"/>
      <c r="T2317" s="40"/>
      <c r="U2317" s="40"/>
      <c r="V2317" s="119">
        <v>1</v>
      </c>
      <c r="W2317" s="40">
        <v>2500</v>
      </c>
      <c r="X2317" s="119">
        <v>1</v>
      </c>
      <c r="Y2317" s="40">
        <v>38</v>
      </c>
      <c r="Z2317" s="119">
        <v>0</v>
      </c>
      <c r="AA2317" s="368" t="s">
        <v>16</v>
      </c>
      <c r="AB2317" s="535" t="s">
        <v>16</v>
      </c>
      <c r="AC2317" s="39" t="s">
        <v>160</v>
      </c>
      <c r="AD2317" s="75" t="s">
        <v>8</v>
      </c>
      <c r="AE2317" s="95">
        <v>0</v>
      </c>
      <c r="AF2317" s="75">
        <v>1</v>
      </c>
      <c r="AG2317" s="75">
        <v>0</v>
      </c>
      <c r="AH2317" s="75">
        <v>0</v>
      </c>
      <c r="AI2317" s="75">
        <v>0</v>
      </c>
      <c r="AJ2317" s="75">
        <v>0</v>
      </c>
      <c r="AK2317" s="75">
        <v>0</v>
      </c>
      <c r="AL2317" s="95">
        <v>0</v>
      </c>
      <c r="AM2317" s="92">
        <v>0</v>
      </c>
      <c r="AN2317" s="79" t="s">
        <v>82</v>
      </c>
      <c r="AO2317" s="75">
        <v>1</v>
      </c>
      <c r="AP2317" s="75" t="s">
        <v>84</v>
      </c>
      <c r="AQ2317" s="122">
        <v>1</v>
      </c>
      <c r="AR2317" s="515" t="s">
        <v>58</v>
      </c>
      <c r="AS2317" s="95">
        <v>0</v>
      </c>
      <c r="AT2317" s="75">
        <v>0</v>
      </c>
      <c r="AU2317" s="75">
        <v>1</v>
      </c>
      <c r="AV2317" s="75">
        <v>0</v>
      </c>
      <c r="AW2317" s="123">
        <v>0</v>
      </c>
      <c r="AX2317" s="516"/>
      <c r="AY2317" s="75">
        <v>0</v>
      </c>
      <c r="AZ2317" s="77" t="s">
        <v>131</v>
      </c>
      <c r="BA2317" s="78" t="s">
        <v>132</v>
      </c>
      <c r="BB2317" s="78" t="s">
        <v>131</v>
      </c>
      <c r="BC2317" s="78" t="s">
        <v>131</v>
      </c>
      <c r="BD2317" s="78" t="s">
        <v>131</v>
      </c>
      <c r="BE2317" s="78" t="s">
        <v>131</v>
      </c>
      <c r="BF2317" s="78" t="s">
        <v>131</v>
      </c>
      <c r="BG2317" s="78" t="s">
        <v>131</v>
      </c>
      <c r="BH2317" s="75" t="s">
        <v>5970</v>
      </c>
      <c r="BI2317" s="295" t="s">
        <v>2226</v>
      </c>
      <c r="BJ2317" s="546">
        <v>1</v>
      </c>
      <c r="BK2317" s="294">
        <v>1</v>
      </c>
      <c r="BL2317" s="157">
        <v>1</v>
      </c>
      <c r="BM2317" s="548" t="s">
        <v>578</v>
      </c>
      <c r="BN2317" s="548" t="s">
        <v>5969</v>
      </c>
      <c r="BO2317" s="157" t="s">
        <v>4310</v>
      </c>
      <c r="BP2317" s="548" t="s">
        <v>2226</v>
      </c>
      <c r="BQ2317" s="157" t="s">
        <v>4309</v>
      </c>
      <c r="BR2317" s="157"/>
    </row>
    <row r="2318" spans="1:70" x14ac:dyDescent="0.25">
      <c r="A2318" s="19" t="s">
        <v>3686</v>
      </c>
      <c r="B2318" s="37" t="s">
        <v>31</v>
      </c>
      <c r="C2318" s="90">
        <v>43540.740023148152</v>
      </c>
      <c r="D2318" s="114">
        <v>43540.490023148152</v>
      </c>
      <c r="E2318" s="38">
        <v>43540</v>
      </c>
      <c r="F2318" s="91">
        <v>2019</v>
      </c>
      <c r="G2318" s="93">
        <v>3</v>
      </c>
      <c r="H2318" s="37" t="s">
        <v>561</v>
      </c>
      <c r="I2318" s="37"/>
      <c r="J2318" s="103">
        <v>-92.415489570000005</v>
      </c>
      <c r="K2318" s="40">
        <v>44.861408529999999</v>
      </c>
      <c r="L2318" s="74"/>
      <c r="M2318" s="272" t="s">
        <v>16</v>
      </c>
      <c r="N2318" s="74">
        <v>0</v>
      </c>
      <c r="O2318" s="94"/>
      <c r="P2318" s="118">
        <v>0</v>
      </c>
      <c r="Q2318" s="510"/>
      <c r="R2318" s="513"/>
      <c r="S2318" s="41"/>
      <c r="T2318" s="40"/>
      <c r="U2318" s="40"/>
      <c r="V2318" s="119">
        <v>0</v>
      </c>
      <c r="W2318" s="40"/>
      <c r="X2318" s="119">
        <v>0</v>
      </c>
      <c r="Y2318" s="40"/>
      <c r="Z2318" s="119">
        <v>0</v>
      </c>
      <c r="AA2318" s="368" t="s">
        <v>16</v>
      </c>
      <c r="AB2318" s="535" t="s">
        <v>16</v>
      </c>
      <c r="AC2318" s="39" t="s">
        <v>161</v>
      </c>
      <c r="AD2318" s="75" t="s">
        <v>10</v>
      </c>
      <c r="AE2318" s="95">
        <v>0</v>
      </c>
      <c r="AF2318" s="75">
        <v>0</v>
      </c>
      <c r="AG2318" s="75">
        <v>0</v>
      </c>
      <c r="AH2318" s="75">
        <v>0</v>
      </c>
      <c r="AI2318" s="75">
        <v>0</v>
      </c>
      <c r="AJ2318" s="75">
        <v>0</v>
      </c>
      <c r="AK2318" s="75">
        <v>0</v>
      </c>
      <c r="AL2318" s="95">
        <v>1</v>
      </c>
      <c r="AM2318" s="92">
        <v>0</v>
      </c>
      <c r="AN2318" s="79"/>
      <c r="AO2318" s="75">
        <v>0</v>
      </c>
      <c r="AP2318" s="75"/>
      <c r="AQ2318" s="122">
        <v>0</v>
      </c>
      <c r="AR2318" s="515" t="s">
        <v>16</v>
      </c>
      <c r="AS2318" s="95">
        <v>-1</v>
      </c>
      <c r="AT2318" s="75">
        <v>-1</v>
      </c>
      <c r="AU2318" s="75">
        <v>-1</v>
      </c>
      <c r="AV2318" s="75">
        <v>-1</v>
      </c>
      <c r="AW2318" s="123">
        <v>1</v>
      </c>
      <c r="AX2318" s="516"/>
      <c r="AY2318" s="75">
        <v>0</v>
      </c>
      <c r="AZ2318" s="77" t="s">
        <v>131</v>
      </c>
      <c r="BA2318" s="78" t="s">
        <v>131</v>
      </c>
      <c r="BB2318" s="78" t="s">
        <v>131</v>
      </c>
      <c r="BC2318" s="78" t="s">
        <v>131</v>
      </c>
      <c r="BD2318" s="78" t="s">
        <v>131</v>
      </c>
      <c r="BE2318" s="78" t="s">
        <v>131</v>
      </c>
      <c r="BF2318" s="78" t="s">
        <v>131</v>
      </c>
      <c r="BG2318" s="78" t="s">
        <v>132</v>
      </c>
      <c r="BH2318" s="75" t="s">
        <v>5970</v>
      </c>
      <c r="BI2318" s="295" t="s">
        <v>2231</v>
      </c>
      <c r="BJ2318" s="546">
        <v>1</v>
      </c>
      <c r="BK2318" s="294">
        <v>1</v>
      </c>
      <c r="BL2318" s="157">
        <v>1</v>
      </c>
      <c r="BM2318" s="548" t="s">
        <v>578</v>
      </c>
      <c r="BN2318" s="548" t="s">
        <v>5969</v>
      </c>
      <c r="BO2318" s="157" t="s">
        <v>4775</v>
      </c>
      <c r="BP2318" s="548" t="s">
        <v>4776</v>
      </c>
      <c r="BQ2318" s="157" t="s">
        <v>4212</v>
      </c>
      <c r="BR2318" s="157"/>
    </row>
    <row r="2319" spans="1:70" x14ac:dyDescent="0.25">
      <c r="A2319" s="19" t="s">
        <v>3686</v>
      </c>
      <c r="B2319" s="37" t="s">
        <v>46</v>
      </c>
      <c r="C2319" s="90">
        <v>43539.869479166664</v>
      </c>
      <c r="D2319" s="114">
        <v>43539.619479166664</v>
      </c>
      <c r="E2319" s="38">
        <v>43539</v>
      </c>
      <c r="F2319" s="91">
        <v>2019</v>
      </c>
      <c r="G2319" s="93">
        <v>3</v>
      </c>
      <c r="H2319" s="37" t="s">
        <v>560</v>
      </c>
      <c r="I2319" s="37"/>
      <c r="J2319" s="103">
        <v>-92.529317109999994</v>
      </c>
      <c r="K2319" s="40">
        <v>44.79402348</v>
      </c>
      <c r="L2319" s="74"/>
      <c r="M2319" s="272" t="s">
        <v>16</v>
      </c>
      <c r="N2319" s="74">
        <v>0</v>
      </c>
      <c r="O2319" s="94"/>
      <c r="P2319" s="118">
        <v>0</v>
      </c>
      <c r="Q2319" s="510"/>
      <c r="R2319" s="513"/>
      <c r="S2319" s="41"/>
      <c r="T2319" s="40"/>
      <c r="U2319" s="40"/>
      <c r="V2319" s="119">
        <v>0</v>
      </c>
      <c r="W2319" s="40"/>
      <c r="X2319" s="119">
        <v>0</v>
      </c>
      <c r="Y2319" s="40"/>
      <c r="Z2319" s="119">
        <v>0</v>
      </c>
      <c r="AA2319" s="368" t="s">
        <v>16</v>
      </c>
      <c r="AB2319" s="535" t="s">
        <v>16</v>
      </c>
      <c r="AC2319" s="39" t="s">
        <v>160</v>
      </c>
      <c r="AD2319" s="75" t="s">
        <v>10</v>
      </c>
      <c r="AE2319" s="95">
        <v>0</v>
      </c>
      <c r="AF2319" s="75">
        <v>0</v>
      </c>
      <c r="AG2319" s="75">
        <v>0</v>
      </c>
      <c r="AH2319" s="75">
        <v>0</v>
      </c>
      <c r="AI2319" s="75">
        <v>0</v>
      </c>
      <c r="AJ2319" s="75">
        <v>0</v>
      </c>
      <c r="AK2319" s="75">
        <v>0</v>
      </c>
      <c r="AL2319" s="95">
        <v>1</v>
      </c>
      <c r="AM2319" s="92">
        <v>0</v>
      </c>
      <c r="AN2319" s="79"/>
      <c r="AO2319" s="75">
        <v>0</v>
      </c>
      <c r="AP2319" s="75"/>
      <c r="AQ2319" s="122">
        <v>0</v>
      </c>
      <c r="AR2319" s="515" t="s">
        <v>16</v>
      </c>
      <c r="AS2319" s="95">
        <v>-1</v>
      </c>
      <c r="AT2319" s="75">
        <v>-1</v>
      </c>
      <c r="AU2319" s="75">
        <v>-1</v>
      </c>
      <c r="AV2319" s="75">
        <v>-1</v>
      </c>
      <c r="AW2319" s="123">
        <v>1</v>
      </c>
      <c r="AX2319" s="516"/>
      <c r="AY2319" s="75">
        <v>0</v>
      </c>
      <c r="AZ2319" s="77" t="s">
        <v>131</v>
      </c>
      <c r="BA2319" s="78" t="s">
        <v>131</v>
      </c>
      <c r="BB2319" s="78" t="s">
        <v>131</v>
      </c>
      <c r="BC2319" s="78" t="s">
        <v>131</v>
      </c>
      <c r="BD2319" s="78" t="s">
        <v>131</v>
      </c>
      <c r="BE2319" s="78" t="s">
        <v>131</v>
      </c>
      <c r="BF2319" s="78" t="s">
        <v>131</v>
      </c>
      <c r="BG2319" s="78" t="s">
        <v>132</v>
      </c>
      <c r="BH2319" s="75" t="s">
        <v>5970</v>
      </c>
      <c r="BI2319" s="295" t="s">
        <v>2236</v>
      </c>
      <c r="BJ2319" s="546">
        <v>1</v>
      </c>
      <c r="BK2319" s="294" t="s">
        <v>16</v>
      </c>
      <c r="BL2319" s="157" t="s">
        <v>16</v>
      </c>
      <c r="BM2319" s="548" t="s">
        <v>578</v>
      </c>
      <c r="BN2319" s="548" t="s">
        <v>5969</v>
      </c>
      <c r="BO2319" s="157" t="s">
        <v>4658</v>
      </c>
      <c r="BP2319" s="548" t="s">
        <v>4660</v>
      </c>
      <c r="BQ2319" s="157" t="s">
        <v>4657</v>
      </c>
      <c r="BR2319" s="157"/>
    </row>
    <row r="2320" spans="1:70" x14ac:dyDescent="0.25">
      <c r="A2320" s="19" t="s">
        <v>3686</v>
      </c>
      <c r="B2320" s="37" t="s">
        <v>29</v>
      </c>
      <c r="C2320" s="90">
        <v>43539.864363425928</v>
      </c>
      <c r="D2320" s="114">
        <v>43539.614363425928</v>
      </c>
      <c r="E2320" s="38">
        <v>43539</v>
      </c>
      <c r="F2320" s="91">
        <v>2019</v>
      </c>
      <c r="G2320" s="93">
        <v>3</v>
      </c>
      <c r="H2320" s="37" t="s">
        <v>548</v>
      </c>
      <c r="I2320" s="37"/>
      <c r="J2320" s="103">
        <v>-92.331596340000004</v>
      </c>
      <c r="K2320" s="40">
        <v>44.746055910000003</v>
      </c>
      <c r="L2320" s="74"/>
      <c r="M2320" s="272" t="s">
        <v>16</v>
      </c>
      <c r="N2320" s="74">
        <v>0</v>
      </c>
      <c r="O2320" s="94"/>
      <c r="P2320" s="118">
        <v>0</v>
      </c>
      <c r="Q2320" s="510"/>
      <c r="R2320" s="513"/>
      <c r="S2320" s="41"/>
      <c r="T2320" s="40"/>
      <c r="U2320" s="40"/>
      <c r="V2320" s="119">
        <v>0</v>
      </c>
      <c r="W2320" s="40"/>
      <c r="X2320" s="119">
        <v>0</v>
      </c>
      <c r="Y2320" s="40"/>
      <c r="Z2320" s="119">
        <v>0</v>
      </c>
      <c r="AA2320" s="368" t="s">
        <v>16</v>
      </c>
      <c r="AB2320" s="535" t="s">
        <v>16</v>
      </c>
      <c r="AC2320" s="39" t="s">
        <v>160</v>
      </c>
      <c r="AD2320" s="75" t="s">
        <v>10</v>
      </c>
      <c r="AE2320" s="95">
        <v>0</v>
      </c>
      <c r="AF2320" s="75">
        <v>0</v>
      </c>
      <c r="AG2320" s="75">
        <v>0</v>
      </c>
      <c r="AH2320" s="75">
        <v>0</v>
      </c>
      <c r="AI2320" s="75">
        <v>0</v>
      </c>
      <c r="AJ2320" s="75">
        <v>0</v>
      </c>
      <c r="AK2320" s="75">
        <v>0</v>
      </c>
      <c r="AL2320" s="95">
        <v>1</v>
      </c>
      <c r="AM2320" s="92">
        <v>0</v>
      </c>
      <c r="AN2320" s="79"/>
      <c r="AO2320" s="75">
        <v>0</v>
      </c>
      <c r="AP2320" s="75"/>
      <c r="AQ2320" s="122">
        <v>0</v>
      </c>
      <c r="AR2320" s="515" t="s">
        <v>16</v>
      </c>
      <c r="AS2320" s="95">
        <v>-1</v>
      </c>
      <c r="AT2320" s="75">
        <v>-1</v>
      </c>
      <c r="AU2320" s="75">
        <v>-1</v>
      </c>
      <c r="AV2320" s="75">
        <v>-1</v>
      </c>
      <c r="AW2320" s="123">
        <v>1</v>
      </c>
      <c r="AX2320" s="516"/>
      <c r="AY2320" s="75">
        <v>0</v>
      </c>
      <c r="AZ2320" s="77" t="s">
        <v>131</v>
      </c>
      <c r="BA2320" s="78" t="s">
        <v>131</v>
      </c>
      <c r="BB2320" s="78" t="s">
        <v>131</v>
      </c>
      <c r="BC2320" s="78" t="s">
        <v>131</v>
      </c>
      <c r="BD2320" s="78" t="s">
        <v>131</v>
      </c>
      <c r="BE2320" s="78" t="s">
        <v>131</v>
      </c>
      <c r="BF2320" s="78" t="s">
        <v>131</v>
      </c>
      <c r="BG2320" s="78" t="s">
        <v>132</v>
      </c>
      <c r="BH2320" s="75" t="s">
        <v>5970</v>
      </c>
      <c r="BI2320" s="295" t="s">
        <v>2231</v>
      </c>
      <c r="BJ2320" s="546">
        <v>1</v>
      </c>
      <c r="BK2320" s="294">
        <v>1</v>
      </c>
      <c r="BL2320" s="157">
        <v>1</v>
      </c>
      <c r="BM2320" s="548" t="s">
        <v>578</v>
      </c>
      <c r="BN2320" s="548" t="s">
        <v>5969</v>
      </c>
      <c r="BO2320" s="157" t="s">
        <v>4213</v>
      </c>
      <c r="BP2320" s="548" t="s">
        <v>4216</v>
      </c>
      <c r="BQ2320" s="157" t="s">
        <v>4212</v>
      </c>
      <c r="BR2320" s="157"/>
    </row>
    <row r="2321" spans="1:70" x14ac:dyDescent="0.25">
      <c r="A2321" s="19" t="s">
        <v>3686</v>
      </c>
      <c r="B2321" s="37" t="s">
        <v>44</v>
      </c>
      <c r="C2321" s="90">
        <v>43539.826423611114</v>
      </c>
      <c r="D2321" s="114">
        <v>43539.576423611114</v>
      </c>
      <c r="E2321" s="38">
        <v>43539</v>
      </c>
      <c r="F2321" s="91">
        <v>2019</v>
      </c>
      <c r="G2321" s="93">
        <v>3</v>
      </c>
      <c r="H2321" s="37" t="s">
        <v>548</v>
      </c>
      <c r="I2321" s="37"/>
      <c r="J2321" s="103">
        <v>-92.529656779999996</v>
      </c>
      <c r="K2321" s="40">
        <v>44.793896189999998</v>
      </c>
      <c r="L2321" s="74"/>
      <c r="M2321" s="272" t="s">
        <v>16</v>
      </c>
      <c r="N2321" s="74">
        <v>0</v>
      </c>
      <c r="O2321" s="94"/>
      <c r="P2321" s="118">
        <v>0</v>
      </c>
      <c r="Q2321" s="510"/>
      <c r="R2321" s="513"/>
      <c r="S2321" s="41"/>
      <c r="T2321" s="40"/>
      <c r="U2321" s="40"/>
      <c r="V2321" s="119">
        <v>0</v>
      </c>
      <c r="W2321" s="40"/>
      <c r="X2321" s="119">
        <v>0</v>
      </c>
      <c r="Y2321" s="40"/>
      <c r="Z2321" s="119">
        <v>0</v>
      </c>
      <c r="AA2321" s="368" t="s">
        <v>16</v>
      </c>
      <c r="AB2321" s="535" t="s">
        <v>16</v>
      </c>
      <c r="AC2321" s="39" t="s">
        <v>160</v>
      </c>
      <c r="AD2321" s="75" t="s">
        <v>10</v>
      </c>
      <c r="AE2321" s="95">
        <v>0</v>
      </c>
      <c r="AF2321" s="75">
        <v>0</v>
      </c>
      <c r="AG2321" s="75">
        <v>0</v>
      </c>
      <c r="AH2321" s="75">
        <v>0</v>
      </c>
      <c r="AI2321" s="75">
        <v>0</v>
      </c>
      <c r="AJ2321" s="75">
        <v>0</v>
      </c>
      <c r="AK2321" s="75">
        <v>0</v>
      </c>
      <c r="AL2321" s="95">
        <v>1</v>
      </c>
      <c r="AM2321" s="92">
        <v>0</v>
      </c>
      <c r="AN2321" s="79"/>
      <c r="AO2321" s="75">
        <v>0</v>
      </c>
      <c r="AP2321" s="75"/>
      <c r="AQ2321" s="122">
        <v>0</v>
      </c>
      <c r="AR2321" s="515" t="s">
        <v>16</v>
      </c>
      <c r="AS2321" s="95">
        <v>-1</v>
      </c>
      <c r="AT2321" s="75">
        <v>-1</v>
      </c>
      <c r="AU2321" s="75">
        <v>-1</v>
      </c>
      <c r="AV2321" s="75">
        <v>-1</v>
      </c>
      <c r="AW2321" s="123">
        <v>1</v>
      </c>
      <c r="AX2321" s="516"/>
      <c r="AY2321" s="75">
        <v>0</v>
      </c>
      <c r="AZ2321" s="77" t="s">
        <v>131</v>
      </c>
      <c r="BA2321" s="78" t="s">
        <v>131</v>
      </c>
      <c r="BB2321" s="78" t="s">
        <v>131</v>
      </c>
      <c r="BC2321" s="78" t="s">
        <v>131</v>
      </c>
      <c r="BD2321" s="78" t="s">
        <v>131</v>
      </c>
      <c r="BE2321" s="78" t="s">
        <v>131</v>
      </c>
      <c r="BF2321" s="78" t="s">
        <v>131</v>
      </c>
      <c r="BG2321" s="78" t="s">
        <v>132</v>
      </c>
      <c r="BH2321" s="75" t="s">
        <v>5970</v>
      </c>
      <c r="BI2321" s="295" t="s">
        <v>2236</v>
      </c>
      <c r="BJ2321" s="546">
        <v>1</v>
      </c>
      <c r="BK2321" s="294" t="s">
        <v>16</v>
      </c>
      <c r="BL2321" s="157" t="s">
        <v>16</v>
      </c>
      <c r="BM2321" s="548" t="s">
        <v>578</v>
      </c>
      <c r="BN2321" s="548" t="s">
        <v>5969</v>
      </c>
      <c r="BO2321" s="157" t="s">
        <v>4658</v>
      </c>
      <c r="BP2321" s="548" t="s">
        <v>4660</v>
      </c>
      <c r="BQ2321" s="157" t="s">
        <v>4657</v>
      </c>
      <c r="BR2321" s="157"/>
    </row>
    <row r="2322" spans="1:70" x14ac:dyDescent="0.25">
      <c r="A2322" s="19" t="s">
        <v>3686</v>
      </c>
      <c r="B2322" s="37" t="s">
        <v>53</v>
      </c>
      <c r="C2322" s="90">
        <v>43539.809236111112</v>
      </c>
      <c r="D2322" s="114">
        <v>43539.559236111112</v>
      </c>
      <c r="E2322" s="38">
        <v>43539</v>
      </c>
      <c r="F2322" s="91">
        <v>2019</v>
      </c>
      <c r="G2322" s="93">
        <v>3</v>
      </c>
      <c r="H2322" s="37" t="s">
        <v>548</v>
      </c>
      <c r="I2322" s="37"/>
      <c r="J2322" s="103">
        <v>-92.582822890000003</v>
      </c>
      <c r="K2322" s="40">
        <v>44.849003260000003</v>
      </c>
      <c r="L2322" s="74"/>
      <c r="M2322" s="272" t="s">
        <v>16</v>
      </c>
      <c r="N2322" s="74">
        <v>0</v>
      </c>
      <c r="O2322" s="94"/>
      <c r="P2322" s="118">
        <v>0</v>
      </c>
      <c r="Q2322" s="510"/>
      <c r="R2322" s="513"/>
      <c r="S2322" s="41">
        <v>29</v>
      </c>
      <c r="T2322" s="40">
        <v>-82</v>
      </c>
      <c r="U2322" s="40"/>
      <c r="V2322" s="119">
        <v>0</v>
      </c>
      <c r="W2322" s="40"/>
      <c r="X2322" s="119">
        <v>0</v>
      </c>
      <c r="Y2322" s="40"/>
      <c r="Z2322" s="119">
        <v>0</v>
      </c>
      <c r="AA2322" s="368" t="s">
        <v>16</v>
      </c>
      <c r="AB2322" s="535" t="s">
        <v>16</v>
      </c>
      <c r="AC2322" s="39" t="s">
        <v>160</v>
      </c>
      <c r="AD2322" s="75" t="s">
        <v>10</v>
      </c>
      <c r="AE2322" s="95">
        <v>0</v>
      </c>
      <c r="AF2322" s="75">
        <v>0</v>
      </c>
      <c r="AG2322" s="75">
        <v>0</v>
      </c>
      <c r="AH2322" s="75">
        <v>0</v>
      </c>
      <c r="AI2322" s="75">
        <v>0</v>
      </c>
      <c r="AJ2322" s="75">
        <v>0</v>
      </c>
      <c r="AK2322" s="75">
        <v>0</v>
      </c>
      <c r="AL2322" s="95">
        <v>1</v>
      </c>
      <c r="AM2322" s="92">
        <v>0</v>
      </c>
      <c r="AN2322" s="79"/>
      <c r="AO2322" s="75">
        <v>0</v>
      </c>
      <c r="AP2322" s="75"/>
      <c r="AQ2322" s="122">
        <v>0</v>
      </c>
      <c r="AR2322" s="515" t="s">
        <v>16</v>
      </c>
      <c r="AS2322" s="95">
        <v>-1</v>
      </c>
      <c r="AT2322" s="75">
        <v>-1</v>
      </c>
      <c r="AU2322" s="75">
        <v>-1</v>
      </c>
      <c r="AV2322" s="75">
        <v>-1</v>
      </c>
      <c r="AW2322" s="123">
        <v>1</v>
      </c>
      <c r="AX2322" s="516"/>
      <c r="AY2322" s="75">
        <v>0</v>
      </c>
      <c r="AZ2322" s="77" t="s">
        <v>131</v>
      </c>
      <c r="BA2322" s="78" t="s">
        <v>131</v>
      </c>
      <c r="BB2322" s="78" t="s">
        <v>131</v>
      </c>
      <c r="BC2322" s="78" t="s">
        <v>131</v>
      </c>
      <c r="BD2322" s="78" t="s">
        <v>131</v>
      </c>
      <c r="BE2322" s="78" t="s">
        <v>131</v>
      </c>
      <c r="BF2322" s="78" t="s">
        <v>131</v>
      </c>
      <c r="BG2322" s="78" t="s">
        <v>132</v>
      </c>
      <c r="BH2322" s="75" t="s">
        <v>5970</v>
      </c>
      <c r="BI2322" s="295" t="s">
        <v>2226</v>
      </c>
      <c r="BJ2322" s="546">
        <v>1</v>
      </c>
      <c r="BK2322" s="294">
        <v>1</v>
      </c>
      <c r="BL2322" s="157">
        <v>1</v>
      </c>
      <c r="BM2322" s="548" t="s">
        <v>578</v>
      </c>
      <c r="BN2322" s="548" t="s">
        <v>5969</v>
      </c>
      <c r="BO2322" s="157" t="s">
        <v>4310</v>
      </c>
      <c r="BP2322" s="548" t="s">
        <v>2226</v>
      </c>
      <c r="BQ2322" s="157" t="s">
        <v>4309</v>
      </c>
      <c r="BR2322" s="157"/>
    </row>
    <row r="2323" spans="1:70" x14ac:dyDescent="0.25">
      <c r="A2323" s="19" t="s">
        <v>3686</v>
      </c>
      <c r="B2323" s="37" t="s">
        <v>18</v>
      </c>
      <c r="C2323" s="90">
        <v>43539.807187500002</v>
      </c>
      <c r="D2323" s="114">
        <v>43539.557187500002</v>
      </c>
      <c r="E2323" s="38">
        <v>43539</v>
      </c>
      <c r="F2323" s="91">
        <v>2019</v>
      </c>
      <c r="G2323" s="93">
        <v>3</v>
      </c>
      <c r="H2323" s="37" t="s">
        <v>548</v>
      </c>
      <c r="I2323" s="37"/>
      <c r="J2323" s="103">
        <v>-92.64077408</v>
      </c>
      <c r="K2323" s="40">
        <v>44.84334647</v>
      </c>
      <c r="L2323" s="74"/>
      <c r="M2323" s="272" t="s">
        <v>16</v>
      </c>
      <c r="N2323" s="74">
        <v>0</v>
      </c>
      <c r="O2323" s="94"/>
      <c r="P2323" s="118">
        <v>0</v>
      </c>
      <c r="Q2323" s="510"/>
      <c r="R2323" s="513"/>
      <c r="S2323" s="41">
        <v>30</v>
      </c>
      <c r="T2323" s="40">
        <v>-76</v>
      </c>
      <c r="U2323" s="40"/>
      <c r="V2323" s="119">
        <v>0</v>
      </c>
      <c r="W2323" s="40"/>
      <c r="X2323" s="119">
        <v>0</v>
      </c>
      <c r="Y2323" s="40"/>
      <c r="Z2323" s="119">
        <v>0</v>
      </c>
      <c r="AA2323" s="368" t="s">
        <v>16</v>
      </c>
      <c r="AB2323" s="535" t="s">
        <v>16</v>
      </c>
      <c r="AC2323" s="39" t="s">
        <v>160</v>
      </c>
      <c r="AD2323" s="75" t="s">
        <v>10</v>
      </c>
      <c r="AE2323" s="95">
        <v>0</v>
      </c>
      <c r="AF2323" s="75">
        <v>0</v>
      </c>
      <c r="AG2323" s="75">
        <v>0</v>
      </c>
      <c r="AH2323" s="75">
        <v>0</v>
      </c>
      <c r="AI2323" s="75">
        <v>0</v>
      </c>
      <c r="AJ2323" s="75">
        <v>0</v>
      </c>
      <c r="AK2323" s="75">
        <v>0</v>
      </c>
      <c r="AL2323" s="95">
        <v>1</v>
      </c>
      <c r="AM2323" s="92">
        <v>0</v>
      </c>
      <c r="AN2323" s="79"/>
      <c r="AO2323" s="75">
        <v>0</v>
      </c>
      <c r="AP2323" s="75"/>
      <c r="AQ2323" s="122">
        <v>0</v>
      </c>
      <c r="AR2323" s="515" t="s">
        <v>16</v>
      </c>
      <c r="AS2323" s="95">
        <v>-1</v>
      </c>
      <c r="AT2323" s="75">
        <v>-1</v>
      </c>
      <c r="AU2323" s="75">
        <v>-1</v>
      </c>
      <c r="AV2323" s="75">
        <v>-1</v>
      </c>
      <c r="AW2323" s="123">
        <v>1</v>
      </c>
      <c r="AX2323" s="516"/>
      <c r="AY2323" s="75">
        <v>0</v>
      </c>
      <c r="AZ2323" s="77" t="s">
        <v>131</v>
      </c>
      <c r="BA2323" s="78" t="s">
        <v>131</v>
      </c>
      <c r="BB2323" s="78" t="s">
        <v>131</v>
      </c>
      <c r="BC2323" s="78" t="s">
        <v>131</v>
      </c>
      <c r="BD2323" s="78" t="s">
        <v>131</v>
      </c>
      <c r="BE2323" s="78" t="s">
        <v>131</v>
      </c>
      <c r="BF2323" s="78" t="s">
        <v>131</v>
      </c>
      <c r="BG2323" s="78" t="s">
        <v>132</v>
      </c>
      <c r="BH2323" s="75" t="s">
        <v>5970</v>
      </c>
      <c r="BI2323" s="295" t="s">
        <v>2227</v>
      </c>
      <c r="BJ2323" s="546">
        <v>1</v>
      </c>
      <c r="BK2323" s="294" t="s">
        <v>16</v>
      </c>
      <c r="BL2323" s="157" t="s">
        <v>16</v>
      </c>
      <c r="BM2323" s="548" t="s">
        <v>578</v>
      </c>
      <c r="BN2323" s="548" t="s">
        <v>5969</v>
      </c>
      <c r="BO2323" s="157" t="s">
        <v>4341</v>
      </c>
      <c r="BP2323" s="548" t="s">
        <v>4343</v>
      </c>
      <c r="BQ2323" s="157" t="s">
        <v>4309</v>
      </c>
      <c r="BR2323" s="157"/>
    </row>
    <row r="2324" spans="1:70" x14ac:dyDescent="0.25">
      <c r="A2324" s="19" t="s">
        <v>3686</v>
      </c>
      <c r="B2324" s="37" t="s">
        <v>43</v>
      </c>
      <c r="C2324" s="90">
        <v>43539.805439814816</v>
      </c>
      <c r="D2324" s="114">
        <v>43539.555439814816</v>
      </c>
      <c r="E2324" s="38">
        <v>43539</v>
      </c>
      <c r="F2324" s="91">
        <v>2019</v>
      </c>
      <c r="G2324" s="93">
        <v>3</v>
      </c>
      <c r="H2324" s="37" t="s">
        <v>560</v>
      </c>
      <c r="I2324" s="37"/>
      <c r="J2324" s="103">
        <v>-92.645203050000006</v>
      </c>
      <c r="K2324" s="40">
        <v>44.84353127</v>
      </c>
      <c r="L2324" s="74"/>
      <c r="M2324" s="272" t="s">
        <v>16</v>
      </c>
      <c r="N2324" s="74">
        <v>0</v>
      </c>
      <c r="O2324" s="94"/>
      <c r="P2324" s="118">
        <v>0</v>
      </c>
      <c r="Q2324" s="510"/>
      <c r="R2324" s="513"/>
      <c r="S2324" s="41">
        <v>15</v>
      </c>
      <c r="T2324" s="40">
        <v>-37</v>
      </c>
      <c r="U2324" s="40"/>
      <c r="V2324" s="119">
        <v>0</v>
      </c>
      <c r="W2324" s="40"/>
      <c r="X2324" s="119">
        <v>0</v>
      </c>
      <c r="Y2324" s="40"/>
      <c r="Z2324" s="119">
        <v>0</v>
      </c>
      <c r="AA2324" s="368" t="s">
        <v>16</v>
      </c>
      <c r="AB2324" s="535" t="s">
        <v>16</v>
      </c>
      <c r="AC2324" s="39" t="s">
        <v>546</v>
      </c>
      <c r="AD2324" s="75" t="s">
        <v>10</v>
      </c>
      <c r="AE2324" s="95">
        <v>0</v>
      </c>
      <c r="AF2324" s="75">
        <v>0</v>
      </c>
      <c r="AG2324" s="75">
        <v>0</v>
      </c>
      <c r="AH2324" s="75">
        <v>0</v>
      </c>
      <c r="AI2324" s="75">
        <v>0</v>
      </c>
      <c r="AJ2324" s="75">
        <v>0</v>
      </c>
      <c r="AK2324" s="75">
        <v>0</v>
      </c>
      <c r="AL2324" s="95">
        <v>1</v>
      </c>
      <c r="AM2324" s="92">
        <v>0</v>
      </c>
      <c r="AN2324" s="79"/>
      <c r="AO2324" s="75">
        <v>0</v>
      </c>
      <c r="AP2324" s="75"/>
      <c r="AQ2324" s="122">
        <v>0</v>
      </c>
      <c r="AR2324" s="515" t="s">
        <v>16</v>
      </c>
      <c r="AS2324" s="95">
        <v>-1</v>
      </c>
      <c r="AT2324" s="75">
        <v>-1</v>
      </c>
      <c r="AU2324" s="75">
        <v>-1</v>
      </c>
      <c r="AV2324" s="75">
        <v>-1</v>
      </c>
      <c r="AW2324" s="123">
        <v>1</v>
      </c>
      <c r="AX2324" s="516"/>
      <c r="AY2324" s="75">
        <v>0</v>
      </c>
      <c r="AZ2324" s="77" t="s">
        <v>131</v>
      </c>
      <c r="BA2324" s="78" t="s">
        <v>131</v>
      </c>
      <c r="BB2324" s="78" t="s">
        <v>131</v>
      </c>
      <c r="BC2324" s="78" t="s">
        <v>131</v>
      </c>
      <c r="BD2324" s="78" t="s">
        <v>131</v>
      </c>
      <c r="BE2324" s="78" t="s">
        <v>131</v>
      </c>
      <c r="BF2324" s="78" t="s">
        <v>131</v>
      </c>
      <c r="BG2324" s="78" t="s">
        <v>132</v>
      </c>
      <c r="BH2324" s="75" t="s">
        <v>5970</v>
      </c>
      <c r="BI2324" s="295" t="s">
        <v>2227</v>
      </c>
      <c r="BJ2324" s="546">
        <v>1</v>
      </c>
      <c r="BK2324" s="294" t="s">
        <v>16</v>
      </c>
      <c r="BL2324" s="157" t="s">
        <v>16</v>
      </c>
      <c r="BM2324" s="548" t="s">
        <v>578</v>
      </c>
      <c r="BN2324" s="548" t="s">
        <v>5969</v>
      </c>
      <c r="BO2324" s="157" t="s">
        <v>4341</v>
      </c>
      <c r="BP2324" s="548" t="s">
        <v>4343</v>
      </c>
      <c r="BQ2324" s="157" t="s">
        <v>4309</v>
      </c>
      <c r="BR2324" s="157"/>
    </row>
    <row r="2325" spans="1:70" x14ac:dyDescent="0.25">
      <c r="A2325" s="19" t="s">
        <v>3686</v>
      </c>
      <c r="B2325" s="37" t="s">
        <v>30</v>
      </c>
      <c r="C2325" s="90">
        <v>43539.766689814816</v>
      </c>
      <c r="D2325" s="114">
        <v>43539.516689814816</v>
      </c>
      <c r="E2325" s="38">
        <v>43539</v>
      </c>
      <c r="F2325" s="91">
        <v>2019</v>
      </c>
      <c r="G2325" s="93">
        <v>3</v>
      </c>
      <c r="H2325" s="37" t="s">
        <v>560</v>
      </c>
      <c r="I2325" s="37"/>
      <c r="J2325" s="103">
        <v>-92.645203050000006</v>
      </c>
      <c r="K2325" s="40">
        <v>44.84353127</v>
      </c>
      <c r="L2325" s="74"/>
      <c r="M2325" s="272" t="s">
        <v>16</v>
      </c>
      <c r="N2325" s="74">
        <v>0</v>
      </c>
      <c r="O2325" s="94"/>
      <c r="P2325" s="118">
        <v>0</v>
      </c>
      <c r="Q2325" s="510"/>
      <c r="R2325" s="513"/>
      <c r="S2325" s="41">
        <v>4</v>
      </c>
      <c r="T2325" s="40">
        <v>-16</v>
      </c>
      <c r="U2325" s="40"/>
      <c r="V2325" s="119">
        <v>0</v>
      </c>
      <c r="W2325" s="40"/>
      <c r="X2325" s="119">
        <v>0</v>
      </c>
      <c r="Y2325" s="40"/>
      <c r="Z2325" s="119">
        <v>0</v>
      </c>
      <c r="AA2325" s="368" t="s">
        <v>16</v>
      </c>
      <c r="AB2325" s="535" t="s">
        <v>16</v>
      </c>
      <c r="AC2325" s="39" t="s">
        <v>160</v>
      </c>
      <c r="AD2325" s="75" t="s">
        <v>10</v>
      </c>
      <c r="AE2325" s="95">
        <v>0</v>
      </c>
      <c r="AF2325" s="75">
        <v>0</v>
      </c>
      <c r="AG2325" s="75">
        <v>0</v>
      </c>
      <c r="AH2325" s="75">
        <v>0</v>
      </c>
      <c r="AI2325" s="75">
        <v>0</v>
      </c>
      <c r="AJ2325" s="75">
        <v>0</v>
      </c>
      <c r="AK2325" s="75">
        <v>0</v>
      </c>
      <c r="AL2325" s="95">
        <v>1</v>
      </c>
      <c r="AM2325" s="92">
        <v>0</v>
      </c>
      <c r="AN2325" s="79"/>
      <c r="AO2325" s="75">
        <v>0</v>
      </c>
      <c r="AP2325" s="75"/>
      <c r="AQ2325" s="122">
        <v>0</v>
      </c>
      <c r="AR2325" s="515" t="s">
        <v>16</v>
      </c>
      <c r="AS2325" s="95">
        <v>-1</v>
      </c>
      <c r="AT2325" s="75">
        <v>-1</v>
      </c>
      <c r="AU2325" s="75">
        <v>-1</v>
      </c>
      <c r="AV2325" s="75">
        <v>-1</v>
      </c>
      <c r="AW2325" s="123">
        <v>1</v>
      </c>
      <c r="AX2325" s="516"/>
      <c r="AY2325" s="75">
        <v>0</v>
      </c>
      <c r="AZ2325" s="77" t="s">
        <v>131</v>
      </c>
      <c r="BA2325" s="78" t="s">
        <v>131</v>
      </c>
      <c r="BB2325" s="78" t="s">
        <v>131</v>
      </c>
      <c r="BC2325" s="78" t="s">
        <v>131</v>
      </c>
      <c r="BD2325" s="78" t="s">
        <v>131</v>
      </c>
      <c r="BE2325" s="78" t="s">
        <v>131</v>
      </c>
      <c r="BF2325" s="78" t="s">
        <v>131</v>
      </c>
      <c r="BG2325" s="78" t="s">
        <v>132</v>
      </c>
      <c r="BH2325" s="75" t="s">
        <v>5970</v>
      </c>
      <c r="BI2325" s="295" t="s">
        <v>2227</v>
      </c>
      <c r="BJ2325" s="546">
        <v>1</v>
      </c>
      <c r="BK2325" s="294" t="s">
        <v>16</v>
      </c>
      <c r="BL2325" s="157" t="s">
        <v>16</v>
      </c>
      <c r="BM2325" s="548" t="s">
        <v>578</v>
      </c>
      <c r="BN2325" s="548" t="s">
        <v>5969</v>
      </c>
      <c r="BO2325" s="157" t="s">
        <v>4341</v>
      </c>
      <c r="BP2325" s="548" t="s">
        <v>4343</v>
      </c>
      <c r="BQ2325" s="157" t="s">
        <v>4309</v>
      </c>
      <c r="BR2325" s="157"/>
    </row>
    <row r="2326" spans="1:70" x14ac:dyDescent="0.25">
      <c r="A2326" s="19" t="s">
        <v>3686</v>
      </c>
      <c r="B2326" s="37" t="s">
        <v>48</v>
      </c>
      <c r="C2326" s="90">
        <v>43539.692777777775</v>
      </c>
      <c r="D2326" s="115">
        <v>43539.442777777775</v>
      </c>
      <c r="E2326" s="38">
        <v>43539</v>
      </c>
      <c r="F2326" s="91">
        <v>2019</v>
      </c>
      <c r="G2326" s="93">
        <v>3</v>
      </c>
      <c r="H2326" s="37" t="s">
        <v>548</v>
      </c>
      <c r="I2326" s="37"/>
      <c r="J2326" s="103">
        <v>-92.627009756037324</v>
      </c>
      <c r="K2326" s="40">
        <v>44.854958849487637</v>
      </c>
      <c r="L2326" s="74"/>
      <c r="M2326" s="272" t="s">
        <v>16</v>
      </c>
      <c r="N2326" s="74">
        <v>0</v>
      </c>
      <c r="O2326" s="99"/>
      <c r="P2326" s="279">
        <v>0</v>
      </c>
      <c r="Q2326" s="511"/>
      <c r="R2326" s="514"/>
      <c r="S2326" s="41">
        <v>-59</v>
      </c>
      <c r="T2326" s="40">
        <v>148</v>
      </c>
      <c r="U2326" s="40"/>
      <c r="V2326" s="119">
        <v>1</v>
      </c>
      <c r="W2326" s="40">
        <v>300</v>
      </c>
      <c r="X2326" s="119">
        <v>1</v>
      </c>
      <c r="Y2326" s="40">
        <v>68</v>
      </c>
      <c r="Z2326" s="119">
        <v>0</v>
      </c>
      <c r="AA2326" s="368" t="s">
        <v>16</v>
      </c>
      <c r="AB2326" s="535" t="s">
        <v>16</v>
      </c>
      <c r="AC2326" s="39" t="s">
        <v>160</v>
      </c>
      <c r="AD2326" s="75" t="s">
        <v>10</v>
      </c>
      <c r="AE2326" s="121">
        <v>0</v>
      </c>
      <c r="AF2326" s="75">
        <v>0</v>
      </c>
      <c r="AG2326" s="75">
        <v>0</v>
      </c>
      <c r="AH2326" s="75">
        <v>0</v>
      </c>
      <c r="AI2326" s="75">
        <v>0</v>
      </c>
      <c r="AJ2326" s="75">
        <v>0</v>
      </c>
      <c r="AK2326" s="75">
        <v>0</v>
      </c>
      <c r="AL2326" s="121">
        <v>1</v>
      </c>
      <c r="AM2326" s="92">
        <v>0</v>
      </c>
      <c r="AN2326" s="79"/>
      <c r="AO2326" s="75">
        <v>0</v>
      </c>
      <c r="AP2326" s="75"/>
      <c r="AQ2326" s="122">
        <v>0</v>
      </c>
      <c r="AR2326" s="515" t="s">
        <v>16</v>
      </c>
      <c r="AS2326" s="121">
        <v>-1</v>
      </c>
      <c r="AT2326" s="75">
        <v>-1</v>
      </c>
      <c r="AU2326" s="75">
        <v>-1</v>
      </c>
      <c r="AV2326" s="75">
        <v>-1</v>
      </c>
      <c r="AW2326" s="123">
        <v>1</v>
      </c>
      <c r="AX2326" s="516"/>
      <c r="AY2326" s="75">
        <v>0</v>
      </c>
      <c r="AZ2326" s="77" t="s">
        <v>131</v>
      </c>
      <c r="BA2326" s="78" t="s">
        <v>131</v>
      </c>
      <c r="BB2326" s="78" t="s">
        <v>131</v>
      </c>
      <c r="BC2326" s="78" t="s">
        <v>131</v>
      </c>
      <c r="BD2326" s="78" t="s">
        <v>131</v>
      </c>
      <c r="BE2326" s="78" t="s">
        <v>131</v>
      </c>
      <c r="BF2326" s="78" t="s">
        <v>131</v>
      </c>
      <c r="BG2326" s="78" t="s">
        <v>132</v>
      </c>
      <c r="BH2326" s="75" t="s">
        <v>5970</v>
      </c>
      <c r="BI2326" s="295" t="s">
        <v>2227</v>
      </c>
      <c r="BJ2326" s="546">
        <v>1</v>
      </c>
      <c r="BK2326" s="294">
        <v>1</v>
      </c>
      <c r="BL2326" s="157">
        <v>1</v>
      </c>
      <c r="BM2326" s="548" t="s">
        <v>578</v>
      </c>
      <c r="BN2326" s="548" t="s">
        <v>5969</v>
      </c>
      <c r="BO2326" s="157" t="s">
        <v>4311</v>
      </c>
      <c r="BP2326" s="548" t="s">
        <v>4395</v>
      </c>
      <c r="BQ2326" s="157" t="s">
        <v>4309</v>
      </c>
      <c r="BR2326" s="157"/>
    </row>
  </sheetData>
  <sortState xmlns:xlrd2="http://schemas.microsoft.com/office/spreadsheetml/2017/richdata2" ref="A8:BH10">
    <sortCondition ref="D8:D10"/>
  </sortState>
  <phoneticPr fontId="17" type="noConversion"/>
  <conditionalFormatting sqref="J8:J2326">
    <cfRule type="cellIs" dxfId="18" priority="5" operator="between">
      <formula>$I$2</formula>
      <formula>$I$3</formula>
    </cfRule>
  </conditionalFormatting>
  <conditionalFormatting sqref="K8:K2326">
    <cfRule type="cellIs" dxfId="17" priority="4" operator="between">
      <formula>$H$2</formula>
      <formula>$H$3</formula>
    </cfRule>
  </conditionalFormatting>
  <conditionalFormatting sqref="L8:L2326">
    <cfRule type="cellIs" dxfId="16" priority="3" operator="between">
      <formula>$I$2</formula>
      <formula>$I$3</formula>
    </cfRule>
  </conditionalFormatting>
  <conditionalFormatting sqref="N8:N2326">
    <cfRule type="cellIs" dxfId="15" priority="2" operator="equal">
      <formula>1</formula>
    </cfRule>
  </conditionalFormatting>
  <conditionalFormatting sqref="AK8:AK2326">
    <cfRule type="cellIs" dxfId="14" priority="1" operator="equal">
      <formula>1</formula>
    </cfRule>
  </conditionalFormatting>
  <dataValidations disablePrompts="1" count="2">
    <dataValidation type="whole" allowBlank="1" showInputMessage="1" showErrorMessage="1" sqref="B4:B6" xr:uid="{13FE936E-8E0A-4011-8E00-72741A701653}">
      <formula1>1</formula1>
      <formula2>5000</formula2>
    </dataValidation>
    <dataValidation type="whole" allowBlank="1" showInputMessage="1" showErrorMessage="1" sqref="D4" xr:uid="{FF4A520C-7529-412F-AB16-B879A2E8B6D8}">
      <formula1>-12</formula1>
      <formula2>12</formula2>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9" r:id="rId4" name="Button 5">
              <controlPr defaultSize="0" print="0" autoFill="0" autoPict="0" macro="[0]!TransferTable" altText="Load Raw Data_x000a_">
                <anchor moveWithCells="1" sizeWithCells="1">
                  <from>
                    <xdr:col>0</xdr:col>
                    <xdr:colOff>866775</xdr:colOff>
                    <xdr:row>5</xdr:row>
                    <xdr:rowOff>85725</xdr:rowOff>
                  </from>
                  <to>
                    <xdr:col>1</xdr:col>
                    <xdr:colOff>542925</xdr:colOff>
                    <xdr:row>5</xdr:row>
                    <xdr:rowOff>561975</xdr:rowOff>
                  </to>
                </anchor>
              </controlPr>
            </control>
          </mc:Choice>
        </mc:AlternateContent>
      </controls>
    </mc:Choice>
  </mc:AlternateContent>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A2BF-D792-4DEF-B070-4F97C4177033}">
  <sheetPr codeName="Sheet14"/>
  <dimension ref="A1:BM240"/>
  <sheetViews>
    <sheetView showGridLines="0" topLeftCell="A183" zoomScaleNormal="100" workbookViewId="0">
      <selection activeCell="AH94" sqref="AH94"/>
    </sheetView>
  </sheetViews>
  <sheetFormatPr defaultRowHeight="15" x14ac:dyDescent="0.25"/>
  <cols>
    <col min="2" max="2" width="21.7109375" customWidth="1"/>
    <col min="3" max="6" width="13" customWidth="1"/>
    <col min="7" max="7" width="13.85546875" customWidth="1"/>
    <col min="8" max="8" width="13" customWidth="1"/>
    <col min="9" max="9" width="11" customWidth="1"/>
    <col min="10" max="10" width="10" customWidth="1"/>
    <col min="11" max="13" width="14.85546875" hidden="1" customWidth="1"/>
    <col min="14" max="17" width="13.42578125" hidden="1" customWidth="1"/>
    <col min="18" max="18" width="10" customWidth="1"/>
    <col min="19" max="19" width="31.7109375" customWidth="1"/>
    <col min="20" max="20" width="11.140625" customWidth="1"/>
    <col min="21" max="21" width="11.28515625" customWidth="1"/>
    <col min="22" max="22" width="11.140625" customWidth="1"/>
    <col min="23" max="23" width="11.28515625" customWidth="1"/>
    <col min="24" max="24" width="11.140625" customWidth="1"/>
    <col min="25" max="25" width="11.28515625" customWidth="1"/>
    <col min="26" max="26" width="11.140625" style="1" customWidth="1"/>
    <col min="27" max="27" width="11.28515625" style="1" customWidth="1"/>
    <col min="28" max="28" width="9.42578125" customWidth="1"/>
    <col min="29" max="29" width="11.5703125" customWidth="1"/>
    <col min="30" max="30" width="9.5703125" customWidth="1"/>
    <col min="31" max="31" width="14.42578125" customWidth="1"/>
    <col min="32" max="32" width="10.28515625" customWidth="1"/>
    <col min="33" max="33" width="8" customWidth="1"/>
    <col min="34" max="34" width="21" customWidth="1"/>
    <col min="35" max="35" width="12.140625" customWidth="1"/>
    <col min="36" max="39" width="12.140625" style="1" customWidth="1"/>
    <col min="40" max="40" width="12.140625" customWidth="1"/>
    <col min="41" max="41" width="10.42578125" customWidth="1"/>
    <col min="42" max="42" width="38.28515625" bestFit="1" customWidth="1"/>
    <col min="43" max="43" width="24" bestFit="1" customWidth="1"/>
    <col min="44" max="44" width="7.28515625" bestFit="1" customWidth="1"/>
    <col min="45" max="45" width="7.7109375" bestFit="1" customWidth="1"/>
    <col min="46" max="46" width="16.5703125" customWidth="1"/>
    <col min="47" max="47" width="6.85546875" bestFit="1" customWidth="1"/>
    <col min="48" max="48" width="4.85546875" customWidth="1"/>
    <col min="49" max="49" width="31.42578125" bestFit="1" customWidth="1"/>
    <col min="50" max="53" width="12.42578125" customWidth="1"/>
    <col min="54" max="54" width="10.28515625" bestFit="1" customWidth="1"/>
    <col min="55" max="55" width="17" customWidth="1"/>
  </cols>
  <sheetData>
    <row r="1" spans="1:40" ht="24.4" customHeight="1" x14ac:dyDescent="0.45">
      <c r="A1" s="4" t="s">
        <v>1271</v>
      </c>
      <c r="Z1"/>
      <c r="AA1"/>
      <c r="AB1" s="1"/>
      <c r="AC1" s="1"/>
      <c r="AD1" s="1"/>
      <c r="AJ1"/>
      <c r="AK1"/>
      <c r="AL1"/>
      <c r="AN1" s="1"/>
    </row>
    <row r="2" spans="1:40" ht="24.4" customHeight="1" x14ac:dyDescent="0.45">
      <c r="A2" s="4"/>
      <c r="Z2"/>
      <c r="AA2"/>
      <c r="AB2" s="1"/>
      <c r="AC2" s="1"/>
      <c r="AD2" s="1"/>
      <c r="AJ2"/>
      <c r="AK2"/>
      <c r="AL2"/>
      <c r="AN2" s="1"/>
    </row>
    <row r="3" spans="1:40" ht="25.5" customHeight="1" x14ac:dyDescent="0.25">
      <c r="B3" s="209" t="s">
        <v>626</v>
      </c>
      <c r="C3" s="210"/>
      <c r="D3" s="240"/>
      <c r="E3" s="209"/>
      <c r="F3" s="209"/>
      <c r="Z3"/>
      <c r="AA3"/>
      <c r="AB3" s="1"/>
      <c r="AC3" s="1"/>
      <c r="AD3" s="1"/>
      <c r="AJ3"/>
      <c r="AK3"/>
      <c r="AL3"/>
      <c r="AN3" s="1"/>
    </row>
    <row r="4" spans="1:40" ht="20.45" customHeight="1" x14ac:dyDescent="0.25">
      <c r="B4" s="239" t="s">
        <v>4823</v>
      </c>
      <c r="C4" s="239"/>
      <c r="D4" s="240"/>
      <c r="E4" s="240"/>
      <c r="F4" s="209"/>
      <c r="Z4"/>
      <c r="AA4"/>
      <c r="AB4" s="1"/>
      <c r="AC4" s="1"/>
      <c r="AD4" s="1"/>
      <c r="AJ4"/>
      <c r="AK4"/>
      <c r="AL4"/>
      <c r="AN4" s="1"/>
    </row>
    <row r="5" spans="1:40" s="28" customFormat="1" ht="25.5" customHeight="1" x14ac:dyDescent="0.25">
      <c r="B5" s="211"/>
      <c r="C5" s="211" t="s">
        <v>586</v>
      </c>
      <c r="D5" s="211" t="s">
        <v>584</v>
      </c>
      <c r="E5" s="211" t="s">
        <v>585</v>
      </c>
      <c r="F5" s="55"/>
      <c r="X5"/>
      <c r="Y5"/>
      <c r="AB5" s="25"/>
      <c r="AC5" s="25"/>
      <c r="AD5" s="25"/>
      <c r="AM5" s="25"/>
      <c r="AN5" s="25"/>
    </row>
    <row r="6" spans="1:40" s="28" customFormat="1" ht="18.75" x14ac:dyDescent="0.25">
      <c r="B6" s="241"/>
      <c r="C6" s="242" t="s">
        <v>587</v>
      </c>
      <c r="D6" s="59">
        <v>2500</v>
      </c>
      <c r="E6" s="243">
        <v>1</v>
      </c>
      <c r="G6" s="56"/>
      <c r="H6" s="56"/>
      <c r="I6" s="56"/>
      <c r="X6"/>
      <c r="Y6"/>
      <c r="AB6" s="25"/>
      <c r="AC6" s="25"/>
      <c r="AD6" s="25"/>
      <c r="AH6" s="28">
        <f>20/90</f>
        <v>0.22222222222222221</v>
      </c>
      <c r="AM6" s="25"/>
      <c r="AN6" s="25"/>
    </row>
    <row r="7" spans="1:40" s="28" customFormat="1" ht="18.75" x14ac:dyDescent="0.25">
      <c r="B7" s="241"/>
      <c r="C7" s="242" t="s">
        <v>134</v>
      </c>
      <c r="D7" s="244">
        <f>TUDB!B4</f>
        <v>2320</v>
      </c>
      <c r="E7" s="243">
        <f>D7/D6</f>
        <v>0.92800000000000005</v>
      </c>
      <c r="F7" s="238">
        <f>E7-0.05</f>
        <v>0.878</v>
      </c>
      <c r="G7" s="58"/>
      <c r="H7" s="58"/>
      <c r="I7" s="58"/>
      <c r="X7"/>
      <c r="Y7"/>
      <c r="AB7" s="25"/>
      <c r="AC7" s="25"/>
      <c r="AD7" s="25"/>
      <c r="AM7" s="25"/>
      <c r="AN7" s="25"/>
    </row>
    <row r="8" spans="1:40" s="28" customFormat="1" ht="18.75" x14ac:dyDescent="0.25">
      <c r="B8" s="241"/>
      <c r="C8" s="242" t="s">
        <v>583</v>
      </c>
      <c r="D8" s="59">
        <f>D6-D7</f>
        <v>180</v>
      </c>
      <c r="E8" s="243">
        <f>E6-E7</f>
        <v>7.1999999999999953E-2</v>
      </c>
      <c r="X8"/>
      <c r="Y8"/>
      <c r="AB8" s="25"/>
      <c r="AC8" s="25"/>
      <c r="AD8" s="25"/>
      <c r="AM8" s="25"/>
      <c r="AN8" s="25"/>
    </row>
    <row r="9" spans="1:40" ht="60.4" customHeight="1" x14ac:dyDescent="0.25">
      <c r="Z9"/>
      <c r="AA9"/>
      <c r="AB9" s="1"/>
      <c r="AC9" s="1"/>
      <c r="AD9" s="1"/>
      <c r="AJ9"/>
      <c r="AK9"/>
      <c r="AL9"/>
      <c r="AN9" s="1"/>
    </row>
    <row r="10" spans="1:40" ht="27.4" customHeight="1" x14ac:dyDescent="0.25">
      <c r="B10" s="130" t="s">
        <v>588</v>
      </c>
      <c r="C10" s="54"/>
      <c r="D10" s="54"/>
      <c r="E10" s="54"/>
      <c r="F10" s="54"/>
      <c r="G10" s="54"/>
      <c r="Z10"/>
      <c r="AB10" s="1"/>
      <c r="AC10" s="1"/>
    </row>
    <row r="11" spans="1:40" ht="28.9" customHeight="1" x14ac:dyDescent="0.3">
      <c r="B11" s="245"/>
      <c r="C11" s="246"/>
      <c r="D11" s="242" t="s">
        <v>968</v>
      </c>
      <c r="E11" s="551">
        <v>174</v>
      </c>
      <c r="F11" s="246"/>
      <c r="G11" s="246"/>
      <c r="Z11"/>
      <c r="AB11" s="1"/>
      <c r="AC11" s="1"/>
    </row>
    <row r="12" spans="1:40" ht="34.5" customHeight="1" x14ac:dyDescent="0.3">
      <c r="B12" s="247" t="s">
        <v>590</v>
      </c>
      <c r="C12" s="248"/>
      <c r="D12" s="248"/>
      <c r="E12" s="248"/>
      <c r="F12" s="248"/>
      <c r="G12" s="248"/>
      <c r="H12" s="156"/>
      <c r="I12" s="156"/>
      <c r="Z12"/>
    </row>
    <row r="13" spans="1:40" ht="18" customHeight="1" x14ac:dyDescent="0.3">
      <c r="B13" s="156" t="s">
        <v>3694</v>
      </c>
      <c r="C13" s="156">
        <v>2020</v>
      </c>
      <c r="D13" s="156">
        <v>2021</v>
      </c>
      <c r="E13" s="156">
        <v>2022</v>
      </c>
      <c r="F13" s="156">
        <v>2023</v>
      </c>
      <c r="G13" s="156">
        <v>2024</v>
      </c>
      <c r="H13" s="156"/>
      <c r="I13" s="156"/>
      <c r="Z13"/>
    </row>
    <row r="14" spans="1:40" s="217" customFormat="1" ht="6" customHeight="1" x14ac:dyDescent="0.3">
      <c r="B14" s="218">
        <v>0</v>
      </c>
      <c r="C14" s="218">
        <f t="array" ref="C14:C23">FREQUENCY(F$50:F$171,$B$14:$B$22)</f>
        <v>111</v>
      </c>
      <c r="D14" s="218">
        <f t="array" ref="D14:D23">FREQUENCY(G$50:G$171,$B$14:$B$22)</f>
        <v>89</v>
      </c>
      <c r="E14" s="218">
        <f t="array" ref="E14:E23">FREQUENCY(H$50:H$171,$B$14:$B$22)</f>
        <v>61</v>
      </c>
      <c r="F14" s="218">
        <f t="array" ref="F14:F23">FREQUENCY(I$50:I$171,$B$14:$B$22)</f>
        <v>41</v>
      </c>
      <c r="G14" s="218">
        <f t="array" ref="G14:G23">FREQUENCY(J$50:J$171,$B$14:$B$22)</f>
        <v>85</v>
      </c>
      <c r="H14" s="219"/>
      <c r="I14" s="218"/>
    </row>
    <row r="15" spans="1:40" ht="21" x14ac:dyDescent="0.25">
      <c r="B15" s="59">
        <v>1</v>
      </c>
      <c r="C15" s="59">
        <v>4</v>
      </c>
      <c r="D15" s="59">
        <v>2</v>
      </c>
      <c r="E15" s="59">
        <v>12</v>
      </c>
      <c r="F15" s="59">
        <v>19</v>
      </c>
      <c r="G15" s="59">
        <v>9</v>
      </c>
      <c r="H15" s="59"/>
      <c r="I15" s="59"/>
      <c r="S15" s="152" t="s">
        <v>2339</v>
      </c>
      <c r="T15" s="152"/>
      <c r="U15" s="152"/>
      <c r="V15" s="152"/>
      <c r="W15" s="152"/>
      <c r="X15" s="152"/>
      <c r="Y15" s="152"/>
      <c r="Z15" s="152"/>
      <c r="AA15" s="152"/>
      <c r="AB15" s="152"/>
      <c r="AC15" s="152"/>
      <c r="AD15" s="152"/>
      <c r="AE15" s="152"/>
    </row>
    <row r="16" spans="1:40" ht="18.75" x14ac:dyDescent="0.25">
      <c r="B16" s="59">
        <v>5</v>
      </c>
      <c r="C16" s="59">
        <v>4</v>
      </c>
      <c r="D16" s="59">
        <v>10</v>
      </c>
      <c r="E16" s="59">
        <v>26</v>
      </c>
      <c r="F16" s="59">
        <v>26</v>
      </c>
      <c r="G16" s="59">
        <v>11</v>
      </c>
      <c r="H16" s="59"/>
      <c r="I16" s="59"/>
    </row>
    <row r="17" spans="2:59" ht="18.75" x14ac:dyDescent="0.25">
      <c r="B17" s="59">
        <v>10</v>
      </c>
      <c r="C17" s="59">
        <v>1</v>
      </c>
      <c r="D17" s="59">
        <v>11</v>
      </c>
      <c r="E17" s="59">
        <v>10</v>
      </c>
      <c r="F17" s="59">
        <v>18</v>
      </c>
      <c r="G17" s="59">
        <v>7</v>
      </c>
      <c r="H17" s="59"/>
      <c r="I17" s="59"/>
    </row>
    <row r="18" spans="2:59" ht="18.75" x14ac:dyDescent="0.25">
      <c r="B18" s="59">
        <v>15</v>
      </c>
      <c r="C18" s="59">
        <v>1</v>
      </c>
      <c r="D18" s="59">
        <v>3</v>
      </c>
      <c r="E18" s="59">
        <v>7</v>
      </c>
      <c r="F18" s="59">
        <v>5</v>
      </c>
      <c r="G18" s="59">
        <v>2</v>
      </c>
      <c r="H18" s="59"/>
      <c r="I18" s="59"/>
    </row>
    <row r="19" spans="2:59" ht="18.75" x14ac:dyDescent="0.25">
      <c r="B19" s="59">
        <v>20</v>
      </c>
      <c r="C19" s="59">
        <v>0</v>
      </c>
      <c r="D19" s="59">
        <v>3</v>
      </c>
      <c r="E19" s="59">
        <v>2</v>
      </c>
      <c r="F19" s="59">
        <v>1</v>
      </c>
      <c r="G19" s="59">
        <v>1</v>
      </c>
      <c r="H19" s="59"/>
      <c r="I19" s="59"/>
      <c r="BE19" s="1"/>
      <c r="BG19" s="1"/>
    </row>
    <row r="20" spans="2:59" ht="18.75" x14ac:dyDescent="0.25">
      <c r="B20" s="59">
        <v>25</v>
      </c>
      <c r="C20" s="59">
        <v>0</v>
      </c>
      <c r="D20" s="59">
        <v>2</v>
      </c>
      <c r="E20" s="59">
        <v>0</v>
      </c>
      <c r="F20" s="59">
        <v>2</v>
      </c>
      <c r="G20" s="59">
        <v>1</v>
      </c>
      <c r="H20" s="59"/>
      <c r="I20" s="59"/>
      <c r="BE20" s="1"/>
      <c r="BF20" s="1"/>
      <c r="BG20" s="1"/>
    </row>
    <row r="21" spans="2:59" ht="18" customHeight="1" x14ac:dyDescent="0.25">
      <c r="B21" s="59">
        <v>30</v>
      </c>
      <c r="C21" s="59">
        <v>0</v>
      </c>
      <c r="D21" s="59">
        <v>2</v>
      </c>
      <c r="E21" s="59">
        <v>1</v>
      </c>
      <c r="F21" s="59">
        <v>2</v>
      </c>
      <c r="G21" s="59">
        <v>1</v>
      </c>
      <c r="H21" s="59"/>
      <c r="I21" s="59"/>
      <c r="BE21" s="1"/>
      <c r="BF21" s="1"/>
      <c r="BG21" s="1"/>
    </row>
    <row r="22" spans="2:59" ht="15.75" customHeight="1" x14ac:dyDescent="0.25">
      <c r="B22" s="59">
        <v>35</v>
      </c>
      <c r="C22" s="59">
        <v>1</v>
      </c>
      <c r="D22" s="59">
        <v>0</v>
      </c>
      <c r="E22" s="59">
        <v>1</v>
      </c>
      <c r="F22" s="59">
        <v>0</v>
      </c>
      <c r="G22" s="59">
        <v>0</v>
      </c>
      <c r="H22" s="59"/>
      <c r="I22" s="59"/>
      <c r="BE22" s="1"/>
      <c r="BF22" s="1"/>
      <c r="BG22" s="1"/>
    </row>
    <row r="23" spans="2:59" ht="18.75" x14ac:dyDescent="0.25">
      <c r="B23" s="60" t="s">
        <v>967</v>
      </c>
      <c r="C23" s="60">
        <v>0</v>
      </c>
      <c r="D23" s="60">
        <v>0</v>
      </c>
      <c r="E23" s="60">
        <v>2</v>
      </c>
      <c r="F23" s="60">
        <v>8</v>
      </c>
      <c r="G23" s="60">
        <v>5</v>
      </c>
      <c r="H23" s="59"/>
      <c r="BE23" s="1"/>
      <c r="BF23" s="1"/>
      <c r="BG23" s="1"/>
    </row>
    <row r="24" spans="2:59" ht="18.75" x14ac:dyDescent="0.25">
      <c r="B24" s="59"/>
      <c r="C24" s="59"/>
      <c r="D24" s="59"/>
      <c r="E24" s="59"/>
      <c r="F24" s="59"/>
      <c r="G24" s="59"/>
      <c r="H24" s="59"/>
      <c r="BE24" s="1"/>
      <c r="BF24" s="1"/>
      <c r="BG24" s="1"/>
    </row>
    <row r="25" spans="2:59" ht="25.5" customHeight="1" x14ac:dyDescent="0.25">
      <c r="C25" s="59"/>
      <c r="D25" s="59"/>
      <c r="BE25" s="1"/>
      <c r="BF25" s="1"/>
      <c r="BG25" s="1"/>
    </row>
    <row r="26" spans="2:59" x14ac:dyDescent="0.25">
      <c r="C26" s="536"/>
      <c r="D26" s="537" t="s">
        <v>3962</v>
      </c>
      <c r="E26" s="538">
        <f>SUM(TU_DB[Trout Stream Flag])</f>
        <v>1945</v>
      </c>
      <c r="F26" s="539">
        <f>E26/(D7-60)</f>
        <v>0.86061946902654862</v>
      </c>
      <c r="AG26" s="1"/>
      <c r="BE26" s="1"/>
      <c r="BF26" s="1"/>
      <c r="BG26" s="1"/>
    </row>
    <row r="27" spans="2:59" x14ac:dyDescent="0.25">
      <c r="C27" s="540"/>
      <c r="D27" s="541" t="s">
        <v>5816</v>
      </c>
      <c r="E27" s="542">
        <f>SUM(TU_DB[Brook Trout Stream Flag])</f>
        <v>801</v>
      </c>
      <c r="F27" s="543">
        <f>E27/(D7-60)</f>
        <v>0.35442477876106193</v>
      </c>
      <c r="AG27" s="1"/>
      <c r="BE27" s="1"/>
      <c r="BF27" s="1"/>
      <c r="BG27" s="1"/>
    </row>
    <row r="28" spans="2:59" x14ac:dyDescent="0.25">
      <c r="AG28" s="1"/>
      <c r="BE28" s="1"/>
      <c r="BF28" s="1"/>
      <c r="BG28" s="1"/>
    </row>
    <row r="29" spans="2:59" ht="16.5" thickBot="1" x14ac:dyDescent="0.3">
      <c r="B29" s="215" t="s">
        <v>1327</v>
      </c>
      <c r="C29" s="1"/>
      <c r="D29" s="1"/>
      <c r="AG29" s="1"/>
      <c r="BE29" s="1"/>
      <c r="BF29" s="1"/>
      <c r="BG29" s="1"/>
    </row>
    <row r="30" spans="2:59" ht="45.75" thickTop="1" x14ac:dyDescent="0.25">
      <c r="B30" s="138" t="s">
        <v>156</v>
      </c>
      <c r="C30" s="149" t="s">
        <v>1326</v>
      </c>
      <c r="D30" s="144" t="s">
        <v>2332</v>
      </c>
      <c r="E30" s="149" t="s">
        <v>1325</v>
      </c>
      <c r="F30" s="144" t="s">
        <v>2332</v>
      </c>
      <c r="G30" s="142" t="s">
        <v>2327</v>
      </c>
      <c r="H30" s="144" t="s">
        <v>2332</v>
      </c>
      <c r="S30" s="142" t="s">
        <v>591</v>
      </c>
      <c r="T30" s="142" t="s">
        <v>582</v>
      </c>
      <c r="U30" s="142">
        <v>2020</v>
      </c>
      <c r="V30" s="142">
        <v>2021</v>
      </c>
      <c r="W30" s="142">
        <v>2022</v>
      </c>
      <c r="X30" s="142">
        <v>2023</v>
      </c>
      <c r="Y30" s="142">
        <v>2024</v>
      </c>
      <c r="AG30" s="1"/>
      <c r="BE30" s="1"/>
      <c r="BF30" s="1"/>
      <c r="BG30" s="1"/>
    </row>
    <row r="31" spans="2:59" x14ac:dyDescent="0.25">
      <c r="B31" s="1">
        <v>2019</v>
      </c>
      <c r="C31" s="145" cm="1">
        <f t="array" ref="C31:C36">TRANSPOSE(E47:J47)</f>
        <v>16</v>
      </c>
      <c r="D31" s="146" t="s">
        <v>951</v>
      </c>
      <c r="E31" s="145">
        <v>16</v>
      </c>
      <c r="F31" s="146" t="s">
        <v>951</v>
      </c>
      <c r="G31" s="132">
        <f>60/16</f>
        <v>3.75</v>
      </c>
      <c r="H31" s="20" t="s">
        <v>951</v>
      </c>
      <c r="S31" s="151" t="s">
        <v>1330</v>
      </c>
      <c r="T31" s="151">
        <f t="shared" ref="T31:T39" si="0">AVERAGE(U31:X31)</f>
        <v>9.25</v>
      </c>
      <c r="U31" s="151">
        <f t="shared" ref="U31:U39" si="1">C15</f>
        <v>4</v>
      </c>
      <c r="V31" s="151">
        <f t="shared" ref="V31:V39" si="2">D15</f>
        <v>2</v>
      </c>
      <c r="W31" s="151">
        <f t="shared" ref="W31:W39" si="3">E15</f>
        <v>12</v>
      </c>
      <c r="X31" s="151">
        <f t="shared" ref="X31:X39" si="4">F15</f>
        <v>19</v>
      </c>
      <c r="Y31" s="151">
        <f t="shared" ref="Y31:Y39" si="5">G15</f>
        <v>9</v>
      </c>
      <c r="AG31" s="1"/>
      <c r="BE31" s="1"/>
      <c r="BF31" s="1"/>
      <c r="BG31" s="1"/>
    </row>
    <row r="32" spans="2:59" ht="17.25" customHeight="1" x14ac:dyDescent="0.25">
      <c r="B32" s="1">
        <v>2020</v>
      </c>
      <c r="C32" s="145">
        <v>31</v>
      </c>
      <c r="D32" s="146">
        <v>0.98</v>
      </c>
      <c r="E32" s="145" cm="1">
        <f t="array" ref="E32:E36">TRANSPOSE(K47:O47)</f>
        <v>30</v>
      </c>
      <c r="F32" s="146">
        <f>(E32-E31)/E31</f>
        <v>0.875</v>
      </c>
      <c r="G32" s="132" cm="1">
        <f t="array" ref="G32:G36">TRANSPOSE(F48:J48)</f>
        <v>4.645161290322581</v>
      </c>
      <c r="H32" s="20">
        <f>(G32-G31)/G31</f>
        <v>0.23870967741935492</v>
      </c>
      <c r="S32" s="221" t="s">
        <v>1331</v>
      </c>
      <c r="T32" s="151">
        <f t="shared" si="0"/>
        <v>16.5</v>
      </c>
      <c r="U32" s="221">
        <f t="shared" si="1"/>
        <v>4</v>
      </c>
      <c r="V32" s="221">
        <f t="shared" si="2"/>
        <v>10</v>
      </c>
      <c r="W32" s="221">
        <f t="shared" si="3"/>
        <v>26</v>
      </c>
      <c r="X32" s="221">
        <f t="shared" si="4"/>
        <v>26</v>
      </c>
      <c r="Y32" s="221">
        <f t="shared" si="5"/>
        <v>11</v>
      </c>
      <c r="AG32" s="1"/>
      <c r="BE32" s="1"/>
      <c r="BF32" s="1"/>
      <c r="BG32" s="1"/>
    </row>
    <row r="33" spans="2:59" ht="15" customHeight="1" x14ac:dyDescent="0.25">
      <c r="B33" s="1">
        <v>2021</v>
      </c>
      <c r="C33" s="145">
        <v>54</v>
      </c>
      <c r="D33" s="146">
        <f>(C33-C32)/C32</f>
        <v>0.74193548387096775</v>
      </c>
      <c r="E33" s="145">
        <v>43</v>
      </c>
      <c r="F33" s="146">
        <f t="shared" ref="F33:F35" si="6">(E33-E32)/E32</f>
        <v>0.43333333333333335</v>
      </c>
      <c r="G33" s="132">
        <v>7.5370370370370372</v>
      </c>
      <c r="H33" s="20">
        <f>(G33-G32)/G32</f>
        <v>0.6225565843621399</v>
      </c>
      <c r="S33" s="221" t="s">
        <v>1332</v>
      </c>
      <c r="T33" s="151">
        <f t="shared" si="0"/>
        <v>10</v>
      </c>
      <c r="U33" s="221">
        <f t="shared" si="1"/>
        <v>1</v>
      </c>
      <c r="V33" s="221">
        <f t="shared" si="2"/>
        <v>11</v>
      </c>
      <c r="W33" s="221">
        <f t="shared" si="3"/>
        <v>10</v>
      </c>
      <c r="X33" s="221">
        <f t="shared" si="4"/>
        <v>18</v>
      </c>
      <c r="Y33" s="221">
        <f t="shared" si="5"/>
        <v>7</v>
      </c>
      <c r="AG33" s="1"/>
      <c r="BE33" s="1"/>
      <c r="BF33" s="1"/>
      <c r="BG33" s="1"/>
    </row>
    <row r="34" spans="2:59" ht="18.75" customHeight="1" x14ac:dyDescent="0.25">
      <c r="B34" s="1">
        <v>2022</v>
      </c>
      <c r="C34" s="145">
        <v>61</v>
      </c>
      <c r="D34" s="146">
        <f t="shared" ref="D34:D36" si="7">(C34-C33)/C33</f>
        <v>0.12962962962962962</v>
      </c>
      <c r="E34" s="145">
        <v>33</v>
      </c>
      <c r="F34" s="146">
        <f t="shared" si="6"/>
        <v>-0.23255813953488372</v>
      </c>
      <c r="G34" s="132">
        <v>7.5245901639344259</v>
      </c>
      <c r="H34" s="282">
        <f>(G34-G33)/G33</f>
        <v>-1.65142788093614E-3</v>
      </c>
      <c r="S34" s="221" t="s">
        <v>1333</v>
      </c>
      <c r="T34" s="151">
        <f t="shared" si="0"/>
        <v>4</v>
      </c>
      <c r="U34" s="221">
        <f t="shared" si="1"/>
        <v>1</v>
      </c>
      <c r="V34" s="221">
        <f t="shared" si="2"/>
        <v>3</v>
      </c>
      <c r="W34" s="221">
        <f t="shared" si="3"/>
        <v>7</v>
      </c>
      <c r="X34" s="221">
        <f t="shared" si="4"/>
        <v>5</v>
      </c>
      <c r="Y34" s="221">
        <f t="shared" si="5"/>
        <v>2</v>
      </c>
      <c r="AG34" s="1"/>
      <c r="BE34" s="1"/>
      <c r="BF34" s="1"/>
      <c r="BG34" s="1"/>
    </row>
    <row r="35" spans="2:59" x14ac:dyDescent="0.25">
      <c r="B35" s="1">
        <v>2023</v>
      </c>
      <c r="C35" s="145">
        <v>81</v>
      </c>
      <c r="D35" s="146">
        <f t="shared" si="7"/>
        <v>0.32786885245901637</v>
      </c>
      <c r="E35" s="145">
        <v>39</v>
      </c>
      <c r="F35" s="146">
        <f t="shared" si="6"/>
        <v>0.18181818181818182</v>
      </c>
      <c r="G35" s="132">
        <v>9.9629629629629637</v>
      </c>
      <c r="H35" s="282">
        <f>(G35-G34)/G34</f>
        <v>0.32405390139594947</v>
      </c>
      <c r="S35" s="221" t="s">
        <v>1334</v>
      </c>
      <c r="T35" s="151">
        <f t="shared" si="0"/>
        <v>1.5</v>
      </c>
      <c r="U35" s="221">
        <f t="shared" si="1"/>
        <v>0</v>
      </c>
      <c r="V35" s="221">
        <f t="shared" si="2"/>
        <v>3</v>
      </c>
      <c r="W35" s="221">
        <f t="shared" si="3"/>
        <v>2</v>
      </c>
      <c r="X35" s="221">
        <f t="shared" si="4"/>
        <v>1</v>
      </c>
      <c r="Y35" s="221">
        <f t="shared" si="5"/>
        <v>1</v>
      </c>
      <c r="AG35" s="220"/>
      <c r="BE35" s="1"/>
      <c r="BF35" s="1"/>
      <c r="BG35" s="1"/>
    </row>
    <row r="36" spans="2:59" ht="18.75" customHeight="1" thickBot="1" x14ac:dyDescent="0.3">
      <c r="B36" s="137">
        <v>2024</v>
      </c>
      <c r="C36" s="147">
        <v>37</v>
      </c>
      <c r="D36" s="148">
        <f t="shared" si="7"/>
        <v>-0.54320987654320985</v>
      </c>
      <c r="E36" s="147">
        <v>13</v>
      </c>
      <c r="F36" s="148">
        <f>(E36-E31)/E31</f>
        <v>-0.1875</v>
      </c>
      <c r="G36" s="150">
        <v>11.945945945945946</v>
      </c>
      <c r="H36" s="143">
        <f>(G36-G31)/G31</f>
        <v>2.1855855855855855</v>
      </c>
      <c r="S36" s="221" t="s">
        <v>1335</v>
      </c>
      <c r="T36" s="151">
        <f t="shared" si="0"/>
        <v>1</v>
      </c>
      <c r="U36" s="221">
        <f t="shared" si="1"/>
        <v>0</v>
      </c>
      <c r="V36" s="221">
        <f t="shared" si="2"/>
        <v>2</v>
      </c>
      <c r="W36" s="221">
        <f t="shared" si="3"/>
        <v>0</v>
      </c>
      <c r="X36" s="221">
        <f t="shared" si="4"/>
        <v>2</v>
      </c>
      <c r="Y36" s="221">
        <f t="shared" si="5"/>
        <v>1</v>
      </c>
      <c r="AG36" s="1"/>
      <c r="BE36" s="1"/>
      <c r="BF36" s="1"/>
      <c r="BG36" s="1"/>
    </row>
    <row r="37" spans="2:59" ht="15.75" thickTop="1" x14ac:dyDescent="0.25">
      <c r="B37" s="316">
        <v>2025</v>
      </c>
      <c r="C37" s="526"/>
      <c r="D37" s="527"/>
      <c r="E37" s="526"/>
      <c r="F37" s="527"/>
      <c r="G37" s="528"/>
      <c r="H37" s="529"/>
      <c r="S37" s="221" t="s">
        <v>1336</v>
      </c>
      <c r="T37" s="151">
        <f t="shared" si="0"/>
        <v>1.25</v>
      </c>
      <c r="U37" s="221">
        <f t="shared" si="1"/>
        <v>0</v>
      </c>
      <c r="V37" s="221">
        <f t="shared" si="2"/>
        <v>2</v>
      </c>
      <c r="W37" s="221">
        <f t="shared" si="3"/>
        <v>1</v>
      </c>
      <c r="X37" s="221">
        <f t="shared" si="4"/>
        <v>2</v>
      </c>
      <c r="Y37" s="221">
        <f t="shared" si="5"/>
        <v>1</v>
      </c>
      <c r="AG37" s="1"/>
      <c r="BE37" s="1"/>
      <c r="BF37" s="1"/>
      <c r="BG37" s="1"/>
    </row>
    <row r="38" spans="2:59" x14ac:dyDescent="0.25">
      <c r="B38" s="316">
        <v>2026</v>
      </c>
      <c r="C38" s="526"/>
      <c r="D38" s="527"/>
      <c r="E38" s="526"/>
      <c r="F38" s="527"/>
      <c r="G38" s="528"/>
      <c r="H38" s="529"/>
      <c r="S38" s="221" t="s">
        <v>1337</v>
      </c>
      <c r="T38" s="151">
        <f t="shared" si="0"/>
        <v>0.5</v>
      </c>
      <c r="U38" s="221">
        <f t="shared" si="1"/>
        <v>1</v>
      </c>
      <c r="V38" s="221">
        <f t="shared" si="2"/>
        <v>0</v>
      </c>
      <c r="W38" s="221">
        <f t="shared" si="3"/>
        <v>1</v>
      </c>
      <c r="X38" s="221">
        <f t="shared" si="4"/>
        <v>0</v>
      </c>
      <c r="Y38" s="221">
        <f t="shared" si="5"/>
        <v>0</v>
      </c>
      <c r="AG38" s="1"/>
      <c r="BE38" s="1"/>
      <c r="BF38" s="1"/>
      <c r="BG38" s="1"/>
    </row>
    <row r="39" spans="2:59" ht="15.4" customHeight="1" thickBot="1" x14ac:dyDescent="0.3">
      <c r="B39" s="316">
        <v>2027</v>
      </c>
      <c r="C39" s="526"/>
      <c r="D39" s="527"/>
      <c r="E39" s="526"/>
      <c r="F39" s="527"/>
      <c r="G39" s="528"/>
      <c r="H39" s="529"/>
      <c r="S39" s="222" t="s">
        <v>1338</v>
      </c>
      <c r="T39" s="223">
        <f t="shared" si="0"/>
        <v>2.5</v>
      </c>
      <c r="U39" s="223">
        <f t="shared" si="1"/>
        <v>0</v>
      </c>
      <c r="V39" s="223">
        <f t="shared" si="2"/>
        <v>0</v>
      </c>
      <c r="W39" s="223">
        <f t="shared" si="3"/>
        <v>2</v>
      </c>
      <c r="X39" s="223">
        <f t="shared" si="4"/>
        <v>8</v>
      </c>
      <c r="Y39" s="223">
        <f t="shared" si="5"/>
        <v>5</v>
      </c>
      <c r="AG39" s="1"/>
      <c r="BE39" s="1"/>
      <c r="BF39" s="1"/>
      <c r="BG39" s="1"/>
    </row>
    <row r="40" spans="2:59" ht="18.399999999999999" customHeight="1" thickTop="1" thickBot="1" x14ac:dyDescent="0.3">
      <c r="B40" s="530">
        <v>2028</v>
      </c>
      <c r="C40" s="531"/>
      <c r="D40" s="532">
        <f>(C40-C35)/C35</f>
        <v>-1</v>
      </c>
      <c r="E40" s="531"/>
      <c r="F40" s="532">
        <f>(E40-E35)/E35</f>
        <v>-1</v>
      </c>
      <c r="G40" s="533"/>
      <c r="H40" s="534">
        <f>(G40-G35)/G35</f>
        <v>-1</v>
      </c>
      <c r="T40" s="17">
        <f>SUM(T31:T39)</f>
        <v>46.5</v>
      </c>
      <c r="U40" s="17">
        <f t="shared" ref="U40:Y40" si="8">SUM(U31:U39)</f>
        <v>11</v>
      </c>
      <c r="V40" s="17">
        <f t="shared" si="8"/>
        <v>33</v>
      </c>
      <c r="W40" s="17">
        <f t="shared" si="8"/>
        <v>61</v>
      </c>
      <c r="X40" s="17">
        <f t="shared" si="8"/>
        <v>81</v>
      </c>
      <c r="Y40" s="17">
        <f t="shared" si="8"/>
        <v>37</v>
      </c>
    </row>
    <row r="41" spans="2:59" ht="15.75" thickTop="1" x14ac:dyDescent="0.25">
      <c r="B41" s="216" t="s">
        <v>2330</v>
      </c>
      <c r="C41" s="1"/>
      <c r="D41" s="1"/>
      <c r="AG41" s="1"/>
    </row>
    <row r="42" spans="2:59" ht="16.149999999999999" customHeight="1" x14ac:dyDescent="0.25">
      <c r="Z42"/>
      <c r="AB42" s="1"/>
    </row>
    <row r="43" spans="2:59" ht="16.149999999999999" customHeight="1" x14ac:dyDescent="0.25">
      <c r="H43" s="1"/>
      <c r="I43" s="1"/>
      <c r="Z43"/>
      <c r="AB43" s="1"/>
    </row>
    <row r="44" spans="2:59" ht="18" customHeight="1" x14ac:dyDescent="0.25">
      <c r="Z44"/>
      <c r="AB44" s="1"/>
    </row>
    <row r="45" spans="2:59" x14ac:dyDescent="0.25">
      <c r="Z45"/>
      <c r="AA45"/>
    </row>
    <row r="46" spans="2:59" ht="21" x14ac:dyDescent="0.25">
      <c r="B46" s="152" t="s">
        <v>2329</v>
      </c>
      <c r="C46" s="152"/>
      <c r="D46" s="152"/>
      <c r="E46" s="254"/>
      <c r="F46" s="254"/>
      <c r="G46" s="254"/>
      <c r="H46" s="254"/>
      <c r="I46" s="254"/>
      <c r="J46" s="254"/>
      <c r="K46" s="252" t="s">
        <v>2326</v>
      </c>
      <c r="L46" s="253"/>
      <c r="M46" s="253"/>
      <c r="N46" s="253"/>
      <c r="O46" s="253"/>
      <c r="P46" s="253"/>
      <c r="Q46" s="253"/>
      <c r="S46" s="152" t="s">
        <v>4783</v>
      </c>
      <c r="T46" s="152"/>
      <c r="U46" s="152"/>
      <c r="V46" s="152"/>
      <c r="W46" s="152"/>
      <c r="X46" s="152"/>
      <c r="Y46" s="152"/>
      <c r="Z46" s="152"/>
      <c r="AA46" s="152"/>
      <c r="AB46" s="152"/>
      <c r="AC46" s="152"/>
      <c r="AD46" s="152"/>
      <c r="AE46" s="152"/>
    </row>
    <row r="47" spans="2:59" ht="15.75" thickBot="1" x14ac:dyDescent="0.3">
      <c r="B47" s="212" t="s">
        <v>1228</v>
      </c>
      <c r="C47" s="212"/>
      <c r="D47" s="213">
        <f>COUNTIF(C50:C506,"&gt;"&amp;0)</f>
        <v>0</v>
      </c>
      <c r="E47" s="213">
        <v>16</v>
      </c>
      <c r="F47" s="213">
        <f>COUNTIF(F50:F506,"&gt;"&amp;0)</f>
        <v>31</v>
      </c>
      <c r="G47" s="213">
        <f t="shared" ref="G47:I47" si="9">COUNTIF(G50:G506,"&gt;"&amp;0)</f>
        <v>54</v>
      </c>
      <c r="H47" s="213">
        <f t="shared" si="9"/>
        <v>61</v>
      </c>
      <c r="I47" s="213">
        <f t="shared" si="9"/>
        <v>81</v>
      </c>
      <c r="J47" s="213">
        <f t="shared" ref="J47" si="10">COUNTIF(J50:J506,"&gt;"&amp;0)</f>
        <v>37</v>
      </c>
      <c r="K47" s="1">
        <f>SUM(K50:K506)</f>
        <v>30</v>
      </c>
      <c r="L47" s="1">
        <f t="shared" ref="L47:O47" si="11">SUM(L50:L506)</f>
        <v>43</v>
      </c>
      <c r="M47" s="1">
        <f t="shared" si="11"/>
        <v>33</v>
      </c>
      <c r="N47" s="1">
        <f t="shared" si="11"/>
        <v>39</v>
      </c>
      <c r="O47" s="1">
        <f t="shared" si="11"/>
        <v>13</v>
      </c>
      <c r="P47" s="1"/>
      <c r="Q47" s="1"/>
      <c r="W47" s="1"/>
      <c r="X47" s="1"/>
      <c r="Y47" s="1"/>
      <c r="Z47"/>
      <c r="AA47"/>
    </row>
    <row r="48" spans="2:59" ht="39.75" thickTop="1" x14ac:dyDescent="0.25">
      <c r="B48" s="212" t="s">
        <v>2328</v>
      </c>
      <c r="C48" s="212"/>
      <c r="D48" s="214">
        <f>IFERROR(SUM(C50:C506)/D47,0)</f>
        <v>0</v>
      </c>
      <c r="E48" s="214">
        <f>60/E47</f>
        <v>3.75</v>
      </c>
      <c r="F48" s="214">
        <f>IFERROR(SUM(F50:F506)/F47,0)</f>
        <v>4.645161290322581</v>
      </c>
      <c r="G48" s="214">
        <f t="shared" ref="G48:I48" si="12">IFERROR(SUM(G50:G506)/G47,0)</f>
        <v>7.5370370370370372</v>
      </c>
      <c r="H48" s="214">
        <f t="shared" si="12"/>
        <v>7.5245901639344259</v>
      </c>
      <c r="I48" s="214">
        <f t="shared" si="12"/>
        <v>9.9629629629629637</v>
      </c>
      <c r="J48" s="214">
        <f t="shared" ref="J48" si="13">IFERROR(SUM(J50:J506)/J47,0)</f>
        <v>11.945945945945946</v>
      </c>
      <c r="S48" s="231" t="s">
        <v>156</v>
      </c>
      <c r="T48" s="231" t="s">
        <v>2337</v>
      </c>
      <c r="U48" s="231" t="s">
        <v>2336</v>
      </c>
      <c r="V48" s="231" t="s">
        <v>2333</v>
      </c>
      <c r="W48" s="231" t="s">
        <v>2334</v>
      </c>
      <c r="X48" s="231" t="s">
        <v>2349</v>
      </c>
      <c r="Y48" s="231" t="s">
        <v>4790</v>
      </c>
      <c r="Z48" s="231" t="s">
        <v>2335</v>
      </c>
      <c r="AA48" s="231" t="s">
        <v>962</v>
      </c>
    </row>
    <row r="49" spans="2:65" x14ac:dyDescent="0.25">
      <c r="B49" s="141" t="s">
        <v>3695</v>
      </c>
      <c r="C49" s="141" t="s">
        <v>4157</v>
      </c>
      <c r="D49" s="141" t="s">
        <v>2325</v>
      </c>
      <c r="E49" s="141">
        <v>2019</v>
      </c>
      <c r="F49" s="141">
        <v>2020</v>
      </c>
      <c r="G49" s="141">
        <v>2021</v>
      </c>
      <c r="H49" s="141">
        <v>2022</v>
      </c>
      <c r="I49" s="141">
        <v>2023</v>
      </c>
      <c r="J49" s="141">
        <v>2024</v>
      </c>
      <c r="K49" s="208">
        <v>2020</v>
      </c>
      <c r="L49" s="208">
        <v>2021</v>
      </c>
      <c r="M49" s="208">
        <v>2022</v>
      </c>
      <c r="N49" s="208">
        <v>2023</v>
      </c>
      <c r="O49" s="208">
        <v>2024</v>
      </c>
      <c r="P49" s="208"/>
      <c r="Q49" s="208"/>
      <c r="S49" s="228" t="s">
        <v>2350</v>
      </c>
      <c r="T49" s="228"/>
      <c r="U49" s="228"/>
      <c r="V49" s="228"/>
      <c r="W49" s="228"/>
      <c r="X49" s="228"/>
      <c r="Y49" s="228"/>
      <c r="Z49" s="228"/>
      <c r="AA49" s="228"/>
    </row>
    <row r="50" spans="2:65" x14ac:dyDescent="0.25">
      <c r="B50" s="303" t="str" cm="1">
        <f t="array" ref="B50:B223">_xlfn.UNIQUE(TU_DB[ObserverID])</f>
        <v>3ewh0JhsqndewkOhEmNvJ9cb0n83</v>
      </c>
      <c r="C50" s="303" t="s">
        <v>578</v>
      </c>
      <c r="D50" s="305">
        <f>SUM(E50:J50)</f>
        <v>25</v>
      </c>
      <c r="E50" s="305">
        <f>COUNTIFS(TUDB!$H$8:$H$2326,Use!$B50,TUDB!$F$8:$F$2326,Use!E$49)</f>
        <v>0</v>
      </c>
      <c r="F50" s="305">
        <f>COUNTIFS(TUDB!$H$8:$H$2326,Use!$B50,TUDB!$F$8:$F$2326,Use!F$49)</f>
        <v>1</v>
      </c>
      <c r="G50" s="305">
        <f>COUNTIFS(TUDB!$H$8:$H$2326,Use!$B50,TUDB!$F$8:$F$2326,Use!G$49)</f>
        <v>8</v>
      </c>
      <c r="H50" s="305">
        <f>COUNTIFS(TUDB!$H$8:$H$2326,Use!$B50,TUDB!$F$8:$F$2326,Use!H$49)</f>
        <v>7</v>
      </c>
      <c r="I50" s="305">
        <f>COUNTIFS(TUDB!$H$8:$H$2326,Use!$B50,TUDB!$F$8:$F$2326,Use!I$49)</f>
        <v>4</v>
      </c>
      <c r="J50" s="305">
        <f>COUNTIFS(TUDB!$H$8:$H$2326,Use!$B50,TUDB!$F$8:$F$2326,Use!J$49)</f>
        <v>5</v>
      </c>
      <c r="K50" s="304">
        <f t="shared" ref="K50:K81" si="14">IF(AND(F50&gt;0,SUM($E50)=0),1,0)</f>
        <v>1</v>
      </c>
      <c r="L50" s="304">
        <f>IF(AND(G50&gt;0,SUM($E50:F50)=0),1,0)</f>
        <v>0</v>
      </c>
      <c r="M50" s="304">
        <f>IF(AND(H50&gt;0,SUM($E50:G50)=0),1,0)</f>
        <v>0</v>
      </c>
      <c r="N50" s="304">
        <f>IF(AND(I50&gt;0,SUM($E50:H50)=0),1,0)</f>
        <v>0</v>
      </c>
      <c r="O50" s="304">
        <f>IF(AND(J50&gt;0,SUM($E50:I50)=0),1,0)</f>
        <v>0</v>
      </c>
      <c r="P50" s="311"/>
      <c r="Q50" s="311"/>
      <c r="S50" s="232" t="s">
        <v>2331</v>
      </c>
      <c r="T50" s="233">
        <v>60</v>
      </c>
      <c r="U50" s="234">
        <v>60</v>
      </c>
      <c r="V50" s="234">
        <v>46</v>
      </c>
      <c r="W50" s="234">
        <v>0</v>
      </c>
      <c r="X50" s="234">
        <v>41</v>
      </c>
      <c r="Y50" s="234">
        <v>41</v>
      </c>
      <c r="Z50" s="234">
        <v>55</v>
      </c>
      <c r="AA50" s="234">
        <v>46</v>
      </c>
    </row>
    <row r="51" spans="2:65" x14ac:dyDescent="0.25">
      <c r="B51" s="306" t="str">
        <v>7a7IFD1YT3aDXB8CbnSJjn1oLRC2</v>
      </c>
      <c r="C51" s="306" t="s">
        <v>544</v>
      </c>
      <c r="D51" s="308">
        <f t="shared" ref="D51:D114" si="15">SUM(E51:J51)</f>
        <v>29</v>
      </c>
      <c r="E51" s="308">
        <f>COUNTIFS(TUDB!$H$8:$H$2326,Use!$B51,TUDB!$F$8:$F$2326,Use!E$49)</f>
        <v>0</v>
      </c>
      <c r="F51" s="308">
        <f>COUNTIFS(TUDB!$H$8:$H$2326,Use!$B51,TUDB!$F$8:$F$2326,Use!F$49)</f>
        <v>0</v>
      </c>
      <c r="G51" s="308">
        <f>COUNTIFS(TUDB!$H$8:$H$2326,Use!$B51,TUDB!$F$8:$F$2326,Use!G$49)</f>
        <v>8</v>
      </c>
      <c r="H51" s="308">
        <f>COUNTIFS(TUDB!$H$8:$H$2326,Use!$B51,TUDB!$F$8:$F$2326,Use!H$49)</f>
        <v>7</v>
      </c>
      <c r="I51" s="308">
        <f>COUNTIFS(TUDB!$H$8:$H$2326,Use!$B51,TUDB!$F$8:$F$2326,Use!I$49)</f>
        <v>7</v>
      </c>
      <c r="J51" s="308">
        <f>COUNTIFS(TUDB!$H$8:$H$2326,Use!$B51,TUDB!$F$8:$F$2326,Use!J$49)</f>
        <v>7</v>
      </c>
      <c r="K51" s="307">
        <f t="shared" si="14"/>
        <v>0</v>
      </c>
      <c r="L51" s="307">
        <f>IF(AND(G51&gt;0,SUM($E51:F51)=0),1,0)</f>
        <v>1</v>
      </c>
      <c r="M51" s="307">
        <f>IF(AND(H51&gt;0,SUM($E51:G51)=0),1,0)</f>
        <v>0</v>
      </c>
      <c r="N51" s="307">
        <f>IF(AND(I51&gt;0,SUM($E51:H51)=0),1,0)</f>
        <v>0</v>
      </c>
      <c r="O51" s="307">
        <f>IF(AND(J51&gt;0,SUM($E51:I51)=0),1,0)</f>
        <v>0</v>
      </c>
      <c r="P51" s="312"/>
      <c r="Q51" s="312"/>
      <c r="S51" s="235">
        <v>2020</v>
      </c>
      <c r="T51" s="233">
        <f>COUNTIF(TU_DB[Year],$S51)</f>
        <v>144</v>
      </c>
      <c r="U51" s="234">
        <f>COUNTIFS(TU_DB[Year],$S51,TU_DB[Source],"&lt;&gt;"&amp;"")</f>
        <v>118</v>
      </c>
      <c r="V51" s="234">
        <f>COUNTIFS(TU_DB[Year],$S51,TU_DB[[5n1  Flag ]],1)</f>
        <v>108</v>
      </c>
      <c r="W51" s="234">
        <f>COUNTIFS(TU_DB[Year],$S51,TU_DB[[2n1  Flag ]],1)</f>
        <v>89</v>
      </c>
      <c r="X51" s="234">
        <f>COUNTIFS(TU_DB[Year],$S51,TU_DB[Phos Flag],1)</f>
        <v>84</v>
      </c>
      <c r="Y51" s="234">
        <f>COUNTIFS(TU_DB[Year],$S51,TU_DB[Water Temp Flag],1)</f>
        <v>95</v>
      </c>
      <c r="Z51" s="234">
        <f>COUNTIFS(TU_DB[Year],$S51,TU_DB[Dis: Not Reported],0)</f>
        <v>103</v>
      </c>
      <c r="AA51" s="234">
        <f>COUNTIFS(TU_DB[Year],$S51,TU_DB[Water Level Flag],1)</f>
        <v>118</v>
      </c>
      <c r="AB51" s="1"/>
      <c r="BF51" s="1"/>
      <c r="BG51" s="1"/>
      <c r="BH51" s="1"/>
    </row>
    <row r="52" spans="2:65" x14ac:dyDescent="0.25">
      <c r="B52" s="303" t="str">
        <v>VCf2q8JFBSOaJbmxiMqirI5xKFn2</v>
      </c>
      <c r="C52" s="303" t="s">
        <v>578</v>
      </c>
      <c r="D52" s="305">
        <f t="shared" si="15"/>
        <v>27</v>
      </c>
      <c r="E52" s="305">
        <f>COUNTIFS(TUDB!$H$8:$H$2326,Use!$B52,TUDB!$F$8:$F$2326,Use!E$49)</f>
        <v>0</v>
      </c>
      <c r="F52" s="305">
        <f>COUNTIFS(TUDB!$H$8:$H$2326,Use!$B52,TUDB!$F$8:$F$2326,Use!F$49)</f>
        <v>0</v>
      </c>
      <c r="G52" s="305">
        <f>COUNTIFS(TUDB!$H$8:$H$2326,Use!$B52,TUDB!$F$8:$F$2326,Use!G$49)</f>
        <v>6</v>
      </c>
      <c r="H52" s="305">
        <f>COUNTIFS(TUDB!$H$8:$H$2326,Use!$B52,TUDB!$F$8:$F$2326,Use!H$49)</f>
        <v>5</v>
      </c>
      <c r="I52" s="305">
        <f>COUNTIFS(TUDB!$H$8:$H$2326,Use!$B52,TUDB!$F$8:$F$2326,Use!I$49)</f>
        <v>7</v>
      </c>
      <c r="J52" s="305">
        <f>COUNTIFS(TUDB!$H$8:$H$2326,Use!$B52,TUDB!$F$8:$F$2326,Use!J$49)</f>
        <v>9</v>
      </c>
      <c r="K52" s="304">
        <f t="shared" si="14"/>
        <v>0</v>
      </c>
      <c r="L52" s="304">
        <f>IF(AND(G52&gt;0,SUM($E52:F52)=0),1,0)</f>
        <v>1</v>
      </c>
      <c r="M52" s="304">
        <f>IF(AND(H52&gt;0,SUM($E52:G52)=0),1,0)</f>
        <v>0</v>
      </c>
      <c r="N52" s="304">
        <f>IF(AND(I52&gt;0,SUM($E52:H52)=0),1,0)</f>
        <v>0</v>
      </c>
      <c r="O52" s="304">
        <f>IF(AND(J52&gt;0,SUM($E52:I52)=0),1,0)</f>
        <v>0</v>
      </c>
      <c r="P52" s="311"/>
      <c r="Q52" s="311"/>
      <c r="S52" s="232">
        <v>2021</v>
      </c>
      <c r="T52" s="233">
        <f>COUNTIF(TU_DB[Year],$S52)</f>
        <v>407</v>
      </c>
      <c r="U52" s="234">
        <f>COUNTIFS(TU_DB[Year],$S52,TU_DB[Source],"&lt;&gt;"&amp;"")</f>
        <v>382</v>
      </c>
      <c r="V52" s="234">
        <f>COUNTIFS(TU_DB[Year],$S52,TU_DB[[5n1  Flag ]],1)</f>
        <v>361</v>
      </c>
      <c r="W52" s="234">
        <f>COUNTIFS(TU_DB[Year],$S52,TU_DB[[2n1  Flag ]],1)</f>
        <v>308</v>
      </c>
      <c r="X52" s="234">
        <f>COUNTIFS(TU_DB[Year],$S52,TU_DB[Phos Flag],1)</f>
        <v>324</v>
      </c>
      <c r="Y52" s="234">
        <f>COUNTIFS(TU_DB[Year],$S52,TU_DB[Water Temp Flag],1)</f>
        <v>304</v>
      </c>
      <c r="Z52" s="234">
        <f>COUNTIFS(TU_DB[Year],$S52,TU_DB[Dis: Not Reported],0)</f>
        <v>281</v>
      </c>
      <c r="AA52" s="234">
        <f>COUNTIFS(TU_DB[Year],$S52,TU_DB[Water Level Flag],1)</f>
        <v>337</v>
      </c>
      <c r="AB52" s="1"/>
      <c r="BF52" s="1"/>
      <c r="BG52" s="1"/>
      <c r="BH52" s="1"/>
    </row>
    <row r="53" spans="2:65" x14ac:dyDescent="0.25">
      <c r="B53" s="306" t="str">
        <v>VQ9bNtzttGcXOEuaXrEAEYLfT103</v>
      </c>
      <c r="C53" s="306" t="s">
        <v>1339</v>
      </c>
      <c r="D53" s="308">
        <f t="shared" si="15"/>
        <v>108</v>
      </c>
      <c r="E53" s="308">
        <f>COUNTIFS(TUDB!$H$8:$H$2326,Use!$B53,TUDB!$F$8:$F$2326,Use!E$49)</f>
        <v>0</v>
      </c>
      <c r="F53" s="308">
        <f>COUNTIFS(TUDB!$H$8:$H$2326,Use!$B53,TUDB!$F$8:$F$2326,Use!F$49)</f>
        <v>0</v>
      </c>
      <c r="G53" s="308">
        <f>COUNTIFS(TUDB!$H$8:$H$2326,Use!$B53,TUDB!$F$8:$F$2326,Use!G$49)</f>
        <v>0</v>
      </c>
      <c r="H53" s="308">
        <f>COUNTIFS(TUDB!$H$8:$H$2326,Use!$B53,TUDB!$F$8:$F$2326,Use!H$49)</f>
        <v>14</v>
      </c>
      <c r="I53" s="308">
        <f>COUNTIFS(TUDB!$H$8:$H$2326,Use!$B53,TUDB!$F$8:$F$2326,Use!I$49)</f>
        <v>47</v>
      </c>
      <c r="J53" s="308">
        <f>COUNTIFS(TUDB!$H$8:$H$2326,Use!$B53,TUDB!$F$8:$F$2326,Use!J$49)</f>
        <v>47</v>
      </c>
      <c r="K53" s="307">
        <f t="shared" si="14"/>
        <v>0</v>
      </c>
      <c r="L53" s="307">
        <f>IF(AND(G53&gt;0,SUM($E53:F53)=0),1,0)</f>
        <v>0</v>
      </c>
      <c r="M53" s="307">
        <f>IF(AND(H53&gt;0,SUM($E53:G53)=0),1,0)</f>
        <v>1</v>
      </c>
      <c r="N53" s="307">
        <f>IF(AND(I53&gt;0,SUM($E53:H53)=0),1,0)</f>
        <v>0</v>
      </c>
      <c r="O53" s="307">
        <f>IF(AND(J53&gt;0,SUM($E53:I53)=0),1,0)</f>
        <v>0</v>
      </c>
      <c r="P53" s="312"/>
      <c r="Q53" s="312"/>
      <c r="S53" s="232">
        <v>2022</v>
      </c>
      <c r="T53" s="234">
        <f>COUNTIF(TU_DB[Year],$S53)</f>
        <v>459</v>
      </c>
      <c r="U53" s="234">
        <f>COUNTIFS(TU_DB[Year],$S53,TU_DB[Source],"&lt;&gt;"&amp;"")</f>
        <v>436</v>
      </c>
      <c r="V53" s="234">
        <f>COUNTIFS(TU_DB[Year],$S53,TU_DB[[5n1  Flag ]],1)</f>
        <v>419</v>
      </c>
      <c r="W53" s="234">
        <f>COUNTIFS(TU_DB[Year],$S53,TU_DB[[2n1  Flag ]],1)</f>
        <v>381</v>
      </c>
      <c r="X53" s="234">
        <f>COUNTIFS(TU_DB[Year],$S53,TU_DB[Phos Flag],1)</f>
        <v>374</v>
      </c>
      <c r="Y53" s="234">
        <f>COUNTIFS(TU_DB[Year],$S53,TU_DB[Water Temp Flag],1)</f>
        <v>366</v>
      </c>
      <c r="Z53" s="234">
        <f>COUNTIFS(TU_DB[Year],$S53,TU_DB[Dis: Not Reported],0)</f>
        <v>356</v>
      </c>
      <c r="AA53" s="234">
        <f>COUNTIFS(TU_DB[Year],$S53,TU_DB[Water Level Flag],1)</f>
        <v>389</v>
      </c>
      <c r="AB53" s="1"/>
      <c r="BF53" s="1"/>
      <c r="BG53" s="1"/>
      <c r="BH53" s="1"/>
    </row>
    <row r="54" spans="2:65" x14ac:dyDescent="0.25">
      <c r="B54" s="303" t="str">
        <v>80reiKTTqGYqqpgYAhPwqypFwak1</v>
      </c>
      <c r="C54" s="303" t="s">
        <v>1339</v>
      </c>
      <c r="D54" s="305">
        <f t="shared" si="15"/>
        <v>160</v>
      </c>
      <c r="E54" s="305">
        <f>COUNTIFS(TUDB!$H$8:$H$2326,Use!$B54,TUDB!$F$8:$F$2326,Use!E$49)</f>
        <v>0</v>
      </c>
      <c r="F54" s="305">
        <f>COUNTIFS(TUDB!$H$8:$H$2326,Use!$B54,TUDB!$F$8:$F$2326,Use!F$49)</f>
        <v>2</v>
      </c>
      <c r="G54" s="305">
        <f>COUNTIFS(TUDB!$H$8:$H$2326,Use!$B54,TUDB!$F$8:$F$2326,Use!G$49)</f>
        <v>29</v>
      </c>
      <c r="H54" s="305">
        <f>COUNTIFS(TUDB!$H$8:$H$2326,Use!$B54,TUDB!$F$8:$F$2326,Use!H$49)</f>
        <v>32</v>
      </c>
      <c r="I54" s="305">
        <f>COUNTIFS(TUDB!$H$8:$H$2326,Use!$B54,TUDB!$F$8:$F$2326,Use!I$49)</f>
        <v>38</v>
      </c>
      <c r="J54" s="305">
        <f>COUNTIFS(TUDB!$H$8:$H$2326,Use!$B54,TUDB!$F$8:$F$2326,Use!J$49)</f>
        <v>59</v>
      </c>
      <c r="K54" s="304">
        <f t="shared" si="14"/>
        <v>1</v>
      </c>
      <c r="L54" s="304">
        <f>IF(AND(G54&gt;0,SUM($E54:F54)=0),1,0)</f>
        <v>0</v>
      </c>
      <c r="M54" s="304">
        <f>IF(AND(H54&gt;0,SUM($E54:G54)=0),1,0)</f>
        <v>0</v>
      </c>
      <c r="N54" s="304">
        <f>IF(AND(I54&gt;0,SUM($E54:H54)=0),1,0)</f>
        <v>0</v>
      </c>
      <c r="O54" s="304">
        <f>IF(AND(J54&gt;0,SUM($E54:I54)=0),1,0)</f>
        <v>0</v>
      </c>
      <c r="P54" s="311"/>
      <c r="Q54" s="311"/>
      <c r="S54" s="232">
        <v>2023</v>
      </c>
      <c r="T54" s="234">
        <f>COUNTIF(TU_DB[Year],$S54)</f>
        <v>807</v>
      </c>
      <c r="U54" s="234">
        <f>COUNTIFS(TU_DB[Year],$S54,TU_DB[Source],"&lt;&gt;"&amp;"")</f>
        <v>769</v>
      </c>
      <c r="V54" s="234">
        <f>COUNTIFS(TU_DB[Year],$S54,TU_DB[[5n1  Flag ]],1)</f>
        <v>714</v>
      </c>
      <c r="W54" s="234">
        <f>COUNTIFS(TU_DB[Year],$S54,TU_DB[[2n1  Flag ]],1)</f>
        <v>706</v>
      </c>
      <c r="X54" s="234">
        <f>COUNTIFS(TU_DB[Year],$S54,TU_DB[Phos Flag],1)</f>
        <v>669</v>
      </c>
      <c r="Y54" s="234">
        <f>COUNTIFS(TU_DB[Year],$S54,TU_DB[Water Temp Flag],1)</f>
        <v>719</v>
      </c>
      <c r="Z54" s="234">
        <f>COUNTIFS(TU_DB[Year],$S54,TU_DB[Dis: Not Reported],0)</f>
        <v>678</v>
      </c>
      <c r="AA54" s="234">
        <f>COUNTIFS(TU_DB[Year],$S54,TU_DB[Water Level Flag],1)</f>
        <v>728</v>
      </c>
      <c r="AB54" s="1"/>
      <c r="BF54" s="1"/>
      <c r="BG54" s="1"/>
      <c r="BH54" s="1"/>
    </row>
    <row r="55" spans="2:65" x14ac:dyDescent="0.25">
      <c r="B55" s="306" t="str">
        <v>H4dZvxTdViejefqREn5k066JVZG3</v>
      </c>
      <c r="C55" s="306" t="s">
        <v>1339</v>
      </c>
      <c r="D55" s="308">
        <f t="shared" si="15"/>
        <v>37</v>
      </c>
      <c r="E55" s="308">
        <f>COUNTIFS(TUDB!$H$8:$H$2326,Use!$B55,TUDB!$F$8:$F$2326,Use!E$49)</f>
        <v>0</v>
      </c>
      <c r="F55" s="308">
        <f>COUNTIFS(TUDB!$H$8:$H$2326,Use!$B55,TUDB!$F$8:$F$2326,Use!F$49)</f>
        <v>0</v>
      </c>
      <c r="G55" s="308">
        <f>COUNTIFS(TUDB!$H$8:$H$2326,Use!$B55,TUDB!$F$8:$F$2326,Use!G$49)</f>
        <v>9</v>
      </c>
      <c r="H55" s="308">
        <f>COUNTIFS(TUDB!$H$8:$H$2326,Use!$B55,TUDB!$F$8:$F$2326,Use!H$49)</f>
        <v>6</v>
      </c>
      <c r="I55" s="308">
        <f>COUNTIFS(TUDB!$H$8:$H$2326,Use!$B55,TUDB!$F$8:$F$2326,Use!I$49)</f>
        <v>12</v>
      </c>
      <c r="J55" s="308">
        <f>COUNTIFS(TUDB!$H$8:$H$2326,Use!$B55,TUDB!$F$8:$F$2326,Use!J$49)</f>
        <v>10</v>
      </c>
      <c r="K55" s="307">
        <f t="shared" si="14"/>
        <v>0</v>
      </c>
      <c r="L55" s="307">
        <f>IF(AND(G55&gt;0,SUM($E55:F55)=0),1,0)</f>
        <v>1</v>
      </c>
      <c r="M55" s="307">
        <f>IF(AND(H55&gt;0,SUM($E55:G55)=0),1,0)</f>
        <v>0</v>
      </c>
      <c r="N55" s="307">
        <f>IF(AND(I55&gt;0,SUM($E55:H55)=0),1,0)</f>
        <v>0</v>
      </c>
      <c r="O55" s="307">
        <f>IF(AND(J55&gt;0,SUM($E55:I55)=0),1,0)</f>
        <v>0</v>
      </c>
      <c r="P55" s="312"/>
      <c r="Q55" s="312"/>
      <c r="S55" s="232">
        <v>2024</v>
      </c>
      <c r="T55" s="234">
        <f>COUNTIF(TU_DB[Year],$S55)</f>
        <v>442</v>
      </c>
      <c r="U55" s="234">
        <f>COUNTIFS(TU_DB[Year],$S55,TU_DB[Source],"&lt;&gt;"&amp;"")</f>
        <v>419</v>
      </c>
      <c r="V55" s="234">
        <f>COUNTIFS(TU_DB[Year],$S55,TU_DB[[5n1  Flag ]],1)</f>
        <v>397</v>
      </c>
      <c r="W55" s="234">
        <f>COUNTIFS(TU_DB[Year],$S55,TU_DB[[2n1  Flag ]],1)</f>
        <v>390</v>
      </c>
      <c r="X55" s="234">
        <f>COUNTIFS(TU_DB[Year],$S55,TU_DB[Phos Flag],1)</f>
        <v>358</v>
      </c>
      <c r="Y55" s="234">
        <f>COUNTIFS(TU_DB[Year],$S55,TU_DB[Water Temp Flag],1)</f>
        <v>369</v>
      </c>
      <c r="Z55" s="234">
        <f>COUNTIFS(TU_DB[Year],$S55,TU_DB[Dis: Not Reported],0)</f>
        <v>386</v>
      </c>
      <c r="AA55" s="234">
        <f>COUNTIFS(TU_DB[Year],$S55,TU_DB[Water Level Flag],1)</f>
        <v>403</v>
      </c>
      <c r="AB55" s="1"/>
      <c r="BF55" s="1"/>
      <c r="BG55" s="1"/>
      <c r="BH55" s="1"/>
    </row>
    <row r="56" spans="2:65" x14ac:dyDescent="0.25">
      <c r="B56" s="303" t="str">
        <v>GFBS1bSIACUVgSmsBlw0BYkB9i72</v>
      </c>
      <c r="C56" s="303" t="s">
        <v>4158</v>
      </c>
      <c r="D56" s="305">
        <f t="shared" si="15"/>
        <v>31</v>
      </c>
      <c r="E56" s="305">
        <f>COUNTIFS(TUDB!$H$8:$H$2326,Use!$B56,TUDB!$F$8:$F$2326,Use!E$49)</f>
        <v>0</v>
      </c>
      <c r="F56" s="305">
        <f>COUNTIFS(TUDB!$H$8:$H$2326,Use!$B56,TUDB!$F$8:$F$2326,Use!F$49)</f>
        <v>0</v>
      </c>
      <c r="G56" s="305">
        <f>COUNTIFS(TUDB!$H$8:$H$2326,Use!$B56,TUDB!$F$8:$F$2326,Use!G$49)</f>
        <v>0</v>
      </c>
      <c r="H56" s="305">
        <f>COUNTIFS(TUDB!$H$8:$H$2326,Use!$B56,TUDB!$F$8:$F$2326,Use!H$49)</f>
        <v>13</v>
      </c>
      <c r="I56" s="305">
        <f>COUNTIFS(TUDB!$H$8:$H$2326,Use!$B56,TUDB!$F$8:$F$2326,Use!I$49)</f>
        <v>9</v>
      </c>
      <c r="J56" s="305">
        <f>COUNTIFS(TUDB!$H$8:$H$2326,Use!$B56,TUDB!$F$8:$F$2326,Use!J$49)</f>
        <v>9</v>
      </c>
      <c r="K56" s="304">
        <f t="shared" si="14"/>
        <v>0</v>
      </c>
      <c r="L56" s="304">
        <f>IF(AND(G56&gt;0,SUM($E56:F56)=0),1,0)</f>
        <v>0</v>
      </c>
      <c r="M56" s="304">
        <f>IF(AND(H56&gt;0,SUM($E56:G56)=0),1,0)</f>
        <v>1</v>
      </c>
      <c r="N56" s="304">
        <f>IF(AND(I56&gt;0,SUM($E56:H56)=0),1,0)</f>
        <v>0</v>
      </c>
      <c r="O56" s="304">
        <f>IF(AND(J56&gt;0,SUM($E56:I56)=0),1,0)</f>
        <v>0</v>
      </c>
      <c r="P56" s="311"/>
      <c r="Q56" s="311"/>
      <c r="S56" s="523">
        <v>2025</v>
      </c>
      <c r="T56" s="525">
        <f>COUNTIF(TU_DB[Year],$S56)</f>
        <v>0</v>
      </c>
      <c r="U56" s="525">
        <f>COUNTIFS(TU_DB[Year],$S56,TU_DB[Source],"&lt;&gt;"&amp;"")</f>
        <v>0</v>
      </c>
      <c r="V56" s="525">
        <f>COUNTIFS(TU_DB[Year],$S56,TU_DB[[5n1  Flag ]],1)</f>
        <v>0</v>
      </c>
      <c r="W56" s="525">
        <f>COUNTIFS(TU_DB[Year],$S56,TU_DB[[2n1  Flag ]],1)</f>
        <v>0</v>
      </c>
      <c r="X56" s="525">
        <f>COUNTIFS(TU_DB[Year],$S56,TU_DB[Phos Flag],1)</f>
        <v>0</v>
      </c>
      <c r="Y56" s="525">
        <f>COUNTIFS(TU_DB[Year],$S56,TU_DB[Water Temp Flag],1)</f>
        <v>0</v>
      </c>
      <c r="Z56" s="525">
        <f>COUNTIFS(TU_DB[Year],$S56,TU_DB[Dis: Not Reported],0)</f>
        <v>0</v>
      </c>
      <c r="AA56" s="525">
        <f>COUNTIFS(TU_DB[Year],$S56,TU_DB[Water Level Flag],1)</f>
        <v>0</v>
      </c>
      <c r="AB56" s="1"/>
      <c r="BF56" s="1"/>
      <c r="BG56" s="1"/>
      <c r="BH56" s="1"/>
    </row>
    <row r="57" spans="2:65" x14ac:dyDescent="0.25">
      <c r="B57" s="306" t="str">
        <v>wOnBJTAV2CZK06CRnr5oUK45EDv1</v>
      </c>
      <c r="C57" s="306" t="s">
        <v>4162</v>
      </c>
      <c r="D57" s="308">
        <f t="shared" si="15"/>
        <v>45</v>
      </c>
      <c r="E57" s="308">
        <f>COUNTIFS(TUDB!$H$8:$H$2326,Use!$B57,TUDB!$F$8:$F$2326,Use!E$49)</f>
        <v>0</v>
      </c>
      <c r="F57" s="308">
        <f>COUNTIFS(TUDB!$H$8:$H$2326,Use!$B57,TUDB!$F$8:$F$2326,Use!F$49)</f>
        <v>0</v>
      </c>
      <c r="G57" s="308">
        <f>COUNTIFS(TUDB!$H$8:$H$2326,Use!$B57,TUDB!$F$8:$F$2326,Use!G$49)</f>
        <v>0</v>
      </c>
      <c r="H57" s="308">
        <f>COUNTIFS(TUDB!$H$8:$H$2326,Use!$B57,TUDB!$F$8:$F$2326,Use!H$49)</f>
        <v>0</v>
      </c>
      <c r="I57" s="308">
        <f>COUNTIFS(TUDB!$H$8:$H$2326,Use!$B57,TUDB!$F$8:$F$2326,Use!I$49)</f>
        <v>29</v>
      </c>
      <c r="J57" s="308">
        <f>COUNTIFS(TUDB!$H$8:$H$2326,Use!$B57,TUDB!$F$8:$F$2326,Use!J$49)</f>
        <v>16</v>
      </c>
      <c r="K57" s="307">
        <f t="shared" si="14"/>
        <v>0</v>
      </c>
      <c r="L57" s="307">
        <f>IF(AND(G57&gt;0,SUM($E57:F57)=0),1,0)</f>
        <v>0</v>
      </c>
      <c r="M57" s="307">
        <f>IF(AND(H57&gt;0,SUM($E57:G57)=0),1,0)</f>
        <v>0</v>
      </c>
      <c r="N57" s="307">
        <f>IF(AND(I57&gt;0,SUM($E57:H57)=0),1,0)</f>
        <v>1</v>
      </c>
      <c r="O57" s="307">
        <f>IF(AND(J57&gt;0,SUM($E57:I57)=0),1,0)</f>
        <v>0</v>
      </c>
      <c r="P57" s="312"/>
      <c r="Q57" s="312"/>
      <c r="S57" s="523">
        <v>2026</v>
      </c>
      <c r="T57" s="525">
        <f>COUNTIF(TU_DB[Year],$S57)</f>
        <v>0</v>
      </c>
      <c r="U57" s="525">
        <f>COUNTIFS(TU_DB[Year],$S57,TU_DB[Source],"&lt;&gt;"&amp;"")</f>
        <v>0</v>
      </c>
      <c r="V57" s="525">
        <f>COUNTIFS(TU_DB[Year],$S57,TU_DB[[5n1  Flag ]],1)</f>
        <v>0</v>
      </c>
      <c r="W57" s="525">
        <f>COUNTIFS(TU_DB[Year],$S57,TU_DB[[2n1  Flag ]],1)</f>
        <v>0</v>
      </c>
      <c r="X57" s="525">
        <f>COUNTIFS(TU_DB[Year],$S57,TU_DB[Phos Flag],1)</f>
        <v>0</v>
      </c>
      <c r="Y57" s="525">
        <f>COUNTIFS(TU_DB[Year],$S57,TU_DB[Water Temp Flag],1)</f>
        <v>0</v>
      </c>
      <c r="Z57" s="525">
        <f>COUNTIFS(TU_DB[Year],$S57,TU_DB[Dis: Not Reported],0)</f>
        <v>0</v>
      </c>
      <c r="AA57" s="525">
        <f>COUNTIFS(TU_DB[Year],$S57,TU_DB[Water Level Flag],1)</f>
        <v>0</v>
      </c>
      <c r="AB57" s="1"/>
      <c r="BF57" s="1"/>
      <c r="BG57" s="1"/>
      <c r="BH57" s="1"/>
      <c r="BJ57" s="1"/>
      <c r="BK57" s="1"/>
      <c r="BL57" s="1"/>
      <c r="BM57" s="1"/>
    </row>
    <row r="58" spans="2:65" x14ac:dyDescent="0.25">
      <c r="B58" s="303" t="str">
        <v>4etfOHFOLNgXiWPM6KYa0g0En8C2</v>
      </c>
      <c r="C58" s="303" t="s">
        <v>1347</v>
      </c>
      <c r="D58" s="305">
        <f t="shared" si="15"/>
        <v>1</v>
      </c>
      <c r="E58" s="305">
        <f>COUNTIFS(TUDB!$H$8:$H$2326,Use!$B58,TUDB!$F$8:$F$2326,Use!E$49)</f>
        <v>0</v>
      </c>
      <c r="F58" s="305">
        <f>COUNTIFS(TUDB!$H$8:$H$2326,Use!$B58,TUDB!$F$8:$F$2326,Use!F$49)</f>
        <v>0</v>
      </c>
      <c r="G58" s="305">
        <f>COUNTIFS(TUDB!$H$8:$H$2326,Use!$B58,TUDB!$F$8:$F$2326,Use!G$49)</f>
        <v>0</v>
      </c>
      <c r="H58" s="305">
        <f>COUNTIFS(TUDB!$H$8:$H$2326,Use!$B58,TUDB!$F$8:$F$2326,Use!H$49)</f>
        <v>0</v>
      </c>
      <c r="I58" s="305">
        <f>COUNTIFS(TUDB!$H$8:$H$2326,Use!$B58,TUDB!$F$8:$F$2326,Use!I$49)</f>
        <v>0</v>
      </c>
      <c r="J58" s="305">
        <f>COUNTIFS(TUDB!$H$8:$H$2326,Use!$B58,TUDB!$F$8:$F$2326,Use!J$49)</f>
        <v>1</v>
      </c>
      <c r="K58" s="304">
        <f t="shared" si="14"/>
        <v>0</v>
      </c>
      <c r="L58" s="304">
        <f>IF(AND(G58&gt;0,SUM($E58:F58)=0),1,0)</f>
        <v>0</v>
      </c>
      <c r="M58" s="304">
        <f>IF(AND(H58&gt;0,SUM($E58:G58)=0),1,0)</f>
        <v>0</v>
      </c>
      <c r="N58" s="304">
        <f>IF(AND(I58&gt;0,SUM($E58:H58)=0),1,0)</f>
        <v>0</v>
      </c>
      <c r="O58" s="304">
        <f>IF(AND(J58&gt;0,SUM($E58:I58)=0),1,0)</f>
        <v>1</v>
      </c>
      <c r="P58" s="311"/>
      <c r="Q58" s="311"/>
      <c r="S58" s="384" t="s">
        <v>3692</v>
      </c>
      <c r="T58" s="236">
        <f>SUM(T51:T54)</f>
        <v>1817</v>
      </c>
      <c r="U58" s="236">
        <f t="shared" ref="U58:AA58" si="16">SUM(U51:U53)</f>
        <v>936</v>
      </c>
      <c r="V58" s="236">
        <f t="shared" si="16"/>
        <v>888</v>
      </c>
      <c r="W58" s="236">
        <f t="shared" si="16"/>
        <v>778</v>
      </c>
      <c r="X58" s="236">
        <f t="shared" si="16"/>
        <v>782</v>
      </c>
      <c r="Y58" s="236">
        <f t="shared" si="16"/>
        <v>765</v>
      </c>
      <c r="Z58" s="236">
        <f t="shared" si="16"/>
        <v>740</v>
      </c>
      <c r="AA58" s="236">
        <f t="shared" si="16"/>
        <v>844</v>
      </c>
      <c r="AB58" s="1"/>
      <c r="BF58" s="1"/>
      <c r="BG58" s="1"/>
      <c r="BH58" s="1"/>
      <c r="BJ58" s="1"/>
      <c r="BK58" s="1"/>
      <c r="BL58" s="1"/>
      <c r="BM58" s="1"/>
    </row>
    <row r="59" spans="2:65" x14ac:dyDescent="0.25">
      <c r="B59" s="306" t="str">
        <v>mMKogvdinjOuckB5tkMQrxnYO852</v>
      </c>
      <c r="C59" s="306" t="s">
        <v>578</v>
      </c>
      <c r="D59" s="308">
        <f t="shared" si="15"/>
        <v>13</v>
      </c>
      <c r="E59" s="308">
        <f>COUNTIFS(TUDB!$H$8:$H$2326,Use!$B59,TUDB!$F$8:$F$2326,Use!E$49)</f>
        <v>0</v>
      </c>
      <c r="F59" s="308">
        <f>COUNTIFS(TUDB!$H$8:$H$2326,Use!$B59,TUDB!$F$8:$F$2326,Use!F$49)</f>
        <v>0</v>
      </c>
      <c r="G59" s="308">
        <f>COUNTIFS(TUDB!$H$8:$H$2326,Use!$B59,TUDB!$F$8:$F$2326,Use!G$49)</f>
        <v>0</v>
      </c>
      <c r="H59" s="308">
        <f>COUNTIFS(TUDB!$H$8:$H$2326,Use!$B59,TUDB!$F$8:$F$2326,Use!H$49)</f>
        <v>5</v>
      </c>
      <c r="I59" s="308">
        <f>COUNTIFS(TUDB!$H$8:$H$2326,Use!$B59,TUDB!$F$8:$F$2326,Use!I$49)</f>
        <v>3</v>
      </c>
      <c r="J59" s="308">
        <f>COUNTIFS(TUDB!$H$8:$H$2326,Use!$B59,TUDB!$F$8:$F$2326,Use!J$49)</f>
        <v>5</v>
      </c>
      <c r="K59" s="307">
        <f t="shared" si="14"/>
        <v>0</v>
      </c>
      <c r="L59" s="307">
        <f>IF(AND(G59&gt;0,SUM($E59:F59)=0),1,0)</f>
        <v>0</v>
      </c>
      <c r="M59" s="307">
        <f>IF(AND(H59&gt;0,SUM($E59:G59)=0),1,0)</f>
        <v>1</v>
      </c>
      <c r="N59" s="307">
        <f>IF(AND(I59&gt;0,SUM($E59:H59)=0),1,0)</f>
        <v>0</v>
      </c>
      <c r="O59" s="307">
        <f>IF(AND(J59&gt;0,SUM($E59:I59)=0),1,0)</f>
        <v>0</v>
      </c>
      <c r="P59" s="312"/>
      <c r="Q59" s="312"/>
      <c r="S59" s="228" t="s">
        <v>2348</v>
      </c>
      <c r="T59" s="228"/>
      <c r="U59" s="228"/>
      <c r="V59" s="228"/>
      <c r="W59" s="228"/>
      <c r="X59" s="228"/>
      <c r="Y59" s="228"/>
      <c r="Z59" s="228"/>
      <c r="AA59" s="228"/>
      <c r="AB59" s="1"/>
      <c r="BF59" s="1"/>
      <c r="BG59" s="1"/>
      <c r="BH59" s="1"/>
      <c r="BJ59" s="1"/>
      <c r="BK59" s="1"/>
      <c r="BL59" s="1"/>
      <c r="BM59" s="1"/>
    </row>
    <row r="60" spans="2:65" ht="15.75" customHeight="1" x14ac:dyDescent="0.25">
      <c r="B60" s="303" t="str">
        <v>f7qMRlnlkOgrA1xpaxXrTTeRGWX2</v>
      </c>
      <c r="C60" s="303" t="s">
        <v>578</v>
      </c>
      <c r="D60" s="305">
        <f t="shared" si="15"/>
        <v>96</v>
      </c>
      <c r="E60" s="305">
        <f>COUNTIFS(TUDB!$H$8:$H$2326,Use!$B60,TUDB!$F$8:$F$2326,Use!E$49)</f>
        <v>0</v>
      </c>
      <c r="F60" s="305">
        <f>COUNTIFS(TUDB!$H$8:$H$2326,Use!$B60,TUDB!$F$8:$F$2326,Use!F$49)</f>
        <v>34</v>
      </c>
      <c r="G60" s="305">
        <f>COUNTIFS(TUDB!$H$8:$H$2326,Use!$B60,TUDB!$F$8:$F$2326,Use!G$49)</f>
        <v>25</v>
      </c>
      <c r="H60" s="305">
        <f>COUNTIFS(TUDB!$H$8:$H$2326,Use!$B60,TUDB!$F$8:$F$2326,Use!H$49)</f>
        <v>16</v>
      </c>
      <c r="I60" s="305">
        <f>COUNTIFS(TUDB!$H$8:$H$2326,Use!$B60,TUDB!$F$8:$F$2326,Use!I$49)</f>
        <v>10</v>
      </c>
      <c r="J60" s="305">
        <f>COUNTIFS(TUDB!$H$8:$H$2326,Use!$B60,TUDB!$F$8:$F$2326,Use!J$49)</f>
        <v>11</v>
      </c>
      <c r="K60" s="304">
        <f t="shared" si="14"/>
        <v>1</v>
      </c>
      <c r="L60" s="304">
        <f>IF(AND(G60&gt;0,SUM($E60:F60)=0),1,0)</f>
        <v>0</v>
      </c>
      <c r="M60" s="304">
        <f>IF(AND(H60&gt;0,SUM($E60:G60)=0),1,0)</f>
        <v>0</v>
      </c>
      <c r="N60" s="304">
        <f>IF(AND(I60&gt;0,SUM($E60:H60)=0),1,0)</f>
        <v>0</v>
      </c>
      <c r="O60" s="304">
        <f>IF(AND(J60&gt;0,SUM($E60:I60)=0),1,0)</f>
        <v>0</v>
      </c>
      <c r="P60" s="311"/>
      <c r="Q60" s="311"/>
      <c r="S60" s="232">
        <v>2020</v>
      </c>
      <c r="T60" s="232" t="s">
        <v>951</v>
      </c>
      <c r="U60" s="237">
        <f t="shared" ref="U60:AA63" si="17">U51/$T51</f>
        <v>0.81944444444444442</v>
      </c>
      <c r="V60" s="237">
        <f t="shared" si="17"/>
        <v>0.75</v>
      </c>
      <c r="W60" s="237">
        <f t="shared" si="17"/>
        <v>0.61805555555555558</v>
      </c>
      <c r="X60" s="237">
        <f t="shared" si="17"/>
        <v>0.58333333333333337</v>
      </c>
      <c r="Y60" s="237">
        <f t="shared" si="17"/>
        <v>0.65972222222222221</v>
      </c>
      <c r="Z60" s="237">
        <f t="shared" si="17"/>
        <v>0.71527777777777779</v>
      </c>
      <c r="AA60" s="237">
        <f t="shared" si="17"/>
        <v>0.81944444444444442</v>
      </c>
      <c r="AB60" s="1"/>
    </row>
    <row r="61" spans="2:65" x14ac:dyDescent="0.25">
      <c r="B61" s="306" t="str">
        <v>AFSRTEftiTe1HDjxTst1HuMIU1l1</v>
      </c>
      <c r="C61" s="306" t="s">
        <v>578</v>
      </c>
      <c r="D61" s="308">
        <f t="shared" si="15"/>
        <v>19</v>
      </c>
      <c r="E61" s="308">
        <f>COUNTIFS(TUDB!$H$8:$H$2326,Use!$B61,TUDB!$F$8:$F$2326,Use!E$49)</f>
        <v>0</v>
      </c>
      <c r="F61" s="308">
        <f>COUNTIFS(TUDB!$H$8:$H$2326,Use!$B61,TUDB!$F$8:$F$2326,Use!F$49)</f>
        <v>0</v>
      </c>
      <c r="G61" s="308">
        <f>COUNTIFS(TUDB!$H$8:$H$2326,Use!$B61,TUDB!$F$8:$F$2326,Use!G$49)</f>
        <v>0</v>
      </c>
      <c r="H61" s="308">
        <f>COUNTIFS(TUDB!$H$8:$H$2326,Use!$B61,TUDB!$F$8:$F$2326,Use!H$49)</f>
        <v>8</v>
      </c>
      <c r="I61" s="308">
        <f>COUNTIFS(TUDB!$H$8:$H$2326,Use!$B61,TUDB!$F$8:$F$2326,Use!I$49)</f>
        <v>7</v>
      </c>
      <c r="J61" s="308">
        <f>COUNTIFS(TUDB!$H$8:$H$2326,Use!$B61,TUDB!$F$8:$F$2326,Use!J$49)</f>
        <v>4</v>
      </c>
      <c r="K61" s="307">
        <f t="shared" si="14"/>
        <v>0</v>
      </c>
      <c r="L61" s="307">
        <f>IF(AND(G61&gt;0,SUM($E61:F61)=0),1,0)</f>
        <v>0</v>
      </c>
      <c r="M61" s="307">
        <f>IF(AND(H61&gt;0,SUM($E61:G61)=0),1,0)</f>
        <v>1</v>
      </c>
      <c r="N61" s="307">
        <f>IF(AND(I61&gt;0,SUM($E61:H61)=0),1,0)</f>
        <v>0</v>
      </c>
      <c r="O61" s="307">
        <f>IF(AND(J61&gt;0,SUM($E61:I61)=0),1,0)</f>
        <v>0</v>
      </c>
      <c r="P61" s="312"/>
      <c r="Q61" s="312"/>
      <c r="S61" s="232">
        <v>2021</v>
      </c>
      <c r="T61" s="232" t="s">
        <v>951</v>
      </c>
      <c r="U61" s="237">
        <f t="shared" si="17"/>
        <v>0.93857493857493857</v>
      </c>
      <c r="V61" s="237">
        <f t="shared" si="17"/>
        <v>0.88697788697788693</v>
      </c>
      <c r="W61" s="237">
        <f t="shared" si="17"/>
        <v>0.7567567567567568</v>
      </c>
      <c r="X61" s="237">
        <f t="shared" si="17"/>
        <v>0.7960687960687961</v>
      </c>
      <c r="Y61" s="237">
        <f t="shared" si="17"/>
        <v>0.74692874692874689</v>
      </c>
      <c r="Z61" s="237">
        <f t="shared" si="17"/>
        <v>0.69041769041769041</v>
      </c>
      <c r="AA61" s="237">
        <f t="shared" si="17"/>
        <v>0.82800982800982803</v>
      </c>
      <c r="AB61" s="1"/>
    </row>
    <row r="62" spans="2:65" x14ac:dyDescent="0.25">
      <c r="B62" s="303" t="str">
        <v>M7nEAKQN9zgYz7BtxGWTXq0oso12</v>
      </c>
      <c r="C62" s="303" t="s">
        <v>578</v>
      </c>
      <c r="D62" s="305">
        <f t="shared" si="15"/>
        <v>8</v>
      </c>
      <c r="E62" s="305">
        <f>COUNTIFS(TUDB!$H$8:$H$2326,Use!$B62,TUDB!$F$8:$F$2326,Use!E$49)</f>
        <v>0</v>
      </c>
      <c r="F62" s="305">
        <f>COUNTIFS(TUDB!$H$8:$H$2326,Use!$B62,TUDB!$F$8:$F$2326,Use!F$49)</f>
        <v>0</v>
      </c>
      <c r="G62" s="305">
        <f>COUNTIFS(TUDB!$H$8:$H$2326,Use!$B62,TUDB!$F$8:$F$2326,Use!G$49)</f>
        <v>0</v>
      </c>
      <c r="H62" s="305">
        <f>COUNTIFS(TUDB!$H$8:$H$2326,Use!$B62,TUDB!$F$8:$F$2326,Use!H$49)</f>
        <v>0</v>
      </c>
      <c r="I62" s="305">
        <f>COUNTIFS(TUDB!$H$8:$H$2326,Use!$B62,TUDB!$F$8:$F$2326,Use!I$49)</f>
        <v>3</v>
      </c>
      <c r="J62" s="305">
        <f>COUNTIFS(TUDB!$H$8:$H$2326,Use!$B62,TUDB!$F$8:$F$2326,Use!J$49)</f>
        <v>5</v>
      </c>
      <c r="K62" s="304">
        <f t="shared" si="14"/>
        <v>0</v>
      </c>
      <c r="L62" s="304">
        <f>IF(AND(G62&gt;0,SUM($E62:F62)=0),1,0)</f>
        <v>0</v>
      </c>
      <c r="M62" s="304">
        <f>IF(AND(H62&gt;0,SUM($E62:G62)=0),1,0)</f>
        <v>0</v>
      </c>
      <c r="N62" s="304">
        <f>IF(AND(I62&gt;0,SUM($E62:H62)=0),1,0)</f>
        <v>1</v>
      </c>
      <c r="O62" s="304">
        <f>IF(AND(J62&gt;0,SUM($E62:I62)=0),1,0)</f>
        <v>0</v>
      </c>
      <c r="P62" s="311"/>
      <c r="Q62" s="311"/>
      <c r="S62" s="232">
        <v>2022</v>
      </c>
      <c r="T62" s="25" t="s">
        <v>951</v>
      </c>
      <c r="U62" s="237">
        <f t="shared" si="17"/>
        <v>0.94989106753812635</v>
      </c>
      <c r="V62" s="237">
        <f t="shared" si="17"/>
        <v>0.91285403050108938</v>
      </c>
      <c r="W62" s="237">
        <f t="shared" si="17"/>
        <v>0.83006535947712423</v>
      </c>
      <c r="X62" s="237">
        <f t="shared" si="17"/>
        <v>0.81481481481481477</v>
      </c>
      <c r="Y62" s="237">
        <f t="shared" si="17"/>
        <v>0.79738562091503273</v>
      </c>
      <c r="Z62" s="237">
        <f t="shared" si="17"/>
        <v>0.77559912854030499</v>
      </c>
      <c r="AA62" s="237">
        <f t="shared" si="17"/>
        <v>0.84749455337690627</v>
      </c>
      <c r="AB62" s="1"/>
    </row>
    <row r="63" spans="2:65" x14ac:dyDescent="0.25">
      <c r="B63" s="306" t="str">
        <v>DKq8OLTYViaAQZeR9ADiCfs22M63</v>
      </c>
      <c r="C63" s="306" t="s">
        <v>4158</v>
      </c>
      <c r="D63" s="308">
        <f t="shared" si="15"/>
        <v>87</v>
      </c>
      <c r="E63" s="308">
        <f>COUNTIFS(TUDB!$H$8:$H$2326,Use!$B63,TUDB!$F$8:$F$2326,Use!E$49)</f>
        <v>0</v>
      </c>
      <c r="F63" s="308">
        <f>COUNTIFS(TUDB!$H$8:$H$2326,Use!$B63,TUDB!$F$8:$F$2326,Use!F$49)</f>
        <v>0</v>
      </c>
      <c r="G63" s="308">
        <f>COUNTIFS(TUDB!$H$8:$H$2326,Use!$B63,TUDB!$F$8:$F$2326,Use!G$49)</f>
        <v>0</v>
      </c>
      <c r="H63" s="308">
        <f>COUNTIFS(TUDB!$H$8:$H$2326,Use!$B63,TUDB!$F$8:$F$2326,Use!H$49)</f>
        <v>0</v>
      </c>
      <c r="I63" s="308">
        <f>COUNTIFS(TUDB!$H$8:$H$2326,Use!$B63,TUDB!$F$8:$F$2326,Use!I$49)</f>
        <v>44</v>
      </c>
      <c r="J63" s="308">
        <f>COUNTIFS(TUDB!$H$8:$H$2326,Use!$B63,TUDB!$F$8:$F$2326,Use!J$49)</f>
        <v>43</v>
      </c>
      <c r="K63" s="307">
        <f t="shared" si="14"/>
        <v>0</v>
      </c>
      <c r="L63" s="307">
        <f>IF(AND(G63&gt;0,SUM($E63:F63)=0),1,0)</f>
        <v>0</v>
      </c>
      <c r="M63" s="307">
        <f>IF(AND(H63&gt;0,SUM($E63:G63)=0),1,0)</f>
        <v>0</v>
      </c>
      <c r="N63" s="307">
        <f>IF(AND(I63&gt;0,SUM($E63:H63)=0),1,0)</f>
        <v>1</v>
      </c>
      <c r="O63" s="307">
        <f>IF(AND(J63&gt;0,SUM($E63:I63)=0),1,0)</f>
        <v>0</v>
      </c>
      <c r="P63" s="312"/>
      <c r="Q63" s="312"/>
      <c r="S63" s="232">
        <v>2023</v>
      </c>
      <c r="T63" s="232" t="s">
        <v>951</v>
      </c>
      <c r="U63" s="263">
        <f t="shared" si="17"/>
        <v>0.95291201982651796</v>
      </c>
      <c r="V63" s="263">
        <f t="shared" si="17"/>
        <v>0.88475836431226762</v>
      </c>
      <c r="W63" s="263">
        <f t="shared" si="17"/>
        <v>0.87484510532837667</v>
      </c>
      <c r="X63" s="263">
        <f t="shared" si="17"/>
        <v>0.82899628252788105</v>
      </c>
      <c r="Y63" s="263">
        <f t="shared" si="17"/>
        <v>0.89095415117719945</v>
      </c>
      <c r="Z63" s="263">
        <f t="shared" si="17"/>
        <v>0.8401486988847584</v>
      </c>
      <c r="AA63" s="263">
        <f t="shared" si="17"/>
        <v>0.90210656753407681</v>
      </c>
      <c r="AB63" s="1"/>
    </row>
    <row r="64" spans="2:65" x14ac:dyDescent="0.25">
      <c r="B64" s="303" t="str">
        <v>k4Pe0JRs4tfWvDzxrT35e1UE1ce2</v>
      </c>
      <c r="C64" s="303" t="s">
        <v>4161</v>
      </c>
      <c r="D64" s="305">
        <f t="shared" si="15"/>
        <v>7</v>
      </c>
      <c r="E64" s="305">
        <f>COUNTIFS(TUDB!$H$8:$H$2326,Use!$B64,TUDB!$F$8:$F$2326,Use!E$49)</f>
        <v>0</v>
      </c>
      <c r="F64" s="305">
        <f>COUNTIFS(TUDB!$H$8:$H$2326,Use!$B64,TUDB!$F$8:$F$2326,Use!F$49)</f>
        <v>0</v>
      </c>
      <c r="G64" s="305">
        <f>COUNTIFS(TUDB!$H$8:$H$2326,Use!$B64,TUDB!$F$8:$F$2326,Use!G$49)</f>
        <v>0</v>
      </c>
      <c r="H64" s="305">
        <f>COUNTIFS(TUDB!$H$8:$H$2326,Use!$B64,TUDB!$F$8:$F$2326,Use!H$49)</f>
        <v>4</v>
      </c>
      <c r="I64" s="305">
        <f>COUNTIFS(TUDB!$H$8:$H$2326,Use!$B64,TUDB!$F$8:$F$2326,Use!I$49)</f>
        <v>2</v>
      </c>
      <c r="J64" s="305">
        <f>COUNTIFS(TUDB!$H$8:$H$2326,Use!$B64,TUDB!$F$8:$F$2326,Use!J$49)</f>
        <v>1</v>
      </c>
      <c r="K64" s="304">
        <f t="shared" si="14"/>
        <v>0</v>
      </c>
      <c r="L64" s="304">
        <f>IF(AND(G64&gt;0,SUM($E64:F64)=0),1,0)</f>
        <v>0</v>
      </c>
      <c r="M64" s="304">
        <f>IF(AND(H64&gt;0,SUM($E64:G64)=0),1,0)</f>
        <v>1</v>
      </c>
      <c r="N64" s="304">
        <f>IF(AND(I64&gt;0,SUM($E64:H64)=0),1,0)</f>
        <v>0</v>
      </c>
      <c r="O64" s="304">
        <f>IF(AND(J64&gt;0,SUM($E64:I64)=0),1,0)</f>
        <v>0</v>
      </c>
      <c r="P64" s="311"/>
      <c r="Q64" s="311"/>
      <c r="S64" s="232">
        <v>2024</v>
      </c>
      <c r="T64" s="25" t="s">
        <v>951</v>
      </c>
      <c r="U64" s="263">
        <f t="shared" ref="U64:AA64" si="18">U55/$T55</f>
        <v>0.94796380090497734</v>
      </c>
      <c r="V64" s="263">
        <f t="shared" si="18"/>
        <v>0.89819004524886881</v>
      </c>
      <c r="W64" s="263">
        <f t="shared" si="18"/>
        <v>0.88235294117647056</v>
      </c>
      <c r="X64" s="263">
        <f t="shared" si="18"/>
        <v>0.80995475113122173</v>
      </c>
      <c r="Y64" s="263">
        <f t="shared" si="18"/>
        <v>0.83484162895927605</v>
      </c>
      <c r="Z64" s="263">
        <f t="shared" si="18"/>
        <v>0.87330316742081449</v>
      </c>
      <c r="AA64" s="263">
        <f t="shared" si="18"/>
        <v>0.91176470588235292</v>
      </c>
      <c r="AB64" s="1"/>
    </row>
    <row r="65" spans="2:32" x14ac:dyDescent="0.25">
      <c r="B65" s="306" t="str">
        <v>K0EjhOrGL4NGhPVbB1pKi320lLr2</v>
      </c>
      <c r="C65" s="306" t="s">
        <v>4161</v>
      </c>
      <c r="D65" s="308">
        <f t="shared" si="15"/>
        <v>32</v>
      </c>
      <c r="E65" s="308">
        <f>COUNTIFS(TUDB!$H$8:$H$2326,Use!$B65,TUDB!$F$8:$F$2326,Use!E$49)</f>
        <v>0</v>
      </c>
      <c r="F65" s="308">
        <f>COUNTIFS(TUDB!$H$8:$H$2326,Use!$B65,TUDB!$F$8:$F$2326,Use!F$49)</f>
        <v>0</v>
      </c>
      <c r="G65" s="308">
        <f>COUNTIFS(TUDB!$H$8:$H$2326,Use!$B65,TUDB!$F$8:$F$2326,Use!G$49)</f>
        <v>0</v>
      </c>
      <c r="H65" s="308">
        <f>COUNTIFS(TUDB!$H$8:$H$2326,Use!$B65,TUDB!$F$8:$F$2326,Use!H$49)</f>
        <v>14</v>
      </c>
      <c r="I65" s="308">
        <f>COUNTIFS(TUDB!$H$8:$H$2326,Use!$B65,TUDB!$F$8:$F$2326,Use!I$49)</f>
        <v>12</v>
      </c>
      <c r="J65" s="308">
        <f>COUNTIFS(TUDB!$H$8:$H$2326,Use!$B65,TUDB!$F$8:$F$2326,Use!J$49)</f>
        <v>6</v>
      </c>
      <c r="K65" s="307">
        <f t="shared" si="14"/>
        <v>0</v>
      </c>
      <c r="L65" s="307">
        <f>IF(AND(G65&gt;0,SUM($E65:F65)=0),1,0)</f>
        <v>0</v>
      </c>
      <c r="M65" s="307">
        <f>IF(AND(H65&gt;0,SUM($E65:G65)=0),1,0)</f>
        <v>1</v>
      </c>
      <c r="N65" s="307">
        <f>IF(AND(I65&gt;0,SUM($E65:H65)=0),1,0)</f>
        <v>0</v>
      </c>
      <c r="O65" s="307">
        <f>IF(AND(J65&gt;0,SUM($E65:I65)=0),1,0)</f>
        <v>0</v>
      </c>
      <c r="P65" s="312"/>
      <c r="Q65" s="312"/>
      <c r="S65" s="523">
        <v>2025</v>
      </c>
      <c r="T65" s="523" t="s">
        <v>951</v>
      </c>
      <c r="U65" s="524" t="e">
        <f t="shared" ref="U65:AA65" si="19">U56/$T56</f>
        <v>#DIV/0!</v>
      </c>
      <c r="V65" s="524" t="e">
        <f t="shared" si="19"/>
        <v>#DIV/0!</v>
      </c>
      <c r="W65" s="524" t="e">
        <f t="shared" si="19"/>
        <v>#DIV/0!</v>
      </c>
      <c r="X65" s="524" t="e">
        <f t="shared" si="19"/>
        <v>#DIV/0!</v>
      </c>
      <c r="Y65" s="524" t="e">
        <f t="shared" si="19"/>
        <v>#DIV/0!</v>
      </c>
      <c r="Z65" s="524" t="e">
        <f t="shared" si="19"/>
        <v>#DIV/0!</v>
      </c>
      <c r="AA65" s="524" t="e">
        <f t="shared" si="19"/>
        <v>#DIV/0!</v>
      </c>
      <c r="AB65" s="316"/>
    </row>
    <row r="66" spans="2:32" ht="15.75" thickBot="1" x14ac:dyDescent="0.3">
      <c r="B66" s="303" t="str">
        <v>Us7gjDbTcVWrjDL157enRZKC9Tw1</v>
      </c>
      <c r="C66" s="303" t="s">
        <v>4160</v>
      </c>
      <c r="D66" s="305">
        <f t="shared" si="15"/>
        <v>27</v>
      </c>
      <c r="E66" s="305">
        <f>COUNTIFS(TUDB!$H$8:$H$2326,Use!$B66,TUDB!$F$8:$F$2326,Use!E$49)</f>
        <v>0</v>
      </c>
      <c r="F66" s="305">
        <f>COUNTIFS(TUDB!$H$8:$H$2326,Use!$B66,TUDB!$F$8:$F$2326,Use!F$49)</f>
        <v>0</v>
      </c>
      <c r="G66" s="305">
        <f>COUNTIFS(TUDB!$H$8:$H$2326,Use!$B66,TUDB!$F$8:$F$2326,Use!G$49)</f>
        <v>0</v>
      </c>
      <c r="H66" s="305">
        <f>COUNTIFS(TUDB!$H$8:$H$2326,Use!$B66,TUDB!$F$8:$F$2326,Use!H$49)</f>
        <v>0</v>
      </c>
      <c r="I66" s="305">
        <f>COUNTIFS(TUDB!$H$8:$H$2326,Use!$B66,TUDB!$F$8:$F$2326,Use!I$49)</f>
        <v>0</v>
      </c>
      <c r="J66" s="305">
        <f>COUNTIFS(TUDB!$H$8:$H$2326,Use!$B66,TUDB!$F$8:$F$2326,Use!J$49)</f>
        <v>27</v>
      </c>
      <c r="K66" s="304">
        <f t="shared" si="14"/>
        <v>0</v>
      </c>
      <c r="L66" s="304">
        <f>IF(AND(G66&gt;0,SUM($E66:F66)=0),1,0)</f>
        <v>0</v>
      </c>
      <c r="M66" s="304">
        <f>IF(AND(H66&gt;0,SUM($E66:G66)=0),1,0)</f>
        <v>0</v>
      </c>
      <c r="N66" s="304">
        <f>IF(AND(I66&gt;0,SUM($E66:H66)=0),1,0)</f>
        <v>0</v>
      </c>
      <c r="O66" s="304">
        <f>IF(AND(J66&gt;0,SUM($E66:I66)=0),1,0)</f>
        <v>1</v>
      </c>
      <c r="P66" s="311"/>
      <c r="Q66" s="311"/>
      <c r="S66" s="523">
        <v>2026</v>
      </c>
      <c r="T66" s="56" t="s">
        <v>951</v>
      </c>
      <c r="U66" s="524" t="e">
        <f t="shared" ref="U66:AA66" si="20">U57/$T57</f>
        <v>#DIV/0!</v>
      </c>
      <c r="V66" s="524" t="e">
        <f t="shared" si="20"/>
        <v>#DIV/0!</v>
      </c>
      <c r="W66" s="524" t="e">
        <f t="shared" si="20"/>
        <v>#DIV/0!</v>
      </c>
      <c r="X66" s="524" t="e">
        <f t="shared" si="20"/>
        <v>#DIV/0!</v>
      </c>
      <c r="Y66" s="524" t="e">
        <f t="shared" si="20"/>
        <v>#DIV/0!</v>
      </c>
      <c r="Z66" s="524" t="e">
        <f t="shared" si="20"/>
        <v>#DIV/0!</v>
      </c>
      <c r="AA66" s="524" t="e">
        <f t="shared" si="20"/>
        <v>#DIV/0!</v>
      </c>
      <c r="AB66" s="316"/>
    </row>
    <row r="67" spans="2:32" ht="15.75" thickTop="1" x14ac:dyDescent="0.25">
      <c r="B67" s="306" t="str">
        <v>jhGh651Hl7cRangRQ2zqYMCZHdv1</v>
      </c>
      <c r="C67" s="306" t="s">
        <v>4158</v>
      </c>
      <c r="D67" s="308">
        <f t="shared" si="15"/>
        <v>120</v>
      </c>
      <c r="E67" s="308">
        <f>COUNTIFS(TUDB!$H$8:$H$2326,Use!$B67,TUDB!$F$8:$F$2326,Use!E$49)</f>
        <v>0</v>
      </c>
      <c r="F67" s="308">
        <f>COUNTIFS(TUDB!$H$8:$H$2326,Use!$B67,TUDB!$F$8:$F$2326,Use!F$49)</f>
        <v>0</v>
      </c>
      <c r="G67" s="308">
        <f>COUNTIFS(TUDB!$H$8:$H$2326,Use!$B67,TUDB!$F$8:$F$2326,Use!G$49)</f>
        <v>0</v>
      </c>
      <c r="H67" s="308">
        <f>COUNTIFS(TUDB!$H$8:$H$2326,Use!$B67,TUDB!$F$8:$F$2326,Use!H$49)</f>
        <v>0</v>
      </c>
      <c r="I67" s="308">
        <f>COUNTIFS(TUDB!$H$8:$H$2326,Use!$B67,TUDB!$F$8:$F$2326,Use!I$49)</f>
        <v>78</v>
      </c>
      <c r="J67" s="308">
        <f>COUNTIFS(TUDB!$H$8:$H$2326,Use!$B67,TUDB!$F$8:$F$2326,Use!J$49)</f>
        <v>42</v>
      </c>
      <c r="K67" s="307">
        <f t="shared" si="14"/>
        <v>0</v>
      </c>
      <c r="L67" s="307">
        <f>IF(AND(G67&gt;0,SUM($E67:F67)=0),1,0)</f>
        <v>0</v>
      </c>
      <c r="M67" s="307">
        <f>IF(AND(H67&gt;0,SUM($E67:G67)=0),1,0)</f>
        <v>0</v>
      </c>
      <c r="N67" s="307">
        <f>IF(AND(I67&gt;0,SUM($E67:H67)=0),1,0)</f>
        <v>1</v>
      </c>
      <c r="O67" s="307">
        <f>IF(AND(J67&gt;0,SUM($E67:I67)=0),1,0)</f>
        <v>0</v>
      </c>
      <c r="P67" s="312"/>
      <c r="Q67" s="312"/>
      <c r="S67" s="283" t="s">
        <v>2338</v>
      </c>
      <c r="T67" s="280"/>
      <c r="U67" s="280"/>
      <c r="V67" s="280"/>
      <c r="W67" s="280"/>
      <c r="X67" s="280"/>
      <c r="Y67" s="280"/>
      <c r="Z67" s="280"/>
      <c r="AA67" s="280"/>
      <c r="AB67" s="1"/>
    </row>
    <row r="68" spans="2:32" x14ac:dyDescent="0.25">
      <c r="B68" s="303" t="str">
        <v>JEzwKJMSjwPIH1FrrCgr3SuUPRL2</v>
      </c>
      <c r="C68" s="303" t="s">
        <v>5969</v>
      </c>
      <c r="D68" s="305">
        <f t="shared" si="15"/>
        <v>22</v>
      </c>
      <c r="E68" s="305">
        <f>COUNTIFS(TUDB!$H$8:$H$2326,Use!$B68,TUDB!$F$8:$F$2326,Use!E$49)</f>
        <v>0</v>
      </c>
      <c r="F68" s="305">
        <f>COUNTIFS(TUDB!$H$8:$H$2326,Use!$B68,TUDB!$F$8:$F$2326,Use!F$49)</f>
        <v>0</v>
      </c>
      <c r="G68" s="305">
        <f>COUNTIFS(TUDB!$H$8:$H$2326,Use!$B68,TUDB!$F$8:$F$2326,Use!G$49)</f>
        <v>0</v>
      </c>
      <c r="H68" s="305">
        <f>COUNTIFS(TUDB!$H$8:$H$2326,Use!$B68,TUDB!$F$8:$F$2326,Use!H$49)</f>
        <v>0</v>
      </c>
      <c r="I68" s="305">
        <f>COUNTIFS(TUDB!$H$8:$H$2326,Use!$B68,TUDB!$F$8:$F$2326,Use!I$49)</f>
        <v>0</v>
      </c>
      <c r="J68" s="305">
        <f>COUNTIFS(TUDB!$H$8:$H$2326,Use!$B68,TUDB!$F$8:$F$2326,Use!J$49)</f>
        <v>22</v>
      </c>
      <c r="K68" s="304">
        <f t="shared" si="14"/>
        <v>0</v>
      </c>
      <c r="L68" s="304">
        <f>IF(AND(G68&gt;0,SUM($E68:F68)=0),1,0)</f>
        <v>0</v>
      </c>
      <c r="M68" s="304">
        <f>IF(AND(H68&gt;0,SUM($E68:G68)=0),1,0)</f>
        <v>0</v>
      </c>
      <c r="N68" s="304">
        <f>IF(AND(I68&gt;0,SUM($E68:H68)=0),1,0)</f>
        <v>0</v>
      </c>
      <c r="O68" s="304">
        <f>IF(AND(J68&gt;0,SUM($E68:I68)=0),1,0)</f>
        <v>1</v>
      </c>
      <c r="P68" s="311"/>
      <c r="Q68" s="311"/>
      <c r="Z68"/>
      <c r="AB68" s="1"/>
    </row>
    <row r="69" spans="2:32" x14ac:dyDescent="0.25">
      <c r="B69" s="306" t="str">
        <v>hU1HbEHHdaU8AhuDtzvdtGI8zvo2</v>
      </c>
      <c r="C69" s="306" t="s">
        <v>5969</v>
      </c>
      <c r="D69" s="308">
        <f t="shared" si="15"/>
        <v>3</v>
      </c>
      <c r="E69" s="308">
        <f>COUNTIFS(TUDB!$H$8:$H$2326,Use!$B69,TUDB!$F$8:$F$2326,Use!E$49)</f>
        <v>0</v>
      </c>
      <c r="F69" s="308">
        <f>COUNTIFS(TUDB!$H$8:$H$2326,Use!$B69,TUDB!$F$8:$F$2326,Use!F$49)</f>
        <v>2</v>
      </c>
      <c r="G69" s="308">
        <f>COUNTIFS(TUDB!$H$8:$H$2326,Use!$B69,TUDB!$F$8:$F$2326,Use!G$49)</f>
        <v>0</v>
      </c>
      <c r="H69" s="308">
        <f>COUNTIFS(TUDB!$H$8:$H$2326,Use!$B69,TUDB!$F$8:$F$2326,Use!H$49)</f>
        <v>0</v>
      </c>
      <c r="I69" s="308">
        <f>COUNTIFS(TUDB!$H$8:$H$2326,Use!$B69,TUDB!$F$8:$F$2326,Use!I$49)</f>
        <v>0</v>
      </c>
      <c r="J69" s="308">
        <f>COUNTIFS(TUDB!$H$8:$H$2326,Use!$B69,TUDB!$F$8:$F$2326,Use!J$49)</f>
        <v>1</v>
      </c>
      <c r="K69" s="307">
        <f t="shared" si="14"/>
        <v>1</v>
      </c>
      <c r="L69" s="307">
        <f>IF(AND(G69&gt;0,SUM($E69:F69)=0),1,0)</f>
        <v>0</v>
      </c>
      <c r="M69" s="307">
        <f>IF(AND(H69&gt;0,SUM($E69:G69)=0),1,0)</f>
        <v>0</v>
      </c>
      <c r="N69" s="307">
        <f>IF(AND(I69&gt;0,SUM($E69:H69)=0),1,0)</f>
        <v>0</v>
      </c>
      <c r="O69" s="307">
        <f>IF(AND(J69&gt;0,SUM($E69:I69)=0),1,0)</f>
        <v>0</v>
      </c>
      <c r="P69" s="312"/>
      <c r="Q69" s="312"/>
      <c r="Z69"/>
      <c r="AA69"/>
    </row>
    <row r="70" spans="2:32" ht="21" x14ac:dyDescent="0.25">
      <c r="B70" s="303" t="str">
        <v>AJPHx36wPHSujaw4neovr2XeqWM2</v>
      </c>
      <c r="C70" s="303" t="s">
        <v>1348</v>
      </c>
      <c r="D70" s="305">
        <f t="shared" si="15"/>
        <v>1</v>
      </c>
      <c r="E70" s="305">
        <f>COUNTIFS(TUDB!$H$8:$H$2326,Use!$B70,TUDB!$F$8:$F$2326,Use!E$49)</f>
        <v>0</v>
      </c>
      <c r="F70" s="305">
        <f>COUNTIFS(TUDB!$H$8:$H$2326,Use!$B70,TUDB!$F$8:$F$2326,Use!F$49)</f>
        <v>0</v>
      </c>
      <c r="G70" s="305">
        <f>COUNTIFS(TUDB!$H$8:$H$2326,Use!$B70,TUDB!$F$8:$F$2326,Use!G$49)</f>
        <v>0</v>
      </c>
      <c r="H70" s="305">
        <f>COUNTIFS(TUDB!$H$8:$H$2326,Use!$B70,TUDB!$F$8:$F$2326,Use!H$49)</f>
        <v>0</v>
      </c>
      <c r="I70" s="305">
        <f>COUNTIFS(TUDB!$H$8:$H$2326,Use!$B70,TUDB!$F$8:$F$2326,Use!I$49)</f>
        <v>0</v>
      </c>
      <c r="J70" s="305">
        <f>COUNTIFS(TUDB!$H$8:$H$2326,Use!$B70,TUDB!$F$8:$F$2326,Use!J$49)</f>
        <v>1</v>
      </c>
      <c r="K70" s="304">
        <f t="shared" si="14"/>
        <v>0</v>
      </c>
      <c r="L70" s="304">
        <f>IF(AND(G70&gt;0,SUM($E70:F70)=0),1,0)</f>
        <v>0</v>
      </c>
      <c r="M70" s="304">
        <f>IF(AND(H70&gt;0,SUM($E70:G70)=0),1,0)</f>
        <v>0</v>
      </c>
      <c r="N70" s="304">
        <f>IF(AND(I70&gt;0,SUM($E70:H70)=0),1,0)</f>
        <v>0</v>
      </c>
      <c r="O70" s="304">
        <f>IF(AND(J70&gt;0,SUM($E70:I70)=0),1,0)</f>
        <v>1</v>
      </c>
      <c r="P70" s="311"/>
      <c r="Q70" s="311"/>
      <c r="S70" s="152" t="s">
        <v>3693</v>
      </c>
      <c r="T70" s="152"/>
      <c r="U70" s="152"/>
      <c r="V70" s="152"/>
      <c r="W70" s="152"/>
      <c r="X70" s="152"/>
      <c r="Y70" s="152"/>
      <c r="Z70" s="152"/>
      <c r="AA70" s="152"/>
      <c r="AB70" s="152"/>
      <c r="AC70" s="152"/>
      <c r="AD70" s="152"/>
      <c r="AE70" s="152"/>
    </row>
    <row r="71" spans="2:32" x14ac:dyDescent="0.25">
      <c r="B71" s="306" t="str">
        <v>igQ02m0WmNOTceL8xZhL27yXJP33</v>
      </c>
      <c r="C71" s="306" t="s">
        <v>1342</v>
      </c>
      <c r="D71" s="308">
        <f t="shared" si="15"/>
        <v>2</v>
      </c>
      <c r="E71" s="308">
        <f>COUNTIFS(TUDB!$H$8:$H$2326,Use!$B71,TUDB!$F$8:$F$2326,Use!E$49)</f>
        <v>0</v>
      </c>
      <c r="F71" s="308">
        <f>COUNTIFS(TUDB!$H$8:$H$2326,Use!$B71,TUDB!$F$8:$F$2326,Use!F$49)</f>
        <v>0</v>
      </c>
      <c r="G71" s="308">
        <f>COUNTIFS(TUDB!$H$8:$H$2326,Use!$B71,TUDB!$F$8:$F$2326,Use!G$49)</f>
        <v>0</v>
      </c>
      <c r="H71" s="308">
        <f>COUNTIFS(TUDB!$H$8:$H$2326,Use!$B71,TUDB!$F$8:$F$2326,Use!H$49)</f>
        <v>0</v>
      </c>
      <c r="I71" s="308">
        <f>COUNTIFS(TUDB!$H$8:$H$2326,Use!$B71,TUDB!$F$8:$F$2326,Use!I$49)</f>
        <v>0</v>
      </c>
      <c r="J71" s="308">
        <f>COUNTIFS(TUDB!$H$8:$H$2326,Use!$B71,TUDB!$F$8:$F$2326,Use!J$49)</f>
        <v>2</v>
      </c>
      <c r="K71" s="307">
        <f t="shared" si="14"/>
        <v>0</v>
      </c>
      <c r="L71" s="307">
        <f>IF(AND(G71&gt;0,SUM($E71:F71)=0),1,0)</f>
        <v>0</v>
      </c>
      <c r="M71" s="307">
        <f>IF(AND(H71&gt;0,SUM($E71:G71)=0),1,0)</f>
        <v>0</v>
      </c>
      <c r="N71" s="307">
        <f>IF(AND(I71&gt;0,SUM($E71:H71)=0),1,0)</f>
        <v>0</v>
      </c>
      <c r="O71" s="307">
        <f>IF(AND(J71&gt;0,SUM($E71:I71)=0),1,0)</f>
        <v>1</v>
      </c>
      <c r="P71" s="312"/>
      <c r="Q71" s="312"/>
      <c r="S71" t="s">
        <v>4164</v>
      </c>
      <c r="T71" s="1">
        <f>COUNTIF(AF76:AF90,"&gt;"&amp;0)</f>
        <v>10</v>
      </c>
      <c r="U71" t="s">
        <v>4165</v>
      </c>
      <c r="V71">
        <f>SUM(U75,W75,Y75,AA75)</f>
        <v>1039</v>
      </c>
      <c r="Z71"/>
      <c r="AA71"/>
    </row>
    <row r="72" spans="2:32" ht="21.75" thickBot="1" x14ac:dyDescent="0.3">
      <c r="B72" s="303" t="str">
        <v>rEc6EuX5NUh3rTE9GqpcbwQ7zZF2</v>
      </c>
      <c r="C72" s="303" t="s">
        <v>4158</v>
      </c>
      <c r="D72" s="305">
        <f t="shared" si="15"/>
        <v>1</v>
      </c>
      <c r="E72" s="305">
        <f>COUNTIFS(TUDB!$H$8:$H$2326,Use!$B72,TUDB!$F$8:$F$2326,Use!E$49)</f>
        <v>0</v>
      </c>
      <c r="F72" s="305">
        <f>COUNTIFS(TUDB!$H$8:$H$2326,Use!$B72,TUDB!$F$8:$F$2326,Use!F$49)</f>
        <v>0</v>
      </c>
      <c r="G72" s="305">
        <f>COUNTIFS(TUDB!$H$8:$H$2326,Use!$B72,TUDB!$F$8:$F$2326,Use!G$49)</f>
        <v>0</v>
      </c>
      <c r="H72" s="305">
        <f>COUNTIFS(TUDB!$H$8:$H$2326,Use!$B72,TUDB!$F$8:$F$2326,Use!H$49)</f>
        <v>0</v>
      </c>
      <c r="I72" s="305">
        <f>COUNTIFS(TUDB!$H$8:$H$2326,Use!$B72,TUDB!$F$8:$F$2326,Use!I$49)</f>
        <v>0</v>
      </c>
      <c r="J72" s="305">
        <f>COUNTIFS(TUDB!$H$8:$H$2326,Use!$B72,TUDB!$F$8:$F$2326,Use!J$49)</f>
        <v>1</v>
      </c>
      <c r="K72" s="304">
        <f t="shared" si="14"/>
        <v>0</v>
      </c>
      <c r="L72" s="304">
        <f>IF(AND(G72&gt;0,SUM($E72:F72)=0),1,0)</f>
        <v>0</v>
      </c>
      <c r="M72" s="304">
        <f>IF(AND(H72&gt;0,SUM($E72:G72)=0),1,0)</f>
        <v>0</v>
      </c>
      <c r="N72" s="304">
        <f>IF(AND(I72&gt;0,SUM($E72:H72)=0),1,0)</f>
        <v>0</v>
      </c>
      <c r="O72" s="304">
        <f>IF(AND(J72&gt;0,SUM($E72:I72)=0),1,0)</f>
        <v>1</v>
      </c>
      <c r="P72" s="311"/>
      <c r="Q72" s="311"/>
      <c r="S72" s="292"/>
      <c r="T72" s="292"/>
      <c r="U72" s="292"/>
      <c r="V72" s="292"/>
      <c r="W72" s="292"/>
      <c r="X72" s="292"/>
      <c r="Y72" s="292"/>
      <c r="Z72" s="292"/>
      <c r="AA72" s="292"/>
      <c r="AB72" s="292"/>
      <c r="AC72" s="292"/>
    </row>
    <row r="73" spans="2:32" ht="15.75" thickTop="1" x14ac:dyDescent="0.25">
      <c r="B73" s="306" t="str">
        <v>dhoYk7GqqQe8fPLKfhTBIIYiuaY2</v>
      </c>
      <c r="C73" s="306" t="s">
        <v>1344</v>
      </c>
      <c r="D73" s="308">
        <f t="shared" si="15"/>
        <v>54</v>
      </c>
      <c r="E73" s="308">
        <f>COUNTIFS(TUDB!$H$8:$H$2326,Use!$B73,TUDB!$F$8:$F$2326,Use!E$49)</f>
        <v>0</v>
      </c>
      <c r="F73" s="308">
        <f>COUNTIFS(TUDB!$H$8:$H$2326,Use!$B73,TUDB!$F$8:$F$2326,Use!F$49)</f>
        <v>0</v>
      </c>
      <c r="G73" s="308">
        <f>COUNTIFS(TUDB!$H$8:$H$2326,Use!$B73,TUDB!$F$8:$F$2326,Use!G$49)</f>
        <v>0</v>
      </c>
      <c r="H73" s="308">
        <f>COUNTIFS(TUDB!$H$8:$H$2326,Use!$B73,TUDB!$F$8:$F$2326,Use!H$49)</f>
        <v>0</v>
      </c>
      <c r="I73" s="308">
        <f>COUNTIFS(TUDB!$H$8:$H$2326,Use!$B73,TUDB!$F$8:$F$2326,Use!I$49)</f>
        <v>0</v>
      </c>
      <c r="J73" s="308">
        <f>COUNTIFS(TUDB!$H$8:$H$2326,Use!$B73,TUDB!$F$8:$F$2326,Use!J$49)</f>
        <v>54</v>
      </c>
      <c r="K73" s="307">
        <f t="shared" si="14"/>
        <v>0</v>
      </c>
      <c r="L73" s="307">
        <f>IF(AND(G73&gt;0,SUM($E73:F73)=0),1,0)</f>
        <v>0</v>
      </c>
      <c r="M73" s="307">
        <f>IF(AND(H73&gt;0,SUM($E73:G73)=0),1,0)</f>
        <v>0</v>
      </c>
      <c r="N73" s="307">
        <f>IF(AND(I73&gt;0,SUM($E73:H73)=0),1,0)</f>
        <v>0</v>
      </c>
      <c r="O73" s="307">
        <f>IF(AND(J73&gt;0,SUM($E73:I73)=0),1,0)</f>
        <v>1</v>
      </c>
      <c r="P73" s="312"/>
      <c r="Q73" s="312"/>
      <c r="S73" s="555" t="s">
        <v>589</v>
      </c>
      <c r="T73" s="552">
        <v>2020</v>
      </c>
      <c r="U73" s="555"/>
      <c r="V73" s="552">
        <v>2021</v>
      </c>
      <c r="W73" s="555"/>
      <c r="X73" s="552">
        <v>2022</v>
      </c>
      <c r="Y73" s="555"/>
      <c r="Z73" s="552">
        <v>2023</v>
      </c>
      <c r="AA73" s="555"/>
      <c r="AB73" s="552">
        <v>2024</v>
      </c>
      <c r="AC73" s="555"/>
      <c r="AD73" s="552" t="s">
        <v>133</v>
      </c>
      <c r="AE73" s="553"/>
    </row>
    <row r="74" spans="2:32" ht="22.5" customHeight="1" x14ac:dyDescent="0.25">
      <c r="B74" s="303" t="str">
        <v>KCxLpWVzDWbVaMFSRHn2CmI0Qmi1</v>
      </c>
      <c r="C74" s="303" t="s">
        <v>4160</v>
      </c>
      <c r="D74" s="305">
        <f t="shared" si="15"/>
        <v>10</v>
      </c>
      <c r="E74" s="305">
        <f>COUNTIFS(TUDB!$H$8:$H$2326,Use!$B74,TUDB!$F$8:$F$2326,Use!E$49)</f>
        <v>0</v>
      </c>
      <c r="F74" s="305">
        <f>COUNTIFS(TUDB!$H$8:$H$2326,Use!$B74,TUDB!$F$8:$F$2326,Use!F$49)</f>
        <v>0</v>
      </c>
      <c r="G74" s="305">
        <f>COUNTIFS(TUDB!$H$8:$H$2326,Use!$B74,TUDB!$F$8:$F$2326,Use!G$49)</f>
        <v>0</v>
      </c>
      <c r="H74" s="305">
        <f>COUNTIFS(TUDB!$H$8:$H$2326,Use!$B74,TUDB!$F$8:$F$2326,Use!H$49)</f>
        <v>0</v>
      </c>
      <c r="I74" s="305">
        <f>COUNTIFS(TUDB!$H$8:$H$2326,Use!$B74,TUDB!$F$8:$F$2326,Use!I$49)</f>
        <v>0</v>
      </c>
      <c r="J74" s="305">
        <f>COUNTIFS(TUDB!$H$8:$H$2326,Use!$B74,TUDB!$F$8:$F$2326,Use!J$49)</f>
        <v>10</v>
      </c>
      <c r="K74" s="304">
        <f t="shared" si="14"/>
        <v>0</v>
      </c>
      <c r="L74" s="304">
        <f>IF(AND(G74&gt;0,SUM($E74:F74)=0),1,0)</f>
        <v>0</v>
      </c>
      <c r="M74" s="304">
        <f>IF(AND(H74&gt;0,SUM($E74:G74)=0),1,0)</f>
        <v>0</v>
      </c>
      <c r="N74" s="304">
        <f>IF(AND(I74&gt;0,SUM($E74:H74)=0),1,0)</f>
        <v>0</v>
      </c>
      <c r="O74" s="304">
        <f>IF(AND(J74&gt;0,SUM($E74:I74)=0),1,0)</f>
        <v>1</v>
      </c>
      <c r="P74" s="311"/>
      <c r="Q74" s="311"/>
      <c r="S74" s="556"/>
      <c r="T74" s="296" t="s">
        <v>4155</v>
      </c>
      <c r="U74" s="297" t="s">
        <v>4156</v>
      </c>
      <c r="V74" s="296" t="s">
        <v>4155</v>
      </c>
      <c r="W74" s="297" t="s">
        <v>4156</v>
      </c>
      <c r="X74" s="296" t="s">
        <v>4155</v>
      </c>
      <c r="Y74" s="297" t="s">
        <v>4156</v>
      </c>
      <c r="Z74" s="296" t="s">
        <v>4155</v>
      </c>
      <c r="AA74" s="297" t="s">
        <v>4156</v>
      </c>
      <c r="AB74" s="296" t="s">
        <v>4155</v>
      </c>
      <c r="AC74" s="297" t="s">
        <v>4156</v>
      </c>
      <c r="AD74" s="296" t="s">
        <v>4155</v>
      </c>
      <c r="AE74" s="296" t="s">
        <v>4156</v>
      </c>
    </row>
    <row r="75" spans="2:32" x14ac:dyDescent="0.25">
      <c r="B75" s="306" t="str">
        <v>o5zic4ETzdd5PipfQYi5lwBQ6dP2</v>
      </c>
      <c r="C75" s="306" t="s">
        <v>5969</v>
      </c>
      <c r="D75" s="308">
        <f t="shared" si="15"/>
        <v>10</v>
      </c>
      <c r="E75" s="308">
        <f>COUNTIFS(TUDB!$H$8:$H$2326,Use!$B75,TUDB!$F$8:$F$2326,Use!E$49)</f>
        <v>0</v>
      </c>
      <c r="F75" s="308">
        <f>COUNTIFS(TUDB!$H$8:$H$2326,Use!$B75,TUDB!$F$8:$F$2326,Use!F$49)</f>
        <v>0</v>
      </c>
      <c r="G75" s="308">
        <f>COUNTIFS(TUDB!$H$8:$H$2326,Use!$B75,TUDB!$F$8:$F$2326,Use!G$49)</f>
        <v>0</v>
      </c>
      <c r="H75" s="308">
        <f>COUNTIFS(TUDB!$H$8:$H$2326,Use!$B75,TUDB!$F$8:$F$2326,Use!H$49)</f>
        <v>0</v>
      </c>
      <c r="I75" s="308">
        <f>COUNTIFS(TUDB!$H$8:$H$2326,Use!$B75,TUDB!$F$8:$F$2326,Use!I$49)</f>
        <v>0</v>
      </c>
      <c r="J75" s="308">
        <f>COUNTIFS(TUDB!$H$8:$H$2326,Use!$B75,TUDB!$F$8:$F$2326,Use!J$49)</f>
        <v>10</v>
      </c>
      <c r="K75" s="307">
        <f t="shared" si="14"/>
        <v>0</v>
      </c>
      <c r="L75" s="307">
        <f>IF(AND(G75&gt;0,SUM($E75:F75)=0),1,0)</f>
        <v>0</v>
      </c>
      <c r="M75" s="307">
        <f>IF(AND(H75&gt;0,SUM($E75:G75)=0),1,0)</f>
        <v>0</v>
      </c>
      <c r="N75" s="307">
        <f>IF(AND(I75&gt;0,SUM($E75:H75)=0),1,0)</f>
        <v>0</v>
      </c>
      <c r="O75" s="307">
        <f>IF(AND(J75&gt;0,SUM($E75:I75)=0),1,0)</f>
        <v>1</v>
      </c>
      <c r="P75" s="312"/>
      <c r="Q75" s="312"/>
      <c r="S75" s="228" t="s">
        <v>2340</v>
      </c>
      <c r="T75" s="284">
        <f>SUM(T76:T90)</f>
        <v>18</v>
      </c>
      <c r="U75" s="285">
        <f t="shared" ref="U75:AC75" si="21">SUM(U76:U90)</f>
        <v>103</v>
      </c>
      <c r="V75" s="229">
        <f t="shared" si="21"/>
        <v>47</v>
      </c>
      <c r="W75" s="285">
        <f t="shared" si="21"/>
        <v>367</v>
      </c>
      <c r="X75" s="229">
        <f t="shared" si="21"/>
        <v>43</v>
      </c>
      <c r="Y75" s="229">
        <f t="shared" si="21"/>
        <v>275</v>
      </c>
      <c r="Z75" s="284">
        <f t="shared" si="21"/>
        <v>48</v>
      </c>
      <c r="AA75" s="285">
        <f t="shared" si="21"/>
        <v>294</v>
      </c>
      <c r="AB75" s="229">
        <f t="shared" si="21"/>
        <v>19</v>
      </c>
      <c r="AC75" s="229">
        <f t="shared" si="21"/>
        <v>222</v>
      </c>
      <c r="AD75" s="229">
        <f t="shared" ref="AD75:AE75" si="22">SUM(AD76:AD90)</f>
        <v>157</v>
      </c>
      <c r="AE75" s="229">
        <f t="shared" si="22"/>
        <v>1158</v>
      </c>
    </row>
    <row r="76" spans="2:32" x14ac:dyDescent="0.25">
      <c r="B76" s="303" t="str">
        <v>VcgQ0dTFt9QvzcwNDAN6mP3Yn2H2</v>
      </c>
      <c r="C76" s="303" t="s">
        <v>5969</v>
      </c>
      <c r="D76" s="305">
        <f t="shared" si="15"/>
        <v>5</v>
      </c>
      <c r="E76" s="305">
        <f>COUNTIFS(TUDB!$H$8:$H$2326,Use!$B76,TUDB!$F$8:$F$2326,Use!E$49)</f>
        <v>0</v>
      </c>
      <c r="F76" s="305">
        <f>COUNTIFS(TUDB!$H$8:$H$2326,Use!$B76,TUDB!$F$8:$F$2326,Use!F$49)</f>
        <v>0</v>
      </c>
      <c r="G76" s="305">
        <f>COUNTIFS(TUDB!$H$8:$H$2326,Use!$B76,TUDB!$F$8:$F$2326,Use!G$49)</f>
        <v>0</v>
      </c>
      <c r="H76" s="305">
        <f>COUNTIFS(TUDB!$H$8:$H$2326,Use!$B76,TUDB!$F$8:$F$2326,Use!H$49)</f>
        <v>0</v>
      </c>
      <c r="I76" s="305">
        <f>COUNTIFS(TUDB!$H$8:$H$2326,Use!$B76,TUDB!$F$8:$F$2326,Use!I$49)</f>
        <v>0</v>
      </c>
      <c r="J76" s="305">
        <f>COUNTIFS(TUDB!$H$8:$H$2326,Use!$B76,TUDB!$F$8:$F$2326,Use!J$49)</f>
        <v>5</v>
      </c>
      <c r="K76" s="304">
        <f t="shared" si="14"/>
        <v>0</v>
      </c>
      <c r="L76" s="304">
        <f>IF(AND(G76&gt;0,SUM($E76:F76)=0),1,0)</f>
        <v>0</v>
      </c>
      <c r="M76" s="304">
        <f>IF(AND(H76&gt;0,SUM($E76:G76)=0),1,0)</f>
        <v>0</v>
      </c>
      <c r="N76" s="304">
        <f>IF(AND(I76&gt;0,SUM($E76:H76)=0),1,0)</f>
        <v>0</v>
      </c>
      <c r="O76" s="304">
        <f>IF(AND(J76&gt;0,SUM($E76:I76)=0),1,0)</f>
        <v>1</v>
      </c>
      <c r="P76" s="311"/>
      <c r="Q76" s="311"/>
      <c r="S76" s="230" t="s">
        <v>1346</v>
      </c>
      <c r="T76" s="274">
        <f t="shared" ref="T76:T87" si="23">COUNTIFS($C$50:$C$549,$S76,$F$50:$F$549,"&gt;"&amp;0)</f>
        <v>0</v>
      </c>
      <c r="U76" s="275">
        <f t="shared" ref="U76:U87" si="24">SUMIFS($F$50:$F$549,$C$50:$C$549,$S76)</f>
        <v>0</v>
      </c>
      <c r="V76" s="274">
        <f t="shared" ref="V76:V87" si="25">COUNTIFS($C$50:$C$549,$S76,$G$50:$G$549,"&gt;"&amp;0)</f>
        <v>0</v>
      </c>
      <c r="W76" s="275">
        <f t="shared" ref="W76:W87" si="26">SUMIFS($G$50:$G$549,$C$50:$C$549,$S76)</f>
        <v>0</v>
      </c>
      <c r="X76" s="274">
        <f t="shared" ref="X76:X87" si="27">COUNTIFS($C$50:$C$549,$S76,$H$50:$H$549,"&gt;"&amp;0)</f>
        <v>0</v>
      </c>
      <c r="Y76" s="275">
        <f t="shared" ref="Y76:Y87" si="28">SUMIFS($H$50:$H$549,$C$50:$C$549,$S76)</f>
        <v>0</v>
      </c>
      <c r="Z76" s="274">
        <f t="shared" ref="Z76:Z87" si="29">COUNTIFS($C$50:$C$549,$S76,$I$50:$I$549,"&gt;"&amp;0)</f>
        <v>0</v>
      </c>
      <c r="AA76" s="275">
        <f t="shared" ref="AA76:AA87" si="30">SUMIFS($I$50:$I$549,$C$50:$C$549,$S76)</f>
        <v>0</v>
      </c>
      <c r="AB76" s="274">
        <f>COUNTIFS($C$50:$C$549,$S76,$J$49:$J$548,"&gt;"&amp;0)</f>
        <v>0</v>
      </c>
      <c r="AC76" s="275">
        <f>SUMIFS($J$50:$J$549,$C$50:$C$549,$S76)</f>
        <v>0</v>
      </c>
      <c r="AD76" s="224">
        <f t="shared" ref="AD76:AD95" si="31">SUM(V76,X76,Z76,AB76)</f>
        <v>0</v>
      </c>
      <c r="AE76" s="224">
        <f>SUM(W76,Y76,AA76,AC76)</f>
        <v>0</v>
      </c>
      <c r="AF76" s="316">
        <f t="shared" ref="AF76:AF90" si="32">SUM(T76,V76,X76,Z76)</f>
        <v>0</v>
      </c>
    </row>
    <row r="77" spans="2:32" x14ac:dyDescent="0.25">
      <c r="B77" s="306" t="str">
        <v>5RQuWak2yTbCLXixyDsqyBCU9CA2</v>
      </c>
      <c r="C77" s="306" t="s">
        <v>578</v>
      </c>
      <c r="D77" s="308">
        <f t="shared" si="15"/>
        <v>9</v>
      </c>
      <c r="E77" s="308">
        <f>COUNTIFS(TUDB!$H$8:$H$2326,Use!$B77,TUDB!$F$8:$F$2326,Use!E$49)</f>
        <v>0</v>
      </c>
      <c r="F77" s="308">
        <f>COUNTIFS(TUDB!$H$8:$H$2326,Use!$B77,TUDB!$F$8:$F$2326,Use!F$49)</f>
        <v>0</v>
      </c>
      <c r="G77" s="308">
        <f>COUNTIFS(TUDB!$H$8:$H$2326,Use!$B77,TUDB!$F$8:$F$2326,Use!G$49)</f>
        <v>4</v>
      </c>
      <c r="H77" s="308">
        <f>COUNTIFS(TUDB!$H$8:$H$2326,Use!$B77,TUDB!$F$8:$F$2326,Use!H$49)</f>
        <v>4</v>
      </c>
      <c r="I77" s="308">
        <f>COUNTIFS(TUDB!$H$8:$H$2326,Use!$B77,TUDB!$F$8:$F$2326,Use!I$49)</f>
        <v>0</v>
      </c>
      <c r="J77" s="308">
        <f>COUNTIFS(TUDB!$H$8:$H$2326,Use!$B77,TUDB!$F$8:$F$2326,Use!J$49)</f>
        <v>1</v>
      </c>
      <c r="K77" s="307">
        <f t="shared" si="14"/>
        <v>0</v>
      </c>
      <c r="L77" s="307">
        <f>IF(AND(G77&gt;0,SUM($E77:F77)=0),1,0)</f>
        <v>1</v>
      </c>
      <c r="M77" s="307">
        <f>IF(AND(H77&gt;0,SUM($E77:G77)=0),1,0)</f>
        <v>0</v>
      </c>
      <c r="N77" s="307">
        <f>IF(AND(I77&gt;0,SUM($E77:H77)=0),1,0)</f>
        <v>0</v>
      </c>
      <c r="O77" s="307">
        <f>IF(AND(J77&gt;0,SUM($E77:I77)=0),1,0)</f>
        <v>0</v>
      </c>
      <c r="P77" s="312"/>
      <c r="Q77" s="312"/>
      <c r="S77" s="230" t="s">
        <v>1349</v>
      </c>
      <c r="T77" s="274">
        <f t="shared" si="23"/>
        <v>0</v>
      </c>
      <c r="U77" s="275">
        <f t="shared" si="24"/>
        <v>0</v>
      </c>
      <c r="V77" s="274">
        <f t="shared" si="25"/>
        <v>0</v>
      </c>
      <c r="W77" s="275">
        <f t="shared" si="26"/>
        <v>0</v>
      </c>
      <c r="X77" s="274">
        <f t="shared" si="27"/>
        <v>0</v>
      </c>
      <c r="Y77" s="275">
        <f t="shared" si="28"/>
        <v>0</v>
      </c>
      <c r="Z77" s="274">
        <f t="shared" si="29"/>
        <v>0</v>
      </c>
      <c r="AA77" s="275">
        <f t="shared" si="30"/>
        <v>0</v>
      </c>
      <c r="AB77" s="274">
        <f t="shared" ref="AB77:AB95" si="33">COUNTIFS($C$50:$C$549,$S77,$J$49:$J$548,"&gt;"&amp;0)</f>
        <v>0</v>
      </c>
      <c r="AC77" s="275">
        <f t="shared" ref="AC77:AC95" si="34">SUMIFS($J$50:$J$549,$C$50:$C$549,$S77)</f>
        <v>0</v>
      </c>
      <c r="AD77" s="224">
        <f t="shared" si="31"/>
        <v>0</v>
      </c>
      <c r="AE77" s="224">
        <f t="shared" ref="AE77:AE95" si="35">SUM(W77,Y77,AA77,AC77)</f>
        <v>0</v>
      </c>
      <c r="AF77" s="316">
        <f t="shared" si="32"/>
        <v>0</v>
      </c>
    </row>
    <row r="78" spans="2:32" x14ac:dyDescent="0.25">
      <c r="B78" s="303" t="str">
        <v>Qa8zCFJze3TAFBtRlCzL60f4jez2</v>
      </c>
      <c r="C78" s="303" t="s">
        <v>578</v>
      </c>
      <c r="D78" s="305">
        <f t="shared" si="15"/>
        <v>5</v>
      </c>
      <c r="E78" s="305">
        <f>COUNTIFS(TUDB!$H$8:$H$2326,Use!$B78,TUDB!$F$8:$F$2326,Use!E$49)</f>
        <v>0</v>
      </c>
      <c r="F78" s="305">
        <f>COUNTIFS(TUDB!$H$8:$H$2326,Use!$B78,TUDB!$F$8:$F$2326,Use!F$49)</f>
        <v>0</v>
      </c>
      <c r="G78" s="305">
        <f>COUNTIFS(TUDB!$H$8:$H$2326,Use!$B78,TUDB!$F$8:$F$2326,Use!G$49)</f>
        <v>0</v>
      </c>
      <c r="H78" s="305">
        <f>COUNTIFS(TUDB!$H$8:$H$2326,Use!$B78,TUDB!$F$8:$F$2326,Use!H$49)</f>
        <v>0</v>
      </c>
      <c r="I78" s="305">
        <f>COUNTIFS(TUDB!$H$8:$H$2326,Use!$B78,TUDB!$F$8:$F$2326,Use!I$49)</f>
        <v>4</v>
      </c>
      <c r="J78" s="305">
        <f>COUNTIFS(TUDB!$H$8:$H$2326,Use!$B78,TUDB!$F$8:$F$2326,Use!J$49)</f>
        <v>1</v>
      </c>
      <c r="K78" s="304">
        <f t="shared" si="14"/>
        <v>0</v>
      </c>
      <c r="L78" s="304">
        <f>IF(AND(G78&gt;0,SUM($E78:F78)=0),1,0)</f>
        <v>0</v>
      </c>
      <c r="M78" s="304">
        <f>IF(AND(H78&gt;0,SUM($E78:G78)=0),1,0)</f>
        <v>0</v>
      </c>
      <c r="N78" s="304">
        <f>IF(AND(I78&gt;0,SUM($E78:H78)=0),1,0)</f>
        <v>1</v>
      </c>
      <c r="O78" s="304">
        <f>IF(AND(J78&gt;0,SUM($E78:I78)=0),1,0)</f>
        <v>0</v>
      </c>
      <c r="P78" s="311"/>
      <c r="Q78" s="311"/>
      <c r="S78" s="230" t="s">
        <v>1342</v>
      </c>
      <c r="T78" s="274">
        <f t="shared" si="23"/>
        <v>0</v>
      </c>
      <c r="U78" s="275">
        <f t="shared" si="24"/>
        <v>0</v>
      </c>
      <c r="V78" s="274">
        <f t="shared" si="25"/>
        <v>1</v>
      </c>
      <c r="W78" s="275">
        <f t="shared" si="26"/>
        <v>8</v>
      </c>
      <c r="X78" s="274">
        <f t="shared" si="27"/>
        <v>0</v>
      </c>
      <c r="Y78" s="275">
        <f t="shared" si="28"/>
        <v>0</v>
      </c>
      <c r="Z78" s="274">
        <f t="shared" si="29"/>
        <v>1</v>
      </c>
      <c r="AA78" s="275">
        <f t="shared" si="30"/>
        <v>12</v>
      </c>
      <c r="AB78" s="274">
        <f t="shared" si="33"/>
        <v>2</v>
      </c>
      <c r="AC78" s="275">
        <f t="shared" si="34"/>
        <v>5</v>
      </c>
      <c r="AD78" s="224">
        <f t="shared" si="31"/>
        <v>4</v>
      </c>
      <c r="AE78" s="224">
        <f t="shared" si="35"/>
        <v>25</v>
      </c>
      <c r="AF78" s="316">
        <f t="shared" si="32"/>
        <v>2</v>
      </c>
    </row>
    <row r="79" spans="2:32" x14ac:dyDescent="0.25">
      <c r="B79" s="306" t="str">
        <v>amwdiMGvitOCDTrNZryY37rt5Vw1</v>
      </c>
      <c r="C79" s="306" t="s">
        <v>1342</v>
      </c>
      <c r="D79" s="308">
        <f t="shared" si="15"/>
        <v>3</v>
      </c>
      <c r="E79" s="308">
        <f>COUNTIFS(TUDB!$H$8:$H$2326,Use!$B79,TUDB!$F$8:$F$2326,Use!E$49)</f>
        <v>0</v>
      </c>
      <c r="F79" s="308">
        <f>COUNTIFS(TUDB!$H$8:$H$2326,Use!$B79,TUDB!$F$8:$F$2326,Use!F$49)</f>
        <v>0</v>
      </c>
      <c r="G79" s="308">
        <f>COUNTIFS(TUDB!$H$8:$H$2326,Use!$B79,TUDB!$F$8:$F$2326,Use!G$49)</f>
        <v>0</v>
      </c>
      <c r="H79" s="308">
        <f>COUNTIFS(TUDB!$H$8:$H$2326,Use!$B79,TUDB!$F$8:$F$2326,Use!H$49)</f>
        <v>0</v>
      </c>
      <c r="I79" s="308">
        <f>COUNTIFS(TUDB!$H$8:$H$2326,Use!$B79,TUDB!$F$8:$F$2326,Use!I$49)</f>
        <v>0</v>
      </c>
      <c r="J79" s="308">
        <f>COUNTIFS(TUDB!$H$8:$H$2326,Use!$B79,TUDB!$F$8:$F$2326,Use!J$49)</f>
        <v>3</v>
      </c>
      <c r="K79" s="307">
        <f t="shared" si="14"/>
        <v>0</v>
      </c>
      <c r="L79" s="307">
        <f>IF(AND(G79&gt;0,SUM($E79:F79)=0),1,0)</f>
        <v>0</v>
      </c>
      <c r="M79" s="307">
        <f>IF(AND(H79&gt;0,SUM($E79:G79)=0),1,0)</f>
        <v>0</v>
      </c>
      <c r="N79" s="307">
        <f>IF(AND(I79&gt;0,SUM($E79:H79)=0),1,0)</f>
        <v>0</v>
      </c>
      <c r="O79" s="307">
        <f>IF(AND(J79&gt;0,SUM($E79:I79)=0),1,0)</f>
        <v>1</v>
      </c>
      <c r="P79" s="312"/>
      <c r="Q79" s="312"/>
      <c r="S79" s="230" t="s">
        <v>1345</v>
      </c>
      <c r="T79" s="274">
        <f t="shared" si="23"/>
        <v>0</v>
      </c>
      <c r="U79" s="275">
        <f t="shared" si="24"/>
        <v>0</v>
      </c>
      <c r="V79" s="274">
        <f t="shared" si="25"/>
        <v>0</v>
      </c>
      <c r="W79" s="275">
        <f t="shared" si="26"/>
        <v>0</v>
      </c>
      <c r="X79" s="274">
        <f t="shared" si="27"/>
        <v>0</v>
      </c>
      <c r="Y79" s="275">
        <f t="shared" si="28"/>
        <v>0</v>
      </c>
      <c r="Z79" s="274">
        <f t="shared" si="29"/>
        <v>0</v>
      </c>
      <c r="AA79" s="275">
        <f t="shared" si="30"/>
        <v>0</v>
      </c>
      <c r="AB79" s="274">
        <f t="shared" si="33"/>
        <v>0</v>
      </c>
      <c r="AC79" s="275">
        <f t="shared" si="34"/>
        <v>0</v>
      </c>
      <c r="AD79" s="224">
        <f t="shared" si="31"/>
        <v>0</v>
      </c>
      <c r="AE79" s="224">
        <f t="shared" si="35"/>
        <v>0</v>
      </c>
      <c r="AF79" s="316">
        <f t="shared" si="32"/>
        <v>0</v>
      </c>
    </row>
    <row r="80" spans="2:32" x14ac:dyDescent="0.25">
      <c r="B80" s="303" t="str">
        <v>ODZAZt42ngf0K8HRsQw4BSqkli42</v>
      </c>
      <c r="C80" s="303" t="s">
        <v>4160</v>
      </c>
      <c r="D80" s="305">
        <f t="shared" si="15"/>
        <v>69</v>
      </c>
      <c r="E80" s="305">
        <f>COUNTIFS(TUDB!$H$8:$H$2326,Use!$B80,TUDB!$F$8:$F$2326,Use!E$49)</f>
        <v>0</v>
      </c>
      <c r="F80" s="305">
        <f>COUNTIFS(TUDB!$H$8:$H$2326,Use!$B80,TUDB!$F$8:$F$2326,Use!F$49)</f>
        <v>0</v>
      </c>
      <c r="G80" s="305">
        <f>COUNTIFS(TUDB!$H$8:$H$2326,Use!$B80,TUDB!$F$8:$F$2326,Use!G$49)</f>
        <v>0</v>
      </c>
      <c r="H80" s="305">
        <f>COUNTIFS(TUDB!$H$8:$H$2326,Use!$B80,TUDB!$F$8:$F$2326,Use!H$49)</f>
        <v>8</v>
      </c>
      <c r="I80" s="305">
        <f>COUNTIFS(TUDB!$H$8:$H$2326,Use!$B80,TUDB!$F$8:$F$2326,Use!I$49)</f>
        <v>49</v>
      </c>
      <c r="J80" s="305">
        <f>COUNTIFS(TUDB!$H$8:$H$2326,Use!$B80,TUDB!$F$8:$F$2326,Use!J$49)</f>
        <v>12</v>
      </c>
      <c r="K80" s="304">
        <f t="shared" si="14"/>
        <v>0</v>
      </c>
      <c r="L80" s="304">
        <f>IF(AND(G80&gt;0,SUM($E80:F80)=0),1,0)</f>
        <v>0</v>
      </c>
      <c r="M80" s="304">
        <f>IF(AND(H80&gt;0,SUM($E80:G80)=0),1,0)</f>
        <v>1</v>
      </c>
      <c r="N80" s="304">
        <f>IF(AND(I80&gt;0,SUM($E80:H80)=0),1,0)</f>
        <v>0</v>
      </c>
      <c r="O80" s="304">
        <f>IF(AND(J80&gt;0,SUM($E80:I80)=0),1,0)</f>
        <v>0</v>
      </c>
      <c r="P80" s="311"/>
      <c r="Q80" s="311"/>
      <c r="S80" s="230" t="s">
        <v>1339</v>
      </c>
      <c r="T80" s="274">
        <f t="shared" si="23"/>
        <v>1</v>
      </c>
      <c r="U80" s="275">
        <f t="shared" si="24"/>
        <v>2</v>
      </c>
      <c r="V80" s="274">
        <f t="shared" si="25"/>
        <v>11</v>
      </c>
      <c r="W80" s="275">
        <f t="shared" si="26"/>
        <v>122</v>
      </c>
      <c r="X80" s="274">
        <f t="shared" si="27"/>
        <v>9</v>
      </c>
      <c r="Y80" s="275">
        <f t="shared" si="28"/>
        <v>75</v>
      </c>
      <c r="Z80" s="274">
        <f t="shared" si="29"/>
        <v>10</v>
      </c>
      <c r="AA80" s="275">
        <f t="shared" si="30"/>
        <v>118</v>
      </c>
      <c r="AB80" s="274">
        <f t="shared" si="33"/>
        <v>3</v>
      </c>
      <c r="AC80" s="275">
        <f t="shared" si="34"/>
        <v>116</v>
      </c>
      <c r="AD80" s="224">
        <f t="shared" si="31"/>
        <v>33</v>
      </c>
      <c r="AE80" s="224">
        <f t="shared" si="35"/>
        <v>431</v>
      </c>
      <c r="AF80" s="316">
        <f t="shared" si="32"/>
        <v>31</v>
      </c>
    </row>
    <row r="81" spans="2:32" x14ac:dyDescent="0.25">
      <c r="B81" s="306" t="str">
        <v>b5Q5MWoIy9OOBrhn8HbZMPPsGST2</v>
      </c>
      <c r="C81" s="306" t="s">
        <v>4160</v>
      </c>
      <c r="D81" s="308">
        <f t="shared" si="15"/>
        <v>55</v>
      </c>
      <c r="E81" s="308">
        <f>COUNTIFS(TUDB!$H$8:$H$2326,Use!$B81,TUDB!$F$8:$F$2326,Use!E$49)</f>
        <v>0</v>
      </c>
      <c r="F81" s="308">
        <f>COUNTIFS(TUDB!$H$8:$H$2326,Use!$B81,TUDB!$F$8:$F$2326,Use!F$49)</f>
        <v>9</v>
      </c>
      <c r="G81" s="308">
        <f>COUNTIFS(TUDB!$H$8:$H$2326,Use!$B81,TUDB!$F$8:$F$2326,Use!G$49)</f>
        <v>16</v>
      </c>
      <c r="H81" s="308">
        <f>COUNTIFS(TUDB!$H$8:$H$2326,Use!$B81,TUDB!$F$8:$F$2326,Use!H$49)</f>
        <v>12</v>
      </c>
      <c r="I81" s="308">
        <f>COUNTIFS(TUDB!$H$8:$H$2326,Use!$B81,TUDB!$F$8:$F$2326,Use!I$49)</f>
        <v>17</v>
      </c>
      <c r="J81" s="308">
        <f>COUNTIFS(TUDB!$H$8:$H$2326,Use!$B81,TUDB!$F$8:$F$2326,Use!J$49)</f>
        <v>1</v>
      </c>
      <c r="K81" s="307">
        <f t="shared" si="14"/>
        <v>1</v>
      </c>
      <c r="L81" s="307">
        <f>IF(AND(G81&gt;0,SUM($E81:F81)=0),1,0)</f>
        <v>0</v>
      </c>
      <c r="M81" s="307">
        <f>IF(AND(H81&gt;0,SUM($E81:G81)=0),1,0)</f>
        <v>0</v>
      </c>
      <c r="N81" s="307">
        <f>IF(AND(I81&gt;0,SUM($E81:H81)=0),1,0)</f>
        <v>0</v>
      </c>
      <c r="O81" s="307">
        <f>IF(AND(J81&gt;0,SUM($E81:I81)=0),1,0)</f>
        <v>0</v>
      </c>
      <c r="P81" s="312"/>
      <c r="Q81" s="312"/>
      <c r="S81" s="230" t="s">
        <v>1344</v>
      </c>
      <c r="T81" s="274">
        <f t="shared" si="23"/>
        <v>1</v>
      </c>
      <c r="U81" s="275">
        <f t="shared" si="24"/>
        <v>1</v>
      </c>
      <c r="V81" s="274">
        <f t="shared" si="25"/>
        <v>1</v>
      </c>
      <c r="W81" s="275">
        <f t="shared" si="26"/>
        <v>3</v>
      </c>
      <c r="X81" s="274">
        <f t="shared" si="27"/>
        <v>1</v>
      </c>
      <c r="Y81" s="275">
        <f t="shared" si="28"/>
        <v>1</v>
      </c>
      <c r="Z81" s="274">
        <f t="shared" si="29"/>
        <v>5</v>
      </c>
      <c r="AA81" s="275">
        <f t="shared" si="30"/>
        <v>10</v>
      </c>
      <c r="AB81" s="274">
        <f t="shared" si="33"/>
        <v>2</v>
      </c>
      <c r="AC81" s="275">
        <f t="shared" si="34"/>
        <v>54</v>
      </c>
      <c r="AD81" s="224">
        <f t="shared" si="31"/>
        <v>9</v>
      </c>
      <c r="AE81" s="224">
        <f t="shared" si="35"/>
        <v>68</v>
      </c>
      <c r="AF81" s="316">
        <f t="shared" si="32"/>
        <v>8</v>
      </c>
    </row>
    <row r="82" spans="2:32" x14ac:dyDescent="0.25">
      <c r="B82" s="303" t="str">
        <v>2XHDjq71v6QuQ2mR0YUjDtciKej1</v>
      </c>
      <c r="C82" s="303" t="s">
        <v>2341</v>
      </c>
      <c r="D82" s="305">
        <f t="shared" si="15"/>
        <v>3</v>
      </c>
      <c r="E82" s="305">
        <f>COUNTIFS(TUDB!$H$8:$H$2326,Use!$B82,TUDB!$F$8:$F$2326,Use!E$49)</f>
        <v>0</v>
      </c>
      <c r="F82" s="305">
        <f>COUNTIFS(TUDB!$H$8:$H$2326,Use!$B82,TUDB!$F$8:$F$2326,Use!F$49)</f>
        <v>0</v>
      </c>
      <c r="G82" s="305">
        <f>COUNTIFS(TUDB!$H$8:$H$2326,Use!$B82,TUDB!$F$8:$F$2326,Use!G$49)</f>
        <v>0</v>
      </c>
      <c r="H82" s="305">
        <f>COUNTIFS(TUDB!$H$8:$H$2326,Use!$B82,TUDB!$F$8:$F$2326,Use!H$49)</f>
        <v>0</v>
      </c>
      <c r="I82" s="305">
        <f>COUNTIFS(TUDB!$H$8:$H$2326,Use!$B82,TUDB!$F$8:$F$2326,Use!I$49)</f>
        <v>1</v>
      </c>
      <c r="J82" s="305">
        <f>COUNTIFS(TUDB!$H$8:$H$2326,Use!$B82,TUDB!$F$8:$F$2326,Use!J$49)</f>
        <v>2</v>
      </c>
      <c r="K82" s="304">
        <f t="shared" ref="K82:K113" si="36">IF(AND(F82&gt;0,SUM($E82)=0),1,0)</f>
        <v>0</v>
      </c>
      <c r="L82" s="304">
        <f>IF(AND(G82&gt;0,SUM($E82:F82)=0),1,0)</f>
        <v>0</v>
      </c>
      <c r="M82" s="304">
        <f>IF(AND(H82&gt;0,SUM($E82:G82)=0),1,0)</f>
        <v>0</v>
      </c>
      <c r="N82" s="304">
        <f>IF(AND(I82&gt;0,SUM($E82:H82)=0),1,0)</f>
        <v>1</v>
      </c>
      <c r="O82" s="304">
        <f>IF(AND(J82&gt;0,SUM($E82:I82)=0),1,0)</f>
        <v>0</v>
      </c>
      <c r="P82" s="311"/>
      <c r="Q82" s="311"/>
      <c r="S82" s="230" t="s">
        <v>578</v>
      </c>
      <c r="T82" s="274">
        <f t="shared" si="23"/>
        <v>10</v>
      </c>
      <c r="U82" s="275">
        <f t="shared" si="24"/>
        <v>77</v>
      </c>
      <c r="V82" s="274">
        <f t="shared" si="25"/>
        <v>13</v>
      </c>
      <c r="W82" s="275">
        <f t="shared" si="26"/>
        <v>105</v>
      </c>
      <c r="X82" s="274">
        <f t="shared" si="27"/>
        <v>9</v>
      </c>
      <c r="Y82" s="275">
        <f t="shared" si="28"/>
        <v>59</v>
      </c>
      <c r="Z82" s="274">
        <f t="shared" si="29"/>
        <v>9</v>
      </c>
      <c r="AA82" s="275">
        <f t="shared" si="30"/>
        <v>51</v>
      </c>
      <c r="AB82" s="274">
        <f t="shared" si="33"/>
        <v>8</v>
      </c>
      <c r="AC82" s="275">
        <f t="shared" si="34"/>
        <v>41</v>
      </c>
      <c r="AD82" s="224">
        <f t="shared" si="31"/>
        <v>39</v>
      </c>
      <c r="AE82" s="224">
        <f t="shared" si="35"/>
        <v>256</v>
      </c>
      <c r="AF82" s="316">
        <f t="shared" si="32"/>
        <v>41</v>
      </c>
    </row>
    <row r="83" spans="2:32" x14ac:dyDescent="0.25">
      <c r="B83" s="306" t="str">
        <v>xYjaaWkJX4fiKpH7uMmSdC5YE0h2</v>
      </c>
      <c r="C83" s="306" t="s">
        <v>2341</v>
      </c>
      <c r="D83" s="308">
        <f t="shared" si="15"/>
        <v>6</v>
      </c>
      <c r="E83" s="308">
        <f>COUNTIFS(TUDB!$H$8:$H$2326,Use!$B83,TUDB!$F$8:$F$2326,Use!E$49)</f>
        <v>0</v>
      </c>
      <c r="F83" s="308">
        <f>COUNTIFS(TUDB!$H$8:$H$2326,Use!$B83,TUDB!$F$8:$F$2326,Use!F$49)</f>
        <v>2</v>
      </c>
      <c r="G83" s="308">
        <f>COUNTIFS(TUDB!$H$8:$H$2326,Use!$B83,TUDB!$F$8:$F$2326,Use!G$49)</f>
        <v>0</v>
      </c>
      <c r="H83" s="308">
        <f>COUNTIFS(TUDB!$H$8:$H$2326,Use!$B83,TUDB!$F$8:$F$2326,Use!H$49)</f>
        <v>0</v>
      </c>
      <c r="I83" s="308">
        <f>COUNTIFS(TUDB!$H$8:$H$2326,Use!$B83,TUDB!$F$8:$F$2326,Use!I$49)</f>
        <v>2</v>
      </c>
      <c r="J83" s="308">
        <f>COUNTIFS(TUDB!$H$8:$H$2326,Use!$B83,TUDB!$F$8:$F$2326,Use!J$49)</f>
        <v>2</v>
      </c>
      <c r="K83" s="307">
        <f t="shared" si="36"/>
        <v>1</v>
      </c>
      <c r="L83" s="307">
        <f>IF(AND(G83&gt;0,SUM($E83:F83)=0),1,0)</f>
        <v>0</v>
      </c>
      <c r="M83" s="307">
        <f>IF(AND(H83&gt;0,SUM($E83:G83)=0),1,0)</f>
        <v>0</v>
      </c>
      <c r="N83" s="307">
        <f>IF(AND(I83&gt;0,SUM($E83:H83)=0),1,0)</f>
        <v>0</v>
      </c>
      <c r="O83" s="307">
        <f>IF(AND(J83&gt;0,SUM($E83:I83)=0),1,0)</f>
        <v>0</v>
      </c>
      <c r="P83" s="312"/>
      <c r="Q83" s="312"/>
      <c r="S83" s="230" t="s">
        <v>1350</v>
      </c>
      <c r="T83" s="274">
        <f t="shared" si="23"/>
        <v>0</v>
      </c>
      <c r="U83" s="275">
        <f t="shared" si="24"/>
        <v>0</v>
      </c>
      <c r="V83" s="274">
        <f t="shared" si="25"/>
        <v>0</v>
      </c>
      <c r="W83" s="275">
        <f t="shared" si="26"/>
        <v>0</v>
      </c>
      <c r="X83" s="274">
        <f t="shared" si="27"/>
        <v>0</v>
      </c>
      <c r="Y83" s="275">
        <f t="shared" si="28"/>
        <v>0</v>
      </c>
      <c r="Z83" s="274">
        <f t="shared" si="29"/>
        <v>0</v>
      </c>
      <c r="AA83" s="275">
        <f t="shared" si="30"/>
        <v>0</v>
      </c>
      <c r="AB83" s="274">
        <f t="shared" si="33"/>
        <v>0</v>
      </c>
      <c r="AC83" s="275">
        <f t="shared" si="34"/>
        <v>0</v>
      </c>
      <c r="AD83" s="224">
        <f t="shared" si="31"/>
        <v>0</v>
      </c>
      <c r="AE83" s="224">
        <f t="shared" si="35"/>
        <v>0</v>
      </c>
      <c r="AF83" s="316">
        <f t="shared" si="32"/>
        <v>0</v>
      </c>
    </row>
    <row r="84" spans="2:32" x14ac:dyDescent="0.25">
      <c r="B84" s="303" t="str">
        <v>uAwaWPXw7rTLrlVyZQyBEHYE6SU2</v>
      </c>
      <c r="C84" s="303" t="s">
        <v>4158</v>
      </c>
      <c r="D84" s="305">
        <f t="shared" si="15"/>
        <v>3</v>
      </c>
      <c r="E84" s="305">
        <f>COUNTIFS(TUDB!$H$8:$H$2326,Use!$B84,TUDB!$F$8:$F$2326,Use!E$49)</f>
        <v>0</v>
      </c>
      <c r="F84" s="305">
        <f>COUNTIFS(TUDB!$H$8:$H$2326,Use!$B84,TUDB!$F$8:$F$2326,Use!F$49)</f>
        <v>0</v>
      </c>
      <c r="G84" s="305">
        <f>COUNTIFS(TUDB!$H$8:$H$2326,Use!$B84,TUDB!$F$8:$F$2326,Use!G$49)</f>
        <v>0</v>
      </c>
      <c r="H84" s="305">
        <f>COUNTIFS(TUDB!$H$8:$H$2326,Use!$B84,TUDB!$F$8:$F$2326,Use!H$49)</f>
        <v>0</v>
      </c>
      <c r="I84" s="305">
        <f>COUNTIFS(TUDB!$H$8:$H$2326,Use!$B84,TUDB!$F$8:$F$2326,Use!I$49)</f>
        <v>0</v>
      </c>
      <c r="J84" s="305">
        <f>COUNTIFS(TUDB!$H$8:$H$2326,Use!$B84,TUDB!$F$8:$F$2326,Use!J$49)</f>
        <v>3</v>
      </c>
      <c r="K84" s="304">
        <f t="shared" si="36"/>
        <v>0</v>
      </c>
      <c r="L84" s="304">
        <f>IF(AND(G84&gt;0,SUM($E84:F84)=0),1,0)</f>
        <v>0</v>
      </c>
      <c r="M84" s="304">
        <f>IF(AND(H84&gt;0,SUM($E84:G84)=0),1,0)</f>
        <v>0</v>
      </c>
      <c r="N84" s="304">
        <f>IF(AND(I84&gt;0,SUM($E84:H84)=0),1,0)</f>
        <v>0</v>
      </c>
      <c r="O84" s="304">
        <f>IF(AND(J84&gt;0,SUM($E84:I84)=0),1,0)</f>
        <v>1</v>
      </c>
      <c r="P84" s="311"/>
      <c r="Q84" s="311"/>
      <c r="S84" s="230" t="s">
        <v>1348</v>
      </c>
      <c r="T84" s="274">
        <f t="shared" si="23"/>
        <v>0</v>
      </c>
      <c r="U84" s="275">
        <f t="shared" si="24"/>
        <v>0</v>
      </c>
      <c r="V84" s="274">
        <f t="shared" si="25"/>
        <v>0</v>
      </c>
      <c r="W84" s="275">
        <f t="shared" si="26"/>
        <v>0</v>
      </c>
      <c r="X84" s="274">
        <f t="shared" si="27"/>
        <v>0</v>
      </c>
      <c r="Y84" s="275">
        <f t="shared" si="28"/>
        <v>0</v>
      </c>
      <c r="Z84" s="274">
        <f t="shared" si="29"/>
        <v>0</v>
      </c>
      <c r="AA84" s="275">
        <f t="shared" si="30"/>
        <v>0</v>
      </c>
      <c r="AB84" s="274">
        <f t="shared" si="33"/>
        <v>1</v>
      </c>
      <c r="AC84" s="275">
        <f t="shared" si="34"/>
        <v>1</v>
      </c>
      <c r="AD84" s="224">
        <f t="shared" si="31"/>
        <v>1</v>
      </c>
      <c r="AE84" s="224">
        <f t="shared" si="35"/>
        <v>1</v>
      </c>
      <c r="AF84" s="316">
        <f t="shared" si="32"/>
        <v>0</v>
      </c>
    </row>
    <row r="85" spans="2:32" x14ac:dyDescent="0.25">
      <c r="B85" s="306" t="str">
        <v>DqUTUWfFKyMmrCUAWxsXy8KRt4c2</v>
      </c>
      <c r="C85" s="306" t="s">
        <v>4158</v>
      </c>
      <c r="D85" s="308">
        <f t="shared" si="15"/>
        <v>3</v>
      </c>
      <c r="E85" s="308">
        <f>COUNTIFS(TUDB!$H$8:$H$2326,Use!$B85,TUDB!$F$8:$F$2326,Use!E$49)</f>
        <v>0</v>
      </c>
      <c r="F85" s="308">
        <f>COUNTIFS(TUDB!$H$8:$H$2326,Use!$B85,TUDB!$F$8:$F$2326,Use!F$49)</f>
        <v>0</v>
      </c>
      <c r="G85" s="308">
        <f>COUNTIFS(TUDB!$H$8:$H$2326,Use!$B85,TUDB!$F$8:$F$2326,Use!G$49)</f>
        <v>0</v>
      </c>
      <c r="H85" s="308">
        <f>COUNTIFS(TUDB!$H$8:$H$2326,Use!$B85,TUDB!$F$8:$F$2326,Use!H$49)</f>
        <v>0</v>
      </c>
      <c r="I85" s="308">
        <f>COUNTIFS(TUDB!$H$8:$H$2326,Use!$B85,TUDB!$F$8:$F$2326,Use!I$49)</f>
        <v>0</v>
      </c>
      <c r="J85" s="308">
        <f>COUNTIFS(TUDB!$H$8:$H$2326,Use!$B85,TUDB!$F$8:$F$2326,Use!J$49)</f>
        <v>3</v>
      </c>
      <c r="K85" s="307">
        <f t="shared" si="36"/>
        <v>0</v>
      </c>
      <c r="L85" s="307">
        <f>IF(AND(G85&gt;0,SUM($E85:F85)=0),1,0)</f>
        <v>0</v>
      </c>
      <c r="M85" s="307">
        <f>IF(AND(H85&gt;0,SUM($E85:G85)=0),1,0)</f>
        <v>0</v>
      </c>
      <c r="N85" s="307">
        <f>IF(AND(I85&gt;0,SUM($E85:H85)=0),1,0)</f>
        <v>0</v>
      </c>
      <c r="O85" s="307">
        <f>IF(AND(J85&gt;0,SUM($E85:I85)=0),1,0)</f>
        <v>1</v>
      </c>
      <c r="P85" s="312"/>
      <c r="Q85" s="312"/>
      <c r="S85" s="230" t="s">
        <v>2341</v>
      </c>
      <c r="T85" s="274">
        <f t="shared" si="23"/>
        <v>1</v>
      </c>
      <c r="U85" s="275">
        <f t="shared" si="24"/>
        <v>2</v>
      </c>
      <c r="V85" s="274">
        <f t="shared" si="25"/>
        <v>1</v>
      </c>
      <c r="W85" s="275">
        <f t="shared" si="26"/>
        <v>1</v>
      </c>
      <c r="X85" s="274">
        <f t="shared" si="27"/>
        <v>1</v>
      </c>
      <c r="Y85" s="275">
        <f t="shared" si="28"/>
        <v>3</v>
      </c>
      <c r="Z85" s="274">
        <f t="shared" si="29"/>
        <v>2</v>
      </c>
      <c r="AA85" s="275">
        <f t="shared" si="30"/>
        <v>3</v>
      </c>
      <c r="AB85" s="274">
        <f t="shared" si="33"/>
        <v>2</v>
      </c>
      <c r="AC85" s="275">
        <f t="shared" si="34"/>
        <v>4</v>
      </c>
      <c r="AD85" s="224">
        <f t="shared" si="31"/>
        <v>6</v>
      </c>
      <c r="AE85" s="224">
        <f t="shared" si="35"/>
        <v>11</v>
      </c>
      <c r="AF85" s="316">
        <f t="shared" si="32"/>
        <v>5</v>
      </c>
    </row>
    <row r="86" spans="2:32" x14ac:dyDescent="0.25">
      <c r="B86" s="303" t="str">
        <v>Tlazf0NRE2UoPEjeblvnepAUAAF3</v>
      </c>
      <c r="C86" s="303" t="s">
        <v>4161</v>
      </c>
      <c r="D86" s="305">
        <f t="shared" si="15"/>
        <v>4</v>
      </c>
      <c r="E86" s="305">
        <f>COUNTIFS(TUDB!$H$8:$H$2326,Use!$B86,TUDB!$F$8:$F$2326,Use!E$49)</f>
        <v>0</v>
      </c>
      <c r="F86" s="305">
        <f>COUNTIFS(TUDB!$H$8:$H$2326,Use!$B86,TUDB!$F$8:$F$2326,Use!F$49)</f>
        <v>0</v>
      </c>
      <c r="G86" s="305">
        <f>COUNTIFS(TUDB!$H$8:$H$2326,Use!$B86,TUDB!$F$8:$F$2326,Use!G$49)</f>
        <v>0</v>
      </c>
      <c r="H86" s="305">
        <f>COUNTIFS(TUDB!$H$8:$H$2326,Use!$B86,TUDB!$F$8:$F$2326,Use!H$49)</f>
        <v>3</v>
      </c>
      <c r="I86" s="305">
        <f>COUNTIFS(TUDB!$H$8:$H$2326,Use!$B86,TUDB!$F$8:$F$2326,Use!I$49)</f>
        <v>0</v>
      </c>
      <c r="J86" s="305">
        <f>COUNTIFS(TUDB!$H$8:$H$2326,Use!$B86,TUDB!$F$8:$F$2326,Use!J$49)</f>
        <v>1</v>
      </c>
      <c r="K86" s="304">
        <f t="shared" si="36"/>
        <v>0</v>
      </c>
      <c r="L86" s="304">
        <f>IF(AND(G86&gt;0,SUM($E86:F86)=0),1,0)</f>
        <v>0</v>
      </c>
      <c r="M86" s="304">
        <f>IF(AND(H86&gt;0,SUM($E86:G86)=0),1,0)</f>
        <v>1</v>
      </c>
      <c r="N86" s="304">
        <f>IF(AND(I86&gt;0,SUM($E86:H86)=0),1,0)</f>
        <v>0</v>
      </c>
      <c r="O86" s="304">
        <f>IF(AND(J86&gt;0,SUM($E86:I86)=0),1,0)</f>
        <v>0</v>
      </c>
      <c r="P86" s="311"/>
      <c r="Q86" s="311"/>
      <c r="S86" s="230" t="s">
        <v>2342</v>
      </c>
      <c r="T86" s="274">
        <f t="shared" si="23"/>
        <v>1</v>
      </c>
      <c r="U86" s="275">
        <f t="shared" si="24"/>
        <v>1</v>
      </c>
      <c r="V86" s="274">
        <f t="shared" si="25"/>
        <v>2</v>
      </c>
      <c r="W86" s="275">
        <f t="shared" si="26"/>
        <v>8</v>
      </c>
      <c r="X86" s="274">
        <f t="shared" si="27"/>
        <v>0</v>
      </c>
      <c r="Y86" s="275">
        <f t="shared" si="28"/>
        <v>0</v>
      </c>
      <c r="Z86" s="274">
        <f t="shared" si="29"/>
        <v>0</v>
      </c>
      <c r="AA86" s="275">
        <f t="shared" si="30"/>
        <v>0</v>
      </c>
      <c r="AB86" s="274">
        <f t="shared" si="33"/>
        <v>0</v>
      </c>
      <c r="AC86" s="275">
        <f t="shared" si="34"/>
        <v>0</v>
      </c>
      <c r="AD86" s="224">
        <f t="shared" si="31"/>
        <v>2</v>
      </c>
      <c r="AE86" s="224">
        <f t="shared" si="35"/>
        <v>8</v>
      </c>
      <c r="AF86" s="316">
        <f t="shared" si="32"/>
        <v>3</v>
      </c>
    </row>
    <row r="87" spans="2:32" ht="14.25" customHeight="1" x14ac:dyDescent="0.25">
      <c r="B87" s="306" t="str">
        <v>p4yu7gSyP5X56i8vIVA6AxqyR5D2</v>
      </c>
      <c r="C87" s="306" t="s">
        <v>1344</v>
      </c>
      <c r="D87" s="308">
        <f t="shared" si="15"/>
        <v>4</v>
      </c>
      <c r="E87" s="308">
        <f>COUNTIFS(TUDB!$H$8:$H$2326,Use!$B87,TUDB!$F$8:$F$2326,Use!E$49)</f>
        <v>0</v>
      </c>
      <c r="F87" s="308">
        <f>COUNTIFS(TUDB!$H$8:$H$2326,Use!$B87,TUDB!$F$8:$F$2326,Use!F$49)</f>
        <v>0</v>
      </c>
      <c r="G87" s="308">
        <f>COUNTIFS(TUDB!$H$8:$H$2326,Use!$B87,TUDB!$F$8:$F$2326,Use!G$49)</f>
        <v>0</v>
      </c>
      <c r="H87" s="308">
        <f>COUNTIFS(TUDB!$H$8:$H$2326,Use!$B87,TUDB!$F$8:$F$2326,Use!H$49)</f>
        <v>0</v>
      </c>
      <c r="I87" s="308">
        <f>COUNTIFS(TUDB!$H$8:$H$2326,Use!$B87,TUDB!$F$8:$F$2326,Use!I$49)</f>
        <v>4</v>
      </c>
      <c r="J87" s="308">
        <f>COUNTIFS(TUDB!$H$8:$H$2326,Use!$B87,TUDB!$F$8:$F$2326,Use!J$49)</f>
        <v>0</v>
      </c>
      <c r="K87" s="307">
        <f t="shared" si="36"/>
        <v>0</v>
      </c>
      <c r="L87" s="307">
        <f>IF(AND(G87&gt;0,SUM($E87:F87)=0),1,0)</f>
        <v>0</v>
      </c>
      <c r="M87" s="307">
        <f>IF(AND(H87&gt;0,SUM($E87:G87)=0),1,0)</f>
        <v>0</v>
      </c>
      <c r="N87" s="307">
        <f>IF(AND(I87&gt;0,SUM($E87:H87)=0),1,0)</f>
        <v>1</v>
      </c>
      <c r="O87" s="307">
        <f>IF(AND(J87&gt;0,SUM($E87:I87)=0),1,0)</f>
        <v>0</v>
      </c>
      <c r="P87" s="312"/>
      <c r="Q87" s="312"/>
      <c r="S87" s="230" t="s">
        <v>1347</v>
      </c>
      <c r="T87" s="274">
        <f t="shared" si="23"/>
        <v>0</v>
      </c>
      <c r="U87" s="275">
        <f t="shared" si="24"/>
        <v>0</v>
      </c>
      <c r="V87" s="274">
        <f t="shared" si="25"/>
        <v>1</v>
      </c>
      <c r="W87" s="275">
        <f t="shared" si="26"/>
        <v>1</v>
      </c>
      <c r="X87" s="274">
        <f t="shared" si="27"/>
        <v>1</v>
      </c>
      <c r="Y87" s="275">
        <f t="shared" si="28"/>
        <v>5</v>
      </c>
      <c r="Z87" s="274">
        <f t="shared" si="29"/>
        <v>0</v>
      </c>
      <c r="AA87" s="275">
        <f t="shared" si="30"/>
        <v>0</v>
      </c>
      <c r="AB87" s="274">
        <f t="shared" si="33"/>
        <v>1</v>
      </c>
      <c r="AC87" s="275">
        <f t="shared" si="34"/>
        <v>1</v>
      </c>
      <c r="AD87" s="224">
        <f t="shared" si="31"/>
        <v>3</v>
      </c>
      <c r="AE87" s="224">
        <f t="shared" si="35"/>
        <v>7</v>
      </c>
      <c r="AF87" s="316">
        <f t="shared" si="32"/>
        <v>2</v>
      </c>
    </row>
    <row r="88" spans="2:32" ht="16.5" customHeight="1" x14ac:dyDescent="0.25">
      <c r="B88" s="303" t="str">
        <v>XjAeVUSAWwR6YIfiotq1aVO8G8e2</v>
      </c>
      <c r="C88" s="303" t="s">
        <v>4160</v>
      </c>
      <c r="D88" s="305">
        <f t="shared" si="15"/>
        <v>7</v>
      </c>
      <c r="E88" s="305">
        <f>COUNTIFS(TUDB!$H$8:$H$2326,Use!$B88,TUDB!$F$8:$F$2326,Use!E$49)</f>
        <v>0</v>
      </c>
      <c r="F88" s="305">
        <f>COUNTIFS(TUDB!$H$8:$H$2326,Use!$B88,TUDB!$F$8:$F$2326,Use!F$49)</f>
        <v>0</v>
      </c>
      <c r="G88" s="305">
        <f>COUNTIFS(TUDB!$H$8:$H$2326,Use!$B88,TUDB!$F$8:$F$2326,Use!G$49)</f>
        <v>0</v>
      </c>
      <c r="H88" s="305">
        <f>COUNTIFS(TUDB!$H$8:$H$2326,Use!$B88,TUDB!$F$8:$F$2326,Use!H$49)</f>
        <v>0</v>
      </c>
      <c r="I88" s="305">
        <f>COUNTIFS(TUDB!$H$8:$H$2326,Use!$B88,TUDB!$F$8:$F$2326,Use!I$49)</f>
        <v>7</v>
      </c>
      <c r="J88" s="305">
        <f>COUNTIFS(TUDB!$H$8:$H$2326,Use!$B88,TUDB!$F$8:$F$2326,Use!J$49)</f>
        <v>0</v>
      </c>
      <c r="K88" s="304">
        <f t="shared" si="36"/>
        <v>0</v>
      </c>
      <c r="L88" s="304">
        <f>IF(AND(G88&gt;0,SUM($E88:F88)=0),1,0)</f>
        <v>0</v>
      </c>
      <c r="M88" s="304">
        <f>IF(AND(H88&gt;0,SUM($E88:G88)=0),1,0)</f>
        <v>0</v>
      </c>
      <c r="N88" s="304">
        <f>IF(AND(I88&gt;0,SUM($E88:H88)=0),1,0)</f>
        <v>1</v>
      </c>
      <c r="O88" s="304">
        <f>IF(AND(J88&gt;0,SUM($E88:I88)=0),1,0)</f>
        <v>0</v>
      </c>
      <c r="P88" s="311"/>
      <c r="Q88" s="311"/>
      <c r="S88" s="230" t="s">
        <v>2343</v>
      </c>
      <c r="T88" s="274">
        <f>COUNTIFS($C$50:$C$549,"TCTU",$F$50:$F$549,"&gt;"&amp;0)</f>
        <v>1</v>
      </c>
      <c r="U88" s="275">
        <f>SUMIFS($F$50:$F$549,$C$50:$C$549,"TCTU")</f>
        <v>4</v>
      </c>
      <c r="V88" s="274">
        <f>COUNTIFS($C$50:$C$549,"TCTU",$G$50:$G$549,"&gt;"&amp;0)</f>
        <v>17</v>
      </c>
      <c r="W88" s="275">
        <f>SUMIFS($G$50:$G$549,$C$50:$C$549,"TCTU")</f>
        <v>119</v>
      </c>
      <c r="X88" s="274">
        <f>COUNTIFS($C$50:$C$549,"TCTU",$H$50:$H$549,"&gt;"&amp;0)</f>
        <v>21</v>
      </c>
      <c r="Y88" s="275">
        <f>SUMIFS($H$50:$H$549,$C$50:$C$549,"TCTU")</f>
        <v>112</v>
      </c>
      <c r="Z88" s="274">
        <f>COUNTIFS($C$50:$C$549,"TCTU",$I$50:$I$549,"&gt;"&amp;0)</f>
        <v>20</v>
      </c>
      <c r="AA88" s="275">
        <f>SUMIFS($I$50:$I$549,$C$50:$C$549,"TCTU")</f>
        <v>95</v>
      </c>
      <c r="AB88" s="274">
        <f t="shared" si="33"/>
        <v>0</v>
      </c>
      <c r="AC88" s="275">
        <f t="shared" si="34"/>
        <v>0</v>
      </c>
      <c r="AD88" s="224">
        <f t="shared" si="31"/>
        <v>58</v>
      </c>
      <c r="AE88" s="224">
        <f t="shared" si="35"/>
        <v>326</v>
      </c>
      <c r="AF88" s="316">
        <f t="shared" si="32"/>
        <v>59</v>
      </c>
    </row>
    <row r="89" spans="2:32" x14ac:dyDescent="0.25">
      <c r="B89" s="306" t="str">
        <v>JXs3JH9frrZM0ZdjV8qFZY0NE3P2</v>
      </c>
      <c r="C89" s="306" t="s">
        <v>578</v>
      </c>
      <c r="D89" s="308">
        <f t="shared" si="15"/>
        <v>20</v>
      </c>
      <c r="E89" s="308">
        <f>COUNTIFS(TUDB!$H$8:$H$2326,Use!$B89,TUDB!$F$8:$F$2326,Use!E$49)</f>
        <v>0</v>
      </c>
      <c r="F89" s="308">
        <f>COUNTIFS(TUDB!$H$8:$H$2326,Use!$B89,TUDB!$F$8:$F$2326,Use!F$49)</f>
        <v>1</v>
      </c>
      <c r="G89" s="308">
        <f>COUNTIFS(TUDB!$H$8:$H$2326,Use!$B89,TUDB!$F$8:$F$2326,Use!G$49)</f>
        <v>6</v>
      </c>
      <c r="H89" s="308">
        <f>COUNTIFS(TUDB!$H$8:$H$2326,Use!$B89,TUDB!$F$8:$F$2326,Use!H$49)</f>
        <v>5</v>
      </c>
      <c r="I89" s="308">
        <f>COUNTIFS(TUDB!$H$8:$H$2326,Use!$B89,TUDB!$F$8:$F$2326,Use!I$49)</f>
        <v>8</v>
      </c>
      <c r="J89" s="308">
        <f>COUNTIFS(TUDB!$H$8:$H$2326,Use!$B89,TUDB!$F$8:$F$2326,Use!J$49)</f>
        <v>0</v>
      </c>
      <c r="K89" s="307">
        <f t="shared" si="36"/>
        <v>1</v>
      </c>
      <c r="L89" s="307">
        <f>IF(AND(G89&gt;0,SUM($E89:F89)=0),1,0)</f>
        <v>0</v>
      </c>
      <c r="M89" s="307">
        <f>IF(AND(H89&gt;0,SUM($E89:G89)=0),1,0)</f>
        <v>0</v>
      </c>
      <c r="N89" s="307">
        <f>IF(AND(I89&gt;0,SUM($E89:H89)=0),1,0)</f>
        <v>0</v>
      </c>
      <c r="O89" s="307">
        <f>IF(AND(J89&gt;0,SUM($E89:I89)=0),1,0)</f>
        <v>0</v>
      </c>
      <c r="P89" s="312"/>
      <c r="Q89" s="312"/>
      <c r="S89" s="230" t="s">
        <v>2344</v>
      </c>
      <c r="T89" s="274">
        <f>COUNTIFS($C$50:$C$549,$S89,$F$50:$F$549,"&gt;"&amp;0)</f>
        <v>2</v>
      </c>
      <c r="U89" s="275">
        <f>SUMIFS($F$50:$F$549,$C$50:$C$549,$S89)</f>
        <v>10</v>
      </c>
      <c r="V89" s="274">
        <f>COUNTIFS($C$50:$C$549,$S89,$G$50:$G$549,"&gt;"&amp;0)</f>
        <v>0</v>
      </c>
      <c r="W89" s="275">
        <f>SUMIFS($G$50:$G$549,$C$50:$C$549,$S89)</f>
        <v>0</v>
      </c>
      <c r="X89" s="274">
        <f>COUNTIFS($C$50:$C$549,$S89,$H$50:$H$549,"&gt;"&amp;0)</f>
        <v>1</v>
      </c>
      <c r="Y89" s="275">
        <f>SUMIFS($H$50:$H$549,$C$50:$C$549,$S89)</f>
        <v>20</v>
      </c>
      <c r="Z89" s="274">
        <f>COUNTIFS($C$50:$C$549,$S89,$I$50:$I$549,"&gt;"&amp;0)</f>
        <v>1</v>
      </c>
      <c r="AA89" s="275">
        <f>SUMIFS($I$50:$I$549,$C$50:$C$549,$S89)</f>
        <v>5</v>
      </c>
      <c r="AB89" s="274">
        <f t="shared" si="33"/>
        <v>0</v>
      </c>
      <c r="AC89" s="275">
        <f t="shared" si="34"/>
        <v>0</v>
      </c>
      <c r="AD89" s="224">
        <f t="shared" si="31"/>
        <v>2</v>
      </c>
      <c r="AE89" s="224">
        <f t="shared" si="35"/>
        <v>25</v>
      </c>
      <c r="AF89" s="316">
        <f t="shared" si="32"/>
        <v>4</v>
      </c>
    </row>
    <row r="90" spans="2:32" x14ac:dyDescent="0.25">
      <c r="B90" s="303" t="str">
        <v>bmxwg22L1hbfcniR6e24vEvKK5u2</v>
      </c>
      <c r="C90" s="303" t="s">
        <v>4161</v>
      </c>
      <c r="D90" s="305">
        <f t="shared" si="15"/>
        <v>1</v>
      </c>
      <c r="E90" s="305">
        <f>COUNTIFS(TUDB!$H$8:$H$2326,Use!$B90,TUDB!$F$8:$F$2326,Use!E$49)</f>
        <v>0</v>
      </c>
      <c r="F90" s="305">
        <f>COUNTIFS(TUDB!$H$8:$H$2326,Use!$B90,TUDB!$F$8:$F$2326,Use!F$49)</f>
        <v>0</v>
      </c>
      <c r="G90" s="305">
        <f>COUNTIFS(TUDB!$H$8:$H$2326,Use!$B90,TUDB!$F$8:$F$2326,Use!G$49)</f>
        <v>0</v>
      </c>
      <c r="H90" s="305">
        <f>COUNTIFS(TUDB!$H$8:$H$2326,Use!$B90,TUDB!$F$8:$F$2326,Use!H$49)</f>
        <v>0</v>
      </c>
      <c r="I90" s="305">
        <f>COUNTIFS(TUDB!$H$8:$H$2326,Use!$B90,TUDB!$F$8:$F$2326,Use!I$49)</f>
        <v>1</v>
      </c>
      <c r="J90" s="305">
        <f>COUNTIFS(TUDB!$H$8:$H$2326,Use!$B90,TUDB!$F$8:$F$2326,Use!J$49)</f>
        <v>0</v>
      </c>
      <c r="K90" s="304">
        <f t="shared" si="36"/>
        <v>0</v>
      </c>
      <c r="L90" s="304">
        <f>IF(AND(G90&gt;0,SUM($E90:F90)=0),1,0)</f>
        <v>0</v>
      </c>
      <c r="M90" s="304">
        <f>IF(AND(H90&gt;0,SUM($E90:G90)=0),1,0)</f>
        <v>0</v>
      </c>
      <c r="N90" s="304">
        <f>IF(AND(I90&gt;0,SUM($E90:H90)=0),1,0)</f>
        <v>1</v>
      </c>
      <c r="O90" s="304">
        <f>IF(AND(J90&gt;0,SUM($E90:I90)=0),1,0)</f>
        <v>0</v>
      </c>
      <c r="P90" s="311"/>
      <c r="Q90" s="311"/>
      <c r="S90" s="286" t="s">
        <v>2345</v>
      </c>
      <c r="T90" s="287">
        <f>COUNTIFS($C$50:$C$549,$S90,$F$50:$F$549,"&gt;"&amp;0)</f>
        <v>1</v>
      </c>
      <c r="U90" s="288">
        <f>SUMIFS($F$50:$F$549,$C$50:$C$549,$S90)</f>
        <v>6</v>
      </c>
      <c r="V90" s="287">
        <f>COUNTIFS($C$50:$C$549,$S90,$G$50:$G$549,"&gt;"&amp;0)</f>
        <v>0</v>
      </c>
      <c r="W90" s="288">
        <f>SUMIFS($G$50:$G$549,$C$50:$C$549,$S90)</f>
        <v>0</v>
      </c>
      <c r="X90" s="287">
        <f>COUNTIFS($C$50:$C$549,$S90,$H$50:$H$549,"&gt;"&amp;0)</f>
        <v>0</v>
      </c>
      <c r="Y90" s="288">
        <f>SUMIFS($H$50:$H$549,$C$50:$C$549,$S90)</f>
        <v>0</v>
      </c>
      <c r="Z90" s="287">
        <f>COUNTIFS($C$50:$C$549,$S90,$I$50:$I$549,"&gt;"&amp;0)</f>
        <v>0</v>
      </c>
      <c r="AA90" s="288">
        <f>SUMIFS($I$50:$I$549,$C$50:$C$549,$S90)</f>
        <v>0</v>
      </c>
      <c r="AB90" s="287">
        <f t="shared" si="33"/>
        <v>0</v>
      </c>
      <c r="AC90" s="288">
        <f t="shared" si="34"/>
        <v>0</v>
      </c>
      <c r="AD90" s="289">
        <f t="shared" si="31"/>
        <v>0</v>
      </c>
      <c r="AE90" s="289">
        <f t="shared" si="35"/>
        <v>0</v>
      </c>
      <c r="AF90" s="316">
        <f t="shared" si="32"/>
        <v>1</v>
      </c>
    </row>
    <row r="91" spans="2:32" x14ac:dyDescent="0.25">
      <c r="B91" s="306" t="str">
        <v>1lKBGtvFeSbEVNlbIt9EhqtOO7u2</v>
      </c>
      <c r="C91" s="306" t="s">
        <v>544</v>
      </c>
      <c r="D91" s="308">
        <f t="shared" si="15"/>
        <v>39</v>
      </c>
      <c r="E91" s="308">
        <f>COUNTIFS(TUDB!$H$8:$H$2326,Use!$B91,TUDB!$F$8:$F$2326,Use!E$49)</f>
        <v>0</v>
      </c>
      <c r="F91" s="308">
        <f>COUNTIFS(TUDB!$H$8:$H$2326,Use!$B91,TUDB!$F$8:$F$2326,Use!F$49)</f>
        <v>0</v>
      </c>
      <c r="G91" s="308">
        <f>COUNTIFS(TUDB!$H$8:$H$2326,Use!$B91,TUDB!$F$8:$F$2326,Use!G$49)</f>
        <v>0</v>
      </c>
      <c r="H91" s="308">
        <f>COUNTIFS(TUDB!$H$8:$H$2326,Use!$B91,TUDB!$F$8:$F$2326,Use!H$49)</f>
        <v>0</v>
      </c>
      <c r="I91" s="308">
        <f>COUNTIFS(TUDB!$H$8:$H$2326,Use!$B91,TUDB!$F$8:$F$2326,Use!I$49)</f>
        <v>39</v>
      </c>
      <c r="J91" s="308">
        <f>COUNTIFS(TUDB!$H$8:$H$2326,Use!$B91,TUDB!$F$8:$F$2326,Use!J$49)</f>
        <v>0</v>
      </c>
      <c r="K91" s="307">
        <f t="shared" si="36"/>
        <v>0</v>
      </c>
      <c r="L91" s="307">
        <f>IF(AND(G91&gt;0,SUM($E91:F91)=0),1,0)</f>
        <v>0</v>
      </c>
      <c r="M91" s="307">
        <f>IF(AND(H91&gt;0,SUM($E91:G91)=0),1,0)</f>
        <v>0</v>
      </c>
      <c r="N91" s="307">
        <f>IF(AND(I91&gt;0,SUM($E91:H91)=0),1,0)</f>
        <v>1</v>
      </c>
      <c r="O91" s="307">
        <f>IF(AND(J91&gt;0,SUM($E91:I91)=0),1,0)</f>
        <v>0</v>
      </c>
      <c r="P91" s="312"/>
      <c r="Q91" s="312"/>
      <c r="S91" s="228" t="s">
        <v>2346</v>
      </c>
      <c r="T91" s="284">
        <f>SUM(T92:T95)</f>
        <v>3</v>
      </c>
      <c r="U91" s="285">
        <f t="shared" ref="U91:AA91" si="37">SUM(U92:U95)</f>
        <v>27</v>
      </c>
      <c r="V91" s="284">
        <f t="shared" si="37"/>
        <v>6</v>
      </c>
      <c r="W91" s="285">
        <f t="shared" si="37"/>
        <v>34</v>
      </c>
      <c r="X91" s="284">
        <f t="shared" si="37"/>
        <v>18</v>
      </c>
      <c r="Y91" s="285">
        <f t="shared" si="37"/>
        <v>184</v>
      </c>
      <c r="Z91" s="284">
        <f t="shared" si="37"/>
        <v>32</v>
      </c>
      <c r="AA91" s="285">
        <f t="shared" si="37"/>
        <v>484</v>
      </c>
      <c r="AB91" s="284">
        <f t="shared" si="33"/>
        <v>0</v>
      </c>
      <c r="AC91" s="285">
        <f t="shared" si="34"/>
        <v>0</v>
      </c>
      <c r="AD91" s="229">
        <f t="shared" si="31"/>
        <v>56</v>
      </c>
      <c r="AE91" s="229">
        <f t="shared" si="35"/>
        <v>702</v>
      </c>
    </row>
    <row r="92" spans="2:32" x14ac:dyDescent="0.25">
      <c r="B92" s="303" t="str">
        <v>MZ8CvOB6bBeEPjwpBrk2zCVH7bk2</v>
      </c>
      <c r="C92" s="303" t="s">
        <v>4161</v>
      </c>
      <c r="D92" s="305">
        <f t="shared" si="15"/>
        <v>8</v>
      </c>
      <c r="E92" s="305">
        <f>COUNTIFS(TUDB!$H$8:$H$2326,Use!$B92,TUDB!$F$8:$F$2326,Use!E$49)</f>
        <v>0</v>
      </c>
      <c r="F92" s="305">
        <f>COUNTIFS(TUDB!$H$8:$H$2326,Use!$B92,TUDB!$F$8:$F$2326,Use!F$49)</f>
        <v>0</v>
      </c>
      <c r="G92" s="305">
        <f>COUNTIFS(TUDB!$H$8:$H$2326,Use!$B92,TUDB!$F$8:$F$2326,Use!G$49)</f>
        <v>0</v>
      </c>
      <c r="H92" s="305">
        <f>COUNTIFS(TUDB!$H$8:$H$2326,Use!$B92,TUDB!$F$8:$F$2326,Use!H$49)</f>
        <v>0</v>
      </c>
      <c r="I92" s="305">
        <f>COUNTIFS(TUDB!$H$8:$H$2326,Use!$B92,TUDB!$F$8:$F$2326,Use!I$49)</f>
        <v>8</v>
      </c>
      <c r="J92" s="305">
        <f>COUNTIFS(TUDB!$H$8:$H$2326,Use!$B92,TUDB!$F$8:$F$2326,Use!J$49)</f>
        <v>0</v>
      </c>
      <c r="K92" s="304">
        <f t="shared" si="36"/>
        <v>0</v>
      </c>
      <c r="L92" s="304">
        <f>IF(AND(G92&gt;0,SUM($E92:F92)=0),1,0)</f>
        <v>0</v>
      </c>
      <c r="M92" s="304">
        <f>IF(AND(H92&gt;0,SUM($E92:G92)=0),1,0)</f>
        <v>0</v>
      </c>
      <c r="N92" s="304">
        <f>IF(AND(I92&gt;0,SUM($E92:H92)=0),1,0)</f>
        <v>1</v>
      </c>
      <c r="O92" s="304">
        <f>IF(AND(J92&gt;0,SUM($E92:I92)=0),1,0)</f>
        <v>0</v>
      </c>
      <c r="P92" s="311"/>
      <c r="Q92" s="311"/>
      <c r="S92" s="230" t="s">
        <v>4158</v>
      </c>
      <c r="T92" s="274">
        <f>COUNTIFS($C$50:$C$549,$S92,$F$50:$F$549,"&gt;"&amp;0)</f>
        <v>1</v>
      </c>
      <c r="U92" s="275">
        <f>SUMIFS($F$50:$F$549,$C$50:$C$549,$S92)</f>
        <v>1</v>
      </c>
      <c r="V92" s="274">
        <f>COUNTIFS($C$50:$C$549,$S92,$G$50:$G$549,"&gt;"&amp;0)</f>
        <v>0</v>
      </c>
      <c r="W92" s="275">
        <f>SUMIFS($G$50:$G$549,$C$50:$C$549,$S92)</f>
        <v>0</v>
      </c>
      <c r="X92" s="274">
        <f>COUNTIFS($C$50:$C$549,$S92,$H$50:$H$549,"&gt;"&amp;0)</f>
        <v>2</v>
      </c>
      <c r="Y92" s="275">
        <f>SUMIFS($H$50:$H$549,$C$50:$C$549,$S92)</f>
        <v>15</v>
      </c>
      <c r="Z92" s="274">
        <f>COUNTIFS($C$50:$C$549,$S92,$I$50:$I$549,"&gt;"&amp;0)</f>
        <v>7</v>
      </c>
      <c r="AA92" s="275">
        <f>SUMIFS($I$50:$I$549,$C$50:$C$549,$S92)</f>
        <v>265</v>
      </c>
      <c r="AB92" s="274">
        <f t="shared" si="33"/>
        <v>6</v>
      </c>
      <c r="AC92" s="275">
        <f t="shared" si="34"/>
        <v>101</v>
      </c>
      <c r="AD92" s="1">
        <f t="shared" si="31"/>
        <v>15</v>
      </c>
      <c r="AE92" s="1">
        <f t="shared" si="35"/>
        <v>381</v>
      </c>
    </row>
    <row r="93" spans="2:32" x14ac:dyDescent="0.25">
      <c r="B93" s="306" t="str">
        <v>7fp9eoNK1RTW0XUKFpn9oieJe1W2</v>
      </c>
      <c r="C93" s="306" t="s">
        <v>4158</v>
      </c>
      <c r="D93" s="308">
        <f t="shared" si="15"/>
        <v>14</v>
      </c>
      <c r="E93" s="308">
        <f>COUNTIFS(TUDB!$H$8:$H$2326,Use!$B93,TUDB!$F$8:$F$2326,Use!E$49)</f>
        <v>0</v>
      </c>
      <c r="F93" s="308">
        <f>COUNTIFS(TUDB!$H$8:$H$2326,Use!$B93,TUDB!$F$8:$F$2326,Use!F$49)</f>
        <v>0</v>
      </c>
      <c r="G93" s="308">
        <f>COUNTIFS(TUDB!$H$8:$H$2326,Use!$B93,TUDB!$F$8:$F$2326,Use!G$49)</f>
        <v>0</v>
      </c>
      <c r="H93" s="308">
        <f>COUNTIFS(TUDB!$H$8:$H$2326,Use!$B93,TUDB!$F$8:$F$2326,Use!H$49)</f>
        <v>2</v>
      </c>
      <c r="I93" s="308">
        <f>COUNTIFS(TUDB!$H$8:$H$2326,Use!$B93,TUDB!$F$8:$F$2326,Use!I$49)</f>
        <v>12</v>
      </c>
      <c r="J93" s="308">
        <f>COUNTIFS(TUDB!$H$8:$H$2326,Use!$B93,TUDB!$F$8:$F$2326,Use!J$49)</f>
        <v>0</v>
      </c>
      <c r="K93" s="307">
        <f t="shared" si="36"/>
        <v>0</v>
      </c>
      <c r="L93" s="307">
        <f>IF(AND(G93&gt;0,SUM($E93:F93)=0),1,0)</f>
        <v>0</v>
      </c>
      <c r="M93" s="307">
        <f>IF(AND(H93&gt;0,SUM($E93:G93)=0),1,0)</f>
        <v>1</v>
      </c>
      <c r="N93" s="307">
        <f>IF(AND(I93&gt;0,SUM($E93:H93)=0),1,0)</f>
        <v>0</v>
      </c>
      <c r="O93" s="307">
        <f>IF(AND(J93&gt;0,SUM($E93:I93)=0),1,0)</f>
        <v>0</v>
      </c>
      <c r="P93" s="312"/>
      <c r="Q93" s="312"/>
      <c r="S93" s="230" t="s">
        <v>4159</v>
      </c>
      <c r="T93" s="274">
        <f>COUNTIFS($C$50:$C$549,$S93,$F$50:$F$549,"&gt;"&amp;0)</f>
        <v>0</v>
      </c>
      <c r="U93" s="275">
        <f>SUMIFS($F$50:$F$549,$C$50:$C$549,$S93)</f>
        <v>0</v>
      </c>
      <c r="V93" s="274">
        <f>COUNTIFS($C$50:$C$549,$S93,$G$50:$G$549,"&gt;"&amp;0)</f>
        <v>0</v>
      </c>
      <c r="W93" s="275">
        <f>SUMIFS($G$50:$G$549,$C$50:$C$549,$S93)</f>
        <v>0</v>
      </c>
      <c r="X93" s="274">
        <f>COUNTIFS($C$50:$C$549,$S93,$H$50:$H$549,"&gt;"&amp;0)</f>
        <v>3</v>
      </c>
      <c r="Y93" s="275">
        <f>SUMIFS($H$50:$H$549,$C$50:$C$549,$S93)</f>
        <v>122</v>
      </c>
      <c r="Z93" s="274">
        <f>COUNTIFS($C$50:$C$549,$S93,$I$50:$I$549,"&gt;"&amp;0)</f>
        <v>4</v>
      </c>
      <c r="AA93" s="275">
        <f>SUMIFS($I$50:$I$549,$C$50:$C$549,$S93)</f>
        <v>46</v>
      </c>
      <c r="AB93" s="274">
        <f t="shared" si="33"/>
        <v>0</v>
      </c>
      <c r="AC93" s="275">
        <f t="shared" si="34"/>
        <v>0</v>
      </c>
      <c r="AD93" s="1">
        <f t="shared" si="31"/>
        <v>7</v>
      </c>
      <c r="AE93" s="1">
        <f t="shared" si="35"/>
        <v>168</v>
      </c>
    </row>
    <row r="94" spans="2:32" x14ac:dyDescent="0.25">
      <c r="B94" s="303" t="str">
        <v>cJZVjbWzjsRfePMeXT5aflRnGhh1</v>
      </c>
      <c r="C94" s="303" t="s">
        <v>4161</v>
      </c>
      <c r="D94" s="305">
        <f t="shared" si="15"/>
        <v>12</v>
      </c>
      <c r="E94" s="305">
        <f>COUNTIFS(TUDB!$H$8:$H$2326,Use!$B94,TUDB!$F$8:$F$2326,Use!E$49)</f>
        <v>0</v>
      </c>
      <c r="F94" s="305">
        <f>COUNTIFS(TUDB!$H$8:$H$2326,Use!$B94,TUDB!$F$8:$F$2326,Use!F$49)</f>
        <v>0</v>
      </c>
      <c r="G94" s="305">
        <f>COUNTIFS(TUDB!$H$8:$H$2326,Use!$B94,TUDB!$F$8:$F$2326,Use!G$49)</f>
        <v>5</v>
      </c>
      <c r="H94" s="305">
        <f>COUNTIFS(TUDB!$H$8:$H$2326,Use!$B94,TUDB!$F$8:$F$2326,Use!H$49)</f>
        <v>2</v>
      </c>
      <c r="I94" s="305">
        <f>COUNTIFS(TUDB!$H$8:$H$2326,Use!$B94,TUDB!$F$8:$F$2326,Use!I$49)</f>
        <v>5</v>
      </c>
      <c r="J94" s="305">
        <f>COUNTIFS(TUDB!$H$8:$H$2326,Use!$B94,TUDB!$F$8:$F$2326,Use!J$49)</f>
        <v>0</v>
      </c>
      <c r="K94" s="304">
        <f t="shared" si="36"/>
        <v>0</v>
      </c>
      <c r="L94" s="304">
        <f>IF(AND(G94&gt;0,SUM($E94:F94)=0),1,0)</f>
        <v>1</v>
      </c>
      <c r="M94" s="304">
        <f>IF(AND(H94&gt;0,SUM($E94:G94)=0),1,0)</f>
        <v>0</v>
      </c>
      <c r="N94" s="304">
        <f>IF(AND(I94&gt;0,SUM($E94:H94)=0),1,0)</f>
        <v>0</v>
      </c>
      <c r="O94" s="304">
        <f>IF(AND(J94&gt;0,SUM($E94:I94)=0),1,0)</f>
        <v>0</v>
      </c>
      <c r="P94" s="311"/>
      <c r="Q94" s="311"/>
      <c r="S94" s="302" t="s">
        <v>4163</v>
      </c>
      <c r="T94" s="274">
        <f>COUNTIFS($C$50:$C$549,$S94,$F$50:$F$549,"&gt;"&amp;0)</f>
        <v>2</v>
      </c>
      <c r="U94" s="275">
        <f>SUMIFS($F$50:$F$549,$C$50:$C$549,$S94)</f>
        <v>26</v>
      </c>
      <c r="V94" s="274">
        <f>COUNTIFS($C$50:$C$549,$S94,$G$50:$G$549,"&gt;"&amp;0)</f>
        <v>1</v>
      </c>
      <c r="W94" s="275">
        <f>SUMIFS($G$50:$G$549,$C$50:$C$549,$S94)</f>
        <v>16</v>
      </c>
      <c r="X94" s="274">
        <f>COUNTIFS($C$50:$C$549,$S94,$H$50:$H$549,"&gt;"&amp;0)</f>
        <v>7</v>
      </c>
      <c r="Y94" s="275">
        <f>SUMIFS($H$50:$H$549,$C$50:$C$549,$S94)</f>
        <v>33</v>
      </c>
      <c r="Z94" s="274">
        <f>COUNTIFS($C$50:$C$549,$S94,$I$50:$I$549,"&gt;"&amp;0)</f>
        <v>7</v>
      </c>
      <c r="AA94" s="275">
        <f>SUMIFS($I$50:$I$549,$C$50:$C$549,$S94)</f>
        <v>101</v>
      </c>
      <c r="AB94" s="274">
        <f t="shared" si="33"/>
        <v>4</v>
      </c>
      <c r="AC94" s="275">
        <f t="shared" si="34"/>
        <v>50</v>
      </c>
      <c r="AD94" s="1">
        <f t="shared" si="31"/>
        <v>19</v>
      </c>
      <c r="AE94" s="1">
        <f t="shared" si="35"/>
        <v>200</v>
      </c>
    </row>
    <row r="95" spans="2:32" ht="15.75" thickBot="1" x14ac:dyDescent="0.3">
      <c r="B95" s="306" t="str">
        <v>5sE4Yqji6nO193vOJEyE5nVk3V33</v>
      </c>
      <c r="C95" s="306" t="s">
        <v>4161</v>
      </c>
      <c r="D95" s="308">
        <f t="shared" si="15"/>
        <v>11</v>
      </c>
      <c r="E95" s="308">
        <f>COUNTIFS(TUDB!$H$8:$H$2326,Use!$B95,TUDB!$F$8:$F$2326,Use!E$49)</f>
        <v>0</v>
      </c>
      <c r="F95" s="308">
        <f>COUNTIFS(TUDB!$H$8:$H$2326,Use!$B95,TUDB!$F$8:$F$2326,Use!F$49)</f>
        <v>0</v>
      </c>
      <c r="G95" s="308">
        <f>COUNTIFS(TUDB!$H$8:$H$2326,Use!$B95,TUDB!$F$8:$F$2326,Use!G$49)</f>
        <v>4</v>
      </c>
      <c r="H95" s="308">
        <f>COUNTIFS(TUDB!$H$8:$H$2326,Use!$B95,TUDB!$F$8:$F$2326,Use!H$49)</f>
        <v>0</v>
      </c>
      <c r="I95" s="308">
        <f>COUNTIFS(TUDB!$H$8:$H$2326,Use!$B95,TUDB!$F$8:$F$2326,Use!I$49)</f>
        <v>7</v>
      </c>
      <c r="J95" s="308">
        <f>COUNTIFS(TUDB!$H$8:$H$2326,Use!$B95,TUDB!$F$8:$F$2326,Use!J$49)</f>
        <v>0</v>
      </c>
      <c r="K95" s="307">
        <f t="shared" si="36"/>
        <v>0</v>
      </c>
      <c r="L95" s="307">
        <f>IF(AND(G95&gt;0,SUM($E95:F95)=0),1,0)</f>
        <v>1</v>
      </c>
      <c r="M95" s="307">
        <f>IF(AND(H95&gt;0,SUM($E95:G95)=0),1,0)</f>
        <v>0</v>
      </c>
      <c r="N95" s="307">
        <f>IF(AND(I95&gt;0,SUM($E95:H95)=0),1,0)</f>
        <v>0</v>
      </c>
      <c r="O95" s="307">
        <f>IF(AND(J95&gt;0,SUM($E95:I95)=0),1,0)</f>
        <v>0</v>
      </c>
      <c r="P95" s="312"/>
      <c r="Q95" s="312"/>
      <c r="S95" s="227" t="s">
        <v>544</v>
      </c>
      <c r="T95" s="301">
        <f>COUNTIFS($C$50:$C$549,$S95,$F$50:$F$549,"&gt;"&amp;0)</f>
        <v>0</v>
      </c>
      <c r="U95" s="276">
        <f>SUMIFS($F$50:$F$549,$C$50:$C$549,$S95)</f>
        <v>0</v>
      </c>
      <c r="V95" s="301">
        <f>COUNTIFS($C$50:$C$549,$S95,$G$50:$G$549,"&gt;"&amp;0)</f>
        <v>5</v>
      </c>
      <c r="W95" s="276">
        <f>SUMIFS($G$50:$G$549,$C$50:$C$549,$S95)</f>
        <v>18</v>
      </c>
      <c r="X95" s="301">
        <f>COUNTIFS($C$50:$C$549,$S95,$H$50:$H$549,"&gt;"&amp;0)</f>
        <v>6</v>
      </c>
      <c r="Y95" s="276">
        <f>SUMIFS($H$50:$H$549,$C$50:$C$549,$S95)</f>
        <v>14</v>
      </c>
      <c r="Z95" s="301">
        <f>COUNTIFS($C$50:$C$549,$S95,$I$50:$I$549,"&gt;"&amp;0)</f>
        <v>14</v>
      </c>
      <c r="AA95" s="276">
        <f>SUMIFS($I$50:$I$549,$C$50:$C$549,$S95)</f>
        <v>72</v>
      </c>
      <c r="AB95" s="301">
        <f t="shared" si="33"/>
        <v>1</v>
      </c>
      <c r="AC95" s="276">
        <f t="shared" si="34"/>
        <v>7</v>
      </c>
      <c r="AD95" s="225">
        <f t="shared" si="31"/>
        <v>26</v>
      </c>
      <c r="AE95" s="225">
        <f t="shared" si="35"/>
        <v>111</v>
      </c>
    </row>
    <row r="96" spans="2:32" ht="15.75" thickTop="1" x14ac:dyDescent="0.25">
      <c r="B96" s="303" t="str">
        <v>sV8r8QoTpTQ81023RxB7QRB9qBu1</v>
      </c>
      <c r="C96" s="303" t="s">
        <v>4161</v>
      </c>
      <c r="D96" s="305">
        <f t="shared" si="15"/>
        <v>9</v>
      </c>
      <c r="E96" s="305">
        <f>COUNTIFS(TUDB!$H$8:$H$2326,Use!$B96,TUDB!$F$8:$F$2326,Use!E$49)</f>
        <v>0</v>
      </c>
      <c r="F96" s="305">
        <f>COUNTIFS(TUDB!$H$8:$H$2326,Use!$B96,TUDB!$F$8:$F$2326,Use!F$49)</f>
        <v>0</v>
      </c>
      <c r="G96" s="305">
        <f>COUNTIFS(TUDB!$H$8:$H$2326,Use!$B96,TUDB!$F$8:$F$2326,Use!G$49)</f>
        <v>1</v>
      </c>
      <c r="H96" s="305">
        <f>COUNTIFS(TUDB!$H$8:$H$2326,Use!$B96,TUDB!$F$8:$F$2326,Use!H$49)</f>
        <v>4</v>
      </c>
      <c r="I96" s="305">
        <f>COUNTIFS(TUDB!$H$8:$H$2326,Use!$B96,TUDB!$F$8:$F$2326,Use!I$49)</f>
        <v>4</v>
      </c>
      <c r="J96" s="305">
        <f>COUNTIFS(TUDB!$H$8:$H$2326,Use!$B96,TUDB!$F$8:$F$2326,Use!J$49)</f>
        <v>0</v>
      </c>
      <c r="K96" s="304">
        <f t="shared" si="36"/>
        <v>0</v>
      </c>
      <c r="L96" s="304">
        <f>IF(AND(G96&gt;0,SUM($E96:F96)=0),1,0)</f>
        <v>1</v>
      </c>
      <c r="M96" s="304">
        <f>IF(AND(H96&gt;0,SUM($E96:G96)=0),1,0)</f>
        <v>0</v>
      </c>
      <c r="N96" s="304">
        <f>IF(AND(I96&gt;0,SUM($E96:H96)=0),1,0)</f>
        <v>0</v>
      </c>
      <c r="O96" s="304">
        <f>IF(AND(J96&gt;0,SUM($E96:I96)=0),1,0)</f>
        <v>0</v>
      </c>
      <c r="P96" s="311"/>
      <c r="Q96" s="311"/>
      <c r="S96" s="310" t="s">
        <v>4166</v>
      </c>
      <c r="T96" s="226"/>
      <c r="U96" s="226"/>
      <c r="V96" s="226"/>
      <c r="W96" s="277"/>
      <c r="X96" s="277"/>
      <c r="Y96" s="278"/>
      <c r="Z96"/>
      <c r="AB96" s="1"/>
    </row>
    <row r="97" spans="2:30" x14ac:dyDescent="0.25">
      <c r="B97" s="306" t="str">
        <v>MHFdkCj8zqhw6MGszjwZYx49QR22</v>
      </c>
      <c r="C97" s="306" t="s">
        <v>4161</v>
      </c>
      <c r="D97" s="308">
        <f t="shared" si="15"/>
        <v>10</v>
      </c>
      <c r="E97" s="308">
        <f>COUNTIFS(TUDB!$H$8:$H$2326,Use!$B97,TUDB!$F$8:$F$2326,Use!E$49)</f>
        <v>0</v>
      </c>
      <c r="F97" s="308">
        <f>COUNTIFS(TUDB!$H$8:$H$2326,Use!$B97,TUDB!$F$8:$F$2326,Use!F$49)</f>
        <v>0</v>
      </c>
      <c r="G97" s="308">
        <f>COUNTIFS(TUDB!$H$8:$H$2326,Use!$B97,TUDB!$F$8:$F$2326,Use!G$49)</f>
        <v>0</v>
      </c>
      <c r="H97" s="308">
        <f>COUNTIFS(TUDB!$H$8:$H$2326,Use!$B97,TUDB!$F$8:$F$2326,Use!H$49)</f>
        <v>4</v>
      </c>
      <c r="I97" s="308">
        <f>COUNTIFS(TUDB!$H$8:$H$2326,Use!$B97,TUDB!$F$8:$F$2326,Use!I$49)</f>
        <v>6</v>
      </c>
      <c r="J97" s="308">
        <f>COUNTIFS(TUDB!$H$8:$H$2326,Use!$B97,TUDB!$F$8:$F$2326,Use!J$49)</f>
        <v>0</v>
      </c>
      <c r="K97" s="307">
        <f t="shared" si="36"/>
        <v>0</v>
      </c>
      <c r="L97" s="307">
        <f>IF(AND(G97&gt;0,SUM($E97:F97)=0),1,0)</f>
        <v>0</v>
      </c>
      <c r="M97" s="307">
        <f>IF(AND(H97&gt;0,SUM($E97:G97)=0),1,0)</f>
        <v>1</v>
      </c>
      <c r="N97" s="307">
        <f>IF(AND(I97&gt;0,SUM($E97:H97)=0),1,0)</f>
        <v>0</v>
      </c>
      <c r="O97" s="307">
        <f>IF(AND(J97&gt;0,SUM($E97:I97)=0),1,0)</f>
        <v>0</v>
      </c>
      <c r="P97" s="312"/>
      <c r="Q97" s="312"/>
      <c r="Z97"/>
      <c r="AB97" s="1"/>
    </row>
    <row r="98" spans="2:30" x14ac:dyDescent="0.25">
      <c r="B98" s="303" t="str">
        <v>jr4xjZvRQFP5TMTbzZ3WFt91JbZ2</v>
      </c>
      <c r="C98" s="303" t="s">
        <v>4161</v>
      </c>
      <c r="D98" s="305">
        <f t="shared" si="15"/>
        <v>6</v>
      </c>
      <c r="E98" s="305">
        <f>COUNTIFS(TUDB!$H$8:$H$2326,Use!$B98,TUDB!$F$8:$F$2326,Use!E$49)</f>
        <v>0</v>
      </c>
      <c r="F98" s="305">
        <f>COUNTIFS(TUDB!$H$8:$H$2326,Use!$B98,TUDB!$F$8:$F$2326,Use!F$49)</f>
        <v>0</v>
      </c>
      <c r="G98" s="305">
        <f>COUNTIFS(TUDB!$H$8:$H$2326,Use!$B98,TUDB!$F$8:$F$2326,Use!G$49)</f>
        <v>0</v>
      </c>
      <c r="H98" s="305">
        <f>COUNTIFS(TUDB!$H$8:$H$2326,Use!$B98,TUDB!$F$8:$F$2326,Use!H$49)</f>
        <v>0</v>
      </c>
      <c r="I98" s="305">
        <f>COUNTIFS(TUDB!$H$8:$H$2326,Use!$B98,TUDB!$F$8:$F$2326,Use!I$49)</f>
        <v>6</v>
      </c>
      <c r="J98" s="305">
        <f>COUNTIFS(TUDB!$H$8:$H$2326,Use!$B98,TUDB!$F$8:$F$2326,Use!J$49)</f>
        <v>0</v>
      </c>
      <c r="K98" s="304">
        <f t="shared" si="36"/>
        <v>0</v>
      </c>
      <c r="L98" s="304">
        <f>IF(AND(G98&gt;0,SUM($E98:F98)=0),1,0)</f>
        <v>0</v>
      </c>
      <c r="M98" s="304">
        <f>IF(AND(H98&gt;0,SUM($E98:G98)=0),1,0)</f>
        <v>0</v>
      </c>
      <c r="N98" s="304">
        <f>IF(AND(I98&gt;0,SUM($E98:H98)=0),1,0)</f>
        <v>1</v>
      </c>
      <c r="O98" s="304">
        <f>IF(AND(J98&gt;0,SUM($E98:I98)=0),1,0)</f>
        <v>0</v>
      </c>
      <c r="P98" s="311"/>
      <c r="Q98" s="311"/>
      <c r="Z98"/>
      <c r="AA98"/>
    </row>
    <row r="99" spans="2:30" ht="21" x14ac:dyDescent="0.25">
      <c r="B99" s="306" t="str">
        <v>wQCfNJcgkMPI4m2bsIm33lNVmqH2</v>
      </c>
      <c r="C99" s="306" t="s">
        <v>4161</v>
      </c>
      <c r="D99" s="308">
        <f t="shared" si="15"/>
        <v>8</v>
      </c>
      <c r="E99" s="308">
        <f>COUNTIFS(TUDB!$H$8:$H$2326,Use!$B99,TUDB!$F$8:$F$2326,Use!E$49)</f>
        <v>0</v>
      </c>
      <c r="F99" s="308">
        <f>COUNTIFS(TUDB!$H$8:$H$2326,Use!$B99,TUDB!$F$8:$F$2326,Use!F$49)</f>
        <v>0</v>
      </c>
      <c r="G99" s="308">
        <f>COUNTIFS(TUDB!$H$8:$H$2326,Use!$B99,TUDB!$F$8:$F$2326,Use!G$49)</f>
        <v>1</v>
      </c>
      <c r="H99" s="308">
        <f>COUNTIFS(TUDB!$H$8:$H$2326,Use!$B99,TUDB!$F$8:$F$2326,Use!H$49)</f>
        <v>3</v>
      </c>
      <c r="I99" s="308">
        <f>COUNTIFS(TUDB!$H$8:$H$2326,Use!$B99,TUDB!$F$8:$F$2326,Use!I$49)</f>
        <v>4</v>
      </c>
      <c r="J99" s="308">
        <f>COUNTIFS(TUDB!$H$8:$H$2326,Use!$B99,TUDB!$F$8:$F$2326,Use!J$49)</f>
        <v>0</v>
      </c>
      <c r="K99" s="307">
        <f t="shared" si="36"/>
        <v>0</v>
      </c>
      <c r="L99" s="307">
        <f>IF(AND(G99&gt;0,SUM($E99:F99)=0),1,0)</f>
        <v>1</v>
      </c>
      <c r="M99" s="307">
        <f>IF(AND(H99&gt;0,SUM($E99:G99)=0),1,0)</f>
        <v>0</v>
      </c>
      <c r="N99" s="307">
        <f>IF(AND(I99&gt;0,SUM($E99:H99)=0),1,0)</f>
        <v>0</v>
      </c>
      <c r="O99" s="307">
        <f>IF(AND(J99&gt;0,SUM($E99:I99)=0),1,0)</f>
        <v>0</v>
      </c>
      <c r="P99" s="312"/>
      <c r="Q99" s="312"/>
      <c r="S99" s="152" t="s">
        <v>3960</v>
      </c>
      <c r="T99" s="152"/>
      <c r="U99" s="152"/>
      <c r="V99" s="152"/>
      <c r="W99" s="152"/>
      <c r="X99" s="152"/>
      <c r="Y99" s="152"/>
      <c r="Z99" s="152"/>
      <c r="AA99" s="152"/>
      <c r="AB99" s="152"/>
      <c r="AC99" s="152"/>
    </row>
    <row r="100" spans="2:30" ht="15.75" thickBot="1" x14ac:dyDescent="0.3">
      <c r="B100" s="303" t="str">
        <v>qg0Gw2Z5bFP7xIvHpN2bfZB65d62</v>
      </c>
      <c r="C100" s="303" t="s">
        <v>4161</v>
      </c>
      <c r="D100" s="305">
        <f t="shared" si="15"/>
        <v>6</v>
      </c>
      <c r="E100" s="305">
        <f>COUNTIFS(TUDB!$H$8:$H$2326,Use!$B100,TUDB!$F$8:$F$2326,Use!E$49)</f>
        <v>0</v>
      </c>
      <c r="F100" s="305">
        <f>COUNTIFS(TUDB!$H$8:$H$2326,Use!$B100,TUDB!$F$8:$F$2326,Use!F$49)</f>
        <v>0</v>
      </c>
      <c r="G100" s="305">
        <f>COUNTIFS(TUDB!$H$8:$H$2326,Use!$B100,TUDB!$F$8:$F$2326,Use!G$49)</f>
        <v>0</v>
      </c>
      <c r="H100" s="305">
        <f>COUNTIFS(TUDB!$H$8:$H$2326,Use!$B100,TUDB!$F$8:$F$2326,Use!H$49)</f>
        <v>0</v>
      </c>
      <c r="I100" s="305">
        <f>COUNTIFS(TUDB!$H$8:$H$2326,Use!$B100,TUDB!$F$8:$F$2326,Use!I$49)</f>
        <v>6</v>
      </c>
      <c r="J100" s="305">
        <f>COUNTIFS(TUDB!$H$8:$H$2326,Use!$B100,TUDB!$F$8:$F$2326,Use!J$49)</f>
        <v>0</v>
      </c>
      <c r="K100" s="304">
        <f t="shared" si="36"/>
        <v>0</v>
      </c>
      <c r="L100" s="304">
        <f>IF(AND(G100&gt;0,SUM($E100:F100)=0),1,0)</f>
        <v>0</v>
      </c>
      <c r="M100" s="304">
        <f>IF(AND(H100&gt;0,SUM($E100:G100)=0),1,0)</f>
        <v>0</v>
      </c>
      <c r="N100" s="304">
        <f>IF(AND(I100&gt;0,SUM($E100:H100)=0),1,0)</f>
        <v>1</v>
      </c>
      <c r="O100" s="304">
        <f>IF(AND(J100&gt;0,SUM($E100:I100)=0),1,0)</f>
        <v>0</v>
      </c>
      <c r="P100" s="311"/>
      <c r="Q100" s="311"/>
      <c r="Z100"/>
      <c r="AA100"/>
    </row>
    <row r="101" spans="2:30" ht="15.75" thickTop="1" x14ac:dyDescent="0.25">
      <c r="B101" s="306" t="str">
        <v>ZMmGOOwucYXE3nEMRlAJSj4Cg8c2</v>
      </c>
      <c r="C101" s="306" t="s">
        <v>4161</v>
      </c>
      <c r="D101" s="308">
        <f t="shared" si="15"/>
        <v>25</v>
      </c>
      <c r="E101" s="308">
        <f>COUNTIFS(TUDB!$H$8:$H$2326,Use!$B101,TUDB!$F$8:$F$2326,Use!E$49)</f>
        <v>0</v>
      </c>
      <c r="F101" s="308">
        <f>COUNTIFS(TUDB!$H$8:$H$2326,Use!$B101,TUDB!$F$8:$F$2326,Use!F$49)</f>
        <v>0</v>
      </c>
      <c r="G101" s="308">
        <f>COUNTIFS(TUDB!$H$8:$H$2326,Use!$B101,TUDB!$F$8:$F$2326,Use!G$49)</f>
        <v>9</v>
      </c>
      <c r="H101" s="308">
        <f>COUNTIFS(TUDB!$H$8:$H$2326,Use!$B101,TUDB!$F$8:$F$2326,Use!H$49)</f>
        <v>10</v>
      </c>
      <c r="I101" s="308">
        <f>COUNTIFS(TUDB!$H$8:$H$2326,Use!$B101,TUDB!$F$8:$F$2326,Use!I$49)</f>
        <v>6</v>
      </c>
      <c r="J101" s="308">
        <f>COUNTIFS(TUDB!$H$8:$H$2326,Use!$B101,TUDB!$F$8:$F$2326,Use!J$49)</f>
        <v>0</v>
      </c>
      <c r="K101" s="307">
        <f t="shared" si="36"/>
        <v>0</v>
      </c>
      <c r="L101" s="307">
        <f>IF(AND(G101&gt;0,SUM($E101:F101)=0),1,0)</f>
        <v>1</v>
      </c>
      <c r="M101" s="307">
        <f>IF(AND(H101&gt;0,SUM($E101:G101)=0),1,0)</f>
        <v>0</v>
      </c>
      <c r="N101" s="307">
        <f>IF(AND(I101&gt;0,SUM($E101:H101)=0),1,0)</f>
        <v>0</v>
      </c>
      <c r="O101" s="307">
        <f>IF(AND(J101&gt;0,SUM($E101:I101)=0),1,0)</f>
        <v>0</v>
      </c>
      <c r="P101" s="312"/>
      <c r="Q101" s="312"/>
      <c r="S101" s="291" t="s">
        <v>2340</v>
      </c>
      <c r="T101" s="290" t="s">
        <v>133</v>
      </c>
      <c r="U101" s="290">
        <v>2020</v>
      </c>
      <c r="V101" s="290">
        <v>2021</v>
      </c>
      <c r="W101" s="290">
        <v>2022</v>
      </c>
      <c r="X101" s="290">
        <v>2023</v>
      </c>
      <c r="Y101" s="290">
        <v>2024</v>
      </c>
      <c r="Z101" s="369">
        <v>2025</v>
      </c>
      <c r="AA101" s="369">
        <v>2026</v>
      </c>
      <c r="AB101" s="369">
        <v>2027</v>
      </c>
      <c r="AC101" s="369">
        <v>2028</v>
      </c>
      <c r="AD101" s="381" t="s">
        <v>3961</v>
      </c>
    </row>
    <row r="102" spans="2:30" x14ac:dyDescent="0.25">
      <c r="B102" s="303" t="str">
        <v>mOliWfJ8EcTqb0crRnvVrqCHyEi1</v>
      </c>
      <c r="C102" s="303" t="s">
        <v>4161</v>
      </c>
      <c r="D102" s="305">
        <f t="shared" si="15"/>
        <v>6</v>
      </c>
      <c r="E102" s="305">
        <f>COUNTIFS(TUDB!$H$8:$H$2326,Use!$B102,TUDB!$F$8:$F$2326,Use!E$49)</f>
        <v>0</v>
      </c>
      <c r="F102" s="305">
        <f>COUNTIFS(TUDB!$H$8:$H$2326,Use!$B102,TUDB!$F$8:$F$2326,Use!F$49)</f>
        <v>0</v>
      </c>
      <c r="G102" s="305">
        <f>COUNTIFS(TUDB!$H$8:$H$2326,Use!$B102,TUDB!$F$8:$F$2326,Use!G$49)</f>
        <v>0</v>
      </c>
      <c r="H102" s="305">
        <f>COUNTIFS(TUDB!$H$8:$H$2326,Use!$B102,TUDB!$F$8:$F$2326,Use!H$49)</f>
        <v>5</v>
      </c>
      <c r="I102" s="305">
        <f>COUNTIFS(TUDB!$H$8:$H$2326,Use!$B102,TUDB!$F$8:$F$2326,Use!I$49)</f>
        <v>1</v>
      </c>
      <c r="J102" s="305">
        <f>COUNTIFS(TUDB!$H$8:$H$2326,Use!$B102,TUDB!$F$8:$F$2326,Use!J$49)</f>
        <v>0</v>
      </c>
      <c r="K102" s="304">
        <f t="shared" si="36"/>
        <v>0</v>
      </c>
      <c r="L102" s="304">
        <f>IF(AND(G102&gt;0,SUM($E102:F102)=0),1,0)</f>
        <v>0</v>
      </c>
      <c r="M102" s="304">
        <f>IF(AND(H102&gt;0,SUM($E102:G102)=0),1,0)</f>
        <v>1</v>
      </c>
      <c r="N102" s="304">
        <f>IF(AND(I102&gt;0,SUM($E102:H102)=0),1,0)</f>
        <v>0</v>
      </c>
      <c r="O102" s="304">
        <f>IF(AND(J102&gt;0,SUM($E102:I102)=0),1,0)</f>
        <v>0</v>
      </c>
      <c r="P102" s="311"/>
      <c r="Q102" s="311"/>
      <c r="S102" s="230" t="s">
        <v>1346</v>
      </c>
      <c r="T102" s="224">
        <f>SUM(U102:AC102)</f>
        <v>18</v>
      </c>
      <c r="U102" s="224">
        <f>COUNTIFS(TU_DB[[TU Chapter Area]:[TU Chapter Area]],$AD102,TU_DB[[Year]:[Year]],U$101)</f>
        <v>1</v>
      </c>
      <c r="V102" s="224">
        <f>COUNTIFS(TU_DB[[TU Chapter Area]:[TU Chapter Area]],$AD102,TU_DB[[Year]:[Year]],V$101)</f>
        <v>0</v>
      </c>
      <c r="W102" s="224">
        <f>COUNTIFS(TU_DB[[TU Chapter Area]:[TU Chapter Area]],$AD102,TU_DB[[Year]:[Year]],W$101)</f>
        <v>0</v>
      </c>
      <c r="X102" s="224">
        <f>COUNTIFS(TU_DB[[TU Chapter Area]:[TU Chapter Area]],$AD102,TU_DB[[Year]:[Year]],X$101)</f>
        <v>15</v>
      </c>
      <c r="Y102" s="224">
        <f>COUNTIFS(TU_DB[[TU Chapter Area]:[TU Chapter Area]],$AD102,TU_DB[[Year]:[Year]],Y$101)</f>
        <v>2</v>
      </c>
      <c r="Z102" s="370">
        <f>COUNTIFS(TU_DB[[TU Chapter Area]:[TU Chapter Area]],$AD102,TU_DB[[Year]:[Year]],Z$101)</f>
        <v>0</v>
      </c>
      <c r="AA102" s="370">
        <f>COUNTIFS(TU_DB[[TU Chapter Area]:[TU Chapter Area]],$S102,TU_DB[[Year]:[Year]],AA$101)</f>
        <v>0</v>
      </c>
      <c r="AB102" s="370">
        <f>COUNTIFS(TU_DB[[TU Chapter Area]:[TU Chapter Area]],$AD102,TU_DB[[Year]:[Year]],AB$101)</f>
        <v>0</v>
      </c>
      <c r="AC102" s="370">
        <f>COUNTIFS(TU_DB[[TU Chapter Area]:[TU Chapter Area]],$S102,TU_DB[[Year]:[Year]],AC$101)</f>
        <v>0</v>
      </c>
      <c r="AD102" s="382" t="s">
        <v>1346</v>
      </c>
    </row>
    <row r="103" spans="2:30" x14ac:dyDescent="0.25">
      <c r="B103" s="306" t="str">
        <v>inidBfHzkzPKUyeLROUq9PMQemF2</v>
      </c>
      <c r="C103" s="306" t="s">
        <v>4160</v>
      </c>
      <c r="D103" s="308">
        <f t="shared" si="15"/>
        <v>23</v>
      </c>
      <c r="E103" s="308">
        <f>COUNTIFS(TUDB!$H$8:$H$2326,Use!$B103,TUDB!$F$8:$F$2326,Use!E$49)</f>
        <v>0</v>
      </c>
      <c r="F103" s="308">
        <f>COUNTIFS(TUDB!$H$8:$H$2326,Use!$B103,TUDB!$F$8:$F$2326,Use!F$49)</f>
        <v>0</v>
      </c>
      <c r="G103" s="308">
        <f>COUNTIFS(TUDB!$H$8:$H$2326,Use!$B103,TUDB!$F$8:$F$2326,Use!G$49)</f>
        <v>0</v>
      </c>
      <c r="H103" s="308">
        <f>COUNTIFS(TUDB!$H$8:$H$2326,Use!$B103,TUDB!$F$8:$F$2326,Use!H$49)</f>
        <v>0</v>
      </c>
      <c r="I103" s="308">
        <f>COUNTIFS(TUDB!$H$8:$H$2326,Use!$B103,TUDB!$F$8:$F$2326,Use!I$49)</f>
        <v>23</v>
      </c>
      <c r="J103" s="308">
        <f>COUNTIFS(TUDB!$H$8:$H$2326,Use!$B103,TUDB!$F$8:$F$2326,Use!J$49)</f>
        <v>0</v>
      </c>
      <c r="K103" s="307">
        <f t="shared" si="36"/>
        <v>0</v>
      </c>
      <c r="L103" s="307">
        <f>IF(AND(G103&gt;0,SUM($E103:F103)=0),1,0)</f>
        <v>0</v>
      </c>
      <c r="M103" s="307">
        <f>IF(AND(H103&gt;0,SUM($E103:G103)=0),1,0)</f>
        <v>0</v>
      </c>
      <c r="N103" s="307">
        <f>IF(AND(I103&gt;0,SUM($E103:H103)=0),1,0)</f>
        <v>1</v>
      </c>
      <c r="O103" s="307">
        <f>IF(AND(J103&gt;0,SUM($E103:I103)=0),1,0)</f>
        <v>0</v>
      </c>
      <c r="P103" s="312"/>
      <c r="Q103" s="312"/>
      <c r="S103" s="230" t="s">
        <v>1349</v>
      </c>
      <c r="T103" s="224">
        <f t="shared" ref="T103:T117" si="38">SUM(U103:AC103)</f>
        <v>8</v>
      </c>
      <c r="U103" s="224">
        <f>COUNTIFS(TU_DB[[TU Chapter Area]:[TU Chapter Area]],$AD103,TU_DB[[Year]:[Year]],U$101)</f>
        <v>0</v>
      </c>
      <c r="V103" s="224">
        <f>COUNTIFS(TU_DB[[TU Chapter Area]:[TU Chapter Area]],$AD103,TU_DB[[Year]:[Year]],V$101)</f>
        <v>0</v>
      </c>
      <c r="W103" s="224">
        <f>COUNTIFS(TU_DB[[TU Chapter Area]:[TU Chapter Area]],$AD103,TU_DB[[Year]:[Year]],W$101)</f>
        <v>0</v>
      </c>
      <c r="X103" s="224">
        <f>COUNTIFS(TU_DB[[TU Chapter Area]:[TU Chapter Area]],$AD103,TU_DB[[Year]:[Year]],X$101)</f>
        <v>6</v>
      </c>
      <c r="Y103" s="224">
        <f>COUNTIFS(TU_DB[[TU Chapter Area]:[TU Chapter Area]],$AD103,TU_DB[[Year]:[Year]],Y$101)</f>
        <v>2</v>
      </c>
      <c r="Z103" s="370">
        <f>COUNTIFS(TU_DB[[TU Chapter Area]:[TU Chapter Area]],$AD103,TU_DB[[Year]:[Year]],Z$101)</f>
        <v>0</v>
      </c>
      <c r="AA103" s="370">
        <f>COUNTIFS(TU_DB[[TU Chapter Area]:[TU Chapter Area]],$S103,TU_DB[[Year]:[Year]],AA$101)</f>
        <v>0</v>
      </c>
      <c r="AB103" s="370">
        <f>COUNTIFS(TU_DB[[TU Chapter Area]:[TU Chapter Area]],$AD103,TU_DB[[Year]:[Year]],AB$101)</f>
        <v>0</v>
      </c>
      <c r="AC103" s="370">
        <f>COUNTIFS(TU_DB[[TU Chapter Area]:[TU Chapter Area]],$S103,TU_DB[[Year]:[Year]],AC$101)</f>
        <v>0</v>
      </c>
      <c r="AD103" s="382" t="s">
        <v>1349</v>
      </c>
    </row>
    <row r="104" spans="2:30" x14ac:dyDescent="0.25">
      <c r="B104" s="303" t="str">
        <v>45rXX7ilGVVrOJRshsY6hOrN1Hd2</v>
      </c>
      <c r="C104" s="303" t="s">
        <v>1339</v>
      </c>
      <c r="D104" s="305">
        <f t="shared" si="15"/>
        <v>4</v>
      </c>
      <c r="E104" s="305">
        <f>COUNTIFS(TUDB!$H$8:$H$2326,Use!$B104,TUDB!$F$8:$F$2326,Use!E$49)</f>
        <v>0</v>
      </c>
      <c r="F104" s="305">
        <f>COUNTIFS(TUDB!$H$8:$H$2326,Use!$B104,TUDB!$F$8:$F$2326,Use!F$49)</f>
        <v>0</v>
      </c>
      <c r="G104" s="305">
        <f>COUNTIFS(TUDB!$H$8:$H$2326,Use!$B104,TUDB!$F$8:$F$2326,Use!G$49)</f>
        <v>0</v>
      </c>
      <c r="H104" s="305">
        <f>COUNTIFS(TUDB!$H$8:$H$2326,Use!$B104,TUDB!$F$8:$F$2326,Use!H$49)</f>
        <v>0</v>
      </c>
      <c r="I104" s="305">
        <f>COUNTIFS(TUDB!$H$8:$H$2326,Use!$B104,TUDB!$F$8:$F$2326,Use!I$49)</f>
        <v>4</v>
      </c>
      <c r="J104" s="305">
        <f>COUNTIFS(TUDB!$H$8:$H$2326,Use!$B104,TUDB!$F$8:$F$2326,Use!J$49)</f>
        <v>0</v>
      </c>
      <c r="K104" s="304">
        <f t="shared" si="36"/>
        <v>0</v>
      </c>
      <c r="L104" s="304">
        <f>IF(AND(G104&gt;0,SUM($E104:F104)=0),1,0)</f>
        <v>0</v>
      </c>
      <c r="M104" s="304">
        <f>IF(AND(H104&gt;0,SUM($E104:G104)=0),1,0)</f>
        <v>0</v>
      </c>
      <c r="N104" s="304">
        <f>IF(AND(I104&gt;0,SUM($E104:H104)=0),1,0)</f>
        <v>1</v>
      </c>
      <c r="O104" s="304">
        <f>IF(AND(J104&gt;0,SUM($E104:I104)=0),1,0)</f>
        <v>0</v>
      </c>
      <c r="P104" s="311"/>
      <c r="Q104" s="311"/>
      <c r="S104" s="230" t="s">
        <v>1342</v>
      </c>
      <c r="T104" s="224">
        <f t="shared" si="38"/>
        <v>230</v>
      </c>
      <c r="U104" s="224">
        <f>COUNTIFS(TU_DB[[TU Chapter Area]:[TU Chapter Area]],$AD104,TU_DB[[Year]:[Year]],U$101)</f>
        <v>11</v>
      </c>
      <c r="V104" s="224">
        <f>COUNTIFS(TU_DB[[TU Chapter Area]:[TU Chapter Area]],$AD104,TU_DB[[Year]:[Year]],V$101)</f>
        <v>14</v>
      </c>
      <c r="W104" s="224">
        <f>COUNTIFS(TU_DB[[TU Chapter Area]:[TU Chapter Area]],$AD104,TU_DB[[Year]:[Year]],W$101)</f>
        <v>13</v>
      </c>
      <c r="X104" s="224">
        <f>COUNTIFS(TU_DB[[TU Chapter Area]:[TU Chapter Area]],$AD104,TU_DB[[Year]:[Year]],X$101)</f>
        <v>177</v>
      </c>
      <c r="Y104" s="224">
        <f>COUNTIFS(TU_DB[[TU Chapter Area]:[TU Chapter Area]],$AD104,TU_DB[[Year]:[Year]],Y$101)</f>
        <v>15</v>
      </c>
      <c r="Z104" s="370">
        <f>COUNTIFS(TU_DB[[TU Chapter Area]:[TU Chapter Area]],$AD104,TU_DB[[Year]:[Year]],Z$101)</f>
        <v>0</v>
      </c>
      <c r="AA104" s="370">
        <f>COUNTIFS(TU_DB[[TU Chapter Area]:[TU Chapter Area]],$S104,TU_DB[[Year]:[Year]],AA$101)</f>
        <v>0</v>
      </c>
      <c r="AB104" s="370">
        <f>COUNTIFS(TU_DB[[TU Chapter Area]:[TU Chapter Area]],$AD104,TU_DB[[Year]:[Year]],AB$101)</f>
        <v>0</v>
      </c>
      <c r="AC104" s="370">
        <f>COUNTIFS(TU_DB[[TU Chapter Area]:[TU Chapter Area]],$S104,TU_DB[[Year]:[Year]],AC$101)</f>
        <v>0</v>
      </c>
      <c r="AD104" s="382" t="s">
        <v>1342</v>
      </c>
    </row>
    <row r="105" spans="2:30" x14ac:dyDescent="0.25">
      <c r="B105" s="306" t="str">
        <v>aPffmw8BEWfof4TYloC3SpL9sQk1</v>
      </c>
      <c r="C105" s="306" t="s">
        <v>1339</v>
      </c>
      <c r="D105" s="308">
        <f t="shared" si="15"/>
        <v>7</v>
      </c>
      <c r="E105" s="308">
        <f>COUNTIFS(TUDB!$H$8:$H$2326,Use!$B105,TUDB!$F$8:$F$2326,Use!E$49)</f>
        <v>0</v>
      </c>
      <c r="F105" s="308">
        <f>COUNTIFS(TUDB!$H$8:$H$2326,Use!$B105,TUDB!$F$8:$F$2326,Use!F$49)</f>
        <v>0</v>
      </c>
      <c r="G105" s="308">
        <f>COUNTIFS(TUDB!$H$8:$H$2326,Use!$B105,TUDB!$F$8:$F$2326,Use!G$49)</f>
        <v>5</v>
      </c>
      <c r="H105" s="308">
        <f>COUNTIFS(TUDB!$H$8:$H$2326,Use!$B105,TUDB!$F$8:$F$2326,Use!H$49)</f>
        <v>0</v>
      </c>
      <c r="I105" s="308">
        <f>COUNTIFS(TUDB!$H$8:$H$2326,Use!$B105,TUDB!$F$8:$F$2326,Use!I$49)</f>
        <v>2</v>
      </c>
      <c r="J105" s="308">
        <f>COUNTIFS(TUDB!$H$8:$H$2326,Use!$B105,TUDB!$F$8:$F$2326,Use!J$49)</f>
        <v>0</v>
      </c>
      <c r="K105" s="307">
        <f t="shared" si="36"/>
        <v>0</v>
      </c>
      <c r="L105" s="307">
        <f>IF(AND(G105&gt;0,SUM($E105:F105)=0),1,0)</f>
        <v>1</v>
      </c>
      <c r="M105" s="307">
        <f>IF(AND(H105&gt;0,SUM($E105:G105)=0),1,0)</f>
        <v>0</v>
      </c>
      <c r="N105" s="307">
        <f>IF(AND(I105&gt;0,SUM($E105:H105)=0),1,0)</f>
        <v>0</v>
      </c>
      <c r="O105" s="307">
        <f>IF(AND(J105&gt;0,SUM($E105:I105)=0),1,0)</f>
        <v>0</v>
      </c>
      <c r="P105" s="312"/>
      <c r="Q105" s="312"/>
      <c r="S105" s="230" t="s">
        <v>1345</v>
      </c>
      <c r="T105" s="224">
        <f t="shared" si="38"/>
        <v>80</v>
      </c>
      <c r="U105" s="224">
        <f>COUNTIFS(TU_DB[[TU Chapter Area]:[TU Chapter Area]],$AD105,TU_DB[[Year]:[Year]],U$101)</f>
        <v>0</v>
      </c>
      <c r="V105" s="224">
        <f>COUNTIFS(TU_DB[[TU Chapter Area]:[TU Chapter Area]],$AD105,TU_DB[[Year]:[Year]],V$101)</f>
        <v>1</v>
      </c>
      <c r="W105" s="224">
        <f>COUNTIFS(TU_DB[[TU Chapter Area]:[TU Chapter Area]],$AD105,TU_DB[[Year]:[Year]],W$101)</f>
        <v>0</v>
      </c>
      <c r="X105" s="224">
        <f>COUNTIFS(TU_DB[[TU Chapter Area]:[TU Chapter Area]],$AD105,TU_DB[[Year]:[Year]],X$101)</f>
        <v>48</v>
      </c>
      <c r="Y105" s="224">
        <f>COUNTIFS(TU_DB[[TU Chapter Area]:[TU Chapter Area]],$AD105,TU_DB[[Year]:[Year]],Y$101)</f>
        <v>31</v>
      </c>
      <c r="Z105" s="370">
        <f>COUNTIFS(TU_DB[[TU Chapter Area]:[TU Chapter Area]],$AD105,TU_DB[[Year]:[Year]],Z$101)</f>
        <v>0</v>
      </c>
      <c r="AA105" s="370">
        <f>COUNTIFS(TU_DB[[TU Chapter Area]:[TU Chapter Area]],$S105,TU_DB[[Year]:[Year]],AA$101)</f>
        <v>0</v>
      </c>
      <c r="AB105" s="370">
        <f>COUNTIFS(TU_DB[[TU Chapter Area]:[TU Chapter Area]],$AD105,TU_DB[[Year]:[Year]],AB$101)</f>
        <v>0</v>
      </c>
      <c r="AC105" s="370">
        <f>COUNTIFS(TU_DB[[TU Chapter Area]:[TU Chapter Area]],$S105,TU_DB[[Year]:[Year]],AC$101)</f>
        <v>0</v>
      </c>
      <c r="AD105" s="382" t="s">
        <v>1345</v>
      </c>
    </row>
    <row r="106" spans="2:30" x14ac:dyDescent="0.25">
      <c r="B106" s="303" t="str">
        <v>iL4InQVt0eQdf8HXXiLJJxA4dTA2</v>
      </c>
      <c r="C106" s="303" t="s">
        <v>1342</v>
      </c>
      <c r="D106" s="305">
        <f t="shared" si="15"/>
        <v>12</v>
      </c>
      <c r="E106" s="305">
        <f>COUNTIFS(TUDB!$H$8:$H$2326,Use!$B106,TUDB!$F$8:$F$2326,Use!E$49)</f>
        <v>0</v>
      </c>
      <c r="F106" s="305">
        <f>COUNTIFS(TUDB!$H$8:$H$2326,Use!$B106,TUDB!$F$8:$F$2326,Use!F$49)</f>
        <v>0</v>
      </c>
      <c r="G106" s="305">
        <f>COUNTIFS(TUDB!$H$8:$H$2326,Use!$B106,TUDB!$F$8:$F$2326,Use!G$49)</f>
        <v>0</v>
      </c>
      <c r="H106" s="305">
        <f>COUNTIFS(TUDB!$H$8:$H$2326,Use!$B106,TUDB!$F$8:$F$2326,Use!H$49)</f>
        <v>0</v>
      </c>
      <c r="I106" s="305">
        <f>COUNTIFS(TUDB!$H$8:$H$2326,Use!$B106,TUDB!$F$8:$F$2326,Use!I$49)</f>
        <v>12</v>
      </c>
      <c r="J106" s="305">
        <f>COUNTIFS(TUDB!$H$8:$H$2326,Use!$B106,TUDB!$F$8:$F$2326,Use!J$49)</f>
        <v>0</v>
      </c>
      <c r="K106" s="304">
        <f t="shared" si="36"/>
        <v>0</v>
      </c>
      <c r="L106" s="304">
        <f>IF(AND(G106&gt;0,SUM($E106:F106)=0),1,0)</f>
        <v>0</v>
      </c>
      <c r="M106" s="304">
        <f>IF(AND(H106&gt;0,SUM($E106:G106)=0),1,0)</f>
        <v>0</v>
      </c>
      <c r="N106" s="304">
        <f>IF(AND(I106&gt;0,SUM($E106:H106)=0),1,0)</f>
        <v>1</v>
      </c>
      <c r="O106" s="304">
        <f>IF(AND(J106&gt;0,SUM($E106:I106)=0),1,0)</f>
        <v>0</v>
      </c>
      <c r="P106" s="311"/>
      <c r="Q106" s="311"/>
      <c r="S106" s="230" t="s">
        <v>1339</v>
      </c>
      <c r="T106" s="224">
        <f t="shared" si="38"/>
        <v>337</v>
      </c>
      <c r="U106" s="224">
        <f>COUNTIFS(TU_DB[[TU Chapter Area]:[TU Chapter Area]],$AD106,TU_DB[[Year]:[Year]],U$101)</f>
        <v>8</v>
      </c>
      <c r="V106" s="224">
        <f>COUNTIFS(TU_DB[[TU Chapter Area]:[TU Chapter Area]],$AD106,TU_DB[[Year]:[Year]],V$101)</f>
        <v>105</v>
      </c>
      <c r="W106" s="224">
        <f>COUNTIFS(TU_DB[[TU Chapter Area]:[TU Chapter Area]],$AD106,TU_DB[[Year]:[Year]],W$101)</f>
        <v>60</v>
      </c>
      <c r="X106" s="224">
        <f>COUNTIFS(TU_DB[[TU Chapter Area]:[TU Chapter Area]],$AD106,TU_DB[[Year]:[Year]],X$101)</f>
        <v>86</v>
      </c>
      <c r="Y106" s="224">
        <f>COUNTIFS(TU_DB[[TU Chapter Area]:[TU Chapter Area]],$AD106,TU_DB[[Year]:[Year]],Y$101)</f>
        <v>78</v>
      </c>
      <c r="Z106" s="370">
        <f>COUNTIFS(TU_DB[[TU Chapter Area]:[TU Chapter Area]],$AD106,TU_DB[[Year]:[Year]],Z$101)</f>
        <v>0</v>
      </c>
      <c r="AA106" s="370">
        <f>COUNTIFS(TU_DB[[TU Chapter Area]:[TU Chapter Area]],$S106,TU_DB[[Year]:[Year]],AA$101)</f>
        <v>0</v>
      </c>
      <c r="AB106" s="370">
        <f>COUNTIFS(TU_DB[[TU Chapter Area]:[TU Chapter Area]],$AD106,TU_DB[[Year]:[Year]],AB$101)</f>
        <v>0</v>
      </c>
      <c r="AC106" s="370">
        <f>COUNTIFS(TU_DB[[TU Chapter Area]:[TU Chapter Area]],$S106,TU_DB[[Year]:[Year]],AC$101)</f>
        <v>0</v>
      </c>
      <c r="AD106" s="382" t="s">
        <v>1339</v>
      </c>
    </row>
    <row r="107" spans="2:30" x14ac:dyDescent="0.25">
      <c r="B107" s="306" t="str">
        <v>UlOTIjO5fRXyX2NgghYvxYXOF0j2</v>
      </c>
      <c r="C107" s="306" t="s">
        <v>544</v>
      </c>
      <c r="D107" s="308">
        <f t="shared" si="15"/>
        <v>8</v>
      </c>
      <c r="E107" s="308">
        <f>COUNTIFS(TUDB!$H$8:$H$2326,Use!$B107,TUDB!$F$8:$F$2326,Use!E$49)</f>
        <v>0</v>
      </c>
      <c r="F107" s="308">
        <f>COUNTIFS(TUDB!$H$8:$H$2326,Use!$B107,TUDB!$F$8:$F$2326,Use!F$49)</f>
        <v>0</v>
      </c>
      <c r="G107" s="308">
        <f>COUNTIFS(TUDB!$H$8:$H$2326,Use!$B107,TUDB!$F$8:$F$2326,Use!G$49)</f>
        <v>0</v>
      </c>
      <c r="H107" s="308">
        <f>COUNTIFS(TUDB!$H$8:$H$2326,Use!$B107,TUDB!$F$8:$F$2326,Use!H$49)</f>
        <v>0</v>
      </c>
      <c r="I107" s="308">
        <f>COUNTIFS(TUDB!$H$8:$H$2326,Use!$B107,TUDB!$F$8:$F$2326,Use!I$49)</f>
        <v>8</v>
      </c>
      <c r="J107" s="308">
        <f>COUNTIFS(TUDB!$H$8:$H$2326,Use!$B107,TUDB!$F$8:$F$2326,Use!J$49)</f>
        <v>0</v>
      </c>
      <c r="K107" s="307">
        <f t="shared" si="36"/>
        <v>0</v>
      </c>
      <c r="L107" s="307">
        <f>IF(AND(G107&gt;0,SUM($E107:F107)=0),1,0)</f>
        <v>0</v>
      </c>
      <c r="M107" s="307">
        <f>IF(AND(H107&gt;0,SUM($E107:G107)=0),1,0)</f>
        <v>0</v>
      </c>
      <c r="N107" s="307">
        <f>IF(AND(I107&gt;0,SUM($E107:H107)=0),1,0)</f>
        <v>1</v>
      </c>
      <c r="O107" s="307">
        <f>IF(AND(J107&gt;0,SUM($E107:I107)=0),1,0)</f>
        <v>0</v>
      </c>
      <c r="P107" s="312"/>
      <c r="Q107" s="312"/>
      <c r="S107" s="230" t="s">
        <v>1344</v>
      </c>
      <c r="T107" s="224">
        <f t="shared" si="38"/>
        <v>112</v>
      </c>
      <c r="U107" s="224">
        <f>COUNTIFS(TU_DB[[TU Chapter Area]:[TU Chapter Area]],$AD107,TU_DB[[Year]:[Year]],U$101)</f>
        <v>1</v>
      </c>
      <c r="V107" s="224">
        <f>COUNTIFS(TU_DB[[TU Chapter Area]:[TU Chapter Area]],$AD107,TU_DB[[Year]:[Year]],V$101)</f>
        <v>7</v>
      </c>
      <c r="W107" s="224">
        <f>COUNTIFS(TU_DB[[TU Chapter Area]:[TU Chapter Area]],$AD107,TU_DB[[Year]:[Year]],W$101)</f>
        <v>21</v>
      </c>
      <c r="X107" s="224">
        <f>COUNTIFS(TU_DB[[TU Chapter Area]:[TU Chapter Area]],$AD107,TU_DB[[Year]:[Year]],X$101)</f>
        <v>38</v>
      </c>
      <c r="Y107" s="224">
        <f>COUNTIFS(TU_DB[[TU Chapter Area]:[TU Chapter Area]],$AD107,TU_DB[[Year]:[Year]],Y$101)</f>
        <v>45</v>
      </c>
      <c r="Z107" s="370">
        <f>COUNTIFS(TU_DB[[TU Chapter Area]:[TU Chapter Area]],$AD107,TU_DB[[Year]:[Year]],Z$101)</f>
        <v>0</v>
      </c>
      <c r="AA107" s="370">
        <f>COUNTIFS(TU_DB[[TU Chapter Area]:[TU Chapter Area]],$S107,TU_DB[[Year]:[Year]],AA$101)</f>
        <v>0</v>
      </c>
      <c r="AB107" s="370">
        <f>COUNTIFS(TU_DB[[TU Chapter Area]:[TU Chapter Area]],$AD107,TU_DB[[Year]:[Year]],AB$101)</f>
        <v>0</v>
      </c>
      <c r="AC107" s="370">
        <f>COUNTIFS(TU_DB[[TU Chapter Area]:[TU Chapter Area]],$S107,TU_DB[[Year]:[Year]],AC$101)</f>
        <v>0</v>
      </c>
      <c r="AD107" s="382" t="s">
        <v>1344</v>
      </c>
    </row>
    <row r="108" spans="2:30" x14ac:dyDescent="0.25">
      <c r="B108" s="303" t="str">
        <v>sPbTkTzcbybDduQDEAb0F4hUDHf2</v>
      </c>
      <c r="C108" s="303" t="s">
        <v>4161</v>
      </c>
      <c r="D108" s="305">
        <f t="shared" si="15"/>
        <v>16</v>
      </c>
      <c r="E108" s="305">
        <f>COUNTIFS(TUDB!$H$8:$H$2326,Use!$B108,TUDB!$F$8:$F$2326,Use!E$49)</f>
        <v>0</v>
      </c>
      <c r="F108" s="305">
        <f>COUNTIFS(TUDB!$H$8:$H$2326,Use!$B108,TUDB!$F$8:$F$2326,Use!F$49)</f>
        <v>0</v>
      </c>
      <c r="G108" s="305">
        <f>COUNTIFS(TUDB!$H$8:$H$2326,Use!$B108,TUDB!$F$8:$F$2326,Use!G$49)</f>
        <v>0</v>
      </c>
      <c r="H108" s="305">
        <f>COUNTIFS(TUDB!$H$8:$H$2326,Use!$B108,TUDB!$F$8:$F$2326,Use!H$49)</f>
        <v>9</v>
      </c>
      <c r="I108" s="305">
        <f>COUNTIFS(TUDB!$H$8:$H$2326,Use!$B108,TUDB!$F$8:$F$2326,Use!I$49)</f>
        <v>7</v>
      </c>
      <c r="J108" s="305">
        <f>COUNTIFS(TUDB!$H$8:$H$2326,Use!$B108,TUDB!$F$8:$F$2326,Use!J$49)</f>
        <v>0</v>
      </c>
      <c r="K108" s="304">
        <f t="shared" si="36"/>
        <v>0</v>
      </c>
      <c r="L108" s="304">
        <f>IF(AND(G108&gt;0,SUM($E108:F108)=0),1,0)</f>
        <v>0</v>
      </c>
      <c r="M108" s="304">
        <f>IF(AND(H108&gt;0,SUM($E108:G108)=0),1,0)</f>
        <v>1</v>
      </c>
      <c r="N108" s="304">
        <f>IF(AND(I108&gt;0,SUM($E108:H108)=0),1,0)</f>
        <v>0</v>
      </c>
      <c r="O108" s="304">
        <f>IF(AND(J108&gt;0,SUM($E108:I108)=0),1,0)</f>
        <v>0</v>
      </c>
      <c r="P108" s="311"/>
      <c r="Q108" s="311"/>
      <c r="S108" s="230" t="s">
        <v>578</v>
      </c>
      <c r="T108" s="224">
        <f>SUM(U108:AC108)</f>
        <v>518</v>
      </c>
      <c r="U108" s="224">
        <f>COUNTIFS(TU_DB[[TU Chapter Area]:[TU Chapter Area]],$AD108,TU_DB[[Year]:[Year]],U$101)</f>
        <v>65</v>
      </c>
      <c r="V108" s="224">
        <f>COUNTIFS(TU_DB[[TU Chapter Area]:[TU Chapter Area]],$AD108,TU_DB[[Year]:[Year]],V$101)</f>
        <v>91</v>
      </c>
      <c r="W108" s="224">
        <f>COUNTIFS(TU_DB[[TU Chapter Area]:[TU Chapter Area]],$AD108,TU_DB[[Year]:[Year]],W$101)</f>
        <v>184</v>
      </c>
      <c r="X108" s="224">
        <f>COUNTIFS(TU_DB[[TU Chapter Area]:[TU Chapter Area]],$AD108,TU_DB[[Year]:[Year]],X$101)</f>
        <v>100</v>
      </c>
      <c r="Y108" s="224">
        <f>COUNTIFS(TU_DB[[TU Chapter Area]:[TU Chapter Area]],$AD108,TU_DB[[Year]:[Year]],Y$101)</f>
        <v>78</v>
      </c>
      <c r="Z108" s="370">
        <f>COUNTIFS(TU_DB[[TU Chapter Area]:[TU Chapter Area]],$AD108,TU_DB[[Year]:[Year]],Z$101)</f>
        <v>0</v>
      </c>
      <c r="AA108" s="370">
        <f>COUNTIFS(TU_DB[[TU Chapter Area]:[TU Chapter Area]],$S108,TU_DB[[Year]:[Year]],AA$101)</f>
        <v>0</v>
      </c>
      <c r="AB108" s="370">
        <f>COUNTIFS(TU_DB[[TU Chapter Area]:[TU Chapter Area]],$AD108,TU_DB[[Year]:[Year]],AB$101)</f>
        <v>0</v>
      </c>
      <c r="AC108" s="370">
        <f>COUNTIFS(TU_DB[[TU Chapter Area]:[TU Chapter Area]],$S108,TU_DB[[Year]:[Year]],AC$101)</f>
        <v>0</v>
      </c>
      <c r="AD108" s="382" t="s">
        <v>578</v>
      </c>
    </row>
    <row r="109" spans="2:30" x14ac:dyDescent="0.25">
      <c r="B109" s="306" t="str">
        <v>dzm5kGoaEqWZ3aoqMW65dlUm5g92</v>
      </c>
      <c r="C109" s="306" t="s">
        <v>4161</v>
      </c>
      <c r="D109" s="308">
        <f t="shared" si="15"/>
        <v>18</v>
      </c>
      <c r="E109" s="308">
        <f>COUNTIFS(TUDB!$H$8:$H$2326,Use!$B109,TUDB!$F$8:$F$2326,Use!E$49)</f>
        <v>0</v>
      </c>
      <c r="F109" s="308">
        <f>COUNTIFS(TUDB!$H$8:$H$2326,Use!$B109,TUDB!$F$8:$F$2326,Use!F$49)</f>
        <v>0</v>
      </c>
      <c r="G109" s="308">
        <f>COUNTIFS(TUDB!$H$8:$H$2326,Use!$B109,TUDB!$F$8:$F$2326,Use!G$49)</f>
        <v>0</v>
      </c>
      <c r="H109" s="308">
        <f>COUNTIFS(TUDB!$H$8:$H$2326,Use!$B109,TUDB!$F$8:$F$2326,Use!H$49)</f>
        <v>12</v>
      </c>
      <c r="I109" s="308">
        <f>COUNTIFS(TUDB!$H$8:$H$2326,Use!$B109,TUDB!$F$8:$F$2326,Use!I$49)</f>
        <v>6</v>
      </c>
      <c r="J109" s="308">
        <f>COUNTIFS(TUDB!$H$8:$H$2326,Use!$B109,TUDB!$F$8:$F$2326,Use!J$49)</f>
        <v>0</v>
      </c>
      <c r="K109" s="307">
        <f t="shared" si="36"/>
        <v>0</v>
      </c>
      <c r="L109" s="307">
        <f>IF(AND(G109&gt;0,SUM($E109:F109)=0),1,0)</f>
        <v>0</v>
      </c>
      <c r="M109" s="307">
        <f>IF(AND(H109&gt;0,SUM($E109:G109)=0),1,0)</f>
        <v>1</v>
      </c>
      <c r="N109" s="307">
        <f>IF(AND(I109&gt;0,SUM($E109:H109)=0),1,0)</f>
        <v>0</v>
      </c>
      <c r="O109" s="307">
        <f>IF(AND(J109&gt;0,SUM($E109:I109)=0),1,0)</f>
        <v>0</v>
      </c>
      <c r="P109" s="312"/>
      <c r="Q109" s="312"/>
      <c r="S109" s="230" t="s">
        <v>1350</v>
      </c>
      <c r="T109" s="224">
        <f t="shared" si="38"/>
        <v>0</v>
      </c>
      <c r="U109" s="224">
        <f>COUNTIFS(TU_DB[[TU Chapter Area]:[TU Chapter Area]],$AD109,TU_DB[[Year]:[Year]],U$101)</f>
        <v>0</v>
      </c>
      <c r="V109" s="224">
        <f>COUNTIFS(TU_DB[[TU Chapter Area]:[TU Chapter Area]],$AD109,TU_DB[[Year]:[Year]],V$101)</f>
        <v>0</v>
      </c>
      <c r="W109" s="224">
        <f>COUNTIFS(TU_DB[[TU Chapter Area]:[TU Chapter Area]],$AD109,TU_DB[[Year]:[Year]],W$101)</f>
        <v>0</v>
      </c>
      <c r="X109" s="224">
        <f>COUNTIFS(TU_DB[[TU Chapter Area]:[TU Chapter Area]],$AD109,TU_DB[[Year]:[Year]],X$101)</f>
        <v>0</v>
      </c>
      <c r="Y109" s="224">
        <f>COUNTIFS(TU_DB[[TU Chapter Area]:[TU Chapter Area]],$AD109,TU_DB[[Year]:[Year]],Y$101)</f>
        <v>0</v>
      </c>
      <c r="Z109" s="370">
        <f>COUNTIFS(TU_DB[[TU Chapter Area]:[TU Chapter Area]],$AD109,TU_DB[[Year]:[Year]],Z$101)</f>
        <v>0</v>
      </c>
      <c r="AA109" s="370">
        <f>COUNTIFS(TU_DB[[TU Chapter Area]:[TU Chapter Area]],$S109,TU_DB[[Year]:[Year]],AA$101)</f>
        <v>0</v>
      </c>
      <c r="AB109" s="370">
        <f>COUNTIFS(TU_DB[[TU Chapter Area]:[TU Chapter Area]],$AD109,TU_DB[[Year]:[Year]],AB$101)</f>
        <v>0</v>
      </c>
      <c r="AC109" s="370">
        <f>COUNTIFS(TU_DB[[TU Chapter Area]:[TU Chapter Area]],$S109,TU_DB[[Year]:[Year]],AC$101)</f>
        <v>0</v>
      </c>
      <c r="AD109" s="383" t="s">
        <v>1350</v>
      </c>
    </row>
    <row r="110" spans="2:30" x14ac:dyDescent="0.25">
      <c r="B110" s="303" t="str">
        <v>6oemLSFIHIXnYk5OuejKZ9Uhljr1</v>
      </c>
      <c r="C110" s="303" t="s">
        <v>1339</v>
      </c>
      <c r="D110" s="305">
        <f t="shared" si="15"/>
        <v>17</v>
      </c>
      <c r="E110" s="305">
        <f>COUNTIFS(TUDB!$H$8:$H$2326,Use!$B110,TUDB!$F$8:$F$2326,Use!E$49)</f>
        <v>0</v>
      </c>
      <c r="F110" s="305">
        <f>COUNTIFS(TUDB!$H$8:$H$2326,Use!$B110,TUDB!$F$8:$F$2326,Use!F$49)</f>
        <v>0</v>
      </c>
      <c r="G110" s="305">
        <f>COUNTIFS(TUDB!$H$8:$H$2326,Use!$B110,TUDB!$F$8:$F$2326,Use!G$49)</f>
        <v>7</v>
      </c>
      <c r="H110" s="305">
        <f>COUNTIFS(TUDB!$H$8:$H$2326,Use!$B110,TUDB!$F$8:$F$2326,Use!H$49)</f>
        <v>1</v>
      </c>
      <c r="I110" s="305">
        <f>COUNTIFS(TUDB!$H$8:$H$2326,Use!$B110,TUDB!$F$8:$F$2326,Use!I$49)</f>
        <v>9</v>
      </c>
      <c r="J110" s="305">
        <f>COUNTIFS(TUDB!$H$8:$H$2326,Use!$B110,TUDB!$F$8:$F$2326,Use!J$49)</f>
        <v>0</v>
      </c>
      <c r="K110" s="304">
        <f t="shared" si="36"/>
        <v>0</v>
      </c>
      <c r="L110" s="304">
        <f>IF(AND(G110&gt;0,SUM($E110:F110)=0),1,0)</f>
        <v>1</v>
      </c>
      <c r="M110" s="304">
        <f>IF(AND(H110&gt;0,SUM($E110:G110)=0),1,0)</f>
        <v>0</v>
      </c>
      <c r="N110" s="304">
        <f>IF(AND(I110&gt;0,SUM($E110:H110)=0),1,0)</f>
        <v>0</v>
      </c>
      <c r="O110" s="304">
        <f>IF(AND(J110&gt;0,SUM($E110:I110)=0),1,0)</f>
        <v>0</v>
      </c>
      <c r="P110" s="311"/>
      <c r="Q110" s="311"/>
      <c r="S110" s="230" t="s">
        <v>1348</v>
      </c>
      <c r="T110" s="224">
        <f t="shared" si="38"/>
        <v>47</v>
      </c>
      <c r="U110" s="224">
        <f>COUNTIFS(TU_DB[[TU Chapter Area]:[TU Chapter Area]],$AD110,TU_DB[[Year]:[Year]],U$101)</f>
        <v>0</v>
      </c>
      <c r="V110" s="224">
        <f>COUNTIFS(TU_DB[[TU Chapter Area]:[TU Chapter Area]],$AD110,TU_DB[[Year]:[Year]],V$101)</f>
        <v>0</v>
      </c>
      <c r="W110" s="224">
        <f>COUNTIFS(TU_DB[[TU Chapter Area]:[TU Chapter Area]],$AD110,TU_DB[[Year]:[Year]],W$101)</f>
        <v>4</v>
      </c>
      <c r="X110" s="224">
        <f>COUNTIFS(TU_DB[[TU Chapter Area]:[TU Chapter Area]],$AD110,TU_DB[[Year]:[Year]],X$101)</f>
        <v>23</v>
      </c>
      <c r="Y110" s="224">
        <f>COUNTIFS(TU_DB[[TU Chapter Area]:[TU Chapter Area]],$AD110,TU_DB[[Year]:[Year]],Y$101)</f>
        <v>20</v>
      </c>
      <c r="Z110" s="370">
        <f>COUNTIFS(TU_DB[[TU Chapter Area]:[TU Chapter Area]],$AD110,TU_DB[[Year]:[Year]],Z$101)</f>
        <v>0</v>
      </c>
      <c r="AA110" s="370">
        <f>COUNTIFS(TU_DB[[TU Chapter Area]:[TU Chapter Area]],$S110,TU_DB[[Year]:[Year]],AA$101)</f>
        <v>0</v>
      </c>
      <c r="AB110" s="370">
        <f>COUNTIFS(TU_DB[[TU Chapter Area]:[TU Chapter Area]],$AD110,TU_DB[[Year]:[Year]],AB$101)</f>
        <v>0</v>
      </c>
      <c r="AC110" s="370">
        <f>COUNTIFS(TU_DB[[TU Chapter Area]:[TU Chapter Area]],$S110,TU_DB[[Year]:[Year]],AC$101)</f>
        <v>0</v>
      </c>
      <c r="AD110" s="382" t="s">
        <v>1348</v>
      </c>
    </row>
    <row r="111" spans="2:30" x14ac:dyDescent="0.25">
      <c r="B111" s="306" t="str">
        <v>7NTXAgPEn9VYyuIA3Cp8vDW3NQX2</v>
      </c>
      <c r="C111" s="306" t="s">
        <v>4158</v>
      </c>
      <c r="D111" s="308">
        <f t="shared" si="15"/>
        <v>37</v>
      </c>
      <c r="E111" s="308">
        <f>COUNTIFS(TUDB!$H$8:$H$2326,Use!$B111,TUDB!$F$8:$F$2326,Use!E$49)</f>
        <v>0</v>
      </c>
      <c r="F111" s="308">
        <f>COUNTIFS(TUDB!$H$8:$H$2326,Use!$B111,TUDB!$F$8:$F$2326,Use!F$49)</f>
        <v>0</v>
      </c>
      <c r="G111" s="308">
        <f>COUNTIFS(TUDB!$H$8:$H$2326,Use!$B111,TUDB!$F$8:$F$2326,Use!G$49)</f>
        <v>0</v>
      </c>
      <c r="H111" s="308">
        <f>COUNTIFS(TUDB!$H$8:$H$2326,Use!$B111,TUDB!$F$8:$F$2326,Use!H$49)</f>
        <v>0</v>
      </c>
      <c r="I111" s="308">
        <f>COUNTIFS(TUDB!$H$8:$H$2326,Use!$B111,TUDB!$F$8:$F$2326,Use!I$49)</f>
        <v>37</v>
      </c>
      <c r="J111" s="308">
        <f>COUNTIFS(TUDB!$H$8:$H$2326,Use!$B111,TUDB!$F$8:$F$2326,Use!J$49)</f>
        <v>0</v>
      </c>
      <c r="K111" s="307">
        <f t="shared" si="36"/>
        <v>0</v>
      </c>
      <c r="L111" s="307">
        <f>IF(AND(G111&gt;0,SUM($E111:F111)=0),1,0)</f>
        <v>0</v>
      </c>
      <c r="M111" s="307">
        <f>IF(AND(H111&gt;0,SUM($E111:G111)=0),1,0)</f>
        <v>0</v>
      </c>
      <c r="N111" s="307">
        <f>IF(AND(I111&gt;0,SUM($E111:H111)=0),1,0)</f>
        <v>1</v>
      </c>
      <c r="O111" s="307">
        <f>IF(AND(J111&gt;0,SUM($E111:I111)=0),1,0)</f>
        <v>0</v>
      </c>
      <c r="P111" s="312"/>
      <c r="Q111" s="312"/>
      <c r="S111" s="230" t="s">
        <v>2341</v>
      </c>
      <c r="T111" s="224">
        <f t="shared" si="38"/>
        <v>0</v>
      </c>
      <c r="U111" s="224">
        <f>COUNTIFS(TU_DB[[TU Chapter Area]:[TU Chapter Area]],$AD111,TU_DB[[Year]:[Year]],U$101)</f>
        <v>0</v>
      </c>
      <c r="V111" s="224">
        <f>COUNTIFS(TU_DB[[TU Chapter Area]:[TU Chapter Area]],$AD111,TU_DB[[Year]:[Year]],V$101)</f>
        <v>0</v>
      </c>
      <c r="W111" s="224">
        <f>COUNTIFS(TU_DB[[TU Chapter Area]:[TU Chapter Area]],$AD111,TU_DB[[Year]:[Year]],W$101)</f>
        <v>0</v>
      </c>
      <c r="X111" s="224">
        <f>COUNTIFS(TU_DB[[TU Chapter Area]:[TU Chapter Area]],$AD111,TU_DB[[Year]:[Year]],X$101)</f>
        <v>0</v>
      </c>
      <c r="Y111" s="224">
        <f>COUNTIFS(TU_DB[[TU Chapter Area]:[TU Chapter Area]],$AD111,TU_DB[[Year]:[Year]],Y$101)</f>
        <v>0</v>
      </c>
      <c r="Z111" s="370">
        <f>COUNTIFS(TU_DB[[TU Chapter Area]:[TU Chapter Area]],$AD111,TU_DB[[Year]:[Year]],Z$101)</f>
        <v>0</v>
      </c>
      <c r="AA111" s="370">
        <f>COUNTIFS(TU_DB[[TU Chapter Area]:[TU Chapter Area]],$S111,TU_DB[[Year]:[Year]],AA$101)</f>
        <v>0</v>
      </c>
      <c r="AB111" s="370">
        <f>COUNTIFS(TU_DB[[TU Chapter Area]:[TU Chapter Area]],$AD111,TU_DB[[Year]:[Year]],AB$101)</f>
        <v>0</v>
      </c>
      <c r="AC111" s="370">
        <f>COUNTIFS(TU_DB[[TU Chapter Area]:[TU Chapter Area]],$S111,TU_DB[[Year]:[Year]],AC$101)</f>
        <v>0</v>
      </c>
      <c r="AD111" s="382" t="s">
        <v>2341</v>
      </c>
    </row>
    <row r="112" spans="2:30" x14ac:dyDescent="0.25">
      <c r="B112" s="303" t="str">
        <v>vJrwbdPvPnXJgon4SQthmTwobKu2</v>
      </c>
      <c r="C112" s="303" t="s">
        <v>4159</v>
      </c>
      <c r="D112" s="305">
        <f t="shared" si="15"/>
        <v>1</v>
      </c>
      <c r="E112" s="305">
        <f>COUNTIFS(TUDB!$H$8:$H$2326,Use!$B112,TUDB!$F$8:$F$2326,Use!E$49)</f>
        <v>0</v>
      </c>
      <c r="F112" s="305">
        <f>COUNTIFS(TUDB!$H$8:$H$2326,Use!$B112,TUDB!$F$8:$F$2326,Use!F$49)</f>
        <v>0</v>
      </c>
      <c r="G112" s="305">
        <f>COUNTIFS(TUDB!$H$8:$H$2326,Use!$B112,TUDB!$F$8:$F$2326,Use!G$49)</f>
        <v>0</v>
      </c>
      <c r="H112" s="305">
        <f>COUNTIFS(TUDB!$H$8:$H$2326,Use!$B112,TUDB!$F$8:$F$2326,Use!H$49)</f>
        <v>0</v>
      </c>
      <c r="I112" s="305">
        <f>COUNTIFS(TUDB!$H$8:$H$2326,Use!$B112,TUDB!$F$8:$F$2326,Use!I$49)</f>
        <v>1</v>
      </c>
      <c r="J112" s="305">
        <f>COUNTIFS(TUDB!$H$8:$H$2326,Use!$B112,TUDB!$F$8:$F$2326,Use!J$49)</f>
        <v>0</v>
      </c>
      <c r="K112" s="304">
        <f t="shared" si="36"/>
        <v>0</v>
      </c>
      <c r="L112" s="304">
        <f>IF(AND(G112&gt;0,SUM($E112:F112)=0),1,0)</f>
        <v>0</v>
      </c>
      <c r="M112" s="304">
        <f>IF(AND(H112&gt;0,SUM($E112:G112)=0),1,0)</f>
        <v>0</v>
      </c>
      <c r="N112" s="304">
        <f>IF(AND(I112&gt;0,SUM($E112:H112)=0),1,0)</f>
        <v>1</v>
      </c>
      <c r="O112" s="304">
        <f>IF(AND(J112&gt;0,SUM($E112:I112)=0),1,0)</f>
        <v>0</v>
      </c>
      <c r="P112" s="311"/>
      <c r="Q112" s="311"/>
      <c r="S112" s="230" t="s">
        <v>2342</v>
      </c>
      <c r="T112" s="224">
        <f t="shared" si="38"/>
        <v>15</v>
      </c>
      <c r="U112" s="224">
        <f>COUNTIFS(TU_DB[[TU Chapter Area]:[TU Chapter Area]],$AD112,TU_DB[[Year]:[Year]],U$101)</f>
        <v>0</v>
      </c>
      <c r="V112" s="224">
        <f>COUNTIFS(TU_DB[[TU Chapter Area]:[TU Chapter Area]],$AD112,TU_DB[[Year]:[Year]],V$101)</f>
        <v>8</v>
      </c>
      <c r="W112" s="224">
        <f>COUNTIFS(TU_DB[[TU Chapter Area]:[TU Chapter Area]],$AD112,TU_DB[[Year]:[Year]],W$101)</f>
        <v>0</v>
      </c>
      <c r="X112" s="224">
        <f>COUNTIFS(TU_DB[[TU Chapter Area]:[TU Chapter Area]],$AD112,TU_DB[[Year]:[Year]],X$101)</f>
        <v>4</v>
      </c>
      <c r="Y112" s="224">
        <f>COUNTIFS(TU_DB[[TU Chapter Area]:[TU Chapter Area]],$AD112,TU_DB[[Year]:[Year]],Y$101)</f>
        <v>3</v>
      </c>
      <c r="Z112" s="370">
        <f>COUNTIFS(TU_DB[[TU Chapter Area]:[TU Chapter Area]],$AD112,TU_DB[[Year]:[Year]],Z$101)</f>
        <v>0</v>
      </c>
      <c r="AA112" s="370">
        <f>COUNTIFS(TU_DB[[TU Chapter Area]:[TU Chapter Area]],$S112,TU_DB[[Year]:[Year]],AA$101)</f>
        <v>0</v>
      </c>
      <c r="AB112" s="370">
        <f>COUNTIFS(TU_DB[[TU Chapter Area]:[TU Chapter Area]],$AD112,TU_DB[[Year]:[Year]],AB$101)</f>
        <v>0</v>
      </c>
      <c r="AC112" s="370">
        <f>COUNTIFS(TU_DB[[TU Chapter Area]:[TU Chapter Area]],$S112,TU_DB[[Year]:[Year]],AC$101)</f>
        <v>0</v>
      </c>
      <c r="AD112" s="382" t="s">
        <v>1343</v>
      </c>
    </row>
    <row r="113" spans="2:37" x14ac:dyDescent="0.25">
      <c r="B113" s="306" t="str">
        <v>JPeRKIYV47UbzfPT6XNOkzh8jrH3</v>
      </c>
      <c r="C113" s="306" t="s">
        <v>544</v>
      </c>
      <c r="D113" s="308">
        <f t="shared" si="15"/>
        <v>1</v>
      </c>
      <c r="E113" s="308">
        <f>COUNTIFS(TUDB!$H$8:$H$2326,Use!$B113,TUDB!$F$8:$F$2326,Use!E$49)</f>
        <v>0</v>
      </c>
      <c r="F113" s="308">
        <f>COUNTIFS(TUDB!$H$8:$H$2326,Use!$B113,TUDB!$F$8:$F$2326,Use!F$49)</f>
        <v>0</v>
      </c>
      <c r="G113" s="308">
        <f>COUNTIFS(TUDB!$H$8:$H$2326,Use!$B113,TUDB!$F$8:$F$2326,Use!G$49)</f>
        <v>0</v>
      </c>
      <c r="H113" s="308">
        <f>COUNTIFS(TUDB!$H$8:$H$2326,Use!$B113,TUDB!$F$8:$F$2326,Use!H$49)</f>
        <v>0</v>
      </c>
      <c r="I113" s="308">
        <f>COUNTIFS(TUDB!$H$8:$H$2326,Use!$B113,TUDB!$F$8:$F$2326,Use!I$49)</f>
        <v>1</v>
      </c>
      <c r="J113" s="308">
        <f>COUNTIFS(TUDB!$H$8:$H$2326,Use!$B113,TUDB!$F$8:$F$2326,Use!J$49)</f>
        <v>0</v>
      </c>
      <c r="K113" s="307">
        <f t="shared" si="36"/>
        <v>0</v>
      </c>
      <c r="L113" s="307">
        <f>IF(AND(G113&gt;0,SUM($E113:F113)=0),1,0)</f>
        <v>0</v>
      </c>
      <c r="M113" s="307">
        <f>IF(AND(H113&gt;0,SUM($E113:G113)=0),1,0)</f>
        <v>0</v>
      </c>
      <c r="N113" s="307">
        <f>IF(AND(I113&gt;0,SUM($E113:H113)=0),1,0)</f>
        <v>1</v>
      </c>
      <c r="O113" s="307">
        <f>IF(AND(J113&gt;0,SUM($E113:I113)=0),1,0)</f>
        <v>0</v>
      </c>
      <c r="P113" s="312"/>
      <c r="Q113" s="312"/>
      <c r="S113" s="230" t="s">
        <v>1347</v>
      </c>
      <c r="T113" s="224">
        <f t="shared" si="38"/>
        <v>104</v>
      </c>
      <c r="U113" s="224">
        <f>COUNTIFS(TU_DB[[TU Chapter Area]:[TU Chapter Area]],$AD113,TU_DB[[Year]:[Year]],U$101)</f>
        <v>0</v>
      </c>
      <c r="V113" s="224">
        <f>COUNTIFS(TU_DB[[TU Chapter Area]:[TU Chapter Area]],$AD113,TU_DB[[Year]:[Year]],V$101)</f>
        <v>1</v>
      </c>
      <c r="W113" s="224">
        <f>COUNTIFS(TU_DB[[TU Chapter Area]:[TU Chapter Area]],$AD113,TU_DB[[Year]:[Year]],W$101)</f>
        <v>3</v>
      </c>
      <c r="X113" s="224">
        <f>COUNTIFS(TU_DB[[TU Chapter Area]:[TU Chapter Area]],$AD113,TU_DB[[Year]:[Year]],X$101)</f>
        <v>43</v>
      </c>
      <c r="Y113" s="224">
        <f>COUNTIFS(TU_DB[[TU Chapter Area]:[TU Chapter Area]],$AD113,TU_DB[[Year]:[Year]],Y$101)</f>
        <v>57</v>
      </c>
      <c r="Z113" s="370">
        <f>COUNTIFS(TU_DB[[TU Chapter Area]:[TU Chapter Area]],$AD113,TU_DB[[Year]:[Year]],Z$101)</f>
        <v>0</v>
      </c>
      <c r="AA113" s="370">
        <f>COUNTIFS(TU_DB[[TU Chapter Area]:[TU Chapter Area]],$S113,TU_DB[[Year]:[Year]],AA$101)</f>
        <v>0</v>
      </c>
      <c r="AB113" s="370">
        <f>COUNTIFS(TU_DB[[TU Chapter Area]:[TU Chapter Area]],$AD113,TU_DB[[Year]:[Year]],AB$101)</f>
        <v>0</v>
      </c>
      <c r="AC113" s="370">
        <f>COUNTIFS(TU_DB[[TU Chapter Area]:[TU Chapter Area]],$S113,TU_DB[[Year]:[Year]],AC$101)</f>
        <v>0</v>
      </c>
      <c r="AD113" s="382" t="s">
        <v>1347</v>
      </c>
    </row>
    <row r="114" spans="2:37" x14ac:dyDescent="0.25">
      <c r="B114" s="303" t="str">
        <v>priF5cixMzgI8IDVbN4UORA8Axx2</v>
      </c>
      <c r="C114" s="303" t="s">
        <v>544</v>
      </c>
      <c r="D114" s="305">
        <f t="shared" si="15"/>
        <v>2</v>
      </c>
      <c r="E114" s="305">
        <f>COUNTIFS(TUDB!$H$8:$H$2326,Use!$B114,TUDB!$F$8:$F$2326,Use!E$49)</f>
        <v>0</v>
      </c>
      <c r="F114" s="305">
        <f>COUNTIFS(TUDB!$H$8:$H$2326,Use!$B114,TUDB!$F$8:$F$2326,Use!F$49)</f>
        <v>0</v>
      </c>
      <c r="G114" s="305">
        <f>COUNTIFS(TUDB!$H$8:$H$2326,Use!$B114,TUDB!$F$8:$F$2326,Use!G$49)</f>
        <v>0</v>
      </c>
      <c r="H114" s="305">
        <f>COUNTIFS(TUDB!$H$8:$H$2326,Use!$B114,TUDB!$F$8:$F$2326,Use!H$49)</f>
        <v>0</v>
      </c>
      <c r="I114" s="305">
        <f>COUNTIFS(TUDB!$H$8:$H$2326,Use!$B114,TUDB!$F$8:$F$2326,Use!I$49)</f>
        <v>2</v>
      </c>
      <c r="J114" s="305">
        <f>COUNTIFS(TUDB!$H$8:$H$2326,Use!$B114,TUDB!$F$8:$F$2326,Use!J$49)</f>
        <v>0</v>
      </c>
      <c r="K114" s="304">
        <f t="shared" ref="K114:K145" si="39">IF(AND(F114&gt;0,SUM($E114)=0),1,0)</f>
        <v>0</v>
      </c>
      <c r="L114" s="304">
        <f>IF(AND(G114&gt;0,SUM($E114:F114)=0),1,0)</f>
        <v>0</v>
      </c>
      <c r="M114" s="304">
        <f>IF(AND(H114&gt;0,SUM($E114:G114)=0),1,0)</f>
        <v>0</v>
      </c>
      <c r="N114" s="304">
        <f>IF(AND(I114&gt;0,SUM($E114:H114)=0),1,0)</f>
        <v>1</v>
      </c>
      <c r="O114" s="304">
        <f>IF(AND(J114&gt;0,SUM($E114:I114)=0),1,0)</f>
        <v>0</v>
      </c>
      <c r="P114" s="311"/>
      <c r="Q114" s="311"/>
      <c r="S114" s="230" t="s">
        <v>2343</v>
      </c>
      <c r="T114" s="224">
        <f t="shared" si="38"/>
        <v>325</v>
      </c>
      <c r="U114" s="224">
        <f>COUNTIFS(TU_DB[[TU Chapter Area]:[TU Chapter Area]],$AD114,TU_DB[[Year]:[Year]],U$101)</f>
        <v>4</v>
      </c>
      <c r="V114" s="224">
        <f>COUNTIFS(TU_DB[[TU Chapter Area]:[TU Chapter Area]],$AD114,TU_DB[[Year]:[Year]],V$101)</f>
        <v>109</v>
      </c>
      <c r="W114" s="224">
        <f>COUNTIFS(TU_DB[[TU Chapter Area]:[TU Chapter Area]],$AD114,TU_DB[[Year]:[Year]],W$101)</f>
        <v>111</v>
      </c>
      <c r="X114" s="224">
        <f>COUNTIFS(TU_DB[[TU Chapter Area]:[TU Chapter Area]],$AD114,TU_DB[[Year]:[Year]],X$101)</f>
        <v>86</v>
      </c>
      <c r="Y114" s="224">
        <f>COUNTIFS(TU_DB[[TU Chapter Area]:[TU Chapter Area]],$AD114,TU_DB[[Year]:[Year]],Y$101)</f>
        <v>15</v>
      </c>
      <c r="Z114" s="370">
        <f>COUNTIFS(TU_DB[[TU Chapter Area]:[TU Chapter Area]],$AD114,TU_DB[[Year]:[Year]],Z$101)</f>
        <v>0</v>
      </c>
      <c r="AA114" s="370">
        <f>COUNTIFS(TU_DB[[TU Chapter Area]:[TU Chapter Area]],$S114,TU_DB[[Year]:[Year]],AA$101)</f>
        <v>0</v>
      </c>
      <c r="AB114" s="370">
        <f>COUNTIFS(TU_DB[[TU Chapter Area]:[TU Chapter Area]],$AD114,TU_DB[[Year]:[Year]],AB$101)</f>
        <v>0</v>
      </c>
      <c r="AC114" s="370">
        <f>COUNTIFS(TU_DB[[TU Chapter Area]:[TU Chapter Area]],$S114,TU_DB[[Year]:[Year]],AC$101)</f>
        <v>0</v>
      </c>
      <c r="AD114" s="382" t="s">
        <v>2343</v>
      </c>
    </row>
    <row r="115" spans="2:37" x14ac:dyDescent="0.25">
      <c r="B115" s="306" t="str">
        <v>k6imGQxkdoYmMVg7pAz2w40EZAb2</v>
      </c>
      <c r="C115" s="306" t="s">
        <v>4159</v>
      </c>
      <c r="D115" s="308">
        <f t="shared" ref="D115:D178" si="40">SUM(E115:J115)</f>
        <v>29</v>
      </c>
      <c r="E115" s="308">
        <f>COUNTIFS(TUDB!$H$8:$H$2326,Use!$B115,TUDB!$F$8:$F$2326,Use!E$49)</f>
        <v>0</v>
      </c>
      <c r="F115" s="308">
        <f>COUNTIFS(TUDB!$H$8:$H$2326,Use!$B115,TUDB!$F$8:$F$2326,Use!F$49)</f>
        <v>0</v>
      </c>
      <c r="G115" s="308">
        <f>COUNTIFS(TUDB!$H$8:$H$2326,Use!$B115,TUDB!$F$8:$F$2326,Use!G$49)</f>
        <v>0</v>
      </c>
      <c r="H115" s="308">
        <f>COUNTIFS(TUDB!$H$8:$H$2326,Use!$B115,TUDB!$F$8:$F$2326,Use!H$49)</f>
        <v>0</v>
      </c>
      <c r="I115" s="308">
        <f>COUNTIFS(TUDB!$H$8:$H$2326,Use!$B115,TUDB!$F$8:$F$2326,Use!I$49)</f>
        <v>29</v>
      </c>
      <c r="J115" s="308">
        <f>COUNTIFS(TUDB!$H$8:$H$2326,Use!$B115,TUDB!$F$8:$F$2326,Use!J$49)</f>
        <v>0</v>
      </c>
      <c r="K115" s="307">
        <f t="shared" si="39"/>
        <v>0</v>
      </c>
      <c r="L115" s="307">
        <f>IF(AND(G115&gt;0,SUM($E115:F115)=0),1,0)</f>
        <v>0</v>
      </c>
      <c r="M115" s="307">
        <f>IF(AND(H115&gt;0,SUM($E115:G115)=0),1,0)</f>
        <v>0</v>
      </c>
      <c r="N115" s="307">
        <f>IF(AND(I115&gt;0,SUM($E115:H115)=0),1,0)</f>
        <v>1</v>
      </c>
      <c r="O115" s="307">
        <f>IF(AND(J115&gt;0,SUM($E115:I115)=0),1,0)</f>
        <v>0</v>
      </c>
      <c r="P115" s="312"/>
      <c r="Q115" s="312"/>
      <c r="S115" s="230" t="s">
        <v>1341</v>
      </c>
      <c r="T115" s="224">
        <f t="shared" si="38"/>
        <v>203</v>
      </c>
      <c r="U115" s="224">
        <f>COUNTIFS(TU_DB[[TU Chapter Area]:[TU Chapter Area]],$AD115,TU_DB[[Year]:[Year]],U$101)</f>
        <v>12</v>
      </c>
      <c r="V115" s="224">
        <f>COUNTIFS(TU_DB[[TU Chapter Area]:[TU Chapter Area]],$AD115,TU_DB[[Year]:[Year]],V$101)</f>
        <v>50</v>
      </c>
      <c r="W115" s="224">
        <f>COUNTIFS(TU_DB[[TU Chapter Area]:[TU Chapter Area]],$AD115,TU_DB[[Year]:[Year]],W$101)</f>
        <v>34</v>
      </c>
      <c r="X115" s="224">
        <f>COUNTIFS(TU_DB[[TU Chapter Area]:[TU Chapter Area]],$AD115,TU_DB[[Year]:[Year]],X$101)</f>
        <v>70</v>
      </c>
      <c r="Y115" s="224">
        <f>COUNTIFS(TU_DB[[TU Chapter Area]:[TU Chapter Area]],$AD115,TU_DB[[Year]:[Year]],Y$101)</f>
        <v>37</v>
      </c>
      <c r="Z115" s="370">
        <f>COUNTIFS(TU_DB[[TU Chapter Area]:[TU Chapter Area]],$AD115,TU_DB[[Year]:[Year]],Z$101)</f>
        <v>0</v>
      </c>
      <c r="AA115" s="370">
        <f>COUNTIFS(TU_DB[[TU Chapter Area]:[TU Chapter Area]],$S116,TU_DB[[Year]:[Year]],AA$101)</f>
        <v>0</v>
      </c>
      <c r="AB115" s="370">
        <f>COUNTIFS(TU_DB[[TU Chapter Area]:[TU Chapter Area]],$AD115,TU_DB[[Year]:[Year]],AB$101)</f>
        <v>0</v>
      </c>
      <c r="AC115" s="370">
        <f>COUNTIFS(TU_DB[[TU Chapter Area]:[TU Chapter Area]],$S116,TU_DB[[Year]:[Year]],AC$101)</f>
        <v>0</v>
      </c>
      <c r="AD115" s="382" t="s">
        <v>1341</v>
      </c>
    </row>
    <row r="116" spans="2:37" x14ac:dyDescent="0.25">
      <c r="B116" s="303" t="str">
        <v>xGf42w3UBFa817jAA3vYGVMhqZo2</v>
      </c>
      <c r="C116" s="303" t="s">
        <v>4161</v>
      </c>
      <c r="D116" s="305">
        <f t="shared" si="40"/>
        <v>22</v>
      </c>
      <c r="E116" s="305">
        <f>COUNTIFS(TUDB!$H$8:$H$2326,Use!$B116,TUDB!$F$8:$F$2326,Use!E$49)</f>
        <v>0</v>
      </c>
      <c r="F116" s="305">
        <f>COUNTIFS(TUDB!$H$8:$H$2326,Use!$B116,TUDB!$F$8:$F$2326,Use!F$49)</f>
        <v>0</v>
      </c>
      <c r="G116" s="305">
        <f>COUNTIFS(TUDB!$H$8:$H$2326,Use!$B116,TUDB!$F$8:$F$2326,Use!G$49)</f>
        <v>13</v>
      </c>
      <c r="H116" s="305">
        <f>COUNTIFS(TUDB!$H$8:$H$2326,Use!$B116,TUDB!$F$8:$F$2326,Use!H$49)</f>
        <v>4</v>
      </c>
      <c r="I116" s="305">
        <f>COUNTIFS(TUDB!$H$8:$H$2326,Use!$B116,TUDB!$F$8:$F$2326,Use!I$49)</f>
        <v>5</v>
      </c>
      <c r="J116" s="305">
        <f>COUNTIFS(TUDB!$H$8:$H$2326,Use!$B116,TUDB!$F$8:$F$2326,Use!J$49)</f>
        <v>0</v>
      </c>
      <c r="K116" s="304">
        <f t="shared" si="39"/>
        <v>0</v>
      </c>
      <c r="L116" s="304">
        <f>IF(AND(G116&gt;0,SUM($E116:F116)=0),1,0)</f>
        <v>1</v>
      </c>
      <c r="M116" s="304">
        <f>IF(AND(H116&gt;0,SUM($E116:G116)=0),1,0)</f>
        <v>0</v>
      </c>
      <c r="N116" s="304">
        <f>IF(AND(I116&gt;0,SUM($E116:H116)=0),1,0)</f>
        <v>0</v>
      </c>
      <c r="O116" s="304">
        <f>IF(AND(J116&gt;0,SUM($E116:I116)=0),1,0)</f>
        <v>0</v>
      </c>
      <c r="P116" s="311"/>
      <c r="Q116" s="311"/>
      <c r="S116" s="286" t="s">
        <v>1340</v>
      </c>
      <c r="T116" s="289">
        <f t="shared" si="38"/>
        <v>251</v>
      </c>
      <c r="U116" s="289">
        <f>COUNTIFS(TU_DB[[TU Chapter Area]:[TU Chapter Area]],$AD116,TU_DB[[Year]:[Year]],U$101)</f>
        <v>40</v>
      </c>
      <c r="V116" s="289">
        <f>COUNTIFS(TU_DB[[TU Chapter Area]:[TU Chapter Area]],$AD116,TU_DB[[Year]:[Year]],V$101)</f>
        <v>21</v>
      </c>
      <c r="W116" s="289">
        <f>COUNTIFS(TU_DB[[TU Chapter Area]:[TU Chapter Area]],$AD116,TU_DB[[Year]:[Year]],W$101)</f>
        <v>26</v>
      </c>
      <c r="X116" s="289">
        <f>COUNTIFS(TU_DB[[TU Chapter Area]:[TU Chapter Area]],$AD116,TU_DB[[Year]:[Year]],X$101)</f>
        <v>106</v>
      </c>
      <c r="Y116" s="289">
        <f>COUNTIFS(TU_DB[[TU Chapter Area]:[TU Chapter Area]],$AD116,TU_DB[[Year]:[Year]],Y$101)</f>
        <v>58</v>
      </c>
      <c r="Z116" s="371">
        <f>COUNTIFS(TU_DB[[TU Chapter Area]:[TU Chapter Area]],$AD116,TU_DB[[Year]:[Year]],Z$101)</f>
        <v>0</v>
      </c>
      <c r="AA116" s="371">
        <f>COUNTIFS(TU_DB[[TU Chapter Area]:[TU Chapter Area]],#REF!,TU_DB[[Year]:[Year]],AA$101)</f>
        <v>0</v>
      </c>
      <c r="AB116" s="371">
        <f>COUNTIFS(TU_DB[[TU Chapter Area]:[TU Chapter Area]],$AD116,TU_DB[[Year]:[Year]],AB$101)</f>
        <v>0</v>
      </c>
      <c r="AC116" s="371">
        <f>COUNTIFS(TU_DB[[TU Chapter Area]:[TU Chapter Area]],#REF!,TU_DB[[Year]:[Year]],AC$101)</f>
        <v>0</v>
      </c>
      <c r="AD116" s="382" t="s">
        <v>1340</v>
      </c>
    </row>
    <row r="117" spans="2:37" ht="15.75" thickBot="1" x14ac:dyDescent="0.3">
      <c r="B117" s="306" t="str">
        <v>c2yLP2VgfvNBOWuOqq6XscGxbVi1</v>
      </c>
      <c r="C117" s="306" t="s">
        <v>4159</v>
      </c>
      <c r="D117" s="308">
        <f t="shared" si="40"/>
        <v>15</v>
      </c>
      <c r="E117" s="308">
        <f>COUNTIFS(TUDB!$H$8:$H$2326,Use!$B117,TUDB!$F$8:$F$2326,Use!E$49)</f>
        <v>0</v>
      </c>
      <c r="F117" s="308">
        <f>COUNTIFS(TUDB!$H$8:$H$2326,Use!$B117,TUDB!$F$8:$F$2326,Use!F$49)</f>
        <v>0</v>
      </c>
      <c r="G117" s="308">
        <f>COUNTIFS(TUDB!$H$8:$H$2326,Use!$B117,TUDB!$F$8:$F$2326,Use!G$49)</f>
        <v>0</v>
      </c>
      <c r="H117" s="308">
        <f>COUNTIFS(TUDB!$H$8:$H$2326,Use!$B117,TUDB!$F$8:$F$2326,Use!H$49)</f>
        <v>0</v>
      </c>
      <c r="I117" s="308">
        <f>COUNTIFS(TUDB!$H$8:$H$2326,Use!$B117,TUDB!$F$8:$F$2326,Use!I$49)</f>
        <v>15</v>
      </c>
      <c r="J117" s="308">
        <f>COUNTIFS(TUDB!$H$8:$H$2326,Use!$B117,TUDB!$F$8:$F$2326,Use!J$49)</f>
        <v>0</v>
      </c>
      <c r="K117" s="307">
        <f t="shared" si="39"/>
        <v>0</v>
      </c>
      <c r="L117" s="307">
        <f>IF(AND(G117&gt;0,SUM($E117:F117)=0),1,0)</f>
        <v>0</v>
      </c>
      <c r="M117" s="307">
        <f>IF(AND(H117&gt;0,SUM($E117:G117)=0),1,0)</f>
        <v>0</v>
      </c>
      <c r="N117" s="307">
        <f>IF(AND(I117&gt;0,SUM($E117:H117)=0),1,0)</f>
        <v>1</v>
      </c>
      <c r="O117" s="307">
        <f>IF(AND(J117&gt;0,SUM($E117:I117)=0),1,0)</f>
        <v>0</v>
      </c>
      <c r="P117" s="312"/>
      <c r="Q117" s="312"/>
      <c r="S117" s="227" t="s">
        <v>2347</v>
      </c>
      <c r="T117" s="225">
        <f t="shared" si="38"/>
        <v>11</v>
      </c>
      <c r="U117" s="225">
        <f>COUNTIFS(TU_DB[[TU Chapter Area]:[TU Chapter Area]],$AD117,TU_DB[[Year]:[Year]],U$101)</f>
        <v>2</v>
      </c>
      <c r="V117" s="225">
        <f>COUNTIFS(TU_DB[[TU Chapter Area]:[TU Chapter Area]],$AD117,TU_DB[[Year]:[Year]],V$101)</f>
        <v>0</v>
      </c>
      <c r="W117" s="225">
        <f>COUNTIFS(TU_DB[[TU Chapter Area]:[TU Chapter Area]],$AD117,TU_DB[[Year]:[Year]],W$101)</f>
        <v>3</v>
      </c>
      <c r="X117" s="225">
        <f>COUNTIFS(TU_DB[[TU Chapter Area]:[TU Chapter Area]],$AD117,TU_DB[[Year]:[Year]],X$101)</f>
        <v>5</v>
      </c>
      <c r="Y117" s="225">
        <f>COUNTIFS(TU_DB[[TU Chapter Area]:[TU Chapter Area]],$AD117,TU_DB[[Year]:[Year]],Y$101)</f>
        <v>1</v>
      </c>
      <c r="Z117" s="372">
        <f>COUNTIFS(TU_DB[[TU Chapter Area]:[TU Chapter Area]],$AD117,TU_DB[[Year]:[Year]],Z$101)</f>
        <v>0</v>
      </c>
      <c r="AA117" s="372">
        <f>COUNTIFS(TU_DB[[TU Chapter Area]:[TU Chapter Area]],$AD117,TU_DB[[Year]:[Year]],AA$101)</f>
        <v>0</v>
      </c>
      <c r="AB117" s="372">
        <f>COUNTIFS(TU_DB[[TU Chapter Area]:[TU Chapter Area]],$AD117,TU_DB[[Year]:[Year]],AB$101)</f>
        <v>0</v>
      </c>
      <c r="AC117" s="372">
        <f>COUNTIFS(TU_DB[[TU Chapter Area]:[TU Chapter Area]],$AD117,TU_DB[[Year]:[Year]],AC$101)</f>
        <v>0</v>
      </c>
      <c r="AD117" s="382">
        <v>0</v>
      </c>
      <c r="AE117" s="1"/>
      <c r="AF117" s="1"/>
      <c r="AG117" s="1"/>
      <c r="AH117" s="1"/>
      <c r="AJ117"/>
      <c r="AK117"/>
    </row>
    <row r="118" spans="2:37" ht="15.75" thickTop="1" x14ac:dyDescent="0.25">
      <c r="B118" s="303" t="str">
        <v>oCltWtS7poTmhdoeies5qt6zlVg1</v>
      </c>
      <c r="C118" s="303" t="s">
        <v>4160</v>
      </c>
      <c r="D118" s="305">
        <f t="shared" si="40"/>
        <v>3</v>
      </c>
      <c r="E118" s="305">
        <f>COUNTIFS(TUDB!$H$8:$H$2326,Use!$B118,TUDB!$F$8:$F$2326,Use!E$49)</f>
        <v>0</v>
      </c>
      <c r="F118" s="305">
        <f>COUNTIFS(TUDB!$H$8:$H$2326,Use!$B118,TUDB!$F$8:$F$2326,Use!F$49)</f>
        <v>0</v>
      </c>
      <c r="G118" s="305">
        <f>COUNTIFS(TUDB!$H$8:$H$2326,Use!$B118,TUDB!$F$8:$F$2326,Use!G$49)</f>
        <v>0</v>
      </c>
      <c r="H118" s="305">
        <f>COUNTIFS(TUDB!$H$8:$H$2326,Use!$B118,TUDB!$F$8:$F$2326,Use!H$49)</f>
        <v>2</v>
      </c>
      <c r="I118" s="305">
        <f>COUNTIFS(TUDB!$H$8:$H$2326,Use!$B118,TUDB!$F$8:$F$2326,Use!I$49)</f>
        <v>1</v>
      </c>
      <c r="J118" s="305">
        <f>COUNTIFS(TUDB!$H$8:$H$2326,Use!$B118,TUDB!$F$8:$F$2326,Use!J$49)</f>
        <v>0</v>
      </c>
      <c r="K118" s="304">
        <f t="shared" si="39"/>
        <v>0</v>
      </c>
      <c r="L118" s="304">
        <f>IF(AND(G118&gt;0,SUM($E118:F118)=0),1,0)</f>
        <v>0</v>
      </c>
      <c r="M118" s="304">
        <f>IF(AND(H118&gt;0,SUM($E118:G118)=0),1,0)</f>
        <v>1</v>
      </c>
      <c r="N118" s="304">
        <f>IF(AND(I118&gt;0,SUM($E118:H118)=0),1,0)</f>
        <v>0</v>
      </c>
      <c r="O118" s="304">
        <f>IF(AND(J118&gt;0,SUM($E118:I118)=0),1,0)</f>
        <v>0</v>
      </c>
      <c r="P118" s="311"/>
      <c r="Q118" s="311"/>
      <c r="S118" s="554"/>
      <c r="T118" s="554"/>
      <c r="U118" s="554"/>
      <c r="V118" s="554"/>
      <c r="W118" s="277"/>
      <c r="X118" s="277"/>
      <c r="Y118" s="373"/>
      <c r="Z118" s="374"/>
      <c r="AA118" s="318"/>
      <c r="AB118" s="318"/>
      <c r="AC118" s="374"/>
      <c r="AE118" s="1"/>
      <c r="AF118" s="1"/>
      <c r="AG118" s="1"/>
      <c r="AH118" s="1"/>
      <c r="AJ118"/>
      <c r="AK118"/>
    </row>
    <row r="119" spans="2:37" x14ac:dyDescent="0.25">
      <c r="B119" s="306" t="str">
        <v>TwGnpUOZyJhOTHOqw2pGQ0maGfh1</v>
      </c>
      <c r="C119" s="306" t="s">
        <v>1344</v>
      </c>
      <c r="D119" s="308">
        <f t="shared" si="40"/>
        <v>1</v>
      </c>
      <c r="E119" s="308">
        <f>COUNTIFS(TUDB!$H$8:$H$2326,Use!$B119,TUDB!$F$8:$F$2326,Use!E$49)</f>
        <v>0</v>
      </c>
      <c r="F119" s="308">
        <f>COUNTIFS(TUDB!$H$8:$H$2326,Use!$B119,TUDB!$F$8:$F$2326,Use!F$49)</f>
        <v>0</v>
      </c>
      <c r="G119" s="308">
        <f>COUNTIFS(TUDB!$H$8:$H$2326,Use!$B119,TUDB!$F$8:$F$2326,Use!G$49)</f>
        <v>0</v>
      </c>
      <c r="H119" s="308">
        <f>COUNTIFS(TUDB!$H$8:$H$2326,Use!$B119,TUDB!$F$8:$F$2326,Use!H$49)</f>
        <v>0</v>
      </c>
      <c r="I119" s="308">
        <f>COUNTIFS(TUDB!$H$8:$H$2326,Use!$B119,TUDB!$F$8:$F$2326,Use!I$49)</f>
        <v>1</v>
      </c>
      <c r="J119" s="308">
        <f>COUNTIFS(TUDB!$H$8:$H$2326,Use!$B119,TUDB!$F$8:$F$2326,Use!J$49)</f>
        <v>0</v>
      </c>
      <c r="K119" s="307">
        <f t="shared" si="39"/>
        <v>0</v>
      </c>
      <c r="L119" s="307">
        <f>IF(AND(G119&gt;0,SUM($E119:F119)=0),1,0)</f>
        <v>0</v>
      </c>
      <c r="M119" s="307">
        <f>IF(AND(H119&gt;0,SUM($E119:G119)=0),1,0)</f>
        <v>0</v>
      </c>
      <c r="N119" s="307">
        <f>IF(AND(I119&gt;0,SUM($E119:H119)=0),1,0)</f>
        <v>1</v>
      </c>
      <c r="O119" s="307">
        <f>IF(AND(J119&gt;0,SUM($E119:I119)=0),1,0)</f>
        <v>0</v>
      </c>
      <c r="P119" s="312"/>
      <c r="Q119" s="312"/>
      <c r="Y119" s="374"/>
      <c r="Z119" s="374"/>
      <c r="AA119" s="374"/>
      <c r="AB119" s="374"/>
      <c r="AC119" s="374"/>
      <c r="AE119" s="1"/>
      <c r="AF119" s="1"/>
      <c r="AG119" s="1"/>
      <c r="AH119" s="1"/>
      <c r="AJ119"/>
      <c r="AK119"/>
    </row>
    <row r="120" spans="2:37" ht="21" x14ac:dyDescent="0.25">
      <c r="B120" s="303" t="str">
        <v>lyrizH9jreV0VG7fAgccBEropRQ2</v>
      </c>
      <c r="C120" s="303" t="s">
        <v>544</v>
      </c>
      <c r="D120" s="305">
        <f t="shared" si="40"/>
        <v>3</v>
      </c>
      <c r="E120" s="305">
        <f>COUNTIFS(TUDB!$H$8:$H$2326,Use!$B120,TUDB!$F$8:$F$2326,Use!E$49)</f>
        <v>0</v>
      </c>
      <c r="F120" s="305">
        <f>COUNTIFS(TUDB!$H$8:$H$2326,Use!$B120,TUDB!$F$8:$F$2326,Use!F$49)</f>
        <v>0</v>
      </c>
      <c r="G120" s="305">
        <f>COUNTIFS(TUDB!$H$8:$H$2326,Use!$B120,TUDB!$F$8:$F$2326,Use!G$49)</f>
        <v>0</v>
      </c>
      <c r="H120" s="305">
        <f>COUNTIFS(TUDB!$H$8:$H$2326,Use!$B120,TUDB!$F$8:$F$2326,Use!H$49)</f>
        <v>2</v>
      </c>
      <c r="I120" s="305">
        <f>COUNTIFS(TUDB!$H$8:$H$2326,Use!$B120,TUDB!$F$8:$F$2326,Use!I$49)</f>
        <v>1</v>
      </c>
      <c r="J120" s="305">
        <f>COUNTIFS(TUDB!$H$8:$H$2326,Use!$B120,TUDB!$F$8:$F$2326,Use!J$49)</f>
        <v>0</v>
      </c>
      <c r="K120" s="304">
        <f t="shared" si="39"/>
        <v>0</v>
      </c>
      <c r="L120" s="304">
        <f>IF(AND(G120&gt;0,SUM($E120:F120)=0),1,0)</f>
        <v>0</v>
      </c>
      <c r="M120" s="304">
        <f>IF(AND(H120&gt;0,SUM($E120:G120)=0),1,0)</f>
        <v>1</v>
      </c>
      <c r="N120" s="304">
        <f>IF(AND(I120&gt;0,SUM($E120:H120)=0),1,0)</f>
        <v>0</v>
      </c>
      <c r="O120" s="304">
        <f>IF(AND(J120&gt;0,SUM($E120:I120)=0),1,0)</f>
        <v>0</v>
      </c>
      <c r="P120" s="311"/>
      <c r="Q120" s="311"/>
      <c r="S120" s="152" t="s">
        <v>4207</v>
      </c>
      <c r="T120" s="152"/>
      <c r="U120" s="152"/>
      <c r="V120" s="152"/>
      <c r="W120" s="152"/>
      <c r="X120" s="152"/>
      <c r="Y120" s="375"/>
      <c r="Z120" s="375"/>
      <c r="AA120" s="375"/>
      <c r="AB120" s="375"/>
      <c r="AC120" s="375"/>
      <c r="AE120" s="1"/>
      <c r="AF120" s="1"/>
      <c r="AG120" s="1"/>
      <c r="AH120" s="1"/>
      <c r="AJ120"/>
      <c r="AK120"/>
    </row>
    <row r="121" spans="2:37" ht="15.75" thickBot="1" x14ac:dyDescent="0.3">
      <c r="B121" s="306" t="str">
        <v>3XObfMb7QSfrAYng16E97lQdZ3k1</v>
      </c>
      <c r="C121" s="306" t="s">
        <v>4158</v>
      </c>
      <c r="D121" s="308">
        <f t="shared" si="40"/>
        <v>62</v>
      </c>
      <c r="E121" s="308">
        <f>COUNTIFS(TUDB!$H$8:$H$2326,Use!$B121,TUDB!$F$8:$F$2326,Use!E$49)</f>
        <v>0</v>
      </c>
      <c r="F121" s="308">
        <f>COUNTIFS(TUDB!$H$8:$H$2326,Use!$B121,TUDB!$F$8:$F$2326,Use!F$49)</f>
        <v>0</v>
      </c>
      <c r="G121" s="308">
        <f>COUNTIFS(TUDB!$H$8:$H$2326,Use!$B121,TUDB!$F$8:$F$2326,Use!G$49)</f>
        <v>0</v>
      </c>
      <c r="H121" s="308">
        <f>COUNTIFS(TUDB!$H$8:$H$2326,Use!$B121,TUDB!$F$8:$F$2326,Use!H$49)</f>
        <v>0</v>
      </c>
      <c r="I121" s="308">
        <f>COUNTIFS(TUDB!$H$8:$H$2326,Use!$B121,TUDB!$F$8:$F$2326,Use!I$49)</f>
        <v>62</v>
      </c>
      <c r="J121" s="308">
        <f>COUNTIFS(TUDB!$H$8:$H$2326,Use!$B121,TUDB!$F$8:$F$2326,Use!J$49)</f>
        <v>0</v>
      </c>
      <c r="K121" s="307">
        <f t="shared" si="39"/>
        <v>0</v>
      </c>
      <c r="L121" s="307">
        <f>IF(AND(G121&gt;0,SUM($E121:F121)=0),1,0)</f>
        <v>0</v>
      </c>
      <c r="M121" s="307">
        <f>IF(AND(H121&gt;0,SUM($E121:G121)=0),1,0)</f>
        <v>0</v>
      </c>
      <c r="N121" s="307">
        <f>IF(AND(I121&gt;0,SUM($E121:H121)=0),1,0)</f>
        <v>1</v>
      </c>
      <c r="O121" s="307">
        <f>IF(AND(J121&gt;0,SUM($E121:I121)=0),1,0)</f>
        <v>0</v>
      </c>
      <c r="P121" s="312"/>
      <c r="Q121" s="312"/>
      <c r="Y121" s="374"/>
      <c r="Z121" s="374"/>
      <c r="AA121" s="374"/>
      <c r="AB121" s="374"/>
      <c r="AC121" s="374"/>
      <c r="AE121" s="1"/>
      <c r="AF121" s="1"/>
      <c r="AG121" s="1"/>
      <c r="AH121" s="1"/>
      <c r="AJ121"/>
      <c r="AK121"/>
    </row>
    <row r="122" spans="2:37" ht="15.75" thickTop="1" x14ac:dyDescent="0.25">
      <c r="B122" s="303" t="str">
        <v>NWIhS2n51yTWxXjbMfTT6jX8rmi1</v>
      </c>
      <c r="C122" s="303" t="s">
        <v>544</v>
      </c>
      <c r="D122" s="305">
        <f t="shared" si="40"/>
        <v>1</v>
      </c>
      <c r="E122" s="305">
        <f>COUNTIFS(TUDB!$H$8:$H$2326,Use!$B122,TUDB!$F$8:$F$2326,Use!E$49)</f>
        <v>0</v>
      </c>
      <c r="F122" s="305">
        <f>COUNTIFS(TUDB!$H$8:$H$2326,Use!$B122,TUDB!$F$8:$F$2326,Use!F$49)</f>
        <v>0</v>
      </c>
      <c r="G122" s="305">
        <f>COUNTIFS(TUDB!$H$8:$H$2326,Use!$B122,TUDB!$F$8:$F$2326,Use!G$49)</f>
        <v>0</v>
      </c>
      <c r="H122" s="305">
        <f>COUNTIFS(TUDB!$H$8:$H$2326,Use!$B122,TUDB!$F$8:$F$2326,Use!H$49)</f>
        <v>0</v>
      </c>
      <c r="I122" s="305">
        <f>COUNTIFS(TUDB!$H$8:$H$2326,Use!$B122,TUDB!$F$8:$F$2326,Use!I$49)</f>
        <v>1</v>
      </c>
      <c r="J122" s="305">
        <f>COUNTIFS(TUDB!$H$8:$H$2326,Use!$B122,TUDB!$F$8:$F$2326,Use!J$49)</f>
        <v>0</v>
      </c>
      <c r="K122" s="304">
        <f t="shared" si="39"/>
        <v>0</v>
      </c>
      <c r="L122" s="304">
        <f>IF(AND(G122&gt;0,SUM($E122:F122)=0),1,0)</f>
        <v>0</v>
      </c>
      <c r="M122" s="304">
        <f>IF(AND(H122&gt;0,SUM($E122:G122)=0),1,0)</f>
        <v>0</v>
      </c>
      <c r="N122" s="304">
        <f>IF(AND(I122&gt;0,SUM($E122:H122)=0),1,0)</f>
        <v>1</v>
      </c>
      <c r="O122" s="304">
        <f>IF(AND(J122&gt;0,SUM($E122:I122)=0),1,0)</f>
        <v>0</v>
      </c>
      <c r="P122" s="311"/>
      <c r="Q122" s="311"/>
      <c r="S122" s="291" t="s">
        <v>2340</v>
      </c>
      <c r="T122" s="290" t="s">
        <v>133</v>
      </c>
      <c r="U122" s="290">
        <v>2020</v>
      </c>
      <c r="V122" s="290">
        <v>2021</v>
      </c>
      <c r="W122" s="290">
        <v>2022</v>
      </c>
      <c r="X122" s="290">
        <v>2023</v>
      </c>
      <c r="Y122" s="517">
        <v>2024</v>
      </c>
      <c r="Z122" s="369">
        <v>2025</v>
      </c>
      <c r="AA122" s="369">
        <v>2026</v>
      </c>
      <c r="AB122" s="369">
        <v>2027</v>
      </c>
      <c r="AC122" s="369">
        <v>2028</v>
      </c>
      <c r="AE122" s="1"/>
      <c r="AF122" s="1"/>
      <c r="AG122" s="1"/>
      <c r="AH122" s="1"/>
      <c r="AJ122"/>
      <c r="AK122"/>
    </row>
    <row r="123" spans="2:37" x14ac:dyDescent="0.25">
      <c r="B123" s="306" t="str">
        <v>5gmJEp8QCCSFYxglsiszWKzeL1K2</v>
      </c>
      <c r="C123" s="306" t="s">
        <v>1344</v>
      </c>
      <c r="D123" s="308">
        <f t="shared" si="40"/>
        <v>3</v>
      </c>
      <c r="E123" s="308">
        <f>COUNTIFS(TUDB!$H$8:$H$2326,Use!$B123,TUDB!$F$8:$F$2326,Use!E$49)</f>
        <v>0</v>
      </c>
      <c r="F123" s="308">
        <f>COUNTIFS(TUDB!$H$8:$H$2326,Use!$B123,TUDB!$F$8:$F$2326,Use!F$49)</f>
        <v>1</v>
      </c>
      <c r="G123" s="308">
        <f>COUNTIFS(TUDB!$H$8:$H$2326,Use!$B123,TUDB!$F$8:$F$2326,Use!G$49)</f>
        <v>0</v>
      </c>
      <c r="H123" s="308">
        <f>COUNTIFS(TUDB!$H$8:$H$2326,Use!$B123,TUDB!$F$8:$F$2326,Use!H$49)</f>
        <v>0</v>
      </c>
      <c r="I123" s="308">
        <f>COUNTIFS(TUDB!$H$8:$H$2326,Use!$B123,TUDB!$F$8:$F$2326,Use!I$49)</f>
        <v>2</v>
      </c>
      <c r="J123" s="308">
        <f>COUNTIFS(TUDB!$H$8:$H$2326,Use!$B123,TUDB!$F$8:$F$2326,Use!J$49)</f>
        <v>0</v>
      </c>
      <c r="K123" s="307">
        <f t="shared" si="39"/>
        <v>1</v>
      </c>
      <c r="L123" s="307">
        <f>IF(AND(G123&gt;0,SUM($E123:F123)=0),1,0)</f>
        <v>0</v>
      </c>
      <c r="M123" s="307">
        <f>IF(AND(H123&gt;0,SUM($E123:G123)=0),1,0)</f>
        <v>0</v>
      </c>
      <c r="N123" s="307">
        <f>IF(AND(I123&gt;0,SUM($E123:H123)=0),1,0)</f>
        <v>0</v>
      </c>
      <c r="O123" s="307">
        <f>IF(AND(J123&gt;0,SUM($E123:I123)=0),1,0)</f>
        <v>0</v>
      </c>
      <c r="P123" s="312"/>
      <c r="Q123" s="312"/>
      <c r="S123" s="153" t="s">
        <v>1328</v>
      </c>
      <c r="T123" s="154"/>
      <c r="U123" s="154"/>
      <c r="V123" s="154"/>
      <c r="W123" s="154"/>
      <c r="X123" s="154"/>
      <c r="Y123" s="518"/>
      <c r="Z123" s="376"/>
      <c r="AA123" s="376"/>
      <c r="AB123" s="376"/>
      <c r="AC123" s="376"/>
      <c r="AE123" s="1"/>
      <c r="AF123" s="1"/>
      <c r="AG123" s="1"/>
      <c r="AH123" s="1"/>
      <c r="AJ123"/>
      <c r="AK123"/>
    </row>
    <row r="124" spans="2:37" x14ac:dyDescent="0.25">
      <c r="B124" s="303" t="str">
        <v>9SWyLZDRS8gsuAD2Vpf6duBiFib2</v>
      </c>
      <c r="C124" s="303" t="s">
        <v>1339</v>
      </c>
      <c r="D124" s="305">
        <f t="shared" si="40"/>
        <v>11</v>
      </c>
      <c r="E124" s="305">
        <f>COUNTIFS(TUDB!$H$8:$H$2326,Use!$B124,TUDB!$F$8:$F$2326,Use!E$49)</f>
        <v>0</v>
      </c>
      <c r="F124" s="305">
        <f>COUNTIFS(TUDB!$H$8:$H$2326,Use!$B124,TUDB!$F$8:$F$2326,Use!F$49)</f>
        <v>0</v>
      </c>
      <c r="G124" s="305">
        <f>COUNTIFS(TUDB!$H$8:$H$2326,Use!$B124,TUDB!$F$8:$F$2326,Use!G$49)</f>
        <v>9</v>
      </c>
      <c r="H124" s="305">
        <f>COUNTIFS(TUDB!$H$8:$H$2326,Use!$B124,TUDB!$F$8:$F$2326,Use!H$49)</f>
        <v>1</v>
      </c>
      <c r="I124" s="305">
        <f>COUNTIFS(TUDB!$H$8:$H$2326,Use!$B124,TUDB!$F$8:$F$2326,Use!I$49)</f>
        <v>1</v>
      </c>
      <c r="J124" s="305">
        <f>COUNTIFS(TUDB!$H$8:$H$2326,Use!$B124,TUDB!$F$8:$F$2326,Use!J$49)</f>
        <v>0</v>
      </c>
      <c r="K124" s="304">
        <f t="shared" si="39"/>
        <v>0</v>
      </c>
      <c r="L124" s="304">
        <f>IF(AND(G124&gt;0,SUM($E124:F124)=0),1,0)</f>
        <v>1</v>
      </c>
      <c r="M124" s="304">
        <f>IF(AND(H124&gt;0,SUM($E124:G124)=0),1,0)</f>
        <v>0</v>
      </c>
      <c r="N124" s="304">
        <f>IF(AND(I124&gt;0,SUM($E124:H124)=0),1,0)</f>
        <v>0</v>
      </c>
      <c r="O124" s="304">
        <f>IF(AND(J124&gt;0,SUM($E124:I124)=0),1,0)</f>
        <v>0</v>
      </c>
      <c r="P124" s="311"/>
      <c r="Q124" s="311"/>
      <c r="S124" s="8" t="s">
        <v>154</v>
      </c>
      <c r="T124" s="224">
        <f t="shared" ref="T124:T133" si="41">SUM(U124:Y124)</f>
        <v>18</v>
      </c>
      <c r="U124" s="224">
        <f>COUNTIFS(TU_DB[[Monitoring Site]:[Monitoring Site]],$S124,TU_DB[[Year]:[Year]],U$122)</f>
        <v>2</v>
      </c>
      <c r="V124" s="224">
        <f>COUNTIFS(TU_DB[[Monitoring Site]:[Monitoring Site]],$S124,TU_DB[[Year]:[Year]],V$122)</f>
        <v>6</v>
      </c>
      <c r="W124" s="224">
        <f>COUNTIFS(TU_DB[[Monitoring Site]:[Monitoring Site]],$S124,TU_DB[[Year]:[Year]],W$122)</f>
        <v>6</v>
      </c>
      <c r="X124" s="224">
        <f>COUNTIFS(TU_DB[[Monitoring Site]:[Monitoring Site]],$S124,TU_DB[[Year]:[Year]],X$122)</f>
        <v>3</v>
      </c>
      <c r="Y124" s="519">
        <f>COUNTIFS(TU_DB[[Monitoring Site]:[Monitoring Site]],$S124,TU_DB[[Year]:[Year]],Y$122)</f>
        <v>1</v>
      </c>
      <c r="Z124" s="370">
        <f>COUNTIFS(TU_DB[[Monitoring Site]:[Monitoring Site]],$S124,TU_DB[[Year]:[Year]],Z$122)</f>
        <v>0</v>
      </c>
      <c r="AA124" s="370">
        <f>COUNTIFS(TU_DB[[Monitoring Site]:[Monitoring Site]],$S124,TU_DB[[Year]:[Year]],AA$122)</f>
        <v>0</v>
      </c>
      <c r="AB124" s="370">
        <f>COUNTIFS(TU_DB[[Monitoring Site]:[Monitoring Site]],$S124,TU_DB[[Year]:[Year]],AB$122)</f>
        <v>0</v>
      </c>
      <c r="AC124" s="370">
        <f>COUNTIFS(TU_DB[[Monitoring Site]:[Monitoring Site]],$S124,TU_DB[[Year]:[Year]],AC$122)</f>
        <v>0</v>
      </c>
      <c r="AD124" s="370"/>
      <c r="AE124" s="1"/>
      <c r="AF124" s="1"/>
      <c r="AG124" s="1"/>
      <c r="AH124" s="1"/>
      <c r="AJ124"/>
      <c r="AK124"/>
    </row>
    <row r="125" spans="2:37" x14ac:dyDescent="0.25">
      <c r="B125" s="306" t="str">
        <v>oN50knyfHlSRv38FF1MSKXBSQ6v1</v>
      </c>
      <c r="C125" s="306" t="s">
        <v>4161</v>
      </c>
      <c r="D125" s="308">
        <f t="shared" si="40"/>
        <v>6</v>
      </c>
      <c r="E125" s="308">
        <f>COUNTIFS(TUDB!$H$8:$H$2326,Use!$B125,TUDB!$F$8:$F$2326,Use!E$49)</f>
        <v>0</v>
      </c>
      <c r="F125" s="308">
        <f>COUNTIFS(TUDB!$H$8:$H$2326,Use!$B125,TUDB!$F$8:$F$2326,Use!F$49)</f>
        <v>0</v>
      </c>
      <c r="G125" s="308">
        <f>COUNTIFS(TUDB!$H$8:$H$2326,Use!$B125,TUDB!$F$8:$F$2326,Use!G$49)</f>
        <v>0</v>
      </c>
      <c r="H125" s="308">
        <f>COUNTIFS(TUDB!$H$8:$H$2326,Use!$B125,TUDB!$F$8:$F$2326,Use!H$49)</f>
        <v>0</v>
      </c>
      <c r="I125" s="308">
        <f>COUNTIFS(TUDB!$H$8:$H$2326,Use!$B125,TUDB!$F$8:$F$2326,Use!I$49)</f>
        <v>6</v>
      </c>
      <c r="J125" s="308">
        <f>COUNTIFS(TUDB!$H$8:$H$2326,Use!$B125,TUDB!$F$8:$F$2326,Use!J$49)</f>
        <v>0</v>
      </c>
      <c r="K125" s="307">
        <f t="shared" si="39"/>
        <v>0</v>
      </c>
      <c r="L125" s="307">
        <f>IF(AND(G125&gt;0,SUM($E125:F125)=0),1,0)</f>
        <v>0</v>
      </c>
      <c r="M125" s="307">
        <f>IF(AND(H125&gt;0,SUM($E125:G125)=0),1,0)</f>
        <v>0</v>
      </c>
      <c r="N125" s="307">
        <f>IF(AND(I125&gt;0,SUM($E125:H125)=0),1,0)</f>
        <v>1</v>
      </c>
      <c r="O125" s="307">
        <f>IF(AND(J125&gt;0,SUM($E125:I125)=0),1,0)</f>
        <v>0</v>
      </c>
      <c r="P125" s="312"/>
      <c r="Q125" s="312"/>
      <c r="S125" s="8" t="s">
        <v>1212</v>
      </c>
      <c r="T125" s="224">
        <f t="shared" si="41"/>
        <v>11</v>
      </c>
      <c r="U125" s="224">
        <f>COUNTIFS(TU_DB[[Monitoring Site]:[Monitoring Site]],$S125,TU_DB[[Year]:[Year]],U$122)</f>
        <v>0</v>
      </c>
      <c r="V125" s="224">
        <f>COUNTIFS(TU_DB[[Monitoring Site]:[Monitoring Site]],$S125,TU_DB[[Year]:[Year]],V$122)</f>
        <v>1</v>
      </c>
      <c r="W125" s="224">
        <f>COUNTIFS(TU_DB[[Monitoring Site]:[Monitoring Site]],$S125,TU_DB[[Year]:[Year]],W$122)</f>
        <v>4</v>
      </c>
      <c r="X125" s="224">
        <f>COUNTIFS(TU_DB[[Monitoring Site]:[Monitoring Site]],$S125,TU_DB[[Year]:[Year]],X$122)</f>
        <v>2</v>
      </c>
      <c r="Y125" s="519">
        <f>COUNTIFS(TU_DB[[Monitoring Site]:[Monitoring Site]],$S125,TU_DB[[Year]:[Year]],Y$122)</f>
        <v>4</v>
      </c>
      <c r="Z125" s="370">
        <f>COUNTIFS(TU_DB[[Monitoring Site]:[Monitoring Site]],$S125,TU_DB[[Year]:[Year]],Z$122)</f>
        <v>0</v>
      </c>
      <c r="AA125" s="370">
        <f>COUNTIFS(TU_DB[[Monitoring Site]:[Monitoring Site]],$S125,TU_DB[[Year]:[Year]],AA$122)</f>
        <v>0</v>
      </c>
      <c r="AB125" s="370">
        <f>COUNTIFS(TU_DB[[Monitoring Site]:[Monitoring Site]],$S125,TU_DB[[Year]:[Year]],AB$122)</f>
        <v>0</v>
      </c>
      <c r="AC125" s="370">
        <f>COUNTIFS(TU_DB[[Monitoring Site]:[Monitoring Site]],$S125,TU_DB[[Year]:[Year]],AC$122)</f>
        <v>0</v>
      </c>
      <c r="AE125" s="1"/>
      <c r="AF125" s="1"/>
      <c r="AG125" s="1"/>
      <c r="AH125" s="1"/>
      <c r="AJ125"/>
      <c r="AK125"/>
    </row>
    <row r="126" spans="2:37" x14ac:dyDescent="0.25">
      <c r="B126" s="303" t="str">
        <v>VHRlmHCbVSYpoT7Xubj2OGSvIFl1</v>
      </c>
      <c r="C126" s="303" t="s">
        <v>578</v>
      </c>
      <c r="D126" s="305">
        <f t="shared" si="40"/>
        <v>33</v>
      </c>
      <c r="E126" s="305">
        <f>COUNTIFS(TUDB!$H$8:$H$2326,Use!$B126,TUDB!$F$8:$F$2326,Use!E$49)</f>
        <v>0</v>
      </c>
      <c r="F126" s="305">
        <f>COUNTIFS(TUDB!$H$8:$H$2326,Use!$B126,TUDB!$F$8:$F$2326,Use!F$49)</f>
        <v>5</v>
      </c>
      <c r="G126" s="305">
        <f>COUNTIFS(TUDB!$H$8:$H$2326,Use!$B126,TUDB!$F$8:$F$2326,Use!G$49)</f>
        <v>15</v>
      </c>
      <c r="H126" s="305">
        <f>COUNTIFS(TUDB!$H$8:$H$2326,Use!$B126,TUDB!$F$8:$F$2326,Use!H$49)</f>
        <v>8</v>
      </c>
      <c r="I126" s="305">
        <f>COUNTIFS(TUDB!$H$8:$H$2326,Use!$B126,TUDB!$F$8:$F$2326,Use!I$49)</f>
        <v>5</v>
      </c>
      <c r="J126" s="305">
        <f>COUNTIFS(TUDB!$H$8:$H$2326,Use!$B126,TUDB!$F$8:$F$2326,Use!J$49)</f>
        <v>0</v>
      </c>
      <c r="K126" s="304">
        <f t="shared" si="39"/>
        <v>1</v>
      </c>
      <c r="L126" s="304">
        <f>IF(AND(G126&gt;0,SUM($E126:F126)=0),1,0)</f>
        <v>0</v>
      </c>
      <c r="M126" s="304">
        <f>IF(AND(H126&gt;0,SUM($E126:G126)=0),1,0)</f>
        <v>0</v>
      </c>
      <c r="N126" s="304">
        <f>IF(AND(I126&gt;0,SUM($E126:H126)=0),1,0)</f>
        <v>0</v>
      </c>
      <c r="O126" s="304">
        <f>IF(AND(J126&gt;0,SUM($E126:I126)=0),1,0)</f>
        <v>0</v>
      </c>
      <c r="P126" s="311"/>
      <c r="Q126" s="311"/>
      <c r="S126" s="8" t="s">
        <v>2361</v>
      </c>
      <c r="T126" s="224">
        <f t="shared" si="41"/>
        <v>26</v>
      </c>
      <c r="U126" s="224">
        <f>COUNTIFS(TU_DB[[Monitoring Site]:[Monitoring Site]],$S126,TU_DB[[Year]:[Year]],U$122)</f>
        <v>1</v>
      </c>
      <c r="V126" s="224">
        <f>COUNTIFS(TU_DB[[Monitoring Site]:[Monitoring Site]],$S126,TU_DB[[Year]:[Year]],V$122)</f>
        <v>7</v>
      </c>
      <c r="W126" s="224">
        <f>COUNTIFS(TU_DB[[Monitoring Site]:[Monitoring Site]],$S126,TU_DB[[Year]:[Year]],W$122)</f>
        <v>4</v>
      </c>
      <c r="X126" s="224">
        <f>COUNTIFS(TU_DB[[Monitoring Site]:[Monitoring Site]],$S126,TU_DB[[Year]:[Year]],X$122)</f>
        <v>7</v>
      </c>
      <c r="Y126" s="519">
        <f>COUNTIFS(TU_DB[[Monitoring Site]:[Monitoring Site]],$S126,TU_DB[[Year]:[Year]],Y$122)</f>
        <v>7</v>
      </c>
      <c r="Z126" s="370">
        <f>COUNTIFS(TU_DB[[Monitoring Site]:[Monitoring Site]],$S126,TU_DB[[Year]:[Year]],Z$122)</f>
        <v>0</v>
      </c>
      <c r="AA126" s="370">
        <f>COUNTIFS(TU_DB[[Monitoring Site]:[Monitoring Site]],$S126,TU_DB[[Year]:[Year]],AA$122)</f>
        <v>0</v>
      </c>
      <c r="AB126" s="370">
        <f>COUNTIFS(TU_DB[[Monitoring Site]:[Monitoring Site]],$S126,TU_DB[[Year]:[Year]],AB$122)</f>
        <v>0</v>
      </c>
      <c r="AC126" s="370">
        <f>COUNTIFS(TU_DB[[Monitoring Site]:[Monitoring Site]],$S126,TU_DB[[Year]:[Year]],AC$122)</f>
        <v>0</v>
      </c>
      <c r="AE126" s="1"/>
      <c r="AF126" s="1"/>
      <c r="AG126" s="1"/>
      <c r="AH126" s="1"/>
      <c r="AJ126"/>
      <c r="AK126"/>
    </row>
    <row r="127" spans="2:37" x14ac:dyDescent="0.25">
      <c r="B127" s="306" t="str">
        <v>Z67DTJdwHDTq5w1T7TFqGEeoOnI2</v>
      </c>
      <c r="C127" s="306" t="s">
        <v>1344</v>
      </c>
      <c r="D127" s="308">
        <f t="shared" si="40"/>
        <v>1</v>
      </c>
      <c r="E127" s="308">
        <f>COUNTIFS(TUDB!$H$8:$H$2326,Use!$B127,TUDB!$F$8:$F$2326,Use!E$49)</f>
        <v>0</v>
      </c>
      <c r="F127" s="308">
        <f>COUNTIFS(TUDB!$H$8:$H$2326,Use!$B127,TUDB!$F$8:$F$2326,Use!F$49)</f>
        <v>0</v>
      </c>
      <c r="G127" s="308">
        <f>COUNTIFS(TUDB!$H$8:$H$2326,Use!$B127,TUDB!$F$8:$F$2326,Use!G$49)</f>
        <v>0</v>
      </c>
      <c r="H127" s="308">
        <f>COUNTIFS(TUDB!$H$8:$H$2326,Use!$B127,TUDB!$F$8:$F$2326,Use!H$49)</f>
        <v>0</v>
      </c>
      <c r="I127" s="308">
        <f>COUNTIFS(TUDB!$H$8:$H$2326,Use!$B127,TUDB!$F$8:$F$2326,Use!I$49)</f>
        <v>1</v>
      </c>
      <c r="J127" s="308">
        <f>COUNTIFS(TUDB!$H$8:$H$2326,Use!$B127,TUDB!$F$8:$F$2326,Use!J$49)</f>
        <v>0</v>
      </c>
      <c r="K127" s="307">
        <f t="shared" si="39"/>
        <v>0</v>
      </c>
      <c r="L127" s="307">
        <f>IF(AND(G127&gt;0,SUM($E127:F127)=0),1,0)</f>
        <v>0</v>
      </c>
      <c r="M127" s="307">
        <f>IF(AND(H127&gt;0,SUM($E127:G127)=0),1,0)</f>
        <v>0</v>
      </c>
      <c r="N127" s="307">
        <f>IF(AND(I127&gt;0,SUM($E127:H127)=0),1,0)</f>
        <v>1</v>
      </c>
      <c r="O127" s="307">
        <f>IF(AND(J127&gt;0,SUM($E127:I127)=0),1,0)</f>
        <v>0</v>
      </c>
      <c r="P127" s="312"/>
      <c r="Q127" s="312"/>
      <c r="S127" s="8" t="s">
        <v>337</v>
      </c>
      <c r="T127" s="224">
        <f t="shared" si="41"/>
        <v>38</v>
      </c>
      <c r="U127" s="224">
        <f>COUNTIFS(TU_DB[[Monitoring Site]:[Monitoring Site]],$S127,TU_DB[[Year]:[Year]],U$122)</f>
        <v>4</v>
      </c>
      <c r="V127" s="224">
        <f>COUNTIFS(TU_DB[[Monitoring Site]:[Monitoring Site]],$S127,TU_DB[[Year]:[Year]],V$122)</f>
        <v>9</v>
      </c>
      <c r="W127" s="224">
        <f>COUNTIFS(TU_DB[[Monitoring Site]:[Monitoring Site]],$S127,TU_DB[[Year]:[Year]],W$122)</f>
        <v>10</v>
      </c>
      <c r="X127" s="224">
        <f>COUNTIFS(TU_DB[[Monitoring Site]:[Monitoring Site]],$S127,TU_DB[[Year]:[Year]],X$122)</f>
        <v>8</v>
      </c>
      <c r="Y127" s="519">
        <f>COUNTIFS(TU_DB[[Monitoring Site]:[Monitoring Site]],$S127,TU_DB[[Year]:[Year]],Y$122)</f>
        <v>7</v>
      </c>
      <c r="Z127" s="370">
        <f>COUNTIFS(TU_DB[[Monitoring Site]:[Monitoring Site]],$S127,TU_DB[[Year]:[Year]],Z$122)</f>
        <v>0</v>
      </c>
      <c r="AA127" s="370">
        <f>COUNTIFS(TU_DB[[Monitoring Site]:[Monitoring Site]],$S127,TU_DB[[Year]:[Year]],AA$122)</f>
        <v>0</v>
      </c>
      <c r="AB127" s="370">
        <f>COUNTIFS(TU_DB[[Monitoring Site]:[Monitoring Site]],$S127,TU_DB[[Year]:[Year]],AB$122)</f>
        <v>0</v>
      </c>
      <c r="AC127" s="370">
        <f>COUNTIFS(TU_DB[[Monitoring Site]:[Monitoring Site]],$S127,TU_DB[[Year]:[Year]],AC$122)</f>
        <v>0</v>
      </c>
      <c r="AE127" s="1"/>
      <c r="AF127" s="1"/>
      <c r="AG127" s="1"/>
      <c r="AH127" s="1"/>
      <c r="AJ127"/>
      <c r="AK127"/>
    </row>
    <row r="128" spans="2:37" x14ac:dyDescent="0.25">
      <c r="B128" s="303" t="str">
        <v>S4lPzDead3OY4NkJwamlcyYtyN62</v>
      </c>
      <c r="C128" s="303" t="s">
        <v>4158</v>
      </c>
      <c r="D128" s="305">
        <f t="shared" si="40"/>
        <v>24</v>
      </c>
      <c r="E128" s="305">
        <f>COUNTIFS(TUDB!$H$8:$H$2326,Use!$B128,TUDB!$F$8:$F$2326,Use!E$49)</f>
        <v>0</v>
      </c>
      <c r="F128" s="305">
        <f>COUNTIFS(TUDB!$H$8:$H$2326,Use!$B128,TUDB!$F$8:$F$2326,Use!F$49)</f>
        <v>1</v>
      </c>
      <c r="G128" s="305">
        <f>COUNTIFS(TUDB!$H$8:$H$2326,Use!$B128,TUDB!$F$8:$F$2326,Use!G$49)</f>
        <v>0</v>
      </c>
      <c r="H128" s="305">
        <f>COUNTIFS(TUDB!$H$8:$H$2326,Use!$B128,TUDB!$F$8:$F$2326,Use!H$49)</f>
        <v>0</v>
      </c>
      <c r="I128" s="305">
        <f>COUNTIFS(TUDB!$H$8:$H$2326,Use!$B128,TUDB!$F$8:$F$2326,Use!I$49)</f>
        <v>23</v>
      </c>
      <c r="J128" s="305">
        <f>COUNTIFS(TUDB!$H$8:$H$2326,Use!$B128,TUDB!$F$8:$F$2326,Use!J$49)</f>
        <v>0</v>
      </c>
      <c r="K128" s="304">
        <f t="shared" si="39"/>
        <v>1</v>
      </c>
      <c r="L128" s="304">
        <f>IF(AND(G128&gt;0,SUM($E128:F128)=0),1,0)</f>
        <v>0</v>
      </c>
      <c r="M128" s="304">
        <f>IF(AND(H128&gt;0,SUM($E128:G128)=0),1,0)</f>
        <v>0</v>
      </c>
      <c r="N128" s="304">
        <f>IF(AND(I128&gt;0,SUM($E128:H128)=0),1,0)</f>
        <v>0</v>
      </c>
      <c r="O128" s="304">
        <f>IF(AND(J128&gt;0,SUM($E128:I128)=0),1,0)</f>
        <v>0</v>
      </c>
      <c r="P128" s="311"/>
      <c r="Q128" s="311"/>
      <c r="S128" s="8" t="s">
        <v>2362</v>
      </c>
      <c r="T128" s="224">
        <f t="shared" si="41"/>
        <v>33</v>
      </c>
      <c r="U128" s="224">
        <f>COUNTIFS(TU_DB[[Monitoring Site]:[Monitoring Site]],$S128,TU_DB[[Year]:[Year]],U$122)</f>
        <v>6</v>
      </c>
      <c r="V128" s="224">
        <f>COUNTIFS(TU_DB[[Monitoring Site]:[Monitoring Site]],$S128,TU_DB[[Year]:[Year]],V$122)</f>
        <v>9</v>
      </c>
      <c r="W128" s="224">
        <f>COUNTIFS(TU_DB[[Monitoring Site]:[Monitoring Site]],$S128,TU_DB[[Year]:[Year]],W$122)</f>
        <v>5</v>
      </c>
      <c r="X128" s="224">
        <f>COUNTIFS(TU_DB[[Monitoring Site]:[Monitoring Site]],$S128,TU_DB[[Year]:[Year]],X$122)</f>
        <v>7</v>
      </c>
      <c r="Y128" s="519">
        <f>COUNTIFS(TU_DB[[Monitoring Site]:[Monitoring Site]],$S128,TU_DB[[Year]:[Year]],Y$122)</f>
        <v>6</v>
      </c>
      <c r="Z128" s="370">
        <f>COUNTIFS(TU_DB[[Monitoring Site]:[Monitoring Site]],$S128,TU_DB[[Year]:[Year]],Z$122)</f>
        <v>0</v>
      </c>
      <c r="AA128" s="370">
        <f>COUNTIFS(TU_DB[[Monitoring Site]:[Monitoring Site]],$S128,TU_DB[[Year]:[Year]],AA$122)</f>
        <v>0</v>
      </c>
      <c r="AB128" s="370">
        <f>COUNTIFS(TU_DB[[Monitoring Site]:[Monitoring Site]],$S128,TU_DB[[Year]:[Year]],AB$122)</f>
        <v>0</v>
      </c>
      <c r="AC128" s="370">
        <f>COUNTIFS(TU_DB[[Monitoring Site]:[Monitoring Site]],$S128,TU_DB[[Year]:[Year]],AC$122)</f>
        <v>0</v>
      </c>
      <c r="AE128" s="1"/>
      <c r="AF128" s="1"/>
      <c r="AG128" s="1"/>
      <c r="AH128" s="1"/>
      <c r="AJ128"/>
      <c r="AK128"/>
    </row>
    <row r="129" spans="2:39" x14ac:dyDescent="0.25">
      <c r="B129" s="306" t="str">
        <v>jAZtjti59oWDTa7NaxeDt9luw853</v>
      </c>
      <c r="C129" s="306" t="s">
        <v>4159</v>
      </c>
      <c r="D129" s="308">
        <f t="shared" si="40"/>
        <v>31</v>
      </c>
      <c r="E129" s="308">
        <f>COUNTIFS(TUDB!$H$8:$H$2326,Use!$B129,TUDB!$F$8:$F$2326,Use!E$49)</f>
        <v>0</v>
      </c>
      <c r="F129" s="308">
        <f>COUNTIFS(TUDB!$H$8:$H$2326,Use!$B129,TUDB!$F$8:$F$2326,Use!F$49)</f>
        <v>0</v>
      </c>
      <c r="G129" s="308">
        <f>COUNTIFS(TUDB!$H$8:$H$2326,Use!$B129,TUDB!$F$8:$F$2326,Use!G$49)</f>
        <v>0</v>
      </c>
      <c r="H129" s="308">
        <f>COUNTIFS(TUDB!$H$8:$H$2326,Use!$B129,TUDB!$F$8:$F$2326,Use!H$49)</f>
        <v>30</v>
      </c>
      <c r="I129" s="308">
        <f>COUNTIFS(TUDB!$H$8:$H$2326,Use!$B129,TUDB!$F$8:$F$2326,Use!I$49)</f>
        <v>1</v>
      </c>
      <c r="J129" s="308">
        <f>COUNTIFS(TUDB!$H$8:$H$2326,Use!$B129,TUDB!$F$8:$F$2326,Use!J$49)</f>
        <v>0</v>
      </c>
      <c r="K129" s="307">
        <f t="shared" si="39"/>
        <v>0</v>
      </c>
      <c r="L129" s="307">
        <f>IF(AND(G129&gt;0,SUM($E129:F129)=0),1,0)</f>
        <v>0</v>
      </c>
      <c r="M129" s="307">
        <f>IF(AND(H129&gt;0,SUM($E129:G129)=0),1,0)</f>
        <v>1</v>
      </c>
      <c r="N129" s="307">
        <f>IF(AND(I129&gt;0,SUM($E129:H129)=0),1,0)</f>
        <v>0</v>
      </c>
      <c r="O129" s="307">
        <f>IF(AND(J129&gt;0,SUM($E129:I129)=0),1,0)</f>
        <v>0</v>
      </c>
      <c r="P129" s="312"/>
      <c r="Q129" s="312"/>
      <c r="S129" s="8" t="s">
        <v>2363</v>
      </c>
      <c r="T129" s="224">
        <f t="shared" si="41"/>
        <v>17</v>
      </c>
      <c r="U129" s="224">
        <f>COUNTIFS(TU_DB[[Monitoring Site]:[Monitoring Site]],$S129,TU_DB[[Year]:[Year]],U$122)</f>
        <v>1</v>
      </c>
      <c r="V129" s="224">
        <f>COUNTIFS(TU_DB[[Monitoring Site]:[Monitoring Site]],$S129,TU_DB[[Year]:[Year]],V$122)</f>
        <v>0</v>
      </c>
      <c r="W129" s="224">
        <f>COUNTIFS(TU_DB[[Monitoring Site]:[Monitoring Site]],$S129,TU_DB[[Year]:[Year]],W$122)</f>
        <v>2</v>
      </c>
      <c r="X129" s="224">
        <f>COUNTIFS(TU_DB[[Monitoring Site]:[Monitoring Site]],$S129,TU_DB[[Year]:[Year]],X$122)</f>
        <v>7</v>
      </c>
      <c r="Y129" s="519">
        <f>COUNTIFS(TU_DB[[Monitoring Site]:[Monitoring Site]],$S129,TU_DB[[Year]:[Year]],Y$122)</f>
        <v>7</v>
      </c>
      <c r="Z129" s="370">
        <f>COUNTIFS(TU_DB[[Monitoring Site]:[Monitoring Site]],$S129,TU_DB[[Year]:[Year]],Z$122)</f>
        <v>0</v>
      </c>
      <c r="AA129" s="370">
        <f>COUNTIFS(TU_DB[[Monitoring Site]:[Monitoring Site]],$S129,TU_DB[[Year]:[Year]],AA$122)</f>
        <v>0</v>
      </c>
      <c r="AB129" s="370">
        <f>COUNTIFS(TU_DB[[Monitoring Site]:[Monitoring Site]],$S129,TU_DB[[Year]:[Year]],AB$122)</f>
        <v>0</v>
      </c>
      <c r="AC129" s="370">
        <f>COUNTIFS(TU_DB[[Monitoring Site]:[Monitoring Site]],$S129,TU_DB[[Year]:[Year]],AC$122)</f>
        <v>0</v>
      </c>
      <c r="AE129" s="1"/>
      <c r="AF129" s="1"/>
      <c r="AG129" s="1"/>
      <c r="AH129" s="1"/>
      <c r="AJ129"/>
      <c r="AK129"/>
    </row>
    <row r="130" spans="2:39" x14ac:dyDescent="0.25">
      <c r="B130" s="303" t="str">
        <v>5IkyPqBWi8SVMZuJTeydN0EYnTu1</v>
      </c>
      <c r="C130" s="303" t="s">
        <v>4160</v>
      </c>
      <c r="D130" s="305">
        <f t="shared" si="40"/>
        <v>3</v>
      </c>
      <c r="E130" s="305">
        <f>COUNTIFS(TUDB!$H$8:$H$2326,Use!$B130,TUDB!$F$8:$F$2326,Use!E$49)</f>
        <v>0</v>
      </c>
      <c r="F130" s="305">
        <f>COUNTIFS(TUDB!$H$8:$H$2326,Use!$B130,TUDB!$F$8:$F$2326,Use!F$49)</f>
        <v>0</v>
      </c>
      <c r="G130" s="305">
        <f>COUNTIFS(TUDB!$H$8:$H$2326,Use!$B130,TUDB!$F$8:$F$2326,Use!G$49)</f>
        <v>0</v>
      </c>
      <c r="H130" s="305">
        <f>COUNTIFS(TUDB!$H$8:$H$2326,Use!$B130,TUDB!$F$8:$F$2326,Use!H$49)</f>
        <v>0</v>
      </c>
      <c r="I130" s="305">
        <f>COUNTIFS(TUDB!$H$8:$H$2326,Use!$B130,TUDB!$F$8:$F$2326,Use!I$49)</f>
        <v>3</v>
      </c>
      <c r="J130" s="305">
        <f>COUNTIFS(TUDB!$H$8:$H$2326,Use!$B130,TUDB!$F$8:$F$2326,Use!J$49)</f>
        <v>0</v>
      </c>
      <c r="K130" s="304">
        <f t="shared" si="39"/>
        <v>0</v>
      </c>
      <c r="L130" s="304">
        <f>IF(AND(G130&gt;0,SUM($E130:F130)=0),1,0)</f>
        <v>0</v>
      </c>
      <c r="M130" s="304">
        <f>IF(AND(H130&gt;0,SUM($E130:G130)=0),1,0)</f>
        <v>0</v>
      </c>
      <c r="N130" s="304">
        <f>IF(AND(I130&gt;0,SUM($E130:H130)=0),1,0)</f>
        <v>1</v>
      </c>
      <c r="O130" s="304">
        <f>IF(AND(J130&gt;0,SUM($E130:I130)=0),1,0)</f>
        <v>0</v>
      </c>
      <c r="P130" s="311"/>
      <c r="Q130" s="311"/>
      <c r="S130" s="8" t="s">
        <v>360</v>
      </c>
      <c r="T130" s="224">
        <f t="shared" si="41"/>
        <v>10</v>
      </c>
      <c r="U130" s="224">
        <f>COUNTIFS(TU_DB[[Monitoring Site]:[Monitoring Site]],$S130,TU_DB[[Year]:[Year]],U$122)</f>
        <v>1</v>
      </c>
      <c r="V130" s="224">
        <f>COUNTIFS(TU_DB[[Monitoring Site]:[Monitoring Site]],$S130,TU_DB[[Year]:[Year]],V$122)</f>
        <v>3</v>
      </c>
      <c r="W130" s="224">
        <f>COUNTIFS(TU_DB[[Monitoring Site]:[Monitoring Site]],$S130,TU_DB[[Year]:[Year]],W$122)</f>
        <v>5</v>
      </c>
      <c r="X130" s="224">
        <f>COUNTIFS(TU_DB[[Monitoring Site]:[Monitoring Site]],$S130,TU_DB[[Year]:[Year]],X$122)</f>
        <v>0</v>
      </c>
      <c r="Y130" s="519">
        <f>COUNTIFS(TU_DB[[Monitoring Site]:[Monitoring Site]],$S130,TU_DB[[Year]:[Year]],Y$122)</f>
        <v>1</v>
      </c>
      <c r="Z130" s="370">
        <f>COUNTIFS(TU_DB[[Monitoring Site]:[Monitoring Site]],$S130,TU_DB[[Year]:[Year]],Z$122)</f>
        <v>0</v>
      </c>
      <c r="AA130" s="370">
        <f>COUNTIFS(TU_DB[[Monitoring Site]:[Monitoring Site]],$S130,TU_DB[[Year]:[Year]],AA$122)</f>
        <v>0</v>
      </c>
      <c r="AB130" s="370">
        <f>COUNTIFS(TU_DB[[Monitoring Site]:[Monitoring Site]],$S130,TU_DB[[Year]:[Year]],AB$122)</f>
        <v>0</v>
      </c>
      <c r="AC130" s="370">
        <f>COUNTIFS(TU_DB[[Monitoring Site]:[Monitoring Site]],$S130,TU_DB[[Year]:[Year]],AC$122)</f>
        <v>0</v>
      </c>
      <c r="AE130" s="1"/>
      <c r="AF130" s="1"/>
      <c r="AG130" s="1"/>
      <c r="AH130" s="1"/>
      <c r="AJ130"/>
      <c r="AK130"/>
    </row>
    <row r="131" spans="2:39" x14ac:dyDescent="0.25">
      <c r="B131" s="306" t="str">
        <v>RewertUZwGP359VRxxMfpHZouS52</v>
      </c>
      <c r="C131" s="306" t="s">
        <v>544</v>
      </c>
      <c r="D131" s="308">
        <f t="shared" si="40"/>
        <v>2</v>
      </c>
      <c r="E131" s="308">
        <f>COUNTIFS(TUDB!$H$8:$H$2326,Use!$B131,TUDB!$F$8:$F$2326,Use!E$49)</f>
        <v>0</v>
      </c>
      <c r="F131" s="308">
        <f>COUNTIFS(TUDB!$H$8:$H$2326,Use!$B131,TUDB!$F$8:$F$2326,Use!F$49)</f>
        <v>0</v>
      </c>
      <c r="G131" s="308">
        <f>COUNTIFS(TUDB!$H$8:$H$2326,Use!$B131,TUDB!$F$8:$F$2326,Use!G$49)</f>
        <v>0</v>
      </c>
      <c r="H131" s="308">
        <f>COUNTIFS(TUDB!$H$8:$H$2326,Use!$B131,TUDB!$F$8:$F$2326,Use!H$49)</f>
        <v>0</v>
      </c>
      <c r="I131" s="308">
        <f>COUNTIFS(TUDB!$H$8:$H$2326,Use!$B131,TUDB!$F$8:$F$2326,Use!I$49)</f>
        <v>2</v>
      </c>
      <c r="J131" s="308">
        <f>COUNTIFS(TUDB!$H$8:$H$2326,Use!$B131,TUDB!$F$8:$F$2326,Use!J$49)</f>
        <v>0</v>
      </c>
      <c r="K131" s="307">
        <f t="shared" si="39"/>
        <v>0</v>
      </c>
      <c r="L131" s="307">
        <f>IF(AND(G131&gt;0,SUM($E131:F131)=0),1,0)</f>
        <v>0</v>
      </c>
      <c r="M131" s="307">
        <f>IF(AND(H131&gt;0,SUM($E131:G131)=0),1,0)</f>
        <v>0</v>
      </c>
      <c r="N131" s="307">
        <f>IF(AND(I131&gt;0,SUM($E131:H131)=0),1,0)</f>
        <v>1</v>
      </c>
      <c r="O131" s="307">
        <f>IF(AND(J131&gt;0,SUM($E131:I131)=0),1,0)</f>
        <v>0</v>
      </c>
      <c r="P131" s="312"/>
      <c r="Q131" s="312"/>
      <c r="S131" s="8" t="s">
        <v>368</v>
      </c>
      <c r="T131" s="224">
        <f t="shared" si="41"/>
        <v>28</v>
      </c>
      <c r="U131" s="224">
        <f>COUNTIFS(TU_DB[[Monitoring Site]:[Monitoring Site]],$S131,TU_DB[[Year]:[Year]],U$122)</f>
        <v>12</v>
      </c>
      <c r="V131" s="224">
        <f>COUNTIFS(TU_DB[[Monitoring Site]:[Monitoring Site]],$S131,TU_DB[[Year]:[Year]],V$122)</f>
        <v>6</v>
      </c>
      <c r="W131" s="224">
        <f>COUNTIFS(TU_DB[[Monitoring Site]:[Monitoring Site]],$S131,TU_DB[[Year]:[Year]],W$122)</f>
        <v>3</v>
      </c>
      <c r="X131" s="224">
        <f>COUNTIFS(TU_DB[[Monitoring Site]:[Monitoring Site]],$S131,TU_DB[[Year]:[Year]],X$122)</f>
        <v>2</v>
      </c>
      <c r="Y131" s="519">
        <f>COUNTIFS(TU_DB[[Monitoring Site]:[Monitoring Site]],$S131,TU_DB[[Year]:[Year]],Y$122)</f>
        <v>5</v>
      </c>
      <c r="Z131" s="370">
        <f>COUNTIFS(TU_DB[[Monitoring Site]:[Monitoring Site]],$S131,TU_DB[[Year]:[Year]],Z$122)</f>
        <v>0</v>
      </c>
      <c r="AA131" s="370">
        <f>COUNTIFS(TU_DB[[Monitoring Site]:[Monitoring Site]],$S131,TU_DB[[Year]:[Year]],AA$122)</f>
        <v>0</v>
      </c>
      <c r="AB131" s="370">
        <f>COUNTIFS(TU_DB[[Monitoring Site]:[Monitoring Site]],$S131,TU_DB[[Year]:[Year]],AB$122)</f>
        <v>0</v>
      </c>
      <c r="AC131" s="370">
        <f>COUNTIFS(TU_DB[[Monitoring Site]:[Monitoring Site]],$S131,TU_DB[[Year]:[Year]],AC$122)</f>
        <v>0</v>
      </c>
      <c r="AE131" s="1"/>
      <c r="AF131" s="1"/>
      <c r="AG131" s="1"/>
      <c r="AH131" s="1"/>
      <c r="AJ131"/>
      <c r="AK131"/>
    </row>
    <row r="132" spans="2:39" x14ac:dyDescent="0.25">
      <c r="B132" s="303" t="str">
        <v>yKUjBvRdnpNbmzga6VHBVkJbTgH2</v>
      </c>
      <c r="C132" s="303" t="s">
        <v>1339</v>
      </c>
      <c r="D132" s="305">
        <f t="shared" si="40"/>
        <v>1</v>
      </c>
      <c r="E132" s="305">
        <f>COUNTIFS(TUDB!$H$8:$H$2326,Use!$B132,TUDB!$F$8:$F$2326,Use!E$49)</f>
        <v>0</v>
      </c>
      <c r="F132" s="305">
        <f>COUNTIFS(TUDB!$H$8:$H$2326,Use!$B132,TUDB!$F$8:$F$2326,Use!F$49)</f>
        <v>0</v>
      </c>
      <c r="G132" s="305">
        <f>COUNTIFS(TUDB!$H$8:$H$2326,Use!$B132,TUDB!$F$8:$F$2326,Use!G$49)</f>
        <v>0</v>
      </c>
      <c r="H132" s="305">
        <f>COUNTIFS(TUDB!$H$8:$H$2326,Use!$B132,TUDB!$F$8:$F$2326,Use!H$49)</f>
        <v>0</v>
      </c>
      <c r="I132" s="305">
        <f>COUNTIFS(TUDB!$H$8:$H$2326,Use!$B132,TUDB!$F$8:$F$2326,Use!I$49)</f>
        <v>1</v>
      </c>
      <c r="J132" s="305">
        <f>COUNTIFS(TUDB!$H$8:$H$2326,Use!$B132,TUDB!$F$8:$F$2326,Use!J$49)</f>
        <v>0</v>
      </c>
      <c r="K132" s="304">
        <f t="shared" si="39"/>
        <v>0</v>
      </c>
      <c r="L132" s="304">
        <f>IF(AND(G132&gt;0,SUM($E132:F132)=0),1,0)</f>
        <v>0</v>
      </c>
      <c r="M132" s="304">
        <f>IF(AND(H132&gt;0,SUM($E132:G132)=0),1,0)</f>
        <v>0</v>
      </c>
      <c r="N132" s="304">
        <f>IF(AND(I132&gt;0,SUM($E132:H132)=0),1,0)</f>
        <v>1</v>
      </c>
      <c r="O132" s="304">
        <f>IF(AND(J132&gt;0,SUM($E132:I132)=0),1,0)</f>
        <v>0</v>
      </c>
      <c r="P132" s="311"/>
      <c r="Q132" s="311"/>
      <c r="S132" s="8" t="s">
        <v>642</v>
      </c>
      <c r="T132" s="224">
        <f t="shared" si="41"/>
        <v>14</v>
      </c>
      <c r="U132" s="224">
        <f>COUNTIFS(TU_DB[[Monitoring Site]:[Monitoring Site]],$S132,TU_DB[[Year]:[Year]],U$122)</f>
        <v>0</v>
      </c>
      <c r="V132" s="224">
        <f>COUNTIFS(TU_DB[[Monitoring Site]:[Monitoring Site]],$S132,TU_DB[[Year]:[Year]],V$122)</f>
        <v>4</v>
      </c>
      <c r="W132" s="224">
        <f>COUNTIFS(TU_DB[[Monitoring Site]:[Monitoring Site]],$S132,TU_DB[[Year]:[Year]],W$122)</f>
        <v>5</v>
      </c>
      <c r="X132" s="224">
        <f>COUNTIFS(TU_DB[[Monitoring Site]:[Monitoring Site]],$S132,TU_DB[[Year]:[Year]],X$122)</f>
        <v>5</v>
      </c>
      <c r="Y132" s="519">
        <f>COUNTIFS(TU_DB[[Monitoring Site]:[Monitoring Site]],$S132,TU_DB[[Year]:[Year]],Y$122)</f>
        <v>0</v>
      </c>
      <c r="Z132" s="370">
        <f>COUNTIFS(TU_DB[[Monitoring Site]:[Monitoring Site]],$S132,TU_DB[[Year]:[Year]],Z$122)</f>
        <v>0</v>
      </c>
      <c r="AA132" s="370">
        <f>COUNTIFS(TU_DB[[Monitoring Site]:[Monitoring Site]],$S132,TU_DB[[Year]:[Year]],AA$122)</f>
        <v>0</v>
      </c>
      <c r="AB132" s="370">
        <f>COUNTIFS(TU_DB[[Monitoring Site]:[Monitoring Site]],$S132,TU_DB[[Year]:[Year]],AB$122)</f>
        <v>0</v>
      </c>
      <c r="AC132" s="370">
        <f>COUNTIFS(TU_DB[[Monitoring Site]:[Monitoring Site]],$S132,TU_DB[[Year]:[Year]],AC$122)</f>
        <v>0</v>
      </c>
      <c r="AE132" s="1"/>
      <c r="AF132" s="1"/>
      <c r="AG132" s="1"/>
      <c r="AH132" s="1"/>
      <c r="AJ132"/>
      <c r="AK132"/>
    </row>
    <row r="133" spans="2:39" x14ac:dyDescent="0.25">
      <c r="B133" s="306" t="str">
        <v>XLsE0jeCBabIhsFYi4ZuVSWCKI33</v>
      </c>
      <c r="C133" s="306" t="s">
        <v>1339</v>
      </c>
      <c r="D133" s="308">
        <f t="shared" si="40"/>
        <v>29</v>
      </c>
      <c r="E133" s="308">
        <f>COUNTIFS(TUDB!$H$8:$H$2326,Use!$B133,TUDB!$F$8:$F$2326,Use!E$49)</f>
        <v>0</v>
      </c>
      <c r="F133" s="308">
        <f>COUNTIFS(TUDB!$H$8:$H$2326,Use!$B133,TUDB!$F$8:$F$2326,Use!F$49)</f>
        <v>0</v>
      </c>
      <c r="G133" s="308">
        <f>COUNTIFS(TUDB!$H$8:$H$2326,Use!$B133,TUDB!$F$8:$F$2326,Use!G$49)</f>
        <v>16</v>
      </c>
      <c r="H133" s="308">
        <f>COUNTIFS(TUDB!$H$8:$H$2326,Use!$B133,TUDB!$F$8:$F$2326,Use!H$49)</f>
        <v>11</v>
      </c>
      <c r="I133" s="308">
        <f>COUNTIFS(TUDB!$H$8:$H$2326,Use!$B133,TUDB!$F$8:$F$2326,Use!I$49)</f>
        <v>2</v>
      </c>
      <c r="J133" s="308">
        <f>COUNTIFS(TUDB!$H$8:$H$2326,Use!$B133,TUDB!$F$8:$F$2326,Use!J$49)</f>
        <v>0</v>
      </c>
      <c r="K133" s="307">
        <f t="shared" si="39"/>
        <v>0</v>
      </c>
      <c r="L133" s="307">
        <f>IF(AND(G133&gt;0,SUM($E133:F133)=0),1,0)</f>
        <v>1</v>
      </c>
      <c r="M133" s="307">
        <f>IF(AND(H133&gt;0,SUM($E133:G133)=0),1,0)</f>
        <v>0</v>
      </c>
      <c r="N133" s="307">
        <f>IF(AND(I133&gt;0,SUM($E133:H133)=0),1,0)</f>
        <v>0</v>
      </c>
      <c r="O133" s="307">
        <f>IF(AND(J133&gt;0,SUM($E133:I133)=0),1,0)</f>
        <v>0</v>
      </c>
      <c r="P133" s="312"/>
      <c r="Q133" s="312"/>
      <c r="S133" s="8" t="s">
        <v>349</v>
      </c>
      <c r="T133" s="224">
        <f t="shared" si="41"/>
        <v>9</v>
      </c>
      <c r="U133" s="224">
        <f>COUNTIFS(TU_DB[[Monitoring Site]:[Monitoring Site]],$S133,TU_DB[[Year]:[Year]],U$122)</f>
        <v>5</v>
      </c>
      <c r="V133" s="224">
        <f>COUNTIFS(TU_DB[[Monitoring Site]:[Monitoring Site]],$S133,TU_DB[[Year]:[Year]],V$122)</f>
        <v>4</v>
      </c>
      <c r="W133" s="224">
        <f>COUNTIFS(TU_DB[[Monitoring Site]:[Monitoring Site]],$S133,TU_DB[[Year]:[Year]],W$122)</f>
        <v>0</v>
      </c>
      <c r="X133" s="224">
        <f>COUNTIFS(TU_DB[[Monitoring Site]:[Monitoring Site]],$S133,TU_DB[[Year]:[Year]],X$122)</f>
        <v>0</v>
      </c>
      <c r="Y133" s="519">
        <f>COUNTIFS(TU_DB[[Monitoring Site]:[Monitoring Site]],$S133,TU_DB[[Year]:[Year]],Y$122)</f>
        <v>0</v>
      </c>
      <c r="Z133" s="370">
        <f>COUNTIFS(TU_DB[[Monitoring Site]:[Monitoring Site]],$S133,TU_DB[[Year]:[Year]],Z$122)</f>
        <v>0</v>
      </c>
      <c r="AA133" s="370">
        <f>COUNTIFS(TU_DB[[Monitoring Site]:[Monitoring Site]],$S133,TU_DB[[Year]:[Year]],AA$122)</f>
        <v>0</v>
      </c>
      <c r="AB133" s="370">
        <f>COUNTIFS(TU_DB[[Monitoring Site]:[Monitoring Site]],$S133,TU_DB[[Year]:[Year]],AB$122)</f>
        <v>0</v>
      </c>
      <c r="AC133" s="370">
        <f>COUNTIFS(TU_DB[[Monitoring Site]:[Monitoring Site]],$S133,TU_DB[[Year]:[Year]],AC$122)</f>
        <v>0</v>
      </c>
      <c r="AE133" s="1"/>
      <c r="AF133" s="1"/>
      <c r="AG133" s="1"/>
      <c r="AH133" s="1"/>
      <c r="AJ133"/>
      <c r="AK133"/>
    </row>
    <row r="134" spans="2:39" x14ac:dyDescent="0.25">
      <c r="B134" s="303" t="str">
        <v>c5waYRQXJYhaoCKyGDL6aix41dp1</v>
      </c>
      <c r="C134" s="303" t="s">
        <v>544</v>
      </c>
      <c r="D134" s="305">
        <f t="shared" si="40"/>
        <v>3</v>
      </c>
      <c r="E134" s="305">
        <f>COUNTIFS(TUDB!$H$8:$H$2326,Use!$B134,TUDB!$F$8:$F$2326,Use!E$49)</f>
        <v>0</v>
      </c>
      <c r="F134" s="305">
        <f>COUNTIFS(TUDB!$H$8:$H$2326,Use!$B134,TUDB!$F$8:$F$2326,Use!F$49)</f>
        <v>0</v>
      </c>
      <c r="G134" s="305">
        <f>COUNTIFS(TUDB!$H$8:$H$2326,Use!$B134,TUDB!$F$8:$F$2326,Use!G$49)</f>
        <v>0</v>
      </c>
      <c r="H134" s="305">
        <f>COUNTIFS(TUDB!$H$8:$H$2326,Use!$B134,TUDB!$F$8:$F$2326,Use!H$49)</f>
        <v>0</v>
      </c>
      <c r="I134" s="305">
        <f>COUNTIFS(TUDB!$H$8:$H$2326,Use!$B134,TUDB!$F$8:$F$2326,Use!I$49)</f>
        <v>3</v>
      </c>
      <c r="J134" s="305">
        <f>COUNTIFS(TUDB!$H$8:$H$2326,Use!$B134,TUDB!$F$8:$F$2326,Use!J$49)</f>
        <v>0</v>
      </c>
      <c r="K134" s="304">
        <f t="shared" si="39"/>
        <v>0</v>
      </c>
      <c r="L134" s="304">
        <f>IF(AND(G134&gt;0,SUM($E134:F134)=0),1,0)</f>
        <v>0</v>
      </c>
      <c r="M134" s="304">
        <f>IF(AND(H134&gt;0,SUM($E134:G134)=0),1,0)</f>
        <v>0</v>
      </c>
      <c r="N134" s="304">
        <f>IF(AND(I134&gt;0,SUM($E134:H134)=0),1,0)</f>
        <v>1</v>
      </c>
      <c r="O134" s="304">
        <f>IF(AND(J134&gt;0,SUM($E134:I134)=0),1,0)</f>
        <v>0</v>
      </c>
      <c r="P134" s="311"/>
      <c r="Q134" s="311"/>
      <c r="S134" s="153" t="s">
        <v>1329</v>
      </c>
      <c r="T134" s="153"/>
      <c r="U134" s="153"/>
      <c r="V134" s="153"/>
      <c r="W134" s="153"/>
      <c r="X134" s="153"/>
      <c r="Y134" s="520"/>
      <c r="Z134" s="377"/>
      <c r="AA134" s="377"/>
      <c r="AB134" s="377"/>
      <c r="AC134" s="377"/>
      <c r="AE134" s="1"/>
      <c r="AF134" s="1"/>
      <c r="AG134" s="1"/>
      <c r="AH134" s="1"/>
      <c r="AJ134"/>
      <c r="AK134"/>
    </row>
    <row r="135" spans="2:39" x14ac:dyDescent="0.25">
      <c r="B135" s="306" t="str">
        <v>SHHjnfPS38YP3LyXaRKatoLEFsB3</v>
      </c>
      <c r="C135" s="306" t="s">
        <v>544</v>
      </c>
      <c r="D135" s="308">
        <f t="shared" si="40"/>
        <v>2</v>
      </c>
      <c r="E135" s="308">
        <f>COUNTIFS(TUDB!$H$8:$H$2326,Use!$B135,TUDB!$F$8:$F$2326,Use!E$49)</f>
        <v>0</v>
      </c>
      <c r="F135" s="308">
        <f>COUNTIFS(TUDB!$H$8:$H$2326,Use!$B135,TUDB!$F$8:$F$2326,Use!F$49)</f>
        <v>0</v>
      </c>
      <c r="G135" s="308">
        <f>COUNTIFS(TUDB!$H$8:$H$2326,Use!$B135,TUDB!$F$8:$F$2326,Use!G$49)</f>
        <v>0</v>
      </c>
      <c r="H135" s="308">
        <f>COUNTIFS(TUDB!$H$8:$H$2326,Use!$B135,TUDB!$F$8:$F$2326,Use!H$49)</f>
        <v>0</v>
      </c>
      <c r="I135" s="308">
        <f>COUNTIFS(TUDB!$H$8:$H$2326,Use!$B135,TUDB!$F$8:$F$2326,Use!I$49)</f>
        <v>2</v>
      </c>
      <c r="J135" s="308">
        <f>COUNTIFS(TUDB!$H$8:$H$2326,Use!$B135,TUDB!$F$8:$F$2326,Use!J$49)</f>
        <v>0</v>
      </c>
      <c r="K135" s="307">
        <f t="shared" si="39"/>
        <v>0</v>
      </c>
      <c r="L135" s="307">
        <f>IF(AND(G135&gt;0,SUM($E135:F135)=0),1,0)</f>
        <v>0</v>
      </c>
      <c r="M135" s="307">
        <f>IF(AND(H135&gt;0,SUM($E135:G135)=0),1,0)</f>
        <v>0</v>
      </c>
      <c r="N135" s="307">
        <f>IF(AND(I135&gt;0,SUM($E135:H135)=0),1,0)</f>
        <v>1</v>
      </c>
      <c r="O135" s="307">
        <f>IF(AND(J135&gt;0,SUM($E135:I135)=0),1,0)</f>
        <v>0</v>
      </c>
      <c r="P135" s="312"/>
      <c r="Q135" s="312"/>
      <c r="S135" s="8" t="s">
        <v>1402</v>
      </c>
      <c r="T135" s="224">
        <f t="shared" ref="T135" si="42">SUM(U135:Y135)</f>
        <v>7</v>
      </c>
      <c r="U135" s="224"/>
      <c r="V135" s="224">
        <f>COUNTIFS(TU_DB[[Monitoring Site]:[Monitoring Site]],$S135,TU_DB[[Year]:[Year]],V$122)</f>
        <v>0</v>
      </c>
      <c r="W135" s="224">
        <f>COUNTIFS(TU_DB[[Monitoring Site]:[Monitoring Site]],$S135,TU_DB[[Year]:[Year]],W$122)</f>
        <v>2</v>
      </c>
      <c r="X135" s="224">
        <f>COUNTIFS(TU_DB[[Monitoring Site]:[Monitoring Site]],$S135,TU_DB[[Year]:[Year]],X$122)</f>
        <v>5</v>
      </c>
      <c r="Y135" s="519">
        <f>COUNTIFS(TU_DB[[Monitoring Site]:[Monitoring Site]],$S135,TU_DB[[Year]:[Year]],Y$122)</f>
        <v>0</v>
      </c>
      <c r="Z135" s="370">
        <f>COUNTIFS(TU_DB[[Monitoring Site]:[Monitoring Site]],$S135,TU_DB[[Year]:[Year]],Z$122)</f>
        <v>0</v>
      </c>
      <c r="AA135" s="370">
        <f>COUNTIFS(TU_DB[[Monitoring Site]:[Monitoring Site]],$S135,TU_DB[[Year]:[Year]],AA$122)</f>
        <v>0</v>
      </c>
      <c r="AB135" s="370">
        <f>COUNTIFS(TU_DB[[Monitoring Site]:[Monitoring Site]],$S135,TU_DB[[Year]:[Year]],AB$122)</f>
        <v>0</v>
      </c>
      <c r="AC135" s="370">
        <f>COUNTIFS(TU_DB[[Monitoring Site]:[Monitoring Site]],$S135,TU_DB[[Year]:[Year]],AC$122)</f>
        <v>0</v>
      </c>
      <c r="AE135" s="1"/>
      <c r="AF135" s="1"/>
      <c r="AG135" s="1"/>
      <c r="AH135" s="1"/>
      <c r="AJ135"/>
      <c r="AK135"/>
    </row>
    <row r="136" spans="2:39" x14ac:dyDescent="0.25">
      <c r="B136" s="303" t="str">
        <v>bszDaPplS3bm6HaEx9cotZrHB372</v>
      </c>
      <c r="C136" s="303" t="s">
        <v>544</v>
      </c>
      <c r="D136" s="305">
        <f t="shared" si="40"/>
        <v>2</v>
      </c>
      <c r="E136" s="305">
        <f>COUNTIFS(TUDB!$H$8:$H$2326,Use!$B136,TUDB!$F$8:$F$2326,Use!E$49)</f>
        <v>0</v>
      </c>
      <c r="F136" s="305">
        <f>COUNTIFS(TUDB!$H$8:$H$2326,Use!$B136,TUDB!$F$8:$F$2326,Use!F$49)</f>
        <v>0</v>
      </c>
      <c r="G136" s="305">
        <f>COUNTIFS(TUDB!$H$8:$H$2326,Use!$B136,TUDB!$F$8:$F$2326,Use!G$49)</f>
        <v>0</v>
      </c>
      <c r="H136" s="305">
        <f>COUNTIFS(TUDB!$H$8:$H$2326,Use!$B136,TUDB!$F$8:$F$2326,Use!H$49)</f>
        <v>0</v>
      </c>
      <c r="I136" s="305">
        <f>COUNTIFS(TUDB!$H$8:$H$2326,Use!$B136,TUDB!$F$8:$F$2326,Use!I$49)</f>
        <v>2</v>
      </c>
      <c r="J136" s="305">
        <f>COUNTIFS(TUDB!$H$8:$H$2326,Use!$B136,TUDB!$F$8:$F$2326,Use!J$49)</f>
        <v>0</v>
      </c>
      <c r="K136" s="304">
        <f t="shared" si="39"/>
        <v>0</v>
      </c>
      <c r="L136" s="304">
        <f>IF(AND(G136&gt;0,SUM($E136:F136)=0),1,0)</f>
        <v>0</v>
      </c>
      <c r="M136" s="304">
        <f>IF(AND(H136&gt;0,SUM($E136:G136)=0),1,0)</f>
        <v>0</v>
      </c>
      <c r="N136" s="304">
        <f>IF(AND(I136&gt;0,SUM($E136:H136)=0),1,0)</f>
        <v>1</v>
      </c>
      <c r="O136" s="304">
        <f>IF(AND(J136&gt;0,SUM($E136:I136)=0),1,0)</f>
        <v>0</v>
      </c>
      <c r="P136" s="311"/>
      <c r="Q136" s="311"/>
      <c r="S136" s="8" t="s">
        <v>2365</v>
      </c>
      <c r="T136" s="224">
        <f>SUM(U136:Y136)</f>
        <v>0</v>
      </c>
      <c r="U136" s="224"/>
      <c r="V136" s="224">
        <f>COUNTIFS(TU_DB[[Monitoring Site]:[Monitoring Site]],$S136,TU_DB[[Year]:[Year]],V$122)</f>
        <v>0</v>
      </c>
      <c r="W136" s="224">
        <f>COUNTIFS(TU_DB[[Monitoring Site]:[Monitoring Site]],$S136,TU_DB[[Year]:[Year]],W$122)</f>
        <v>0</v>
      </c>
      <c r="X136" s="224">
        <f>COUNTIFS(TU_DB[[Monitoring Site]:[Monitoring Site]],$S136,TU_DB[[Year]:[Year]],X$122)</f>
        <v>0</v>
      </c>
      <c r="Y136" s="519">
        <f>COUNTIFS(TU_DB[[Monitoring Site]:[Monitoring Site]],$S136,TU_DB[[Year]:[Year]],Y$122)</f>
        <v>0</v>
      </c>
      <c r="Z136" s="370">
        <f>COUNTIFS(TU_DB[[Monitoring Site]:[Monitoring Site]],$S136,TU_DB[[Year]:[Year]],Z$122)</f>
        <v>0</v>
      </c>
      <c r="AA136" s="370">
        <f>COUNTIFS(TU_DB[[Monitoring Site]:[Monitoring Site]],$S136,TU_DB[[Year]:[Year]],AA$122)</f>
        <v>0</v>
      </c>
      <c r="AB136" s="370">
        <f>COUNTIFS(TU_DB[[Monitoring Site]:[Monitoring Site]],$S136,TU_DB[[Year]:[Year]],AB$122)</f>
        <v>0</v>
      </c>
      <c r="AC136" s="370">
        <f>COUNTIFS(TU_DB[[Monitoring Site]:[Monitoring Site]],$S136,TU_DB[[Year]:[Year]],AC$122)</f>
        <v>0</v>
      </c>
      <c r="AE136" s="1"/>
      <c r="AF136" s="1"/>
      <c r="AG136" s="1"/>
      <c r="AH136" s="1"/>
      <c r="AJ136"/>
      <c r="AK136"/>
    </row>
    <row r="137" spans="2:39" x14ac:dyDescent="0.25">
      <c r="B137" s="306" t="str">
        <v>bbfim7Ms9YcQMUCkHsws7eRZSPc2</v>
      </c>
      <c r="C137" s="306" t="s">
        <v>544</v>
      </c>
      <c r="D137" s="308">
        <f t="shared" si="40"/>
        <v>1</v>
      </c>
      <c r="E137" s="308">
        <f>COUNTIFS(TUDB!$H$8:$H$2326,Use!$B137,TUDB!$F$8:$F$2326,Use!E$49)</f>
        <v>0</v>
      </c>
      <c r="F137" s="308">
        <f>COUNTIFS(TUDB!$H$8:$H$2326,Use!$B137,TUDB!$F$8:$F$2326,Use!F$49)</f>
        <v>0</v>
      </c>
      <c r="G137" s="308">
        <f>COUNTIFS(TUDB!$H$8:$H$2326,Use!$B137,TUDB!$F$8:$F$2326,Use!G$49)</f>
        <v>0</v>
      </c>
      <c r="H137" s="308">
        <f>COUNTIFS(TUDB!$H$8:$H$2326,Use!$B137,TUDB!$F$8:$F$2326,Use!H$49)</f>
        <v>0</v>
      </c>
      <c r="I137" s="308">
        <f>COUNTIFS(TUDB!$H$8:$H$2326,Use!$B137,TUDB!$F$8:$F$2326,Use!I$49)</f>
        <v>1</v>
      </c>
      <c r="J137" s="308">
        <f>COUNTIFS(TUDB!$H$8:$H$2326,Use!$B137,TUDB!$F$8:$F$2326,Use!J$49)</f>
        <v>0</v>
      </c>
      <c r="K137" s="307">
        <f t="shared" si="39"/>
        <v>0</v>
      </c>
      <c r="L137" s="307">
        <f>IF(AND(G137&gt;0,SUM($E137:F137)=0),1,0)</f>
        <v>0</v>
      </c>
      <c r="M137" s="307">
        <f>IF(AND(H137&gt;0,SUM($E137:G137)=0),1,0)</f>
        <v>0</v>
      </c>
      <c r="N137" s="307">
        <f>IF(AND(I137&gt;0,SUM($E137:H137)=0),1,0)</f>
        <v>1</v>
      </c>
      <c r="O137" s="307">
        <f>IF(AND(J137&gt;0,SUM($E137:I137)=0),1,0)</f>
        <v>0</v>
      </c>
      <c r="P137" s="312"/>
      <c r="Q137" s="312"/>
      <c r="S137" s="8" t="s">
        <v>2364</v>
      </c>
      <c r="T137" s="224">
        <f t="shared" ref="T137:T142" si="43">SUM(U137:Y137)</f>
        <v>0</v>
      </c>
      <c r="U137" s="224"/>
      <c r="V137" s="224">
        <f>COUNTIFS(TU_DB[[Monitoring Site]:[Monitoring Site]],$S137,TU_DB[[Year]:[Year]],V$122)</f>
        <v>0</v>
      </c>
      <c r="W137" s="224">
        <f>COUNTIFS(TU_DB[[Monitoring Site]:[Monitoring Site]],$S137,TU_DB[[Year]:[Year]],W$122)</f>
        <v>0</v>
      </c>
      <c r="X137" s="224">
        <f>COUNTIFS(TU_DB[[Monitoring Site]:[Monitoring Site]],$S137,TU_DB[[Year]:[Year]],X$122)</f>
        <v>0</v>
      </c>
      <c r="Y137" s="519">
        <f>COUNTIFS(TU_DB[[Monitoring Site]:[Monitoring Site]],$S137,TU_DB[[Year]:[Year]],Y$122)</f>
        <v>0</v>
      </c>
      <c r="Z137" s="370">
        <f>COUNTIFS(TU_DB[[Monitoring Site]:[Monitoring Site]],$S137,TU_DB[[Year]:[Year]],Z$122)</f>
        <v>0</v>
      </c>
      <c r="AA137" s="370">
        <f>COUNTIFS(TU_DB[[Monitoring Site]:[Monitoring Site]],$S137,TU_DB[[Year]:[Year]],AA$122)</f>
        <v>0</v>
      </c>
      <c r="AB137" s="370">
        <f>COUNTIFS(TU_DB[[Monitoring Site]:[Monitoring Site]],$S137,TU_DB[[Year]:[Year]],AB$122)</f>
        <v>0</v>
      </c>
      <c r="AC137" s="370">
        <f>COUNTIFS(TU_DB[[Monitoring Site]:[Monitoring Site]],$S137,TU_DB[[Year]:[Year]],AC$122)</f>
        <v>0</v>
      </c>
      <c r="AE137" s="1"/>
      <c r="AF137" s="1"/>
      <c r="AG137" s="1"/>
      <c r="AH137" s="1"/>
      <c r="AJ137"/>
      <c r="AK137"/>
      <c r="AL137"/>
      <c r="AM137"/>
    </row>
    <row r="138" spans="2:39" x14ac:dyDescent="0.25">
      <c r="B138" s="303" t="str">
        <v>ZtFtu2k1FaNKvU24GBwk5eY5IU93</v>
      </c>
      <c r="C138" s="303" t="s">
        <v>544</v>
      </c>
      <c r="D138" s="305">
        <f t="shared" si="40"/>
        <v>1</v>
      </c>
      <c r="E138" s="305">
        <f>COUNTIFS(TUDB!$H$8:$H$2326,Use!$B138,TUDB!$F$8:$F$2326,Use!E$49)</f>
        <v>0</v>
      </c>
      <c r="F138" s="305">
        <f>COUNTIFS(TUDB!$H$8:$H$2326,Use!$B138,TUDB!$F$8:$F$2326,Use!F$49)</f>
        <v>0</v>
      </c>
      <c r="G138" s="305">
        <f>COUNTIFS(TUDB!$H$8:$H$2326,Use!$B138,TUDB!$F$8:$F$2326,Use!G$49)</f>
        <v>0</v>
      </c>
      <c r="H138" s="305">
        <f>COUNTIFS(TUDB!$H$8:$H$2326,Use!$B138,TUDB!$F$8:$F$2326,Use!H$49)</f>
        <v>0</v>
      </c>
      <c r="I138" s="305">
        <f>COUNTIFS(TUDB!$H$8:$H$2326,Use!$B138,TUDB!$F$8:$F$2326,Use!I$49)</f>
        <v>1</v>
      </c>
      <c r="J138" s="305">
        <f>COUNTIFS(TUDB!$H$8:$H$2326,Use!$B138,TUDB!$F$8:$F$2326,Use!J$49)</f>
        <v>0</v>
      </c>
      <c r="K138" s="304">
        <f t="shared" si="39"/>
        <v>0</v>
      </c>
      <c r="L138" s="304">
        <f>IF(AND(G138&gt;0,SUM($E138:F138)=0),1,0)</f>
        <v>0</v>
      </c>
      <c r="M138" s="304">
        <f>IF(AND(H138&gt;0,SUM($E138:G138)=0),1,0)</f>
        <v>0</v>
      </c>
      <c r="N138" s="304">
        <f>IF(AND(I138&gt;0,SUM($E138:H138)=0),1,0)</f>
        <v>1</v>
      </c>
      <c r="O138" s="304">
        <f>IF(AND(J138&gt;0,SUM($E138:I138)=0),1,0)</f>
        <v>0</v>
      </c>
      <c r="P138" s="311"/>
      <c r="Q138" s="311"/>
      <c r="S138" s="8" t="s">
        <v>2277</v>
      </c>
      <c r="T138" s="224">
        <f t="shared" si="43"/>
        <v>2</v>
      </c>
      <c r="U138" s="224"/>
      <c r="V138" s="224">
        <f>COUNTIFS(TU_DB[[Monitoring Site]:[Monitoring Site]],$S138,TU_DB[[Year]:[Year]],V$122)</f>
        <v>0</v>
      </c>
      <c r="W138" s="224">
        <f>COUNTIFS(TU_DB[[Monitoring Site]:[Monitoring Site]],$S138,TU_DB[[Year]:[Year]],W$122)</f>
        <v>0</v>
      </c>
      <c r="X138" s="224">
        <f>COUNTIFS(TU_DB[[Monitoring Site]:[Monitoring Site]],$S138,TU_DB[[Year]:[Year]],X$122)</f>
        <v>2</v>
      </c>
      <c r="Y138" s="519">
        <f>COUNTIFS(TU_DB[[Monitoring Site]:[Monitoring Site]],$S138,TU_DB[[Year]:[Year]],Y$122)</f>
        <v>0</v>
      </c>
      <c r="Z138" s="370">
        <f>COUNTIFS(TU_DB[[Monitoring Site]:[Monitoring Site]],$S138,TU_DB[[Year]:[Year]],Z$122)</f>
        <v>0</v>
      </c>
      <c r="AA138" s="370">
        <f>COUNTIFS(TU_DB[[Monitoring Site]:[Monitoring Site]],$S138,TU_DB[[Year]:[Year]],AA$122)</f>
        <v>0</v>
      </c>
      <c r="AB138" s="370">
        <f>COUNTIFS(TU_DB[[Monitoring Site]:[Monitoring Site]],$S138,TU_DB[[Year]:[Year]],AB$122)</f>
        <v>0</v>
      </c>
      <c r="AC138" s="370">
        <f>COUNTIFS(TU_DB[[Monitoring Site]:[Monitoring Site]],$S138,TU_DB[[Year]:[Year]],AC$122)</f>
        <v>0</v>
      </c>
      <c r="AE138" s="1"/>
      <c r="AF138" s="1"/>
      <c r="AG138" s="1"/>
      <c r="AH138" s="1"/>
      <c r="AJ138"/>
      <c r="AK138"/>
      <c r="AL138"/>
      <c r="AM138"/>
    </row>
    <row r="139" spans="2:39" x14ac:dyDescent="0.25">
      <c r="B139" s="306" t="str">
        <v>VqZRaTUPgjWCYY8wjw5nHFqlP4V2</v>
      </c>
      <c r="C139" s="306" t="s">
        <v>4161</v>
      </c>
      <c r="D139" s="308">
        <f t="shared" si="40"/>
        <v>9</v>
      </c>
      <c r="E139" s="308">
        <f>COUNTIFS(TUDB!$H$8:$H$2326,Use!$B139,TUDB!$F$8:$F$2326,Use!E$49)</f>
        <v>0</v>
      </c>
      <c r="F139" s="308">
        <f>COUNTIFS(TUDB!$H$8:$H$2326,Use!$B139,TUDB!$F$8:$F$2326,Use!F$49)</f>
        <v>0</v>
      </c>
      <c r="G139" s="308">
        <f>COUNTIFS(TUDB!$H$8:$H$2326,Use!$B139,TUDB!$F$8:$F$2326,Use!G$49)</f>
        <v>5</v>
      </c>
      <c r="H139" s="308">
        <f>COUNTIFS(TUDB!$H$8:$H$2326,Use!$B139,TUDB!$F$8:$F$2326,Use!H$49)</f>
        <v>3</v>
      </c>
      <c r="I139" s="308">
        <f>COUNTIFS(TUDB!$H$8:$H$2326,Use!$B139,TUDB!$F$8:$F$2326,Use!I$49)</f>
        <v>1</v>
      </c>
      <c r="J139" s="308">
        <f>COUNTIFS(TUDB!$H$8:$H$2326,Use!$B139,TUDB!$F$8:$F$2326,Use!J$49)</f>
        <v>0</v>
      </c>
      <c r="K139" s="307">
        <f t="shared" si="39"/>
        <v>0</v>
      </c>
      <c r="L139" s="307">
        <f>IF(AND(G139&gt;0,SUM($E139:F139)=0),1,0)</f>
        <v>1</v>
      </c>
      <c r="M139" s="307">
        <f>IF(AND(H139&gt;0,SUM($E139:G139)=0),1,0)</f>
        <v>0</v>
      </c>
      <c r="N139" s="307">
        <f>IF(AND(I139&gt;0,SUM($E139:H139)=0),1,0)</f>
        <v>0</v>
      </c>
      <c r="O139" s="307">
        <f>IF(AND(J139&gt;0,SUM($E139:I139)=0),1,0)</f>
        <v>0</v>
      </c>
      <c r="P139" s="312"/>
      <c r="Q139" s="312"/>
      <c r="S139" s="8" t="s">
        <v>2253</v>
      </c>
      <c r="T139" s="224">
        <f t="shared" si="43"/>
        <v>0</v>
      </c>
      <c r="U139" s="224"/>
      <c r="V139" s="224">
        <f>COUNTIFS(TU_DB[[Monitoring Site]:[Monitoring Site]],$S139,TU_DB[[Year]:[Year]],V$122)</f>
        <v>0</v>
      </c>
      <c r="W139" s="224">
        <f>COUNTIFS(TU_DB[[Monitoring Site]:[Monitoring Site]],$S139,TU_DB[[Year]:[Year]],W$122)</f>
        <v>0</v>
      </c>
      <c r="X139" s="224">
        <f>COUNTIFS(TU_DB[[Monitoring Site]:[Monitoring Site]],$S139,TU_DB[[Year]:[Year]],X$122)</f>
        <v>0</v>
      </c>
      <c r="Y139" s="519">
        <f>COUNTIFS(TU_DB[[Monitoring Site]:[Monitoring Site]],$S139,TU_DB[[Year]:[Year]],Y$122)</f>
        <v>0</v>
      </c>
      <c r="Z139" s="370">
        <f>COUNTIFS(TU_DB[[Monitoring Site]:[Monitoring Site]],$S139,TU_DB[[Year]:[Year]],Z$122)</f>
        <v>0</v>
      </c>
      <c r="AA139" s="370">
        <f>COUNTIFS(TU_DB[[Monitoring Site]:[Monitoring Site]],$S139,TU_DB[[Year]:[Year]],AA$122)</f>
        <v>0</v>
      </c>
      <c r="AB139" s="370">
        <f>COUNTIFS(TU_DB[[Monitoring Site]:[Monitoring Site]],$S139,TU_DB[[Year]:[Year]],AB$122)</f>
        <v>0</v>
      </c>
      <c r="AC139" s="370">
        <f>COUNTIFS(TU_DB[[Monitoring Site]:[Monitoring Site]],$S139,TU_DB[[Year]:[Year]],AC$122)</f>
        <v>0</v>
      </c>
      <c r="AE139" s="1"/>
      <c r="AF139" s="1"/>
      <c r="AG139" s="1"/>
      <c r="AH139" s="1"/>
      <c r="AJ139"/>
      <c r="AK139"/>
      <c r="AL139"/>
      <c r="AM139"/>
    </row>
    <row r="140" spans="2:39" x14ac:dyDescent="0.25">
      <c r="B140" s="303" t="str">
        <v>zcVm3Fu58OZRbxXQz0rpPUWcwAr2</v>
      </c>
      <c r="C140" s="303" t="s">
        <v>1344</v>
      </c>
      <c r="D140" s="305">
        <f t="shared" si="40"/>
        <v>2</v>
      </c>
      <c r="E140" s="305">
        <f>COUNTIFS(TUDB!$H$8:$H$2326,Use!$B140,TUDB!$F$8:$F$2326,Use!E$49)</f>
        <v>0</v>
      </c>
      <c r="F140" s="305">
        <f>COUNTIFS(TUDB!$H$8:$H$2326,Use!$B140,TUDB!$F$8:$F$2326,Use!F$49)</f>
        <v>0</v>
      </c>
      <c r="G140" s="305">
        <f>COUNTIFS(TUDB!$H$8:$H$2326,Use!$B140,TUDB!$F$8:$F$2326,Use!G$49)</f>
        <v>0</v>
      </c>
      <c r="H140" s="305">
        <f>COUNTIFS(TUDB!$H$8:$H$2326,Use!$B140,TUDB!$F$8:$F$2326,Use!H$49)</f>
        <v>0</v>
      </c>
      <c r="I140" s="305">
        <f>COUNTIFS(TUDB!$H$8:$H$2326,Use!$B140,TUDB!$F$8:$F$2326,Use!I$49)</f>
        <v>2</v>
      </c>
      <c r="J140" s="305">
        <f>COUNTIFS(TUDB!$H$8:$H$2326,Use!$B140,TUDB!$F$8:$F$2326,Use!J$49)</f>
        <v>0</v>
      </c>
      <c r="K140" s="304">
        <f t="shared" si="39"/>
        <v>0</v>
      </c>
      <c r="L140" s="304">
        <f>IF(AND(G140&gt;0,SUM($E140:F140)=0),1,0)</f>
        <v>0</v>
      </c>
      <c r="M140" s="304">
        <f>IF(AND(H140&gt;0,SUM($E140:G140)=0),1,0)</f>
        <v>0</v>
      </c>
      <c r="N140" s="304">
        <f>IF(AND(I140&gt;0,SUM($E140:H140)=0),1,0)</f>
        <v>1</v>
      </c>
      <c r="O140" s="304">
        <f>IF(AND(J140&gt;0,SUM($E140:I140)=0),1,0)</f>
        <v>0</v>
      </c>
      <c r="P140" s="311"/>
      <c r="Q140" s="311"/>
      <c r="S140" s="8" t="s">
        <v>1411</v>
      </c>
      <c r="T140" s="224">
        <f t="shared" si="43"/>
        <v>23</v>
      </c>
      <c r="U140" s="224"/>
      <c r="V140" s="224">
        <f>COUNTIFS(TU_DB[[Monitoring Site]:[Monitoring Site]],$S140,TU_DB[[Year]:[Year]],V$122)</f>
        <v>0</v>
      </c>
      <c r="W140" s="224">
        <f>COUNTIFS(TU_DB[[Monitoring Site]:[Monitoring Site]],$S140,TU_DB[[Year]:[Year]],W$122)</f>
        <v>9</v>
      </c>
      <c r="X140" s="224">
        <f>COUNTIFS(TU_DB[[Monitoring Site]:[Monitoring Site]],$S140,TU_DB[[Year]:[Year]],X$122)</f>
        <v>14</v>
      </c>
      <c r="Y140" s="519">
        <f>COUNTIFS(TU_DB[[Monitoring Site]:[Monitoring Site]],$S140,TU_DB[[Year]:[Year]],Y$122)</f>
        <v>0</v>
      </c>
      <c r="Z140" s="370">
        <f>COUNTIFS(TU_DB[[Monitoring Site]:[Monitoring Site]],$S140,TU_DB[[Year]:[Year]],Z$122)</f>
        <v>0</v>
      </c>
      <c r="AA140" s="370">
        <f>COUNTIFS(TU_DB[[Monitoring Site]:[Monitoring Site]],$S140,TU_DB[[Year]:[Year]],AA$122)</f>
        <v>0</v>
      </c>
      <c r="AB140" s="370">
        <f>COUNTIFS(TU_DB[[Monitoring Site]:[Monitoring Site]],$S140,TU_DB[[Year]:[Year]],AB$122)</f>
        <v>0</v>
      </c>
      <c r="AC140" s="370">
        <f>COUNTIFS(TU_DB[[Monitoring Site]:[Monitoring Site]],$S140,TU_DB[[Year]:[Year]],AC$122)</f>
        <v>0</v>
      </c>
      <c r="AE140" s="1"/>
      <c r="AF140" s="1"/>
      <c r="AG140" s="1"/>
      <c r="AH140" s="1"/>
      <c r="AJ140"/>
      <c r="AK140"/>
      <c r="AL140"/>
      <c r="AM140"/>
    </row>
    <row r="141" spans="2:39" x14ac:dyDescent="0.25">
      <c r="B141" s="306" t="str">
        <v>7Uv8dHdQAQYzTjnyzkfhfjubWHA3</v>
      </c>
      <c r="C141" s="306" t="s">
        <v>4161</v>
      </c>
      <c r="D141" s="308">
        <f t="shared" si="40"/>
        <v>1</v>
      </c>
      <c r="E141" s="308">
        <f>COUNTIFS(TUDB!$H$8:$H$2326,Use!$B141,TUDB!$F$8:$F$2326,Use!E$49)</f>
        <v>0</v>
      </c>
      <c r="F141" s="308">
        <f>COUNTIFS(TUDB!$H$8:$H$2326,Use!$B141,TUDB!$F$8:$F$2326,Use!F$49)</f>
        <v>0</v>
      </c>
      <c r="G141" s="308">
        <f>COUNTIFS(TUDB!$H$8:$H$2326,Use!$B141,TUDB!$F$8:$F$2326,Use!G$49)</f>
        <v>0</v>
      </c>
      <c r="H141" s="308">
        <f>COUNTIFS(TUDB!$H$8:$H$2326,Use!$B141,TUDB!$F$8:$F$2326,Use!H$49)</f>
        <v>0</v>
      </c>
      <c r="I141" s="308">
        <f>COUNTIFS(TUDB!$H$8:$H$2326,Use!$B141,TUDB!$F$8:$F$2326,Use!I$49)</f>
        <v>1</v>
      </c>
      <c r="J141" s="308">
        <f>COUNTIFS(TUDB!$H$8:$H$2326,Use!$B141,TUDB!$F$8:$F$2326,Use!J$49)</f>
        <v>0</v>
      </c>
      <c r="K141" s="307">
        <f t="shared" si="39"/>
        <v>0</v>
      </c>
      <c r="L141" s="307">
        <f>IF(AND(G141&gt;0,SUM($E141:F141)=0),1,0)</f>
        <v>0</v>
      </c>
      <c r="M141" s="307">
        <f>IF(AND(H141&gt;0,SUM($E141:G141)=0),1,0)</f>
        <v>0</v>
      </c>
      <c r="N141" s="307">
        <f>IF(AND(I141&gt;0,SUM($E141:H141)=0),1,0)</f>
        <v>1</v>
      </c>
      <c r="O141" s="307">
        <f>IF(AND(J141&gt;0,SUM($E141:I141)=0),1,0)</f>
        <v>0</v>
      </c>
      <c r="P141" s="312"/>
      <c r="Q141" s="312"/>
      <c r="S141" s="8" t="s">
        <v>753</v>
      </c>
      <c r="T141" s="224">
        <f t="shared" si="43"/>
        <v>41</v>
      </c>
      <c r="U141" s="224"/>
      <c r="V141" s="224">
        <f>COUNTIFS(TU_DB[[Monitoring Site]:[Monitoring Site]],$S141,TU_DB[[Year]:[Year]],V$122)</f>
        <v>25</v>
      </c>
      <c r="W141" s="224">
        <f>COUNTIFS(TU_DB[[Monitoring Site]:[Monitoring Site]],$S141,TU_DB[[Year]:[Year]],W$122)</f>
        <v>9</v>
      </c>
      <c r="X141" s="224">
        <f>COUNTIFS(TU_DB[[Monitoring Site]:[Monitoring Site]],$S141,TU_DB[[Year]:[Year]],X$122)</f>
        <v>7</v>
      </c>
      <c r="Y141" s="519">
        <f>COUNTIFS(TU_DB[[Monitoring Site]:[Monitoring Site]],$S141,TU_DB[[Year]:[Year]],Y$122)</f>
        <v>0</v>
      </c>
      <c r="Z141" s="370">
        <f>COUNTIFS(TU_DB[[Monitoring Site]:[Monitoring Site]],$S141,TU_DB[[Year]:[Year]],Z$122)</f>
        <v>0</v>
      </c>
      <c r="AA141" s="370">
        <f>COUNTIFS(TU_DB[[Monitoring Site]:[Monitoring Site]],$S141,TU_DB[[Year]:[Year]],AA$122)</f>
        <v>0</v>
      </c>
      <c r="AB141" s="370">
        <f>COUNTIFS(TU_DB[[Monitoring Site]:[Monitoring Site]],$S141,TU_DB[[Year]:[Year]],AB$122)</f>
        <v>0</v>
      </c>
      <c r="AC141" s="370">
        <f>COUNTIFS(TU_DB[[Monitoring Site]:[Monitoring Site]],$S141,TU_DB[[Year]:[Year]],AC$122)</f>
        <v>0</v>
      </c>
      <c r="AL141"/>
      <c r="AM141"/>
    </row>
    <row r="142" spans="2:39" x14ac:dyDescent="0.25">
      <c r="B142" s="303" t="str">
        <v>OfALN4YJetON0fTYytkHWJCziIw2</v>
      </c>
      <c r="C142" s="303" t="s">
        <v>4160</v>
      </c>
      <c r="D142" s="305">
        <f t="shared" si="40"/>
        <v>6</v>
      </c>
      <c r="E142" s="305">
        <f>COUNTIFS(TUDB!$H$8:$H$2326,Use!$B142,TUDB!$F$8:$F$2326,Use!E$49)</f>
        <v>0</v>
      </c>
      <c r="F142" s="305">
        <f>COUNTIFS(TUDB!$H$8:$H$2326,Use!$B142,TUDB!$F$8:$F$2326,Use!F$49)</f>
        <v>0</v>
      </c>
      <c r="G142" s="305">
        <f>COUNTIFS(TUDB!$H$8:$H$2326,Use!$B142,TUDB!$F$8:$F$2326,Use!G$49)</f>
        <v>0</v>
      </c>
      <c r="H142" s="305">
        <f>COUNTIFS(TUDB!$H$8:$H$2326,Use!$B142,TUDB!$F$8:$F$2326,Use!H$49)</f>
        <v>5</v>
      </c>
      <c r="I142" s="305">
        <f>COUNTIFS(TUDB!$H$8:$H$2326,Use!$B142,TUDB!$F$8:$F$2326,Use!I$49)</f>
        <v>1</v>
      </c>
      <c r="J142" s="305">
        <f>COUNTIFS(TUDB!$H$8:$H$2326,Use!$B142,TUDB!$F$8:$F$2326,Use!J$49)</f>
        <v>0</v>
      </c>
      <c r="K142" s="304">
        <f t="shared" si="39"/>
        <v>0</v>
      </c>
      <c r="L142" s="304">
        <f>IF(AND(G142&gt;0,SUM($E142:F142)=0),1,0)</f>
        <v>0</v>
      </c>
      <c r="M142" s="304">
        <f>IF(AND(H142&gt;0,SUM($E142:G142)=0),1,0)</f>
        <v>1</v>
      </c>
      <c r="N142" s="304">
        <f>IF(AND(I142&gt;0,SUM($E142:H142)=0),1,0)</f>
        <v>0</v>
      </c>
      <c r="O142" s="304">
        <f>IF(AND(J142&gt;0,SUM($E142:I142)=0),1,0)</f>
        <v>0</v>
      </c>
      <c r="P142" s="311"/>
      <c r="Q142" s="311"/>
      <c r="S142" s="360" t="s">
        <v>960</v>
      </c>
      <c r="T142" s="289">
        <f t="shared" si="43"/>
        <v>37</v>
      </c>
      <c r="U142" s="289"/>
      <c r="V142" s="289">
        <f>COUNTIFS(TU_DB[[Monitoring Site]:[Monitoring Site]],$S142,TU_DB[[Year]:[Year]],V$122)</f>
        <v>7</v>
      </c>
      <c r="W142" s="289">
        <f>COUNTIFS(TU_DB[[Monitoring Site]:[Monitoring Site]],$S142,TU_DB[[Year]:[Year]],W$122)</f>
        <v>16</v>
      </c>
      <c r="X142" s="289">
        <f>COUNTIFS(TU_DB[[Monitoring Site]:[Monitoring Site]],$S142,TU_DB[[Year]:[Year]],X$122)</f>
        <v>14</v>
      </c>
      <c r="Y142" s="521">
        <f>COUNTIFS(TU_DB[[Monitoring Site]:[Monitoring Site]],$S142,TU_DB[[Year]:[Year]],Y$122)</f>
        <v>0</v>
      </c>
      <c r="Z142" s="371">
        <f>COUNTIFS(TU_DB[[Monitoring Site]:[Monitoring Site]],$S142,TU_DB[[Year]:[Year]],Z$122)</f>
        <v>0</v>
      </c>
      <c r="AA142" s="371">
        <f>COUNTIFS(TU_DB[[Monitoring Site]:[Monitoring Site]],$S142,TU_DB[[Year]:[Year]],AA$122)</f>
        <v>0</v>
      </c>
      <c r="AB142" s="371">
        <f>COUNTIFS(TU_DB[[Monitoring Site]:[Monitoring Site]],$S142,TU_DB[[Year]:[Year]],AB$122)</f>
        <v>0</v>
      </c>
      <c r="AC142" s="371">
        <f>COUNTIFS(TU_DB[[Monitoring Site]:[Monitoring Site]],$S142,TU_DB[[Year]:[Year]],AC$122)</f>
        <v>0</v>
      </c>
      <c r="AL142"/>
      <c r="AM142"/>
    </row>
    <row r="143" spans="2:39" ht="15.75" thickBot="1" x14ac:dyDescent="0.3">
      <c r="B143" s="306" t="str">
        <v>nyqdkfDdslRNDqAR2Ieel5debpE2</v>
      </c>
      <c r="C143" s="306" t="s">
        <v>2344</v>
      </c>
      <c r="D143" s="308">
        <f t="shared" si="40"/>
        <v>25</v>
      </c>
      <c r="E143" s="308">
        <f>COUNTIFS(TUDB!$H$8:$H$2326,Use!$B143,TUDB!$F$8:$F$2326,Use!E$49)</f>
        <v>0</v>
      </c>
      <c r="F143" s="308">
        <f>COUNTIFS(TUDB!$H$8:$H$2326,Use!$B143,TUDB!$F$8:$F$2326,Use!F$49)</f>
        <v>0</v>
      </c>
      <c r="G143" s="308">
        <f>COUNTIFS(TUDB!$H$8:$H$2326,Use!$B143,TUDB!$F$8:$F$2326,Use!G$49)</f>
        <v>0</v>
      </c>
      <c r="H143" s="308">
        <f>COUNTIFS(TUDB!$H$8:$H$2326,Use!$B143,TUDB!$F$8:$F$2326,Use!H$49)</f>
        <v>20</v>
      </c>
      <c r="I143" s="308">
        <f>COUNTIFS(TUDB!$H$8:$H$2326,Use!$B143,TUDB!$F$8:$F$2326,Use!I$49)</f>
        <v>5</v>
      </c>
      <c r="J143" s="308">
        <f>COUNTIFS(TUDB!$H$8:$H$2326,Use!$B143,TUDB!$F$8:$F$2326,Use!J$49)</f>
        <v>0</v>
      </c>
      <c r="K143" s="307">
        <f t="shared" si="39"/>
        <v>0</v>
      </c>
      <c r="L143" s="307">
        <f>IF(AND(G143&gt;0,SUM($E143:F143)=0),1,0)</f>
        <v>0</v>
      </c>
      <c r="M143" s="307">
        <f>IF(AND(H143&gt;0,SUM($E143:G143)=0),1,0)</f>
        <v>1</v>
      </c>
      <c r="N143" s="307">
        <f>IF(AND(I143&gt;0,SUM($E143:H143)=0),1,0)</f>
        <v>0</v>
      </c>
      <c r="O143" s="307">
        <f>IF(AND(J143&gt;0,SUM($E143:I143)=0),1,0)</f>
        <v>0</v>
      </c>
      <c r="P143" s="312"/>
      <c r="Q143" s="312"/>
      <c r="S143" s="14">
        <f>COUNTIF(S124:S142,"&lt;&gt;"&amp;"")</f>
        <v>19</v>
      </c>
      <c r="T143" s="225">
        <f>SUM(U143:AC143)</f>
        <v>314</v>
      </c>
      <c r="U143" s="225">
        <f>SUM(U124:U142)</f>
        <v>32</v>
      </c>
      <c r="V143" s="225">
        <f>SUM(V124:V142)</f>
        <v>81</v>
      </c>
      <c r="W143" s="225">
        <f>SUM(W124:W142)</f>
        <v>80</v>
      </c>
      <c r="X143" s="225">
        <f>SUM(X124:X142)</f>
        <v>83</v>
      </c>
      <c r="Y143" s="522">
        <f>SUM(Y124:Y142)</f>
        <v>38</v>
      </c>
      <c r="Z143" s="372">
        <f t="shared" ref="Z143:AC143" si="44">SUM(Z124:Z142)</f>
        <v>0</v>
      </c>
      <c r="AA143" s="372">
        <f t="shared" si="44"/>
        <v>0</v>
      </c>
      <c r="AB143" s="372">
        <f t="shared" si="44"/>
        <v>0</v>
      </c>
      <c r="AC143" s="372">
        <f t="shared" si="44"/>
        <v>0</v>
      </c>
      <c r="AL143"/>
      <c r="AM143"/>
    </row>
    <row r="144" spans="2:39" ht="15.75" thickTop="1" x14ac:dyDescent="0.25">
      <c r="B144" s="303" t="str">
        <v>ZXrDvZ4pF1Qf92cFwnN35PE8grL2</v>
      </c>
      <c r="C144" s="303" t="s">
        <v>4161</v>
      </c>
      <c r="D144" s="305">
        <f t="shared" si="40"/>
        <v>20</v>
      </c>
      <c r="E144" s="305">
        <f>COUNTIFS(TUDB!$H$8:$H$2326,Use!$B144,TUDB!$F$8:$F$2326,Use!E$49)</f>
        <v>0</v>
      </c>
      <c r="F144" s="305">
        <f>COUNTIFS(TUDB!$H$8:$H$2326,Use!$B144,TUDB!$F$8:$F$2326,Use!F$49)</f>
        <v>0</v>
      </c>
      <c r="G144" s="305">
        <f>COUNTIFS(TUDB!$H$8:$H$2326,Use!$B144,TUDB!$F$8:$F$2326,Use!G$49)</f>
        <v>15</v>
      </c>
      <c r="H144" s="305">
        <f>COUNTIFS(TUDB!$H$8:$H$2326,Use!$B144,TUDB!$F$8:$F$2326,Use!H$49)</f>
        <v>4</v>
      </c>
      <c r="I144" s="305">
        <f>COUNTIFS(TUDB!$H$8:$H$2326,Use!$B144,TUDB!$F$8:$F$2326,Use!I$49)</f>
        <v>1</v>
      </c>
      <c r="J144" s="305">
        <f>COUNTIFS(TUDB!$H$8:$H$2326,Use!$B144,TUDB!$F$8:$F$2326,Use!J$49)</f>
        <v>0</v>
      </c>
      <c r="K144" s="304">
        <f t="shared" si="39"/>
        <v>0</v>
      </c>
      <c r="L144" s="304">
        <f>IF(AND(G144&gt;0,SUM($E144:F144)=0),1,0)</f>
        <v>1</v>
      </c>
      <c r="M144" s="304">
        <f>IF(AND(H144&gt;0,SUM($E144:G144)=0),1,0)</f>
        <v>0</v>
      </c>
      <c r="N144" s="304">
        <f>IF(AND(I144&gt;0,SUM($E144:H144)=0),1,0)</f>
        <v>0</v>
      </c>
      <c r="O144" s="304">
        <f>IF(AND(J144&gt;0,SUM($E144:I144)=0),1,0)</f>
        <v>0</v>
      </c>
      <c r="P144" s="311"/>
      <c r="Q144" s="311"/>
      <c r="Z144"/>
      <c r="AA144"/>
      <c r="AC144" s="224"/>
      <c r="AL144"/>
      <c r="AM144"/>
    </row>
    <row r="145" spans="2:39" x14ac:dyDescent="0.25">
      <c r="B145" s="306" t="str">
        <v>4tNuibWkTzRiJ2pPNwiRDqGPsDZ2</v>
      </c>
      <c r="C145" s="306" t="s">
        <v>544</v>
      </c>
      <c r="D145" s="308">
        <f t="shared" si="40"/>
        <v>2</v>
      </c>
      <c r="E145" s="308">
        <f>COUNTIFS(TUDB!$H$8:$H$2326,Use!$B145,TUDB!$F$8:$F$2326,Use!E$49)</f>
        <v>0</v>
      </c>
      <c r="F145" s="308">
        <f>COUNTIFS(TUDB!$H$8:$H$2326,Use!$B145,TUDB!$F$8:$F$2326,Use!F$49)</f>
        <v>0</v>
      </c>
      <c r="G145" s="308">
        <f>COUNTIFS(TUDB!$H$8:$H$2326,Use!$B145,TUDB!$F$8:$F$2326,Use!G$49)</f>
        <v>0</v>
      </c>
      <c r="H145" s="308">
        <f>COUNTIFS(TUDB!$H$8:$H$2326,Use!$B145,TUDB!$F$8:$F$2326,Use!H$49)</f>
        <v>0</v>
      </c>
      <c r="I145" s="308">
        <f>COUNTIFS(TUDB!$H$8:$H$2326,Use!$B145,TUDB!$F$8:$F$2326,Use!I$49)</f>
        <v>2</v>
      </c>
      <c r="J145" s="308">
        <f>COUNTIFS(TUDB!$H$8:$H$2326,Use!$B145,TUDB!$F$8:$F$2326,Use!J$49)</f>
        <v>0</v>
      </c>
      <c r="K145" s="307">
        <f t="shared" si="39"/>
        <v>0</v>
      </c>
      <c r="L145" s="307">
        <f>IF(AND(G145&gt;0,SUM($E145:F145)=0),1,0)</f>
        <v>0</v>
      </c>
      <c r="M145" s="307">
        <f>IF(AND(H145&gt;0,SUM($E145:G145)=0),1,0)</f>
        <v>0</v>
      </c>
      <c r="N145" s="307">
        <f>IF(AND(I145&gt;0,SUM($E145:H145)=0),1,0)</f>
        <v>1</v>
      </c>
      <c r="O145" s="307">
        <f>IF(AND(J145&gt;0,SUM($E145:I145)=0),1,0)</f>
        <v>0</v>
      </c>
      <c r="P145" s="312"/>
      <c r="Q145" s="312"/>
      <c r="Z145"/>
      <c r="AA145"/>
      <c r="AL145"/>
      <c r="AM145"/>
    </row>
    <row r="146" spans="2:39" x14ac:dyDescent="0.25">
      <c r="B146" s="303" t="str">
        <v>QqbZqyGX2YgKhSKXG0G7AK8gwMH2</v>
      </c>
      <c r="C146" s="303" t="s">
        <v>1339</v>
      </c>
      <c r="D146" s="305">
        <f t="shared" si="40"/>
        <v>9</v>
      </c>
      <c r="E146" s="305">
        <f>COUNTIFS(TUDB!$H$8:$H$2326,Use!$B146,TUDB!$F$8:$F$2326,Use!E$49)</f>
        <v>0</v>
      </c>
      <c r="F146" s="305">
        <f>COUNTIFS(TUDB!$H$8:$H$2326,Use!$B146,TUDB!$F$8:$F$2326,Use!F$49)</f>
        <v>0</v>
      </c>
      <c r="G146" s="305">
        <f>COUNTIFS(TUDB!$H$8:$H$2326,Use!$B146,TUDB!$F$8:$F$2326,Use!G$49)</f>
        <v>6</v>
      </c>
      <c r="H146" s="305">
        <f>COUNTIFS(TUDB!$H$8:$H$2326,Use!$B146,TUDB!$F$8:$F$2326,Use!H$49)</f>
        <v>1</v>
      </c>
      <c r="I146" s="305">
        <f>COUNTIFS(TUDB!$H$8:$H$2326,Use!$B146,TUDB!$F$8:$F$2326,Use!I$49)</f>
        <v>2</v>
      </c>
      <c r="J146" s="305">
        <f>COUNTIFS(TUDB!$H$8:$H$2326,Use!$B146,TUDB!$F$8:$F$2326,Use!J$49)</f>
        <v>0</v>
      </c>
      <c r="K146" s="304">
        <f t="shared" ref="K146:K156" si="45">IF(AND(F146&gt;0,SUM($E146)=0),1,0)</f>
        <v>0</v>
      </c>
      <c r="L146" s="304">
        <f>IF(AND(G146&gt;0,SUM($E146:F146)=0),1,0)</f>
        <v>1</v>
      </c>
      <c r="M146" s="304">
        <f>IF(AND(H146&gt;0,SUM($E146:G146)=0),1,0)</f>
        <v>0</v>
      </c>
      <c r="N146" s="304">
        <f>IF(AND(I146&gt;0,SUM($E146:H146)=0),1,0)</f>
        <v>0</v>
      </c>
      <c r="O146" s="304">
        <f>IF(AND(J146&gt;0,SUM($E146:I146)=0),1,0)</f>
        <v>0</v>
      </c>
      <c r="P146" s="311"/>
      <c r="Q146" s="311"/>
      <c r="Z146"/>
      <c r="AA146"/>
      <c r="AL146"/>
      <c r="AM146"/>
    </row>
    <row r="147" spans="2:39" x14ac:dyDescent="0.25">
      <c r="B147" s="306" t="str">
        <v>bc0T8Yfie5YQFmysZHxLsNJDJnT2</v>
      </c>
      <c r="C147" s="306" t="s">
        <v>4159</v>
      </c>
      <c r="D147" s="308">
        <f t="shared" si="40"/>
        <v>42</v>
      </c>
      <c r="E147" s="308">
        <f>COUNTIFS(TUDB!$H$8:$H$2326,Use!$B147,TUDB!$F$8:$F$2326,Use!E$49)</f>
        <v>0</v>
      </c>
      <c r="F147" s="308">
        <f>COUNTIFS(TUDB!$H$8:$H$2326,Use!$B147,TUDB!$F$8:$F$2326,Use!F$49)</f>
        <v>0</v>
      </c>
      <c r="G147" s="308">
        <f>COUNTIFS(TUDB!$H$8:$H$2326,Use!$B147,TUDB!$F$8:$F$2326,Use!G$49)</f>
        <v>0</v>
      </c>
      <c r="H147" s="308">
        <f>COUNTIFS(TUDB!$H$8:$H$2326,Use!$B147,TUDB!$F$8:$F$2326,Use!H$49)</f>
        <v>42</v>
      </c>
      <c r="I147" s="308">
        <f>COUNTIFS(TUDB!$H$8:$H$2326,Use!$B147,TUDB!$F$8:$F$2326,Use!I$49)</f>
        <v>0</v>
      </c>
      <c r="J147" s="308">
        <f>COUNTIFS(TUDB!$H$8:$H$2326,Use!$B147,TUDB!$F$8:$F$2326,Use!J$49)</f>
        <v>0</v>
      </c>
      <c r="K147" s="307">
        <f t="shared" si="45"/>
        <v>0</v>
      </c>
      <c r="L147" s="307">
        <f>IF(AND(G147&gt;0,SUM($E147:F147)=0),1,0)</f>
        <v>0</v>
      </c>
      <c r="M147" s="307">
        <f>IF(AND(H147&gt;0,SUM($E147:G147)=0),1,0)</f>
        <v>1</v>
      </c>
      <c r="N147" s="307">
        <f>IF(AND(I147&gt;0,SUM($E147:H147)=0),1,0)</f>
        <v>0</v>
      </c>
      <c r="O147" s="307">
        <f>IF(AND(J147&gt;0,SUM($E147:I147)=0),1,0)</f>
        <v>0</v>
      </c>
      <c r="P147" s="312"/>
      <c r="Q147" s="312"/>
      <c r="Z147"/>
      <c r="AA147"/>
      <c r="AL147"/>
      <c r="AM147"/>
    </row>
    <row r="148" spans="2:39" x14ac:dyDescent="0.25">
      <c r="B148" s="303" t="str">
        <v>HYL1EgVC5kT09iksqoYLhWO3nNa2</v>
      </c>
      <c r="C148" s="303" t="s">
        <v>4160</v>
      </c>
      <c r="D148" s="305">
        <f t="shared" si="40"/>
        <v>2</v>
      </c>
      <c r="E148" s="305">
        <f>COUNTIFS(TUDB!$H$8:$H$2326,Use!$B148,TUDB!$F$8:$F$2326,Use!E$49)</f>
        <v>0</v>
      </c>
      <c r="F148" s="305">
        <f>COUNTIFS(TUDB!$H$8:$H$2326,Use!$B148,TUDB!$F$8:$F$2326,Use!F$49)</f>
        <v>0</v>
      </c>
      <c r="G148" s="305">
        <f>COUNTIFS(TUDB!$H$8:$H$2326,Use!$B148,TUDB!$F$8:$F$2326,Use!G$49)</f>
        <v>0</v>
      </c>
      <c r="H148" s="305">
        <f>COUNTIFS(TUDB!$H$8:$H$2326,Use!$B148,TUDB!$F$8:$F$2326,Use!H$49)</f>
        <v>2</v>
      </c>
      <c r="I148" s="305">
        <f>COUNTIFS(TUDB!$H$8:$H$2326,Use!$B148,TUDB!$F$8:$F$2326,Use!I$49)</f>
        <v>0</v>
      </c>
      <c r="J148" s="305">
        <f>COUNTIFS(TUDB!$H$8:$H$2326,Use!$B148,TUDB!$F$8:$F$2326,Use!J$49)</f>
        <v>0</v>
      </c>
      <c r="K148" s="304">
        <f t="shared" si="45"/>
        <v>0</v>
      </c>
      <c r="L148" s="304">
        <f>IF(AND(G148&gt;0,SUM($E148:F148)=0),1,0)</f>
        <v>0</v>
      </c>
      <c r="M148" s="304">
        <f>IF(AND(H148&gt;0,SUM($E148:G148)=0),1,0)</f>
        <v>1</v>
      </c>
      <c r="N148" s="304">
        <f>IF(AND(I148&gt;0,SUM($E148:H148)=0),1,0)</f>
        <v>0</v>
      </c>
      <c r="O148" s="304">
        <f>IF(AND(J148&gt;0,SUM($E148:I148)=0),1,0)</f>
        <v>0</v>
      </c>
      <c r="P148" s="311"/>
      <c r="Q148" s="311"/>
      <c r="Z148"/>
      <c r="AA148"/>
      <c r="AL148"/>
      <c r="AM148"/>
    </row>
    <row r="149" spans="2:39" x14ac:dyDescent="0.25">
      <c r="B149" s="306" t="str">
        <v>C0lzNzqTroQvfx3Fn4dxIpHed982</v>
      </c>
      <c r="C149" s="306" t="s">
        <v>4160</v>
      </c>
      <c r="D149" s="308">
        <f t="shared" si="40"/>
        <v>3</v>
      </c>
      <c r="E149" s="308">
        <f>COUNTIFS(TUDB!$H$8:$H$2326,Use!$B149,TUDB!$F$8:$F$2326,Use!E$49)</f>
        <v>0</v>
      </c>
      <c r="F149" s="308">
        <f>COUNTIFS(TUDB!$H$8:$H$2326,Use!$B149,TUDB!$F$8:$F$2326,Use!F$49)</f>
        <v>0</v>
      </c>
      <c r="G149" s="308">
        <f>COUNTIFS(TUDB!$H$8:$H$2326,Use!$B149,TUDB!$F$8:$F$2326,Use!G$49)</f>
        <v>0</v>
      </c>
      <c r="H149" s="308">
        <f>COUNTIFS(TUDB!$H$8:$H$2326,Use!$B149,TUDB!$F$8:$F$2326,Use!H$49)</f>
        <v>3</v>
      </c>
      <c r="I149" s="308">
        <f>COUNTIFS(TUDB!$H$8:$H$2326,Use!$B149,TUDB!$F$8:$F$2326,Use!I$49)</f>
        <v>0</v>
      </c>
      <c r="J149" s="308">
        <f>COUNTIFS(TUDB!$H$8:$H$2326,Use!$B149,TUDB!$F$8:$F$2326,Use!J$49)</f>
        <v>0</v>
      </c>
      <c r="K149" s="307">
        <f t="shared" si="45"/>
        <v>0</v>
      </c>
      <c r="L149" s="307">
        <f>IF(AND(G149&gt;0,SUM($E149:F149)=0),1,0)</f>
        <v>0</v>
      </c>
      <c r="M149" s="307">
        <f>IF(AND(H149&gt;0,SUM($E149:G149)=0),1,0)</f>
        <v>1</v>
      </c>
      <c r="N149" s="307">
        <f>IF(AND(I149&gt;0,SUM($E149:H149)=0),1,0)</f>
        <v>0</v>
      </c>
      <c r="O149" s="307">
        <f>IF(AND(J149&gt;0,SUM($E149:I149)=0),1,0)</f>
        <v>0</v>
      </c>
      <c r="P149" s="312"/>
      <c r="Q149" s="312"/>
      <c r="Z149"/>
      <c r="AA149"/>
      <c r="AL149"/>
      <c r="AM149"/>
    </row>
    <row r="150" spans="2:39" x14ac:dyDescent="0.25">
      <c r="B150" s="303" t="str">
        <v>qQOofzMtn7QEFNkor41r51PeJ982</v>
      </c>
      <c r="C150" s="303" t="s">
        <v>4161</v>
      </c>
      <c r="D150" s="305">
        <f t="shared" si="40"/>
        <v>12</v>
      </c>
      <c r="E150" s="305">
        <f>COUNTIFS(TUDB!$H$8:$H$2326,Use!$B150,TUDB!$F$8:$F$2326,Use!E$49)</f>
        <v>0</v>
      </c>
      <c r="F150" s="305">
        <f>COUNTIFS(TUDB!$H$8:$H$2326,Use!$B150,TUDB!$F$8:$F$2326,Use!F$49)</f>
        <v>0</v>
      </c>
      <c r="G150" s="305">
        <f>COUNTIFS(TUDB!$H$8:$H$2326,Use!$B150,TUDB!$F$8:$F$2326,Use!G$49)</f>
        <v>9</v>
      </c>
      <c r="H150" s="305">
        <f>COUNTIFS(TUDB!$H$8:$H$2326,Use!$B150,TUDB!$F$8:$F$2326,Use!H$49)</f>
        <v>3</v>
      </c>
      <c r="I150" s="305">
        <f>COUNTIFS(TUDB!$H$8:$H$2326,Use!$B150,TUDB!$F$8:$F$2326,Use!I$49)</f>
        <v>0</v>
      </c>
      <c r="J150" s="305">
        <f>COUNTIFS(TUDB!$H$8:$H$2326,Use!$B150,TUDB!$F$8:$F$2326,Use!J$49)</f>
        <v>0</v>
      </c>
      <c r="K150" s="304">
        <f t="shared" si="45"/>
        <v>0</v>
      </c>
      <c r="L150" s="304">
        <f>IF(AND(G150&gt;0,SUM($E150:F150)=0),1,0)</f>
        <v>1</v>
      </c>
      <c r="M150" s="304">
        <f>IF(AND(H150&gt;0,SUM($E150:G150)=0),1,0)</f>
        <v>0</v>
      </c>
      <c r="N150" s="304">
        <f>IF(AND(I150&gt;0,SUM($E150:H150)=0),1,0)</f>
        <v>0</v>
      </c>
      <c r="O150" s="304">
        <f>IF(AND(J150&gt;0,SUM($E150:I150)=0),1,0)</f>
        <v>0</v>
      </c>
      <c r="P150" s="311"/>
      <c r="Q150" s="311"/>
      <c r="Z150"/>
      <c r="AA150"/>
      <c r="AL150"/>
      <c r="AM150"/>
    </row>
    <row r="151" spans="2:39" x14ac:dyDescent="0.25">
      <c r="B151" s="306" t="str">
        <v>Bh17xfkYdOOIQvAmgpBbLMoI8Fl1</v>
      </c>
      <c r="C151" s="306" t="s">
        <v>544</v>
      </c>
      <c r="D151" s="308">
        <f t="shared" si="40"/>
        <v>2</v>
      </c>
      <c r="E151" s="308">
        <f>COUNTIFS(TUDB!$H$8:$H$2326,Use!$B151,TUDB!$F$8:$F$2326,Use!E$49)</f>
        <v>0</v>
      </c>
      <c r="F151" s="308">
        <f>COUNTIFS(TUDB!$H$8:$H$2326,Use!$B151,TUDB!$F$8:$F$2326,Use!F$49)</f>
        <v>0</v>
      </c>
      <c r="G151" s="308">
        <f>COUNTIFS(TUDB!$H$8:$H$2326,Use!$B151,TUDB!$F$8:$F$2326,Use!G$49)</f>
        <v>0</v>
      </c>
      <c r="H151" s="308">
        <f>COUNTIFS(TUDB!$H$8:$H$2326,Use!$B151,TUDB!$F$8:$F$2326,Use!H$49)</f>
        <v>2</v>
      </c>
      <c r="I151" s="308">
        <f>COUNTIFS(TUDB!$H$8:$H$2326,Use!$B151,TUDB!$F$8:$F$2326,Use!I$49)</f>
        <v>0</v>
      </c>
      <c r="J151" s="308">
        <f>COUNTIFS(TUDB!$H$8:$H$2326,Use!$B151,TUDB!$F$8:$F$2326,Use!J$49)</f>
        <v>0</v>
      </c>
      <c r="K151" s="307">
        <f t="shared" si="45"/>
        <v>0</v>
      </c>
      <c r="L151" s="307">
        <f>IF(AND(G151&gt;0,SUM($E151:F151)=0),1,0)</f>
        <v>0</v>
      </c>
      <c r="M151" s="307">
        <f>IF(AND(H151&gt;0,SUM($E151:G151)=0),1,0)</f>
        <v>1</v>
      </c>
      <c r="N151" s="307">
        <f>IF(AND(I151&gt;0,SUM($E151:H151)=0),1,0)</f>
        <v>0</v>
      </c>
      <c r="O151" s="307">
        <f>IF(AND(J151&gt;0,SUM($E151:I151)=0),1,0)</f>
        <v>0</v>
      </c>
      <c r="P151" s="312"/>
      <c r="Q151" s="312"/>
      <c r="Z151"/>
      <c r="AA151"/>
      <c r="AL151"/>
      <c r="AM151"/>
    </row>
    <row r="152" spans="2:39" x14ac:dyDescent="0.25">
      <c r="B152" s="303" t="str">
        <v>IEVOLNEKvbTjBFFIUAn398Du5gu2</v>
      </c>
      <c r="C152" s="303" t="s">
        <v>4159</v>
      </c>
      <c r="D152" s="305">
        <f t="shared" si="40"/>
        <v>50</v>
      </c>
      <c r="E152" s="305">
        <f>COUNTIFS(TUDB!$H$8:$H$2326,Use!$B152,TUDB!$F$8:$F$2326,Use!E$49)</f>
        <v>0</v>
      </c>
      <c r="F152" s="305">
        <f>COUNTIFS(TUDB!$H$8:$H$2326,Use!$B152,TUDB!$F$8:$F$2326,Use!F$49)</f>
        <v>0</v>
      </c>
      <c r="G152" s="305">
        <f>COUNTIFS(TUDB!$H$8:$H$2326,Use!$B152,TUDB!$F$8:$F$2326,Use!G$49)</f>
        <v>0</v>
      </c>
      <c r="H152" s="305">
        <f>COUNTIFS(TUDB!$H$8:$H$2326,Use!$B152,TUDB!$F$8:$F$2326,Use!H$49)</f>
        <v>50</v>
      </c>
      <c r="I152" s="305">
        <f>COUNTIFS(TUDB!$H$8:$H$2326,Use!$B152,TUDB!$F$8:$F$2326,Use!I$49)</f>
        <v>0</v>
      </c>
      <c r="J152" s="305">
        <f>COUNTIFS(TUDB!$H$8:$H$2326,Use!$B152,TUDB!$F$8:$F$2326,Use!J$49)</f>
        <v>0</v>
      </c>
      <c r="K152" s="304">
        <f t="shared" si="45"/>
        <v>0</v>
      </c>
      <c r="L152" s="304">
        <f>IF(AND(G152&gt;0,SUM($E152:F152)=0),1,0)</f>
        <v>0</v>
      </c>
      <c r="M152" s="304">
        <f>IF(AND(H152&gt;0,SUM($E152:G152)=0),1,0)</f>
        <v>1</v>
      </c>
      <c r="N152" s="304">
        <f>IF(AND(I152&gt;0,SUM($E152:H152)=0),1,0)</f>
        <v>0</v>
      </c>
      <c r="O152" s="304">
        <f>IF(AND(J152&gt;0,SUM($E152:I152)=0),1,0)</f>
        <v>0</v>
      </c>
      <c r="P152" s="311"/>
      <c r="Q152" s="311"/>
      <c r="Z152"/>
      <c r="AA152"/>
      <c r="AL152"/>
      <c r="AM152"/>
    </row>
    <row r="153" spans="2:39" x14ac:dyDescent="0.25">
      <c r="B153" s="306" t="str">
        <v>w2H6q2rfnpYnyiqXnRGCkXSAnLg1</v>
      </c>
      <c r="C153" s="306" t="s">
        <v>544</v>
      </c>
      <c r="D153" s="308">
        <f t="shared" si="40"/>
        <v>1</v>
      </c>
      <c r="E153" s="308">
        <f>COUNTIFS(TUDB!$H$8:$H$2326,Use!$B153,TUDB!$F$8:$F$2326,Use!E$49)</f>
        <v>0</v>
      </c>
      <c r="F153" s="308">
        <f>COUNTIFS(TUDB!$H$8:$H$2326,Use!$B153,TUDB!$F$8:$F$2326,Use!F$49)</f>
        <v>0</v>
      </c>
      <c r="G153" s="308">
        <f>COUNTIFS(TUDB!$H$8:$H$2326,Use!$B153,TUDB!$F$8:$F$2326,Use!G$49)</f>
        <v>0</v>
      </c>
      <c r="H153" s="308">
        <f>COUNTIFS(TUDB!$H$8:$H$2326,Use!$B153,TUDB!$F$8:$F$2326,Use!H$49)</f>
        <v>1</v>
      </c>
      <c r="I153" s="308">
        <f>COUNTIFS(TUDB!$H$8:$H$2326,Use!$B153,TUDB!$F$8:$F$2326,Use!I$49)</f>
        <v>0</v>
      </c>
      <c r="J153" s="308">
        <f>COUNTIFS(TUDB!$H$8:$H$2326,Use!$B153,TUDB!$F$8:$F$2326,Use!J$49)</f>
        <v>0</v>
      </c>
      <c r="K153" s="307">
        <f t="shared" si="45"/>
        <v>0</v>
      </c>
      <c r="L153" s="307">
        <f>IF(AND(G153&gt;0,SUM($E153:F153)=0),1,0)</f>
        <v>0</v>
      </c>
      <c r="M153" s="307">
        <f>IF(AND(H153&gt;0,SUM($E153:G153)=0),1,0)</f>
        <v>1</v>
      </c>
      <c r="N153" s="307">
        <f>IF(AND(I153&gt;0,SUM($E153:H153)=0),1,0)</f>
        <v>0</v>
      </c>
      <c r="O153" s="307">
        <f>IF(AND(J153&gt;0,SUM($E153:I153)=0),1,0)</f>
        <v>0</v>
      </c>
      <c r="P153" s="312"/>
      <c r="Q153" s="312"/>
      <c r="Z153"/>
      <c r="AA153"/>
      <c r="AL153"/>
      <c r="AM153"/>
    </row>
    <row r="154" spans="2:39" x14ac:dyDescent="0.25">
      <c r="B154" s="303" t="str">
        <v>UFn0tvcbhgPvJSgEiNtnlwyA9Ch2</v>
      </c>
      <c r="C154" s="303" t="s">
        <v>578</v>
      </c>
      <c r="D154" s="305">
        <f t="shared" si="40"/>
        <v>11</v>
      </c>
      <c r="E154" s="305">
        <f>COUNTIFS(TUDB!$H$8:$H$2326,Use!$B154,TUDB!$F$8:$F$2326,Use!E$49)</f>
        <v>0</v>
      </c>
      <c r="F154" s="305">
        <f>COUNTIFS(TUDB!$H$8:$H$2326,Use!$B154,TUDB!$F$8:$F$2326,Use!F$49)</f>
        <v>0</v>
      </c>
      <c r="G154" s="305">
        <f>COUNTIFS(TUDB!$H$8:$H$2326,Use!$B154,TUDB!$F$8:$F$2326,Use!G$49)</f>
        <v>10</v>
      </c>
      <c r="H154" s="305">
        <f>COUNTIFS(TUDB!$H$8:$H$2326,Use!$B154,TUDB!$F$8:$F$2326,Use!H$49)</f>
        <v>1</v>
      </c>
      <c r="I154" s="305">
        <f>COUNTIFS(TUDB!$H$8:$H$2326,Use!$B154,TUDB!$F$8:$F$2326,Use!I$49)</f>
        <v>0</v>
      </c>
      <c r="J154" s="305">
        <f>COUNTIFS(TUDB!$H$8:$H$2326,Use!$B154,TUDB!$F$8:$F$2326,Use!J$49)</f>
        <v>0</v>
      </c>
      <c r="K154" s="304">
        <f t="shared" si="45"/>
        <v>0</v>
      </c>
      <c r="L154" s="304">
        <f>IF(AND(G154&gt;0,SUM($E154:F154)=0),1,0)</f>
        <v>1</v>
      </c>
      <c r="M154" s="304">
        <f>IF(AND(H154&gt;0,SUM($E154:G154)=0),1,0)</f>
        <v>0</v>
      </c>
      <c r="N154" s="304">
        <f>IF(AND(I154&gt;0,SUM($E154:H154)=0),1,0)</f>
        <v>0</v>
      </c>
      <c r="O154" s="304">
        <f>IF(AND(J154&gt;0,SUM($E154:I154)=0),1,0)</f>
        <v>0</v>
      </c>
      <c r="P154" s="311"/>
      <c r="Q154" s="311"/>
      <c r="Z154"/>
      <c r="AA154"/>
      <c r="AL154"/>
      <c r="AM154"/>
    </row>
    <row r="155" spans="2:39" x14ac:dyDescent="0.25">
      <c r="B155" s="306" t="str">
        <v>CUjiGQdfaVZfGM3lWBBjUCvnb322</v>
      </c>
      <c r="C155" s="306" t="s">
        <v>4161</v>
      </c>
      <c r="D155" s="308">
        <f t="shared" si="40"/>
        <v>15</v>
      </c>
      <c r="E155" s="308">
        <f>COUNTIFS(TUDB!$H$8:$H$2326,Use!$B155,TUDB!$F$8:$F$2326,Use!E$49)</f>
        <v>0</v>
      </c>
      <c r="F155" s="308">
        <f>COUNTIFS(TUDB!$H$8:$H$2326,Use!$B155,TUDB!$F$8:$F$2326,Use!F$49)</f>
        <v>0</v>
      </c>
      <c r="G155" s="308">
        <f>COUNTIFS(TUDB!$H$8:$H$2326,Use!$B155,TUDB!$F$8:$F$2326,Use!G$49)</f>
        <v>2</v>
      </c>
      <c r="H155" s="308">
        <f>COUNTIFS(TUDB!$H$8:$H$2326,Use!$B155,TUDB!$F$8:$F$2326,Use!H$49)</f>
        <v>13</v>
      </c>
      <c r="I155" s="308">
        <f>COUNTIFS(TUDB!$H$8:$H$2326,Use!$B155,TUDB!$F$8:$F$2326,Use!I$49)</f>
        <v>0</v>
      </c>
      <c r="J155" s="308">
        <f>COUNTIFS(TUDB!$H$8:$H$2326,Use!$B155,TUDB!$F$8:$F$2326,Use!J$49)</f>
        <v>0</v>
      </c>
      <c r="K155" s="307">
        <f t="shared" si="45"/>
        <v>0</v>
      </c>
      <c r="L155" s="307">
        <f>IF(AND(G155&gt;0,SUM($E155:F155)=0),1,0)</f>
        <v>1</v>
      </c>
      <c r="M155" s="307">
        <f>IF(AND(H155&gt;0,SUM($E155:G155)=0),1,0)</f>
        <v>0</v>
      </c>
      <c r="N155" s="307">
        <f>IF(AND(I155&gt;0,SUM($E155:H155)=0),1,0)</f>
        <v>0</v>
      </c>
      <c r="O155" s="307">
        <f>IF(AND(J155&gt;0,SUM($E155:I155)=0),1,0)</f>
        <v>0</v>
      </c>
      <c r="P155" s="312"/>
      <c r="Q155" s="312"/>
      <c r="Z155"/>
      <c r="AA155"/>
      <c r="AL155"/>
      <c r="AM155"/>
    </row>
    <row r="156" spans="2:39" x14ac:dyDescent="0.25">
      <c r="B156" s="303" t="str">
        <v>uhi7fcC1CEM9Gzc26fagCyLA1662</v>
      </c>
      <c r="C156" s="303" t="s">
        <v>4161</v>
      </c>
      <c r="D156" s="305">
        <f t="shared" si="40"/>
        <v>33</v>
      </c>
      <c r="E156" s="305">
        <f>COUNTIFS(TUDB!$H$8:$H$2326,Use!$B156,TUDB!$F$8:$F$2326,Use!E$49)</f>
        <v>0</v>
      </c>
      <c r="F156" s="305">
        <f>COUNTIFS(TUDB!$H$8:$H$2326,Use!$B156,TUDB!$F$8:$F$2326,Use!F$49)</f>
        <v>0</v>
      </c>
      <c r="G156" s="305">
        <f>COUNTIFS(TUDB!$H$8:$H$2326,Use!$B156,TUDB!$F$8:$F$2326,Use!G$49)</f>
        <v>27</v>
      </c>
      <c r="H156" s="305">
        <f>COUNTIFS(TUDB!$H$8:$H$2326,Use!$B156,TUDB!$F$8:$F$2326,Use!H$49)</f>
        <v>6</v>
      </c>
      <c r="I156" s="305">
        <f>COUNTIFS(TUDB!$H$8:$H$2326,Use!$B156,TUDB!$F$8:$F$2326,Use!I$49)</f>
        <v>0</v>
      </c>
      <c r="J156" s="305">
        <f>COUNTIFS(TUDB!$H$8:$H$2326,Use!$B156,TUDB!$F$8:$F$2326,Use!J$49)</f>
        <v>0</v>
      </c>
      <c r="K156" s="304">
        <f t="shared" si="45"/>
        <v>0</v>
      </c>
      <c r="L156" s="304">
        <f>IF(AND(G156&gt;0,SUM($E156:F156)=0),1,0)</f>
        <v>1</v>
      </c>
      <c r="M156" s="304">
        <f>IF(AND(H156&gt;0,SUM($E156:G156)=0),1,0)</f>
        <v>0</v>
      </c>
      <c r="N156" s="304">
        <f>IF(AND(I156&gt;0,SUM($E156:H156)=0),1,0)</f>
        <v>0</v>
      </c>
      <c r="O156" s="304">
        <f>IF(AND(J156&gt;0,SUM($E156:I156)=0),1,0)</f>
        <v>0</v>
      </c>
      <c r="P156" s="311"/>
      <c r="Q156" s="311"/>
      <c r="Z156"/>
      <c r="AA156"/>
      <c r="AL156"/>
      <c r="AM156"/>
    </row>
    <row r="157" spans="2:39" x14ac:dyDescent="0.25">
      <c r="B157" s="306" t="str">
        <v>MaWmkh46vpfB0NKdOC23krQrdH72</v>
      </c>
      <c r="C157" s="306" t="s">
        <v>4161</v>
      </c>
      <c r="D157" s="308">
        <f t="shared" si="40"/>
        <v>3</v>
      </c>
      <c r="E157" s="308">
        <f>COUNTIFS(TUDB!$H$8:$H$2326,Use!$B157,TUDB!$F$8:$F$2326,Use!E$49)</f>
        <v>0</v>
      </c>
      <c r="F157" s="308">
        <f>COUNTIFS(TUDB!$H$8:$H$2326,Use!$B157,TUDB!$F$8:$F$2326,Use!F$49)</f>
        <v>0</v>
      </c>
      <c r="G157" s="308">
        <f>COUNTIFS(TUDB!$H$8:$H$2326,Use!$B157,TUDB!$F$8:$F$2326,Use!G$49)</f>
        <v>0</v>
      </c>
      <c r="H157" s="308">
        <f>COUNTIFS(TUDB!$H$8:$H$2326,Use!$B157,TUDB!$F$8:$F$2326,Use!H$49)</f>
        <v>3</v>
      </c>
      <c r="I157" s="308">
        <f>COUNTIFS(TUDB!$H$8:$H$2326,Use!$B157,TUDB!$F$8:$F$2326,Use!I$49)</f>
        <v>0</v>
      </c>
      <c r="J157" s="308">
        <f>COUNTIFS(TUDB!$H$8:$H$2326,Use!$B157,TUDB!$F$8:$F$2326,Use!J$49)</f>
        <v>0</v>
      </c>
      <c r="K157" s="307">
        <f t="shared" ref="K157:K191" si="46">IF(AND(F157&gt;0,SUM($E157)=0),1,0)</f>
        <v>0</v>
      </c>
      <c r="L157" s="307">
        <f>IF(AND(G157&gt;0,SUM($E157:F157)=0),1,0)</f>
        <v>0</v>
      </c>
      <c r="M157" s="307">
        <f>IF(AND(H157&gt;0,SUM($E157:G157)=0),1,0)</f>
        <v>1</v>
      </c>
      <c r="N157" s="307">
        <f>IF(AND(I157&gt;0,SUM($E157:H157)=0),1,0)</f>
        <v>0</v>
      </c>
      <c r="O157" s="307">
        <f>IF(AND(J157&gt;0,SUM($E157:I157)=0),1,0)</f>
        <v>0</v>
      </c>
      <c r="P157" s="312"/>
      <c r="Q157" s="312"/>
      <c r="Z157"/>
      <c r="AA157"/>
      <c r="AL157"/>
      <c r="AM157"/>
    </row>
    <row r="158" spans="2:39" x14ac:dyDescent="0.25">
      <c r="B158" s="303" t="str">
        <v>Z9MSZCpZM4Vs8Cu0QagviPKqee33</v>
      </c>
      <c r="C158" s="303" t="s">
        <v>4160</v>
      </c>
      <c r="D158" s="305">
        <f t="shared" si="40"/>
        <v>1</v>
      </c>
      <c r="E158" s="305">
        <f>COUNTIFS(TUDB!$H$8:$H$2326,Use!$B158,TUDB!$F$8:$F$2326,Use!E$49)</f>
        <v>0</v>
      </c>
      <c r="F158" s="305">
        <f>COUNTIFS(TUDB!$H$8:$H$2326,Use!$B158,TUDB!$F$8:$F$2326,Use!F$49)</f>
        <v>0</v>
      </c>
      <c r="G158" s="305">
        <f>COUNTIFS(TUDB!$H$8:$H$2326,Use!$B158,TUDB!$F$8:$F$2326,Use!G$49)</f>
        <v>0</v>
      </c>
      <c r="H158" s="305">
        <f>COUNTIFS(TUDB!$H$8:$H$2326,Use!$B158,TUDB!$F$8:$F$2326,Use!H$49)</f>
        <v>1</v>
      </c>
      <c r="I158" s="305">
        <f>COUNTIFS(TUDB!$H$8:$H$2326,Use!$B158,TUDB!$F$8:$F$2326,Use!I$49)</f>
        <v>0</v>
      </c>
      <c r="J158" s="305">
        <f>COUNTIFS(TUDB!$H$8:$H$2326,Use!$B158,TUDB!$F$8:$F$2326,Use!J$49)</f>
        <v>0</v>
      </c>
      <c r="K158" s="304">
        <f t="shared" si="46"/>
        <v>0</v>
      </c>
      <c r="L158" s="304">
        <f>IF(AND(G158&gt;0,SUM($E158:F158)=0),1,0)</f>
        <v>0</v>
      </c>
      <c r="M158" s="304">
        <f>IF(AND(H158&gt;0,SUM($E158:G158)=0),1,0)</f>
        <v>1</v>
      </c>
      <c r="N158" s="304">
        <f>IF(AND(I158&gt;0,SUM($E158:H158)=0),1,0)</f>
        <v>0</v>
      </c>
      <c r="O158" s="304">
        <f>IF(AND(J158&gt;0,SUM($E158:I158)=0),1,0)</f>
        <v>0</v>
      </c>
      <c r="P158" s="311"/>
      <c r="Q158" s="311"/>
      <c r="Z158"/>
      <c r="AA158"/>
      <c r="AL158"/>
      <c r="AM158"/>
    </row>
    <row r="159" spans="2:39" x14ac:dyDescent="0.25">
      <c r="B159" s="306" t="str">
        <v>XTciY3yPfYVTb535QHNfPsAPFsu1</v>
      </c>
      <c r="C159" s="306" t="s">
        <v>1339</v>
      </c>
      <c r="D159" s="308">
        <f t="shared" si="40"/>
        <v>8</v>
      </c>
      <c r="E159" s="308">
        <f>COUNTIFS(TUDB!$H$8:$H$2326,Use!$B159,TUDB!$F$8:$F$2326,Use!E$49)</f>
        <v>0</v>
      </c>
      <c r="F159" s="308">
        <f>COUNTIFS(TUDB!$H$8:$H$2326,Use!$B159,TUDB!$F$8:$F$2326,Use!F$49)</f>
        <v>0</v>
      </c>
      <c r="G159" s="308">
        <f>COUNTIFS(TUDB!$H$8:$H$2326,Use!$B159,TUDB!$F$8:$F$2326,Use!G$49)</f>
        <v>0</v>
      </c>
      <c r="H159" s="308">
        <f>COUNTIFS(TUDB!$H$8:$H$2326,Use!$B159,TUDB!$F$8:$F$2326,Use!H$49)</f>
        <v>8</v>
      </c>
      <c r="I159" s="308">
        <f>COUNTIFS(TUDB!$H$8:$H$2326,Use!$B159,TUDB!$F$8:$F$2326,Use!I$49)</f>
        <v>0</v>
      </c>
      <c r="J159" s="308">
        <f>COUNTIFS(TUDB!$H$8:$H$2326,Use!$B159,TUDB!$F$8:$F$2326,Use!J$49)</f>
        <v>0</v>
      </c>
      <c r="K159" s="307">
        <f t="shared" si="46"/>
        <v>0</v>
      </c>
      <c r="L159" s="307">
        <f>IF(AND(G159&gt;0,SUM($E159:F159)=0),1,0)</f>
        <v>0</v>
      </c>
      <c r="M159" s="307">
        <f>IF(AND(H159&gt;0,SUM($E159:G159)=0),1,0)</f>
        <v>1</v>
      </c>
      <c r="N159" s="307">
        <f>IF(AND(I159&gt;0,SUM($E159:H159)=0),1,0)</f>
        <v>0</v>
      </c>
      <c r="O159" s="307">
        <f>IF(AND(J159&gt;0,SUM($E159:I159)=0),1,0)</f>
        <v>0</v>
      </c>
      <c r="P159" s="312"/>
      <c r="Q159" s="312"/>
      <c r="Z159"/>
      <c r="AA159"/>
      <c r="AB159" s="1"/>
      <c r="AL159"/>
      <c r="AM159"/>
    </row>
    <row r="160" spans="2:39" x14ac:dyDescent="0.25">
      <c r="B160" s="303" t="str">
        <v>yd6EWtgkp2OxM0ESjNoOFhFrSZ53</v>
      </c>
      <c r="C160" s="303" t="s">
        <v>4161</v>
      </c>
      <c r="D160" s="305">
        <f t="shared" si="40"/>
        <v>4</v>
      </c>
      <c r="E160" s="305">
        <f>COUNTIFS(TUDB!$H$8:$H$2326,Use!$B160,TUDB!$F$8:$F$2326,Use!E$49)</f>
        <v>0</v>
      </c>
      <c r="F160" s="305">
        <f>COUNTIFS(TUDB!$H$8:$H$2326,Use!$B160,TUDB!$F$8:$F$2326,Use!F$49)</f>
        <v>0</v>
      </c>
      <c r="G160" s="305">
        <f>COUNTIFS(TUDB!$H$8:$H$2326,Use!$B160,TUDB!$F$8:$F$2326,Use!G$49)</f>
        <v>0</v>
      </c>
      <c r="H160" s="305">
        <f>COUNTIFS(TUDB!$H$8:$H$2326,Use!$B160,TUDB!$F$8:$F$2326,Use!H$49)</f>
        <v>4</v>
      </c>
      <c r="I160" s="305">
        <f>COUNTIFS(TUDB!$H$8:$H$2326,Use!$B160,TUDB!$F$8:$F$2326,Use!I$49)</f>
        <v>0</v>
      </c>
      <c r="J160" s="305">
        <f>COUNTIFS(TUDB!$H$8:$H$2326,Use!$B160,TUDB!$F$8:$F$2326,Use!J$49)</f>
        <v>0</v>
      </c>
      <c r="K160" s="304">
        <f t="shared" si="46"/>
        <v>0</v>
      </c>
      <c r="L160" s="304">
        <f>IF(AND(G160&gt;0,SUM($E160:F160)=0),1,0)</f>
        <v>0</v>
      </c>
      <c r="M160" s="304">
        <f>IF(AND(H160&gt;0,SUM($E160:G160)=0),1,0)</f>
        <v>1</v>
      </c>
      <c r="N160" s="304">
        <f>IF(AND(I160&gt;0,SUM($E160:H160)=0),1,0)</f>
        <v>0</v>
      </c>
      <c r="O160" s="304">
        <f>IF(AND(J160&gt;0,SUM($E160:I160)=0),1,0)</f>
        <v>0</v>
      </c>
      <c r="P160" s="311"/>
      <c r="Q160" s="311"/>
      <c r="Z160"/>
      <c r="AB160" s="1"/>
      <c r="AL160"/>
      <c r="AM160"/>
    </row>
    <row r="161" spans="2:28" x14ac:dyDescent="0.25">
      <c r="B161" s="306" t="str">
        <v>Qp6x6PYXsZQ3OPVMlJMHnfsxzog2</v>
      </c>
      <c r="C161" s="306" t="s">
        <v>4161</v>
      </c>
      <c r="D161" s="308">
        <f t="shared" si="40"/>
        <v>3</v>
      </c>
      <c r="E161" s="308">
        <f>COUNTIFS(TUDB!$H$8:$H$2326,Use!$B161,TUDB!$F$8:$F$2326,Use!E$49)</f>
        <v>0</v>
      </c>
      <c r="F161" s="308">
        <f>COUNTIFS(TUDB!$H$8:$H$2326,Use!$B161,TUDB!$F$8:$F$2326,Use!F$49)</f>
        <v>0</v>
      </c>
      <c r="G161" s="308">
        <f>COUNTIFS(TUDB!$H$8:$H$2326,Use!$B161,TUDB!$F$8:$F$2326,Use!G$49)</f>
        <v>2</v>
      </c>
      <c r="H161" s="308">
        <f>COUNTIFS(TUDB!$H$8:$H$2326,Use!$B161,TUDB!$F$8:$F$2326,Use!H$49)</f>
        <v>1</v>
      </c>
      <c r="I161" s="308">
        <f>COUNTIFS(TUDB!$H$8:$H$2326,Use!$B161,TUDB!$F$8:$F$2326,Use!I$49)</f>
        <v>0</v>
      </c>
      <c r="J161" s="308">
        <f>COUNTIFS(TUDB!$H$8:$H$2326,Use!$B161,TUDB!$F$8:$F$2326,Use!J$49)</f>
        <v>0</v>
      </c>
      <c r="K161" s="307">
        <f t="shared" si="46"/>
        <v>0</v>
      </c>
      <c r="L161" s="307">
        <f>IF(AND(G161&gt;0,SUM($E161:F161)=0),1,0)</f>
        <v>1</v>
      </c>
      <c r="M161" s="307">
        <f>IF(AND(H161&gt;0,SUM($E161:G161)=0),1,0)</f>
        <v>0</v>
      </c>
      <c r="N161" s="307">
        <f>IF(AND(I161&gt;0,SUM($E161:H161)=0),1,0)</f>
        <v>0</v>
      </c>
      <c r="O161" s="307">
        <f>IF(AND(J161&gt;0,SUM($E161:I161)=0),1,0)</f>
        <v>0</v>
      </c>
      <c r="P161" s="312"/>
      <c r="Q161" s="312"/>
      <c r="Z161"/>
      <c r="AB161" s="1"/>
    </row>
    <row r="162" spans="2:28" x14ac:dyDescent="0.25">
      <c r="B162" s="303" t="str">
        <v>jj7B66wBA3YQo84792uvWfxjNp83</v>
      </c>
      <c r="C162" s="303" t="s">
        <v>1347</v>
      </c>
      <c r="D162" s="305">
        <f t="shared" si="40"/>
        <v>5</v>
      </c>
      <c r="E162" s="305">
        <f>COUNTIFS(TUDB!$H$8:$H$2326,Use!$B162,TUDB!$F$8:$F$2326,Use!E$49)</f>
        <v>0</v>
      </c>
      <c r="F162" s="305">
        <f>COUNTIFS(TUDB!$H$8:$H$2326,Use!$B162,TUDB!$F$8:$F$2326,Use!F$49)</f>
        <v>0</v>
      </c>
      <c r="G162" s="305">
        <f>COUNTIFS(TUDB!$H$8:$H$2326,Use!$B162,TUDB!$F$8:$F$2326,Use!G$49)</f>
        <v>0</v>
      </c>
      <c r="H162" s="305">
        <f>COUNTIFS(TUDB!$H$8:$H$2326,Use!$B162,TUDB!$F$8:$F$2326,Use!H$49)</f>
        <v>5</v>
      </c>
      <c r="I162" s="305">
        <f>COUNTIFS(TUDB!$H$8:$H$2326,Use!$B162,TUDB!$F$8:$F$2326,Use!I$49)</f>
        <v>0</v>
      </c>
      <c r="J162" s="305">
        <f>COUNTIFS(TUDB!$H$8:$H$2326,Use!$B162,TUDB!$F$8:$F$2326,Use!J$49)</f>
        <v>0</v>
      </c>
      <c r="K162" s="304">
        <f t="shared" si="46"/>
        <v>0</v>
      </c>
      <c r="L162" s="304">
        <f>IF(AND(G162&gt;0,SUM($E162:F162)=0),1,0)</f>
        <v>0</v>
      </c>
      <c r="M162" s="304">
        <f>IF(AND(H162&gt;0,SUM($E162:G162)=0),1,0)</f>
        <v>1</v>
      </c>
      <c r="N162" s="304">
        <f>IF(AND(I162&gt;0,SUM($E162:H162)=0),1,0)</f>
        <v>0</v>
      </c>
      <c r="O162" s="304">
        <f>IF(AND(J162&gt;0,SUM($E162:I162)=0),1,0)</f>
        <v>0</v>
      </c>
      <c r="P162" s="311"/>
      <c r="Q162" s="311"/>
      <c r="Z162"/>
      <c r="AB162" s="1"/>
    </row>
    <row r="163" spans="2:28" x14ac:dyDescent="0.25">
      <c r="B163" s="306" t="str">
        <v>D17U1veFZVXjEf12Xz7qLJhjKsm2</v>
      </c>
      <c r="C163" s="306" t="s">
        <v>2341</v>
      </c>
      <c r="D163" s="308">
        <f t="shared" si="40"/>
        <v>3</v>
      </c>
      <c r="E163" s="308">
        <f>COUNTIFS(TUDB!$H$8:$H$2326,Use!$B163,TUDB!$F$8:$F$2326,Use!E$49)</f>
        <v>0</v>
      </c>
      <c r="F163" s="308">
        <f>COUNTIFS(TUDB!$H$8:$H$2326,Use!$B163,TUDB!$F$8:$F$2326,Use!F$49)</f>
        <v>0</v>
      </c>
      <c r="G163" s="308">
        <f>COUNTIFS(TUDB!$H$8:$H$2326,Use!$B163,TUDB!$F$8:$F$2326,Use!G$49)</f>
        <v>0</v>
      </c>
      <c r="H163" s="308">
        <f>COUNTIFS(TUDB!$H$8:$H$2326,Use!$B163,TUDB!$F$8:$F$2326,Use!H$49)</f>
        <v>3</v>
      </c>
      <c r="I163" s="308">
        <f>COUNTIFS(TUDB!$H$8:$H$2326,Use!$B163,TUDB!$F$8:$F$2326,Use!I$49)</f>
        <v>0</v>
      </c>
      <c r="J163" s="308">
        <f>COUNTIFS(TUDB!$H$8:$H$2326,Use!$B163,TUDB!$F$8:$F$2326,Use!J$49)</f>
        <v>0</v>
      </c>
      <c r="K163" s="307">
        <f t="shared" si="46"/>
        <v>0</v>
      </c>
      <c r="L163" s="307">
        <f>IF(AND(G163&gt;0,SUM($E163:F163)=0),1,0)</f>
        <v>0</v>
      </c>
      <c r="M163" s="307">
        <f>IF(AND(H163&gt;0,SUM($E163:G163)=0),1,0)</f>
        <v>1</v>
      </c>
      <c r="N163" s="307">
        <f>IF(AND(I163&gt;0,SUM($E163:H163)=0),1,0)</f>
        <v>0</v>
      </c>
      <c r="O163" s="307">
        <f>IF(AND(J163&gt;0,SUM($E163:I163)=0),1,0)</f>
        <v>0</v>
      </c>
      <c r="P163" s="312"/>
      <c r="Q163" s="312"/>
      <c r="Z163"/>
      <c r="AB163" s="1"/>
    </row>
    <row r="164" spans="2:28" x14ac:dyDescent="0.25">
      <c r="B164" s="303" t="str">
        <v>W8BGw5bKR3fOoqYynHo0kID39br2</v>
      </c>
      <c r="C164" s="303" t="s">
        <v>1339</v>
      </c>
      <c r="D164" s="305">
        <f t="shared" si="40"/>
        <v>26</v>
      </c>
      <c r="E164" s="305">
        <f>COUNTIFS(TUDB!$H$8:$H$2326,Use!$B164,TUDB!$F$8:$F$2326,Use!E$49)</f>
        <v>0</v>
      </c>
      <c r="F164" s="305">
        <f>COUNTIFS(TUDB!$H$8:$H$2326,Use!$B164,TUDB!$F$8:$F$2326,Use!F$49)</f>
        <v>0</v>
      </c>
      <c r="G164" s="305">
        <f>COUNTIFS(TUDB!$H$8:$H$2326,Use!$B164,TUDB!$F$8:$F$2326,Use!G$49)</f>
        <v>25</v>
      </c>
      <c r="H164" s="305">
        <f>COUNTIFS(TUDB!$H$8:$H$2326,Use!$B164,TUDB!$F$8:$F$2326,Use!H$49)</f>
        <v>1</v>
      </c>
      <c r="I164" s="305">
        <f>COUNTIFS(TUDB!$H$8:$H$2326,Use!$B164,TUDB!$F$8:$F$2326,Use!I$49)</f>
        <v>0</v>
      </c>
      <c r="J164" s="305">
        <f>COUNTIFS(TUDB!$H$8:$H$2326,Use!$B164,TUDB!$F$8:$F$2326,Use!J$49)</f>
        <v>0</v>
      </c>
      <c r="K164" s="304">
        <f t="shared" si="46"/>
        <v>0</v>
      </c>
      <c r="L164" s="304">
        <f>IF(AND(G164&gt;0,SUM($E164:F164)=0),1,0)</f>
        <v>1</v>
      </c>
      <c r="M164" s="304">
        <f>IF(AND(H164&gt;0,SUM($E164:G164)=0),1,0)</f>
        <v>0</v>
      </c>
      <c r="N164" s="304">
        <f>IF(AND(I164&gt;0,SUM($E164:H164)=0),1,0)</f>
        <v>0</v>
      </c>
      <c r="O164" s="304">
        <f>IF(AND(J164&gt;0,SUM($E164:I164)=0),1,0)</f>
        <v>0</v>
      </c>
      <c r="P164" s="311"/>
      <c r="Q164" s="311"/>
      <c r="Z164"/>
      <c r="AB164" s="1"/>
    </row>
    <row r="165" spans="2:28" x14ac:dyDescent="0.25">
      <c r="B165" s="306" t="str">
        <v>0o0mbNO1EGZHBdeHAgdepC7aYQM2</v>
      </c>
      <c r="C165" s="306" t="s">
        <v>544</v>
      </c>
      <c r="D165" s="308">
        <f t="shared" si="40"/>
        <v>1</v>
      </c>
      <c r="E165" s="308">
        <f>COUNTIFS(TUDB!$H$8:$H$2326,Use!$B165,TUDB!$F$8:$F$2326,Use!E$49)</f>
        <v>0</v>
      </c>
      <c r="F165" s="308">
        <f>COUNTIFS(TUDB!$H$8:$H$2326,Use!$B165,TUDB!$F$8:$F$2326,Use!F$49)</f>
        <v>0</v>
      </c>
      <c r="G165" s="308">
        <f>COUNTIFS(TUDB!$H$8:$H$2326,Use!$B165,TUDB!$F$8:$F$2326,Use!G$49)</f>
        <v>0</v>
      </c>
      <c r="H165" s="308">
        <f>COUNTIFS(TUDB!$H$8:$H$2326,Use!$B165,TUDB!$F$8:$F$2326,Use!H$49)</f>
        <v>1</v>
      </c>
      <c r="I165" s="308">
        <f>COUNTIFS(TUDB!$H$8:$H$2326,Use!$B165,TUDB!$F$8:$F$2326,Use!I$49)</f>
        <v>0</v>
      </c>
      <c r="J165" s="308">
        <f>COUNTIFS(TUDB!$H$8:$H$2326,Use!$B165,TUDB!$F$8:$F$2326,Use!J$49)</f>
        <v>0</v>
      </c>
      <c r="K165" s="307">
        <f t="shared" si="46"/>
        <v>0</v>
      </c>
      <c r="L165" s="307">
        <f>IF(AND(G165&gt;0,SUM($E165:F165)=0),1,0)</f>
        <v>0</v>
      </c>
      <c r="M165" s="307">
        <f>IF(AND(H165&gt;0,SUM($E165:G165)=0),1,0)</f>
        <v>1</v>
      </c>
      <c r="N165" s="307">
        <f>IF(AND(I165&gt;0,SUM($E165:H165)=0),1,0)</f>
        <v>0</v>
      </c>
      <c r="O165" s="307">
        <f>IF(AND(J165&gt;0,SUM($E165:I165)=0),1,0)</f>
        <v>0</v>
      </c>
      <c r="P165" s="312"/>
      <c r="Q165" s="312"/>
      <c r="Z165"/>
      <c r="AB165" s="1"/>
    </row>
    <row r="166" spans="2:28" x14ac:dyDescent="0.25">
      <c r="B166" s="303" t="str">
        <v>CXhiIjnaKUQwXlmZdziND741HVA2</v>
      </c>
      <c r="C166" s="303" t="s">
        <v>544</v>
      </c>
      <c r="D166" s="305">
        <f t="shared" si="40"/>
        <v>1</v>
      </c>
      <c r="E166" s="305">
        <f>COUNTIFS(TUDB!$H$8:$H$2326,Use!$B166,TUDB!$F$8:$F$2326,Use!E$49)</f>
        <v>0</v>
      </c>
      <c r="F166" s="305">
        <f>COUNTIFS(TUDB!$H$8:$H$2326,Use!$B166,TUDB!$F$8:$F$2326,Use!F$49)</f>
        <v>0</v>
      </c>
      <c r="G166" s="305">
        <f>COUNTIFS(TUDB!$H$8:$H$2326,Use!$B166,TUDB!$F$8:$F$2326,Use!G$49)</f>
        <v>0</v>
      </c>
      <c r="H166" s="305">
        <f>COUNTIFS(TUDB!$H$8:$H$2326,Use!$B166,TUDB!$F$8:$F$2326,Use!H$49)</f>
        <v>1</v>
      </c>
      <c r="I166" s="305">
        <f>COUNTIFS(TUDB!$H$8:$H$2326,Use!$B166,TUDB!$F$8:$F$2326,Use!I$49)</f>
        <v>0</v>
      </c>
      <c r="J166" s="305">
        <f>COUNTIFS(TUDB!$H$8:$H$2326,Use!$B166,TUDB!$F$8:$F$2326,Use!J$49)</f>
        <v>0</v>
      </c>
      <c r="K166" s="304">
        <f t="shared" si="46"/>
        <v>0</v>
      </c>
      <c r="L166" s="304">
        <f>IF(AND(G166&gt;0,SUM($E166:F166)=0),1,0)</f>
        <v>0</v>
      </c>
      <c r="M166" s="304">
        <f>IF(AND(H166&gt;0,SUM($E166:G166)=0),1,0)</f>
        <v>1</v>
      </c>
      <c r="N166" s="304">
        <f>IF(AND(I166&gt;0,SUM($E166:H166)=0),1,0)</f>
        <v>0</v>
      </c>
      <c r="O166" s="304">
        <f>IF(AND(J166&gt;0,SUM($E166:I166)=0),1,0)</f>
        <v>0</v>
      </c>
      <c r="P166" s="311"/>
      <c r="Q166" s="311"/>
      <c r="Z166"/>
      <c r="AB166" s="1"/>
    </row>
    <row r="167" spans="2:28" x14ac:dyDescent="0.25">
      <c r="B167" s="306" t="str">
        <v>s8edId9lg6ZV8gj3qg6ejm7GBUZ2</v>
      </c>
      <c r="C167" s="306" t="s">
        <v>4161</v>
      </c>
      <c r="D167" s="308">
        <f t="shared" si="40"/>
        <v>1</v>
      </c>
      <c r="E167" s="308">
        <f>COUNTIFS(TUDB!$H$8:$H$2326,Use!$B167,TUDB!$F$8:$F$2326,Use!E$49)</f>
        <v>0</v>
      </c>
      <c r="F167" s="308">
        <f>COUNTIFS(TUDB!$H$8:$H$2326,Use!$B167,TUDB!$F$8:$F$2326,Use!F$49)</f>
        <v>0</v>
      </c>
      <c r="G167" s="308">
        <f>COUNTIFS(TUDB!$H$8:$H$2326,Use!$B167,TUDB!$F$8:$F$2326,Use!G$49)</f>
        <v>0</v>
      </c>
      <c r="H167" s="308">
        <f>COUNTIFS(TUDB!$H$8:$H$2326,Use!$B167,TUDB!$F$8:$F$2326,Use!H$49)</f>
        <v>1</v>
      </c>
      <c r="I167" s="308">
        <f>COUNTIFS(TUDB!$H$8:$H$2326,Use!$B167,TUDB!$F$8:$F$2326,Use!I$49)</f>
        <v>0</v>
      </c>
      <c r="J167" s="308">
        <f>COUNTIFS(TUDB!$H$8:$H$2326,Use!$B167,TUDB!$F$8:$F$2326,Use!J$49)</f>
        <v>0</v>
      </c>
      <c r="K167" s="307">
        <f t="shared" si="46"/>
        <v>0</v>
      </c>
      <c r="L167" s="307">
        <f>IF(AND(G167&gt;0,SUM($E167:F167)=0),1,0)</f>
        <v>0</v>
      </c>
      <c r="M167" s="307">
        <f>IF(AND(H167&gt;0,SUM($E167:G167)=0),1,0)</f>
        <v>1</v>
      </c>
      <c r="N167" s="307">
        <f>IF(AND(I167&gt;0,SUM($E167:H167)=0),1,0)</f>
        <v>0</v>
      </c>
      <c r="O167" s="307">
        <f>IF(AND(J167&gt;0,SUM($E167:I167)=0),1,0)</f>
        <v>0</v>
      </c>
      <c r="P167" s="312"/>
      <c r="Q167" s="312"/>
      <c r="Z167"/>
      <c r="AB167" s="1"/>
    </row>
    <row r="168" spans="2:28" x14ac:dyDescent="0.25">
      <c r="B168" s="303" t="str">
        <v>Dv23oexwEeU2dZrYmoNxokC2lBQ2</v>
      </c>
      <c r="C168" s="303" t="s">
        <v>1344</v>
      </c>
      <c r="D168" s="305">
        <f t="shared" si="40"/>
        <v>4</v>
      </c>
      <c r="E168" s="305">
        <f>COUNTIFS(TUDB!$H$8:$H$2326,Use!$B168,TUDB!$F$8:$F$2326,Use!E$49)</f>
        <v>0</v>
      </c>
      <c r="F168" s="305">
        <f>COUNTIFS(TUDB!$H$8:$H$2326,Use!$B168,TUDB!$F$8:$F$2326,Use!F$49)</f>
        <v>0</v>
      </c>
      <c r="G168" s="305">
        <f>COUNTIFS(TUDB!$H$8:$H$2326,Use!$B168,TUDB!$F$8:$F$2326,Use!G$49)</f>
        <v>3</v>
      </c>
      <c r="H168" s="305">
        <f>COUNTIFS(TUDB!$H$8:$H$2326,Use!$B168,TUDB!$F$8:$F$2326,Use!H$49)</f>
        <v>1</v>
      </c>
      <c r="I168" s="305">
        <f>COUNTIFS(TUDB!$H$8:$H$2326,Use!$B168,TUDB!$F$8:$F$2326,Use!I$49)</f>
        <v>0</v>
      </c>
      <c r="J168" s="305">
        <f>COUNTIFS(TUDB!$H$8:$H$2326,Use!$B168,TUDB!$F$8:$F$2326,Use!J$49)</f>
        <v>0</v>
      </c>
      <c r="K168" s="304">
        <f t="shared" si="46"/>
        <v>0</v>
      </c>
      <c r="L168" s="304">
        <f>IF(AND(G168&gt;0,SUM($E168:F168)=0),1,0)</f>
        <v>1</v>
      </c>
      <c r="M168" s="304">
        <f>IF(AND(H168&gt;0,SUM($E168:G168)=0),1,0)</f>
        <v>0</v>
      </c>
      <c r="N168" s="304">
        <f>IF(AND(I168&gt;0,SUM($E168:H168)=0),1,0)</f>
        <v>0</v>
      </c>
      <c r="O168" s="304">
        <f>IF(AND(J168&gt;0,SUM($E168:I168)=0),1,0)</f>
        <v>0</v>
      </c>
      <c r="P168" s="311"/>
      <c r="Q168" s="311"/>
      <c r="Z168"/>
      <c r="AB168" s="1"/>
    </row>
    <row r="169" spans="2:28" x14ac:dyDescent="0.25">
      <c r="B169" s="306" t="str">
        <v>79D4QMcZb1SeulClPI33vBZYFLY2</v>
      </c>
      <c r="C169" s="306" t="s">
        <v>578</v>
      </c>
      <c r="D169" s="308">
        <f t="shared" si="40"/>
        <v>33</v>
      </c>
      <c r="E169" s="308">
        <f>COUNTIFS(TUDB!$H$8:$H$2326,Use!$B169,TUDB!$F$8:$F$2326,Use!E$49)</f>
        <v>0</v>
      </c>
      <c r="F169" s="308">
        <f>COUNTIFS(TUDB!$H$8:$H$2326,Use!$B169,TUDB!$F$8:$F$2326,Use!F$49)</f>
        <v>15</v>
      </c>
      <c r="G169" s="308">
        <f>COUNTIFS(TUDB!$H$8:$H$2326,Use!$B169,TUDB!$F$8:$F$2326,Use!G$49)</f>
        <v>18</v>
      </c>
      <c r="H169" s="308">
        <f>COUNTIFS(TUDB!$H$8:$H$2326,Use!$B169,TUDB!$F$8:$F$2326,Use!H$49)</f>
        <v>0</v>
      </c>
      <c r="I169" s="308">
        <f>COUNTIFS(TUDB!$H$8:$H$2326,Use!$B169,TUDB!$F$8:$F$2326,Use!I$49)</f>
        <v>0</v>
      </c>
      <c r="J169" s="308">
        <f>COUNTIFS(TUDB!$H$8:$H$2326,Use!$B169,TUDB!$F$8:$F$2326,Use!J$49)</f>
        <v>0</v>
      </c>
      <c r="K169" s="307">
        <f t="shared" si="46"/>
        <v>1</v>
      </c>
      <c r="L169" s="307">
        <f>IF(AND(G169&gt;0,SUM($E169:F169)=0),1,0)</f>
        <v>0</v>
      </c>
      <c r="M169" s="307">
        <f>IF(AND(H169&gt;0,SUM($E169:G169)=0),1,0)</f>
        <v>0</v>
      </c>
      <c r="N169" s="307">
        <f>IF(AND(I169&gt;0,SUM($E169:H169)=0),1,0)</f>
        <v>0</v>
      </c>
      <c r="O169" s="307">
        <f>IF(AND(J169&gt;0,SUM($E169:I169)=0),1,0)</f>
        <v>0</v>
      </c>
      <c r="P169" s="312"/>
      <c r="Q169" s="312"/>
      <c r="Z169"/>
      <c r="AB169" s="1"/>
    </row>
    <row r="170" spans="2:28" x14ac:dyDescent="0.25">
      <c r="B170" s="303" t="str">
        <v>dU479eSpCyVTUJTD4yrbsIrDJyi1</v>
      </c>
      <c r="C170" s="303" t="s">
        <v>544</v>
      </c>
      <c r="D170" s="305">
        <f t="shared" si="40"/>
        <v>3</v>
      </c>
      <c r="E170" s="305">
        <f>COUNTIFS(TUDB!$H$8:$H$2326,Use!$B170,TUDB!$F$8:$F$2326,Use!E$49)</f>
        <v>0</v>
      </c>
      <c r="F170" s="305">
        <f>COUNTIFS(TUDB!$H$8:$H$2326,Use!$B170,TUDB!$F$8:$F$2326,Use!F$49)</f>
        <v>0</v>
      </c>
      <c r="G170" s="305">
        <f>COUNTIFS(TUDB!$H$8:$H$2326,Use!$B170,TUDB!$F$8:$F$2326,Use!G$49)</f>
        <v>3</v>
      </c>
      <c r="H170" s="305">
        <f>COUNTIFS(TUDB!$H$8:$H$2326,Use!$B170,TUDB!$F$8:$F$2326,Use!H$49)</f>
        <v>0</v>
      </c>
      <c r="I170" s="305">
        <f>COUNTIFS(TUDB!$H$8:$H$2326,Use!$B170,TUDB!$F$8:$F$2326,Use!I$49)</f>
        <v>0</v>
      </c>
      <c r="J170" s="305">
        <f>COUNTIFS(TUDB!$H$8:$H$2326,Use!$B170,TUDB!$F$8:$F$2326,Use!J$49)</f>
        <v>0</v>
      </c>
      <c r="K170" s="304">
        <f t="shared" si="46"/>
        <v>0</v>
      </c>
      <c r="L170" s="304">
        <f>IF(AND(G170&gt;0,SUM($E170:F170)=0),1,0)</f>
        <v>1</v>
      </c>
      <c r="M170" s="304">
        <f>IF(AND(H170&gt;0,SUM($E170:G170)=0),1,0)</f>
        <v>0</v>
      </c>
      <c r="N170" s="304">
        <f>IF(AND(I170&gt;0,SUM($E170:H170)=0),1,0)</f>
        <v>0</v>
      </c>
      <c r="O170" s="304">
        <f>IF(AND(J170&gt;0,SUM($E170:I170)=0),1,0)</f>
        <v>0</v>
      </c>
      <c r="P170" s="311"/>
      <c r="Q170" s="311"/>
      <c r="Z170"/>
      <c r="AB170" s="1"/>
    </row>
    <row r="171" spans="2:28" x14ac:dyDescent="0.25">
      <c r="B171" s="306" t="str">
        <v>n91xZFUxmVPxNFZPd6hBai7YMWy1</v>
      </c>
      <c r="C171" s="306" t="s">
        <v>4161</v>
      </c>
      <c r="D171" s="308">
        <f t="shared" si="40"/>
        <v>5</v>
      </c>
      <c r="E171" s="308">
        <f>COUNTIFS(TUDB!$H$8:$H$2326,Use!$B171,TUDB!$F$8:$F$2326,Use!E$49)</f>
        <v>0</v>
      </c>
      <c r="F171" s="308">
        <f>COUNTIFS(TUDB!$H$8:$H$2326,Use!$B171,TUDB!$F$8:$F$2326,Use!F$49)</f>
        <v>0</v>
      </c>
      <c r="G171" s="308">
        <f>COUNTIFS(TUDB!$H$8:$H$2326,Use!$B171,TUDB!$F$8:$F$2326,Use!G$49)</f>
        <v>5</v>
      </c>
      <c r="H171" s="308">
        <f>COUNTIFS(TUDB!$H$8:$H$2326,Use!$B171,TUDB!$F$8:$F$2326,Use!H$49)</f>
        <v>0</v>
      </c>
      <c r="I171" s="308">
        <f>COUNTIFS(TUDB!$H$8:$H$2326,Use!$B171,TUDB!$F$8:$F$2326,Use!I$49)</f>
        <v>0</v>
      </c>
      <c r="J171" s="308">
        <f>COUNTIFS(TUDB!$H$8:$H$2326,Use!$B171,TUDB!$F$8:$F$2326,Use!J$49)</f>
        <v>0</v>
      </c>
      <c r="K171" s="307">
        <f t="shared" si="46"/>
        <v>0</v>
      </c>
      <c r="L171" s="307">
        <f>IF(AND(G171&gt;0,SUM($E171:F171)=0),1,0)</f>
        <v>1</v>
      </c>
      <c r="M171" s="307">
        <f>IF(AND(H171&gt;0,SUM($E171:G171)=0),1,0)</f>
        <v>0</v>
      </c>
      <c r="N171" s="307">
        <f>IF(AND(I171&gt;0,SUM($E171:H171)=0),1,0)</f>
        <v>0</v>
      </c>
      <c r="O171" s="307">
        <f>IF(AND(J171&gt;0,SUM($E171:I171)=0),1,0)</f>
        <v>0</v>
      </c>
      <c r="P171" s="312"/>
      <c r="Q171" s="312"/>
      <c r="Z171"/>
      <c r="AB171" s="1"/>
    </row>
    <row r="172" spans="2:28" x14ac:dyDescent="0.25">
      <c r="B172" s="303" t="str">
        <v>02AAKekyGtT6Kuu6m0tQhSFD2XM2</v>
      </c>
      <c r="C172" s="303" t="s">
        <v>5969</v>
      </c>
      <c r="D172" s="305">
        <f t="shared" si="40"/>
        <v>6</v>
      </c>
      <c r="E172" s="305">
        <f>COUNTIFS(TUDB!$H$8:$H$2326,Use!$B172,TUDB!$F$8:$F$2326,Use!E$49)</f>
        <v>0</v>
      </c>
      <c r="F172" s="305">
        <f>COUNTIFS(TUDB!$H$8:$H$2326,Use!$B172,TUDB!$F$8:$F$2326,Use!F$49)</f>
        <v>0</v>
      </c>
      <c r="G172" s="305">
        <f>COUNTIFS(TUDB!$H$8:$H$2326,Use!$B172,TUDB!$F$8:$F$2326,Use!G$49)</f>
        <v>6</v>
      </c>
      <c r="H172" s="305">
        <f>COUNTIFS(TUDB!$H$8:$H$2326,Use!$B172,TUDB!$F$8:$F$2326,Use!H$49)</f>
        <v>0</v>
      </c>
      <c r="I172" s="305">
        <f>COUNTIFS(TUDB!$H$8:$H$2326,Use!$B172,TUDB!$F$8:$F$2326,Use!I$49)</f>
        <v>0</v>
      </c>
      <c r="J172" s="305">
        <f>COUNTIFS(TUDB!$H$8:$H$2326,Use!$B172,TUDB!$F$8:$F$2326,Use!J$49)</f>
        <v>0</v>
      </c>
      <c r="K172" s="304">
        <f t="shared" si="46"/>
        <v>0</v>
      </c>
      <c r="L172" s="304">
        <f>IF(AND(G172&gt;0,SUM($E172:F172)=0),1,0)</f>
        <v>1</v>
      </c>
      <c r="M172" s="304">
        <f>IF(AND(H172&gt;0,SUM($E172:G172)=0),1,0)</f>
        <v>0</v>
      </c>
      <c r="N172" s="304">
        <f>IF(AND(I172&gt;0,SUM($E172:H172)=0),1,0)</f>
        <v>0</v>
      </c>
      <c r="O172" s="304">
        <f>IF(AND(J172&gt;0,SUM($E172:I172)=0),1,0)</f>
        <v>0</v>
      </c>
      <c r="P172" s="311"/>
      <c r="Q172" s="311"/>
      <c r="Z172"/>
      <c r="AB172" s="1"/>
    </row>
    <row r="173" spans="2:28" x14ac:dyDescent="0.25">
      <c r="B173" s="306" t="str">
        <v>a61SOYPc3eOGfrAJu30rsKXhQUA3</v>
      </c>
      <c r="C173" s="306" t="s">
        <v>578</v>
      </c>
      <c r="D173" s="308">
        <f t="shared" si="40"/>
        <v>8</v>
      </c>
      <c r="E173" s="308">
        <f>COUNTIFS(TUDB!$H$8:$H$2326,Use!$B173,TUDB!$F$8:$F$2326,Use!E$49)</f>
        <v>0</v>
      </c>
      <c r="F173" s="308">
        <f>COUNTIFS(TUDB!$H$8:$H$2326,Use!$B173,TUDB!$F$8:$F$2326,Use!F$49)</f>
        <v>4</v>
      </c>
      <c r="G173" s="308">
        <f>COUNTIFS(TUDB!$H$8:$H$2326,Use!$B173,TUDB!$F$8:$F$2326,Use!G$49)</f>
        <v>4</v>
      </c>
      <c r="H173" s="308">
        <f>COUNTIFS(TUDB!$H$8:$H$2326,Use!$B173,TUDB!$F$8:$F$2326,Use!H$49)</f>
        <v>0</v>
      </c>
      <c r="I173" s="308">
        <f>COUNTIFS(TUDB!$H$8:$H$2326,Use!$B173,TUDB!$F$8:$F$2326,Use!I$49)</f>
        <v>0</v>
      </c>
      <c r="J173" s="308">
        <f>COUNTIFS(TUDB!$H$8:$H$2326,Use!$B173,TUDB!$F$8:$F$2326,Use!J$49)</f>
        <v>0</v>
      </c>
      <c r="K173" s="307">
        <f t="shared" si="46"/>
        <v>1</v>
      </c>
      <c r="L173" s="307">
        <f>IF(AND(G173&gt;0,SUM($E173:F173)=0),1,0)</f>
        <v>0</v>
      </c>
      <c r="M173" s="307">
        <f>IF(AND(H173&gt;0,SUM($E173:G173)=0),1,0)</f>
        <v>0</v>
      </c>
      <c r="N173" s="307">
        <f>IF(AND(I173&gt;0,SUM($E173:H173)=0),1,0)</f>
        <v>0</v>
      </c>
      <c r="O173" s="307">
        <f>IF(AND(J173&gt;0,SUM($E173:I173)=0),1,0)</f>
        <v>0</v>
      </c>
      <c r="P173" s="312"/>
      <c r="Q173" s="312"/>
      <c r="Z173"/>
      <c r="AB173" s="1"/>
    </row>
    <row r="174" spans="2:28" x14ac:dyDescent="0.25">
      <c r="B174" s="303" t="str">
        <v>Dn2W1Yjytgb3Z84Zvr69llQjrr63</v>
      </c>
      <c r="C174" s="303" t="s">
        <v>2342</v>
      </c>
      <c r="D174" s="305">
        <f t="shared" si="40"/>
        <v>7</v>
      </c>
      <c r="E174" s="305">
        <f>COUNTIFS(TUDB!$H$8:$H$2326,Use!$B174,TUDB!$F$8:$F$2326,Use!E$49)</f>
        <v>0</v>
      </c>
      <c r="F174" s="305">
        <f>COUNTIFS(TUDB!$H$8:$H$2326,Use!$B174,TUDB!$F$8:$F$2326,Use!F$49)</f>
        <v>0</v>
      </c>
      <c r="G174" s="305">
        <f>COUNTIFS(TUDB!$H$8:$H$2326,Use!$B174,TUDB!$F$8:$F$2326,Use!G$49)</f>
        <v>7</v>
      </c>
      <c r="H174" s="305">
        <f>COUNTIFS(TUDB!$H$8:$H$2326,Use!$B174,TUDB!$F$8:$F$2326,Use!H$49)</f>
        <v>0</v>
      </c>
      <c r="I174" s="305">
        <f>COUNTIFS(TUDB!$H$8:$H$2326,Use!$B174,TUDB!$F$8:$F$2326,Use!I$49)</f>
        <v>0</v>
      </c>
      <c r="J174" s="305">
        <f>COUNTIFS(TUDB!$H$8:$H$2326,Use!$B174,TUDB!$F$8:$F$2326,Use!J$49)</f>
        <v>0</v>
      </c>
      <c r="K174" s="304">
        <f t="shared" si="46"/>
        <v>0</v>
      </c>
      <c r="L174" s="304">
        <f>IF(AND(G174&gt;0,SUM($E174:F174)=0),1,0)</f>
        <v>1</v>
      </c>
      <c r="M174" s="304">
        <f>IF(AND(H174&gt;0,SUM($E174:G174)=0),1,0)</f>
        <v>0</v>
      </c>
      <c r="N174" s="304">
        <f>IF(AND(I174&gt;0,SUM($E174:H174)=0),1,0)</f>
        <v>0</v>
      </c>
      <c r="O174" s="304">
        <f>IF(AND(J174&gt;0,SUM($E174:I174)=0),1,0)</f>
        <v>0</v>
      </c>
      <c r="P174" s="311"/>
      <c r="Q174" s="311"/>
      <c r="Z174"/>
      <c r="AB174" s="1"/>
    </row>
    <row r="175" spans="2:28" x14ac:dyDescent="0.25">
      <c r="B175" s="306" t="str">
        <v>dPJWc9NSyvcS4bE9QNTGsbfuzL23</v>
      </c>
      <c r="C175" s="306" t="s">
        <v>578</v>
      </c>
      <c r="D175" s="308">
        <f t="shared" si="40"/>
        <v>1</v>
      </c>
      <c r="E175" s="308">
        <f>COUNTIFS(TUDB!$H$8:$H$2326,Use!$B175,TUDB!$F$8:$F$2326,Use!E$49)</f>
        <v>0</v>
      </c>
      <c r="F175" s="308">
        <f>COUNTIFS(TUDB!$H$8:$H$2326,Use!$B175,TUDB!$F$8:$F$2326,Use!F$49)</f>
        <v>0</v>
      </c>
      <c r="G175" s="308">
        <f>COUNTIFS(TUDB!$H$8:$H$2326,Use!$B175,TUDB!$F$8:$F$2326,Use!G$49)</f>
        <v>1</v>
      </c>
      <c r="H175" s="308">
        <f>COUNTIFS(TUDB!$H$8:$H$2326,Use!$B175,TUDB!$F$8:$F$2326,Use!H$49)</f>
        <v>0</v>
      </c>
      <c r="I175" s="308">
        <f>COUNTIFS(TUDB!$H$8:$H$2326,Use!$B175,TUDB!$F$8:$F$2326,Use!I$49)</f>
        <v>0</v>
      </c>
      <c r="J175" s="308">
        <f>COUNTIFS(TUDB!$H$8:$H$2326,Use!$B175,TUDB!$F$8:$F$2326,Use!J$49)</f>
        <v>0</v>
      </c>
      <c r="K175" s="307">
        <f t="shared" si="46"/>
        <v>0</v>
      </c>
      <c r="L175" s="307">
        <f>IF(AND(G175&gt;0,SUM($E175:F175)=0),1,0)</f>
        <v>1</v>
      </c>
      <c r="M175" s="307">
        <f>IF(AND(H175&gt;0,SUM($E175:G175)=0),1,0)</f>
        <v>0</v>
      </c>
      <c r="N175" s="307">
        <f>IF(AND(I175&gt;0,SUM($E175:H175)=0),1,0)</f>
        <v>0</v>
      </c>
      <c r="O175" s="307">
        <f>IF(AND(J175&gt;0,SUM($E175:I175)=0),1,0)</f>
        <v>0</v>
      </c>
      <c r="P175" s="312"/>
      <c r="Q175" s="312"/>
      <c r="Z175"/>
      <c r="AB175" s="1"/>
    </row>
    <row r="176" spans="2:28" x14ac:dyDescent="0.25">
      <c r="B176" s="303" t="str">
        <v>9W5BSNKuZHOcTrxqXGkRQxxsPVy1</v>
      </c>
      <c r="C176" s="303" t="s">
        <v>4161</v>
      </c>
      <c r="D176" s="305">
        <f t="shared" si="40"/>
        <v>3</v>
      </c>
      <c r="E176" s="305">
        <f>COUNTIFS(TUDB!$H$8:$H$2326,Use!$B176,TUDB!$F$8:$F$2326,Use!E$49)</f>
        <v>0</v>
      </c>
      <c r="F176" s="305">
        <f>COUNTIFS(TUDB!$H$8:$H$2326,Use!$B176,TUDB!$F$8:$F$2326,Use!F$49)</f>
        <v>0</v>
      </c>
      <c r="G176" s="305">
        <f>COUNTIFS(TUDB!$H$8:$H$2326,Use!$B176,TUDB!$F$8:$F$2326,Use!G$49)</f>
        <v>3</v>
      </c>
      <c r="H176" s="305">
        <f>COUNTIFS(TUDB!$H$8:$H$2326,Use!$B176,TUDB!$F$8:$F$2326,Use!H$49)</f>
        <v>0</v>
      </c>
      <c r="I176" s="305">
        <f>COUNTIFS(TUDB!$H$8:$H$2326,Use!$B176,TUDB!$F$8:$F$2326,Use!I$49)</f>
        <v>0</v>
      </c>
      <c r="J176" s="305">
        <f>COUNTIFS(TUDB!$H$8:$H$2326,Use!$B176,TUDB!$F$8:$F$2326,Use!J$49)</f>
        <v>0</v>
      </c>
      <c r="K176" s="304">
        <f t="shared" si="46"/>
        <v>0</v>
      </c>
      <c r="L176" s="304">
        <f>IF(AND(G176&gt;0,SUM($E176:F176)=0),1,0)</f>
        <v>1</v>
      </c>
      <c r="M176" s="304">
        <f>IF(AND(H176&gt;0,SUM($E176:G176)=0),1,0)</f>
        <v>0</v>
      </c>
      <c r="N176" s="304">
        <f>IF(AND(I176&gt;0,SUM($E176:H176)=0),1,0)</f>
        <v>0</v>
      </c>
      <c r="O176" s="304">
        <f>IF(AND(J176&gt;0,SUM($E176:I176)=0),1,0)</f>
        <v>0</v>
      </c>
      <c r="P176" s="311"/>
      <c r="Q176" s="311"/>
      <c r="Z176"/>
      <c r="AB176" s="1"/>
    </row>
    <row r="177" spans="2:28" x14ac:dyDescent="0.25">
      <c r="B177" s="306" t="str">
        <v>1EGgnWfh2qRbpNTG5LFnBsUH5Z43</v>
      </c>
      <c r="C177" s="306" t="s">
        <v>4161</v>
      </c>
      <c r="D177" s="308">
        <f t="shared" si="40"/>
        <v>18</v>
      </c>
      <c r="E177" s="308">
        <f>COUNTIFS(TUDB!$H$8:$H$2326,Use!$B177,TUDB!$F$8:$F$2326,Use!E$49)</f>
        <v>0</v>
      </c>
      <c r="F177" s="308">
        <f>COUNTIFS(TUDB!$H$8:$H$2326,Use!$B177,TUDB!$F$8:$F$2326,Use!F$49)</f>
        <v>4</v>
      </c>
      <c r="G177" s="308">
        <f>COUNTIFS(TUDB!$H$8:$H$2326,Use!$B177,TUDB!$F$8:$F$2326,Use!G$49)</f>
        <v>14</v>
      </c>
      <c r="H177" s="308">
        <f>COUNTIFS(TUDB!$H$8:$H$2326,Use!$B177,TUDB!$F$8:$F$2326,Use!H$49)</f>
        <v>0</v>
      </c>
      <c r="I177" s="308">
        <f>COUNTIFS(TUDB!$H$8:$H$2326,Use!$B177,TUDB!$F$8:$F$2326,Use!I$49)</f>
        <v>0</v>
      </c>
      <c r="J177" s="308">
        <f>COUNTIFS(TUDB!$H$8:$H$2326,Use!$B177,TUDB!$F$8:$F$2326,Use!J$49)</f>
        <v>0</v>
      </c>
      <c r="K177" s="307">
        <f t="shared" si="46"/>
        <v>1</v>
      </c>
      <c r="L177" s="307">
        <f>IF(AND(G177&gt;0,SUM($E177:F177)=0),1,0)</f>
        <v>0</v>
      </c>
      <c r="M177" s="307">
        <f>IF(AND(H177&gt;0,SUM($E177:G177)=0),1,0)</f>
        <v>0</v>
      </c>
      <c r="N177" s="307">
        <f>IF(AND(I177&gt;0,SUM($E177:H177)=0),1,0)</f>
        <v>0</v>
      </c>
      <c r="O177" s="307">
        <f>IF(AND(J177&gt;0,SUM($E177:I177)=0),1,0)</f>
        <v>0</v>
      </c>
      <c r="P177" s="312"/>
      <c r="Q177" s="312"/>
      <c r="Z177"/>
      <c r="AB177" s="1"/>
    </row>
    <row r="178" spans="2:28" x14ac:dyDescent="0.25">
      <c r="B178" s="303" t="str">
        <v>j4FVV2Cn5RPcgsXQGA6cEZ6g0Vk2</v>
      </c>
      <c r="C178" s="303" t="s">
        <v>544</v>
      </c>
      <c r="D178" s="305">
        <f t="shared" si="40"/>
        <v>4</v>
      </c>
      <c r="E178" s="305">
        <f>COUNTIFS(TUDB!$H$8:$H$2326,Use!$B178,TUDB!$F$8:$F$2326,Use!E$49)</f>
        <v>0</v>
      </c>
      <c r="F178" s="305">
        <f>COUNTIFS(TUDB!$H$8:$H$2326,Use!$B178,TUDB!$F$8:$F$2326,Use!F$49)</f>
        <v>0</v>
      </c>
      <c r="G178" s="305">
        <f>COUNTIFS(TUDB!$H$8:$H$2326,Use!$B178,TUDB!$F$8:$F$2326,Use!G$49)</f>
        <v>4</v>
      </c>
      <c r="H178" s="305">
        <f>COUNTIFS(TUDB!$H$8:$H$2326,Use!$B178,TUDB!$F$8:$F$2326,Use!H$49)</f>
        <v>0</v>
      </c>
      <c r="I178" s="305">
        <f>COUNTIFS(TUDB!$H$8:$H$2326,Use!$B178,TUDB!$F$8:$F$2326,Use!I$49)</f>
        <v>0</v>
      </c>
      <c r="J178" s="305">
        <f>COUNTIFS(TUDB!$H$8:$H$2326,Use!$B178,TUDB!$F$8:$F$2326,Use!J$49)</f>
        <v>0</v>
      </c>
      <c r="K178" s="304">
        <f t="shared" si="46"/>
        <v>0</v>
      </c>
      <c r="L178" s="304">
        <f>IF(AND(G178&gt;0,SUM($E178:F178)=0),1,0)</f>
        <v>1</v>
      </c>
      <c r="M178" s="304">
        <f>IF(AND(H178&gt;0,SUM($E178:G178)=0),1,0)</f>
        <v>0</v>
      </c>
      <c r="N178" s="304">
        <f>IF(AND(I178&gt;0,SUM($E178:H178)=0),1,0)</f>
        <v>0</v>
      </c>
      <c r="O178" s="304">
        <f>IF(AND(J178&gt;0,SUM($E178:I178)=0),1,0)</f>
        <v>0</v>
      </c>
      <c r="P178" s="311"/>
      <c r="Q178" s="311"/>
      <c r="Z178"/>
      <c r="AB178" s="1"/>
    </row>
    <row r="179" spans="2:28" x14ac:dyDescent="0.25">
      <c r="B179" s="306" t="str">
        <v>OnQxi2VoMPY5EZMXmvNCgpa39dS2</v>
      </c>
      <c r="C179" s="306" t="s">
        <v>1339</v>
      </c>
      <c r="D179" s="308">
        <f t="shared" ref="D179:D223" si="47">SUM(E179:J179)</f>
        <v>11</v>
      </c>
      <c r="E179" s="308">
        <f>COUNTIFS(TUDB!$H$8:$H$2326,Use!$B179,TUDB!$F$8:$F$2326,Use!E$49)</f>
        <v>0</v>
      </c>
      <c r="F179" s="308">
        <f>COUNTIFS(TUDB!$H$8:$H$2326,Use!$B179,TUDB!$F$8:$F$2326,Use!F$49)</f>
        <v>0</v>
      </c>
      <c r="G179" s="308">
        <f>COUNTIFS(TUDB!$H$8:$H$2326,Use!$B179,TUDB!$F$8:$F$2326,Use!G$49)</f>
        <v>11</v>
      </c>
      <c r="H179" s="308">
        <f>COUNTIFS(TUDB!$H$8:$H$2326,Use!$B179,TUDB!$F$8:$F$2326,Use!H$49)</f>
        <v>0</v>
      </c>
      <c r="I179" s="308">
        <f>COUNTIFS(TUDB!$H$8:$H$2326,Use!$B179,TUDB!$F$8:$F$2326,Use!I$49)</f>
        <v>0</v>
      </c>
      <c r="J179" s="308">
        <f>COUNTIFS(TUDB!$H$8:$H$2326,Use!$B179,TUDB!$F$8:$F$2326,Use!J$49)</f>
        <v>0</v>
      </c>
      <c r="K179" s="307">
        <f t="shared" si="46"/>
        <v>0</v>
      </c>
      <c r="L179" s="307">
        <f>IF(AND(G179&gt;0,SUM($E179:F179)=0),1,0)</f>
        <v>1</v>
      </c>
      <c r="M179" s="307">
        <f>IF(AND(H179&gt;0,SUM($E179:G179)=0),1,0)</f>
        <v>0</v>
      </c>
      <c r="N179" s="307">
        <f>IF(AND(I179&gt;0,SUM($E179:H179)=0),1,0)</f>
        <v>0</v>
      </c>
      <c r="O179" s="307">
        <f>IF(AND(J179&gt;0,SUM($E179:I179)=0),1,0)</f>
        <v>0</v>
      </c>
      <c r="P179" s="312"/>
      <c r="Q179" s="312"/>
      <c r="Z179"/>
      <c r="AB179" s="1"/>
    </row>
    <row r="180" spans="2:28" x14ac:dyDescent="0.25">
      <c r="B180" s="303" t="str">
        <v>F2KCfcDlmPU6IsvVOPR2BgMVHc32</v>
      </c>
      <c r="C180" s="303" t="s">
        <v>1342</v>
      </c>
      <c r="D180" s="305">
        <f t="shared" si="47"/>
        <v>8</v>
      </c>
      <c r="E180" s="305">
        <f>COUNTIFS(TUDB!$H$8:$H$2326,Use!$B180,TUDB!$F$8:$F$2326,Use!E$49)</f>
        <v>0</v>
      </c>
      <c r="F180" s="305">
        <f>COUNTIFS(TUDB!$H$8:$H$2326,Use!$B180,TUDB!$F$8:$F$2326,Use!F$49)</f>
        <v>0</v>
      </c>
      <c r="G180" s="305">
        <f>COUNTIFS(TUDB!$H$8:$H$2326,Use!$B180,TUDB!$F$8:$F$2326,Use!G$49)</f>
        <v>8</v>
      </c>
      <c r="H180" s="305">
        <f>COUNTIFS(TUDB!$H$8:$H$2326,Use!$B180,TUDB!$F$8:$F$2326,Use!H$49)</f>
        <v>0</v>
      </c>
      <c r="I180" s="305">
        <f>COUNTIFS(TUDB!$H$8:$H$2326,Use!$B180,TUDB!$F$8:$F$2326,Use!I$49)</f>
        <v>0</v>
      </c>
      <c r="J180" s="305">
        <f>COUNTIFS(TUDB!$H$8:$H$2326,Use!$B180,TUDB!$F$8:$F$2326,Use!J$49)</f>
        <v>0</v>
      </c>
      <c r="K180" s="304">
        <f t="shared" si="46"/>
        <v>0</v>
      </c>
      <c r="L180" s="304">
        <f>IF(AND(G180&gt;0,SUM($E180:F180)=0),1,0)</f>
        <v>1</v>
      </c>
      <c r="M180" s="304">
        <f>IF(AND(H180&gt;0,SUM($E180:G180)=0),1,0)</f>
        <v>0</v>
      </c>
      <c r="N180" s="304">
        <f>IF(AND(I180&gt;0,SUM($E180:H180)=0),1,0)</f>
        <v>0</v>
      </c>
      <c r="O180" s="304">
        <f>IF(AND(J180&gt;0,SUM($E180:I180)=0),1,0)</f>
        <v>0</v>
      </c>
      <c r="P180" s="311"/>
      <c r="Q180" s="311"/>
      <c r="Z180"/>
      <c r="AB180" s="1"/>
    </row>
    <row r="181" spans="2:28" x14ac:dyDescent="0.25">
      <c r="B181" s="306" t="str">
        <v>r5sO3h7bL7STNrd2WKxA3k9pKv03</v>
      </c>
      <c r="C181" s="306" t="s">
        <v>4161</v>
      </c>
      <c r="D181" s="308">
        <f t="shared" si="47"/>
        <v>3</v>
      </c>
      <c r="E181" s="308">
        <f>COUNTIFS(TUDB!$H$8:$H$2326,Use!$B181,TUDB!$F$8:$F$2326,Use!E$49)</f>
        <v>0</v>
      </c>
      <c r="F181" s="308">
        <f>COUNTIFS(TUDB!$H$8:$H$2326,Use!$B181,TUDB!$F$8:$F$2326,Use!F$49)</f>
        <v>0</v>
      </c>
      <c r="G181" s="308">
        <f>COUNTIFS(TUDB!$H$8:$H$2326,Use!$B181,TUDB!$F$8:$F$2326,Use!G$49)</f>
        <v>3</v>
      </c>
      <c r="H181" s="308">
        <f>COUNTIFS(TUDB!$H$8:$H$2326,Use!$B181,TUDB!$F$8:$F$2326,Use!H$49)</f>
        <v>0</v>
      </c>
      <c r="I181" s="308">
        <f>COUNTIFS(TUDB!$H$8:$H$2326,Use!$B181,TUDB!$F$8:$F$2326,Use!I$49)</f>
        <v>0</v>
      </c>
      <c r="J181" s="308">
        <f>COUNTIFS(TUDB!$H$8:$H$2326,Use!$B181,TUDB!$F$8:$F$2326,Use!J$49)</f>
        <v>0</v>
      </c>
      <c r="K181" s="307">
        <f t="shared" si="46"/>
        <v>0</v>
      </c>
      <c r="L181" s="307">
        <f>IF(AND(G181&gt;0,SUM($E181:F181)=0),1,0)</f>
        <v>1</v>
      </c>
      <c r="M181" s="307">
        <f>IF(AND(H181&gt;0,SUM($E181:G181)=0),1,0)</f>
        <v>0</v>
      </c>
      <c r="N181" s="307">
        <f>IF(AND(I181&gt;0,SUM($E181:H181)=0),1,0)</f>
        <v>0</v>
      </c>
      <c r="O181" s="307">
        <f>IF(AND(J181&gt;0,SUM($E181:I181)=0),1,0)</f>
        <v>0</v>
      </c>
      <c r="P181" s="312"/>
      <c r="Q181" s="312"/>
      <c r="Z181"/>
      <c r="AB181" s="1"/>
    </row>
    <row r="182" spans="2:28" x14ac:dyDescent="0.25">
      <c r="B182" s="303" t="str">
        <v>yzMNw9t0vSgiYvaAETWMJXNRTyC3</v>
      </c>
      <c r="C182" s="303" t="s">
        <v>1339</v>
      </c>
      <c r="D182" s="305">
        <f t="shared" si="47"/>
        <v>3</v>
      </c>
      <c r="E182" s="305">
        <f>COUNTIFS(TUDB!$H$8:$H$2326,Use!$B182,TUDB!$F$8:$F$2326,Use!E$49)</f>
        <v>0</v>
      </c>
      <c r="F182" s="305">
        <f>COUNTIFS(TUDB!$H$8:$H$2326,Use!$B182,TUDB!$F$8:$F$2326,Use!F$49)</f>
        <v>0</v>
      </c>
      <c r="G182" s="305">
        <f>COUNTIFS(TUDB!$H$8:$H$2326,Use!$B182,TUDB!$F$8:$F$2326,Use!G$49)</f>
        <v>3</v>
      </c>
      <c r="H182" s="305">
        <f>COUNTIFS(TUDB!$H$8:$H$2326,Use!$B182,TUDB!$F$8:$F$2326,Use!H$49)</f>
        <v>0</v>
      </c>
      <c r="I182" s="305">
        <f>COUNTIFS(TUDB!$H$8:$H$2326,Use!$B182,TUDB!$F$8:$F$2326,Use!I$49)</f>
        <v>0</v>
      </c>
      <c r="J182" s="305">
        <f>COUNTIFS(TUDB!$H$8:$H$2326,Use!$B182,TUDB!$F$8:$F$2326,Use!J$49)</f>
        <v>0</v>
      </c>
      <c r="K182" s="304">
        <f t="shared" si="46"/>
        <v>0</v>
      </c>
      <c r="L182" s="304">
        <f>IF(AND(G182&gt;0,SUM($E182:F182)=0),1,0)</f>
        <v>1</v>
      </c>
      <c r="M182" s="304">
        <f>IF(AND(H182&gt;0,SUM($E182:G182)=0),1,0)</f>
        <v>0</v>
      </c>
      <c r="N182" s="304">
        <f>IF(AND(I182&gt;0,SUM($E182:H182)=0),1,0)</f>
        <v>0</v>
      </c>
      <c r="O182" s="304">
        <f>IF(AND(J182&gt;0,SUM($E182:I182)=0),1,0)</f>
        <v>0</v>
      </c>
      <c r="P182" s="311"/>
      <c r="Q182" s="311"/>
      <c r="Z182"/>
      <c r="AB182" s="1"/>
    </row>
    <row r="183" spans="2:28" x14ac:dyDescent="0.25">
      <c r="B183" s="306" t="str">
        <v>ZL2DLndmAQQRpHe8BYu3GQtS33w1</v>
      </c>
      <c r="C183" s="306" t="s">
        <v>578</v>
      </c>
      <c r="D183" s="308">
        <f t="shared" si="47"/>
        <v>18</v>
      </c>
      <c r="E183" s="308">
        <f>COUNTIFS(TUDB!$H$8:$H$2326,Use!$B183,TUDB!$F$8:$F$2326,Use!E$49)</f>
        <v>0</v>
      </c>
      <c r="F183" s="308">
        <f>COUNTIFS(TUDB!$H$8:$H$2326,Use!$B183,TUDB!$F$8:$F$2326,Use!F$49)</f>
        <v>12</v>
      </c>
      <c r="G183" s="308">
        <f>COUNTIFS(TUDB!$H$8:$H$2326,Use!$B183,TUDB!$F$8:$F$2326,Use!G$49)</f>
        <v>6</v>
      </c>
      <c r="H183" s="308">
        <f>COUNTIFS(TUDB!$H$8:$H$2326,Use!$B183,TUDB!$F$8:$F$2326,Use!H$49)</f>
        <v>0</v>
      </c>
      <c r="I183" s="308">
        <f>COUNTIFS(TUDB!$H$8:$H$2326,Use!$B183,TUDB!$F$8:$F$2326,Use!I$49)</f>
        <v>0</v>
      </c>
      <c r="J183" s="308">
        <f>COUNTIFS(TUDB!$H$8:$H$2326,Use!$B183,TUDB!$F$8:$F$2326,Use!J$49)</f>
        <v>0</v>
      </c>
      <c r="K183" s="307">
        <f t="shared" si="46"/>
        <v>1</v>
      </c>
      <c r="L183" s="307">
        <f>IF(AND(G183&gt;0,SUM($E183:F183)=0),1,0)</f>
        <v>0</v>
      </c>
      <c r="M183" s="307">
        <f>IF(AND(H183&gt;0,SUM($E183:G183)=0),1,0)</f>
        <v>0</v>
      </c>
      <c r="N183" s="307">
        <f>IF(AND(I183&gt;0,SUM($E183:H183)=0),1,0)</f>
        <v>0</v>
      </c>
      <c r="O183" s="307">
        <f>IF(AND(J183&gt;0,SUM($E183:I183)=0),1,0)</f>
        <v>0</v>
      </c>
      <c r="P183" s="312"/>
      <c r="Q183" s="312"/>
      <c r="Z183"/>
      <c r="AB183" s="1"/>
    </row>
    <row r="184" spans="2:28" x14ac:dyDescent="0.25">
      <c r="B184" s="303" t="str">
        <v>mllx5XNkVQYSftNQZEGryjSljEE2</v>
      </c>
      <c r="C184" s="303" t="s">
        <v>578</v>
      </c>
      <c r="D184" s="305">
        <f t="shared" si="47"/>
        <v>1</v>
      </c>
      <c r="E184" s="305">
        <f>COUNTIFS(TUDB!$H$8:$H$2326,Use!$B184,TUDB!$F$8:$F$2326,Use!E$49)</f>
        <v>0</v>
      </c>
      <c r="F184" s="305">
        <f>COUNTIFS(TUDB!$H$8:$H$2326,Use!$B184,TUDB!$F$8:$F$2326,Use!F$49)</f>
        <v>0</v>
      </c>
      <c r="G184" s="305">
        <f>COUNTIFS(TUDB!$H$8:$H$2326,Use!$B184,TUDB!$F$8:$F$2326,Use!G$49)</f>
        <v>1</v>
      </c>
      <c r="H184" s="305">
        <f>COUNTIFS(TUDB!$H$8:$H$2326,Use!$B184,TUDB!$F$8:$F$2326,Use!H$49)</f>
        <v>0</v>
      </c>
      <c r="I184" s="305">
        <f>COUNTIFS(TUDB!$H$8:$H$2326,Use!$B184,TUDB!$F$8:$F$2326,Use!I$49)</f>
        <v>0</v>
      </c>
      <c r="J184" s="305">
        <f>COUNTIFS(TUDB!$H$8:$H$2326,Use!$B184,TUDB!$F$8:$F$2326,Use!J$49)</f>
        <v>0</v>
      </c>
      <c r="K184" s="304">
        <f t="shared" si="46"/>
        <v>0</v>
      </c>
      <c r="L184" s="304">
        <f>IF(AND(G184&gt;0,SUM($E184:F184)=0),1,0)</f>
        <v>1</v>
      </c>
      <c r="M184" s="304">
        <f>IF(AND(H184&gt;0,SUM($E184:G184)=0),1,0)</f>
        <v>0</v>
      </c>
      <c r="N184" s="304">
        <f>IF(AND(I184&gt;0,SUM($E184:H184)=0),1,0)</f>
        <v>0</v>
      </c>
      <c r="O184" s="304">
        <f>IF(AND(J184&gt;0,SUM($E184:I184)=0),1,0)</f>
        <v>0</v>
      </c>
      <c r="P184" s="311"/>
      <c r="Q184" s="311"/>
      <c r="Z184"/>
      <c r="AB184" s="1"/>
    </row>
    <row r="185" spans="2:28" x14ac:dyDescent="0.25">
      <c r="B185" s="306" t="str">
        <v>raGk7ZR3GrfMo7yQku4nuriRtsC3</v>
      </c>
      <c r="C185" s="306" t="s">
        <v>578</v>
      </c>
      <c r="D185" s="308">
        <f t="shared" si="47"/>
        <v>2</v>
      </c>
      <c r="E185" s="308">
        <f>COUNTIFS(TUDB!$H$8:$H$2326,Use!$B185,TUDB!$F$8:$F$2326,Use!E$49)</f>
        <v>0</v>
      </c>
      <c r="F185" s="308">
        <f>COUNTIFS(TUDB!$H$8:$H$2326,Use!$B185,TUDB!$F$8:$F$2326,Use!F$49)</f>
        <v>1</v>
      </c>
      <c r="G185" s="308">
        <f>COUNTIFS(TUDB!$H$8:$H$2326,Use!$B185,TUDB!$F$8:$F$2326,Use!G$49)</f>
        <v>1</v>
      </c>
      <c r="H185" s="308">
        <f>COUNTIFS(TUDB!$H$8:$H$2326,Use!$B185,TUDB!$F$8:$F$2326,Use!H$49)</f>
        <v>0</v>
      </c>
      <c r="I185" s="308">
        <f>COUNTIFS(TUDB!$H$8:$H$2326,Use!$B185,TUDB!$F$8:$F$2326,Use!I$49)</f>
        <v>0</v>
      </c>
      <c r="J185" s="308">
        <f>COUNTIFS(TUDB!$H$8:$H$2326,Use!$B185,TUDB!$F$8:$F$2326,Use!J$49)</f>
        <v>0</v>
      </c>
      <c r="K185" s="307">
        <f t="shared" si="46"/>
        <v>1</v>
      </c>
      <c r="L185" s="307">
        <f>IF(AND(G185&gt;0,SUM($E185:F185)=0),1,0)</f>
        <v>0</v>
      </c>
      <c r="M185" s="307">
        <f>IF(AND(H185&gt;0,SUM($E185:G185)=0),1,0)</f>
        <v>0</v>
      </c>
      <c r="N185" s="307">
        <f>IF(AND(I185&gt;0,SUM($E185:H185)=0),1,0)</f>
        <v>0</v>
      </c>
      <c r="O185" s="307">
        <f>IF(AND(J185&gt;0,SUM($E185:I185)=0),1,0)</f>
        <v>0</v>
      </c>
      <c r="P185" s="312"/>
      <c r="Q185" s="312"/>
      <c r="Z185"/>
      <c r="AB185" s="1"/>
    </row>
    <row r="186" spans="2:28" x14ac:dyDescent="0.25">
      <c r="B186" s="303" t="str">
        <v>43tg6vyaAId5rBaxgaLmYZEH83r2</v>
      </c>
      <c r="C186" s="303" t="s">
        <v>544</v>
      </c>
      <c r="D186" s="305">
        <f t="shared" si="47"/>
        <v>2</v>
      </c>
      <c r="E186" s="305">
        <f>COUNTIFS(TUDB!$H$8:$H$2326,Use!$B186,TUDB!$F$8:$F$2326,Use!E$49)</f>
        <v>0</v>
      </c>
      <c r="F186" s="305">
        <f>COUNTIFS(TUDB!$H$8:$H$2326,Use!$B186,TUDB!$F$8:$F$2326,Use!F$49)</f>
        <v>0</v>
      </c>
      <c r="G186" s="305">
        <f>COUNTIFS(TUDB!$H$8:$H$2326,Use!$B186,TUDB!$F$8:$F$2326,Use!G$49)</f>
        <v>2</v>
      </c>
      <c r="H186" s="305">
        <f>COUNTIFS(TUDB!$H$8:$H$2326,Use!$B186,TUDB!$F$8:$F$2326,Use!H$49)</f>
        <v>0</v>
      </c>
      <c r="I186" s="305">
        <f>COUNTIFS(TUDB!$H$8:$H$2326,Use!$B186,TUDB!$F$8:$F$2326,Use!I$49)</f>
        <v>0</v>
      </c>
      <c r="J186" s="305">
        <f>COUNTIFS(TUDB!$H$8:$H$2326,Use!$B186,TUDB!$F$8:$F$2326,Use!J$49)</f>
        <v>0</v>
      </c>
      <c r="K186" s="304">
        <f t="shared" si="46"/>
        <v>0</v>
      </c>
      <c r="L186" s="304">
        <f>IF(AND(G186&gt;0,SUM($E186:F186)=0),1,0)</f>
        <v>1</v>
      </c>
      <c r="M186" s="304">
        <f>IF(AND(H186&gt;0,SUM($E186:G186)=0),1,0)</f>
        <v>0</v>
      </c>
      <c r="N186" s="304">
        <f>IF(AND(I186&gt;0,SUM($E186:H186)=0),1,0)</f>
        <v>0</v>
      </c>
      <c r="O186" s="304">
        <f>IF(AND(J186&gt;0,SUM($E186:I186)=0),1,0)</f>
        <v>0</v>
      </c>
      <c r="P186" s="311"/>
      <c r="Q186" s="311"/>
      <c r="Z186"/>
      <c r="AB186" s="1"/>
    </row>
    <row r="187" spans="2:28" x14ac:dyDescent="0.25">
      <c r="B187" s="306" t="str">
        <v>xa6aPj95upgmyNzJ94TF45Va83y1</v>
      </c>
      <c r="C187" s="306" t="s">
        <v>544</v>
      </c>
      <c r="D187" s="308">
        <f t="shared" si="47"/>
        <v>1</v>
      </c>
      <c r="E187" s="308">
        <f>COUNTIFS(TUDB!$H$8:$H$2326,Use!$B187,TUDB!$F$8:$F$2326,Use!E$49)</f>
        <v>0</v>
      </c>
      <c r="F187" s="308">
        <f>COUNTIFS(TUDB!$H$8:$H$2326,Use!$B187,TUDB!$F$8:$F$2326,Use!F$49)</f>
        <v>0</v>
      </c>
      <c r="G187" s="308">
        <f>COUNTIFS(TUDB!$H$8:$H$2326,Use!$B187,TUDB!$F$8:$F$2326,Use!G$49)</f>
        <v>1</v>
      </c>
      <c r="H187" s="308">
        <f>COUNTIFS(TUDB!$H$8:$H$2326,Use!$B187,TUDB!$F$8:$F$2326,Use!H$49)</f>
        <v>0</v>
      </c>
      <c r="I187" s="308">
        <f>COUNTIFS(TUDB!$H$8:$H$2326,Use!$B187,TUDB!$F$8:$F$2326,Use!I$49)</f>
        <v>0</v>
      </c>
      <c r="J187" s="308">
        <f>COUNTIFS(TUDB!$H$8:$H$2326,Use!$B187,TUDB!$F$8:$F$2326,Use!J$49)</f>
        <v>0</v>
      </c>
      <c r="K187" s="307">
        <f t="shared" si="46"/>
        <v>0</v>
      </c>
      <c r="L187" s="307">
        <f>IF(AND(G187&gt;0,SUM($E187:F187)=0),1,0)</f>
        <v>1</v>
      </c>
      <c r="M187" s="307">
        <f>IF(AND(H187&gt;0,SUM($E187:G187)=0),1,0)</f>
        <v>0</v>
      </c>
      <c r="N187" s="307">
        <f>IF(AND(I187&gt;0,SUM($E187:H187)=0),1,0)</f>
        <v>0</v>
      </c>
      <c r="O187" s="307">
        <f>IF(AND(J187&gt;0,SUM($E187:I187)=0),1,0)</f>
        <v>0</v>
      </c>
      <c r="P187" s="312"/>
      <c r="Q187" s="312"/>
      <c r="Z187"/>
      <c r="AB187" s="1"/>
    </row>
    <row r="188" spans="2:28" x14ac:dyDescent="0.25">
      <c r="B188" s="303" t="str">
        <v>IdkhcCbPRDSnLW6Juk3sG0F0lD42</v>
      </c>
      <c r="C188" s="303" t="s">
        <v>1339</v>
      </c>
      <c r="D188" s="305">
        <f t="shared" si="47"/>
        <v>2</v>
      </c>
      <c r="E188" s="305">
        <f>COUNTIFS(TUDB!$H$8:$H$2326,Use!$B188,TUDB!$F$8:$F$2326,Use!E$49)</f>
        <v>0</v>
      </c>
      <c r="F188" s="305">
        <f>COUNTIFS(TUDB!$H$8:$H$2326,Use!$B188,TUDB!$F$8:$F$2326,Use!F$49)</f>
        <v>0</v>
      </c>
      <c r="G188" s="305">
        <f>COUNTIFS(TUDB!$H$8:$H$2326,Use!$B188,TUDB!$F$8:$F$2326,Use!G$49)</f>
        <v>2</v>
      </c>
      <c r="H188" s="305">
        <f>COUNTIFS(TUDB!$H$8:$H$2326,Use!$B188,TUDB!$F$8:$F$2326,Use!H$49)</f>
        <v>0</v>
      </c>
      <c r="I188" s="305">
        <f>COUNTIFS(TUDB!$H$8:$H$2326,Use!$B188,TUDB!$F$8:$F$2326,Use!I$49)</f>
        <v>0</v>
      </c>
      <c r="J188" s="305">
        <f>COUNTIFS(TUDB!$H$8:$H$2326,Use!$B188,TUDB!$F$8:$F$2326,Use!J$49)</f>
        <v>0</v>
      </c>
      <c r="K188" s="304">
        <f t="shared" si="46"/>
        <v>0</v>
      </c>
      <c r="L188" s="304">
        <f>IF(AND(G188&gt;0,SUM($E188:F188)=0),1,0)</f>
        <v>1</v>
      </c>
      <c r="M188" s="304">
        <f>IF(AND(H188&gt;0,SUM($E188:G188)=0),1,0)</f>
        <v>0</v>
      </c>
      <c r="N188" s="304">
        <f>IF(AND(I188&gt;0,SUM($E188:H188)=0),1,0)</f>
        <v>0</v>
      </c>
      <c r="O188" s="304">
        <f>IF(AND(J188&gt;0,SUM($E188:I188)=0),1,0)</f>
        <v>0</v>
      </c>
      <c r="P188" s="311"/>
      <c r="Q188" s="311"/>
      <c r="Z188"/>
      <c r="AB188" s="1"/>
    </row>
    <row r="189" spans="2:28" x14ac:dyDescent="0.25">
      <c r="B189" s="306" t="str">
        <v>u1AtqHtS8gftNRbNcp1wppH7VYm2</v>
      </c>
      <c r="C189" s="306" t="s">
        <v>2341</v>
      </c>
      <c r="D189" s="308">
        <f t="shared" si="47"/>
        <v>1</v>
      </c>
      <c r="E189" s="308">
        <f>COUNTIFS(TUDB!$H$8:$H$2326,Use!$B189,TUDB!$F$8:$F$2326,Use!E$49)</f>
        <v>0</v>
      </c>
      <c r="F189" s="308">
        <f>COUNTIFS(TUDB!$H$8:$H$2326,Use!$B189,TUDB!$F$8:$F$2326,Use!F$49)</f>
        <v>0</v>
      </c>
      <c r="G189" s="308">
        <f>COUNTIFS(TUDB!$H$8:$H$2326,Use!$B189,TUDB!$F$8:$F$2326,Use!G$49)</f>
        <v>1</v>
      </c>
      <c r="H189" s="308">
        <f>COUNTIFS(TUDB!$H$8:$H$2326,Use!$B189,TUDB!$F$8:$F$2326,Use!H$49)</f>
        <v>0</v>
      </c>
      <c r="I189" s="308">
        <f>COUNTIFS(TUDB!$H$8:$H$2326,Use!$B189,TUDB!$F$8:$F$2326,Use!I$49)</f>
        <v>0</v>
      </c>
      <c r="J189" s="308">
        <f>COUNTIFS(TUDB!$H$8:$H$2326,Use!$B189,TUDB!$F$8:$F$2326,Use!J$49)</f>
        <v>0</v>
      </c>
      <c r="K189" s="307">
        <f t="shared" si="46"/>
        <v>0</v>
      </c>
      <c r="L189" s="307">
        <f>IF(AND(G189&gt;0,SUM($E189:F189)=0),1,0)</f>
        <v>1</v>
      </c>
      <c r="M189" s="307">
        <f>IF(AND(H189&gt;0,SUM($E189:G189)=0),1,0)</f>
        <v>0</v>
      </c>
      <c r="N189" s="307">
        <f>IF(AND(I189&gt;0,SUM($E189:H189)=0),1,0)</f>
        <v>0</v>
      </c>
      <c r="O189" s="307">
        <f>IF(AND(J189&gt;0,SUM($E189:I189)=0),1,0)</f>
        <v>0</v>
      </c>
      <c r="P189" s="312"/>
      <c r="Q189" s="312"/>
      <c r="Z189"/>
      <c r="AB189" s="1"/>
    </row>
    <row r="190" spans="2:28" x14ac:dyDescent="0.25">
      <c r="B190" s="303" t="str">
        <v>UKNfn5IJCyfnfDCkXIjuP0imo733</v>
      </c>
      <c r="C190" s="303" t="s">
        <v>1347</v>
      </c>
      <c r="D190" s="305">
        <f t="shared" si="47"/>
        <v>1</v>
      </c>
      <c r="E190" s="305">
        <f>COUNTIFS(TUDB!$H$8:$H$2326,Use!$B190,TUDB!$F$8:$F$2326,Use!E$49)</f>
        <v>0</v>
      </c>
      <c r="F190" s="305">
        <f>COUNTIFS(TUDB!$H$8:$H$2326,Use!$B190,TUDB!$F$8:$F$2326,Use!F$49)</f>
        <v>0</v>
      </c>
      <c r="G190" s="305">
        <f>COUNTIFS(TUDB!$H$8:$H$2326,Use!$B190,TUDB!$F$8:$F$2326,Use!G$49)</f>
        <v>1</v>
      </c>
      <c r="H190" s="305">
        <f>COUNTIFS(TUDB!$H$8:$H$2326,Use!$B190,TUDB!$F$8:$F$2326,Use!H$49)</f>
        <v>0</v>
      </c>
      <c r="I190" s="305">
        <f>COUNTIFS(TUDB!$H$8:$H$2326,Use!$B190,TUDB!$F$8:$F$2326,Use!I$49)</f>
        <v>0</v>
      </c>
      <c r="J190" s="305">
        <f>COUNTIFS(TUDB!$H$8:$H$2326,Use!$B190,TUDB!$F$8:$F$2326,Use!J$49)</f>
        <v>0</v>
      </c>
      <c r="K190" s="304">
        <f t="shared" si="46"/>
        <v>0</v>
      </c>
      <c r="L190" s="304">
        <f>IF(AND(G190&gt;0,SUM($E190:F190)=0),1,0)</f>
        <v>1</v>
      </c>
      <c r="M190" s="304">
        <f>IF(AND(H190&gt;0,SUM($E190:G190)=0),1,0)</f>
        <v>0</v>
      </c>
      <c r="N190" s="304">
        <f>IF(AND(I190&gt;0,SUM($E190:H190)=0),1,0)</f>
        <v>0</v>
      </c>
      <c r="O190" s="304">
        <f>IF(AND(J190&gt;0,SUM($E190:I190)=0),1,0)</f>
        <v>0</v>
      </c>
      <c r="P190" s="311"/>
      <c r="Q190" s="311"/>
      <c r="Z190"/>
      <c r="AB190" s="1"/>
    </row>
    <row r="191" spans="2:28" x14ac:dyDescent="0.25">
      <c r="B191" s="306" t="str">
        <v>hm2Bu8Yk42Y2OrPIkShm045JyM53</v>
      </c>
      <c r="C191" s="306" t="s">
        <v>4161</v>
      </c>
      <c r="D191" s="308">
        <f t="shared" si="47"/>
        <v>1</v>
      </c>
      <c r="E191" s="308">
        <f>COUNTIFS(TUDB!$H$8:$H$2326,Use!$B191,TUDB!$F$8:$F$2326,Use!E$49)</f>
        <v>0</v>
      </c>
      <c r="F191" s="308">
        <f>COUNTIFS(TUDB!$H$8:$H$2326,Use!$B191,TUDB!$F$8:$F$2326,Use!F$49)</f>
        <v>0</v>
      </c>
      <c r="G191" s="308">
        <f>COUNTIFS(TUDB!$H$8:$H$2326,Use!$B191,TUDB!$F$8:$F$2326,Use!G$49)</f>
        <v>1</v>
      </c>
      <c r="H191" s="308">
        <f>COUNTIFS(TUDB!$H$8:$H$2326,Use!$B191,TUDB!$F$8:$F$2326,Use!H$49)</f>
        <v>0</v>
      </c>
      <c r="I191" s="308">
        <f>COUNTIFS(TUDB!$H$8:$H$2326,Use!$B191,TUDB!$F$8:$F$2326,Use!I$49)</f>
        <v>0</v>
      </c>
      <c r="J191" s="308">
        <f>COUNTIFS(TUDB!$H$8:$H$2326,Use!$B191,TUDB!$F$8:$F$2326,Use!J$49)</f>
        <v>0</v>
      </c>
      <c r="K191" s="307">
        <f t="shared" si="46"/>
        <v>0</v>
      </c>
      <c r="L191" s="307">
        <f>IF(AND(G191&gt;0,SUM($E191:F191)=0),1,0)</f>
        <v>1</v>
      </c>
      <c r="M191" s="307">
        <f>IF(AND(H191&gt;0,SUM($E191:G191)=0),1,0)</f>
        <v>0</v>
      </c>
      <c r="N191" s="307">
        <f>IF(AND(I191&gt;0,SUM($E191:H191)=0),1,0)</f>
        <v>0</v>
      </c>
      <c r="O191" s="307">
        <f>IF(AND(J191&gt;0,SUM($E191:I191)=0),1,0)</f>
        <v>0</v>
      </c>
      <c r="P191" s="312"/>
      <c r="Q191" s="312"/>
      <c r="Z191"/>
      <c r="AB191" s="1"/>
    </row>
    <row r="192" spans="2:28" x14ac:dyDescent="0.25">
      <c r="B192" s="303" t="str">
        <v>ywUFLgiRYPVoUUSi7cN16v6wqzq1</v>
      </c>
      <c r="C192" s="303" t="s">
        <v>2342</v>
      </c>
      <c r="D192" s="305">
        <f t="shared" si="47"/>
        <v>1</v>
      </c>
      <c r="E192" s="305">
        <f>COUNTIFS(TUDB!$H$8:$H$2326,Use!$B192,TUDB!$F$8:$F$2326,Use!E$49)</f>
        <v>0</v>
      </c>
      <c r="F192" s="305">
        <f>COUNTIFS(TUDB!$H$8:$H$2326,Use!$B192,TUDB!$F$8:$F$2326,Use!F$49)</f>
        <v>0</v>
      </c>
      <c r="G192" s="305">
        <f>COUNTIFS(TUDB!$H$8:$H$2326,Use!$B192,TUDB!$F$8:$F$2326,Use!G$49)</f>
        <v>1</v>
      </c>
      <c r="H192" s="305">
        <f>COUNTIFS(TUDB!$H$8:$H$2326,Use!$B192,TUDB!$F$8:$F$2326,Use!H$49)</f>
        <v>0</v>
      </c>
      <c r="I192" s="305">
        <f>COUNTIFS(TUDB!$H$8:$H$2326,Use!$B192,TUDB!$F$8:$F$2326,Use!I$49)</f>
        <v>0</v>
      </c>
      <c r="J192" s="305">
        <f>COUNTIFS(TUDB!$H$8:$H$2326,Use!$B192,TUDB!$F$8:$F$2326,Use!J$49)</f>
        <v>0</v>
      </c>
      <c r="K192" s="304">
        <f t="shared" ref="K192:K208" si="48">IF(AND(F192&gt;0,SUM($E192)=0),1,0)</f>
        <v>0</v>
      </c>
      <c r="L192" s="304">
        <f>IF(AND(G192&gt;0,SUM($E192:F192)=0),1,0)</f>
        <v>1</v>
      </c>
      <c r="M192" s="304">
        <f>IF(AND(H192&gt;0,SUM($E192:G192)=0),1,0)</f>
        <v>0</v>
      </c>
      <c r="N192" s="304">
        <f>IF(AND(I192&gt;0,SUM($E192:H192)=0),1,0)</f>
        <v>0</v>
      </c>
      <c r="O192" s="304">
        <f>IF(AND(J192&gt;0,SUM($E192:I192)=0),1,0)</f>
        <v>0</v>
      </c>
      <c r="P192" s="311"/>
      <c r="Q192" s="311"/>
      <c r="Z192"/>
      <c r="AB192" s="1"/>
    </row>
    <row r="193" spans="2:36" x14ac:dyDescent="0.25">
      <c r="B193" s="306" t="str">
        <v>QhsIWYhrIqTEP85lM4VNR256zUH2</v>
      </c>
      <c r="C193" s="306" t="s">
        <v>2344</v>
      </c>
      <c r="D193" s="308">
        <f t="shared" si="47"/>
        <v>5</v>
      </c>
      <c r="E193" s="308">
        <f>COUNTIFS(TUDB!$H$8:$H$2326,Use!$B193,TUDB!$F$8:$F$2326,Use!E$49)</f>
        <v>0</v>
      </c>
      <c r="F193" s="308">
        <f>COUNTIFS(TUDB!$H$8:$H$2326,Use!$B193,TUDB!$F$8:$F$2326,Use!F$49)</f>
        <v>5</v>
      </c>
      <c r="G193" s="308">
        <f>COUNTIFS(TUDB!$H$8:$H$2326,Use!$B193,TUDB!$F$8:$F$2326,Use!G$49)</f>
        <v>0</v>
      </c>
      <c r="H193" s="308">
        <f>COUNTIFS(TUDB!$H$8:$H$2326,Use!$B193,TUDB!$F$8:$F$2326,Use!H$49)</f>
        <v>0</v>
      </c>
      <c r="I193" s="308">
        <f>COUNTIFS(TUDB!$H$8:$H$2326,Use!$B193,TUDB!$F$8:$F$2326,Use!I$49)</f>
        <v>0</v>
      </c>
      <c r="J193" s="308">
        <f>COUNTIFS(TUDB!$H$8:$H$2326,Use!$B193,TUDB!$F$8:$F$2326,Use!J$49)</f>
        <v>0</v>
      </c>
      <c r="K193" s="307">
        <f t="shared" si="48"/>
        <v>1</v>
      </c>
      <c r="L193" s="307">
        <f>IF(AND(G193&gt;0,SUM($E193:F193)=0),1,0)</f>
        <v>0</v>
      </c>
      <c r="M193" s="307">
        <f>IF(AND(H193&gt;0,SUM($E193:G193)=0),1,0)</f>
        <v>0</v>
      </c>
      <c r="N193" s="307">
        <f>IF(AND(I193&gt;0,SUM($E193:H193)=0),1,0)</f>
        <v>0</v>
      </c>
      <c r="O193" s="307">
        <f>IF(AND(J193&gt;0,SUM($E193:I193)=0),1,0)</f>
        <v>0</v>
      </c>
      <c r="P193" s="312"/>
      <c r="Q193" s="312"/>
      <c r="Z193"/>
      <c r="AB193" s="1"/>
    </row>
    <row r="194" spans="2:36" x14ac:dyDescent="0.25">
      <c r="B194" s="303" t="str">
        <v>RFOcPacep0e15rSw11dBGOgUM5o1</v>
      </c>
      <c r="C194" s="303" t="s">
        <v>2342</v>
      </c>
      <c r="D194" s="305">
        <f t="shared" si="47"/>
        <v>1</v>
      </c>
      <c r="E194" s="305">
        <f>COUNTIFS(TUDB!$H$8:$H$2326,Use!$B194,TUDB!$F$8:$F$2326,Use!E$49)</f>
        <v>0</v>
      </c>
      <c r="F194" s="305">
        <f>COUNTIFS(TUDB!$H$8:$H$2326,Use!$B194,TUDB!$F$8:$F$2326,Use!F$49)</f>
        <v>1</v>
      </c>
      <c r="G194" s="305">
        <f>COUNTIFS(TUDB!$H$8:$H$2326,Use!$B194,TUDB!$F$8:$F$2326,Use!G$49)</f>
        <v>0</v>
      </c>
      <c r="H194" s="305">
        <f>COUNTIFS(TUDB!$H$8:$H$2326,Use!$B194,TUDB!$F$8:$F$2326,Use!H$49)</f>
        <v>0</v>
      </c>
      <c r="I194" s="305">
        <f>COUNTIFS(TUDB!$H$8:$H$2326,Use!$B194,TUDB!$F$8:$F$2326,Use!I$49)</f>
        <v>0</v>
      </c>
      <c r="J194" s="305">
        <f>COUNTIFS(TUDB!$H$8:$H$2326,Use!$B194,TUDB!$F$8:$F$2326,Use!J$49)</f>
        <v>0</v>
      </c>
      <c r="K194" s="309">
        <f t="shared" si="48"/>
        <v>1</v>
      </c>
      <c r="L194" s="309">
        <f>IF(AND(G194&gt;0,SUM($E194:F194)=0),1,0)</f>
        <v>0</v>
      </c>
      <c r="M194" s="309">
        <f>IF(AND(H194&gt;0,SUM($E194:G194)=0),1,0)</f>
        <v>0</v>
      </c>
      <c r="N194" s="309">
        <f>IF(AND(I194&gt;0,SUM($E194:H194)=0),1,0)</f>
        <v>0</v>
      </c>
      <c r="O194" s="309">
        <f>IF(AND(J194&gt;0,SUM($E194:I194)=0),1,0)</f>
        <v>0</v>
      </c>
      <c r="P194" s="313"/>
      <c r="Q194" s="313"/>
      <c r="Z194"/>
      <c r="AB194" s="1"/>
    </row>
    <row r="195" spans="2:36" x14ac:dyDescent="0.25">
      <c r="B195" s="306" t="str">
        <v>rpHx3Va4Addyv6ZLeQhGZeANEEF2</v>
      </c>
      <c r="C195" s="306" t="s">
        <v>2345</v>
      </c>
      <c r="D195" s="308">
        <f t="shared" si="47"/>
        <v>6</v>
      </c>
      <c r="E195" s="308">
        <f>COUNTIFS(TUDB!$H$8:$H$2326,Use!$B195,TUDB!$F$8:$F$2326,Use!E$49)</f>
        <v>0</v>
      </c>
      <c r="F195" s="308">
        <f>COUNTIFS(TUDB!$H$8:$H$2326,Use!$B195,TUDB!$F$8:$F$2326,Use!F$49)</f>
        <v>6</v>
      </c>
      <c r="G195" s="308">
        <f>COUNTIFS(TUDB!$H$8:$H$2326,Use!$B195,TUDB!$F$8:$F$2326,Use!G$49)</f>
        <v>0</v>
      </c>
      <c r="H195" s="308">
        <f>COUNTIFS(TUDB!$H$8:$H$2326,Use!$B195,TUDB!$F$8:$F$2326,Use!H$49)</f>
        <v>0</v>
      </c>
      <c r="I195" s="308">
        <f>COUNTIFS(TUDB!$H$8:$H$2326,Use!$B195,TUDB!$F$8:$F$2326,Use!I$49)</f>
        <v>0</v>
      </c>
      <c r="J195" s="308">
        <f>COUNTIFS(TUDB!$H$8:$H$2326,Use!$B195,TUDB!$F$8:$F$2326,Use!J$49)</f>
        <v>0</v>
      </c>
      <c r="K195" s="300">
        <f t="shared" si="48"/>
        <v>1</v>
      </c>
      <c r="L195" s="300">
        <f>IF(AND(G195&gt;0,SUM($E195:F195)=0),1,0)</f>
        <v>0</v>
      </c>
      <c r="M195" s="300">
        <f>IF(AND(H195&gt;0,SUM($E195:G195)=0),1,0)</f>
        <v>0</v>
      </c>
      <c r="N195" s="300">
        <f>IF(AND(I195&gt;0,SUM($E195:H195)=0),1,0)</f>
        <v>0</v>
      </c>
      <c r="O195" s="300">
        <f>IF(AND(J195&gt;0,SUM($E195:I195)=0),1,0)</f>
        <v>0</v>
      </c>
      <c r="P195" s="314"/>
      <c r="Q195" s="314"/>
      <c r="Z195"/>
      <c r="AB195" s="1"/>
    </row>
    <row r="196" spans="2:36" x14ac:dyDescent="0.25">
      <c r="B196" s="303" t="str">
        <v>a2iVDfAZsXbAYw8fNroBpibgO6Y2</v>
      </c>
      <c r="C196" s="303" t="s">
        <v>578</v>
      </c>
      <c r="D196" s="305">
        <f t="shared" si="47"/>
        <v>2</v>
      </c>
      <c r="E196" s="305">
        <f>COUNTIFS(TUDB!$H$8:$H$2326,Use!$B196,TUDB!$F$8:$F$2326,Use!E$49)</f>
        <v>0</v>
      </c>
      <c r="F196" s="305">
        <f>COUNTIFS(TUDB!$H$8:$H$2326,Use!$B196,TUDB!$F$8:$F$2326,Use!F$49)</f>
        <v>2</v>
      </c>
      <c r="G196" s="305">
        <f>COUNTIFS(TUDB!$H$8:$H$2326,Use!$B196,TUDB!$F$8:$F$2326,Use!G$49)</f>
        <v>0</v>
      </c>
      <c r="H196" s="305">
        <f>COUNTIFS(TUDB!$H$8:$H$2326,Use!$B196,TUDB!$F$8:$F$2326,Use!H$49)</f>
        <v>0</v>
      </c>
      <c r="I196" s="305">
        <f>COUNTIFS(TUDB!$H$8:$H$2326,Use!$B196,TUDB!$F$8:$F$2326,Use!I$49)</f>
        <v>0</v>
      </c>
      <c r="J196" s="305">
        <f>COUNTIFS(TUDB!$H$8:$H$2326,Use!$B196,TUDB!$F$8:$F$2326,Use!J$49)</f>
        <v>0</v>
      </c>
      <c r="K196" s="298">
        <f t="shared" si="48"/>
        <v>1</v>
      </c>
      <c r="L196" s="298">
        <f>IF(AND(G196&gt;0,SUM($E196:F196)=0),1,0)</f>
        <v>0</v>
      </c>
      <c r="M196" s="298">
        <f>IF(AND(H196&gt;0,SUM($E196:G196)=0),1,0)</f>
        <v>0</v>
      </c>
      <c r="N196" s="298">
        <f>IF(AND(I196&gt;0,SUM($E196:H196)=0),1,0)</f>
        <v>0</v>
      </c>
      <c r="O196" s="298">
        <f>IF(AND(J196&gt;0,SUM($E196:I196)=0),1,0)</f>
        <v>0</v>
      </c>
      <c r="P196" s="315"/>
      <c r="Q196" s="315"/>
      <c r="Z196"/>
      <c r="AB196" s="1"/>
    </row>
    <row r="197" spans="2:36" x14ac:dyDescent="0.25">
      <c r="B197" s="306" t="str">
        <v>qmROCqQx86UtTueFq7I5ueZyhdl2</v>
      </c>
      <c r="C197" s="306" t="s">
        <v>4160</v>
      </c>
      <c r="D197" s="308">
        <f t="shared" si="47"/>
        <v>17</v>
      </c>
      <c r="E197" s="308">
        <f>COUNTIFS(TUDB!$H$8:$H$2326,Use!$B197,TUDB!$F$8:$F$2326,Use!E$49)</f>
        <v>0</v>
      </c>
      <c r="F197" s="308">
        <f>COUNTIFS(TUDB!$H$8:$H$2326,Use!$B197,TUDB!$F$8:$F$2326,Use!F$49)</f>
        <v>17</v>
      </c>
      <c r="G197" s="308">
        <f>COUNTIFS(TUDB!$H$8:$H$2326,Use!$B197,TUDB!$F$8:$F$2326,Use!G$49)</f>
        <v>0</v>
      </c>
      <c r="H197" s="308">
        <f>COUNTIFS(TUDB!$H$8:$H$2326,Use!$B197,TUDB!$F$8:$F$2326,Use!H$49)</f>
        <v>0</v>
      </c>
      <c r="I197" s="308">
        <f>COUNTIFS(TUDB!$H$8:$H$2326,Use!$B197,TUDB!$F$8:$F$2326,Use!I$49)</f>
        <v>0</v>
      </c>
      <c r="J197" s="308">
        <f>COUNTIFS(TUDB!$H$8:$H$2326,Use!$B197,TUDB!$F$8:$F$2326,Use!J$49)</f>
        <v>0</v>
      </c>
      <c r="K197" s="300">
        <f t="shared" si="48"/>
        <v>1</v>
      </c>
      <c r="L197" s="300">
        <f>IF(AND(G197&gt;0,SUM($E197:F197)=0),1,0)</f>
        <v>0</v>
      </c>
      <c r="M197" s="300">
        <f>IF(AND(H197&gt;0,SUM($E197:G197)=0),1,0)</f>
        <v>0</v>
      </c>
      <c r="N197" s="300">
        <f>IF(AND(I197&gt;0,SUM($E197:H197)=0),1,0)</f>
        <v>0</v>
      </c>
      <c r="O197" s="300">
        <f>IF(AND(J197&gt;0,SUM($E197:I197)=0),1,0)</f>
        <v>0</v>
      </c>
      <c r="P197" s="314"/>
      <c r="Q197" s="314"/>
      <c r="Z197"/>
      <c r="AB197" s="1"/>
    </row>
    <row r="198" spans="2:36" x14ac:dyDescent="0.25">
      <c r="B198" s="303" t="str">
        <v>iM6NG2oxmwYGFNqSq6skS4Odguo2</v>
      </c>
      <c r="C198" s="303" t="s">
        <v>2344</v>
      </c>
      <c r="D198" s="305">
        <f t="shared" si="47"/>
        <v>5</v>
      </c>
      <c r="E198" s="305">
        <f>COUNTIFS(TUDB!$H$8:$H$2326,Use!$B198,TUDB!$F$8:$F$2326,Use!E$49)</f>
        <v>0</v>
      </c>
      <c r="F198" s="305">
        <f>COUNTIFS(TUDB!$H$8:$H$2326,Use!$B198,TUDB!$F$8:$F$2326,Use!F$49)</f>
        <v>5</v>
      </c>
      <c r="G198" s="305">
        <f>COUNTIFS(TUDB!$H$8:$H$2326,Use!$B198,TUDB!$F$8:$F$2326,Use!G$49)</f>
        <v>0</v>
      </c>
      <c r="H198" s="305">
        <f>COUNTIFS(TUDB!$H$8:$H$2326,Use!$B198,TUDB!$F$8:$F$2326,Use!H$49)</f>
        <v>0</v>
      </c>
      <c r="I198" s="305">
        <f>COUNTIFS(TUDB!$H$8:$H$2326,Use!$B198,TUDB!$F$8:$F$2326,Use!I$49)</f>
        <v>0</v>
      </c>
      <c r="J198" s="305">
        <f>COUNTIFS(TUDB!$H$8:$H$2326,Use!$B198,TUDB!$F$8:$F$2326,Use!J$49)</f>
        <v>0</v>
      </c>
      <c r="K198" s="298">
        <f t="shared" si="48"/>
        <v>1</v>
      </c>
      <c r="L198" s="298">
        <f>IF(AND(G198&gt;0,SUM($E198:F198)=0),1,0)</f>
        <v>0</v>
      </c>
      <c r="M198" s="298">
        <f>IF(AND(H198&gt;0,SUM($E198:G198)=0),1,0)</f>
        <v>0</v>
      </c>
      <c r="N198" s="298">
        <f>IF(AND(I198&gt;0,SUM($E198:H198)=0),1,0)</f>
        <v>0</v>
      </c>
      <c r="O198" s="298">
        <f>IF(AND(J198&gt;0,SUM($E198:I198)=0),1,0)</f>
        <v>0</v>
      </c>
      <c r="P198" s="315"/>
      <c r="Q198" s="315"/>
      <c r="Z198"/>
      <c r="AB198" s="1"/>
    </row>
    <row r="199" spans="2:36" x14ac:dyDescent="0.25">
      <c r="B199" s="306" t="str">
        <v>BKxKRQr8KiaMAjrJWzKb6GrNJCm1</v>
      </c>
      <c r="C199" s="306" t="s">
        <v>578</v>
      </c>
      <c r="D199" s="308">
        <f t="shared" si="47"/>
        <v>2</v>
      </c>
      <c r="E199" s="308">
        <f>COUNTIFS(TUDB!$H$8:$H$2326,Use!$B199,TUDB!$F$8:$F$2326,Use!E$49)</f>
        <v>0</v>
      </c>
      <c r="F199" s="308">
        <f>COUNTIFS(TUDB!$H$8:$H$2326,Use!$B199,TUDB!$F$8:$F$2326,Use!F$49)</f>
        <v>2</v>
      </c>
      <c r="G199" s="308">
        <f>COUNTIFS(TUDB!$H$8:$H$2326,Use!$B199,TUDB!$F$8:$F$2326,Use!G$49)</f>
        <v>0</v>
      </c>
      <c r="H199" s="308">
        <f>COUNTIFS(TUDB!$H$8:$H$2326,Use!$B199,TUDB!$F$8:$F$2326,Use!H$49)</f>
        <v>0</v>
      </c>
      <c r="I199" s="308">
        <f>COUNTIFS(TUDB!$H$8:$H$2326,Use!$B199,TUDB!$F$8:$F$2326,Use!I$49)</f>
        <v>0</v>
      </c>
      <c r="J199" s="308">
        <f>COUNTIFS(TUDB!$H$8:$H$2326,Use!$B199,TUDB!$F$8:$F$2326,Use!J$49)</f>
        <v>0</v>
      </c>
      <c r="K199" s="300">
        <f t="shared" si="48"/>
        <v>1</v>
      </c>
      <c r="L199" s="300">
        <f>IF(AND(G199&gt;0,SUM($E199:F199)=0),1,0)</f>
        <v>0</v>
      </c>
      <c r="M199" s="300">
        <f>IF(AND(H199&gt;0,SUM($E199:G199)=0),1,0)</f>
        <v>0</v>
      </c>
      <c r="N199" s="300">
        <f>IF(AND(I199&gt;0,SUM($E199:H199)=0),1,0)</f>
        <v>0</v>
      </c>
      <c r="O199" s="300">
        <f>IF(AND(J199&gt;0,SUM($E199:I199)=0),1,0)</f>
        <v>0</v>
      </c>
      <c r="P199" s="314"/>
      <c r="Q199" s="314"/>
      <c r="Z199"/>
      <c r="AB199" s="1"/>
    </row>
    <row r="200" spans="2:36" x14ac:dyDescent="0.25">
      <c r="B200" s="303" t="str">
        <v>GfLB1jD8phNRjx5T5pEyOwWamYz2</v>
      </c>
      <c r="C200" s="303" t="s">
        <v>5969</v>
      </c>
      <c r="D200" s="305">
        <f t="shared" si="47"/>
        <v>2</v>
      </c>
      <c r="E200" s="305">
        <f>COUNTIFS(TUDB!$H$8:$H$2326,Use!$B200,TUDB!$F$8:$F$2326,Use!E$49)</f>
        <v>0</v>
      </c>
      <c r="F200" s="305">
        <f>COUNTIFS(TUDB!$H$8:$H$2326,Use!$B200,TUDB!$F$8:$F$2326,Use!F$49)</f>
        <v>2</v>
      </c>
      <c r="G200" s="305">
        <f>COUNTIFS(TUDB!$H$8:$H$2326,Use!$B200,TUDB!$F$8:$F$2326,Use!G$49)</f>
        <v>0</v>
      </c>
      <c r="H200" s="305">
        <f>COUNTIFS(TUDB!$H$8:$H$2326,Use!$B200,TUDB!$F$8:$F$2326,Use!H$49)</f>
        <v>0</v>
      </c>
      <c r="I200" s="305">
        <f>COUNTIFS(TUDB!$H$8:$H$2326,Use!$B200,TUDB!$F$8:$F$2326,Use!I$49)</f>
        <v>0</v>
      </c>
      <c r="J200" s="305">
        <f>COUNTIFS(TUDB!$H$8:$H$2326,Use!$B200,TUDB!$F$8:$F$2326,Use!J$49)</f>
        <v>0</v>
      </c>
      <c r="K200" s="298">
        <f t="shared" si="48"/>
        <v>1</v>
      </c>
      <c r="L200" s="298">
        <f>IF(AND(G200&gt;0,SUM($E200:F200)=0),1,0)</f>
        <v>0</v>
      </c>
      <c r="M200" s="298">
        <f>IF(AND(H200&gt;0,SUM($E200:G200)=0),1,0)</f>
        <v>0</v>
      </c>
      <c r="N200" s="298">
        <f>IF(AND(I200&gt;0,SUM($E200:H200)=0),1,0)</f>
        <v>0</v>
      </c>
      <c r="O200" s="298">
        <f>IF(AND(J200&gt;0,SUM($E200:I200)=0),1,0)</f>
        <v>0</v>
      </c>
      <c r="P200" s="315"/>
      <c r="Q200" s="315"/>
      <c r="Z200"/>
      <c r="AB200" s="1"/>
    </row>
    <row r="201" spans="2:36" x14ac:dyDescent="0.25">
      <c r="B201" s="306" t="str">
        <v>usGRnrTHGsZu6xw2EjMVC52cnqo1</v>
      </c>
      <c r="C201" s="306" t="s">
        <v>5969</v>
      </c>
      <c r="D201" s="308">
        <f t="shared" si="47"/>
        <v>2</v>
      </c>
      <c r="E201" s="308">
        <f>COUNTIFS(TUDB!$H$8:$H$2326,Use!$B201,TUDB!$F$8:$F$2326,Use!E$49)</f>
        <v>0</v>
      </c>
      <c r="F201" s="308">
        <f>COUNTIFS(TUDB!$H$8:$H$2326,Use!$B201,TUDB!$F$8:$F$2326,Use!F$49)</f>
        <v>2</v>
      </c>
      <c r="G201" s="308">
        <f>COUNTIFS(TUDB!$H$8:$H$2326,Use!$B201,TUDB!$F$8:$F$2326,Use!G$49)</f>
        <v>0</v>
      </c>
      <c r="H201" s="308">
        <f>COUNTIFS(TUDB!$H$8:$H$2326,Use!$B201,TUDB!$F$8:$F$2326,Use!H$49)</f>
        <v>0</v>
      </c>
      <c r="I201" s="308">
        <f>COUNTIFS(TUDB!$H$8:$H$2326,Use!$B201,TUDB!$F$8:$F$2326,Use!I$49)</f>
        <v>0</v>
      </c>
      <c r="J201" s="308">
        <f>COUNTIFS(TUDB!$H$8:$H$2326,Use!$B201,TUDB!$F$8:$F$2326,Use!J$49)</f>
        <v>0</v>
      </c>
      <c r="K201" s="300">
        <f t="shared" si="48"/>
        <v>1</v>
      </c>
      <c r="L201" s="300">
        <f>IF(AND(G201&gt;0,SUM($E201:F201)=0),1,0)</f>
        <v>0</v>
      </c>
      <c r="M201" s="300">
        <f>IF(AND(H201&gt;0,SUM($E201:G201)=0),1,0)</f>
        <v>0</v>
      </c>
      <c r="N201" s="300">
        <f>IF(AND(I201&gt;0,SUM($E201:H201)=0),1,0)</f>
        <v>0</v>
      </c>
      <c r="O201" s="300">
        <f>IF(AND(J201&gt;0,SUM($E201:I201)=0),1,0)</f>
        <v>0</v>
      </c>
      <c r="P201" s="314"/>
      <c r="Q201" s="314"/>
      <c r="Z201"/>
      <c r="AB201" s="1"/>
    </row>
    <row r="202" spans="2:36" x14ac:dyDescent="0.25">
      <c r="B202" s="303" t="str">
        <v>FYL7YiCe6OdD8bPN31ubH82Xh2u1</v>
      </c>
      <c r="C202" s="303" t="s">
        <v>5969</v>
      </c>
      <c r="D202" s="305">
        <f t="shared" si="47"/>
        <v>1</v>
      </c>
      <c r="E202" s="305">
        <f>COUNTIFS(TUDB!$H$8:$H$2326,Use!$B202,TUDB!$F$8:$F$2326,Use!E$49)</f>
        <v>0</v>
      </c>
      <c r="F202" s="305">
        <f>COUNTIFS(TUDB!$H$8:$H$2326,Use!$B202,TUDB!$F$8:$F$2326,Use!F$49)</f>
        <v>1</v>
      </c>
      <c r="G202" s="305">
        <f>COUNTIFS(TUDB!$H$8:$H$2326,Use!$B202,TUDB!$F$8:$F$2326,Use!G$49)</f>
        <v>0</v>
      </c>
      <c r="H202" s="305">
        <f>COUNTIFS(TUDB!$H$8:$H$2326,Use!$B202,TUDB!$F$8:$F$2326,Use!H$49)</f>
        <v>0</v>
      </c>
      <c r="I202" s="305">
        <f>COUNTIFS(TUDB!$H$8:$H$2326,Use!$B202,TUDB!$F$8:$F$2326,Use!I$49)</f>
        <v>0</v>
      </c>
      <c r="J202" s="305">
        <f>COUNTIFS(TUDB!$H$8:$H$2326,Use!$B202,TUDB!$F$8:$F$2326,Use!J$49)</f>
        <v>0</v>
      </c>
      <c r="K202" s="298">
        <f t="shared" si="48"/>
        <v>1</v>
      </c>
      <c r="L202" s="298">
        <f>IF(AND(G202&gt;0,SUM($E202:F202)=0),1,0)</f>
        <v>0</v>
      </c>
      <c r="M202" s="298">
        <f>IF(AND(H202&gt;0,SUM($E202:G202)=0),1,0)</f>
        <v>0</v>
      </c>
      <c r="N202" s="298">
        <f>IF(AND(I202&gt;0,SUM($E202:H202)=0),1,0)</f>
        <v>0</v>
      </c>
      <c r="O202" s="298">
        <f>IF(AND(J202&gt;0,SUM($E202:I202)=0),1,0)</f>
        <v>0</v>
      </c>
      <c r="P202" s="315"/>
      <c r="Q202" s="315"/>
      <c r="Z202"/>
      <c r="AB202" s="1"/>
    </row>
    <row r="203" spans="2:36" x14ac:dyDescent="0.25">
      <c r="B203" s="306" t="str">
        <v>AD6JCNYvElPTWLupARpWInZJ7hI3</v>
      </c>
      <c r="C203" s="306" t="s">
        <v>5969</v>
      </c>
      <c r="D203" s="308">
        <f t="shared" si="47"/>
        <v>1</v>
      </c>
      <c r="E203" s="308">
        <f>COUNTIFS(TUDB!$H$8:$H$2326,Use!$B203,TUDB!$F$8:$F$2326,Use!E$49)</f>
        <v>0</v>
      </c>
      <c r="F203" s="308">
        <f>COUNTIFS(TUDB!$H$8:$H$2326,Use!$B203,TUDB!$F$8:$F$2326,Use!F$49)</f>
        <v>1</v>
      </c>
      <c r="G203" s="308">
        <f>COUNTIFS(TUDB!$H$8:$H$2326,Use!$B203,TUDB!$F$8:$F$2326,Use!G$49)</f>
        <v>0</v>
      </c>
      <c r="H203" s="308">
        <f>COUNTIFS(TUDB!$H$8:$H$2326,Use!$B203,TUDB!$F$8:$F$2326,Use!H$49)</f>
        <v>0</v>
      </c>
      <c r="I203" s="308">
        <f>COUNTIFS(TUDB!$H$8:$H$2326,Use!$B203,TUDB!$F$8:$F$2326,Use!I$49)</f>
        <v>0</v>
      </c>
      <c r="J203" s="308">
        <f>COUNTIFS(TUDB!$H$8:$H$2326,Use!$B203,TUDB!$F$8:$F$2326,Use!J$49)</f>
        <v>0</v>
      </c>
      <c r="K203" s="300">
        <f t="shared" si="48"/>
        <v>1</v>
      </c>
      <c r="L203" s="300">
        <f>IF(AND(G203&gt;0,SUM($E203:F203)=0),1,0)</f>
        <v>0</v>
      </c>
      <c r="M203" s="300">
        <f>IF(AND(H203&gt;0,SUM($E203:G203)=0),1,0)</f>
        <v>0</v>
      </c>
      <c r="N203" s="300">
        <f>IF(AND(I203&gt;0,SUM($E203:H203)=0),1,0)</f>
        <v>0</v>
      </c>
      <c r="O203" s="300">
        <f>IF(AND(J203&gt;0,SUM($E203:I203)=0),1,0)</f>
        <v>0</v>
      </c>
      <c r="P203" s="314"/>
      <c r="Q203" s="314"/>
      <c r="Z203"/>
      <c r="AB203" s="1"/>
    </row>
    <row r="204" spans="2:36" x14ac:dyDescent="0.25">
      <c r="B204" s="303" t="str">
        <v>G9YVGsA1pecv7s31GjmicjpOngC3</v>
      </c>
      <c r="C204" s="303" t="s">
        <v>5969</v>
      </c>
      <c r="D204" s="305">
        <f t="shared" si="47"/>
        <v>1</v>
      </c>
      <c r="E204" s="305">
        <f>COUNTIFS(TUDB!$H$8:$H$2326,Use!$B204,TUDB!$F$8:$F$2326,Use!E$49)</f>
        <v>0</v>
      </c>
      <c r="F204" s="305">
        <f>COUNTIFS(TUDB!$H$8:$H$2326,Use!$B204,TUDB!$F$8:$F$2326,Use!F$49)</f>
        <v>1</v>
      </c>
      <c r="G204" s="305">
        <f>COUNTIFS(TUDB!$H$8:$H$2326,Use!$B204,TUDB!$F$8:$F$2326,Use!G$49)</f>
        <v>0</v>
      </c>
      <c r="H204" s="305">
        <f>COUNTIFS(TUDB!$H$8:$H$2326,Use!$B204,TUDB!$F$8:$F$2326,Use!H$49)</f>
        <v>0</v>
      </c>
      <c r="I204" s="305">
        <f>COUNTIFS(TUDB!$H$8:$H$2326,Use!$B204,TUDB!$F$8:$F$2326,Use!I$49)</f>
        <v>0</v>
      </c>
      <c r="J204" s="305">
        <f>COUNTIFS(TUDB!$H$8:$H$2326,Use!$B204,TUDB!$F$8:$F$2326,Use!J$49)</f>
        <v>0</v>
      </c>
      <c r="K204" s="298">
        <f t="shared" si="48"/>
        <v>1</v>
      </c>
      <c r="L204" s="298">
        <f>IF(AND(G204&gt;0,SUM($E204:F204)=0),1,0)</f>
        <v>0</v>
      </c>
      <c r="M204" s="298">
        <f>IF(AND(H204&gt;0,SUM($E204:G204)=0),1,0)</f>
        <v>0</v>
      </c>
      <c r="N204" s="298">
        <f>IF(AND(I204&gt;0,SUM($E204:H204)=0),1,0)</f>
        <v>0</v>
      </c>
      <c r="O204" s="298">
        <f>IF(AND(J204&gt;0,SUM($E204:I204)=0),1,0)</f>
        <v>0</v>
      </c>
      <c r="P204" s="315"/>
      <c r="Q204" s="315"/>
      <c r="Z204"/>
      <c r="AB204" s="1"/>
    </row>
    <row r="205" spans="2:36" x14ac:dyDescent="0.25">
      <c r="B205" s="306" t="str">
        <v>MCnVNih9BIN4gi6oNH8FoBSG8Af1</v>
      </c>
      <c r="C205" s="306" t="s">
        <v>5969</v>
      </c>
      <c r="D205" s="308">
        <f t="shared" si="47"/>
        <v>1</v>
      </c>
      <c r="E205" s="308">
        <f>COUNTIFS(TUDB!$H$8:$H$2326,Use!$B205,TUDB!$F$8:$F$2326,Use!E$49)</f>
        <v>0</v>
      </c>
      <c r="F205" s="308">
        <f>COUNTIFS(TUDB!$H$8:$H$2326,Use!$B205,TUDB!$F$8:$F$2326,Use!F$49)</f>
        <v>1</v>
      </c>
      <c r="G205" s="308">
        <f>COUNTIFS(TUDB!$H$8:$H$2326,Use!$B205,TUDB!$F$8:$F$2326,Use!G$49)</f>
        <v>0</v>
      </c>
      <c r="H205" s="308">
        <f>COUNTIFS(TUDB!$H$8:$H$2326,Use!$B205,TUDB!$F$8:$F$2326,Use!H$49)</f>
        <v>0</v>
      </c>
      <c r="I205" s="308">
        <f>COUNTIFS(TUDB!$H$8:$H$2326,Use!$B205,TUDB!$F$8:$F$2326,Use!I$49)</f>
        <v>0</v>
      </c>
      <c r="J205" s="308">
        <f>COUNTIFS(TUDB!$H$8:$H$2326,Use!$B205,TUDB!$F$8:$F$2326,Use!J$49)</f>
        <v>0</v>
      </c>
      <c r="K205" s="300">
        <f t="shared" si="48"/>
        <v>1</v>
      </c>
      <c r="L205" s="300">
        <f>IF(AND(G205&gt;0,SUM($E205:F205)=0),1,0)</f>
        <v>0</v>
      </c>
      <c r="M205" s="300">
        <f>IF(AND(H205&gt;0,SUM($E205:G205)=0),1,0)</f>
        <v>0</v>
      </c>
      <c r="N205" s="300">
        <f>IF(AND(I205&gt;0,SUM($E205:H205)=0),1,0)</f>
        <v>0</v>
      </c>
      <c r="O205" s="300">
        <f>IF(AND(J205&gt;0,SUM($E205:I205)=0),1,0)</f>
        <v>0</v>
      </c>
      <c r="P205" s="314"/>
      <c r="Q205" s="314"/>
      <c r="Z205"/>
      <c r="AB205" s="1"/>
    </row>
    <row r="206" spans="2:36" x14ac:dyDescent="0.25">
      <c r="B206" s="303" t="str">
        <v>dV67Pqbk6jbWMNb18ukDVS7XaAU2</v>
      </c>
      <c r="C206" s="303" t="s">
        <v>5969</v>
      </c>
      <c r="D206" s="305">
        <f t="shared" si="47"/>
        <v>1</v>
      </c>
      <c r="E206" s="305">
        <f>COUNTIFS(TUDB!$H$8:$H$2326,Use!$B206,TUDB!$F$8:$F$2326,Use!E$49)</f>
        <v>0</v>
      </c>
      <c r="F206" s="305">
        <f>COUNTIFS(TUDB!$H$8:$H$2326,Use!$B206,TUDB!$F$8:$F$2326,Use!F$49)</f>
        <v>1</v>
      </c>
      <c r="G206" s="305">
        <f>COUNTIFS(TUDB!$H$8:$H$2326,Use!$B206,TUDB!$F$8:$F$2326,Use!G$49)</f>
        <v>0</v>
      </c>
      <c r="H206" s="305">
        <f>COUNTIFS(TUDB!$H$8:$H$2326,Use!$B206,TUDB!$F$8:$F$2326,Use!H$49)</f>
        <v>0</v>
      </c>
      <c r="I206" s="305">
        <f>COUNTIFS(TUDB!$H$8:$H$2326,Use!$B206,TUDB!$F$8:$F$2326,Use!I$49)</f>
        <v>0</v>
      </c>
      <c r="J206" s="305">
        <f>COUNTIFS(TUDB!$H$8:$H$2326,Use!$B206,TUDB!$F$8:$F$2326,Use!J$49)</f>
        <v>0</v>
      </c>
      <c r="K206" s="298">
        <f t="shared" si="48"/>
        <v>1</v>
      </c>
      <c r="L206" s="298">
        <f>IF(AND(G206&gt;0,SUM($E206:F206)=0),1,0)</f>
        <v>0</v>
      </c>
      <c r="M206" s="298">
        <f>IF(AND(H206&gt;0,SUM($E206:G206)=0),1,0)</f>
        <v>0</v>
      </c>
      <c r="N206" s="298">
        <f>IF(AND(I206&gt;0,SUM($E206:H206)=0),1,0)</f>
        <v>0</v>
      </c>
      <c r="O206" s="298">
        <f>IF(AND(J206&gt;0,SUM($E206:I206)=0),1,0)</f>
        <v>0</v>
      </c>
      <c r="P206" s="315"/>
      <c r="Q206" s="315"/>
      <c r="Z206"/>
      <c r="AB206" s="1"/>
      <c r="AJ206"/>
    </row>
    <row r="207" spans="2:36" x14ac:dyDescent="0.25">
      <c r="B207" s="306" t="str">
        <v>tBAAR7faosMTQJ2I96zZmmj44ji1</v>
      </c>
      <c r="C207" s="306" t="s">
        <v>5969</v>
      </c>
      <c r="D207" s="308">
        <f t="shared" si="47"/>
        <v>1</v>
      </c>
      <c r="E207" s="308">
        <f>COUNTIFS(TUDB!$H$8:$H$2326,Use!$B207,TUDB!$F$8:$F$2326,Use!E$49)</f>
        <v>0</v>
      </c>
      <c r="F207" s="308">
        <f>COUNTIFS(TUDB!$H$8:$H$2326,Use!$B207,TUDB!$F$8:$F$2326,Use!F$49)</f>
        <v>1</v>
      </c>
      <c r="G207" s="308">
        <f>COUNTIFS(TUDB!$H$8:$H$2326,Use!$B207,TUDB!$F$8:$F$2326,Use!G$49)</f>
        <v>0</v>
      </c>
      <c r="H207" s="308">
        <f>COUNTIFS(TUDB!$H$8:$H$2326,Use!$B207,TUDB!$F$8:$F$2326,Use!H$49)</f>
        <v>0</v>
      </c>
      <c r="I207" s="308">
        <f>COUNTIFS(TUDB!$H$8:$H$2326,Use!$B207,TUDB!$F$8:$F$2326,Use!I$49)</f>
        <v>0</v>
      </c>
      <c r="J207" s="308">
        <f>COUNTIFS(TUDB!$H$8:$H$2326,Use!$B207,TUDB!$F$8:$F$2326,Use!J$49)</f>
        <v>0</v>
      </c>
      <c r="K207" s="300">
        <f t="shared" si="48"/>
        <v>1</v>
      </c>
      <c r="L207" s="300">
        <f>IF(AND(G207&gt;0,SUM($E207:F207)=0),1,0)</f>
        <v>0</v>
      </c>
      <c r="M207" s="300">
        <f>IF(AND(H207&gt;0,SUM($E207:G207)=0),1,0)</f>
        <v>0</v>
      </c>
      <c r="N207" s="300">
        <f>IF(AND(I207&gt;0,SUM($E207:H207)=0),1,0)</f>
        <v>0</v>
      </c>
      <c r="O207" s="300">
        <f>IF(AND(J207&gt;0,SUM($E207:I207)=0),1,0)</f>
        <v>0</v>
      </c>
      <c r="P207" s="314"/>
      <c r="Q207" s="314"/>
      <c r="Z207"/>
      <c r="AB207" s="1"/>
      <c r="AJ207"/>
    </row>
    <row r="208" spans="2:36" x14ac:dyDescent="0.25">
      <c r="B208" s="303" t="str">
        <v>h8xpRwaPUEcuqR3jFLN2w8s5I7f1</v>
      </c>
      <c r="C208" s="303" t="s">
        <v>5969</v>
      </c>
      <c r="D208" s="305">
        <f t="shared" si="47"/>
        <v>6</v>
      </c>
      <c r="E208" s="305">
        <f>COUNTIFS(TUDB!$H$8:$H$2326,Use!$B208,TUDB!$F$8:$F$2326,Use!E$49)</f>
        <v>4</v>
      </c>
      <c r="F208" s="305">
        <f>COUNTIFS(TUDB!$H$8:$H$2326,Use!$B208,TUDB!$F$8:$F$2326,Use!F$49)</f>
        <v>2</v>
      </c>
      <c r="G208" s="305">
        <f>COUNTIFS(TUDB!$H$8:$H$2326,Use!$B208,TUDB!$F$8:$F$2326,Use!G$49)</f>
        <v>0</v>
      </c>
      <c r="H208" s="305">
        <f>COUNTIFS(TUDB!$H$8:$H$2326,Use!$B208,TUDB!$F$8:$F$2326,Use!H$49)</f>
        <v>0</v>
      </c>
      <c r="I208" s="305">
        <f>COUNTIFS(TUDB!$H$8:$H$2326,Use!$B208,TUDB!$F$8:$F$2326,Use!I$49)</f>
        <v>0</v>
      </c>
      <c r="J208" s="305">
        <f>COUNTIFS(TUDB!$H$8:$H$2326,Use!$B208,TUDB!$F$8:$F$2326,Use!J$49)</f>
        <v>0</v>
      </c>
      <c r="K208" s="298">
        <f t="shared" si="48"/>
        <v>0</v>
      </c>
      <c r="L208" s="298">
        <f>IF(AND(G208&gt;0,SUM($E208:F208)=0),1,0)</f>
        <v>0</v>
      </c>
      <c r="M208" s="298">
        <f>IF(AND(H208&gt;0,SUM($E208:G208)=0),1,0)</f>
        <v>0</v>
      </c>
      <c r="N208" s="298">
        <f>IF(AND(I208&gt;0,SUM($E208:H208)=0),1,0)</f>
        <v>0</v>
      </c>
      <c r="O208" s="298">
        <f>IF(AND(J208&gt;0,SUM($E208:I208)=0),1,0)</f>
        <v>0</v>
      </c>
      <c r="P208" s="315"/>
      <c r="Q208" s="315"/>
      <c r="Z208"/>
      <c r="AB208" s="1"/>
      <c r="AJ208"/>
    </row>
    <row r="209" spans="2:36" x14ac:dyDescent="0.25">
      <c r="B209" s="306" t="str">
        <v>4Ykk5veXq2hi1RbTNiHDVsXi48I3</v>
      </c>
      <c r="C209" s="306" t="s">
        <v>5969</v>
      </c>
      <c r="D209" s="308">
        <f t="shared" si="47"/>
        <v>3</v>
      </c>
      <c r="E209" s="308">
        <f>COUNTIFS(TUDB!$H$8:$H$2326,Use!$B209,TUDB!$F$8:$F$2326,Use!E$49)</f>
        <v>3</v>
      </c>
      <c r="F209" s="308">
        <f>COUNTIFS(TUDB!$H$8:$H$2326,Use!$B209,TUDB!$F$8:$F$2326,Use!F$49)</f>
        <v>0</v>
      </c>
      <c r="G209" s="308">
        <f>COUNTIFS(TUDB!$H$8:$H$2326,Use!$B209,TUDB!$F$8:$F$2326,Use!G$49)</f>
        <v>0</v>
      </c>
      <c r="H209" s="308">
        <f>COUNTIFS(TUDB!$H$8:$H$2326,Use!$B209,TUDB!$F$8:$F$2326,Use!H$49)</f>
        <v>0</v>
      </c>
      <c r="I209" s="308">
        <f>COUNTIFS(TUDB!$H$8:$H$2326,Use!$B209,TUDB!$F$8:$F$2326,Use!I$49)</f>
        <v>0</v>
      </c>
      <c r="J209" s="308">
        <f>COUNTIFS(TUDB!$H$8:$H$2326,Use!$B209,TUDB!$F$8:$F$2326,Use!J$49)</f>
        <v>0</v>
      </c>
      <c r="K209" s="300">
        <f t="shared" ref="K209" si="49">IF(AND(F209&gt;0,SUM($E209)=0),1,0)</f>
        <v>0</v>
      </c>
      <c r="L209" s="300">
        <f>IF(AND(G209&gt;0,SUM($E209:F209)=0),1,0)</f>
        <v>0</v>
      </c>
      <c r="M209" s="300">
        <f>IF(AND(H209&gt;0,SUM($E209:G209)=0),1,0)</f>
        <v>0</v>
      </c>
      <c r="N209" s="300">
        <f>IF(AND(I209&gt;0,SUM($E209:H209)=0),1,0)</f>
        <v>0</v>
      </c>
      <c r="O209" s="300">
        <f>IF(AND(J209&gt;0,SUM($E209:I209)=0),1,0)</f>
        <v>0</v>
      </c>
      <c r="P209" s="314"/>
      <c r="Q209" s="314"/>
      <c r="Z209"/>
      <c r="AB209" s="1"/>
      <c r="AJ209"/>
    </row>
    <row r="210" spans="2:36" x14ac:dyDescent="0.25">
      <c r="B210" s="303" t="str">
        <v>FRZZhEyLR4WADV6UPlIZSKdWUpS2</v>
      </c>
      <c r="C210" s="303" t="s">
        <v>5969</v>
      </c>
      <c r="D210" s="305">
        <f t="shared" si="47"/>
        <v>4</v>
      </c>
      <c r="E210" s="305">
        <f>COUNTIFS(TUDB!$H$8:$H$2326,Use!$B210,TUDB!$F$8:$F$2326,Use!E$49)</f>
        <v>4</v>
      </c>
      <c r="F210" s="305">
        <f>COUNTIFS(TUDB!$H$8:$H$2326,Use!$B210,TUDB!$F$8:$F$2326,Use!F$49)</f>
        <v>0</v>
      </c>
      <c r="G210" s="305">
        <f>COUNTIFS(TUDB!$H$8:$H$2326,Use!$B210,TUDB!$F$8:$F$2326,Use!G$49)</f>
        <v>0</v>
      </c>
      <c r="H210" s="305">
        <f>COUNTIFS(TUDB!$H$8:$H$2326,Use!$B210,TUDB!$F$8:$F$2326,Use!H$49)</f>
        <v>0</v>
      </c>
      <c r="I210" s="305">
        <f>COUNTIFS(TUDB!$H$8:$H$2326,Use!$B210,TUDB!$F$8:$F$2326,Use!I$49)</f>
        <v>0</v>
      </c>
      <c r="J210" s="305">
        <f>COUNTIFS(TUDB!$H$8:$H$2326,Use!$B210,TUDB!$F$8:$F$2326,Use!J$49)</f>
        <v>0</v>
      </c>
      <c r="Z210"/>
      <c r="AB210" s="1"/>
      <c r="AJ210"/>
    </row>
    <row r="211" spans="2:36" x14ac:dyDescent="0.25">
      <c r="B211" s="306" t="str">
        <v>D1QmPG2MfNY3WFWFaaT6LZIxAsi1</v>
      </c>
      <c r="C211" s="306" t="s">
        <v>5969</v>
      </c>
      <c r="D211" s="308">
        <f t="shared" si="47"/>
        <v>4</v>
      </c>
      <c r="E211" s="308">
        <f>COUNTIFS(TUDB!$H$8:$H$2326,Use!$B211,TUDB!$F$8:$F$2326,Use!E$49)</f>
        <v>4</v>
      </c>
      <c r="F211" s="308">
        <f>COUNTIFS(TUDB!$H$8:$H$2326,Use!$B211,TUDB!$F$8:$F$2326,Use!F$49)</f>
        <v>0</v>
      </c>
      <c r="G211" s="308">
        <f>COUNTIFS(TUDB!$H$8:$H$2326,Use!$B211,TUDB!$F$8:$F$2326,Use!G$49)</f>
        <v>0</v>
      </c>
      <c r="H211" s="308">
        <f>COUNTIFS(TUDB!$H$8:$H$2326,Use!$B211,TUDB!$F$8:$F$2326,Use!H$49)</f>
        <v>0</v>
      </c>
      <c r="I211" s="308">
        <f>COUNTIFS(TUDB!$H$8:$H$2326,Use!$B211,TUDB!$F$8:$F$2326,Use!I$49)</f>
        <v>0</v>
      </c>
      <c r="J211" s="308">
        <f>COUNTIFS(TUDB!$H$8:$H$2326,Use!$B211,TUDB!$F$8:$F$2326,Use!J$49)</f>
        <v>0</v>
      </c>
      <c r="Z211"/>
      <c r="AB211" s="1"/>
      <c r="AJ211"/>
    </row>
    <row r="212" spans="2:36" x14ac:dyDescent="0.25">
      <c r="B212" s="303" t="str">
        <v>5LHjzjwcR3gRpTbduCnw0dDjeNQ2</v>
      </c>
      <c r="C212" s="303" t="s">
        <v>5969</v>
      </c>
      <c r="D212" s="305">
        <f t="shared" si="47"/>
        <v>8</v>
      </c>
      <c r="E212" s="305">
        <f>COUNTIFS(TUDB!$H$8:$H$2326,Use!$B212,TUDB!$F$8:$F$2326,Use!E$49)</f>
        <v>8</v>
      </c>
      <c r="F212" s="305">
        <f>COUNTIFS(TUDB!$H$8:$H$2326,Use!$B212,TUDB!$F$8:$F$2326,Use!F$49)</f>
        <v>0</v>
      </c>
      <c r="G212" s="305">
        <f>COUNTIFS(TUDB!$H$8:$H$2326,Use!$B212,TUDB!$F$8:$F$2326,Use!G$49)</f>
        <v>0</v>
      </c>
      <c r="H212" s="305">
        <f>COUNTIFS(TUDB!$H$8:$H$2326,Use!$B212,TUDB!$F$8:$F$2326,Use!H$49)</f>
        <v>0</v>
      </c>
      <c r="I212" s="305">
        <f>COUNTIFS(TUDB!$H$8:$H$2326,Use!$B212,TUDB!$F$8:$F$2326,Use!I$49)</f>
        <v>0</v>
      </c>
      <c r="J212" s="305">
        <f>COUNTIFS(TUDB!$H$8:$H$2326,Use!$B212,TUDB!$F$8:$F$2326,Use!J$49)</f>
        <v>0</v>
      </c>
      <c r="Z212"/>
      <c r="AB212" s="1"/>
      <c r="AJ212"/>
    </row>
    <row r="213" spans="2:36" x14ac:dyDescent="0.25">
      <c r="B213" s="306" t="str">
        <v>YkpWOyDHLcV71TEIgRIoUjroJX33</v>
      </c>
      <c r="C213" s="306" t="s">
        <v>5969</v>
      </c>
      <c r="D213" s="308">
        <f t="shared" si="47"/>
        <v>1</v>
      </c>
      <c r="E213" s="308">
        <f>COUNTIFS(TUDB!$H$8:$H$2326,Use!$B213,TUDB!$F$8:$F$2326,Use!E$49)</f>
        <v>1</v>
      </c>
      <c r="F213" s="308">
        <f>COUNTIFS(TUDB!$H$8:$H$2326,Use!$B213,TUDB!$F$8:$F$2326,Use!F$49)</f>
        <v>0</v>
      </c>
      <c r="G213" s="308">
        <f>COUNTIFS(TUDB!$H$8:$H$2326,Use!$B213,TUDB!$F$8:$F$2326,Use!G$49)</f>
        <v>0</v>
      </c>
      <c r="H213" s="308">
        <f>COUNTIFS(TUDB!$H$8:$H$2326,Use!$B213,TUDB!$F$8:$F$2326,Use!H$49)</f>
        <v>0</v>
      </c>
      <c r="I213" s="308">
        <f>COUNTIFS(TUDB!$H$8:$H$2326,Use!$B213,TUDB!$F$8:$F$2326,Use!I$49)</f>
        <v>0</v>
      </c>
      <c r="J213" s="308">
        <f>COUNTIFS(TUDB!$H$8:$H$2326,Use!$B213,TUDB!$F$8:$F$2326,Use!J$49)</f>
        <v>0</v>
      </c>
      <c r="Z213"/>
      <c r="AB213" s="1"/>
      <c r="AJ213"/>
    </row>
    <row r="214" spans="2:36" x14ac:dyDescent="0.25">
      <c r="B214" s="303" t="str">
        <v>hEgRvyxprVMoz5dpBpUBrum6edn1</v>
      </c>
      <c r="C214" s="303" t="s">
        <v>5969</v>
      </c>
      <c r="D214" s="305">
        <f t="shared" si="47"/>
        <v>2</v>
      </c>
      <c r="E214" s="305">
        <f>COUNTIFS(TUDB!$H$8:$H$2326,Use!$B214,TUDB!$F$8:$F$2326,Use!E$49)</f>
        <v>2</v>
      </c>
      <c r="F214" s="305">
        <f>COUNTIFS(TUDB!$H$8:$H$2326,Use!$B214,TUDB!$F$8:$F$2326,Use!F$49)</f>
        <v>0</v>
      </c>
      <c r="G214" s="305">
        <f>COUNTIFS(TUDB!$H$8:$H$2326,Use!$B214,TUDB!$F$8:$F$2326,Use!G$49)</f>
        <v>0</v>
      </c>
      <c r="H214" s="305">
        <f>COUNTIFS(TUDB!$H$8:$H$2326,Use!$B214,TUDB!$F$8:$F$2326,Use!H$49)</f>
        <v>0</v>
      </c>
      <c r="I214" s="305">
        <f>COUNTIFS(TUDB!$H$8:$H$2326,Use!$B214,TUDB!$F$8:$F$2326,Use!I$49)</f>
        <v>0</v>
      </c>
      <c r="J214" s="305">
        <f>COUNTIFS(TUDB!$H$8:$H$2326,Use!$B214,TUDB!$F$8:$F$2326,Use!J$49)</f>
        <v>0</v>
      </c>
      <c r="Z214"/>
      <c r="AB214" s="1"/>
      <c r="AJ214"/>
    </row>
    <row r="215" spans="2:36" x14ac:dyDescent="0.25">
      <c r="B215" s="306" t="str">
        <v>RtViMLMtt9UbHrBNbNmeeETsZ9Q2</v>
      </c>
      <c r="C215" s="306" t="s">
        <v>5969</v>
      </c>
      <c r="D215" s="308">
        <f t="shared" si="47"/>
        <v>16</v>
      </c>
      <c r="E215" s="308">
        <f>COUNTIFS(TUDB!$H$8:$H$2326,Use!$B215,TUDB!$F$8:$F$2326,Use!E$49)</f>
        <v>16</v>
      </c>
      <c r="F215" s="308">
        <f>COUNTIFS(TUDB!$H$8:$H$2326,Use!$B215,TUDB!$F$8:$F$2326,Use!F$49)</f>
        <v>0</v>
      </c>
      <c r="G215" s="308">
        <f>COUNTIFS(TUDB!$H$8:$H$2326,Use!$B215,TUDB!$F$8:$F$2326,Use!G$49)</f>
        <v>0</v>
      </c>
      <c r="H215" s="308">
        <f>COUNTIFS(TUDB!$H$8:$H$2326,Use!$B215,TUDB!$F$8:$F$2326,Use!H$49)</f>
        <v>0</v>
      </c>
      <c r="I215" s="308">
        <f>COUNTIFS(TUDB!$H$8:$H$2326,Use!$B215,TUDB!$F$8:$F$2326,Use!I$49)</f>
        <v>0</v>
      </c>
      <c r="J215" s="308">
        <f>COUNTIFS(TUDB!$H$8:$H$2326,Use!$B215,TUDB!$F$8:$F$2326,Use!J$49)</f>
        <v>0</v>
      </c>
      <c r="Z215"/>
      <c r="AB215" s="1"/>
      <c r="AJ215"/>
    </row>
    <row r="216" spans="2:36" x14ac:dyDescent="0.25">
      <c r="B216" s="303" t="str">
        <v>Jze49MWrhRTjqve8BWc3L9u44972</v>
      </c>
      <c r="C216" s="303" t="s">
        <v>5969</v>
      </c>
      <c r="D216" s="305">
        <f t="shared" si="47"/>
        <v>2</v>
      </c>
      <c r="E216" s="305">
        <f>COUNTIFS(TUDB!$H$8:$H$2326,Use!$B216,TUDB!$F$8:$F$2326,Use!E$49)</f>
        <v>2</v>
      </c>
      <c r="F216" s="305">
        <f>COUNTIFS(TUDB!$H$8:$H$2326,Use!$B216,TUDB!$F$8:$F$2326,Use!F$49)</f>
        <v>0</v>
      </c>
      <c r="G216" s="305">
        <f>COUNTIFS(TUDB!$H$8:$H$2326,Use!$B216,TUDB!$F$8:$F$2326,Use!G$49)</f>
        <v>0</v>
      </c>
      <c r="H216" s="305">
        <f>COUNTIFS(TUDB!$H$8:$H$2326,Use!$B216,TUDB!$F$8:$F$2326,Use!H$49)</f>
        <v>0</v>
      </c>
      <c r="I216" s="305">
        <f>COUNTIFS(TUDB!$H$8:$H$2326,Use!$B216,TUDB!$F$8:$F$2326,Use!I$49)</f>
        <v>0</v>
      </c>
      <c r="J216" s="305">
        <f>COUNTIFS(TUDB!$H$8:$H$2326,Use!$B216,TUDB!$F$8:$F$2326,Use!J$49)</f>
        <v>0</v>
      </c>
      <c r="Z216"/>
      <c r="AB216" s="1"/>
      <c r="AJ216"/>
    </row>
    <row r="217" spans="2:36" x14ac:dyDescent="0.25">
      <c r="B217" s="306" t="str">
        <v>aaZLVG4ULtMFxbMcGh7Du7yv6D53</v>
      </c>
      <c r="C217" s="306" t="s">
        <v>5969</v>
      </c>
      <c r="D217" s="308">
        <f t="shared" si="47"/>
        <v>3</v>
      </c>
      <c r="E217" s="308">
        <f>COUNTIFS(TUDB!$H$8:$H$2326,Use!$B217,TUDB!$F$8:$F$2326,Use!E$49)</f>
        <v>3</v>
      </c>
      <c r="F217" s="308">
        <f>COUNTIFS(TUDB!$H$8:$H$2326,Use!$B217,TUDB!$F$8:$F$2326,Use!F$49)</f>
        <v>0</v>
      </c>
      <c r="G217" s="308">
        <f>COUNTIFS(TUDB!$H$8:$H$2326,Use!$B217,TUDB!$F$8:$F$2326,Use!G$49)</f>
        <v>0</v>
      </c>
      <c r="H217" s="308">
        <f>COUNTIFS(TUDB!$H$8:$H$2326,Use!$B217,TUDB!$F$8:$F$2326,Use!H$49)</f>
        <v>0</v>
      </c>
      <c r="I217" s="308">
        <f>COUNTIFS(TUDB!$H$8:$H$2326,Use!$B217,TUDB!$F$8:$F$2326,Use!I$49)</f>
        <v>0</v>
      </c>
      <c r="J217" s="308">
        <f>COUNTIFS(TUDB!$H$8:$H$2326,Use!$B217,TUDB!$F$8:$F$2326,Use!J$49)</f>
        <v>0</v>
      </c>
      <c r="Z217"/>
      <c r="AB217" s="1"/>
      <c r="AJ217"/>
    </row>
    <row r="218" spans="2:36" x14ac:dyDescent="0.25">
      <c r="B218" s="303" t="str">
        <v>x1i9cEQnWOO56OOjDScxQFFBG9z2</v>
      </c>
      <c r="C218" s="303" t="s">
        <v>5969</v>
      </c>
      <c r="D218" s="305">
        <f t="shared" si="47"/>
        <v>1</v>
      </c>
      <c r="E218" s="305">
        <f>COUNTIFS(TUDB!$H$8:$H$2326,Use!$B218,TUDB!$F$8:$F$2326,Use!E$49)</f>
        <v>1</v>
      </c>
      <c r="F218" s="305">
        <f>COUNTIFS(TUDB!$H$8:$H$2326,Use!$B218,TUDB!$F$8:$F$2326,Use!F$49)</f>
        <v>0</v>
      </c>
      <c r="G218" s="305">
        <f>COUNTIFS(TUDB!$H$8:$H$2326,Use!$B218,TUDB!$F$8:$F$2326,Use!G$49)</f>
        <v>0</v>
      </c>
      <c r="H218" s="305">
        <f>COUNTIFS(TUDB!$H$8:$H$2326,Use!$B218,TUDB!$F$8:$F$2326,Use!H$49)</f>
        <v>0</v>
      </c>
      <c r="I218" s="305">
        <f>COUNTIFS(TUDB!$H$8:$H$2326,Use!$B218,TUDB!$F$8:$F$2326,Use!I$49)</f>
        <v>0</v>
      </c>
      <c r="J218" s="305">
        <f>COUNTIFS(TUDB!$H$8:$H$2326,Use!$B218,TUDB!$F$8:$F$2326,Use!J$49)</f>
        <v>0</v>
      </c>
      <c r="Z218"/>
      <c r="AB218" s="1"/>
      <c r="AJ218"/>
    </row>
    <row r="219" spans="2:36" x14ac:dyDescent="0.25">
      <c r="B219" s="306" t="str">
        <v>gQ9v9qjFhrTuJwNMhUuOGT7Jl3F2</v>
      </c>
      <c r="C219" s="306" t="s">
        <v>5969</v>
      </c>
      <c r="D219" s="308">
        <f t="shared" si="47"/>
        <v>1</v>
      </c>
      <c r="E219" s="308">
        <f>COUNTIFS(TUDB!$H$8:$H$2326,Use!$B219,TUDB!$F$8:$F$2326,Use!E$49)</f>
        <v>1</v>
      </c>
      <c r="F219" s="308">
        <f>COUNTIFS(TUDB!$H$8:$H$2326,Use!$B219,TUDB!$F$8:$F$2326,Use!F$49)</f>
        <v>0</v>
      </c>
      <c r="G219" s="308">
        <f>COUNTIFS(TUDB!$H$8:$H$2326,Use!$B219,TUDB!$F$8:$F$2326,Use!G$49)</f>
        <v>0</v>
      </c>
      <c r="H219" s="308">
        <f>COUNTIFS(TUDB!$H$8:$H$2326,Use!$B219,TUDB!$F$8:$F$2326,Use!H$49)</f>
        <v>0</v>
      </c>
      <c r="I219" s="308">
        <f>COUNTIFS(TUDB!$H$8:$H$2326,Use!$B219,TUDB!$F$8:$F$2326,Use!I$49)</f>
        <v>0</v>
      </c>
      <c r="J219" s="308">
        <f>COUNTIFS(TUDB!$H$8:$H$2326,Use!$B219,TUDB!$F$8:$F$2326,Use!J$49)</f>
        <v>0</v>
      </c>
      <c r="Z219"/>
      <c r="AB219" s="1"/>
      <c r="AJ219"/>
    </row>
    <row r="220" spans="2:36" x14ac:dyDescent="0.25">
      <c r="B220" s="303" t="str">
        <v>pNUOPrVrLAYalyFyEZ8n7pv2NXl1</v>
      </c>
      <c r="C220" s="303" t="s">
        <v>5969</v>
      </c>
      <c r="D220" s="305">
        <f t="shared" si="47"/>
        <v>1</v>
      </c>
      <c r="E220" s="305">
        <f>COUNTIFS(TUDB!$H$8:$H$2326,Use!$B220,TUDB!$F$8:$F$2326,Use!E$49)</f>
        <v>1</v>
      </c>
      <c r="F220" s="305">
        <f>COUNTIFS(TUDB!$H$8:$H$2326,Use!$B220,TUDB!$F$8:$F$2326,Use!F$49)</f>
        <v>0</v>
      </c>
      <c r="G220" s="305">
        <f>COUNTIFS(TUDB!$H$8:$H$2326,Use!$B220,TUDB!$F$8:$F$2326,Use!G$49)</f>
        <v>0</v>
      </c>
      <c r="H220" s="305">
        <f>COUNTIFS(TUDB!$H$8:$H$2326,Use!$B220,TUDB!$F$8:$F$2326,Use!H$49)</f>
        <v>0</v>
      </c>
      <c r="I220" s="305">
        <f>COUNTIFS(TUDB!$H$8:$H$2326,Use!$B220,TUDB!$F$8:$F$2326,Use!I$49)</f>
        <v>0</v>
      </c>
      <c r="J220" s="305">
        <f>COUNTIFS(TUDB!$H$8:$H$2326,Use!$B220,TUDB!$F$8:$F$2326,Use!J$49)</f>
        <v>0</v>
      </c>
      <c r="Z220"/>
      <c r="AB220" s="1"/>
      <c r="AJ220"/>
    </row>
    <row r="221" spans="2:36" x14ac:dyDescent="0.25">
      <c r="B221" s="306" t="str">
        <v>ZXA41xzI2eX7P5fFeTzyOsASKfm1</v>
      </c>
      <c r="C221" s="306" t="s">
        <v>5969</v>
      </c>
      <c r="D221" s="308">
        <f t="shared" si="47"/>
        <v>2</v>
      </c>
      <c r="E221" s="308">
        <f>COUNTIFS(TUDB!$H$8:$H$2326,Use!$B221,TUDB!$F$8:$F$2326,Use!E$49)</f>
        <v>2</v>
      </c>
      <c r="F221" s="308">
        <f>COUNTIFS(TUDB!$H$8:$H$2326,Use!$B221,TUDB!$F$8:$F$2326,Use!F$49)</f>
        <v>0</v>
      </c>
      <c r="G221" s="308">
        <f>COUNTIFS(TUDB!$H$8:$H$2326,Use!$B221,TUDB!$F$8:$F$2326,Use!G$49)</f>
        <v>0</v>
      </c>
      <c r="H221" s="308">
        <f>COUNTIFS(TUDB!$H$8:$H$2326,Use!$B221,TUDB!$F$8:$F$2326,Use!H$49)</f>
        <v>0</v>
      </c>
      <c r="I221" s="308">
        <f>COUNTIFS(TUDB!$H$8:$H$2326,Use!$B221,TUDB!$F$8:$F$2326,Use!I$49)</f>
        <v>0</v>
      </c>
      <c r="J221" s="308">
        <f>COUNTIFS(TUDB!$H$8:$H$2326,Use!$B221,TUDB!$F$8:$F$2326,Use!J$49)</f>
        <v>0</v>
      </c>
      <c r="Z221"/>
      <c r="AB221" s="1"/>
    </row>
    <row r="222" spans="2:36" x14ac:dyDescent="0.25">
      <c r="B222" s="303" t="str">
        <v>p19CQ1BbH9PHxeE0VLFdcdKIBUi1</v>
      </c>
      <c r="C222" s="303" t="s">
        <v>5969</v>
      </c>
      <c r="D222" s="305">
        <f t="shared" si="47"/>
        <v>3</v>
      </c>
      <c r="E222" s="305">
        <f>COUNTIFS(TUDB!$H$8:$H$2326,Use!$B222,TUDB!$F$8:$F$2326,Use!E$49)</f>
        <v>3</v>
      </c>
      <c r="F222" s="305">
        <f>COUNTIFS(TUDB!$H$8:$H$2326,Use!$B222,TUDB!$F$8:$F$2326,Use!F$49)</f>
        <v>0</v>
      </c>
      <c r="G222" s="305">
        <f>COUNTIFS(TUDB!$H$8:$H$2326,Use!$B222,TUDB!$F$8:$F$2326,Use!G$49)</f>
        <v>0</v>
      </c>
      <c r="H222" s="305">
        <f>COUNTIFS(TUDB!$H$8:$H$2326,Use!$B222,TUDB!$F$8:$F$2326,Use!H$49)</f>
        <v>0</v>
      </c>
      <c r="I222" s="305">
        <f>COUNTIFS(TUDB!$H$8:$H$2326,Use!$B222,TUDB!$F$8:$F$2326,Use!I$49)</f>
        <v>0</v>
      </c>
      <c r="J222" s="305">
        <f>COUNTIFS(TUDB!$H$8:$H$2326,Use!$B222,TUDB!$F$8:$F$2326,Use!J$49)</f>
        <v>0</v>
      </c>
      <c r="Z222"/>
      <c r="AB222" s="1"/>
    </row>
    <row r="223" spans="2:36" x14ac:dyDescent="0.25">
      <c r="B223" s="299" t="str">
        <v>AhR0j59FntcvgJmYbFkI8vPPHg73</v>
      </c>
      <c r="C223" s="299" t="s">
        <v>5969</v>
      </c>
      <c r="D223" s="308">
        <f t="shared" si="47"/>
        <v>5</v>
      </c>
      <c r="E223" s="308">
        <f>COUNTIFS(TUDB!$H$8:$H$2326,Use!$B223,TUDB!$F$8:$F$2326,Use!E$49)</f>
        <v>5</v>
      </c>
      <c r="F223" s="308">
        <f>COUNTIFS(TUDB!$H$8:$H$2326,Use!$B223,TUDB!$F$8:$F$2326,Use!F$49)</f>
        <v>0</v>
      </c>
      <c r="G223" s="308">
        <f>COUNTIFS(TUDB!$H$8:$H$2326,Use!$B223,TUDB!$F$8:$F$2326,Use!G$49)</f>
        <v>0</v>
      </c>
      <c r="H223" s="308">
        <f>COUNTIFS(TUDB!$H$8:$H$2326,Use!$B223,TUDB!$F$8:$F$2326,Use!H$49)</f>
        <v>0</v>
      </c>
      <c r="I223" s="308">
        <f>COUNTIFS(TUDB!$H$8:$H$2326,Use!$B223,TUDB!$F$8:$F$2326,Use!I$49)</f>
        <v>0</v>
      </c>
      <c r="J223" s="308">
        <f>COUNTIFS(TUDB!$H$8:$H$2326,Use!$B223,TUDB!$F$8:$F$2326,Use!J$49)</f>
        <v>0</v>
      </c>
      <c r="Z223"/>
      <c r="AB223" s="1"/>
    </row>
    <row r="224" spans="2:36" x14ac:dyDescent="0.25">
      <c r="Z224"/>
      <c r="AB224" s="1"/>
    </row>
    <row r="225" spans="26:40" x14ac:dyDescent="0.25">
      <c r="Z225"/>
      <c r="AB225" s="1"/>
    </row>
    <row r="226" spans="26:40" x14ac:dyDescent="0.25">
      <c r="Z226"/>
      <c r="AB226" s="1"/>
      <c r="AN226" s="1"/>
    </row>
    <row r="227" spans="26:40" x14ac:dyDescent="0.25">
      <c r="Z227"/>
      <c r="AB227" s="1"/>
      <c r="AN227" s="1"/>
    </row>
    <row r="228" spans="26:40" x14ac:dyDescent="0.25">
      <c r="Z228"/>
      <c r="AB228" s="1"/>
      <c r="AN228" s="1"/>
    </row>
    <row r="229" spans="26:40" x14ac:dyDescent="0.25">
      <c r="Z229"/>
      <c r="AB229" s="1"/>
      <c r="AN229" s="1"/>
    </row>
    <row r="230" spans="26:40" x14ac:dyDescent="0.25">
      <c r="Z230"/>
      <c r="AB230" s="1"/>
      <c r="AN230" s="1"/>
    </row>
    <row r="231" spans="26:40" x14ac:dyDescent="0.25">
      <c r="AN231" s="1"/>
    </row>
    <row r="232" spans="26:40" x14ac:dyDescent="0.25">
      <c r="AN232" s="1"/>
    </row>
    <row r="233" spans="26:40" x14ac:dyDescent="0.25">
      <c r="AN233" s="1"/>
    </row>
    <row r="234" spans="26:40" x14ac:dyDescent="0.25">
      <c r="AN234" s="1"/>
    </row>
    <row r="235" spans="26:40" x14ac:dyDescent="0.25">
      <c r="AN235" s="1"/>
    </row>
    <row r="236" spans="26:40" x14ac:dyDescent="0.25">
      <c r="AN236" s="1"/>
    </row>
    <row r="237" spans="26:40" x14ac:dyDescent="0.25">
      <c r="AN237" s="1"/>
    </row>
    <row r="238" spans="26:40" x14ac:dyDescent="0.25">
      <c r="AN238" s="1"/>
    </row>
    <row r="239" spans="26:40" x14ac:dyDescent="0.25">
      <c r="AN239" s="1"/>
    </row>
    <row r="240" spans="26:40" x14ac:dyDescent="0.25">
      <c r="AN240" s="1"/>
    </row>
  </sheetData>
  <sortState xmlns:xlrd2="http://schemas.microsoft.com/office/spreadsheetml/2017/richdata2" ref="B15:B23">
    <sortCondition ref="B15"/>
  </sortState>
  <mergeCells count="8">
    <mergeCell ref="AD73:AE73"/>
    <mergeCell ref="S118:V118"/>
    <mergeCell ref="Z73:AA73"/>
    <mergeCell ref="AB73:AC73"/>
    <mergeCell ref="S73:S74"/>
    <mergeCell ref="T73:U73"/>
    <mergeCell ref="V73:W73"/>
    <mergeCell ref="X73:Y73"/>
  </mergeCells>
  <conditionalFormatting sqref="S94">
    <cfRule type="expression" dxfId="13" priority="1">
      <formula>#REF!&lt;&gt;""</formula>
    </cfRule>
  </conditionalFormatting>
  <pageMargins left="0.7" right="0.7" top="0.75" bottom="0.75" header="0.3" footer="0.3"/>
  <pageSetup orientation="portrait" r:id="rId1"/>
  <ignoredErrors>
    <ignoredError sqref="T88 U88:AA88" 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A2BF-C28C-41EF-AFAD-E5C45F43F913}">
  <sheetPr codeName="Sheet2"/>
  <dimension ref="A1:AV127"/>
  <sheetViews>
    <sheetView showGridLines="0" zoomScale="70" zoomScaleNormal="70" workbookViewId="0">
      <selection activeCell="C3" sqref="C3"/>
    </sheetView>
  </sheetViews>
  <sheetFormatPr defaultRowHeight="15" x14ac:dyDescent="0.25"/>
  <cols>
    <col min="1" max="1" width="2.28515625" customWidth="1"/>
    <col min="2" max="2" width="30.7109375" customWidth="1"/>
    <col min="3" max="3" width="15" style="1" customWidth="1"/>
    <col min="4" max="5" width="8.42578125" style="1" customWidth="1"/>
    <col min="6" max="8" width="8.42578125" customWidth="1"/>
    <col min="9" max="9" width="7.140625" customWidth="1"/>
    <col min="10" max="10" width="8.28515625" customWidth="1"/>
    <col min="11" max="11" width="8.42578125" customWidth="1"/>
    <col min="12" max="19" width="8.7109375" customWidth="1"/>
    <col min="20" max="20" width="8.7109375" style="1" customWidth="1"/>
    <col min="21" max="22" width="8.7109375" customWidth="1"/>
    <col min="23" max="25" width="12.140625" customWidth="1"/>
    <col min="26" max="26" width="12.140625" style="1" customWidth="1"/>
    <col min="27" max="27" width="12.140625" style="15" customWidth="1"/>
    <col min="28" max="35" width="12.140625" customWidth="1"/>
    <col min="36" max="37" width="3.85546875" bestFit="1" customWidth="1"/>
    <col min="38" max="38" width="2" bestFit="1" customWidth="1"/>
    <col min="39" max="39" width="30.5703125" bestFit="1" customWidth="1"/>
    <col min="40" max="40" width="8.42578125" bestFit="1" customWidth="1"/>
    <col min="41" max="42" width="2.85546875" bestFit="1" customWidth="1"/>
    <col min="43" max="45" width="3.85546875" bestFit="1" customWidth="1"/>
    <col min="46" max="46" width="2.85546875" bestFit="1" customWidth="1"/>
    <col min="47" max="47" width="11" bestFit="1" customWidth="1"/>
    <col min="48" max="48" width="5.7109375" bestFit="1" customWidth="1"/>
  </cols>
  <sheetData>
    <row r="1" spans="1:32" ht="20.65" customHeight="1" x14ac:dyDescent="0.45">
      <c r="A1" s="4" t="s">
        <v>1271</v>
      </c>
      <c r="B1" s="1"/>
    </row>
    <row r="2" spans="1:32" x14ac:dyDescent="0.25">
      <c r="B2" s="13" t="s">
        <v>75</v>
      </c>
      <c r="C2" s="557" t="s">
        <v>2367</v>
      </c>
      <c r="D2" s="557"/>
    </row>
    <row r="3" spans="1:32" x14ac:dyDescent="0.25">
      <c r="B3" s="13" t="s">
        <v>0</v>
      </c>
      <c r="C3" s="273">
        <f>TUDB!B3</f>
        <v>45580</v>
      </c>
    </row>
    <row r="4" spans="1:32" x14ac:dyDescent="0.25">
      <c r="B4" s="12"/>
    </row>
    <row r="5" spans="1:32" ht="30.4" customHeight="1" thickBot="1" x14ac:dyDescent="0.3">
      <c r="B5" s="281" t="s">
        <v>576</v>
      </c>
      <c r="Z5"/>
      <c r="AA5"/>
    </row>
    <row r="6" spans="1:32" s="7" customFormat="1" ht="30.4" customHeight="1" thickTop="1" x14ac:dyDescent="0.25">
      <c r="B6" s="112" t="s">
        <v>4174</v>
      </c>
      <c r="C6" s="112" t="s">
        <v>134</v>
      </c>
      <c r="D6" s="112" t="s">
        <v>963</v>
      </c>
      <c r="E6" s="112" t="s">
        <v>964</v>
      </c>
      <c r="F6" s="334">
        <v>2019</v>
      </c>
      <c r="G6" s="112">
        <v>2020</v>
      </c>
      <c r="H6" s="112">
        <v>2021</v>
      </c>
      <c r="I6" s="112">
        <v>2022</v>
      </c>
      <c r="J6" s="112">
        <v>2023</v>
      </c>
      <c r="K6" s="112">
        <v>2024</v>
      </c>
      <c r="T6" s="6"/>
      <c r="Y6"/>
      <c r="Z6"/>
      <c r="AA6" s="23"/>
      <c r="AB6" s="23"/>
      <c r="AC6" s="23"/>
      <c r="AD6" s="23"/>
      <c r="AE6" s="23"/>
      <c r="AF6" s="23"/>
    </row>
    <row r="7" spans="1:32" x14ac:dyDescent="0.25">
      <c r="B7" s="79">
        <v>0</v>
      </c>
      <c r="C7" s="79">
        <f>COUNTIFS(TU_DB[ALK Bin (ppm)],B7)</f>
        <v>184</v>
      </c>
      <c r="D7" s="250">
        <f t="shared" ref="D7:D12" si="0">C7/$C$13</f>
        <v>9.1862206689965059E-2</v>
      </c>
      <c r="E7" s="250">
        <f>D7</f>
        <v>9.1862206689965059E-2</v>
      </c>
      <c r="F7" s="102">
        <f>COUNTIFS(TU_DB[[ALK Bin (ppm)]:[ALK Bin (ppm)]],$B7,TU_DB[[Year]:[Year]],F$6)</f>
        <v>0</v>
      </c>
      <c r="G7" s="79">
        <f>COUNTIFS(TU_DB[[ALK Bin (ppm)]:[ALK Bin (ppm)]],$B7,TU_DB[[Year]:[Year]],G$6)</f>
        <v>16</v>
      </c>
      <c r="H7" s="79">
        <f>COUNTIFS(TU_DB[[ALK Bin (ppm)]:[ALK Bin (ppm)]],$B7,TU_DB[[Year]:[Year]],H$6)</f>
        <v>44</v>
      </c>
      <c r="I7" s="79">
        <f>COUNTIFS(TU_DB[[ALK Bin (ppm)]:[ALK Bin (ppm)]],$B7,TU_DB[[Year]:[Year]],I$6)</f>
        <v>41</v>
      </c>
      <c r="J7" s="79">
        <f>COUNTIFS(TU_DB[[ALK Bin (ppm)]:[ALK Bin (ppm)]],$B7,TU_DB[[Year]:[Year]],J$6)</f>
        <v>58</v>
      </c>
      <c r="K7" s="79">
        <f>COUNTIFS(TU_DB[[ALK Bin (ppm)]:[ALK Bin (ppm)]],$B7,TU_DB[[Year]:[Year]],K$6)</f>
        <v>25</v>
      </c>
      <c r="Z7"/>
      <c r="AA7"/>
    </row>
    <row r="8" spans="1:32" x14ac:dyDescent="0.25">
      <c r="B8" s="79">
        <v>40</v>
      </c>
      <c r="C8" s="79">
        <f>COUNTIFS(TU_DB[ALK Bin (ppm)],B8)</f>
        <v>203</v>
      </c>
      <c r="D8" s="250">
        <f t="shared" si="0"/>
        <v>0.10134797803295058</v>
      </c>
      <c r="E8" s="250">
        <f>D8+E7</f>
        <v>0.19321018472291562</v>
      </c>
      <c r="F8" s="102">
        <f>COUNTIFS(TU_DB[[ALK Bin (ppm)]:[ALK Bin (ppm)]],$B8,TU_DB[[Year]:[Year]],F$6)</f>
        <v>0</v>
      </c>
      <c r="G8" s="79">
        <f>COUNTIFS(TU_DB[[ALK Bin (ppm)]:[ALK Bin (ppm)]],$B8,TU_DB[[Year]:[Year]],G$6)</f>
        <v>6</v>
      </c>
      <c r="H8" s="79">
        <f>COUNTIFS(TU_DB[[ALK Bin (ppm)]:[ALK Bin (ppm)]],$B8,TU_DB[[Year]:[Year]],H$6)</f>
        <v>14</v>
      </c>
      <c r="I8" s="79">
        <f>COUNTIFS(TU_DB[[ALK Bin (ppm)]:[ALK Bin (ppm)]],$B8,TU_DB[[Year]:[Year]],I$6)</f>
        <v>36</v>
      </c>
      <c r="J8" s="79">
        <f>COUNTIFS(TU_DB[[ALK Bin (ppm)]:[ALK Bin (ppm)]],$B8,TU_DB[[Year]:[Year]],J$6)</f>
        <v>106</v>
      </c>
      <c r="K8" s="79">
        <f>COUNTIFS(TU_DB[[ALK Bin (ppm)]:[ALK Bin (ppm)]],$B8,TU_DB[[Year]:[Year]],K$6)</f>
        <v>41</v>
      </c>
      <c r="Z8"/>
      <c r="AA8"/>
    </row>
    <row r="9" spans="1:32" x14ac:dyDescent="0.25">
      <c r="B9" s="79">
        <v>80</v>
      </c>
      <c r="C9" s="79">
        <f>COUNTIFS(TU_DB[ALK Bin (ppm)],B9)</f>
        <v>405</v>
      </c>
      <c r="D9" s="250">
        <f t="shared" si="0"/>
        <v>0.20219670494258613</v>
      </c>
      <c r="E9" s="250">
        <f>D9+E8</f>
        <v>0.39540688966550175</v>
      </c>
      <c r="F9" s="102">
        <f>COUNTIFS(TU_DB[[ALK Bin (ppm)]:[ALK Bin (ppm)]],$B9,TU_DB[[Year]:[Year]],F$6)</f>
        <v>0</v>
      </c>
      <c r="G9" s="79">
        <f>COUNTIFS(TU_DB[[ALK Bin (ppm)]:[ALK Bin (ppm)]],$B9,TU_DB[[Year]:[Year]],G$6)</f>
        <v>15</v>
      </c>
      <c r="H9" s="79">
        <f>COUNTIFS(TU_DB[[ALK Bin (ppm)]:[ALK Bin (ppm)]],$B9,TU_DB[[Year]:[Year]],H$6)</f>
        <v>78</v>
      </c>
      <c r="I9" s="79">
        <f>COUNTIFS(TU_DB[[ALK Bin (ppm)]:[ALK Bin (ppm)]],$B9,TU_DB[[Year]:[Year]],I$6)</f>
        <v>91</v>
      </c>
      <c r="J9" s="79">
        <f>COUNTIFS(TU_DB[[ALK Bin (ppm)]:[ALK Bin (ppm)]],$B9,TU_DB[[Year]:[Year]],J$6)</f>
        <v>126</v>
      </c>
      <c r="K9" s="79">
        <f>COUNTIFS(TU_DB[[ALK Bin (ppm)]:[ALK Bin (ppm)]],$B9,TU_DB[[Year]:[Year]],K$6)</f>
        <v>95</v>
      </c>
      <c r="Z9"/>
      <c r="AA9"/>
    </row>
    <row r="10" spans="1:32" x14ac:dyDescent="0.25">
      <c r="B10" s="79">
        <v>120</v>
      </c>
      <c r="C10" s="79">
        <f>COUNTIFS(TU_DB[ALK Bin (ppm)],B10)</f>
        <v>290</v>
      </c>
      <c r="D10" s="250">
        <f t="shared" si="0"/>
        <v>0.14478282576135795</v>
      </c>
      <c r="E10" s="250">
        <f>D10+E9</f>
        <v>0.54018971542685967</v>
      </c>
      <c r="F10" s="102">
        <f>COUNTIFS(TU_DB[[ALK Bin (ppm)]:[ALK Bin (ppm)]],$B10,TU_DB[[Year]:[Year]],F$6)</f>
        <v>0</v>
      </c>
      <c r="G10" s="79">
        <f>COUNTIFS(TU_DB[[ALK Bin (ppm)]:[ALK Bin (ppm)]],$B10,TU_DB[[Year]:[Year]],G$6)</f>
        <v>20</v>
      </c>
      <c r="H10" s="79">
        <f>COUNTIFS(TU_DB[[ALK Bin (ppm)]:[ALK Bin (ppm)]],$B10,TU_DB[[Year]:[Year]],H$6)</f>
        <v>54</v>
      </c>
      <c r="I10" s="79">
        <f>COUNTIFS(TU_DB[[ALK Bin (ppm)]:[ALK Bin (ppm)]],$B10,TU_DB[[Year]:[Year]],I$6)</f>
        <v>61</v>
      </c>
      <c r="J10" s="79">
        <f>COUNTIFS(TU_DB[[ALK Bin (ppm)]:[ALK Bin (ppm)]],$B10,TU_DB[[Year]:[Year]],J$6)</f>
        <v>98</v>
      </c>
      <c r="K10" s="79">
        <f>COUNTIFS(TU_DB[[ALK Bin (ppm)]:[ALK Bin (ppm)]],$B10,TU_DB[[Year]:[Year]],K$6)</f>
        <v>57</v>
      </c>
      <c r="Z10"/>
      <c r="AA10"/>
    </row>
    <row r="11" spans="1:32" x14ac:dyDescent="0.25">
      <c r="B11" s="79">
        <v>180</v>
      </c>
      <c r="C11" s="79">
        <f>COUNTIFS(TU_DB[ALK Bin (ppm)],B11)</f>
        <v>897</v>
      </c>
      <c r="D11" s="250">
        <f t="shared" si="0"/>
        <v>0.44782825761357964</v>
      </c>
      <c r="E11" s="250">
        <f>D11+E10</f>
        <v>0.98801797304043926</v>
      </c>
      <c r="F11" s="102">
        <f>COUNTIFS(TU_DB[[ALK Bin (ppm)]:[ALK Bin (ppm)]],$B11,TU_DB[[Year]:[Year]],F$6)</f>
        <v>4</v>
      </c>
      <c r="G11" s="79">
        <f>COUNTIFS(TU_DB[[ALK Bin (ppm)]:[ALK Bin (ppm)]],$B11,TU_DB[[Year]:[Year]],G$6)</f>
        <v>41</v>
      </c>
      <c r="H11" s="79">
        <f>COUNTIFS(TU_DB[[ALK Bin (ppm)]:[ALK Bin (ppm)]],$B11,TU_DB[[Year]:[Year]],H$6)</f>
        <v>168</v>
      </c>
      <c r="I11" s="79">
        <f>COUNTIFS(TU_DB[[ALK Bin (ppm)]:[ALK Bin (ppm)]],$B11,TU_DB[[Year]:[Year]],I$6)</f>
        <v>188</v>
      </c>
      <c r="J11" s="79">
        <f>COUNTIFS(TU_DB[[ALK Bin (ppm)]:[ALK Bin (ppm)]],$B11,TU_DB[[Year]:[Year]],J$6)</f>
        <v>322</v>
      </c>
      <c r="K11" s="79">
        <f>COUNTIFS(TU_DB[[ALK Bin (ppm)]:[ALK Bin (ppm)]],$B11,TU_DB[[Year]:[Year]],K$6)</f>
        <v>174</v>
      </c>
      <c r="Z11"/>
      <c r="AA11"/>
    </row>
    <row r="12" spans="1:32" x14ac:dyDescent="0.25">
      <c r="B12" s="79">
        <v>240</v>
      </c>
      <c r="C12" s="79">
        <f>COUNTIFS(TU_DB[ALK Bin (ppm)],B12)</f>
        <v>24</v>
      </c>
      <c r="D12" s="250">
        <f t="shared" si="0"/>
        <v>1.1982026959560658E-2</v>
      </c>
      <c r="E12" s="250">
        <f>D12+E11</f>
        <v>0.99999999999999989</v>
      </c>
      <c r="F12" s="102">
        <f>COUNTIFS(TU_DB[[ALK Bin (ppm)]:[ALK Bin (ppm)]],$B12,TU_DB[[Year]:[Year]],F$6)</f>
        <v>0</v>
      </c>
      <c r="G12" s="79">
        <f>COUNTIFS(TU_DB[[ALK Bin (ppm)]:[ALK Bin (ppm)]],$B12,TU_DB[[Year]:[Year]],G$6)</f>
        <v>10</v>
      </c>
      <c r="H12" s="79">
        <f>COUNTIFS(TU_DB[[ALK Bin (ppm)]:[ALK Bin (ppm)]],$B12,TU_DB[[Year]:[Year]],H$6)</f>
        <v>3</v>
      </c>
      <c r="I12" s="79">
        <f>COUNTIFS(TU_DB[[ALK Bin (ppm)]:[ALK Bin (ppm)]],$B12,TU_DB[[Year]:[Year]],I$6)</f>
        <v>2</v>
      </c>
      <c r="J12" s="79">
        <f>COUNTIFS(TU_DB[[ALK Bin (ppm)]:[ALK Bin (ppm)]],$B12,TU_DB[[Year]:[Year]],J$6)</f>
        <v>4</v>
      </c>
      <c r="K12" s="79">
        <f>COUNTIFS(TU_DB[[ALK Bin (ppm)]:[ALK Bin (ppm)]],$B12,TU_DB[[Year]:[Year]],K$6)</f>
        <v>5</v>
      </c>
      <c r="Z12"/>
      <c r="AA12"/>
    </row>
    <row r="13" spans="1:32" ht="15.75" thickBot="1" x14ac:dyDescent="0.3">
      <c r="B13" s="251" t="s">
        <v>133</v>
      </c>
      <c r="C13" s="251">
        <f>SUM(C7:C12)</f>
        <v>2003</v>
      </c>
      <c r="D13" s="251"/>
      <c r="E13" s="251"/>
      <c r="F13" s="335">
        <f>SUM(F7:F12)</f>
        <v>4</v>
      </c>
      <c r="G13" s="251">
        <f t="shared" ref="G13:J13" si="1">SUM(G7:G12)</f>
        <v>108</v>
      </c>
      <c r="H13" s="251">
        <f t="shared" si="1"/>
        <v>361</v>
      </c>
      <c r="I13" s="251">
        <f t="shared" si="1"/>
        <v>419</v>
      </c>
      <c r="J13" s="251">
        <f t="shared" si="1"/>
        <v>714</v>
      </c>
      <c r="K13" s="251">
        <f t="shared" ref="K13" si="2">SUM(K7:K12)</f>
        <v>397</v>
      </c>
      <c r="Z13"/>
      <c r="AA13"/>
    </row>
    <row r="14" spans="1:32" ht="16.5" thickTop="1" x14ac:dyDescent="0.25">
      <c r="B14" s="11"/>
      <c r="Z14"/>
      <c r="AA14"/>
    </row>
    <row r="15" spans="1:32" x14ac:dyDescent="0.25">
      <c r="Z15"/>
      <c r="AA15"/>
    </row>
    <row r="16" spans="1:32" s="7" customFormat="1" x14ac:dyDescent="0.25">
      <c r="R16"/>
      <c r="S16"/>
      <c r="T16"/>
      <c r="U16"/>
      <c r="V16"/>
      <c r="W16"/>
      <c r="X16"/>
      <c r="Y16"/>
      <c r="Z16"/>
      <c r="AA16"/>
      <c r="AB16"/>
      <c r="AC16"/>
      <c r="AD16"/>
      <c r="AE16"/>
      <c r="AF16"/>
    </row>
    <row r="17" spans="2:48" ht="15" customHeight="1" thickBot="1" x14ac:dyDescent="0.3">
      <c r="B17" s="267" t="s">
        <v>575</v>
      </c>
      <c r="C17"/>
      <c r="D17"/>
      <c r="E17"/>
      <c r="T17"/>
    </row>
    <row r="18" spans="2:48" ht="15" customHeight="1" x14ac:dyDescent="0.25">
      <c r="B18" s="319"/>
      <c r="C18" s="322" t="s">
        <v>4175</v>
      </c>
      <c r="D18" s="323"/>
      <c r="E18" s="323"/>
      <c r="F18" s="323"/>
      <c r="G18" s="323"/>
      <c r="H18" s="323"/>
      <c r="I18" s="325"/>
      <c r="J18" s="319"/>
      <c r="K18" s="558" t="s">
        <v>4170</v>
      </c>
    </row>
    <row r="19" spans="2:48" ht="15" customHeight="1" x14ac:dyDescent="0.25">
      <c r="B19" s="320" t="s">
        <v>575</v>
      </c>
      <c r="C19" s="321">
        <v>0</v>
      </c>
      <c r="D19" s="320">
        <v>40</v>
      </c>
      <c r="E19" s="320">
        <v>80</v>
      </c>
      <c r="F19" s="320">
        <v>120</v>
      </c>
      <c r="G19" s="320">
        <v>180</v>
      </c>
      <c r="H19" s="320">
        <v>240</v>
      </c>
      <c r="I19" s="324" t="s">
        <v>2325</v>
      </c>
      <c r="J19" s="320" t="s">
        <v>2352</v>
      </c>
      <c r="K19" s="559"/>
    </row>
    <row r="20" spans="2:48" ht="15.75" customHeight="1" x14ac:dyDescent="0.25">
      <c r="B20" s="329" t="s">
        <v>35</v>
      </c>
      <c r="C20" s="262">
        <f>COUNTIFS(TU_DB[[ALK Bin (ppm)]:[ALK Bin (ppm)]],C$19,TU_DB[[Weather]:[Weather]],$B20)</f>
        <v>7</v>
      </c>
      <c r="D20" s="232">
        <f>COUNTIFS(TU_DB[[ALK Bin (ppm)]:[ALK Bin (ppm)]],D$19,TU_DB[[Weather]:[Weather]],$B20)</f>
        <v>7</v>
      </c>
      <c r="E20" s="232">
        <f>COUNTIFS(TU_DB[[ALK Bin (ppm)]:[ALK Bin (ppm)]],E$19,TU_DB[[Weather]:[Weather]],$B20)</f>
        <v>25</v>
      </c>
      <c r="F20" s="232">
        <f>COUNTIFS(TU_DB[[ALK Bin (ppm)]:[ALK Bin (ppm)]],F$19,TU_DB[[Weather]:[Weather]],$B20)</f>
        <v>7</v>
      </c>
      <c r="G20" s="232">
        <f>COUNTIFS(TU_DB[[ALK Bin (ppm)]:[ALK Bin (ppm)]],G$19,TU_DB[[Weather]:[Weather]],$B20)</f>
        <v>37</v>
      </c>
      <c r="H20" s="232">
        <f>COUNTIFS(TU_DB[[ALK Bin (ppm)]:[ALK Bin (ppm)]],H$19,TU_DB[[Weather]:[Weather]],$B20)</f>
        <v>1</v>
      </c>
      <c r="I20" s="262">
        <f t="shared" ref="I20:I25" si="3">SUM(C20:H20)</f>
        <v>84</v>
      </c>
      <c r="J20" s="263">
        <f t="shared" ref="J20:J25" si="4">SUM(I20)/SUM($I$20:$I$25)</f>
        <v>4.7457627118644069E-2</v>
      </c>
      <c r="K20" s="326" t="s">
        <v>3687</v>
      </c>
    </row>
    <row r="21" spans="2:48" ht="16.5" customHeight="1" x14ac:dyDescent="0.25">
      <c r="B21" s="329" t="s">
        <v>13</v>
      </c>
      <c r="C21" s="262">
        <f>COUNTIFS(TU_DB[[ALK Bin (ppm)]:[ALK Bin (ppm)]],C$19,TU_DB[[Weather]:[Weather]],$B21)</f>
        <v>24</v>
      </c>
      <c r="D21" s="232">
        <f>COUNTIFS(TU_DB[[ALK Bin (ppm)]:[ALK Bin (ppm)]],D$19,TU_DB[[Weather]:[Weather]],$B21)</f>
        <v>39</v>
      </c>
      <c r="E21" s="232">
        <f>COUNTIFS(TU_DB[[ALK Bin (ppm)]:[ALK Bin (ppm)]],E$19,TU_DB[[Weather]:[Weather]],$B21)</f>
        <v>51</v>
      </c>
      <c r="F21" s="232">
        <f>COUNTIFS(TU_DB[[ALK Bin (ppm)]:[ALK Bin (ppm)]],F$19,TU_DB[[Weather]:[Weather]],$B21)</f>
        <v>40</v>
      </c>
      <c r="G21" s="232">
        <f>COUNTIFS(TU_DB[[ALK Bin (ppm)]:[ALK Bin (ppm)]],G$19,TU_DB[[Weather]:[Weather]],$B21)</f>
        <v>89</v>
      </c>
      <c r="H21" s="232">
        <f>COUNTIFS(TU_DB[[ALK Bin (ppm)]:[ALK Bin (ppm)]],H$19,TU_DB[[Weather]:[Weather]],$B21)</f>
        <v>2</v>
      </c>
      <c r="I21" s="262">
        <f t="shared" si="3"/>
        <v>245</v>
      </c>
      <c r="J21" s="263">
        <f t="shared" si="4"/>
        <v>0.1384180790960452</v>
      </c>
      <c r="K21" s="326" t="s">
        <v>3688</v>
      </c>
      <c r="U21" s="1"/>
      <c r="V21" s="1"/>
      <c r="W21" s="1"/>
      <c r="X21" s="1"/>
      <c r="Y21" s="1"/>
      <c r="AA21" s="1"/>
      <c r="AB21" s="1"/>
    </row>
    <row r="22" spans="2:48" ht="16.5" customHeight="1" x14ac:dyDescent="0.25">
      <c r="B22" s="329" t="s">
        <v>904</v>
      </c>
      <c r="C22" s="262">
        <f>COUNTIFS(TU_DB[[ALK Bin (ppm)]:[ALK Bin (ppm)]],C$19,TU_DB[[Weather]:[Weather]],$B22)</f>
        <v>0</v>
      </c>
      <c r="D22" s="232">
        <f>COUNTIFS(TU_DB[[ALK Bin (ppm)]:[ALK Bin (ppm)]],D$19,TU_DB[[Weather]:[Weather]],$B22)</f>
        <v>1</v>
      </c>
      <c r="E22" s="232">
        <f>COUNTIFS(TU_DB[[ALK Bin (ppm)]:[ALK Bin (ppm)]],E$19,TU_DB[[Weather]:[Weather]],$B22)</f>
        <v>5</v>
      </c>
      <c r="F22" s="232">
        <f>COUNTIFS(TU_DB[[ALK Bin (ppm)]:[ALK Bin (ppm)]],F$19,TU_DB[[Weather]:[Weather]],$B22)</f>
        <v>1</v>
      </c>
      <c r="G22" s="232">
        <f>COUNTIFS(TU_DB[[ALK Bin (ppm)]:[ALK Bin (ppm)]],G$19,TU_DB[[Weather]:[Weather]],$B22)</f>
        <v>3</v>
      </c>
      <c r="H22" s="232">
        <f>COUNTIFS(TU_DB[[ALK Bin (ppm)]:[ALK Bin (ppm)]],H$19,TU_DB[[Weather]:[Weather]],$B22)</f>
        <v>0</v>
      </c>
      <c r="I22" s="262">
        <f t="shared" si="3"/>
        <v>10</v>
      </c>
      <c r="J22" s="263">
        <f t="shared" si="4"/>
        <v>5.6497175141242938E-3</v>
      </c>
      <c r="K22" s="326" t="s">
        <v>3690</v>
      </c>
      <c r="Z22"/>
      <c r="AA22"/>
      <c r="AC22" s="1"/>
    </row>
    <row r="23" spans="2:48" ht="34.5" customHeight="1" x14ac:dyDescent="0.25">
      <c r="B23" s="329" t="s">
        <v>226</v>
      </c>
      <c r="C23" s="262">
        <f>COUNTIFS(TU_DB[[ALK Bin (ppm)]:[ALK Bin (ppm)]],C$19,TU_DB[[Weather]:[Weather]],$B23)</f>
        <v>0</v>
      </c>
      <c r="D23" s="232">
        <f>COUNTIFS(TU_DB[[ALK Bin (ppm)]:[ALK Bin (ppm)]],D$19,TU_DB[[Weather]:[Weather]],$B23)</f>
        <v>0</v>
      </c>
      <c r="E23" s="232">
        <f>COUNTIFS(TU_DB[[ALK Bin (ppm)]:[ALK Bin (ppm)]],E$19,TU_DB[[Weather]:[Weather]],$B23)</f>
        <v>0</v>
      </c>
      <c r="F23" s="232">
        <f>COUNTIFS(TU_DB[[ALK Bin (ppm)]:[ALK Bin (ppm)]],F$19,TU_DB[[Weather]:[Weather]],$B23)</f>
        <v>2</v>
      </c>
      <c r="G23" s="232">
        <f>COUNTIFS(TU_DB[[ALK Bin (ppm)]:[ALK Bin (ppm)]],G$19,TU_DB[[Weather]:[Weather]],$B23)</f>
        <v>2</v>
      </c>
      <c r="H23" s="232">
        <f>COUNTIFS(TU_DB[[ALK Bin (ppm)]:[ALK Bin (ppm)]],H$19,TU_DB[[Weather]:[Weather]],$B23)</f>
        <v>1</v>
      </c>
      <c r="I23" s="262">
        <f t="shared" si="3"/>
        <v>5</v>
      </c>
      <c r="J23" s="263">
        <f t="shared" si="4"/>
        <v>2.8248587570621469E-3</v>
      </c>
      <c r="K23" s="326" t="s">
        <v>3691</v>
      </c>
      <c r="Z23"/>
      <c r="AA23"/>
    </row>
    <row r="24" spans="2:48" ht="34.5" customHeight="1" x14ac:dyDescent="0.25">
      <c r="B24" s="329" t="s">
        <v>58</v>
      </c>
      <c r="C24" s="262">
        <f>COUNTIFS(TU_DB[[ALK Bin (ppm)]:[ALK Bin (ppm)]],C$19,TU_DB[[Weather]:[Weather]],$B24)</f>
        <v>2</v>
      </c>
      <c r="D24" s="232">
        <f>COUNTIFS(TU_DB[[ALK Bin (ppm)]:[ALK Bin (ppm)]],D$19,TU_DB[[Weather]:[Weather]],$B24)</f>
        <v>2</v>
      </c>
      <c r="E24" s="232">
        <f>COUNTIFS(TU_DB[[ALK Bin (ppm)]:[ALK Bin (ppm)]],E$19,TU_DB[[Weather]:[Weather]],$B24)</f>
        <v>4</v>
      </c>
      <c r="F24" s="232">
        <f>COUNTIFS(TU_DB[[ALK Bin (ppm)]:[ALK Bin (ppm)]],F$19,TU_DB[[Weather]:[Weather]],$B24)</f>
        <v>0</v>
      </c>
      <c r="G24" s="232">
        <f>COUNTIFS(TU_DB[[ALK Bin (ppm)]:[ALK Bin (ppm)]],G$19,TU_DB[[Weather]:[Weather]],$B24)</f>
        <v>8</v>
      </c>
      <c r="H24" s="232">
        <f>COUNTIFS(TU_DB[[ALK Bin (ppm)]:[ALK Bin (ppm)]],H$19,TU_DB[[Weather]:[Weather]],$B24)</f>
        <v>4</v>
      </c>
      <c r="I24" s="262">
        <f t="shared" si="3"/>
        <v>20</v>
      </c>
      <c r="J24" s="263">
        <f t="shared" si="4"/>
        <v>1.1299435028248588E-2</v>
      </c>
      <c r="K24" s="326" t="s">
        <v>3689</v>
      </c>
      <c r="Z24"/>
      <c r="AA24"/>
    </row>
    <row r="25" spans="2:48" ht="16.5" customHeight="1" x14ac:dyDescent="0.25">
      <c r="B25" s="330" t="s">
        <v>10</v>
      </c>
      <c r="C25" s="264">
        <f>COUNTIFS(TU_DB[[ALK Bin (ppm)]:[ALK Bin (ppm)]],C$19,TU_DB[[Weather]:[Weather]],$B25)</f>
        <v>122</v>
      </c>
      <c r="D25" s="265">
        <f>COUNTIFS(TU_DB[[ALK Bin (ppm)]:[ALK Bin (ppm)]],D$19,TU_DB[[Weather]:[Weather]],$B25)</f>
        <v>130</v>
      </c>
      <c r="E25" s="265">
        <f>COUNTIFS(TU_DB[[ALK Bin (ppm)]:[ALK Bin (ppm)]],E$19,TU_DB[[Weather]:[Weather]],$B25)</f>
        <v>279</v>
      </c>
      <c r="F25" s="265">
        <f>COUNTIFS(TU_DB[[ALK Bin (ppm)]:[ALK Bin (ppm)]],F$19,TU_DB[[Weather]:[Weather]],$B25)</f>
        <v>200</v>
      </c>
      <c r="G25" s="265">
        <f>COUNTIFS(TU_DB[[ALK Bin (ppm)]:[ALK Bin (ppm)]],G$19,TU_DB[[Weather]:[Weather]],$B25)</f>
        <v>661</v>
      </c>
      <c r="H25" s="265">
        <f>COUNTIFS(TU_DB[[ALK Bin (ppm)]:[ALK Bin (ppm)]],H$19,TU_DB[[Weather]:[Weather]],$B25)</f>
        <v>14</v>
      </c>
      <c r="I25" s="264">
        <f t="shared" si="3"/>
        <v>1406</v>
      </c>
      <c r="J25" s="266">
        <f t="shared" si="4"/>
        <v>0.79435028248587569</v>
      </c>
      <c r="K25" s="327" t="s">
        <v>10</v>
      </c>
      <c r="Z25"/>
      <c r="AA25"/>
    </row>
    <row r="26" spans="2:48" ht="16.5" customHeight="1" thickBot="1" x14ac:dyDescent="0.3">
      <c r="B26" s="255" t="s">
        <v>133</v>
      </c>
      <c r="C26" s="258">
        <f t="shared" ref="C26:I26" si="5">SUM(C20:C25)</f>
        <v>155</v>
      </c>
      <c r="D26" s="255">
        <f t="shared" si="5"/>
        <v>179</v>
      </c>
      <c r="E26" s="255">
        <f t="shared" si="5"/>
        <v>364</v>
      </c>
      <c r="F26" s="255">
        <f t="shared" si="5"/>
        <v>250</v>
      </c>
      <c r="G26" s="255">
        <f t="shared" si="5"/>
        <v>800</v>
      </c>
      <c r="H26" s="255">
        <f t="shared" si="5"/>
        <v>22</v>
      </c>
      <c r="I26" s="258">
        <f t="shared" si="5"/>
        <v>1770</v>
      </c>
      <c r="J26" s="256"/>
      <c r="K26" s="328"/>
      <c r="Z26"/>
      <c r="AA26"/>
    </row>
    <row r="27" spans="2:48" ht="56.25" customHeight="1" x14ac:dyDescent="0.25">
      <c r="T27"/>
      <c r="Z27"/>
      <c r="AA27"/>
    </row>
    <row r="28" spans="2:48" ht="16.5" thickBot="1" x14ac:dyDescent="0.3">
      <c r="B28" s="267" t="s">
        <v>108</v>
      </c>
      <c r="C28"/>
      <c r="D28"/>
      <c r="E28"/>
      <c r="T28"/>
      <c r="Z28"/>
      <c r="AA28"/>
    </row>
    <row r="29" spans="2:48" x14ac:dyDescent="0.25">
      <c r="B29" s="319"/>
      <c r="C29" s="322" t="s">
        <v>4175</v>
      </c>
      <c r="D29" s="323"/>
      <c r="E29" s="323"/>
      <c r="F29" s="323"/>
      <c r="G29" s="323"/>
      <c r="H29" s="323"/>
      <c r="I29" s="325"/>
      <c r="J29" s="319"/>
      <c r="T29"/>
      <c r="Z29"/>
      <c r="AA29"/>
    </row>
    <row r="30" spans="2:48" ht="15.75" customHeight="1" x14ac:dyDescent="0.25">
      <c r="B30" s="320" t="s">
        <v>108</v>
      </c>
      <c r="C30" s="321">
        <v>0</v>
      </c>
      <c r="D30" s="320">
        <v>40</v>
      </c>
      <c r="E30" s="320">
        <v>80</v>
      </c>
      <c r="F30" s="320">
        <v>120</v>
      </c>
      <c r="G30" s="320">
        <v>180</v>
      </c>
      <c r="H30" s="320">
        <v>240</v>
      </c>
      <c r="I30" s="324" t="s">
        <v>2325</v>
      </c>
      <c r="J30" s="320" t="s">
        <v>2352</v>
      </c>
      <c r="T30"/>
      <c r="Z30"/>
      <c r="AA30"/>
    </row>
    <row r="31" spans="2:48" ht="15" customHeight="1" x14ac:dyDescent="0.25">
      <c r="B31" t="s">
        <v>80</v>
      </c>
      <c r="C31" s="257">
        <f>COUNTIFS(TU_DB[[ALK Bin (ppm)]:[ALK Bin (ppm)]],C$19,TU_DB[[Water Level]:[Water Level]],$B31)</f>
        <v>112</v>
      </c>
      <c r="D31" s="79">
        <f>COUNTIFS(TU_DB[[ALK Bin (ppm)]:[ALK Bin (ppm)]],D$19,TU_DB[[Water Level]:[Water Level]],$B31)</f>
        <v>132</v>
      </c>
      <c r="E31" s="79">
        <f>COUNTIFS(TU_DB[[ALK Bin (ppm)]:[ALK Bin (ppm)]],E$19,TU_DB[[Water Level]:[Water Level]],$B31)</f>
        <v>252</v>
      </c>
      <c r="F31" s="79">
        <f>COUNTIFS(TU_DB[[ALK Bin (ppm)]:[ALK Bin (ppm)]],F$19,TU_DB[[Water Level]:[Water Level]],$B31)</f>
        <v>206</v>
      </c>
      <c r="G31" s="79">
        <f>COUNTIFS(TU_DB[[ALK Bin (ppm)]:[ALK Bin (ppm)]],G$19,TU_DB[[Water Level]:[Water Level]],$B31)</f>
        <v>655</v>
      </c>
      <c r="H31" s="79">
        <f>COUNTIFS(TU_DB[[ALK Bin (ppm)]:[ALK Bin (ppm)]],H$19,TU_DB[[Water Level]:[Water Level]],$B31)</f>
        <v>16</v>
      </c>
      <c r="I31" s="257">
        <f>SUM(C31:H31)</f>
        <v>1373</v>
      </c>
      <c r="J31" s="269">
        <f>SUM(I31)/SUM($I$31:$I$34)</f>
        <v>0.7581446714522363</v>
      </c>
      <c r="K31" s="23"/>
      <c r="L31" s="23"/>
      <c r="M31" s="23"/>
      <c r="N31" s="23"/>
      <c r="O31" s="23"/>
      <c r="P31" s="23"/>
      <c r="Q31" s="23"/>
      <c r="R31" s="23"/>
      <c r="T31"/>
      <c r="Z31"/>
      <c r="AA31"/>
      <c r="AC31" s="23"/>
      <c r="AD31" s="23"/>
      <c r="AE31" s="23"/>
      <c r="AF31" s="23"/>
      <c r="AG31" s="23"/>
      <c r="AH31" s="23"/>
      <c r="AI31" s="23"/>
      <c r="AJ31" s="23"/>
      <c r="AK31" s="23"/>
      <c r="AL31" s="23"/>
      <c r="AM31" s="23"/>
      <c r="AN31" s="23"/>
      <c r="AO31" s="23"/>
      <c r="AP31" s="23"/>
      <c r="AQ31" s="23"/>
      <c r="AR31" s="23"/>
      <c r="AS31" s="23"/>
      <c r="AT31" s="23"/>
      <c r="AU31" s="23"/>
      <c r="AV31" s="23"/>
    </row>
    <row r="32" spans="2:48" s="23" customFormat="1" ht="15" customHeight="1" x14ac:dyDescent="0.25">
      <c r="B32" t="s">
        <v>2353</v>
      </c>
      <c r="C32" s="257">
        <f>COUNTIFS(TU_DB[[ALK Bin (ppm)]:[ALK Bin (ppm)]],C$19,TU_DB[[Water Level]:[Water Level]],$B32)</f>
        <v>35</v>
      </c>
      <c r="D32" s="79">
        <f>COUNTIFS(TU_DB[[ALK Bin (ppm)]:[ALK Bin (ppm)]],D$19,TU_DB[[Water Level]:[Water Level]],$B32)</f>
        <v>47</v>
      </c>
      <c r="E32" s="79">
        <f>COUNTIFS(TU_DB[[ALK Bin (ppm)]:[ALK Bin (ppm)]],E$19,TU_DB[[Water Level]:[Water Level]],$B32)</f>
        <v>90</v>
      </c>
      <c r="F32" s="79">
        <f>COUNTIFS(TU_DB[[ALK Bin (ppm)]:[ALK Bin (ppm)]],F$19,TU_DB[[Water Level]:[Water Level]],$B32)</f>
        <v>34</v>
      </c>
      <c r="G32" s="79">
        <f>COUNTIFS(TU_DB[[ALK Bin (ppm)]:[ALK Bin (ppm)]],G$19,TU_DB[[Water Level]:[Water Level]],$B32)</f>
        <v>145</v>
      </c>
      <c r="H32" s="79">
        <f>COUNTIFS(TU_DB[[ALK Bin (ppm)]:[ALK Bin (ppm)]],H$19,TU_DB[[Water Level]:[Water Level]],$B32)</f>
        <v>6</v>
      </c>
      <c r="I32" s="257">
        <f>SUM(C32:H32)</f>
        <v>357</v>
      </c>
      <c r="J32" s="269">
        <f>SUM(I32)/SUM($I$31:$I$34)</f>
        <v>0.19712865819988956</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row>
    <row r="33" spans="1:48" ht="15" customHeight="1" x14ac:dyDescent="0.25">
      <c r="B33" t="s">
        <v>195</v>
      </c>
      <c r="C33" s="257">
        <f>COUNTIFS(TU_DB[[ALK Bin (ppm)]:[ALK Bin (ppm)]],C$19,TU_DB[[Water Level]:[Water Level]],$B33)</f>
        <v>5</v>
      </c>
      <c r="D33" s="79">
        <f>COUNTIFS(TU_DB[[ALK Bin (ppm)]:[ALK Bin (ppm)]],D$19,TU_DB[[Water Level]:[Water Level]],$B33)</f>
        <v>3</v>
      </c>
      <c r="E33" s="79">
        <f>COUNTIFS(TU_DB[[ALK Bin (ppm)]:[ALK Bin (ppm)]],E$19,TU_DB[[Water Level]:[Water Level]],$B33)</f>
        <v>24</v>
      </c>
      <c r="F33" s="79">
        <f>COUNTIFS(TU_DB[[ALK Bin (ppm)]:[ALK Bin (ppm)]],F$19,TU_DB[[Water Level]:[Water Level]],$B33)</f>
        <v>19</v>
      </c>
      <c r="G33" s="79">
        <f>COUNTIFS(TU_DB[[ALK Bin (ppm)]:[ALK Bin (ppm)]],G$19,TU_DB[[Water Level]:[Water Level]],$B33)</f>
        <v>24</v>
      </c>
      <c r="H33" s="79">
        <f>COUNTIFS(TU_DB[[ALK Bin (ppm)]:[ALK Bin (ppm)]],H$19,TU_DB[[Water Level]:[Water Level]],$B33)</f>
        <v>0</v>
      </c>
      <c r="I33" s="257">
        <f>SUM(C33:H33)</f>
        <v>75</v>
      </c>
      <c r="J33" s="269">
        <f>SUM(I33)/SUM($I$31:$I$34)</f>
        <v>4.1413583655438985E-2</v>
      </c>
      <c r="K33" s="7"/>
      <c r="L33" s="7"/>
      <c r="M33" s="7"/>
      <c r="N33" s="7"/>
      <c r="O33" s="7"/>
      <c r="P33" s="7"/>
      <c r="Q33" s="7"/>
      <c r="R33" s="7"/>
      <c r="T33"/>
      <c r="Z33"/>
      <c r="AA33"/>
      <c r="AC33" s="7"/>
      <c r="AD33" s="7"/>
      <c r="AE33" s="7"/>
      <c r="AF33" s="7"/>
      <c r="AG33" s="7"/>
      <c r="AH33" s="7"/>
      <c r="AI33" s="7"/>
      <c r="AJ33" s="7"/>
      <c r="AK33" s="7"/>
      <c r="AL33" s="7"/>
      <c r="AM33" s="7"/>
      <c r="AN33" s="7"/>
      <c r="AO33" s="7"/>
      <c r="AP33" s="7"/>
      <c r="AQ33" s="7"/>
      <c r="AR33" s="7"/>
      <c r="AS33" s="7"/>
      <c r="AT33" s="7"/>
      <c r="AU33" s="7"/>
      <c r="AV33" s="7"/>
    </row>
    <row r="34" spans="1:48" s="7" customFormat="1" ht="15" customHeight="1" x14ac:dyDescent="0.25">
      <c r="B34" s="261" t="s">
        <v>86</v>
      </c>
      <c r="C34" s="260">
        <v>1</v>
      </c>
      <c r="D34" s="259">
        <v>1</v>
      </c>
      <c r="E34" s="259">
        <v>1</v>
      </c>
      <c r="F34" s="259">
        <v>1</v>
      </c>
      <c r="G34" s="259">
        <v>2</v>
      </c>
      <c r="H34" s="259">
        <v>0</v>
      </c>
      <c r="I34" s="260">
        <v>6</v>
      </c>
      <c r="J34" s="270">
        <f>SUM(I34)/SUM($I$31:$I$34)</f>
        <v>3.3130866924351186E-3</v>
      </c>
      <c r="K34"/>
      <c r="L34"/>
      <c r="M34"/>
      <c r="N34"/>
      <c r="O34"/>
      <c r="P34"/>
      <c r="Q34"/>
      <c r="R34"/>
      <c r="S34"/>
      <c r="T34" s="1"/>
      <c r="U34"/>
      <c r="V34"/>
      <c r="W34"/>
      <c r="X34"/>
      <c r="Y34"/>
      <c r="Z34" s="1"/>
      <c r="AA34" s="15"/>
      <c r="AB34"/>
      <c r="AC34"/>
      <c r="AD34"/>
      <c r="AE34"/>
      <c r="AF34"/>
      <c r="AG34"/>
      <c r="AH34"/>
      <c r="AI34"/>
      <c r="AJ34"/>
      <c r="AK34"/>
      <c r="AL34"/>
      <c r="AM34"/>
      <c r="AN34"/>
      <c r="AO34"/>
      <c r="AP34"/>
      <c r="AQ34"/>
      <c r="AR34"/>
      <c r="AS34"/>
      <c r="AT34"/>
      <c r="AU34"/>
      <c r="AV34"/>
    </row>
    <row r="35" spans="1:48" ht="15" customHeight="1" thickBot="1" x14ac:dyDescent="0.3">
      <c r="B35" s="255" t="s">
        <v>133</v>
      </c>
      <c r="C35" s="258">
        <f t="shared" ref="C35:I35" si="6">SUM(C31:C34)</f>
        <v>153</v>
      </c>
      <c r="D35" s="255">
        <f t="shared" si="6"/>
        <v>183</v>
      </c>
      <c r="E35" s="255">
        <f t="shared" si="6"/>
        <v>367</v>
      </c>
      <c r="F35" s="255">
        <f t="shared" si="6"/>
        <v>260</v>
      </c>
      <c r="G35" s="255">
        <f t="shared" si="6"/>
        <v>826</v>
      </c>
      <c r="H35" s="255">
        <f t="shared" si="6"/>
        <v>22</v>
      </c>
      <c r="I35" s="258">
        <f t="shared" si="6"/>
        <v>1811</v>
      </c>
      <c r="J35" s="256"/>
    </row>
    <row r="36" spans="1:48" ht="15" customHeight="1" x14ac:dyDescent="0.25"/>
    <row r="37" spans="1:48" ht="15" customHeight="1" x14ac:dyDescent="0.25"/>
    <row r="38" spans="1:48" ht="15" customHeight="1" x14ac:dyDescent="0.25"/>
    <row r="39" spans="1:48" ht="15" customHeight="1" x14ac:dyDescent="0.25"/>
    <row r="40" spans="1:48" ht="15" customHeight="1" x14ac:dyDescent="0.25"/>
    <row r="41" spans="1:48" ht="15" customHeight="1" x14ac:dyDescent="0.25">
      <c r="T41"/>
    </row>
    <row r="42" spans="1:48" ht="15" customHeight="1" x14ac:dyDescent="0.25">
      <c r="T42"/>
    </row>
    <row r="43" spans="1:48" ht="15" customHeight="1" x14ac:dyDescent="0.25">
      <c r="T43"/>
    </row>
    <row r="44" spans="1:48" ht="15" customHeight="1" thickBot="1" x14ac:dyDescent="0.3">
      <c r="B44" s="267" t="s">
        <v>87</v>
      </c>
      <c r="C44"/>
      <c r="D44"/>
      <c r="E44"/>
      <c r="J44" s="23"/>
      <c r="T44"/>
      <c r="Y44" s="23"/>
      <c r="Z44" s="22"/>
      <c r="AA44" s="22"/>
      <c r="AB44" s="23"/>
    </row>
    <row r="45" spans="1:48" ht="15" customHeight="1" x14ac:dyDescent="0.25">
      <c r="B45" s="319"/>
      <c r="C45" s="322" t="s">
        <v>4175</v>
      </c>
      <c r="D45" s="323"/>
      <c r="E45" s="323"/>
      <c r="F45" s="323"/>
      <c r="G45" s="323"/>
      <c r="H45" s="323"/>
      <c r="I45" s="325"/>
      <c r="J45" s="319"/>
      <c r="T45"/>
      <c r="AC45" s="23"/>
      <c r="AD45" s="23"/>
      <c r="AE45" s="23"/>
      <c r="AF45" s="23"/>
      <c r="AG45" s="23"/>
      <c r="AH45" s="23"/>
      <c r="AI45" s="23"/>
      <c r="AJ45" s="23"/>
      <c r="AK45" s="23"/>
      <c r="AL45" s="23"/>
      <c r="AM45" s="23"/>
    </row>
    <row r="46" spans="1:48" ht="15" customHeight="1" x14ac:dyDescent="0.25">
      <c r="A46" s="23"/>
      <c r="B46" s="320" t="s">
        <v>87</v>
      </c>
      <c r="C46" s="321">
        <v>0</v>
      </c>
      <c r="D46" s="320">
        <v>40</v>
      </c>
      <c r="E46" s="320">
        <v>80</v>
      </c>
      <c r="F46" s="320">
        <v>120</v>
      </c>
      <c r="G46" s="320">
        <v>180</v>
      </c>
      <c r="H46" s="320">
        <v>240</v>
      </c>
      <c r="I46" s="324" t="s">
        <v>2325</v>
      </c>
      <c r="J46" s="320" t="s">
        <v>2352</v>
      </c>
      <c r="K46" s="23"/>
      <c r="L46" s="23"/>
      <c r="M46" s="23"/>
      <c r="N46" s="23"/>
      <c r="O46" s="23"/>
      <c r="P46" s="23"/>
      <c r="Q46" s="23"/>
      <c r="R46" s="23"/>
      <c r="T46"/>
      <c r="AB46" s="7"/>
      <c r="AN46" s="23"/>
      <c r="AO46" s="23"/>
      <c r="AP46" s="23"/>
      <c r="AQ46" s="23"/>
      <c r="AR46" s="23"/>
      <c r="AS46" s="23"/>
      <c r="AT46" s="23"/>
      <c r="AU46" s="23"/>
      <c r="AV46" s="23"/>
    </row>
    <row r="47" spans="1:48" s="23" customFormat="1" ht="15" customHeight="1" x14ac:dyDescent="0.25">
      <c r="A47"/>
      <c r="B47" t="s">
        <v>83</v>
      </c>
      <c r="C47" s="257">
        <f>COUNTIFS(TU_DB[[ALK Bin (ppm)]:[ALK Bin (ppm)]],C$19,TU_DB[[Clarity]:[Clarity]],$B47)</f>
        <v>117</v>
      </c>
      <c r="D47" s="79">
        <f>COUNTIFS(TU_DB[[ALK Bin (ppm)]:[ALK Bin (ppm)]],D$19,TU_DB[[Clarity]:[Clarity]],$B47)</f>
        <v>125</v>
      </c>
      <c r="E47" s="79">
        <f>COUNTIFS(TU_DB[[ALK Bin (ppm)]:[ALK Bin (ppm)]],E$19,TU_DB[[Clarity]:[Clarity]],$B47)</f>
        <v>279</v>
      </c>
      <c r="F47" s="79">
        <f>COUNTIFS(TU_DB[[ALK Bin (ppm)]:[ALK Bin (ppm)]],F$19,TU_DB[[Clarity]:[Clarity]],$B47)</f>
        <v>204</v>
      </c>
      <c r="G47" s="79">
        <f>COUNTIFS(TU_DB[[ALK Bin (ppm)]:[ALK Bin (ppm)]],G$19,TU_DB[[Clarity]:[Clarity]],$B47)</f>
        <v>664</v>
      </c>
      <c r="H47" s="79">
        <f>COUNTIFS(TU_DB[[ALK Bin (ppm)]:[ALK Bin (ppm)]],H$19,TU_DB[[Clarity]:[Clarity]],$B47)</f>
        <v>17</v>
      </c>
      <c r="I47" s="257">
        <f>SUM(C47:H47)</f>
        <v>1406</v>
      </c>
      <c r="J47" s="269">
        <f>SUM(I47)/SUM($I$47:$I$49)</f>
        <v>0.77125617114646183</v>
      </c>
      <c r="K47" s="7"/>
      <c r="L47" s="7"/>
      <c r="M47" s="7"/>
      <c r="N47" s="7"/>
      <c r="O47" s="7"/>
      <c r="P47" s="7"/>
      <c r="Q47" s="7"/>
      <c r="R47" s="7"/>
      <c r="S47"/>
      <c r="T47"/>
      <c r="U47"/>
      <c r="V47"/>
      <c r="W47"/>
      <c r="X47"/>
      <c r="Y47"/>
      <c r="Z47" s="1"/>
      <c r="AA47" s="15"/>
      <c r="AB47"/>
      <c r="AC47" s="7"/>
      <c r="AD47" s="7"/>
      <c r="AE47" s="7"/>
      <c r="AF47" s="7"/>
      <c r="AG47" s="7"/>
      <c r="AH47" s="7"/>
      <c r="AI47" s="7"/>
      <c r="AJ47" s="7"/>
      <c r="AK47" s="7"/>
      <c r="AL47" s="7"/>
      <c r="AM47" s="7"/>
      <c r="AN47"/>
      <c r="AO47"/>
      <c r="AP47"/>
      <c r="AQ47"/>
      <c r="AR47"/>
      <c r="AS47"/>
      <c r="AT47"/>
      <c r="AU47"/>
      <c r="AV47"/>
    </row>
    <row r="48" spans="1:48" s="7" customFormat="1" ht="15" customHeight="1" x14ac:dyDescent="0.25">
      <c r="A48"/>
      <c r="B48" t="s">
        <v>85</v>
      </c>
      <c r="C48" s="257">
        <f>COUNTIFS(TU_DB[[ALK Bin (ppm)]:[ALK Bin (ppm)]],C$19,TU_DB[[Clarity]:[Clarity]],$B48)</f>
        <v>7</v>
      </c>
      <c r="D48" s="79">
        <f>COUNTIFS(TU_DB[[ALK Bin (ppm)]:[ALK Bin (ppm)]],D$19,TU_DB[[Clarity]:[Clarity]],$B48)</f>
        <v>8</v>
      </c>
      <c r="E48" s="79">
        <f>COUNTIFS(TU_DB[[ALK Bin (ppm)]:[ALK Bin (ppm)]],E$19,TU_DB[[Clarity]:[Clarity]],$B48)</f>
        <v>31</v>
      </c>
      <c r="F48" s="79">
        <f>COUNTIFS(TU_DB[[ALK Bin (ppm)]:[ALK Bin (ppm)]],F$19,TU_DB[[Clarity]:[Clarity]],$B48)</f>
        <v>14</v>
      </c>
      <c r="G48" s="79">
        <f>COUNTIFS(TU_DB[[ALK Bin (ppm)]:[ALK Bin (ppm)]],G$19,TU_DB[[Clarity]:[Clarity]],$B48)</f>
        <v>26</v>
      </c>
      <c r="H48" s="79">
        <f>COUNTIFS(TU_DB[[ALK Bin (ppm)]:[ALK Bin (ppm)]],H$19,TU_DB[[Clarity]:[Clarity]],$B48)</f>
        <v>1</v>
      </c>
      <c r="I48" s="257">
        <f>SUM(C48:H48)</f>
        <v>87</v>
      </c>
      <c r="J48" s="269">
        <f>SUM(I48)/SUM($I$47:$I$49)</f>
        <v>4.7723532638507954E-2</v>
      </c>
      <c r="K48"/>
      <c r="L48"/>
      <c r="M48"/>
      <c r="N48"/>
      <c r="O48"/>
      <c r="P48"/>
      <c r="Q48"/>
      <c r="R48"/>
      <c r="S48"/>
      <c r="T48"/>
      <c r="U48"/>
      <c r="V48"/>
      <c r="W48"/>
      <c r="X48"/>
      <c r="Y48"/>
      <c r="Z48" s="1"/>
      <c r="AA48" s="15"/>
      <c r="AB48"/>
      <c r="AC48"/>
      <c r="AD48"/>
      <c r="AE48"/>
      <c r="AF48"/>
      <c r="AG48"/>
      <c r="AH48"/>
      <c r="AI48"/>
      <c r="AJ48"/>
      <c r="AK48"/>
      <c r="AL48"/>
      <c r="AM48"/>
      <c r="AN48"/>
      <c r="AO48"/>
      <c r="AP48"/>
      <c r="AQ48"/>
      <c r="AR48"/>
      <c r="AS48"/>
      <c r="AT48"/>
      <c r="AU48"/>
      <c r="AV48"/>
    </row>
    <row r="49" spans="2:28" ht="15" customHeight="1" x14ac:dyDescent="0.25">
      <c r="B49" s="261" t="s">
        <v>84</v>
      </c>
      <c r="C49" s="260">
        <f>COUNTIFS(TU_DB[[ALK Bin (ppm)]:[ALK Bin (ppm)]],C$19,TU_DB[[Clarity]:[Clarity]],$B49)</f>
        <v>32</v>
      </c>
      <c r="D49" s="259">
        <f>COUNTIFS(TU_DB[[ALK Bin (ppm)]:[ALK Bin (ppm)]],D$19,TU_DB[[Clarity]:[Clarity]],$B49)</f>
        <v>49</v>
      </c>
      <c r="E49" s="259">
        <f>COUNTIFS(TU_DB[[ALK Bin (ppm)]:[ALK Bin (ppm)]],E$19,TU_DB[[Clarity]:[Clarity]],$B49)</f>
        <v>66</v>
      </c>
      <c r="F49" s="259">
        <f>COUNTIFS(TU_DB[[ALK Bin (ppm)]:[ALK Bin (ppm)]],F$19,TU_DB[[Clarity]:[Clarity]],$B49)</f>
        <v>43</v>
      </c>
      <c r="G49" s="259">
        <f>COUNTIFS(TU_DB[[ALK Bin (ppm)]:[ALK Bin (ppm)]],G$19,TU_DB[[Clarity]:[Clarity]],$B49)</f>
        <v>136</v>
      </c>
      <c r="H49" s="259">
        <f>COUNTIFS(TU_DB[[ALK Bin (ppm)]:[ALK Bin (ppm)]],H$19,TU_DB[[Clarity]:[Clarity]],$B49)</f>
        <v>4</v>
      </c>
      <c r="I49" s="260">
        <f>SUM(C49:H49)</f>
        <v>330</v>
      </c>
      <c r="J49" s="270">
        <f>SUM(I49)/SUM($I$47:$I$49)</f>
        <v>0.18102029621503016</v>
      </c>
      <c r="T49"/>
      <c r="Z49"/>
      <c r="AA49"/>
    </row>
    <row r="50" spans="2:28" ht="15" customHeight="1" thickBot="1" x14ac:dyDescent="0.3">
      <c r="B50" s="255" t="s">
        <v>133</v>
      </c>
      <c r="C50" s="258">
        <f t="shared" ref="C50:I50" si="7">SUM(C47:C49)</f>
        <v>156</v>
      </c>
      <c r="D50" s="255">
        <f t="shared" si="7"/>
        <v>182</v>
      </c>
      <c r="E50" s="255">
        <f t="shared" si="7"/>
        <v>376</v>
      </c>
      <c r="F50" s="255">
        <f t="shared" si="7"/>
        <v>261</v>
      </c>
      <c r="G50" s="255">
        <f t="shared" si="7"/>
        <v>826</v>
      </c>
      <c r="H50" s="255">
        <f t="shared" si="7"/>
        <v>22</v>
      </c>
      <c r="I50" s="258">
        <f t="shared" si="7"/>
        <v>1823</v>
      </c>
      <c r="J50" s="256"/>
      <c r="T50"/>
      <c r="Z50"/>
      <c r="AA50"/>
    </row>
    <row r="51" spans="2:28" ht="15" customHeight="1" x14ac:dyDescent="0.25">
      <c r="T51"/>
      <c r="Z51"/>
      <c r="AA51"/>
    </row>
    <row r="52" spans="2:28" ht="15" customHeight="1" x14ac:dyDescent="0.25">
      <c r="T52"/>
      <c r="Z52"/>
      <c r="AA52"/>
    </row>
    <row r="53" spans="2:28" ht="15" customHeight="1" x14ac:dyDescent="0.25">
      <c r="T53"/>
      <c r="Z53"/>
      <c r="AA53"/>
    </row>
    <row r="54" spans="2:28" ht="15" customHeight="1" x14ac:dyDescent="0.25">
      <c r="T54"/>
      <c r="Z54"/>
      <c r="AA54"/>
    </row>
    <row r="55" spans="2:28" ht="15" customHeight="1" x14ac:dyDescent="0.25">
      <c r="T55"/>
      <c r="Z55"/>
      <c r="AA55"/>
    </row>
    <row r="56" spans="2:28" ht="15" customHeight="1" x14ac:dyDescent="0.25">
      <c r="T56"/>
      <c r="Z56"/>
      <c r="AA56"/>
    </row>
    <row r="57" spans="2:28" ht="15" customHeight="1" x14ac:dyDescent="0.25">
      <c r="R57" s="23"/>
      <c r="T57"/>
      <c r="Z57"/>
      <c r="AA57"/>
    </row>
    <row r="58" spans="2:28" ht="15" customHeight="1" x14ac:dyDescent="0.25">
      <c r="T58"/>
      <c r="Z58"/>
      <c r="AA58"/>
    </row>
    <row r="59" spans="2:28" ht="15" customHeight="1" x14ac:dyDescent="0.25">
      <c r="T59"/>
      <c r="Z59"/>
      <c r="AA59"/>
    </row>
    <row r="60" spans="2:28" ht="15" customHeight="1" x14ac:dyDescent="0.25">
      <c r="T60"/>
      <c r="Z60"/>
      <c r="AA60"/>
    </row>
    <row r="61" spans="2:28" ht="15" customHeight="1" thickBot="1" x14ac:dyDescent="0.3">
      <c r="B61" s="21" t="s">
        <v>4788</v>
      </c>
      <c r="T61"/>
      <c r="W61" s="23"/>
      <c r="X61" s="23"/>
      <c r="Y61" s="23"/>
      <c r="Z61" s="23"/>
      <c r="AA61" s="23"/>
      <c r="AB61" s="23"/>
    </row>
    <row r="62" spans="2:28" ht="16.5" customHeight="1" x14ac:dyDescent="0.25">
      <c r="B62" s="319"/>
      <c r="C62" s="322" t="s">
        <v>4175</v>
      </c>
      <c r="D62" s="323"/>
      <c r="E62" s="323"/>
      <c r="F62" s="323"/>
      <c r="G62" s="323"/>
      <c r="H62" s="323"/>
      <c r="I62" s="325"/>
      <c r="J62" s="319"/>
      <c r="M62" s="333" t="s">
        <v>4169</v>
      </c>
      <c r="N62" s="560" t="s">
        <v>1328</v>
      </c>
      <c r="O62" s="560"/>
      <c r="P62" s="560"/>
      <c r="Q62" s="560"/>
      <c r="T62"/>
    </row>
    <row r="63" spans="2:28" ht="15" customHeight="1" x14ac:dyDescent="0.25">
      <c r="B63" s="320" t="s">
        <v>124</v>
      </c>
      <c r="C63" s="321">
        <v>0</v>
      </c>
      <c r="D63" s="320">
        <v>40</v>
      </c>
      <c r="E63" s="320">
        <v>80</v>
      </c>
      <c r="F63" s="320">
        <v>120</v>
      </c>
      <c r="G63" s="320">
        <v>180</v>
      </c>
      <c r="H63" s="320">
        <v>240</v>
      </c>
      <c r="I63" s="324" t="s">
        <v>2325</v>
      </c>
      <c r="J63" s="320" t="s">
        <v>2352</v>
      </c>
      <c r="T63"/>
    </row>
    <row r="64" spans="2:28" ht="15" customHeight="1" x14ac:dyDescent="0.25">
      <c r="B64" s="153" t="s">
        <v>1328</v>
      </c>
      <c r="C64" s="378">
        <f>SUM(C65:C74)</f>
        <v>17</v>
      </c>
      <c r="D64" s="378">
        <f t="shared" ref="D64:I64" si="8">SUM(D65:D74)</f>
        <v>5</v>
      </c>
      <c r="E64" s="378">
        <f t="shared" si="8"/>
        <v>40</v>
      </c>
      <c r="F64" s="378">
        <f t="shared" si="8"/>
        <v>27</v>
      </c>
      <c r="G64" s="378">
        <f t="shared" si="8"/>
        <v>92</v>
      </c>
      <c r="H64" s="378">
        <f t="shared" si="8"/>
        <v>6</v>
      </c>
      <c r="I64" s="378">
        <f t="shared" si="8"/>
        <v>187</v>
      </c>
      <c r="J64" s="378"/>
      <c r="T64"/>
    </row>
    <row r="65" spans="2:20" ht="15" customHeight="1" x14ac:dyDescent="0.25">
      <c r="B65" s="8" t="s">
        <v>154</v>
      </c>
      <c r="C65" s="257">
        <f>COUNTIFS(TU_DB[[ALK Bin (ppm)]:[ALK Bin (ppm)]],C$19,TU_DB[[Monitoring Site]:[Monitoring Site]],$B65)</f>
        <v>4</v>
      </c>
      <c r="D65" s="79">
        <f>COUNTIFS(TU_DB[[ALK Bin (ppm)]:[ALK Bin (ppm)]],D$19,TU_DB[[Monitoring Site]:[Monitoring Site]],$B65)</f>
        <v>1</v>
      </c>
      <c r="E65" s="79">
        <f>COUNTIFS(TU_DB[[ALK Bin (ppm)]:[ALK Bin (ppm)]],E$19,TU_DB[[Monitoring Site]:[Monitoring Site]],$B65)</f>
        <v>4</v>
      </c>
      <c r="F65" s="79">
        <f>COUNTIFS(TU_DB[[ALK Bin (ppm)]:[ALK Bin (ppm)]],F$19,TU_DB[[Monitoring Site]:[Monitoring Site]],$B65)</f>
        <v>2</v>
      </c>
      <c r="G65" s="79">
        <f>COUNTIFS(TU_DB[[ALK Bin (ppm)]:[ALK Bin (ppm)]],G$19,TU_DB[[Monitoring Site]:[Monitoring Site]],$B65)</f>
        <v>5</v>
      </c>
      <c r="H65" s="79">
        <f>COUNTIFS(TU_DB[[ALK Bin (ppm)]:[ALK Bin (ppm)]],H$19,TU_DB[[Monitoring Site]:[Monitoring Site]],$B65)</f>
        <v>0</v>
      </c>
      <c r="I65" s="257">
        <f t="shared" ref="I65:I81" si="9">SUM(C65:H65)</f>
        <v>16</v>
      </c>
      <c r="J65" s="268">
        <f>SUM(I65)/$I$64</f>
        <v>8.5561497326203204E-2</v>
      </c>
      <c r="T65"/>
    </row>
    <row r="66" spans="2:20" x14ac:dyDescent="0.25">
      <c r="B66" s="8" t="str">
        <f>Use!S125</f>
        <v>Eau Galle River @ WI Hwy 29</v>
      </c>
      <c r="C66" s="257">
        <f>COUNTIFS(TU_DB[[ALK Bin (ppm)]:[ALK Bin (ppm)]],C$19,TU_DB[[Monitoring Site]:[Monitoring Site]],$B66)</f>
        <v>1</v>
      </c>
      <c r="D66" s="79">
        <f>COUNTIFS(TU_DB[[ALK Bin (ppm)]:[ALK Bin (ppm)]],D$19,TU_DB[[Monitoring Site]:[Monitoring Site]],$B66)</f>
        <v>2</v>
      </c>
      <c r="E66" s="79">
        <f>COUNTIFS(TU_DB[[ALK Bin (ppm)]:[ALK Bin (ppm)]],E$19,TU_DB[[Monitoring Site]:[Monitoring Site]],$B66)</f>
        <v>6</v>
      </c>
      <c r="F66" s="79">
        <f>COUNTIFS(TU_DB[[ALK Bin (ppm)]:[ALK Bin (ppm)]],F$19,TU_DB[[Monitoring Site]:[Monitoring Site]],$B66)</f>
        <v>0</v>
      </c>
      <c r="G66" s="79">
        <f>COUNTIFS(TU_DB[[ALK Bin (ppm)]:[ALK Bin (ppm)]],G$19,TU_DB[[Monitoring Site]:[Monitoring Site]],$B66)</f>
        <v>2</v>
      </c>
      <c r="H66" s="79">
        <f>COUNTIFS(TU_DB[[ALK Bin (ppm)]:[ALK Bin (ppm)]],H$19,TU_DB[[Monitoring Site]:[Monitoring Site]],$B66)</f>
        <v>0</v>
      </c>
      <c r="I66" s="257">
        <f t="shared" si="9"/>
        <v>11</v>
      </c>
      <c r="J66" s="268">
        <f t="shared" ref="J66:J74" si="10">SUM(I66)/$I$64</f>
        <v>5.8823529411764705E-2</v>
      </c>
      <c r="T66"/>
    </row>
    <row r="67" spans="2:20" x14ac:dyDescent="0.25">
      <c r="B67" s="8" t="str">
        <f>Use!S126</f>
        <v>Isabelle Creek @ County Rd. EE</v>
      </c>
      <c r="C67" s="257">
        <f>COUNTIFS(TU_DB[[ALK Bin (ppm)]:[ALK Bin (ppm)]],C$19,TU_DB[[Monitoring Site]:[Monitoring Site]],$B67)</f>
        <v>1</v>
      </c>
      <c r="D67" s="79">
        <f>COUNTIFS(TU_DB[[ALK Bin (ppm)]:[ALK Bin (ppm)]],D$19,TU_DB[[Monitoring Site]:[Monitoring Site]],$B67)</f>
        <v>1</v>
      </c>
      <c r="E67" s="79">
        <f>COUNTIFS(TU_DB[[ALK Bin (ppm)]:[ALK Bin (ppm)]],E$19,TU_DB[[Monitoring Site]:[Monitoring Site]],$B67)</f>
        <v>3</v>
      </c>
      <c r="F67" s="79">
        <f>COUNTIFS(TU_DB[[ALK Bin (ppm)]:[ALK Bin (ppm)]],F$19,TU_DB[[Monitoring Site]:[Monitoring Site]],$B67)</f>
        <v>6</v>
      </c>
      <c r="G67" s="79">
        <f>COUNTIFS(TU_DB[[ALK Bin (ppm)]:[ALK Bin (ppm)]],G$19,TU_DB[[Monitoring Site]:[Monitoring Site]],$B67)</f>
        <v>11</v>
      </c>
      <c r="H67" s="79">
        <f>COUNTIFS(TU_DB[[ALK Bin (ppm)]:[ALK Bin (ppm)]],H$19,TU_DB[[Monitoring Site]:[Monitoring Site]],$B67)</f>
        <v>0</v>
      </c>
      <c r="I67" s="257">
        <f t="shared" si="9"/>
        <v>22</v>
      </c>
      <c r="J67" s="268">
        <f t="shared" si="10"/>
        <v>0.11764705882352941</v>
      </c>
      <c r="T67"/>
    </row>
    <row r="68" spans="2:20" x14ac:dyDescent="0.25">
      <c r="B68" s="8" t="str">
        <f>Use!S127</f>
        <v>Kinnickinnic River, Lower Glen Park</v>
      </c>
      <c r="C68" s="257">
        <f>COUNTIFS(TU_DB[[ALK Bin (ppm)]:[ALK Bin (ppm)]],C$19,TU_DB[[Monitoring Site]:[Monitoring Site]],$B68)</f>
        <v>9</v>
      </c>
      <c r="D68" s="79">
        <f>COUNTIFS(TU_DB[[ALK Bin (ppm)]:[ALK Bin (ppm)]],D$19,TU_DB[[Monitoring Site]:[Monitoring Site]],$B68)</f>
        <v>0</v>
      </c>
      <c r="E68" s="79">
        <f>COUNTIFS(TU_DB[[ALK Bin (ppm)]:[ALK Bin (ppm)]],E$19,TU_DB[[Monitoring Site]:[Monitoring Site]],$B68)</f>
        <v>9</v>
      </c>
      <c r="F68" s="79">
        <f>COUNTIFS(TU_DB[[ALK Bin (ppm)]:[ALK Bin (ppm)]],F$19,TU_DB[[Monitoring Site]:[Monitoring Site]],$B68)</f>
        <v>6</v>
      </c>
      <c r="G68" s="79">
        <f>COUNTIFS(TU_DB[[ALK Bin (ppm)]:[ALK Bin (ppm)]],G$19,TU_DB[[Monitoring Site]:[Monitoring Site]],$B68)</f>
        <v>13</v>
      </c>
      <c r="H68" s="79">
        <f>COUNTIFS(TU_DB[[ALK Bin (ppm)]:[ALK Bin (ppm)]],H$19,TU_DB[[Monitoring Site]:[Monitoring Site]],$B68)</f>
        <v>0</v>
      </c>
      <c r="I68" s="257">
        <f t="shared" si="9"/>
        <v>37</v>
      </c>
      <c r="J68" s="268">
        <f t="shared" si="10"/>
        <v>0.19786096256684493</v>
      </c>
      <c r="T68"/>
    </row>
    <row r="69" spans="2:20" x14ac:dyDescent="0.25">
      <c r="B69" s="8" t="str">
        <f>Use!S128</f>
        <v>Pine Creek @ County Rd. AA</v>
      </c>
      <c r="C69" s="257">
        <f>COUNTIFS(TU_DB[[ALK Bin (ppm)]:[ALK Bin (ppm)]],C$19,TU_DB[[Monitoring Site]:[Monitoring Site]],$B69)</f>
        <v>0</v>
      </c>
      <c r="D69" s="79">
        <f>COUNTIFS(TU_DB[[ALK Bin (ppm)]:[ALK Bin (ppm)]],D$19,TU_DB[[Monitoring Site]:[Monitoring Site]],$B69)</f>
        <v>0</v>
      </c>
      <c r="E69" s="79">
        <f>COUNTIFS(TU_DB[[ALK Bin (ppm)]:[ALK Bin (ppm)]],E$19,TU_DB[[Monitoring Site]:[Monitoring Site]],$B69)</f>
        <v>2</v>
      </c>
      <c r="F69" s="79">
        <f>COUNTIFS(TU_DB[[ALK Bin (ppm)]:[ALK Bin (ppm)]],F$19,TU_DB[[Monitoring Site]:[Monitoring Site]],$B69)</f>
        <v>3</v>
      </c>
      <c r="G69" s="79">
        <f>COUNTIFS(TU_DB[[ALK Bin (ppm)]:[ALK Bin (ppm)]],G$19,TU_DB[[Monitoring Site]:[Monitoring Site]],$B69)</f>
        <v>25</v>
      </c>
      <c r="H69" s="79">
        <f>COUNTIFS(TU_DB[[ALK Bin (ppm)]:[ALK Bin (ppm)]],H$19,TU_DB[[Monitoring Site]:[Monitoring Site]],$B69)</f>
        <v>0</v>
      </c>
      <c r="I69" s="257">
        <f t="shared" si="9"/>
        <v>30</v>
      </c>
      <c r="J69" s="268">
        <f t="shared" si="10"/>
        <v>0.16042780748663102</v>
      </c>
      <c r="T69"/>
    </row>
    <row r="70" spans="2:20" x14ac:dyDescent="0.25">
      <c r="B70" s="8" t="str">
        <f>Use!S129</f>
        <v>Plum Creek @ Plum CIty Park</v>
      </c>
      <c r="C70" s="257">
        <f>COUNTIFS(TU_DB[[ALK Bin (ppm)]:[ALK Bin (ppm)]],C$19,TU_DB[[Monitoring Site]:[Monitoring Site]],$B70)</f>
        <v>0</v>
      </c>
      <c r="D70" s="79">
        <f>COUNTIFS(TU_DB[[ALK Bin (ppm)]:[ALK Bin (ppm)]],D$19,TU_DB[[Monitoring Site]:[Monitoring Site]],$B70)</f>
        <v>0</v>
      </c>
      <c r="E70" s="79">
        <f>COUNTIFS(TU_DB[[ALK Bin (ppm)]:[ALK Bin (ppm)]],E$19,TU_DB[[Monitoring Site]:[Monitoring Site]],$B70)</f>
        <v>4</v>
      </c>
      <c r="F70" s="79">
        <f>COUNTIFS(TU_DB[[ALK Bin (ppm)]:[ALK Bin (ppm)]],F$19,TU_DB[[Monitoring Site]:[Monitoring Site]],$B70)</f>
        <v>6</v>
      </c>
      <c r="G70" s="79">
        <f>COUNTIFS(TU_DB[[ALK Bin (ppm)]:[ALK Bin (ppm)]],G$19,TU_DB[[Monitoring Site]:[Monitoring Site]],$B70)</f>
        <v>7</v>
      </c>
      <c r="H70" s="79">
        <f>COUNTIFS(TU_DB[[ALK Bin (ppm)]:[ALK Bin (ppm)]],H$19,TU_DB[[Monitoring Site]:[Monitoring Site]],$B70)</f>
        <v>0</v>
      </c>
      <c r="I70" s="257">
        <f t="shared" si="9"/>
        <v>17</v>
      </c>
      <c r="J70" s="268">
        <f t="shared" si="10"/>
        <v>9.0909090909090912E-2</v>
      </c>
      <c r="T70"/>
    </row>
    <row r="71" spans="2:20" x14ac:dyDescent="0.25">
      <c r="B71" s="8" t="str">
        <f>Use!S130</f>
        <v>Rocky Branch Creek, Lower Glen Park</v>
      </c>
      <c r="C71" s="257">
        <f>COUNTIFS(TU_DB[[ALK Bin (ppm)]:[ALK Bin (ppm)]],C$19,TU_DB[[Monitoring Site]:[Monitoring Site]],$B71)</f>
        <v>1</v>
      </c>
      <c r="D71" s="79">
        <f>COUNTIFS(TU_DB[[ALK Bin (ppm)]:[ALK Bin (ppm)]],D$19,TU_DB[[Monitoring Site]:[Monitoring Site]],$B71)</f>
        <v>1</v>
      </c>
      <c r="E71" s="79">
        <f>COUNTIFS(TU_DB[[ALK Bin (ppm)]:[ALK Bin (ppm)]],E$19,TU_DB[[Monitoring Site]:[Monitoring Site]],$B71)</f>
        <v>5</v>
      </c>
      <c r="F71" s="79">
        <f>COUNTIFS(TU_DB[[ALK Bin (ppm)]:[ALK Bin (ppm)]],F$19,TU_DB[[Monitoring Site]:[Monitoring Site]],$B71)</f>
        <v>2</v>
      </c>
      <c r="G71" s="79">
        <f>COUNTIFS(TU_DB[[ALK Bin (ppm)]:[ALK Bin (ppm)]],G$19,TU_DB[[Monitoring Site]:[Monitoring Site]],$B71)</f>
        <v>1</v>
      </c>
      <c r="H71" s="79">
        <f>COUNTIFS(TU_DB[[ALK Bin (ppm)]:[ALK Bin (ppm)]],H$19,TU_DB[[Monitoring Site]:[Monitoring Site]],$B71)</f>
        <v>0</v>
      </c>
      <c r="I71" s="257">
        <f t="shared" si="9"/>
        <v>10</v>
      </c>
      <c r="J71" s="268">
        <f t="shared" si="10"/>
        <v>5.3475935828877004E-2</v>
      </c>
      <c r="T71"/>
    </row>
    <row r="72" spans="2:20" x14ac:dyDescent="0.25">
      <c r="B72" s="8" t="str">
        <f>Use!S131</f>
        <v>Rush River @ 570th Ave</v>
      </c>
      <c r="C72" s="257">
        <f>COUNTIFS(TU_DB[[ALK Bin (ppm)]:[ALK Bin (ppm)]],C$19,TU_DB[[Monitoring Site]:[Monitoring Site]],$B72)</f>
        <v>1</v>
      </c>
      <c r="D72" s="79">
        <f>COUNTIFS(TU_DB[[ALK Bin (ppm)]:[ALK Bin (ppm)]],D$19,TU_DB[[Monitoring Site]:[Monitoring Site]],$B72)</f>
        <v>0</v>
      </c>
      <c r="E72" s="79">
        <f>COUNTIFS(TU_DB[[ALK Bin (ppm)]:[ALK Bin (ppm)]],E$19,TU_DB[[Monitoring Site]:[Monitoring Site]],$B72)</f>
        <v>5</v>
      </c>
      <c r="F72" s="79">
        <f>COUNTIFS(TU_DB[[ALK Bin (ppm)]:[ALK Bin (ppm)]],F$19,TU_DB[[Monitoring Site]:[Monitoring Site]],$B72)</f>
        <v>1</v>
      </c>
      <c r="G72" s="79">
        <f>COUNTIFS(TU_DB[[ALK Bin (ppm)]:[ALK Bin (ppm)]],G$19,TU_DB[[Monitoring Site]:[Monitoring Site]],$B72)</f>
        <v>12</v>
      </c>
      <c r="H72" s="79">
        <f>COUNTIFS(TU_DB[[ALK Bin (ppm)]:[ALK Bin (ppm)]],H$19,TU_DB[[Monitoring Site]:[Monitoring Site]],$B72)</f>
        <v>6</v>
      </c>
      <c r="I72" s="257">
        <f t="shared" si="9"/>
        <v>25</v>
      </c>
      <c r="J72" s="268">
        <f t="shared" si="10"/>
        <v>0.13368983957219252</v>
      </c>
      <c r="T72"/>
    </row>
    <row r="73" spans="2:20" x14ac:dyDescent="0.25">
      <c r="B73" s="8" t="str">
        <f>Use!S132</f>
        <v>SF Kinnickinnic River @ 900th St</v>
      </c>
      <c r="C73" s="257">
        <f>COUNTIFS(TU_DB[[ALK Bin (ppm)]:[ALK Bin (ppm)]],C$19,TU_DB[[Monitoring Site]:[Monitoring Site]],$B73)</f>
        <v>0</v>
      </c>
      <c r="D73" s="79">
        <f>COUNTIFS(TU_DB[[ALK Bin (ppm)]:[ALK Bin (ppm)]],D$19,TU_DB[[Monitoring Site]:[Monitoring Site]],$B73)</f>
        <v>0</v>
      </c>
      <c r="E73" s="79">
        <f>COUNTIFS(TU_DB[[ALK Bin (ppm)]:[ALK Bin (ppm)]],E$19,TU_DB[[Monitoring Site]:[Monitoring Site]],$B73)</f>
        <v>1</v>
      </c>
      <c r="F73" s="79">
        <f>COUNTIFS(TU_DB[[ALK Bin (ppm)]:[ALK Bin (ppm)]],F$19,TU_DB[[Monitoring Site]:[Monitoring Site]],$B73)</f>
        <v>1</v>
      </c>
      <c r="G73" s="79">
        <f>COUNTIFS(TU_DB[[ALK Bin (ppm)]:[ALK Bin (ppm)]],G$19,TU_DB[[Monitoring Site]:[Monitoring Site]],$B73)</f>
        <v>10</v>
      </c>
      <c r="H73" s="79">
        <f>COUNTIFS(TU_DB[[ALK Bin (ppm)]:[ALK Bin (ppm)]],H$19,TU_DB[[Monitoring Site]:[Monitoring Site]],$B73)</f>
        <v>0</v>
      </c>
      <c r="I73" s="257">
        <f t="shared" si="9"/>
        <v>12</v>
      </c>
      <c r="J73" s="268">
        <f t="shared" si="10"/>
        <v>6.4171122994652413E-2</v>
      </c>
      <c r="T73"/>
    </row>
    <row r="74" spans="2:20" x14ac:dyDescent="0.25">
      <c r="B74" s="8" t="str">
        <f>Use!S133</f>
        <v>Trimbelle River @ County Rd W</v>
      </c>
      <c r="C74" s="257">
        <f>COUNTIFS(TU_DB[[ALK Bin (ppm)]:[ALK Bin (ppm)]],C$19,TU_DB[[Monitoring Site]:[Monitoring Site]],$B74)</f>
        <v>0</v>
      </c>
      <c r="D74" s="79">
        <f>COUNTIFS(TU_DB[[ALK Bin (ppm)]:[ALK Bin (ppm)]],D$19,TU_DB[[Monitoring Site]:[Monitoring Site]],$B74)</f>
        <v>0</v>
      </c>
      <c r="E74" s="79">
        <f>COUNTIFS(TU_DB[[ALK Bin (ppm)]:[ALK Bin (ppm)]],E$19,TU_DB[[Monitoring Site]:[Monitoring Site]],$B74)</f>
        <v>1</v>
      </c>
      <c r="F74" s="79">
        <f>COUNTIFS(TU_DB[[ALK Bin (ppm)]:[ALK Bin (ppm)]],F$19,TU_DB[[Monitoring Site]:[Monitoring Site]],$B74)</f>
        <v>0</v>
      </c>
      <c r="G74" s="79">
        <f>COUNTIFS(TU_DB[[ALK Bin (ppm)]:[ALK Bin (ppm)]],G$19,TU_DB[[Monitoring Site]:[Monitoring Site]],$B74)</f>
        <v>6</v>
      </c>
      <c r="H74" s="79">
        <f>COUNTIFS(TU_DB[[ALK Bin (ppm)]:[ALK Bin (ppm)]],H$19,TU_DB[[Monitoring Site]:[Monitoring Site]],$B74)</f>
        <v>0</v>
      </c>
      <c r="I74" s="257">
        <f t="shared" si="9"/>
        <v>7</v>
      </c>
      <c r="J74" s="268">
        <f t="shared" si="10"/>
        <v>3.7433155080213901E-2</v>
      </c>
      <c r="T74"/>
    </row>
    <row r="75" spans="2:20" x14ac:dyDescent="0.25">
      <c r="B75" s="153" t="s">
        <v>1329</v>
      </c>
      <c r="C75" s="378">
        <f>SUM(C76:C85)</f>
        <v>14</v>
      </c>
      <c r="D75" s="378">
        <f t="shared" ref="D75" si="11">SUM(D76:D85)</f>
        <v>3</v>
      </c>
      <c r="E75" s="378">
        <f t="shared" ref="E75" si="12">SUM(E76:E85)</f>
        <v>30</v>
      </c>
      <c r="F75" s="378">
        <f t="shared" ref="F75" si="13">SUM(F76:F85)</f>
        <v>24</v>
      </c>
      <c r="G75" s="378">
        <f t="shared" ref="G75" si="14">SUM(G76:G85)</f>
        <v>33</v>
      </c>
      <c r="H75" s="378">
        <f t="shared" ref="H75" si="15">SUM(H76:H85)</f>
        <v>0</v>
      </c>
      <c r="I75" s="378">
        <f>SUM(I76:I83)</f>
        <v>104</v>
      </c>
      <c r="J75" s="377"/>
      <c r="T75"/>
    </row>
    <row r="76" spans="2:20" x14ac:dyDescent="0.25">
      <c r="B76" s="8" t="str">
        <f>Use!S135</f>
        <v>Belle Creek</v>
      </c>
      <c r="C76" s="257">
        <f>COUNTIFS(TU_DB[[ALK Bin (ppm)]:[ALK Bin (ppm)]],C$19,TU_DB[[Monitoring Site]:[Monitoring Site]],$B76)</f>
        <v>7</v>
      </c>
      <c r="D76" s="79">
        <f>COUNTIFS(TU_DB[[ALK Bin (ppm)]:[ALK Bin (ppm)]],D$19,TU_DB[[Monitoring Site]:[Monitoring Site]],$B76)</f>
        <v>0</v>
      </c>
      <c r="E76" s="79">
        <f>COUNTIFS(TU_DB[[ALK Bin (ppm)]:[ALK Bin (ppm)]],E$19,TU_DB[[Monitoring Site]:[Monitoring Site]],$B76)</f>
        <v>0</v>
      </c>
      <c r="F76" s="79">
        <f>COUNTIFS(TU_DB[[ALK Bin (ppm)]:[ALK Bin (ppm)]],F$19,TU_DB[[Monitoring Site]:[Monitoring Site]],$B76)</f>
        <v>0</v>
      </c>
      <c r="G76" s="79">
        <f>COUNTIFS(TU_DB[[ALK Bin (ppm)]:[ALK Bin (ppm)]],G$19,TU_DB[[Monitoring Site]:[Monitoring Site]],$B76)</f>
        <v>0</v>
      </c>
      <c r="H76" s="79">
        <f>COUNTIFS(TU_DB[[ALK Bin (ppm)]:[ALK Bin (ppm)]],H$19,TU_DB[[Monitoring Site]:[Monitoring Site]],$B76)</f>
        <v>0</v>
      </c>
      <c r="I76" s="257">
        <f t="shared" si="9"/>
        <v>7</v>
      </c>
      <c r="J76" s="268">
        <f>SUM(I76)/$I$75</f>
        <v>6.7307692307692304E-2</v>
      </c>
      <c r="T76"/>
    </row>
    <row r="77" spans="2:20" x14ac:dyDescent="0.25">
      <c r="B77" s="8" t="str">
        <f>Use!S136</f>
        <v>Hay Creek @ 320th St</v>
      </c>
      <c r="C77" s="257">
        <f>COUNTIFS(TU_DB[[ALK Bin (ppm)]:[ALK Bin (ppm)]],C$19,TU_DB[[Monitoring Site]:[Monitoring Site]],$B77)</f>
        <v>0</v>
      </c>
      <c r="D77" s="79">
        <f>COUNTIFS(TU_DB[[ALK Bin (ppm)]:[ALK Bin (ppm)]],D$19,TU_DB[[Monitoring Site]:[Monitoring Site]],$B77)</f>
        <v>0</v>
      </c>
      <c r="E77" s="79">
        <f>COUNTIFS(TU_DB[[ALK Bin (ppm)]:[ALK Bin (ppm)]],E$19,TU_DB[[Monitoring Site]:[Monitoring Site]],$B77)</f>
        <v>0</v>
      </c>
      <c r="F77" s="79">
        <f>COUNTIFS(TU_DB[[ALK Bin (ppm)]:[ALK Bin (ppm)]],F$19,TU_DB[[Monitoring Site]:[Monitoring Site]],$B77)</f>
        <v>0</v>
      </c>
      <c r="G77" s="79">
        <f>COUNTIFS(TU_DB[[ALK Bin (ppm)]:[ALK Bin (ppm)]],G$19,TU_DB[[Monitoring Site]:[Monitoring Site]],$B77)</f>
        <v>0</v>
      </c>
      <c r="H77" s="79">
        <f>COUNTIFS(TU_DB[[ALK Bin (ppm)]:[ALK Bin (ppm)]],H$19,TU_DB[[Monitoring Site]:[Monitoring Site]],$B77)</f>
        <v>0</v>
      </c>
      <c r="I77" s="257">
        <f t="shared" si="9"/>
        <v>0</v>
      </c>
      <c r="J77" s="268">
        <f t="shared" ref="J77:J83" si="16">SUM(I77)/$I$75</f>
        <v>0</v>
      </c>
      <c r="T77"/>
    </row>
    <row r="78" spans="2:20" x14ac:dyDescent="0.25">
      <c r="B78" s="8" t="str">
        <f>Use!S137</f>
        <v>Hay Creek @ 325th St</v>
      </c>
      <c r="C78" s="257">
        <f>COUNTIFS(TU_DB[[ALK Bin (ppm)]:[ALK Bin (ppm)]],C$19,TU_DB[[Monitoring Site]:[Monitoring Site]],$B78)</f>
        <v>0</v>
      </c>
      <c r="D78" s="79">
        <f>COUNTIFS(TU_DB[[ALK Bin (ppm)]:[ALK Bin (ppm)]],D$19,TU_DB[[Monitoring Site]:[Monitoring Site]],$B78)</f>
        <v>0</v>
      </c>
      <c r="E78" s="79">
        <f>COUNTIFS(TU_DB[[ALK Bin (ppm)]:[ALK Bin (ppm)]],E$19,TU_DB[[Monitoring Site]:[Monitoring Site]],$B78)</f>
        <v>0</v>
      </c>
      <c r="F78" s="79">
        <f>COUNTIFS(TU_DB[[ALK Bin (ppm)]:[ALK Bin (ppm)]],F$19,TU_DB[[Monitoring Site]:[Monitoring Site]],$B78)</f>
        <v>0</v>
      </c>
      <c r="G78" s="79">
        <f>COUNTIFS(TU_DB[[ALK Bin (ppm)]:[ALK Bin (ppm)]],G$19,TU_DB[[Monitoring Site]:[Monitoring Site]],$B78)</f>
        <v>0</v>
      </c>
      <c r="H78" s="79">
        <f>COUNTIFS(TU_DB[[ALK Bin (ppm)]:[ALK Bin (ppm)]],H$19,TU_DB[[Monitoring Site]:[Monitoring Site]],$B78)</f>
        <v>0</v>
      </c>
      <c r="I78" s="257">
        <f t="shared" si="9"/>
        <v>0</v>
      </c>
      <c r="J78" s="268">
        <f t="shared" si="16"/>
        <v>0</v>
      </c>
      <c r="T78"/>
    </row>
    <row r="79" spans="2:20" x14ac:dyDescent="0.25">
      <c r="B79" s="8" t="str">
        <f>Use!S138</f>
        <v>Eagle Creek</v>
      </c>
      <c r="C79" s="257">
        <f>COUNTIFS(TU_DB[[ALK Bin (ppm)]:[ALK Bin (ppm)]],C$19,TU_DB[[Monitoring Site]:[Monitoring Site]],$B79)</f>
        <v>0</v>
      </c>
      <c r="D79" s="79">
        <f>COUNTIFS(TU_DB[[ALK Bin (ppm)]:[ALK Bin (ppm)]],D$19,TU_DB[[Monitoring Site]:[Monitoring Site]],$B79)</f>
        <v>0</v>
      </c>
      <c r="E79" s="79">
        <f>COUNTIFS(TU_DB[[ALK Bin (ppm)]:[ALK Bin (ppm)]],E$19,TU_DB[[Monitoring Site]:[Monitoring Site]],$B79)</f>
        <v>0</v>
      </c>
      <c r="F79" s="79">
        <f>COUNTIFS(TU_DB[[ALK Bin (ppm)]:[ALK Bin (ppm)]],F$19,TU_DB[[Monitoring Site]:[Monitoring Site]],$B79)</f>
        <v>0</v>
      </c>
      <c r="G79" s="79">
        <f>COUNTIFS(TU_DB[[ALK Bin (ppm)]:[ALK Bin (ppm)]],G$19,TU_DB[[Monitoring Site]:[Monitoring Site]],$B79)</f>
        <v>2</v>
      </c>
      <c r="H79" s="79">
        <f>COUNTIFS(TU_DB[[ALK Bin (ppm)]:[ALK Bin (ppm)]],H$19,TU_DB[[Monitoring Site]:[Monitoring Site]],$B79)</f>
        <v>0</v>
      </c>
      <c r="I79" s="257">
        <f t="shared" si="9"/>
        <v>2</v>
      </c>
      <c r="J79" s="268">
        <f t="shared" si="16"/>
        <v>1.9230769230769232E-2</v>
      </c>
      <c r="T79"/>
    </row>
    <row r="80" spans="2:20" x14ac:dyDescent="0.25">
      <c r="B80" s="8" t="str">
        <f>Use!S139</f>
        <v>Little Cannon River</v>
      </c>
      <c r="C80" s="257">
        <f>COUNTIFS(TU_DB[[ALK Bin (ppm)]:[ALK Bin (ppm)]],C$19,TU_DB[[Monitoring Site]:[Monitoring Site]],$B80)</f>
        <v>0</v>
      </c>
      <c r="D80" s="79">
        <f>COUNTIFS(TU_DB[[ALK Bin (ppm)]:[ALK Bin (ppm)]],D$19,TU_DB[[Monitoring Site]:[Monitoring Site]],$B80)</f>
        <v>0</v>
      </c>
      <c r="E80" s="79">
        <f>COUNTIFS(TU_DB[[ALK Bin (ppm)]:[ALK Bin (ppm)]],E$19,TU_DB[[Monitoring Site]:[Monitoring Site]],$B80)</f>
        <v>0</v>
      </c>
      <c r="F80" s="79">
        <f>COUNTIFS(TU_DB[[ALK Bin (ppm)]:[ALK Bin (ppm)]],F$19,TU_DB[[Monitoring Site]:[Monitoring Site]],$B80)</f>
        <v>0</v>
      </c>
      <c r="G80" s="79">
        <f>COUNTIFS(TU_DB[[ALK Bin (ppm)]:[ALK Bin (ppm)]],G$19,TU_DB[[Monitoring Site]:[Monitoring Site]],$B80)</f>
        <v>0</v>
      </c>
      <c r="H80" s="79">
        <f>COUNTIFS(TU_DB[[ALK Bin (ppm)]:[ALK Bin (ppm)]],H$19,TU_DB[[Monitoring Site]:[Monitoring Site]],$B80)</f>
        <v>0</v>
      </c>
      <c r="I80" s="257">
        <f t="shared" si="9"/>
        <v>0</v>
      </c>
      <c r="J80" s="268">
        <f t="shared" si="16"/>
        <v>0</v>
      </c>
      <c r="T80"/>
    </row>
    <row r="81" spans="2:33" x14ac:dyDescent="0.25">
      <c r="B81" s="8" t="str">
        <f>Use!S140</f>
        <v>MOA Creek</v>
      </c>
      <c r="C81" s="257">
        <f>COUNTIFS(TU_DB[[ALK Bin (ppm)]:[ALK Bin (ppm)]],C$19,TU_DB[[Monitoring Site]:[Monitoring Site]],$B81)</f>
        <v>2</v>
      </c>
      <c r="D81" s="79">
        <f>COUNTIFS(TU_DB[[ALK Bin (ppm)]:[ALK Bin (ppm)]],D$19,TU_DB[[Monitoring Site]:[Monitoring Site]],$B81)</f>
        <v>0</v>
      </c>
      <c r="E81" s="79">
        <f>COUNTIFS(TU_DB[[ALK Bin (ppm)]:[ALK Bin (ppm)]],E$19,TU_DB[[Monitoring Site]:[Monitoring Site]],$B81)</f>
        <v>2</v>
      </c>
      <c r="F81" s="79">
        <f>COUNTIFS(TU_DB[[ALK Bin (ppm)]:[ALK Bin (ppm)]],F$19,TU_DB[[Monitoring Site]:[Monitoring Site]],$B81)</f>
        <v>4</v>
      </c>
      <c r="G81" s="79">
        <f>COUNTIFS(TU_DB[[ALK Bin (ppm)]:[ALK Bin (ppm)]],G$19,TU_DB[[Monitoring Site]:[Monitoring Site]],$B81)</f>
        <v>14</v>
      </c>
      <c r="H81" s="79">
        <f>COUNTIFS(TU_DB[[ALK Bin (ppm)]:[ALK Bin (ppm)]],H$19,TU_DB[[Monitoring Site]:[Monitoring Site]],$B81)</f>
        <v>0</v>
      </c>
      <c r="I81" s="257">
        <f t="shared" si="9"/>
        <v>22</v>
      </c>
      <c r="J81" s="268">
        <f t="shared" si="16"/>
        <v>0.21153846153846154</v>
      </c>
      <c r="T81"/>
    </row>
    <row r="82" spans="2:33" x14ac:dyDescent="0.25">
      <c r="B82" s="8" t="str">
        <f>Use!S141</f>
        <v>Trout Brook</v>
      </c>
      <c r="C82" s="257">
        <f>COUNTIFS(TU_DB[[ALK Bin (ppm)]:[ALK Bin (ppm)]],C$19,TU_DB[[Monitoring Site]:[Monitoring Site]],$B82)</f>
        <v>2</v>
      </c>
      <c r="D82" s="79">
        <f>COUNTIFS(TU_DB[[ALK Bin (ppm)]:[ALK Bin (ppm)]],D$19,TU_DB[[Monitoring Site]:[Monitoring Site]],$B82)</f>
        <v>1</v>
      </c>
      <c r="E82" s="79">
        <f>COUNTIFS(TU_DB[[ALK Bin (ppm)]:[ALK Bin (ppm)]],E$19,TU_DB[[Monitoring Site]:[Monitoring Site]],$B82)</f>
        <v>23</v>
      </c>
      <c r="F82" s="79">
        <f>COUNTIFS(TU_DB[[ALK Bin (ppm)]:[ALK Bin (ppm)]],F$19,TU_DB[[Monitoring Site]:[Monitoring Site]],$B82)</f>
        <v>10</v>
      </c>
      <c r="G82" s="79">
        <f>COUNTIFS(TU_DB[[ALK Bin (ppm)]:[ALK Bin (ppm)]],G$19,TU_DB[[Monitoring Site]:[Monitoring Site]],$B82)</f>
        <v>2</v>
      </c>
      <c r="H82" s="79">
        <f>COUNTIFS(TU_DB[[ALK Bin (ppm)]:[ALK Bin (ppm)]],H$19,TU_DB[[Monitoring Site]:[Monitoring Site]],$B82)</f>
        <v>0</v>
      </c>
      <c r="I82" s="257">
        <f>SUM(C82:H82)</f>
        <v>38</v>
      </c>
      <c r="J82" s="268">
        <f t="shared" si="16"/>
        <v>0.36538461538461536</v>
      </c>
      <c r="T82"/>
    </row>
    <row r="83" spans="2:33" ht="15.75" thickBot="1" x14ac:dyDescent="0.3">
      <c r="B83" s="379" t="str">
        <f>Use!S142</f>
        <v>Vermillion River, South Branch</v>
      </c>
      <c r="C83" s="258">
        <f>COUNTIFS(TU_DB[[ALK Bin (ppm)]:[ALK Bin (ppm)]],C$19,TU_DB[[Monitoring Site]:[Monitoring Site]],$B83)</f>
        <v>3</v>
      </c>
      <c r="D83" s="255">
        <f>COUNTIFS(TU_DB[[ALK Bin (ppm)]:[ALK Bin (ppm)]],D$19,TU_DB[[Monitoring Site]:[Monitoring Site]],$B83)</f>
        <v>2</v>
      </c>
      <c r="E83" s="255">
        <f>COUNTIFS(TU_DB[[ALK Bin (ppm)]:[ALK Bin (ppm)]],E$19,TU_DB[[Monitoring Site]:[Monitoring Site]],$B83)</f>
        <v>5</v>
      </c>
      <c r="F83" s="255">
        <f>COUNTIFS(TU_DB[[ALK Bin (ppm)]:[ALK Bin (ppm)]],F$19,TU_DB[[Monitoring Site]:[Monitoring Site]],$B83)</f>
        <v>10</v>
      </c>
      <c r="G83" s="255">
        <f>COUNTIFS(TU_DB[[ALK Bin (ppm)]:[ALK Bin (ppm)]],G$19,TU_DB[[Monitoring Site]:[Monitoring Site]],$B83)</f>
        <v>15</v>
      </c>
      <c r="H83" s="255">
        <f>COUNTIFS(TU_DB[[ALK Bin (ppm)]:[ALK Bin (ppm)]],H$19,TU_DB[[Monitoring Site]:[Monitoring Site]],$B83)</f>
        <v>0</v>
      </c>
      <c r="I83" s="258">
        <f>SUM(C83:H83)</f>
        <v>35</v>
      </c>
      <c r="J83" s="380">
        <f t="shared" si="16"/>
        <v>0.33653846153846156</v>
      </c>
      <c r="T83"/>
    </row>
    <row r="84" spans="2:33" x14ac:dyDescent="0.25">
      <c r="C84"/>
      <c r="D84"/>
      <c r="E84"/>
      <c r="T84"/>
      <c r="AE84" s="1"/>
      <c r="AF84" s="1"/>
      <c r="AG84" s="1"/>
    </row>
    <row r="85" spans="2:33" x14ac:dyDescent="0.25">
      <c r="T85"/>
    </row>
    <row r="86" spans="2:33" x14ac:dyDescent="0.25">
      <c r="M86" s="331" t="s">
        <v>4168</v>
      </c>
      <c r="N86" s="317">
        <v>0</v>
      </c>
      <c r="O86" s="317">
        <v>40</v>
      </c>
      <c r="P86" s="317">
        <v>80</v>
      </c>
      <c r="Q86" s="317">
        <v>120</v>
      </c>
      <c r="R86" s="317">
        <v>180</v>
      </c>
      <c r="S86" s="317">
        <v>240</v>
      </c>
      <c r="T86"/>
    </row>
    <row r="87" spans="2:33" x14ac:dyDescent="0.25">
      <c r="M87" s="332" t="e">
        <f>INDEX(B65:B82,MATCH($N$62,$B$65:$B$82,0))</f>
        <v>#N/A</v>
      </c>
      <c r="N87" s="318">
        <f>INDEX(C64:C83,MATCH($N$62,$B$64:$B$83,0))</f>
        <v>17</v>
      </c>
      <c r="O87" s="318">
        <f t="shared" ref="O87:S87" si="17">INDEX(D64:D83,MATCH($N$62,$B$64:$B$83,0))</f>
        <v>5</v>
      </c>
      <c r="P87" s="318">
        <f t="shared" si="17"/>
        <v>40</v>
      </c>
      <c r="Q87" s="318">
        <f t="shared" si="17"/>
        <v>27</v>
      </c>
      <c r="R87" s="318">
        <f t="shared" si="17"/>
        <v>92</v>
      </c>
      <c r="S87" s="318">
        <f t="shared" si="17"/>
        <v>6</v>
      </c>
      <c r="T87"/>
    </row>
    <row r="88" spans="2:33" x14ac:dyDescent="0.25">
      <c r="T88"/>
    </row>
    <row r="89" spans="2:33" x14ac:dyDescent="0.25">
      <c r="T89"/>
    </row>
    <row r="90" spans="2:33" x14ac:dyDescent="0.25">
      <c r="T90"/>
    </row>
    <row r="91" spans="2:33" x14ac:dyDescent="0.25">
      <c r="T91"/>
    </row>
    <row r="92" spans="2:33" x14ac:dyDescent="0.25">
      <c r="T92"/>
    </row>
    <row r="93" spans="2:33" x14ac:dyDescent="0.25">
      <c r="T93"/>
    </row>
    <row r="94" spans="2:33" x14ac:dyDescent="0.25">
      <c r="T94"/>
      <c r="Z94"/>
      <c r="AA94"/>
    </row>
    <row r="95" spans="2:33" x14ac:dyDescent="0.25">
      <c r="C95"/>
      <c r="D95"/>
      <c r="E95"/>
      <c r="R95" s="1"/>
      <c r="S95" s="15"/>
      <c r="T95"/>
      <c r="Z95"/>
      <c r="AA95"/>
    </row>
    <row r="96" spans="2:33" x14ac:dyDescent="0.25">
      <c r="C96"/>
      <c r="D96"/>
      <c r="E96"/>
      <c r="R96" s="1"/>
      <c r="S96" s="15"/>
      <c r="T96"/>
      <c r="Z96"/>
      <c r="AA96"/>
    </row>
    <row r="97" spans="3:27" x14ac:dyDescent="0.25">
      <c r="C97"/>
      <c r="D97"/>
      <c r="E97"/>
      <c r="J97" s="1"/>
      <c r="R97" s="1"/>
      <c r="S97" s="15"/>
      <c r="T97"/>
      <c r="Z97"/>
      <c r="AA97"/>
    </row>
    <row r="98" spans="3:27" x14ac:dyDescent="0.25">
      <c r="C98"/>
      <c r="D98"/>
      <c r="E98"/>
      <c r="J98" s="1"/>
      <c r="R98" s="1"/>
      <c r="S98" s="15"/>
      <c r="T98"/>
      <c r="Z98"/>
      <c r="AA98"/>
    </row>
    <row r="99" spans="3:27" x14ac:dyDescent="0.25">
      <c r="C99"/>
      <c r="D99"/>
      <c r="E99"/>
      <c r="J99" s="1"/>
      <c r="R99" s="1"/>
      <c r="S99" s="15"/>
      <c r="T99"/>
      <c r="Z99"/>
      <c r="AA99"/>
    </row>
    <row r="100" spans="3:27" customFormat="1" x14ac:dyDescent="0.25">
      <c r="R100" s="1"/>
      <c r="S100" s="15"/>
    </row>
    <row r="101" spans="3:27" x14ac:dyDescent="0.25">
      <c r="C101"/>
      <c r="D101"/>
      <c r="E101"/>
      <c r="L101" s="1"/>
      <c r="R101" s="1"/>
      <c r="S101" s="15"/>
      <c r="T101"/>
      <c r="Z101"/>
      <c r="AA101"/>
    </row>
    <row r="102" spans="3:27" x14ac:dyDescent="0.25">
      <c r="C102"/>
      <c r="D102"/>
      <c r="E102"/>
      <c r="L102" s="1"/>
      <c r="R102" s="1"/>
      <c r="S102" s="15"/>
      <c r="T102"/>
      <c r="Z102"/>
      <c r="AA102"/>
    </row>
    <row r="103" spans="3:27" x14ac:dyDescent="0.25">
      <c r="C103"/>
      <c r="D103"/>
      <c r="E103"/>
      <c r="L103" s="1"/>
      <c r="R103" s="1"/>
      <c r="S103" s="15"/>
      <c r="T103"/>
      <c r="Z103"/>
      <c r="AA103"/>
    </row>
    <row r="104" spans="3:27" x14ac:dyDescent="0.25">
      <c r="C104"/>
      <c r="D104"/>
      <c r="E104"/>
      <c r="L104" s="1"/>
      <c r="R104" s="1"/>
      <c r="S104" s="15"/>
      <c r="T104"/>
      <c r="Z104"/>
      <c r="AA104"/>
    </row>
    <row r="105" spans="3:27" x14ac:dyDescent="0.25">
      <c r="C105"/>
      <c r="D105"/>
      <c r="E105"/>
      <c r="L105" s="1"/>
      <c r="R105" s="1"/>
      <c r="S105" s="15"/>
      <c r="T105"/>
      <c r="Z105"/>
      <c r="AA105"/>
    </row>
    <row r="106" spans="3:27" x14ac:dyDescent="0.25">
      <c r="C106"/>
      <c r="D106"/>
      <c r="E106"/>
      <c r="L106" s="1"/>
      <c r="R106" s="1"/>
      <c r="S106" s="15"/>
      <c r="T106"/>
      <c r="Z106"/>
      <c r="AA106"/>
    </row>
    <row r="107" spans="3:27" x14ac:dyDescent="0.25">
      <c r="C107"/>
      <c r="D107"/>
      <c r="E107"/>
      <c r="L107" s="1"/>
      <c r="R107" s="1"/>
      <c r="S107" s="15"/>
      <c r="T107"/>
      <c r="Z107"/>
      <c r="AA107"/>
    </row>
    <row r="108" spans="3:27" x14ac:dyDescent="0.25">
      <c r="C108"/>
      <c r="D108"/>
      <c r="E108"/>
      <c r="L108" s="1"/>
      <c r="R108" s="1"/>
      <c r="S108" s="15"/>
      <c r="T108"/>
      <c r="Z108"/>
      <c r="AA108"/>
    </row>
    <row r="109" spans="3:27" x14ac:dyDescent="0.25">
      <c r="C109"/>
      <c r="D109"/>
      <c r="E109"/>
      <c r="L109" s="1"/>
      <c r="R109" s="1"/>
      <c r="S109" s="15"/>
      <c r="T109"/>
      <c r="Z109"/>
      <c r="AA109"/>
    </row>
    <row r="110" spans="3:27" x14ac:dyDescent="0.25">
      <c r="C110"/>
      <c r="D110"/>
      <c r="E110"/>
      <c r="L110" s="1"/>
      <c r="R110" s="1"/>
      <c r="S110" s="15"/>
      <c r="T110"/>
      <c r="Z110"/>
      <c r="AA110"/>
    </row>
    <row r="111" spans="3:27" x14ac:dyDescent="0.25">
      <c r="C111"/>
      <c r="D111"/>
      <c r="E111"/>
      <c r="L111" s="1"/>
      <c r="R111" s="1"/>
      <c r="S111" s="15"/>
      <c r="T111"/>
      <c r="Z111"/>
      <c r="AA111"/>
    </row>
    <row r="112" spans="3:27" x14ac:dyDescent="0.25">
      <c r="C112"/>
      <c r="D112"/>
      <c r="E112"/>
      <c r="L112" s="1"/>
      <c r="R112" s="1"/>
      <c r="S112" s="15"/>
      <c r="T112"/>
      <c r="Z112"/>
      <c r="AA112"/>
    </row>
    <row r="113" spans="3:27" x14ac:dyDescent="0.25">
      <c r="C113"/>
      <c r="D113"/>
      <c r="E113"/>
      <c r="L113" s="1"/>
      <c r="R113" s="1"/>
      <c r="S113" s="15"/>
      <c r="T113"/>
      <c r="Z113"/>
      <c r="AA113"/>
    </row>
    <row r="114" spans="3:27" x14ac:dyDescent="0.25">
      <c r="C114"/>
      <c r="D114"/>
      <c r="E114"/>
      <c r="L114" s="1"/>
      <c r="R114" s="1"/>
      <c r="S114" s="15"/>
      <c r="T114"/>
      <c r="Z114"/>
      <c r="AA114"/>
    </row>
    <row r="115" spans="3:27" x14ac:dyDescent="0.25">
      <c r="C115"/>
      <c r="D115"/>
      <c r="E115"/>
      <c r="L115" s="1"/>
      <c r="R115" s="1"/>
      <c r="S115" s="15"/>
      <c r="T115"/>
      <c r="Z115"/>
      <c r="AA115"/>
    </row>
    <row r="116" spans="3:27" x14ac:dyDescent="0.25">
      <c r="C116"/>
      <c r="D116"/>
      <c r="E116"/>
      <c r="L116" s="1"/>
      <c r="R116" s="1"/>
      <c r="S116" s="15"/>
      <c r="T116"/>
      <c r="Z116"/>
      <c r="AA116"/>
    </row>
    <row r="117" spans="3:27" x14ac:dyDescent="0.25">
      <c r="C117"/>
      <c r="D117"/>
      <c r="E117"/>
      <c r="L117" s="1"/>
      <c r="R117" s="1"/>
      <c r="S117" s="15"/>
      <c r="T117"/>
      <c r="Z117"/>
      <c r="AA117"/>
    </row>
    <row r="118" spans="3:27" x14ac:dyDescent="0.25">
      <c r="C118"/>
      <c r="D118"/>
      <c r="E118"/>
      <c r="L118" s="1"/>
      <c r="R118" s="1"/>
      <c r="S118" s="15"/>
      <c r="T118"/>
      <c r="Z118"/>
      <c r="AA118"/>
    </row>
    <row r="119" spans="3:27" x14ac:dyDescent="0.25">
      <c r="C119"/>
      <c r="D119"/>
      <c r="E119"/>
      <c r="L119" s="1"/>
      <c r="R119" s="1"/>
      <c r="S119" s="15"/>
      <c r="T119"/>
      <c r="Z119"/>
      <c r="AA119"/>
    </row>
    <row r="120" spans="3:27" x14ac:dyDescent="0.25">
      <c r="C120"/>
      <c r="D120"/>
      <c r="E120"/>
      <c r="L120" s="1"/>
      <c r="R120" s="1"/>
      <c r="S120" s="15"/>
      <c r="T120"/>
      <c r="Z120"/>
      <c r="AA120"/>
    </row>
    <row r="121" spans="3:27" x14ac:dyDescent="0.25">
      <c r="C121"/>
      <c r="D121"/>
      <c r="E121"/>
      <c r="L121" s="1"/>
      <c r="R121" s="1"/>
      <c r="S121" s="15"/>
      <c r="T121"/>
      <c r="Z121"/>
      <c r="AA121"/>
    </row>
    <row r="122" spans="3:27" x14ac:dyDescent="0.25">
      <c r="C122"/>
      <c r="D122"/>
      <c r="E122"/>
      <c r="L122" s="1"/>
      <c r="R122" s="1"/>
      <c r="S122" s="15"/>
      <c r="T122"/>
      <c r="Z122"/>
      <c r="AA122"/>
    </row>
    <row r="123" spans="3:27" x14ac:dyDescent="0.25">
      <c r="C123"/>
      <c r="D123"/>
      <c r="E123"/>
      <c r="L123" s="1"/>
      <c r="R123" s="1"/>
      <c r="S123" s="15"/>
      <c r="T123"/>
      <c r="Z123"/>
      <c r="AA123"/>
    </row>
    <row r="124" spans="3:27" x14ac:dyDescent="0.25">
      <c r="C124"/>
      <c r="D124"/>
      <c r="E124"/>
      <c r="L124" s="1"/>
      <c r="R124" s="1"/>
      <c r="S124" s="15"/>
      <c r="T124"/>
      <c r="Z124"/>
      <c r="AA124"/>
    </row>
    <row r="125" spans="3:27" x14ac:dyDescent="0.25">
      <c r="C125"/>
      <c r="D125"/>
      <c r="E125"/>
      <c r="L125" s="1"/>
      <c r="R125" s="1"/>
      <c r="S125" s="15"/>
      <c r="T125"/>
      <c r="Z125"/>
      <c r="AA125"/>
    </row>
    <row r="126" spans="3:27" x14ac:dyDescent="0.25">
      <c r="C126"/>
      <c r="D126"/>
      <c r="E126"/>
      <c r="L126" s="1"/>
      <c r="R126" s="1"/>
      <c r="S126" s="15"/>
      <c r="T126"/>
      <c r="Z126"/>
      <c r="AA126"/>
    </row>
    <row r="127" spans="3:27" x14ac:dyDescent="0.25">
      <c r="C127"/>
      <c r="D127"/>
      <c r="E127"/>
    </row>
  </sheetData>
  <sortState xmlns:xlrd2="http://schemas.microsoft.com/office/spreadsheetml/2017/richdata2" ref="B64:B84">
    <sortCondition ref="B64:B84"/>
  </sortState>
  <mergeCells count="3">
    <mergeCell ref="C2:D2"/>
    <mergeCell ref="K18:K19"/>
    <mergeCell ref="N62:Q62"/>
  </mergeCells>
  <dataValidations count="1">
    <dataValidation type="list" allowBlank="1" showInputMessage="1" showErrorMessage="1" sqref="N62:Q62" xr:uid="{59DB5FA8-A213-4AB8-9422-5FE098A2159B}">
      <formula1>$B$64:$B$83</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2A03-7560-4848-8B5C-E7763012511D}">
  <sheetPr codeName="Sheet12"/>
  <dimension ref="A1:AU126"/>
  <sheetViews>
    <sheetView showGridLines="0" zoomScale="70" zoomScaleNormal="70" workbookViewId="0">
      <selection activeCell="AA17" sqref="AA17"/>
    </sheetView>
  </sheetViews>
  <sheetFormatPr defaultRowHeight="15" x14ac:dyDescent="0.25"/>
  <cols>
    <col min="1" max="1" width="2.28515625" customWidth="1"/>
    <col min="2" max="2" width="30.7109375" customWidth="1"/>
    <col min="3" max="3" width="15" style="1" customWidth="1"/>
    <col min="4" max="5" width="8.42578125" style="1" customWidth="1"/>
    <col min="6" max="6" width="8.42578125" customWidth="1"/>
    <col min="7" max="7" width="9.85546875" customWidth="1"/>
    <col min="8" max="8" width="8.42578125" customWidth="1"/>
    <col min="9" max="9" width="7.140625" customWidth="1"/>
    <col min="10" max="10" width="8.28515625" customWidth="1"/>
    <col min="11" max="11" width="8.42578125" customWidth="1"/>
    <col min="12" max="19" width="8.7109375" customWidth="1"/>
    <col min="20" max="20" width="8.7109375" style="1" customWidth="1"/>
    <col min="21" max="22" width="8.7109375" customWidth="1"/>
    <col min="23" max="25" width="12.140625" customWidth="1"/>
    <col min="26" max="26" width="12.140625" style="1" customWidth="1"/>
    <col min="27" max="27" width="12.140625" style="15" customWidth="1"/>
    <col min="28" max="35" width="12.140625" customWidth="1"/>
    <col min="36" max="37" width="3.85546875" bestFit="1" customWidth="1"/>
    <col min="38" max="38" width="2" bestFit="1" customWidth="1"/>
    <col min="39" max="39" width="30.5703125" bestFit="1" customWidth="1"/>
    <col min="40" max="40" width="8.42578125" bestFit="1" customWidth="1"/>
    <col min="41" max="42" width="2.85546875" bestFit="1" customWidth="1"/>
    <col min="43" max="45" width="3.85546875" bestFit="1" customWidth="1"/>
    <col min="46" max="46" width="2.85546875" bestFit="1" customWidth="1"/>
    <col min="47" max="47" width="11" bestFit="1" customWidth="1"/>
    <col min="48" max="48" width="5.7109375" bestFit="1" customWidth="1"/>
  </cols>
  <sheetData>
    <row r="1" spans="1:32" ht="20.65" customHeight="1" x14ac:dyDescent="0.45">
      <c r="A1" s="4" t="s">
        <v>1271</v>
      </c>
      <c r="B1" s="1"/>
    </row>
    <row r="2" spans="1:32" x14ac:dyDescent="0.25">
      <c r="B2" s="13" t="s">
        <v>75</v>
      </c>
      <c r="C2" s="557" t="s">
        <v>511</v>
      </c>
      <c r="D2" s="557"/>
    </row>
    <row r="3" spans="1:32" x14ac:dyDescent="0.25">
      <c r="B3" s="13" t="s">
        <v>0</v>
      </c>
      <c r="C3" s="273">
        <f>TUDB!B3</f>
        <v>45580</v>
      </c>
    </row>
    <row r="4" spans="1:32" x14ac:dyDescent="0.25">
      <c r="B4" s="12"/>
    </row>
    <row r="5" spans="1:32" ht="30.4" customHeight="1" thickBot="1" x14ac:dyDescent="0.3">
      <c r="B5" s="281" t="s">
        <v>576</v>
      </c>
      <c r="Z5"/>
      <c r="AA5"/>
    </row>
    <row r="6" spans="1:32" s="7" customFormat="1" ht="30.4" customHeight="1" thickTop="1" x14ac:dyDescent="0.25">
      <c r="B6" s="112" t="s">
        <v>4176</v>
      </c>
      <c r="C6" s="112" t="s">
        <v>134</v>
      </c>
      <c r="D6" s="112" t="s">
        <v>963</v>
      </c>
      <c r="E6" s="112" t="s">
        <v>964</v>
      </c>
      <c r="F6" s="334">
        <v>2019</v>
      </c>
      <c r="G6" s="112">
        <v>2020</v>
      </c>
      <c r="H6" s="112">
        <v>2021</v>
      </c>
      <c r="I6" s="112">
        <v>2022</v>
      </c>
      <c r="J6" s="112">
        <v>2023</v>
      </c>
      <c r="K6" s="112">
        <v>2024</v>
      </c>
      <c r="T6" s="6"/>
      <c r="Y6"/>
      <c r="Z6"/>
      <c r="AA6" s="23"/>
      <c r="AB6" s="23"/>
      <c r="AC6" s="23"/>
      <c r="AD6" s="23"/>
      <c r="AE6" s="23"/>
      <c r="AF6" s="23"/>
    </row>
    <row r="7" spans="1:32" x14ac:dyDescent="0.25">
      <c r="B7" s="79">
        <v>0</v>
      </c>
      <c r="C7" s="79">
        <f>COUNTIFS(TU_DB[HRD Bin (ppm)],B7)</f>
        <v>122</v>
      </c>
      <c r="D7" s="250">
        <f>C7/$C$12</f>
        <v>6.0908637044433347E-2</v>
      </c>
      <c r="E7" s="250">
        <f>D7</f>
        <v>6.0908637044433347E-2</v>
      </c>
      <c r="F7" s="102">
        <f>COUNTIFS(TU_DB[[HRD Bin (ppm)]:[HRD Bin (ppm)]],$B7,TU_DB[[Year]:[Year]],F$6)</f>
        <v>0</v>
      </c>
      <c r="G7" s="79">
        <f>COUNTIFS(TU_DB[[HRD Bin (ppm)]:[HRD Bin (ppm)]],$B7,TU_DB[[Year]:[Year]],G$6)</f>
        <v>8</v>
      </c>
      <c r="H7" s="79">
        <f>COUNTIFS(TU_DB[[HRD Bin (ppm)]:[HRD Bin (ppm)]],$B7,TU_DB[[Year]:[Year]],H$6)</f>
        <v>20</v>
      </c>
      <c r="I7" s="79">
        <f>COUNTIFS(TU_DB[[HRD Bin (ppm)]:[HRD Bin (ppm)]],$B7,TU_DB[[Year]:[Year]],I$6)</f>
        <v>24</v>
      </c>
      <c r="J7" s="79">
        <f>COUNTIFS(TU_DB[[HRD Bin (ppm)]:[HRD Bin (ppm)]],$B7,TU_DB[[Year]:[Year]],J$6)</f>
        <v>39</v>
      </c>
      <c r="K7" s="79">
        <f>COUNTIFS(TU_DB[[HRD Bin (ppm)]:[HRD Bin (ppm)]],$B7,TU_DB[[Year]:[Year]],K$6)</f>
        <v>31</v>
      </c>
      <c r="Z7"/>
      <c r="AA7"/>
    </row>
    <row r="8" spans="1:32" x14ac:dyDescent="0.25">
      <c r="B8" s="79">
        <v>30</v>
      </c>
      <c r="C8" s="79">
        <f>COUNTIFS(TU_DB[HRD Bin (ppm)],B8)</f>
        <v>139</v>
      </c>
      <c r="D8" s="250">
        <f>C8/$C$12</f>
        <v>6.9395906140788818E-2</v>
      </c>
      <c r="E8" s="250">
        <f>D8+E7</f>
        <v>0.13030454318522217</v>
      </c>
      <c r="F8" s="102">
        <f>COUNTIFS(TU_DB[[HRD Bin (ppm)]:[HRD Bin (ppm)]],$B8,TU_DB[[Year]:[Year]],F$6)</f>
        <v>0</v>
      </c>
      <c r="G8" s="79">
        <f>COUNTIFS(TU_DB[[HRD Bin (ppm)]:[HRD Bin (ppm)]],$B8,TU_DB[[Year]:[Year]],G$6)</f>
        <v>18</v>
      </c>
      <c r="H8" s="79">
        <f>COUNTIFS(TU_DB[[HRD Bin (ppm)]:[HRD Bin (ppm)]],$B8,TU_DB[[Year]:[Year]],H$6)</f>
        <v>28</v>
      </c>
      <c r="I8" s="79">
        <f>COUNTIFS(TU_DB[[HRD Bin (ppm)]:[HRD Bin (ppm)]],$B8,TU_DB[[Year]:[Year]],I$6)</f>
        <v>31</v>
      </c>
      <c r="J8" s="79">
        <f>COUNTIFS(TU_DB[[HRD Bin (ppm)]:[HRD Bin (ppm)]],$B8,TU_DB[[Year]:[Year]],J$6)</f>
        <v>46</v>
      </c>
      <c r="K8" s="79">
        <f>COUNTIFS(TU_DB[[HRD Bin (ppm)]:[HRD Bin (ppm)]],$B8,TU_DB[[Year]:[Year]],K$6)</f>
        <v>16</v>
      </c>
      <c r="Z8"/>
      <c r="AA8"/>
    </row>
    <row r="9" spans="1:32" x14ac:dyDescent="0.25">
      <c r="B9" s="79">
        <v>60</v>
      </c>
      <c r="C9" s="79">
        <f>COUNTIFS(TU_DB[HRD Bin (ppm)],B9)</f>
        <v>206</v>
      </c>
      <c r="D9" s="250">
        <f>C9/$C$12</f>
        <v>0.10284573140289566</v>
      </c>
      <c r="E9" s="250">
        <f>D9+E8</f>
        <v>0.23315027458811782</v>
      </c>
      <c r="F9" s="102">
        <f>COUNTIFS(TU_DB[[HRD Bin (ppm)]:[HRD Bin (ppm)]],$B9,TU_DB[[Year]:[Year]],F$6)</f>
        <v>0</v>
      </c>
      <c r="G9" s="79">
        <f>COUNTIFS(TU_DB[[HRD Bin (ppm)]:[HRD Bin (ppm)]],$B9,TU_DB[[Year]:[Year]],G$6)</f>
        <v>23</v>
      </c>
      <c r="H9" s="79">
        <f>COUNTIFS(TU_DB[[HRD Bin (ppm)]:[HRD Bin (ppm)]],$B9,TU_DB[[Year]:[Year]],H$6)</f>
        <v>35</v>
      </c>
      <c r="I9" s="79">
        <f>COUNTIFS(TU_DB[[HRD Bin (ppm)]:[HRD Bin (ppm)]],$B9,TU_DB[[Year]:[Year]],I$6)</f>
        <v>31</v>
      </c>
      <c r="J9" s="79">
        <f>COUNTIFS(TU_DB[[HRD Bin (ppm)]:[HRD Bin (ppm)]],$B9,TU_DB[[Year]:[Year]],J$6)</f>
        <v>80</v>
      </c>
      <c r="K9" s="79">
        <f>COUNTIFS(TU_DB[[HRD Bin (ppm)]:[HRD Bin (ppm)]],$B9,TU_DB[[Year]:[Year]],K$6)</f>
        <v>37</v>
      </c>
      <c r="Z9"/>
      <c r="AA9"/>
    </row>
    <row r="10" spans="1:32" x14ac:dyDescent="0.25">
      <c r="B10" s="79">
        <v>120</v>
      </c>
      <c r="C10" s="79">
        <f>COUNTIFS(TU_DB[HRD Bin (ppm)],B10)</f>
        <v>674</v>
      </c>
      <c r="D10" s="250">
        <f>C10/$C$12</f>
        <v>0.33649525711432848</v>
      </c>
      <c r="E10" s="250">
        <f>D10+E9</f>
        <v>0.56964553170244625</v>
      </c>
      <c r="F10" s="102">
        <f>COUNTIFS(TU_DB[[HRD Bin (ppm)]:[HRD Bin (ppm)]],$B10,TU_DB[[Year]:[Year]],F$6)</f>
        <v>1</v>
      </c>
      <c r="G10" s="79">
        <f>COUNTIFS(TU_DB[[HRD Bin (ppm)]:[HRD Bin (ppm)]],$B10,TU_DB[[Year]:[Year]],G$6)</f>
        <v>35</v>
      </c>
      <c r="H10" s="79">
        <f>COUNTIFS(TU_DB[[HRD Bin (ppm)]:[HRD Bin (ppm)]],$B10,TU_DB[[Year]:[Year]],H$6)</f>
        <v>139</v>
      </c>
      <c r="I10" s="79">
        <f>COUNTIFS(TU_DB[[HRD Bin (ppm)]:[HRD Bin (ppm)]],$B10,TU_DB[[Year]:[Year]],I$6)</f>
        <v>140</v>
      </c>
      <c r="J10" s="79">
        <f>COUNTIFS(TU_DB[[HRD Bin (ppm)]:[HRD Bin (ppm)]],$B10,TU_DB[[Year]:[Year]],J$6)</f>
        <v>226</v>
      </c>
      <c r="K10" s="79">
        <f>COUNTIFS(TU_DB[[HRD Bin (ppm)]:[HRD Bin (ppm)]],$B10,TU_DB[[Year]:[Year]],K$6)</f>
        <v>133</v>
      </c>
      <c r="Z10"/>
      <c r="AA10"/>
    </row>
    <row r="11" spans="1:32" x14ac:dyDescent="0.25">
      <c r="B11" s="79">
        <v>180</v>
      </c>
      <c r="C11" s="79">
        <f>COUNTIFS(TU_DB[HRD Bin (ppm)],B11)</f>
        <v>862</v>
      </c>
      <c r="D11" s="250">
        <f>C11/$C$12</f>
        <v>0.43035446829755369</v>
      </c>
      <c r="E11" s="250">
        <f>D11+E10</f>
        <v>1</v>
      </c>
      <c r="F11" s="102">
        <f>COUNTIFS(TU_DB[[HRD Bin (ppm)]:[HRD Bin (ppm)]],$B11,TU_DB[[Year]:[Year]],F$6)</f>
        <v>3</v>
      </c>
      <c r="G11" s="79">
        <f>COUNTIFS(TU_DB[[HRD Bin (ppm)]:[HRD Bin (ppm)]],$B11,TU_DB[[Year]:[Year]],G$6)</f>
        <v>24</v>
      </c>
      <c r="H11" s="79">
        <f>COUNTIFS(TU_DB[[HRD Bin (ppm)]:[HRD Bin (ppm)]],$B11,TU_DB[[Year]:[Year]],H$6)</f>
        <v>139</v>
      </c>
      <c r="I11" s="79">
        <f>COUNTIFS(TU_DB[[HRD Bin (ppm)]:[HRD Bin (ppm)]],$B11,TU_DB[[Year]:[Year]],I$6)</f>
        <v>193</v>
      </c>
      <c r="J11" s="79">
        <f>COUNTIFS(TU_DB[[HRD Bin (ppm)]:[HRD Bin (ppm)]],$B11,TU_DB[[Year]:[Year]],J$6)</f>
        <v>323</v>
      </c>
      <c r="K11" s="79">
        <f>COUNTIFS(TU_DB[[HRD Bin (ppm)]:[HRD Bin (ppm)]],$B11,TU_DB[[Year]:[Year]],K$6)</f>
        <v>180</v>
      </c>
      <c r="Z11"/>
      <c r="AA11"/>
    </row>
    <row r="12" spans="1:32" ht="15.75" thickBot="1" x14ac:dyDescent="0.3">
      <c r="B12" s="251" t="s">
        <v>133</v>
      </c>
      <c r="C12" s="251">
        <f>SUM(C7:C11)</f>
        <v>2003</v>
      </c>
      <c r="D12" s="251"/>
      <c r="E12" s="251"/>
      <c r="F12" s="335">
        <f>SUM(F7:F11)</f>
        <v>4</v>
      </c>
      <c r="G12" s="251">
        <f>SUM(G7:G11)</f>
        <v>108</v>
      </c>
      <c r="H12" s="251">
        <f t="shared" ref="H12:J12" si="0">SUM(H7:H11)</f>
        <v>361</v>
      </c>
      <c r="I12" s="251">
        <f t="shared" si="0"/>
        <v>419</v>
      </c>
      <c r="J12" s="251">
        <f t="shared" si="0"/>
        <v>714</v>
      </c>
      <c r="K12" s="251">
        <f t="shared" ref="K12" si="1">SUM(K7:K11)</f>
        <v>397</v>
      </c>
      <c r="Z12"/>
      <c r="AA12"/>
    </row>
    <row r="13" spans="1:32" ht="15.75" thickTop="1" x14ac:dyDescent="0.25">
      <c r="Z13"/>
      <c r="AA13"/>
    </row>
    <row r="14" spans="1:32" ht="15.75" x14ac:dyDescent="0.25">
      <c r="B14" s="11"/>
      <c r="Z14"/>
      <c r="AA14"/>
    </row>
    <row r="15" spans="1:32" x14ac:dyDescent="0.25">
      <c r="Z15"/>
      <c r="AA15"/>
    </row>
    <row r="16" spans="1:32" s="7" customFormat="1" x14ac:dyDescent="0.25">
      <c r="R16"/>
      <c r="S16"/>
      <c r="T16"/>
      <c r="U16"/>
      <c r="V16"/>
      <c r="W16"/>
      <c r="X16"/>
      <c r="Y16"/>
      <c r="Z16"/>
      <c r="AA16"/>
      <c r="AB16"/>
      <c r="AC16"/>
      <c r="AD16"/>
      <c r="AE16"/>
      <c r="AF16"/>
    </row>
    <row r="17" spans="2:47" ht="15" customHeight="1" thickBot="1" x14ac:dyDescent="0.3">
      <c r="B17" s="267" t="s">
        <v>575</v>
      </c>
      <c r="C17"/>
      <c r="D17"/>
      <c r="E17"/>
      <c r="T17"/>
      <c r="Y17" s="1"/>
      <c r="Z17" s="15"/>
      <c r="AA17"/>
    </row>
    <row r="18" spans="2:47" ht="15" customHeight="1" x14ac:dyDescent="0.25">
      <c r="B18" s="319"/>
      <c r="C18" s="322" t="s">
        <v>4177</v>
      </c>
      <c r="D18" s="323"/>
      <c r="E18" s="323"/>
      <c r="F18" s="323"/>
      <c r="G18" s="323"/>
      <c r="H18" s="325"/>
      <c r="I18" s="319"/>
      <c r="J18" s="558" t="s">
        <v>4170</v>
      </c>
      <c r="S18" s="1"/>
      <c r="T18"/>
      <c r="Y18" s="1"/>
      <c r="Z18" s="15"/>
      <c r="AA18"/>
    </row>
    <row r="19" spans="2:47" ht="15" customHeight="1" x14ac:dyDescent="0.25">
      <c r="B19" s="320" t="s">
        <v>575</v>
      </c>
      <c r="C19" s="321">
        <v>0</v>
      </c>
      <c r="D19" s="320">
        <v>30</v>
      </c>
      <c r="E19" s="320">
        <v>60</v>
      </c>
      <c r="F19" s="320">
        <v>120</v>
      </c>
      <c r="G19" s="320">
        <v>180</v>
      </c>
      <c r="H19" s="324" t="s">
        <v>2325</v>
      </c>
      <c r="I19" s="320" t="s">
        <v>2352</v>
      </c>
      <c r="J19" s="559"/>
      <c r="S19" s="1"/>
      <c r="T19"/>
      <c r="Y19" s="1"/>
      <c r="Z19" s="15"/>
      <c r="AA19"/>
    </row>
    <row r="20" spans="2:47" ht="15.75" customHeight="1" x14ac:dyDescent="0.25">
      <c r="B20" s="329" t="s">
        <v>35</v>
      </c>
      <c r="C20" s="262">
        <f>COUNTIFS(TU_DB[[HRD Bin (ppm)]:[HRD Bin (ppm)]],C$19,TU_DB[[Weather]:[Weather]],$B20)</f>
        <v>2</v>
      </c>
      <c r="D20" s="232">
        <f>COUNTIFS(TU_DB[[HRD Bin (ppm)]:[HRD Bin (ppm)]],D$19,TU_DB[[Weather]:[Weather]],$B20)</f>
        <v>5</v>
      </c>
      <c r="E20" s="232">
        <f>COUNTIFS(TU_DB[[HRD Bin (ppm)]:[HRD Bin (ppm)]],E$19,TU_DB[[Weather]:[Weather]],$B20)</f>
        <v>19</v>
      </c>
      <c r="F20" s="232">
        <f>COUNTIFS(TU_DB[[HRD Bin (ppm)]:[HRD Bin (ppm)]],F$19,TU_DB[[Weather]:[Weather]],$B20)</f>
        <v>27</v>
      </c>
      <c r="G20" s="232">
        <f>COUNTIFS(TU_DB[[HRD Bin (ppm)]:[HRD Bin (ppm)]],G$19,TU_DB[[Weather]:[Weather]],$B20)</f>
        <v>31</v>
      </c>
      <c r="H20" s="262">
        <f t="shared" ref="H20:H25" si="2">SUM(C20:G20)</f>
        <v>84</v>
      </c>
      <c r="I20" s="263">
        <f t="shared" ref="I20:I25" si="3">SUM(H20)/SUM($H$20:$H$25)</f>
        <v>4.7457627118644069E-2</v>
      </c>
      <c r="J20" s="326" t="s">
        <v>3687</v>
      </c>
      <c r="S20" s="1"/>
      <c r="T20"/>
      <c r="Y20" s="1"/>
      <c r="Z20" s="15"/>
      <c r="AA20"/>
    </row>
    <row r="21" spans="2:47" ht="16.5" customHeight="1" x14ac:dyDescent="0.25">
      <c r="B21" s="329" t="s">
        <v>13</v>
      </c>
      <c r="C21" s="262">
        <f>COUNTIFS(TU_DB[[HRD Bin (ppm)]:[HRD Bin (ppm)]],C$19,TU_DB[[Weather]:[Weather]],$B21)</f>
        <v>25</v>
      </c>
      <c r="D21" s="232">
        <f>COUNTIFS(TU_DB[[HRD Bin (ppm)]:[HRD Bin (ppm)]],D$19,TU_DB[[Weather]:[Weather]],$B21)</f>
        <v>16</v>
      </c>
      <c r="E21" s="232">
        <f>COUNTIFS(TU_DB[[HRD Bin (ppm)]:[HRD Bin (ppm)]],E$19,TU_DB[[Weather]:[Weather]],$B21)</f>
        <v>33</v>
      </c>
      <c r="F21" s="232">
        <f>COUNTIFS(TU_DB[[HRD Bin (ppm)]:[HRD Bin (ppm)]],F$19,TU_DB[[Weather]:[Weather]],$B21)</f>
        <v>87</v>
      </c>
      <c r="G21" s="232">
        <f>COUNTIFS(TU_DB[[HRD Bin (ppm)]:[HRD Bin (ppm)]],G$19,TU_DB[[Weather]:[Weather]],$B21)</f>
        <v>84</v>
      </c>
      <c r="H21" s="262">
        <f t="shared" si="2"/>
        <v>245</v>
      </c>
      <c r="I21" s="263">
        <f t="shared" si="3"/>
        <v>0.1384180790960452</v>
      </c>
      <c r="J21" s="326" t="s">
        <v>3688</v>
      </c>
      <c r="S21" s="1"/>
      <c r="U21" s="1"/>
      <c r="V21" s="1"/>
      <c r="W21" s="1"/>
      <c r="X21" s="1"/>
      <c r="Y21" s="1"/>
      <c r="AA21" s="1"/>
    </row>
    <row r="22" spans="2:47" ht="16.5" customHeight="1" x14ac:dyDescent="0.25">
      <c r="B22" s="329" t="s">
        <v>904</v>
      </c>
      <c r="C22" s="262">
        <f>COUNTIFS(TU_DB[[HRD Bin (ppm)]:[HRD Bin (ppm)]],C$19,TU_DB[[Weather]:[Weather]],$B22)</f>
        <v>1</v>
      </c>
      <c r="D22" s="232">
        <f>COUNTIFS(TU_DB[[HRD Bin (ppm)]:[HRD Bin (ppm)]],D$19,TU_DB[[Weather]:[Weather]],$B22)</f>
        <v>0</v>
      </c>
      <c r="E22" s="232">
        <f>COUNTIFS(TU_DB[[HRD Bin (ppm)]:[HRD Bin (ppm)]],E$19,TU_DB[[Weather]:[Weather]],$B22)</f>
        <v>0</v>
      </c>
      <c r="F22" s="232">
        <f>COUNTIFS(TU_DB[[HRD Bin (ppm)]:[HRD Bin (ppm)]],F$19,TU_DB[[Weather]:[Weather]],$B22)</f>
        <v>6</v>
      </c>
      <c r="G22" s="232">
        <f>COUNTIFS(TU_DB[[HRD Bin (ppm)]:[HRD Bin (ppm)]],G$19,TU_DB[[Weather]:[Weather]],$B22)</f>
        <v>3</v>
      </c>
      <c r="H22" s="262">
        <f t="shared" si="2"/>
        <v>10</v>
      </c>
      <c r="I22" s="263">
        <f t="shared" si="3"/>
        <v>5.6497175141242938E-3</v>
      </c>
      <c r="J22" s="326" t="s">
        <v>3690</v>
      </c>
      <c r="S22" s="1"/>
      <c r="T22"/>
      <c r="Z22"/>
      <c r="AA22"/>
      <c r="AB22" s="1"/>
    </row>
    <row r="23" spans="2:47" ht="34.5" customHeight="1" x14ac:dyDescent="0.25">
      <c r="B23" s="329" t="s">
        <v>226</v>
      </c>
      <c r="C23" s="262">
        <f>COUNTIFS(TU_DB[[HRD Bin (ppm)]:[HRD Bin (ppm)]],C$19,TU_DB[[Weather]:[Weather]],$B23)</f>
        <v>0</v>
      </c>
      <c r="D23" s="232">
        <f>COUNTIFS(TU_DB[[HRD Bin (ppm)]:[HRD Bin (ppm)]],D$19,TU_DB[[Weather]:[Weather]],$B23)</f>
        <v>0</v>
      </c>
      <c r="E23" s="232">
        <f>COUNTIFS(TU_DB[[HRD Bin (ppm)]:[HRD Bin (ppm)]],E$19,TU_DB[[Weather]:[Weather]],$B23)</f>
        <v>1</v>
      </c>
      <c r="F23" s="232">
        <f>COUNTIFS(TU_DB[[HRD Bin (ppm)]:[HRD Bin (ppm)]],F$19,TU_DB[[Weather]:[Weather]],$B23)</f>
        <v>2</v>
      </c>
      <c r="G23" s="232">
        <f>COUNTIFS(TU_DB[[HRD Bin (ppm)]:[HRD Bin (ppm)]],G$19,TU_DB[[Weather]:[Weather]],$B23)</f>
        <v>2</v>
      </c>
      <c r="H23" s="262">
        <f t="shared" si="2"/>
        <v>5</v>
      </c>
      <c r="I23" s="263">
        <f t="shared" si="3"/>
        <v>2.8248587570621469E-3</v>
      </c>
      <c r="J23" s="326" t="s">
        <v>3691</v>
      </c>
      <c r="S23" s="1"/>
      <c r="T23"/>
      <c r="Z23"/>
      <c r="AA23"/>
    </row>
    <row r="24" spans="2:47" ht="34.5" customHeight="1" x14ac:dyDescent="0.25">
      <c r="B24" s="329" t="s">
        <v>58</v>
      </c>
      <c r="C24" s="262">
        <f>COUNTIFS(TU_DB[[HRD Bin (ppm)]:[HRD Bin (ppm)]],C$19,TU_DB[[Weather]:[Weather]],$B24)</f>
        <v>0</v>
      </c>
      <c r="D24" s="232">
        <f>COUNTIFS(TU_DB[[HRD Bin (ppm)]:[HRD Bin (ppm)]],D$19,TU_DB[[Weather]:[Weather]],$B24)</f>
        <v>1</v>
      </c>
      <c r="E24" s="232">
        <f>COUNTIFS(TU_DB[[HRD Bin (ppm)]:[HRD Bin (ppm)]],E$19,TU_DB[[Weather]:[Weather]],$B24)</f>
        <v>6</v>
      </c>
      <c r="F24" s="232">
        <f>COUNTIFS(TU_DB[[HRD Bin (ppm)]:[HRD Bin (ppm)]],F$19,TU_DB[[Weather]:[Weather]],$B24)</f>
        <v>7</v>
      </c>
      <c r="G24" s="232">
        <f>COUNTIFS(TU_DB[[HRD Bin (ppm)]:[HRD Bin (ppm)]],G$19,TU_DB[[Weather]:[Weather]],$B24)</f>
        <v>6</v>
      </c>
      <c r="H24" s="262">
        <f t="shared" si="2"/>
        <v>20</v>
      </c>
      <c r="I24" s="263">
        <f t="shared" si="3"/>
        <v>1.1299435028248588E-2</v>
      </c>
      <c r="J24" s="326" t="s">
        <v>3689</v>
      </c>
      <c r="S24" s="1"/>
      <c r="T24"/>
      <c r="Z24"/>
      <c r="AA24"/>
    </row>
    <row r="25" spans="2:47" ht="16.5" customHeight="1" x14ac:dyDescent="0.25">
      <c r="B25" s="330" t="s">
        <v>10</v>
      </c>
      <c r="C25" s="264">
        <f>COUNTIFS(TU_DB[[HRD Bin (ppm)]:[HRD Bin (ppm)]],C$19,TU_DB[[Weather]:[Weather]],$B25)</f>
        <v>76</v>
      </c>
      <c r="D25" s="265">
        <f>COUNTIFS(TU_DB[[HRD Bin (ppm)]:[HRD Bin (ppm)]],D$19,TU_DB[[Weather]:[Weather]],$B25)</f>
        <v>91</v>
      </c>
      <c r="E25" s="265">
        <f>COUNTIFS(TU_DB[[HRD Bin (ppm)]:[HRD Bin (ppm)]],E$19,TU_DB[[Weather]:[Weather]],$B25)</f>
        <v>122</v>
      </c>
      <c r="F25" s="265">
        <f>COUNTIFS(TU_DB[[HRD Bin (ppm)]:[HRD Bin (ppm)]],F$19,TU_DB[[Weather]:[Weather]],$B25)</f>
        <v>489</v>
      </c>
      <c r="G25" s="265">
        <f>COUNTIFS(TU_DB[[HRD Bin (ppm)]:[HRD Bin (ppm)]],G$19,TU_DB[[Weather]:[Weather]],$B25)</f>
        <v>628</v>
      </c>
      <c r="H25" s="264">
        <f t="shared" si="2"/>
        <v>1406</v>
      </c>
      <c r="I25" s="266">
        <f t="shared" si="3"/>
        <v>0.79435028248587569</v>
      </c>
      <c r="J25" s="327" t="s">
        <v>10</v>
      </c>
      <c r="S25" s="1"/>
      <c r="T25"/>
      <c r="Z25"/>
      <c r="AA25"/>
    </row>
    <row r="26" spans="2:47" ht="16.5" customHeight="1" thickBot="1" x14ac:dyDescent="0.3">
      <c r="B26" s="255" t="s">
        <v>133</v>
      </c>
      <c r="C26" s="258">
        <f t="shared" ref="C26:H26" si="4">SUM(C20:C25)</f>
        <v>104</v>
      </c>
      <c r="D26" s="255">
        <f t="shared" si="4"/>
        <v>113</v>
      </c>
      <c r="E26" s="255">
        <f t="shared" si="4"/>
        <v>181</v>
      </c>
      <c r="F26" s="255">
        <f t="shared" si="4"/>
        <v>618</v>
      </c>
      <c r="G26" s="255">
        <f t="shared" si="4"/>
        <v>754</v>
      </c>
      <c r="H26" s="258">
        <f t="shared" si="4"/>
        <v>1770</v>
      </c>
      <c r="I26" s="256"/>
      <c r="J26" s="328"/>
      <c r="S26" s="1"/>
      <c r="T26"/>
      <c r="Z26"/>
      <c r="AA26"/>
    </row>
    <row r="27" spans="2:47" ht="56.25" customHeight="1" x14ac:dyDescent="0.25">
      <c r="T27"/>
      <c r="Z27"/>
      <c r="AA27"/>
    </row>
    <row r="28" spans="2:47" ht="16.5" thickBot="1" x14ac:dyDescent="0.3">
      <c r="B28" s="267" t="s">
        <v>108</v>
      </c>
      <c r="C28"/>
      <c r="D28"/>
      <c r="E28"/>
      <c r="T28"/>
      <c r="Z28"/>
      <c r="AA28"/>
    </row>
    <row r="29" spans="2:47" x14ac:dyDescent="0.25">
      <c r="B29" s="319"/>
      <c r="C29" s="322" t="s">
        <v>4177</v>
      </c>
      <c r="D29" s="323"/>
      <c r="E29" s="323"/>
      <c r="F29" s="323"/>
      <c r="G29" s="323"/>
      <c r="H29" s="325"/>
      <c r="I29" s="319"/>
      <c r="T29"/>
      <c r="Z29"/>
      <c r="AA29"/>
    </row>
    <row r="30" spans="2:47" ht="15.75" customHeight="1" x14ac:dyDescent="0.25">
      <c r="B30" s="320" t="s">
        <v>108</v>
      </c>
      <c r="C30" s="321">
        <v>0</v>
      </c>
      <c r="D30" s="320">
        <v>30</v>
      </c>
      <c r="E30" s="320">
        <v>60</v>
      </c>
      <c r="F30" s="320">
        <v>120</v>
      </c>
      <c r="G30" s="320">
        <v>180</v>
      </c>
      <c r="H30" s="324" t="s">
        <v>2325</v>
      </c>
      <c r="I30" s="320" t="s">
        <v>2352</v>
      </c>
      <c r="T30"/>
      <c r="Z30"/>
      <c r="AA30"/>
    </row>
    <row r="31" spans="2:47" ht="15" customHeight="1" x14ac:dyDescent="0.25">
      <c r="B31" t="s">
        <v>80</v>
      </c>
      <c r="C31" s="257">
        <f>COUNTIFS(TU_DB[[HRD Bin (ppm)]:[HRD Bin (ppm)]],C$19,TU_DB[[Water Level]:[Water Level]],$B31)</f>
        <v>71</v>
      </c>
      <c r="D31" s="79">
        <f>COUNTIFS(TU_DB[[HRD Bin (ppm)]:[HRD Bin (ppm)]],D$19,TU_DB[[Water Level]:[Water Level]],$B31)</f>
        <v>83</v>
      </c>
      <c r="E31" s="79">
        <f>COUNTIFS(TU_DB[[HRD Bin (ppm)]:[HRD Bin (ppm)]],E$19,TU_DB[[Water Level]:[Water Level]],$B31)</f>
        <v>137</v>
      </c>
      <c r="F31" s="79">
        <f>COUNTIFS(TU_DB[[HRD Bin (ppm)]:[HRD Bin (ppm)]],F$19,TU_DB[[Water Level]:[Water Level]],$B31)</f>
        <v>485</v>
      </c>
      <c r="G31" s="79">
        <f>COUNTIFS(TU_DB[[HRD Bin (ppm)]:[HRD Bin (ppm)]],G$19,TU_DB[[Water Level]:[Water Level]],$B31)</f>
        <v>597</v>
      </c>
      <c r="H31" s="257">
        <f>SUM(C31:G31)</f>
        <v>1373</v>
      </c>
      <c r="I31" s="269">
        <f>SUM(H31)/SUM($H$31:$H$34)</f>
        <v>0.7581446714522363</v>
      </c>
      <c r="J31" s="23"/>
      <c r="K31" s="23"/>
      <c r="L31" s="23"/>
      <c r="M31" s="23"/>
      <c r="N31" s="23"/>
      <c r="O31" s="23"/>
      <c r="P31" s="23"/>
      <c r="Q31" s="23"/>
      <c r="T31"/>
      <c r="Z31"/>
      <c r="AA31"/>
      <c r="AB31" s="23"/>
      <c r="AC31" s="23"/>
      <c r="AD31" s="23"/>
      <c r="AE31" s="23"/>
      <c r="AF31" s="23"/>
      <c r="AG31" s="23"/>
      <c r="AH31" s="23"/>
      <c r="AI31" s="23"/>
      <c r="AJ31" s="23"/>
      <c r="AK31" s="23"/>
      <c r="AL31" s="23"/>
      <c r="AM31" s="23"/>
      <c r="AN31" s="23"/>
      <c r="AO31" s="23"/>
      <c r="AP31" s="23"/>
      <c r="AQ31" s="23"/>
      <c r="AR31" s="23"/>
      <c r="AS31" s="23"/>
      <c r="AT31" s="23"/>
      <c r="AU31" s="23"/>
    </row>
    <row r="32" spans="2:47" s="23" customFormat="1" ht="15" customHeight="1" x14ac:dyDescent="0.25">
      <c r="B32" t="s">
        <v>2353</v>
      </c>
      <c r="C32" s="257">
        <f>COUNTIFS(TU_DB[[HRD Bin (ppm)]:[HRD Bin (ppm)]],C$19,TU_DB[[Water Level]:[Water Level]],$B32)</f>
        <v>32</v>
      </c>
      <c r="D32" s="79">
        <f>COUNTIFS(TU_DB[[HRD Bin (ppm)]:[HRD Bin (ppm)]],D$19,TU_DB[[Water Level]:[Water Level]],$B32)</f>
        <v>26</v>
      </c>
      <c r="E32" s="79">
        <f>COUNTIFS(TU_DB[[HRD Bin (ppm)]:[HRD Bin (ppm)]],E$19,TU_DB[[Water Level]:[Water Level]],$B32)</f>
        <v>28</v>
      </c>
      <c r="F32" s="79">
        <f>COUNTIFS(TU_DB[[HRD Bin (ppm)]:[HRD Bin (ppm)]],F$19,TU_DB[[Water Level]:[Water Level]],$B32)</f>
        <v>118</v>
      </c>
      <c r="G32" s="79">
        <f>COUNTIFS(TU_DB[[HRD Bin (ppm)]:[HRD Bin (ppm)]],G$19,TU_DB[[Water Level]:[Water Level]],$B32)</f>
        <v>153</v>
      </c>
      <c r="H32" s="257">
        <f>SUM(C32:G32)</f>
        <v>357</v>
      </c>
      <c r="I32" s="269">
        <f>SUM(H32)/SUM($H$31:$H$34)</f>
        <v>0.19712865819988956</v>
      </c>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row>
    <row r="33" spans="1:47" ht="15" customHeight="1" x14ac:dyDescent="0.25">
      <c r="B33" t="s">
        <v>195</v>
      </c>
      <c r="C33" s="257">
        <f>COUNTIFS(TU_DB[[HRD Bin (ppm)]:[HRD Bin (ppm)]],C$19,TU_DB[[Water Level]:[Water Level]],$B33)</f>
        <v>2</v>
      </c>
      <c r="D33" s="79">
        <f>COUNTIFS(TU_DB[[HRD Bin (ppm)]:[HRD Bin (ppm)]],D$19,TU_DB[[Water Level]:[Water Level]],$B33)</f>
        <v>4</v>
      </c>
      <c r="E33" s="79">
        <f>COUNTIFS(TU_DB[[HRD Bin (ppm)]:[HRD Bin (ppm)]],E$19,TU_DB[[Water Level]:[Water Level]],$B33)</f>
        <v>12</v>
      </c>
      <c r="F33" s="79">
        <f>COUNTIFS(TU_DB[[HRD Bin (ppm)]:[HRD Bin (ppm)]],F$19,TU_DB[[Water Level]:[Water Level]],$B33)</f>
        <v>20</v>
      </c>
      <c r="G33" s="79">
        <f>COUNTIFS(TU_DB[[HRD Bin (ppm)]:[HRD Bin (ppm)]],G$19,TU_DB[[Water Level]:[Water Level]],$B33)</f>
        <v>37</v>
      </c>
      <c r="H33" s="257">
        <f>SUM(C33:G33)</f>
        <v>75</v>
      </c>
      <c r="I33" s="269">
        <f>SUM(H33)/SUM($H$31:$H$34)</f>
        <v>4.1413583655438985E-2</v>
      </c>
      <c r="J33" s="7"/>
      <c r="K33" s="7"/>
      <c r="L33" s="7"/>
      <c r="M33" s="7"/>
      <c r="N33" s="7"/>
      <c r="O33" s="7"/>
      <c r="P33" s="7"/>
      <c r="Q33" s="7"/>
      <c r="T33"/>
      <c r="Z33"/>
      <c r="AA33"/>
      <c r="AB33" s="7"/>
      <c r="AC33" s="7"/>
      <c r="AD33" s="7"/>
      <c r="AE33" s="7"/>
      <c r="AF33" s="7"/>
      <c r="AG33" s="7"/>
      <c r="AH33" s="7"/>
      <c r="AI33" s="7"/>
      <c r="AJ33" s="7"/>
      <c r="AK33" s="7"/>
      <c r="AL33" s="7"/>
      <c r="AM33" s="7"/>
      <c r="AN33" s="7"/>
      <c r="AO33" s="7"/>
      <c r="AP33" s="7"/>
      <c r="AQ33" s="7"/>
      <c r="AR33" s="7"/>
      <c r="AS33" s="7"/>
      <c r="AT33" s="7"/>
      <c r="AU33" s="7"/>
    </row>
    <row r="34" spans="1:47" s="7" customFormat="1" ht="15" customHeight="1" x14ac:dyDescent="0.25">
      <c r="B34" s="261" t="s">
        <v>86</v>
      </c>
      <c r="C34" s="260">
        <v>1</v>
      </c>
      <c r="D34" s="259">
        <v>1</v>
      </c>
      <c r="E34" s="259">
        <v>1</v>
      </c>
      <c r="F34" s="259">
        <v>1</v>
      </c>
      <c r="G34" s="259">
        <v>2</v>
      </c>
      <c r="H34" s="260">
        <v>6</v>
      </c>
      <c r="I34" s="270">
        <f>SUM(H34)/SUM($H$31:$H$34)</f>
        <v>3.3130866924351186E-3</v>
      </c>
      <c r="J34"/>
      <c r="K34"/>
      <c r="L34"/>
      <c r="M34"/>
      <c r="N34"/>
      <c r="O34"/>
      <c r="P34"/>
      <c r="Q34"/>
      <c r="R34"/>
      <c r="S34" s="1"/>
      <c r="T34"/>
      <c r="U34"/>
      <c r="V34"/>
      <c r="W34"/>
      <c r="X34"/>
      <c r="Y34" s="1"/>
      <c r="Z34" s="15"/>
      <c r="AA34"/>
      <c r="AB34"/>
      <c r="AC34"/>
      <c r="AD34"/>
      <c r="AE34"/>
      <c r="AF34"/>
      <c r="AG34"/>
      <c r="AH34"/>
      <c r="AI34"/>
      <c r="AJ34"/>
      <c r="AK34"/>
      <c r="AL34"/>
      <c r="AM34"/>
      <c r="AN34"/>
      <c r="AO34"/>
      <c r="AP34"/>
      <c r="AQ34"/>
      <c r="AR34"/>
      <c r="AS34"/>
      <c r="AT34"/>
      <c r="AU34"/>
    </row>
    <row r="35" spans="1:47" ht="15" customHeight="1" thickBot="1" x14ac:dyDescent="0.3">
      <c r="B35" s="255" t="s">
        <v>133</v>
      </c>
      <c r="C35" s="258">
        <f t="shared" ref="C35:H35" si="5">SUM(C31:C34)</f>
        <v>106</v>
      </c>
      <c r="D35" s="255">
        <f t="shared" si="5"/>
        <v>114</v>
      </c>
      <c r="E35" s="255">
        <f t="shared" si="5"/>
        <v>178</v>
      </c>
      <c r="F35" s="255">
        <f t="shared" si="5"/>
        <v>624</v>
      </c>
      <c r="G35" s="255">
        <f t="shared" si="5"/>
        <v>789</v>
      </c>
      <c r="H35" s="258">
        <f t="shared" si="5"/>
        <v>1811</v>
      </c>
      <c r="I35" s="256"/>
      <c r="S35" s="1"/>
      <c r="T35"/>
      <c r="Y35" s="1"/>
      <c r="Z35" s="15"/>
      <c r="AA35"/>
    </row>
    <row r="36" spans="1:47" ht="15" customHeight="1" x14ac:dyDescent="0.25">
      <c r="S36" s="1"/>
      <c r="T36"/>
      <c r="Y36" s="1"/>
      <c r="Z36" s="15"/>
      <c r="AA36"/>
    </row>
    <row r="37" spans="1:47" ht="15" customHeight="1" x14ac:dyDescent="0.25">
      <c r="S37" s="1"/>
      <c r="T37"/>
      <c r="Y37" s="1"/>
      <c r="Z37" s="15"/>
      <c r="AA37"/>
    </row>
    <row r="38" spans="1:47" ht="15" customHeight="1" x14ac:dyDescent="0.25">
      <c r="S38" s="1"/>
      <c r="T38"/>
      <c r="Y38" s="1"/>
      <c r="Z38" s="15"/>
      <c r="AA38"/>
    </row>
    <row r="39" spans="1:47" ht="15" customHeight="1" x14ac:dyDescent="0.25">
      <c r="S39" s="1"/>
      <c r="T39"/>
      <c r="Y39" s="1"/>
      <c r="Z39" s="15"/>
      <c r="AA39"/>
    </row>
    <row r="40" spans="1:47" ht="15" customHeight="1" x14ac:dyDescent="0.25">
      <c r="S40" s="1"/>
      <c r="T40"/>
      <c r="Y40" s="1"/>
      <c r="Z40" s="15"/>
      <c r="AA40"/>
    </row>
    <row r="41" spans="1:47" ht="15" customHeight="1" x14ac:dyDescent="0.25">
      <c r="T41"/>
      <c r="Y41" s="1"/>
      <c r="Z41" s="15"/>
      <c r="AA41"/>
    </row>
    <row r="42" spans="1:47" ht="15" customHeight="1" x14ac:dyDescent="0.25">
      <c r="T42"/>
      <c r="Y42" s="1"/>
      <c r="Z42" s="15"/>
      <c r="AA42"/>
    </row>
    <row r="43" spans="1:47" ht="15" customHeight="1" x14ac:dyDescent="0.25">
      <c r="T43"/>
      <c r="Y43" s="1"/>
      <c r="Z43" s="15"/>
      <c r="AA43"/>
    </row>
    <row r="44" spans="1:47" ht="15" customHeight="1" thickBot="1" x14ac:dyDescent="0.3">
      <c r="B44" s="267" t="s">
        <v>87</v>
      </c>
      <c r="C44"/>
      <c r="D44"/>
      <c r="E44"/>
      <c r="I44" s="23"/>
      <c r="T44"/>
      <c r="X44" s="23"/>
      <c r="Y44" s="22"/>
      <c r="Z44" s="22"/>
      <c r="AA44" s="23"/>
    </row>
    <row r="45" spans="1:47" ht="15" customHeight="1" x14ac:dyDescent="0.25">
      <c r="B45" s="319"/>
      <c r="C45" s="322" t="s">
        <v>4177</v>
      </c>
      <c r="D45" s="323"/>
      <c r="E45" s="323"/>
      <c r="F45" s="323"/>
      <c r="G45" s="323"/>
      <c r="H45" s="325"/>
      <c r="I45" s="319"/>
      <c r="T45"/>
      <c r="Y45" s="1"/>
      <c r="Z45" s="15"/>
      <c r="AA45"/>
      <c r="AB45" s="23"/>
      <c r="AC45" s="23"/>
      <c r="AD45" s="23"/>
      <c r="AE45" s="23"/>
      <c r="AF45" s="23"/>
      <c r="AG45" s="23"/>
      <c r="AH45" s="23"/>
      <c r="AI45" s="23"/>
      <c r="AJ45" s="23"/>
      <c r="AK45" s="23"/>
      <c r="AL45" s="23"/>
    </row>
    <row r="46" spans="1:47" ht="15" customHeight="1" x14ac:dyDescent="0.25">
      <c r="A46" s="23"/>
      <c r="B46" s="320" t="s">
        <v>87</v>
      </c>
      <c r="C46" s="321">
        <v>0</v>
      </c>
      <c r="D46" s="320">
        <v>30</v>
      </c>
      <c r="E46" s="320">
        <v>60</v>
      </c>
      <c r="F46" s="320">
        <v>120</v>
      </c>
      <c r="G46" s="320">
        <v>180</v>
      </c>
      <c r="H46" s="324" t="s">
        <v>2325</v>
      </c>
      <c r="I46" s="320" t="s">
        <v>2352</v>
      </c>
      <c r="J46" s="23"/>
      <c r="K46" s="23"/>
      <c r="L46" s="23"/>
      <c r="M46" s="23"/>
      <c r="N46" s="23"/>
      <c r="O46" s="23"/>
      <c r="P46" s="23"/>
      <c r="Q46" s="23"/>
      <c r="T46"/>
      <c r="Y46" s="1"/>
      <c r="Z46" s="15"/>
      <c r="AA46" s="7"/>
      <c r="AM46" s="23"/>
      <c r="AN46" s="23"/>
      <c r="AO46" s="23"/>
      <c r="AP46" s="23"/>
      <c r="AQ46" s="23"/>
      <c r="AR46" s="23"/>
      <c r="AS46" s="23"/>
      <c r="AT46" s="23"/>
      <c r="AU46" s="23"/>
    </row>
    <row r="47" spans="1:47" s="23" customFormat="1" ht="15" customHeight="1" x14ac:dyDescent="0.25">
      <c r="A47"/>
      <c r="B47" t="s">
        <v>83</v>
      </c>
      <c r="C47" s="257">
        <f>COUNTIFS(TU_DB[[HRD Bin (ppm)]:[HRD Bin (ppm)]],C$19,TU_DB[[Clarity]:[Clarity]],$B47)</f>
        <v>78</v>
      </c>
      <c r="D47" s="79">
        <f>COUNTIFS(TU_DB[[HRD Bin (ppm)]:[HRD Bin (ppm)]],D$19,TU_DB[[Clarity]:[Clarity]],$B47)</f>
        <v>80</v>
      </c>
      <c r="E47" s="79">
        <f>COUNTIFS(TU_DB[[HRD Bin (ppm)]:[HRD Bin (ppm)]],E$19,TU_DB[[Clarity]:[Clarity]],$B47)</f>
        <v>130</v>
      </c>
      <c r="F47" s="79">
        <f>COUNTIFS(TU_DB[[HRD Bin (ppm)]:[HRD Bin (ppm)]],F$19,TU_DB[[Clarity]:[Clarity]],$B47)</f>
        <v>495</v>
      </c>
      <c r="G47" s="79">
        <f>COUNTIFS(TU_DB[[HRD Bin (ppm)]:[HRD Bin (ppm)]],G$19,TU_DB[[Clarity]:[Clarity]],$B47)</f>
        <v>623</v>
      </c>
      <c r="H47" s="257">
        <f>SUM(C47:G47)</f>
        <v>1406</v>
      </c>
      <c r="I47" s="269">
        <f>SUM(H47)/SUM($H$47:$H$49)</f>
        <v>0.77125617114646183</v>
      </c>
      <c r="J47" s="7"/>
      <c r="K47" s="7"/>
      <c r="L47" s="7"/>
      <c r="M47" s="7"/>
      <c r="N47" s="7"/>
      <c r="O47" s="7"/>
      <c r="P47" s="7"/>
      <c r="Q47" s="7"/>
      <c r="R47"/>
      <c r="S47"/>
      <c r="T47"/>
      <c r="U47"/>
      <c r="V47"/>
      <c r="W47"/>
      <c r="X47"/>
      <c r="Y47" s="1"/>
      <c r="Z47" s="15"/>
      <c r="AA47"/>
      <c r="AB47" s="7"/>
      <c r="AC47" s="7"/>
      <c r="AD47" s="7"/>
      <c r="AE47" s="7"/>
      <c r="AF47" s="7"/>
      <c r="AG47" s="7"/>
      <c r="AH47" s="7"/>
      <c r="AI47" s="7"/>
      <c r="AJ47" s="7"/>
      <c r="AK47" s="7"/>
      <c r="AL47" s="7"/>
      <c r="AM47"/>
      <c r="AN47"/>
      <c r="AO47"/>
      <c r="AP47"/>
      <c r="AQ47"/>
      <c r="AR47"/>
      <c r="AS47"/>
      <c r="AT47"/>
      <c r="AU47"/>
    </row>
    <row r="48" spans="1:47" s="7" customFormat="1" ht="15" customHeight="1" x14ac:dyDescent="0.25">
      <c r="A48"/>
      <c r="B48" t="s">
        <v>85</v>
      </c>
      <c r="C48" s="257">
        <f>COUNTIFS(TU_DB[[HRD Bin (ppm)]:[HRD Bin (ppm)]],C$19,TU_DB[[Clarity]:[Clarity]],$B48)</f>
        <v>2</v>
      </c>
      <c r="D48" s="79">
        <f>COUNTIFS(TU_DB[[HRD Bin (ppm)]:[HRD Bin (ppm)]],D$19,TU_DB[[Clarity]:[Clarity]],$B48)</f>
        <v>5</v>
      </c>
      <c r="E48" s="79">
        <f>COUNTIFS(TU_DB[[HRD Bin (ppm)]:[HRD Bin (ppm)]],E$19,TU_DB[[Clarity]:[Clarity]],$B48)</f>
        <v>19</v>
      </c>
      <c r="F48" s="79">
        <f>COUNTIFS(TU_DB[[HRD Bin (ppm)]:[HRD Bin (ppm)]],F$19,TU_DB[[Clarity]:[Clarity]],$B48)</f>
        <v>30</v>
      </c>
      <c r="G48" s="79">
        <f>COUNTIFS(TU_DB[[HRD Bin (ppm)]:[HRD Bin (ppm)]],G$19,TU_DB[[Clarity]:[Clarity]],$B48)</f>
        <v>31</v>
      </c>
      <c r="H48" s="257">
        <f>SUM(C48:G48)</f>
        <v>87</v>
      </c>
      <c r="I48" s="269">
        <f>SUM(H48)/SUM($H$47:$H$49)</f>
        <v>4.7723532638507954E-2</v>
      </c>
      <c r="J48"/>
      <c r="K48"/>
      <c r="L48"/>
      <c r="M48"/>
      <c r="N48"/>
      <c r="O48"/>
      <c r="P48"/>
      <c r="Q48"/>
      <c r="R48"/>
      <c r="S48"/>
      <c r="T48"/>
      <c r="U48"/>
      <c r="V48"/>
      <c r="W48"/>
      <c r="X48"/>
      <c r="Y48" s="1"/>
      <c r="Z48" s="15"/>
      <c r="AA48"/>
      <c r="AB48"/>
      <c r="AC48"/>
      <c r="AD48"/>
      <c r="AE48"/>
      <c r="AF48"/>
      <c r="AG48"/>
      <c r="AH48"/>
      <c r="AI48"/>
      <c r="AJ48"/>
      <c r="AK48"/>
      <c r="AL48"/>
      <c r="AM48"/>
      <c r="AN48"/>
      <c r="AO48"/>
      <c r="AP48"/>
      <c r="AQ48"/>
      <c r="AR48"/>
      <c r="AS48"/>
      <c r="AT48"/>
      <c r="AU48"/>
    </row>
    <row r="49" spans="2:27" ht="15" customHeight="1" x14ac:dyDescent="0.25">
      <c r="B49" s="261" t="s">
        <v>84</v>
      </c>
      <c r="C49" s="260">
        <f>COUNTIFS(TU_DB[[HRD Bin (ppm)]:[HRD Bin (ppm)]],C$19,TU_DB[[Clarity]:[Clarity]],$B49)</f>
        <v>25</v>
      </c>
      <c r="D49" s="259">
        <f>COUNTIFS(TU_DB[[HRD Bin (ppm)]:[HRD Bin (ppm)]],D$19,TU_DB[[Clarity]:[Clarity]],$B49)</f>
        <v>28</v>
      </c>
      <c r="E49" s="259">
        <f>COUNTIFS(TU_DB[[HRD Bin (ppm)]:[HRD Bin (ppm)]],E$19,TU_DB[[Clarity]:[Clarity]],$B49)</f>
        <v>36</v>
      </c>
      <c r="F49" s="259">
        <f>COUNTIFS(TU_DB[[HRD Bin (ppm)]:[HRD Bin (ppm)]],F$19,TU_DB[[Clarity]:[Clarity]],$B49)</f>
        <v>107</v>
      </c>
      <c r="G49" s="259">
        <f>COUNTIFS(TU_DB[[HRD Bin (ppm)]:[HRD Bin (ppm)]],G$19,TU_DB[[Clarity]:[Clarity]],$B49)</f>
        <v>134</v>
      </c>
      <c r="H49" s="260">
        <f>SUM(C49:G49)</f>
        <v>330</v>
      </c>
      <c r="I49" s="270">
        <f>SUM(H49)/SUM($H$47:$H$49)</f>
        <v>0.18102029621503016</v>
      </c>
      <c r="T49"/>
      <c r="Z49"/>
      <c r="AA49"/>
    </row>
    <row r="50" spans="2:27" ht="15" customHeight="1" thickBot="1" x14ac:dyDescent="0.3">
      <c r="B50" s="255" t="s">
        <v>133</v>
      </c>
      <c r="C50" s="258">
        <f t="shared" ref="C50:H50" si="6">SUM(C47:C49)</f>
        <v>105</v>
      </c>
      <c r="D50" s="255">
        <f t="shared" si="6"/>
        <v>113</v>
      </c>
      <c r="E50" s="255">
        <f t="shared" si="6"/>
        <v>185</v>
      </c>
      <c r="F50" s="255">
        <f t="shared" si="6"/>
        <v>632</v>
      </c>
      <c r="G50" s="255">
        <f t="shared" si="6"/>
        <v>788</v>
      </c>
      <c r="H50" s="258">
        <f t="shared" si="6"/>
        <v>1823</v>
      </c>
      <c r="I50" s="256"/>
      <c r="T50"/>
      <c r="Z50"/>
      <c r="AA50"/>
    </row>
    <row r="51" spans="2:27" ht="15" customHeight="1" x14ac:dyDescent="0.25">
      <c r="T51"/>
      <c r="Z51"/>
      <c r="AA51"/>
    </row>
    <row r="52" spans="2:27" ht="15" customHeight="1" x14ac:dyDescent="0.25">
      <c r="T52"/>
      <c r="Z52"/>
      <c r="AA52"/>
    </row>
    <row r="53" spans="2:27" ht="15" customHeight="1" x14ac:dyDescent="0.25">
      <c r="T53"/>
      <c r="Z53"/>
      <c r="AA53"/>
    </row>
    <row r="54" spans="2:27" ht="15" customHeight="1" x14ac:dyDescent="0.25">
      <c r="T54"/>
      <c r="Z54"/>
      <c r="AA54"/>
    </row>
    <row r="55" spans="2:27" ht="15" customHeight="1" x14ac:dyDescent="0.25">
      <c r="T55"/>
      <c r="Z55"/>
      <c r="AA55"/>
    </row>
    <row r="56" spans="2:27" ht="15" customHeight="1" x14ac:dyDescent="0.25">
      <c r="T56"/>
      <c r="Z56"/>
      <c r="AA56"/>
    </row>
    <row r="57" spans="2:27" ht="15" customHeight="1" x14ac:dyDescent="0.25">
      <c r="Q57" s="23"/>
      <c r="T57"/>
      <c r="Z57"/>
      <c r="AA57"/>
    </row>
    <row r="58" spans="2:27" ht="15" customHeight="1" x14ac:dyDescent="0.25">
      <c r="T58"/>
      <c r="Z58"/>
      <c r="AA58"/>
    </row>
    <row r="59" spans="2:27" ht="15" customHeight="1" x14ac:dyDescent="0.25">
      <c r="T59"/>
      <c r="Z59"/>
      <c r="AA59"/>
    </row>
    <row r="60" spans="2:27" ht="15" customHeight="1" x14ac:dyDescent="0.25">
      <c r="T60"/>
      <c r="Z60"/>
      <c r="AA60"/>
    </row>
    <row r="61" spans="2:27" ht="15" customHeight="1" thickBot="1" x14ac:dyDescent="0.3">
      <c r="B61" s="21" t="s">
        <v>4788</v>
      </c>
      <c r="T61"/>
      <c r="V61" s="23"/>
      <c r="W61" s="23"/>
      <c r="X61" s="23"/>
      <c r="Y61" s="23"/>
      <c r="Z61" s="23"/>
      <c r="AA61" s="23"/>
    </row>
    <row r="62" spans="2:27" ht="16.5" customHeight="1" x14ac:dyDescent="0.25">
      <c r="B62" s="319"/>
      <c r="C62" s="322" t="s">
        <v>4175</v>
      </c>
      <c r="D62" s="323"/>
      <c r="E62" s="323"/>
      <c r="F62" s="323"/>
      <c r="G62" s="323"/>
      <c r="H62" s="325"/>
      <c r="I62" s="319"/>
      <c r="L62" s="333" t="s">
        <v>4169</v>
      </c>
      <c r="M62" s="560" t="s">
        <v>1328</v>
      </c>
      <c r="N62" s="560"/>
      <c r="O62" s="560"/>
      <c r="P62" s="560"/>
      <c r="T62"/>
      <c r="Y62" s="1"/>
      <c r="Z62" s="15"/>
      <c r="AA62"/>
    </row>
    <row r="63" spans="2:27" ht="15" customHeight="1" x14ac:dyDescent="0.25">
      <c r="B63" s="320" t="s">
        <v>124</v>
      </c>
      <c r="C63" s="321">
        <v>0</v>
      </c>
      <c r="D63" s="320">
        <v>30</v>
      </c>
      <c r="E63" s="320">
        <v>60</v>
      </c>
      <c r="F63" s="320">
        <v>120</v>
      </c>
      <c r="G63" s="320">
        <v>180</v>
      </c>
      <c r="H63" s="324" t="s">
        <v>2325</v>
      </c>
      <c r="I63" s="320" t="s">
        <v>2352</v>
      </c>
      <c r="T63"/>
      <c r="Y63" s="1"/>
      <c r="Z63" s="15"/>
      <c r="AA63"/>
    </row>
    <row r="64" spans="2:27" ht="15" customHeight="1" x14ac:dyDescent="0.25">
      <c r="B64" s="153" t="s">
        <v>1328</v>
      </c>
      <c r="C64" s="378">
        <f>SUM(C65:C74)</f>
        <v>2</v>
      </c>
      <c r="D64" s="378">
        <f t="shared" ref="D64:G64" si="7">SUM(D65:D74)</f>
        <v>23</v>
      </c>
      <c r="E64" s="378">
        <f t="shared" si="7"/>
        <v>20</v>
      </c>
      <c r="F64" s="378">
        <f t="shared" si="7"/>
        <v>80</v>
      </c>
      <c r="G64" s="378">
        <f t="shared" si="7"/>
        <v>62</v>
      </c>
      <c r="H64" s="378">
        <f>SUM(H65:H74)</f>
        <v>187</v>
      </c>
      <c r="I64" s="378"/>
      <c r="T64"/>
      <c r="Y64" s="1"/>
      <c r="Z64" s="15"/>
      <c r="AA64"/>
    </row>
    <row r="65" spans="2:27" ht="15" customHeight="1" x14ac:dyDescent="0.25">
      <c r="B65" s="8" t="s">
        <v>154</v>
      </c>
      <c r="C65" s="257">
        <f>COUNTIFS(TU_DB[[HRD Bin (ppm)]:[HRD Bin (ppm)]],C$19,TU_DB[[Monitoring Site]:[Monitoring Site]],$B65)</f>
        <v>1</v>
      </c>
      <c r="D65" s="79">
        <f>COUNTIFS(TU_DB[[HRD Bin (ppm)]:[HRD Bin (ppm)]],D$19,TU_DB[[Monitoring Site]:[Monitoring Site]],$B65)</f>
        <v>4</v>
      </c>
      <c r="E65" s="79">
        <f>COUNTIFS(TU_DB[[HRD Bin (ppm)]:[HRD Bin (ppm)]],E$19,TU_DB[[Monitoring Site]:[Monitoring Site]],$B65)</f>
        <v>1</v>
      </c>
      <c r="F65" s="79">
        <f>COUNTIFS(TU_DB[[HRD Bin (ppm)]:[HRD Bin (ppm)]],F$19,TU_DB[[Monitoring Site]:[Monitoring Site]],$B65)</f>
        <v>8</v>
      </c>
      <c r="G65" s="79">
        <f>COUNTIFS(TU_DB[[HRD Bin (ppm)]:[HRD Bin (ppm)]],G$19,TU_DB[[Monitoring Site]:[Monitoring Site]],$B65)</f>
        <v>2</v>
      </c>
      <c r="H65" s="257">
        <f t="shared" ref="H65:H74" si="8">SUM(C65:G65)</f>
        <v>16</v>
      </c>
      <c r="I65" s="268">
        <f t="shared" ref="I65:I74" si="9">SUM(H65)/$H$64</f>
        <v>8.5561497326203204E-2</v>
      </c>
      <c r="T65"/>
      <c r="Y65" s="1"/>
      <c r="Z65" s="15"/>
      <c r="AA65"/>
    </row>
    <row r="66" spans="2:27" x14ac:dyDescent="0.25">
      <c r="B66" s="8" t="str">
        <f>Use!S125</f>
        <v>Eau Galle River @ WI Hwy 29</v>
      </c>
      <c r="C66" s="257">
        <f>COUNTIFS(TU_DB[[HRD Bin (ppm)]:[HRD Bin (ppm)]],C$19,TU_DB[[Monitoring Site]:[Monitoring Site]],$B66)</f>
        <v>0</v>
      </c>
      <c r="D66" s="79">
        <f>COUNTIFS(TU_DB[[HRD Bin (ppm)]:[HRD Bin (ppm)]],D$19,TU_DB[[Monitoring Site]:[Monitoring Site]],$B66)</f>
        <v>0</v>
      </c>
      <c r="E66" s="79">
        <f>COUNTIFS(TU_DB[[HRD Bin (ppm)]:[HRD Bin (ppm)]],E$19,TU_DB[[Monitoring Site]:[Monitoring Site]],$B66)</f>
        <v>5</v>
      </c>
      <c r="F66" s="79">
        <f>COUNTIFS(TU_DB[[HRD Bin (ppm)]:[HRD Bin (ppm)]],F$19,TU_DB[[Monitoring Site]:[Monitoring Site]],$B66)</f>
        <v>6</v>
      </c>
      <c r="G66" s="79">
        <f>COUNTIFS(TU_DB[[HRD Bin (ppm)]:[HRD Bin (ppm)]],G$19,TU_DB[[Monitoring Site]:[Monitoring Site]],$B66)</f>
        <v>0</v>
      </c>
      <c r="H66" s="257">
        <f t="shared" si="8"/>
        <v>11</v>
      </c>
      <c r="I66" s="268">
        <f t="shared" si="9"/>
        <v>5.8823529411764705E-2</v>
      </c>
      <c r="T66"/>
      <c r="Y66" s="1"/>
      <c r="Z66" s="15"/>
      <c r="AA66"/>
    </row>
    <row r="67" spans="2:27" x14ac:dyDescent="0.25">
      <c r="B67" s="8" t="str">
        <f>Use!S126</f>
        <v>Isabelle Creek @ County Rd. EE</v>
      </c>
      <c r="C67" s="257">
        <f>COUNTIFS(TU_DB[[HRD Bin (ppm)]:[HRD Bin (ppm)]],C$19,TU_DB[[Monitoring Site]:[Monitoring Site]],$B67)</f>
        <v>1</v>
      </c>
      <c r="D67" s="79">
        <f>COUNTIFS(TU_DB[[HRD Bin (ppm)]:[HRD Bin (ppm)]],D$19,TU_DB[[Monitoring Site]:[Monitoring Site]],$B67)</f>
        <v>2</v>
      </c>
      <c r="E67" s="79">
        <f>COUNTIFS(TU_DB[[HRD Bin (ppm)]:[HRD Bin (ppm)]],E$19,TU_DB[[Monitoring Site]:[Monitoring Site]],$B67)</f>
        <v>2</v>
      </c>
      <c r="F67" s="79">
        <f>COUNTIFS(TU_DB[[HRD Bin (ppm)]:[HRD Bin (ppm)]],F$19,TU_DB[[Monitoring Site]:[Monitoring Site]],$B67)</f>
        <v>9</v>
      </c>
      <c r="G67" s="79">
        <f>COUNTIFS(TU_DB[[HRD Bin (ppm)]:[HRD Bin (ppm)]],G$19,TU_DB[[Monitoring Site]:[Monitoring Site]],$B67)</f>
        <v>8</v>
      </c>
      <c r="H67" s="257">
        <f t="shared" si="8"/>
        <v>22</v>
      </c>
      <c r="I67" s="268">
        <f t="shared" si="9"/>
        <v>0.11764705882352941</v>
      </c>
      <c r="T67"/>
      <c r="Y67" s="1"/>
      <c r="Z67" s="15"/>
      <c r="AA67"/>
    </row>
    <row r="68" spans="2:27" x14ac:dyDescent="0.25">
      <c r="B68" s="8" t="str">
        <f>Use!S127</f>
        <v>Kinnickinnic River, Lower Glen Park</v>
      </c>
      <c r="C68" s="257">
        <f>COUNTIFS(TU_DB[[HRD Bin (ppm)]:[HRD Bin (ppm)]],C$19,TU_DB[[Monitoring Site]:[Monitoring Site]],$B68)</f>
        <v>0</v>
      </c>
      <c r="D68" s="79">
        <f>COUNTIFS(TU_DB[[HRD Bin (ppm)]:[HRD Bin (ppm)]],D$19,TU_DB[[Monitoring Site]:[Monitoring Site]],$B68)</f>
        <v>9</v>
      </c>
      <c r="E68" s="79">
        <f>COUNTIFS(TU_DB[[HRD Bin (ppm)]:[HRD Bin (ppm)]],E$19,TU_DB[[Monitoring Site]:[Monitoring Site]],$B68)</f>
        <v>3</v>
      </c>
      <c r="F68" s="79">
        <f>COUNTIFS(TU_DB[[HRD Bin (ppm)]:[HRD Bin (ppm)]],F$19,TU_DB[[Monitoring Site]:[Monitoring Site]],$B68)</f>
        <v>16</v>
      </c>
      <c r="G68" s="79">
        <f>COUNTIFS(TU_DB[[HRD Bin (ppm)]:[HRD Bin (ppm)]],G$19,TU_DB[[Monitoring Site]:[Monitoring Site]],$B68)</f>
        <v>9</v>
      </c>
      <c r="H68" s="257">
        <f t="shared" si="8"/>
        <v>37</v>
      </c>
      <c r="I68" s="268">
        <f t="shared" si="9"/>
        <v>0.19786096256684493</v>
      </c>
      <c r="T68"/>
      <c r="Y68" s="1"/>
      <c r="Z68" s="15"/>
      <c r="AA68"/>
    </row>
    <row r="69" spans="2:27" x14ac:dyDescent="0.25">
      <c r="B69" s="8" t="str">
        <f>Use!S128</f>
        <v>Pine Creek @ County Rd. AA</v>
      </c>
      <c r="C69" s="257">
        <f>COUNTIFS(TU_DB[[HRD Bin (ppm)]:[HRD Bin (ppm)]],C$19,TU_DB[[Monitoring Site]:[Monitoring Site]],$B69)</f>
        <v>0</v>
      </c>
      <c r="D69" s="79">
        <f>COUNTIFS(TU_DB[[HRD Bin (ppm)]:[HRD Bin (ppm)]],D$19,TU_DB[[Monitoring Site]:[Monitoring Site]],$B69)</f>
        <v>0</v>
      </c>
      <c r="E69" s="79">
        <f>COUNTIFS(TU_DB[[HRD Bin (ppm)]:[HRD Bin (ppm)]],E$19,TU_DB[[Monitoring Site]:[Monitoring Site]],$B69)</f>
        <v>2</v>
      </c>
      <c r="F69" s="79">
        <f>COUNTIFS(TU_DB[[HRD Bin (ppm)]:[HRD Bin (ppm)]],F$19,TU_DB[[Monitoring Site]:[Monitoring Site]],$B69)</f>
        <v>15</v>
      </c>
      <c r="G69" s="79">
        <f>COUNTIFS(TU_DB[[HRD Bin (ppm)]:[HRD Bin (ppm)]],G$19,TU_DB[[Monitoring Site]:[Monitoring Site]],$B69)</f>
        <v>13</v>
      </c>
      <c r="H69" s="257">
        <f t="shared" si="8"/>
        <v>30</v>
      </c>
      <c r="I69" s="268">
        <f t="shared" si="9"/>
        <v>0.16042780748663102</v>
      </c>
      <c r="T69"/>
      <c r="Y69" s="1"/>
      <c r="Z69" s="15"/>
      <c r="AA69"/>
    </row>
    <row r="70" spans="2:27" x14ac:dyDescent="0.25">
      <c r="B70" s="8" t="str">
        <f>Use!S129</f>
        <v>Plum Creek @ Plum CIty Park</v>
      </c>
      <c r="C70" s="257">
        <f>COUNTIFS(TU_DB[[HRD Bin (ppm)]:[HRD Bin (ppm)]],C$19,TU_DB[[Monitoring Site]:[Monitoring Site]],$B70)</f>
        <v>0</v>
      </c>
      <c r="D70" s="79">
        <f>COUNTIFS(TU_DB[[HRD Bin (ppm)]:[HRD Bin (ppm)]],D$19,TU_DB[[Monitoring Site]:[Monitoring Site]],$B70)</f>
        <v>0</v>
      </c>
      <c r="E70" s="79">
        <f>COUNTIFS(TU_DB[[HRD Bin (ppm)]:[HRD Bin (ppm)]],E$19,TU_DB[[Monitoring Site]:[Monitoring Site]],$B70)</f>
        <v>2</v>
      </c>
      <c r="F70" s="79">
        <f>COUNTIFS(TU_DB[[HRD Bin (ppm)]:[HRD Bin (ppm)]],F$19,TU_DB[[Monitoring Site]:[Monitoring Site]],$B70)</f>
        <v>10</v>
      </c>
      <c r="G70" s="79">
        <f>COUNTIFS(TU_DB[[HRD Bin (ppm)]:[HRD Bin (ppm)]],G$19,TU_DB[[Monitoring Site]:[Monitoring Site]],$B70)</f>
        <v>5</v>
      </c>
      <c r="H70" s="257">
        <f t="shared" si="8"/>
        <v>17</v>
      </c>
      <c r="I70" s="268">
        <f t="shared" si="9"/>
        <v>9.0909090909090912E-2</v>
      </c>
      <c r="T70"/>
      <c r="Y70" s="1"/>
      <c r="Z70" s="15"/>
      <c r="AA70"/>
    </row>
    <row r="71" spans="2:27" x14ac:dyDescent="0.25">
      <c r="B71" s="8" t="str">
        <f>Use!S130</f>
        <v>Rocky Branch Creek, Lower Glen Park</v>
      </c>
      <c r="C71" s="257">
        <f>COUNTIFS(TU_DB[[HRD Bin (ppm)]:[HRD Bin (ppm)]],C$19,TU_DB[[Monitoring Site]:[Monitoring Site]],$B71)</f>
        <v>0</v>
      </c>
      <c r="D71" s="79">
        <f>COUNTIFS(TU_DB[[HRD Bin (ppm)]:[HRD Bin (ppm)]],D$19,TU_DB[[Monitoring Site]:[Monitoring Site]],$B71)</f>
        <v>2</v>
      </c>
      <c r="E71" s="79">
        <f>COUNTIFS(TU_DB[[HRD Bin (ppm)]:[HRD Bin (ppm)]],E$19,TU_DB[[Monitoring Site]:[Monitoring Site]],$B71)</f>
        <v>1</v>
      </c>
      <c r="F71" s="79">
        <f>COUNTIFS(TU_DB[[HRD Bin (ppm)]:[HRD Bin (ppm)]],F$19,TU_DB[[Monitoring Site]:[Monitoring Site]],$B71)</f>
        <v>6</v>
      </c>
      <c r="G71" s="79">
        <f>COUNTIFS(TU_DB[[HRD Bin (ppm)]:[HRD Bin (ppm)]],G$19,TU_DB[[Monitoring Site]:[Monitoring Site]],$B71)</f>
        <v>1</v>
      </c>
      <c r="H71" s="257">
        <f t="shared" si="8"/>
        <v>10</v>
      </c>
      <c r="I71" s="268">
        <f t="shared" si="9"/>
        <v>5.3475935828877004E-2</v>
      </c>
      <c r="T71"/>
      <c r="Y71" s="1"/>
      <c r="Z71" s="15"/>
      <c r="AA71"/>
    </row>
    <row r="72" spans="2:27" x14ac:dyDescent="0.25">
      <c r="B72" s="8" t="str">
        <f>Use!S131</f>
        <v>Rush River @ 570th Ave</v>
      </c>
      <c r="C72" s="257">
        <f>COUNTIFS(TU_DB[[HRD Bin (ppm)]:[HRD Bin (ppm)]],C$19,TU_DB[[Monitoring Site]:[Monitoring Site]],$B72)</f>
        <v>0</v>
      </c>
      <c r="D72" s="79">
        <f>COUNTIFS(TU_DB[[HRD Bin (ppm)]:[HRD Bin (ppm)]],D$19,TU_DB[[Monitoring Site]:[Monitoring Site]],$B72)</f>
        <v>5</v>
      </c>
      <c r="E72" s="79">
        <f>COUNTIFS(TU_DB[[HRD Bin (ppm)]:[HRD Bin (ppm)]],E$19,TU_DB[[Monitoring Site]:[Monitoring Site]],$B72)</f>
        <v>2</v>
      </c>
      <c r="F72" s="79">
        <f>COUNTIFS(TU_DB[[HRD Bin (ppm)]:[HRD Bin (ppm)]],F$19,TU_DB[[Monitoring Site]:[Monitoring Site]],$B72)</f>
        <v>9</v>
      </c>
      <c r="G72" s="79">
        <f>COUNTIFS(TU_DB[[HRD Bin (ppm)]:[HRD Bin (ppm)]],G$19,TU_DB[[Monitoring Site]:[Monitoring Site]],$B72)</f>
        <v>9</v>
      </c>
      <c r="H72" s="257">
        <f t="shared" si="8"/>
        <v>25</v>
      </c>
      <c r="I72" s="268">
        <f t="shared" si="9"/>
        <v>0.13368983957219252</v>
      </c>
      <c r="T72"/>
      <c r="Y72" s="1"/>
      <c r="Z72" s="15"/>
      <c r="AA72"/>
    </row>
    <row r="73" spans="2:27" x14ac:dyDescent="0.25">
      <c r="B73" s="8" t="str">
        <f>Use!S132</f>
        <v>SF Kinnickinnic River @ 900th St</v>
      </c>
      <c r="C73" s="257">
        <f>COUNTIFS(TU_DB[[HRD Bin (ppm)]:[HRD Bin (ppm)]],C$19,TU_DB[[Monitoring Site]:[Monitoring Site]],$B73)</f>
        <v>0</v>
      </c>
      <c r="D73" s="79">
        <f>COUNTIFS(TU_DB[[HRD Bin (ppm)]:[HRD Bin (ppm)]],D$19,TU_DB[[Monitoring Site]:[Monitoring Site]],$B73)</f>
        <v>1</v>
      </c>
      <c r="E73" s="79">
        <f>COUNTIFS(TU_DB[[HRD Bin (ppm)]:[HRD Bin (ppm)]],E$19,TU_DB[[Monitoring Site]:[Monitoring Site]],$B73)</f>
        <v>1</v>
      </c>
      <c r="F73" s="79">
        <f>COUNTIFS(TU_DB[[HRD Bin (ppm)]:[HRD Bin (ppm)]],F$19,TU_DB[[Monitoring Site]:[Monitoring Site]],$B73)</f>
        <v>1</v>
      </c>
      <c r="G73" s="79">
        <f>COUNTIFS(TU_DB[[HRD Bin (ppm)]:[HRD Bin (ppm)]],G$19,TU_DB[[Monitoring Site]:[Monitoring Site]],$B73)</f>
        <v>9</v>
      </c>
      <c r="H73" s="257">
        <f t="shared" si="8"/>
        <v>12</v>
      </c>
      <c r="I73" s="268">
        <f t="shared" si="9"/>
        <v>6.4171122994652413E-2</v>
      </c>
      <c r="T73"/>
      <c r="Y73" s="1"/>
      <c r="Z73" s="15"/>
      <c r="AA73"/>
    </row>
    <row r="74" spans="2:27" x14ac:dyDescent="0.25">
      <c r="B74" s="8" t="str">
        <f>Use!S133</f>
        <v>Trimbelle River @ County Rd W</v>
      </c>
      <c r="C74" s="257">
        <f>COUNTIFS(TU_DB[[HRD Bin (ppm)]:[HRD Bin (ppm)]],C$19,TU_DB[[Monitoring Site]:[Monitoring Site]],$B74)</f>
        <v>0</v>
      </c>
      <c r="D74" s="79">
        <f>COUNTIFS(TU_DB[[HRD Bin (ppm)]:[HRD Bin (ppm)]],D$19,TU_DB[[Monitoring Site]:[Monitoring Site]],$B74)</f>
        <v>0</v>
      </c>
      <c r="E74" s="79">
        <f>COUNTIFS(TU_DB[[HRD Bin (ppm)]:[HRD Bin (ppm)]],E$19,TU_DB[[Monitoring Site]:[Monitoring Site]],$B74)</f>
        <v>1</v>
      </c>
      <c r="F74" s="79">
        <f>COUNTIFS(TU_DB[[HRD Bin (ppm)]:[HRD Bin (ppm)]],F$19,TU_DB[[Monitoring Site]:[Monitoring Site]],$B74)</f>
        <v>0</v>
      </c>
      <c r="G74" s="79">
        <f>COUNTIFS(TU_DB[[HRD Bin (ppm)]:[HRD Bin (ppm)]],G$19,TU_DB[[Monitoring Site]:[Monitoring Site]],$B74)</f>
        <v>6</v>
      </c>
      <c r="H74" s="257">
        <f t="shared" si="8"/>
        <v>7</v>
      </c>
      <c r="I74" s="268">
        <f t="shared" si="9"/>
        <v>3.7433155080213901E-2</v>
      </c>
      <c r="T74"/>
      <c r="Y74" s="1"/>
      <c r="Z74" s="15"/>
      <c r="AA74"/>
    </row>
    <row r="75" spans="2:27" x14ac:dyDescent="0.25">
      <c r="B75" s="153" t="s">
        <v>1329</v>
      </c>
      <c r="C75" s="378">
        <f>SUM(C76:C85)</f>
        <v>7</v>
      </c>
      <c r="D75" s="378">
        <f t="shared" ref="D75:G75" si="10">SUM(D76:D85)</f>
        <v>5</v>
      </c>
      <c r="E75" s="378">
        <f t="shared" si="10"/>
        <v>11</v>
      </c>
      <c r="F75" s="378">
        <f t="shared" si="10"/>
        <v>37</v>
      </c>
      <c r="G75" s="378">
        <f t="shared" si="10"/>
        <v>44</v>
      </c>
      <c r="H75" s="378">
        <f>SUM(H76:H83)</f>
        <v>104</v>
      </c>
      <c r="I75" s="377"/>
      <c r="T75"/>
      <c r="Y75" s="1"/>
      <c r="Z75" s="15"/>
      <c r="AA75"/>
    </row>
    <row r="76" spans="2:27" x14ac:dyDescent="0.25">
      <c r="B76" s="8" t="str">
        <f>Use!S135</f>
        <v>Belle Creek</v>
      </c>
      <c r="C76" s="257">
        <f>COUNTIFS(TU_DB[[HRD Bin (ppm)]:[HRD Bin (ppm)]],C$19,TU_DB[[Monitoring Site]:[Monitoring Site]],$B76)</f>
        <v>1</v>
      </c>
      <c r="D76" s="79">
        <f>COUNTIFS(TU_DB[[HRD Bin (ppm)]:[HRD Bin (ppm)]],D$19,TU_DB[[Monitoring Site]:[Monitoring Site]],$B76)</f>
        <v>1</v>
      </c>
      <c r="E76" s="79">
        <f>COUNTIFS(TU_DB[[HRD Bin (ppm)]:[HRD Bin (ppm)]],E$19,TU_DB[[Monitoring Site]:[Monitoring Site]],$B76)</f>
        <v>5</v>
      </c>
      <c r="F76" s="79">
        <f>COUNTIFS(TU_DB[[HRD Bin (ppm)]:[HRD Bin (ppm)]],F$19,TU_DB[[Monitoring Site]:[Monitoring Site]],$B76)</f>
        <v>0</v>
      </c>
      <c r="G76" s="79">
        <f>COUNTIFS(TU_DB[[HRD Bin (ppm)]:[HRD Bin (ppm)]],G$19,TU_DB[[Monitoring Site]:[Monitoring Site]],$B76)</f>
        <v>0</v>
      </c>
      <c r="H76" s="257">
        <f t="shared" ref="H76:H83" si="11">SUM(C76:G76)</f>
        <v>7</v>
      </c>
      <c r="I76" s="268">
        <f t="shared" ref="I76:I83" si="12">SUM(H76)/$H$75</f>
        <v>6.7307692307692304E-2</v>
      </c>
      <c r="T76"/>
      <c r="Y76" s="1"/>
      <c r="Z76" s="15"/>
      <c r="AA76"/>
    </row>
    <row r="77" spans="2:27" x14ac:dyDescent="0.25">
      <c r="B77" s="8" t="str">
        <f>Use!S136</f>
        <v>Hay Creek @ 320th St</v>
      </c>
      <c r="C77" s="257">
        <f>COUNTIFS(TU_DB[[HRD Bin (ppm)]:[HRD Bin (ppm)]],C$19,TU_DB[[Monitoring Site]:[Monitoring Site]],$B77)</f>
        <v>0</v>
      </c>
      <c r="D77" s="79">
        <f>COUNTIFS(TU_DB[[HRD Bin (ppm)]:[HRD Bin (ppm)]],D$19,TU_DB[[Monitoring Site]:[Monitoring Site]],$B77)</f>
        <v>0</v>
      </c>
      <c r="E77" s="79">
        <f>COUNTIFS(TU_DB[[HRD Bin (ppm)]:[HRD Bin (ppm)]],E$19,TU_DB[[Monitoring Site]:[Monitoring Site]],$B77)</f>
        <v>0</v>
      </c>
      <c r="F77" s="79">
        <f>COUNTIFS(TU_DB[[HRD Bin (ppm)]:[HRD Bin (ppm)]],F$19,TU_DB[[Monitoring Site]:[Monitoring Site]],$B77)</f>
        <v>0</v>
      </c>
      <c r="G77" s="79">
        <f>COUNTIFS(TU_DB[[HRD Bin (ppm)]:[HRD Bin (ppm)]],G$19,TU_DB[[Monitoring Site]:[Monitoring Site]],$B77)</f>
        <v>0</v>
      </c>
      <c r="H77" s="257">
        <f t="shared" si="11"/>
        <v>0</v>
      </c>
      <c r="I77" s="268">
        <f t="shared" si="12"/>
        <v>0</v>
      </c>
      <c r="T77"/>
      <c r="Y77" s="1"/>
      <c r="Z77" s="15"/>
      <c r="AA77"/>
    </row>
    <row r="78" spans="2:27" x14ac:dyDescent="0.25">
      <c r="B78" s="8" t="str">
        <f>Use!S137</f>
        <v>Hay Creek @ 325th St</v>
      </c>
      <c r="C78" s="257">
        <f>COUNTIFS(TU_DB[[HRD Bin (ppm)]:[HRD Bin (ppm)]],C$19,TU_DB[[Monitoring Site]:[Monitoring Site]],$B78)</f>
        <v>0</v>
      </c>
      <c r="D78" s="79">
        <f>COUNTIFS(TU_DB[[HRD Bin (ppm)]:[HRD Bin (ppm)]],D$19,TU_DB[[Monitoring Site]:[Monitoring Site]],$B78)</f>
        <v>0</v>
      </c>
      <c r="E78" s="79">
        <f>COUNTIFS(TU_DB[[HRD Bin (ppm)]:[HRD Bin (ppm)]],E$19,TU_DB[[Monitoring Site]:[Monitoring Site]],$B78)</f>
        <v>0</v>
      </c>
      <c r="F78" s="79">
        <f>COUNTIFS(TU_DB[[HRD Bin (ppm)]:[HRD Bin (ppm)]],F$19,TU_DB[[Monitoring Site]:[Monitoring Site]],$B78)</f>
        <v>0</v>
      </c>
      <c r="G78" s="79">
        <f>COUNTIFS(TU_DB[[HRD Bin (ppm)]:[HRD Bin (ppm)]],G$19,TU_DB[[Monitoring Site]:[Monitoring Site]],$B78)</f>
        <v>0</v>
      </c>
      <c r="H78" s="257">
        <f t="shared" si="11"/>
        <v>0</v>
      </c>
      <c r="I78" s="268">
        <f t="shared" si="12"/>
        <v>0</v>
      </c>
      <c r="T78"/>
      <c r="Y78" s="1"/>
      <c r="Z78" s="15"/>
      <c r="AA78"/>
    </row>
    <row r="79" spans="2:27" x14ac:dyDescent="0.25">
      <c r="B79" s="8" t="str">
        <f>Use!S138</f>
        <v>Eagle Creek</v>
      </c>
      <c r="C79" s="257">
        <f>COUNTIFS(TU_DB[[HRD Bin (ppm)]:[HRD Bin (ppm)]],C$19,TU_DB[[Monitoring Site]:[Monitoring Site]],$B79)</f>
        <v>0</v>
      </c>
      <c r="D79" s="79">
        <f>COUNTIFS(TU_DB[[HRD Bin (ppm)]:[HRD Bin (ppm)]],D$19,TU_DB[[Monitoring Site]:[Monitoring Site]],$B79)</f>
        <v>0</v>
      </c>
      <c r="E79" s="79">
        <f>COUNTIFS(TU_DB[[HRD Bin (ppm)]:[HRD Bin (ppm)]],E$19,TU_DB[[Monitoring Site]:[Monitoring Site]],$B79)</f>
        <v>0</v>
      </c>
      <c r="F79" s="79">
        <f>COUNTIFS(TU_DB[[HRD Bin (ppm)]:[HRD Bin (ppm)]],F$19,TU_DB[[Monitoring Site]:[Monitoring Site]],$B79)</f>
        <v>1</v>
      </c>
      <c r="G79" s="79">
        <f>COUNTIFS(TU_DB[[HRD Bin (ppm)]:[HRD Bin (ppm)]],G$19,TU_DB[[Monitoring Site]:[Monitoring Site]],$B79)</f>
        <v>1</v>
      </c>
      <c r="H79" s="257">
        <f t="shared" si="11"/>
        <v>2</v>
      </c>
      <c r="I79" s="268">
        <f t="shared" si="12"/>
        <v>1.9230769230769232E-2</v>
      </c>
      <c r="T79"/>
      <c r="Y79" s="1"/>
      <c r="Z79" s="15"/>
      <c r="AA79"/>
    </row>
    <row r="80" spans="2:27" x14ac:dyDescent="0.25">
      <c r="B80" s="8" t="str">
        <f>Use!S139</f>
        <v>Little Cannon River</v>
      </c>
      <c r="C80" s="257">
        <f>COUNTIFS(TU_DB[[HRD Bin (ppm)]:[HRD Bin (ppm)]],C$19,TU_DB[[Monitoring Site]:[Monitoring Site]],$B80)</f>
        <v>0</v>
      </c>
      <c r="D80" s="79">
        <f>COUNTIFS(TU_DB[[HRD Bin (ppm)]:[HRD Bin (ppm)]],D$19,TU_DB[[Monitoring Site]:[Monitoring Site]],$B80)</f>
        <v>0</v>
      </c>
      <c r="E80" s="79">
        <f>COUNTIFS(TU_DB[[HRD Bin (ppm)]:[HRD Bin (ppm)]],E$19,TU_DB[[Monitoring Site]:[Monitoring Site]],$B80)</f>
        <v>0</v>
      </c>
      <c r="F80" s="79">
        <f>COUNTIFS(TU_DB[[HRD Bin (ppm)]:[HRD Bin (ppm)]],F$19,TU_DB[[Monitoring Site]:[Monitoring Site]],$B80)</f>
        <v>0</v>
      </c>
      <c r="G80" s="79">
        <f>COUNTIFS(TU_DB[[HRD Bin (ppm)]:[HRD Bin (ppm)]],G$19,TU_DB[[Monitoring Site]:[Monitoring Site]],$B80)</f>
        <v>0</v>
      </c>
      <c r="H80" s="257">
        <f t="shared" si="11"/>
        <v>0</v>
      </c>
      <c r="I80" s="268">
        <f t="shared" si="12"/>
        <v>0</v>
      </c>
      <c r="T80"/>
      <c r="Y80" s="1"/>
      <c r="Z80" s="15"/>
      <c r="AA80"/>
    </row>
    <row r="81" spans="2:32" x14ac:dyDescent="0.25">
      <c r="B81" s="8" t="str">
        <f>Use!S140</f>
        <v>MOA Creek</v>
      </c>
      <c r="C81" s="257">
        <f>COUNTIFS(TU_DB[[HRD Bin (ppm)]:[HRD Bin (ppm)]],C$19,TU_DB[[Monitoring Site]:[Monitoring Site]],$B81)</f>
        <v>0</v>
      </c>
      <c r="D81" s="79">
        <f>COUNTIFS(TU_DB[[HRD Bin (ppm)]:[HRD Bin (ppm)]],D$19,TU_DB[[Monitoring Site]:[Monitoring Site]],$B81)</f>
        <v>2</v>
      </c>
      <c r="E81" s="79">
        <f>COUNTIFS(TU_DB[[HRD Bin (ppm)]:[HRD Bin (ppm)]],E$19,TU_DB[[Monitoring Site]:[Monitoring Site]],$B81)</f>
        <v>1</v>
      </c>
      <c r="F81" s="79">
        <f>COUNTIFS(TU_DB[[HRD Bin (ppm)]:[HRD Bin (ppm)]],F$19,TU_DB[[Monitoring Site]:[Monitoring Site]],$B81)</f>
        <v>4</v>
      </c>
      <c r="G81" s="79">
        <f>COUNTIFS(TU_DB[[HRD Bin (ppm)]:[HRD Bin (ppm)]],G$19,TU_DB[[Monitoring Site]:[Monitoring Site]],$B81)</f>
        <v>15</v>
      </c>
      <c r="H81" s="257">
        <f t="shared" si="11"/>
        <v>22</v>
      </c>
      <c r="I81" s="268">
        <f t="shared" si="12"/>
        <v>0.21153846153846154</v>
      </c>
      <c r="T81"/>
      <c r="Y81" s="1"/>
      <c r="Z81" s="15"/>
      <c r="AA81"/>
    </row>
    <row r="82" spans="2:32" x14ac:dyDescent="0.25">
      <c r="B82" s="8" t="str">
        <f>Use!S141</f>
        <v>Trout Brook</v>
      </c>
      <c r="C82" s="257">
        <f>COUNTIFS(TU_DB[[HRD Bin (ppm)]:[HRD Bin (ppm)]],C$19,TU_DB[[Monitoring Site]:[Monitoring Site]],$B82)</f>
        <v>3</v>
      </c>
      <c r="D82" s="79">
        <f>COUNTIFS(TU_DB[[HRD Bin (ppm)]:[HRD Bin (ppm)]],D$19,TU_DB[[Monitoring Site]:[Monitoring Site]],$B82)</f>
        <v>0</v>
      </c>
      <c r="E82" s="79">
        <f>COUNTIFS(TU_DB[[HRD Bin (ppm)]:[HRD Bin (ppm)]],E$19,TU_DB[[Monitoring Site]:[Monitoring Site]],$B82)</f>
        <v>1</v>
      </c>
      <c r="F82" s="79">
        <f>COUNTIFS(TU_DB[[HRD Bin (ppm)]:[HRD Bin (ppm)]],F$19,TU_DB[[Monitoring Site]:[Monitoring Site]],$B82)</f>
        <v>22</v>
      </c>
      <c r="G82" s="79">
        <f>COUNTIFS(TU_DB[[HRD Bin (ppm)]:[HRD Bin (ppm)]],G$19,TU_DB[[Monitoring Site]:[Monitoring Site]],$B82)</f>
        <v>12</v>
      </c>
      <c r="H82" s="257">
        <f t="shared" si="11"/>
        <v>38</v>
      </c>
      <c r="I82" s="268">
        <f t="shared" si="12"/>
        <v>0.36538461538461536</v>
      </c>
      <c r="T82"/>
      <c r="Y82" s="1"/>
      <c r="Z82" s="15"/>
      <c r="AA82"/>
    </row>
    <row r="83" spans="2:32" ht="15.75" thickBot="1" x14ac:dyDescent="0.3">
      <c r="B83" s="379" t="str">
        <f>Use!S142</f>
        <v>Vermillion River, South Branch</v>
      </c>
      <c r="C83" s="258">
        <f>COUNTIFS(TU_DB[[HRD Bin (ppm)]:[HRD Bin (ppm)]],C$19,TU_DB[[Monitoring Site]:[Monitoring Site]],$B83)</f>
        <v>3</v>
      </c>
      <c r="D83" s="255">
        <f>COUNTIFS(TU_DB[[HRD Bin (ppm)]:[HRD Bin (ppm)]],D$19,TU_DB[[Monitoring Site]:[Monitoring Site]],$B83)</f>
        <v>2</v>
      </c>
      <c r="E83" s="255">
        <f>COUNTIFS(TU_DB[[HRD Bin (ppm)]:[HRD Bin (ppm)]],E$19,TU_DB[[Monitoring Site]:[Monitoring Site]],$B83)</f>
        <v>4</v>
      </c>
      <c r="F83" s="255">
        <f>COUNTIFS(TU_DB[[HRD Bin (ppm)]:[HRD Bin (ppm)]],F$19,TU_DB[[Monitoring Site]:[Monitoring Site]],$B83)</f>
        <v>10</v>
      </c>
      <c r="G83" s="255">
        <f>COUNTIFS(TU_DB[[HRD Bin (ppm)]:[HRD Bin (ppm)]],G$19,TU_DB[[Monitoring Site]:[Monitoring Site]],$B83)</f>
        <v>16</v>
      </c>
      <c r="H83" s="258">
        <f t="shared" si="11"/>
        <v>35</v>
      </c>
      <c r="I83" s="380">
        <f t="shared" si="12"/>
        <v>0.33653846153846156</v>
      </c>
      <c r="T83"/>
      <c r="Y83" s="1"/>
      <c r="Z83" s="15"/>
      <c r="AA83"/>
    </row>
    <row r="84" spans="2:32" x14ac:dyDescent="0.25">
      <c r="T84"/>
      <c r="Y84" s="1"/>
      <c r="Z84" s="15"/>
      <c r="AA84"/>
      <c r="AD84" s="1"/>
      <c r="AE84" s="1"/>
      <c r="AF84" s="1"/>
    </row>
    <row r="85" spans="2:32" x14ac:dyDescent="0.25">
      <c r="L85" s="331" t="s">
        <v>4168</v>
      </c>
      <c r="M85" s="317">
        <v>0</v>
      </c>
      <c r="N85" s="317">
        <v>30</v>
      </c>
      <c r="O85" s="317">
        <v>60</v>
      </c>
      <c r="P85" s="317">
        <v>120</v>
      </c>
      <c r="Q85" s="317">
        <v>180</v>
      </c>
      <c r="T85"/>
      <c r="Y85" s="1"/>
      <c r="Z85" s="15"/>
      <c r="AA85"/>
    </row>
    <row r="86" spans="2:32" x14ac:dyDescent="0.25">
      <c r="L86" s="332">
        <f>INDEX(C64:C83,MATCH($M$62,$B$64:$B$83,0))</f>
        <v>2</v>
      </c>
      <c r="M86" s="332">
        <f t="shared" ref="M86:P86" si="13">INDEX(D64:D83,MATCH($M$62,$B$64:$B$83,0))</f>
        <v>23</v>
      </c>
      <c r="N86" s="332">
        <f t="shared" si="13"/>
        <v>20</v>
      </c>
      <c r="O86" s="332">
        <f t="shared" si="13"/>
        <v>80</v>
      </c>
      <c r="P86" s="332">
        <f t="shared" si="13"/>
        <v>62</v>
      </c>
      <c r="Q86" s="332" t="e">
        <f>INDEX(#REF!,MATCH($M$62,$B$64:$B$83,0))</f>
        <v>#REF!</v>
      </c>
      <c r="T86"/>
      <c r="Y86" s="1"/>
      <c r="Z86" s="15"/>
      <c r="AA86"/>
    </row>
    <row r="87" spans="2:32" x14ac:dyDescent="0.25">
      <c r="T87"/>
      <c r="Y87" s="1"/>
      <c r="Z87" s="15"/>
      <c r="AA87"/>
    </row>
    <row r="88" spans="2:32" x14ac:dyDescent="0.25">
      <c r="T88"/>
      <c r="Y88" s="1"/>
      <c r="Z88" s="15"/>
      <c r="AA88"/>
    </row>
    <row r="89" spans="2:32" x14ac:dyDescent="0.25">
      <c r="T89"/>
      <c r="Y89" s="1"/>
      <c r="Z89" s="15"/>
      <c r="AA89"/>
    </row>
    <row r="90" spans="2:32" x14ac:dyDescent="0.25">
      <c r="T90"/>
      <c r="Y90" s="1"/>
      <c r="Z90" s="15"/>
      <c r="AA90"/>
    </row>
    <row r="91" spans="2:32" x14ac:dyDescent="0.25">
      <c r="T91"/>
      <c r="Y91" s="1"/>
      <c r="Z91" s="15"/>
      <c r="AA91"/>
    </row>
    <row r="92" spans="2:32" x14ac:dyDescent="0.25">
      <c r="T92"/>
      <c r="Y92" s="1"/>
      <c r="Z92" s="15"/>
      <c r="AA92"/>
    </row>
    <row r="93" spans="2:32" x14ac:dyDescent="0.25">
      <c r="T93"/>
      <c r="Y93" s="1"/>
      <c r="Z93" s="15"/>
      <c r="AA93"/>
    </row>
    <row r="94" spans="2:32" x14ac:dyDescent="0.25">
      <c r="C94"/>
      <c r="D94"/>
      <c r="E94"/>
      <c r="T94"/>
      <c r="Z94"/>
      <c r="AA94"/>
    </row>
    <row r="95" spans="2:32" x14ac:dyDescent="0.25">
      <c r="C95"/>
      <c r="D95"/>
      <c r="E95"/>
      <c r="Q95" s="1"/>
      <c r="R95" s="15"/>
      <c r="T95"/>
      <c r="Z95"/>
      <c r="AA95"/>
    </row>
    <row r="96" spans="2:32" x14ac:dyDescent="0.25">
      <c r="C96"/>
      <c r="D96"/>
      <c r="E96"/>
      <c r="I96" s="1"/>
      <c r="Q96" s="1"/>
      <c r="R96" s="15"/>
      <c r="T96"/>
      <c r="Z96"/>
      <c r="AA96"/>
    </row>
    <row r="97" spans="3:27" x14ac:dyDescent="0.25">
      <c r="C97"/>
      <c r="D97"/>
      <c r="E97"/>
      <c r="I97" s="1"/>
      <c r="Q97" s="1"/>
      <c r="R97" s="15"/>
      <c r="T97"/>
      <c r="Z97"/>
      <c r="AA97"/>
    </row>
    <row r="98" spans="3:27" x14ac:dyDescent="0.25">
      <c r="C98"/>
      <c r="D98"/>
      <c r="E98"/>
      <c r="I98" s="1"/>
      <c r="Q98" s="1"/>
      <c r="R98" s="15"/>
      <c r="T98"/>
      <c r="Z98"/>
      <c r="AA98"/>
    </row>
    <row r="99" spans="3:27" customFormat="1" x14ac:dyDescent="0.25">
      <c r="Q99" s="1"/>
      <c r="R99" s="15"/>
    </row>
    <row r="100" spans="3:27" customFormat="1" x14ac:dyDescent="0.25">
      <c r="Q100" s="1"/>
      <c r="R100" s="15"/>
    </row>
    <row r="101" spans="3:27" x14ac:dyDescent="0.25">
      <c r="C101"/>
      <c r="D101"/>
      <c r="E101"/>
      <c r="K101" s="1"/>
      <c r="Q101" s="1"/>
      <c r="R101" s="15"/>
      <c r="T101"/>
      <c r="Z101"/>
      <c r="AA101"/>
    </row>
    <row r="102" spans="3:27" x14ac:dyDescent="0.25">
      <c r="C102"/>
      <c r="D102"/>
      <c r="E102"/>
      <c r="K102" s="1"/>
      <c r="Q102" s="1"/>
      <c r="R102" s="15"/>
      <c r="T102"/>
      <c r="Z102"/>
      <c r="AA102"/>
    </row>
    <row r="103" spans="3:27" x14ac:dyDescent="0.25">
      <c r="C103"/>
      <c r="D103"/>
      <c r="E103"/>
      <c r="L103" s="1"/>
      <c r="R103" s="1"/>
      <c r="S103" s="15"/>
      <c r="T103"/>
      <c r="Z103"/>
      <c r="AA103"/>
    </row>
    <row r="104" spans="3:27" x14ac:dyDescent="0.25">
      <c r="C104"/>
      <c r="D104"/>
      <c r="E104"/>
      <c r="L104" s="1"/>
      <c r="R104" s="1"/>
      <c r="S104" s="15"/>
      <c r="T104"/>
      <c r="Z104"/>
      <c r="AA104"/>
    </row>
    <row r="105" spans="3:27" x14ac:dyDescent="0.25">
      <c r="C105"/>
      <c r="D105"/>
      <c r="E105"/>
      <c r="L105" s="1"/>
      <c r="R105" s="1"/>
      <c r="S105" s="15"/>
      <c r="T105"/>
      <c r="Z105"/>
      <c r="AA105"/>
    </row>
    <row r="106" spans="3:27" x14ac:dyDescent="0.25">
      <c r="C106"/>
      <c r="D106"/>
      <c r="E106"/>
      <c r="L106" s="1"/>
      <c r="R106" s="1"/>
      <c r="S106" s="15"/>
      <c r="T106"/>
      <c r="Z106"/>
      <c r="AA106"/>
    </row>
    <row r="107" spans="3:27" x14ac:dyDescent="0.25">
      <c r="C107"/>
      <c r="D107"/>
      <c r="E107"/>
      <c r="L107" s="1"/>
      <c r="R107" s="1"/>
      <c r="S107" s="15"/>
      <c r="T107"/>
      <c r="Z107"/>
      <c r="AA107"/>
    </row>
    <row r="108" spans="3:27" x14ac:dyDescent="0.25">
      <c r="C108"/>
      <c r="D108"/>
      <c r="E108"/>
      <c r="L108" s="1"/>
      <c r="R108" s="1"/>
      <c r="S108" s="15"/>
      <c r="T108"/>
      <c r="Z108"/>
      <c r="AA108"/>
    </row>
    <row r="109" spans="3:27" x14ac:dyDescent="0.25">
      <c r="C109"/>
      <c r="D109"/>
      <c r="E109"/>
      <c r="L109" s="1"/>
      <c r="R109" s="1"/>
      <c r="S109" s="15"/>
      <c r="T109"/>
      <c r="Z109"/>
      <c r="AA109"/>
    </row>
    <row r="110" spans="3:27" x14ac:dyDescent="0.25">
      <c r="C110"/>
      <c r="D110"/>
      <c r="E110"/>
      <c r="L110" s="1"/>
      <c r="R110" s="1"/>
      <c r="S110" s="15"/>
      <c r="T110"/>
      <c r="Z110"/>
      <c r="AA110"/>
    </row>
    <row r="111" spans="3:27" x14ac:dyDescent="0.25">
      <c r="C111"/>
      <c r="D111"/>
      <c r="E111"/>
      <c r="L111" s="1"/>
      <c r="R111" s="1"/>
      <c r="S111" s="15"/>
      <c r="T111"/>
      <c r="Z111"/>
      <c r="AA111"/>
    </row>
    <row r="112" spans="3:27" x14ac:dyDescent="0.25">
      <c r="C112"/>
      <c r="D112"/>
      <c r="E112"/>
      <c r="L112" s="1"/>
      <c r="R112" s="1"/>
      <c r="S112" s="15"/>
      <c r="T112"/>
      <c r="Z112"/>
      <c r="AA112"/>
    </row>
    <row r="113" spans="3:27" x14ac:dyDescent="0.25">
      <c r="C113"/>
      <c r="D113"/>
      <c r="E113"/>
      <c r="L113" s="1"/>
      <c r="R113" s="1"/>
      <c r="S113" s="15"/>
      <c r="T113"/>
      <c r="Z113"/>
      <c r="AA113"/>
    </row>
    <row r="114" spans="3:27" x14ac:dyDescent="0.25">
      <c r="C114"/>
      <c r="D114"/>
      <c r="E114"/>
      <c r="L114" s="1"/>
      <c r="R114" s="1"/>
      <c r="S114" s="15"/>
      <c r="T114"/>
      <c r="Z114"/>
      <c r="AA114"/>
    </row>
    <row r="115" spans="3:27" x14ac:dyDescent="0.25">
      <c r="C115"/>
      <c r="D115"/>
      <c r="E115"/>
      <c r="L115" s="1"/>
      <c r="R115" s="1"/>
      <c r="S115" s="15"/>
      <c r="T115"/>
      <c r="Z115"/>
      <c r="AA115"/>
    </row>
    <row r="116" spans="3:27" x14ac:dyDescent="0.25">
      <c r="C116"/>
      <c r="D116"/>
      <c r="E116"/>
      <c r="L116" s="1"/>
      <c r="R116" s="1"/>
      <c r="S116" s="15"/>
      <c r="T116"/>
      <c r="Z116"/>
      <c r="AA116"/>
    </row>
    <row r="117" spans="3:27" x14ac:dyDescent="0.25">
      <c r="C117"/>
      <c r="D117"/>
      <c r="E117"/>
      <c r="L117" s="1"/>
      <c r="R117" s="1"/>
      <c r="S117" s="15"/>
      <c r="T117"/>
      <c r="Z117"/>
      <c r="AA117"/>
    </row>
    <row r="118" spans="3:27" x14ac:dyDescent="0.25">
      <c r="C118"/>
      <c r="D118"/>
      <c r="E118"/>
      <c r="L118" s="1"/>
      <c r="R118" s="1"/>
      <c r="S118" s="15"/>
      <c r="T118"/>
      <c r="Z118"/>
      <c r="AA118"/>
    </row>
    <row r="119" spans="3:27" x14ac:dyDescent="0.25">
      <c r="C119"/>
      <c r="D119"/>
      <c r="E119"/>
      <c r="L119" s="1"/>
      <c r="R119" s="1"/>
      <c r="S119" s="15"/>
      <c r="T119"/>
      <c r="Z119"/>
      <c r="AA119"/>
    </row>
    <row r="120" spans="3:27" x14ac:dyDescent="0.25">
      <c r="C120"/>
      <c r="D120"/>
      <c r="E120"/>
      <c r="L120" s="1"/>
      <c r="R120" s="1"/>
      <c r="S120" s="15"/>
      <c r="T120"/>
      <c r="Z120"/>
      <c r="AA120"/>
    </row>
    <row r="121" spans="3:27" x14ac:dyDescent="0.25">
      <c r="C121"/>
      <c r="D121"/>
      <c r="E121"/>
      <c r="L121" s="1"/>
      <c r="R121" s="1"/>
      <c r="S121" s="15"/>
      <c r="T121"/>
      <c r="Z121"/>
      <c r="AA121"/>
    </row>
    <row r="122" spans="3:27" x14ac:dyDescent="0.25">
      <c r="C122"/>
      <c r="D122"/>
      <c r="E122"/>
      <c r="L122" s="1"/>
      <c r="R122" s="1"/>
      <c r="S122" s="15"/>
      <c r="T122"/>
      <c r="Z122"/>
      <c r="AA122"/>
    </row>
    <row r="123" spans="3:27" x14ac:dyDescent="0.25">
      <c r="C123"/>
      <c r="D123"/>
      <c r="E123"/>
      <c r="L123" s="1"/>
      <c r="R123" s="1"/>
      <c r="S123" s="15"/>
      <c r="T123"/>
      <c r="Z123"/>
      <c r="AA123"/>
    </row>
    <row r="124" spans="3:27" x14ac:dyDescent="0.25">
      <c r="C124"/>
      <c r="D124"/>
      <c r="E124"/>
      <c r="L124" s="1"/>
      <c r="R124" s="1"/>
      <c r="S124" s="15"/>
      <c r="T124"/>
      <c r="Z124"/>
      <c r="AA124"/>
    </row>
    <row r="125" spans="3:27" x14ac:dyDescent="0.25">
      <c r="C125"/>
      <c r="D125"/>
      <c r="E125"/>
      <c r="L125" s="1"/>
      <c r="R125" s="1"/>
      <c r="S125" s="15"/>
      <c r="T125"/>
      <c r="Z125"/>
      <c r="AA125"/>
    </row>
    <row r="126" spans="3:27" x14ac:dyDescent="0.25">
      <c r="C126"/>
      <c r="D126"/>
      <c r="E126"/>
      <c r="L126" s="1"/>
      <c r="R126" s="1"/>
      <c r="S126" s="15"/>
      <c r="T126"/>
      <c r="Z126"/>
      <c r="AA126"/>
    </row>
  </sheetData>
  <mergeCells count="3">
    <mergeCell ref="C2:D2"/>
    <mergeCell ref="J18:J19"/>
    <mergeCell ref="M62:P62"/>
  </mergeCells>
  <dataValidations count="1">
    <dataValidation type="list" allowBlank="1" showInputMessage="1" showErrorMessage="1" sqref="M62:P62" xr:uid="{429930F6-1B86-49F6-AC4F-B55E4B06B77D}">
      <formula1>$B$64:$B$83</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7C67-3AC7-4D29-809F-84911FB6FB83}">
  <sheetPr codeName="Sheet19"/>
  <dimension ref="A1:AW126"/>
  <sheetViews>
    <sheetView showGridLines="0" zoomScale="70" zoomScaleNormal="70" workbookViewId="0">
      <selection activeCell="J6" sqref="J6:K14"/>
    </sheetView>
  </sheetViews>
  <sheetFormatPr defaultRowHeight="15" x14ac:dyDescent="0.25"/>
  <cols>
    <col min="1" max="1" width="2.28515625" customWidth="1"/>
    <col min="2" max="2" width="30.7109375" customWidth="1"/>
    <col min="3" max="3" width="15" style="1" customWidth="1"/>
    <col min="4" max="5" width="8.42578125" style="1" customWidth="1"/>
    <col min="6" max="9" width="8.42578125" customWidth="1"/>
    <col min="10" max="10" width="7.140625" customWidth="1"/>
    <col min="11" max="11" width="8.28515625" customWidth="1"/>
    <col min="12" max="12" width="8.42578125" customWidth="1"/>
    <col min="13" max="20" width="8.7109375" customWidth="1"/>
    <col min="21" max="21" width="8.7109375" style="1" customWidth="1"/>
    <col min="22" max="23" width="8.7109375" customWidth="1"/>
    <col min="24" max="26" width="12.140625" customWidth="1"/>
    <col min="27" max="27" width="12.140625" style="1" customWidth="1"/>
    <col min="28" max="28" width="12.140625" style="15" customWidth="1"/>
    <col min="29" max="36" width="12.140625" customWidth="1"/>
    <col min="37" max="38" width="3.85546875" bestFit="1" customWidth="1"/>
    <col min="39" max="39" width="2" bestFit="1" customWidth="1"/>
    <col min="40" max="40" width="30.5703125" bestFit="1" customWidth="1"/>
    <col min="41" max="41" width="8.42578125" bestFit="1" customWidth="1"/>
    <col min="42" max="43" width="2.85546875" bestFit="1" customWidth="1"/>
    <col min="44" max="46" width="3.85546875" bestFit="1" customWidth="1"/>
    <col min="47" max="47" width="2.85546875" bestFit="1" customWidth="1"/>
    <col min="48" max="48" width="11" bestFit="1" customWidth="1"/>
    <col min="49" max="49" width="5.7109375" bestFit="1" customWidth="1"/>
  </cols>
  <sheetData>
    <row r="1" spans="1:33" ht="20.65" customHeight="1" x14ac:dyDescent="0.45">
      <c r="A1" s="4" t="s">
        <v>1271</v>
      </c>
      <c r="B1" s="1"/>
    </row>
    <row r="2" spans="1:33" x14ac:dyDescent="0.25">
      <c r="B2" s="13" t="s">
        <v>75</v>
      </c>
      <c r="C2" s="557" t="s">
        <v>135</v>
      </c>
      <c r="D2" s="557"/>
    </row>
    <row r="3" spans="1:33" x14ac:dyDescent="0.25">
      <c r="B3" s="13" t="s">
        <v>0</v>
      </c>
      <c r="C3" s="273">
        <f>TUDB!B3</f>
        <v>45580</v>
      </c>
    </row>
    <row r="4" spans="1:33" x14ac:dyDescent="0.25">
      <c r="B4" s="12"/>
    </row>
    <row r="5" spans="1:33" ht="30.4" customHeight="1" thickBot="1" x14ac:dyDescent="0.3">
      <c r="B5" s="281" t="s">
        <v>576</v>
      </c>
      <c r="AA5"/>
      <c r="AB5"/>
    </row>
    <row r="6" spans="1:33" s="7" customFormat="1" ht="30.4" customHeight="1" thickTop="1" x14ac:dyDescent="0.25">
      <c r="B6" s="112" t="s">
        <v>135</v>
      </c>
      <c r="C6" s="112" t="s">
        <v>134</v>
      </c>
      <c r="D6" s="112" t="s">
        <v>963</v>
      </c>
      <c r="E6" s="112" t="s">
        <v>964</v>
      </c>
      <c r="F6" s="334">
        <v>2019</v>
      </c>
      <c r="G6" s="112">
        <v>2020</v>
      </c>
      <c r="H6" s="112">
        <v>2021</v>
      </c>
      <c r="I6" s="112">
        <v>2022</v>
      </c>
      <c r="J6" s="112">
        <v>2023</v>
      </c>
      <c r="K6" s="112">
        <v>2024</v>
      </c>
      <c r="U6" s="6"/>
      <c r="Z6"/>
      <c r="AA6"/>
      <c r="AB6" s="23"/>
      <c r="AC6" s="23"/>
      <c r="AD6" s="23"/>
      <c r="AE6" s="23"/>
      <c r="AF6" s="23"/>
      <c r="AG6" s="23"/>
    </row>
    <row r="7" spans="1:33" x14ac:dyDescent="0.25">
      <c r="B7" s="79">
        <v>6</v>
      </c>
      <c r="C7" s="79">
        <f>COUNTIFS(TU_DB[pH Bin],B7)</f>
        <v>70</v>
      </c>
      <c r="D7" s="250">
        <f t="shared" ref="D7:D13" si="0">C7/$C$14</f>
        <v>3.4947578632051925E-2</v>
      </c>
      <c r="E7" s="250">
        <f>D7</f>
        <v>3.4947578632051925E-2</v>
      </c>
      <c r="F7" s="102">
        <f>COUNTIFS(TU_DB[[pH Bin]:[pH Bin]],$B7,TU_DB[[Year]:[Year]],F$6)</f>
        <v>0</v>
      </c>
      <c r="G7" s="79">
        <f>COUNTIFS(TU_DB[[pH Bin]:[pH Bin]],$B7,TU_DB[[Year]:[Year]],G$6)</f>
        <v>18</v>
      </c>
      <c r="H7" s="79">
        <f>COUNTIFS(TU_DB[[pH Bin]:[pH Bin]],$B7,TU_DB[[Year]:[Year]],H$6)</f>
        <v>3</v>
      </c>
      <c r="I7" s="79">
        <f>COUNTIFS(TU_DB[[pH Bin]:[pH Bin]],$B7,TU_DB[[Year]:[Year]],I$6)</f>
        <v>17</v>
      </c>
      <c r="J7" s="79">
        <f>COUNTIFS(TU_DB[[pH Bin]:[pH Bin]],$B7,TU_DB[[Year]:[Year]],J$6)</f>
        <v>25</v>
      </c>
      <c r="K7" s="79">
        <f>COUNTIFS(TU_DB[[pH Bin]:[pH Bin]],$B7,TU_DB[[Year]:[Year]],K$6)</f>
        <v>7</v>
      </c>
      <c r="AA7"/>
      <c r="AB7"/>
    </row>
    <row r="8" spans="1:33" x14ac:dyDescent="0.25">
      <c r="B8" s="79">
        <v>6.5</v>
      </c>
      <c r="C8" s="79">
        <f>COUNTIFS(TU_DB[pH Bin],B8)</f>
        <v>62</v>
      </c>
      <c r="D8" s="250">
        <f t="shared" si="0"/>
        <v>3.0953569645531701E-2</v>
      </c>
      <c r="E8" s="250">
        <f t="shared" ref="E8:E13" si="1">D8+E7</f>
        <v>6.5901148277583629E-2</v>
      </c>
      <c r="F8" s="102">
        <f>COUNTIFS(TU_DB[[pH Bin]:[pH Bin]],$B8,TU_DB[[Year]:[Year]],F$6)</f>
        <v>0</v>
      </c>
      <c r="G8" s="79">
        <f>COUNTIFS(TU_DB[[pH Bin]:[pH Bin]],$B8,TU_DB[[Year]:[Year]],G$6)</f>
        <v>5</v>
      </c>
      <c r="H8" s="79">
        <f>COUNTIFS(TU_DB[[pH Bin]:[pH Bin]],$B8,TU_DB[[Year]:[Year]],H$6)</f>
        <v>7</v>
      </c>
      <c r="I8" s="79">
        <f>COUNTIFS(TU_DB[[pH Bin]:[pH Bin]],$B8,TU_DB[[Year]:[Year]],I$6)</f>
        <v>5</v>
      </c>
      <c r="J8" s="79">
        <f>COUNTIFS(TU_DB[[pH Bin]:[pH Bin]],$B8,TU_DB[[Year]:[Year]],J$6)</f>
        <v>30</v>
      </c>
      <c r="K8" s="79">
        <f>COUNTIFS(TU_DB[[pH Bin]:[pH Bin]],$B8,TU_DB[[Year]:[Year]],K$6)</f>
        <v>15</v>
      </c>
      <c r="AA8"/>
      <c r="AB8"/>
    </row>
    <row r="9" spans="1:33" x14ac:dyDescent="0.25">
      <c r="B9" s="79">
        <v>7</v>
      </c>
      <c r="C9" s="79">
        <f>COUNTIFS(TU_DB[pH Bin],B9)</f>
        <v>594</v>
      </c>
      <c r="D9" s="250">
        <f t="shared" si="0"/>
        <v>0.29655516724912628</v>
      </c>
      <c r="E9" s="250">
        <f t="shared" si="1"/>
        <v>0.36245631552670993</v>
      </c>
      <c r="F9" s="102">
        <f>COUNTIFS(TU_DB[[pH Bin]:[pH Bin]],$B9,TU_DB[[Year]:[Year]],F$6)</f>
        <v>0</v>
      </c>
      <c r="G9" s="79">
        <f>COUNTIFS(TU_DB[[pH Bin]:[pH Bin]],$B9,TU_DB[[Year]:[Year]],G$6)</f>
        <v>27</v>
      </c>
      <c r="H9" s="79">
        <f>COUNTIFS(TU_DB[[pH Bin]:[pH Bin]],$B9,TU_DB[[Year]:[Year]],H$6)</f>
        <v>126</v>
      </c>
      <c r="I9" s="79">
        <f>COUNTIFS(TU_DB[[pH Bin]:[pH Bin]],$B9,TU_DB[[Year]:[Year]],I$6)</f>
        <v>124</v>
      </c>
      <c r="J9" s="79">
        <f>COUNTIFS(TU_DB[[pH Bin]:[pH Bin]],$B9,TU_DB[[Year]:[Year]],J$6)</f>
        <v>196</v>
      </c>
      <c r="K9" s="79">
        <f>COUNTIFS(TU_DB[[pH Bin]:[pH Bin]],$B9,TU_DB[[Year]:[Year]],K$6)</f>
        <v>121</v>
      </c>
      <c r="AA9"/>
      <c r="AB9"/>
    </row>
    <row r="10" spans="1:33" x14ac:dyDescent="0.25">
      <c r="B10" s="79">
        <v>7.5</v>
      </c>
      <c r="C10" s="79">
        <f>COUNTIFS(TU_DB[pH Bin],B10)</f>
        <v>629</v>
      </c>
      <c r="D10" s="250">
        <f t="shared" si="0"/>
        <v>0.31402895656515228</v>
      </c>
      <c r="E10" s="250">
        <f t="shared" si="1"/>
        <v>0.67648527209186216</v>
      </c>
      <c r="F10" s="102">
        <f>COUNTIFS(TU_DB[[pH Bin]:[pH Bin]],$B10,TU_DB[[Year]:[Year]],F$6)</f>
        <v>3</v>
      </c>
      <c r="G10" s="79">
        <f>COUNTIFS(TU_DB[[pH Bin]:[pH Bin]],$B10,TU_DB[[Year]:[Year]],G$6)</f>
        <v>28</v>
      </c>
      <c r="H10" s="79">
        <f>COUNTIFS(TU_DB[[pH Bin]:[pH Bin]],$B10,TU_DB[[Year]:[Year]],H$6)</f>
        <v>124</v>
      </c>
      <c r="I10" s="79">
        <f>COUNTIFS(TU_DB[[pH Bin]:[pH Bin]],$B10,TU_DB[[Year]:[Year]],I$6)</f>
        <v>136</v>
      </c>
      <c r="J10" s="79">
        <f>COUNTIFS(TU_DB[[pH Bin]:[pH Bin]],$B10,TU_DB[[Year]:[Year]],J$6)</f>
        <v>212</v>
      </c>
      <c r="K10" s="79">
        <f>COUNTIFS(TU_DB[[pH Bin]:[pH Bin]],$B10,TU_DB[[Year]:[Year]],K$6)</f>
        <v>126</v>
      </c>
      <c r="AA10"/>
      <c r="AB10"/>
    </row>
    <row r="11" spans="1:33" x14ac:dyDescent="0.25">
      <c r="B11" s="79">
        <v>8</v>
      </c>
      <c r="C11" s="79">
        <f>COUNTIFS(TU_DB[pH Bin],B11)</f>
        <v>562</v>
      </c>
      <c r="D11" s="250">
        <f t="shared" si="0"/>
        <v>0.28057913130304546</v>
      </c>
      <c r="E11" s="250">
        <f t="shared" si="1"/>
        <v>0.95706440339490761</v>
      </c>
      <c r="F11" s="102">
        <f>COUNTIFS(TU_DB[[pH Bin]:[pH Bin]],$B11,TU_DB[[Year]:[Year]],F$6)</f>
        <v>0</v>
      </c>
      <c r="G11" s="79">
        <f>COUNTIFS(TU_DB[[pH Bin]:[pH Bin]],$B11,TU_DB[[Year]:[Year]],G$6)</f>
        <v>27</v>
      </c>
      <c r="H11" s="79">
        <f>COUNTIFS(TU_DB[[pH Bin]:[pH Bin]],$B11,TU_DB[[Year]:[Year]],H$6)</f>
        <v>93</v>
      </c>
      <c r="I11" s="79">
        <f>COUNTIFS(TU_DB[[pH Bin]:[pH Bin]],$B11,TU_DB[[Year]:[Year]],I$6)</f>
        <v>129</v>
      </c>
      <c r="J11" s="79">
        <f>COUNTIFS(TU_DB[[pH Bin]:[pH Bin]],$B11,TU_DB[[Year]:[Year]],J$6)</f>
        <v>210</v>
      </c>
      <c r="K11" s="79">
        <f>COUNTIFS(TU_DB[[pH Bin]:[pH Bin]],$B11,TU_DB[[Year]:[Year]],K$6)</f>
        <v>103</v>
      </c>
      <c r="AA11"/>
      <c r="AB11"/>
    </row>
    <row r="12" spans="1:33" x14ac:dyDescent="0.25">
      <c r="B12" s="79">
        <v>8.5</v>
      </c>
      <c r="C12" s="79">
        <f>COUNTIFS(TU_DB[pH Bin],B12)</f>
        <v>20</v>
      </c>
      <c r="D12" s="250">
        <f t="shared" si="0"/>
        <v>9.9850224663005499E-3</v>
      </c>
      <c r="E12" s="250">
        <f t="shared" si="1"/>
        <v>0.96704942586120812</v>
      </c>
      <c r="F12" s="102">
        <f>COUNTIFS(TU_DB[[pH Bin]:[pH Bin]],$B12,TU_DB[[Year]:[Year]],F$6)</f>
        <v>1</v>
      </c>
      <c r="G12" s="79">
        <f>COUNTIFS(TU_DB[[pH Bin]:[pH Bin]],$B12,TU_DB[[Year]:[Year]],G$6)</f>
        <v>1</v>
      </c>
      <c r="H12" s="79">
        <f>COUNTIFS(TU_DB[[pH Bin]:[pH Bin]],$B12,TU_DB[[Year]:[Year]],H$6)</f>
        <v>2</v>
      </c>
      <c r="I12" s="79">
        <f>COUNTIFS(TU_DB[[pH Bin]:[pH Bin]],$B12,TU_DB[[Year]:[Year]],I$6)</f>
        <v>1</v>
      </c>
      <c r="J12" s="79">
        <f>COUNTIFS(TU_DB[[pH Bin]:[pH Bin]],$B12,TU_DB[[Year]:[Year]],J$6)</f>
        <v>8</v>
      </c>
      <c r="K12" s="79">
        <f>COUNTIFS(TU_DB[[pH Bin]:[pH Bin]],$B12,TU_DB[[Year]:[Year]],K$6)</f>
        <v>7</v>
      </c>
      <c r="AA12"/>
      <c r="AB12"/>
    </row>
    <row r="13" spans="1:33" x14ac:dyDescent="0.25">
      <c r="B13" s="1">
        <v>9</v>
      </c>
      <c r="C13" s="79">
        <f>COUNTIFS(TU_DB[pH Bin],B13)</f>
        <v>66</v>
      </c>
      <c r="D13" s="250">
        <f t="shared" si="0"/>
        <v>3.2950574138791815E-2</v>
      </c>
      <c r="E13" s="250">
        <f t="shared" si="1"/>
        <v>0.99999999999999989</v>
      </c>
      <c r="F13" s="102">
        <f>COUNTIFS(TU_DB[[pH Bin]:[pH Bin]],$B13,TU_DB[[Year]:[Year]],F$6)</f>
        <v>0</v>
      </c>
      <c r="G13" s="79">
        <f>COUNTIFS(TU_DB[[pH Bin]:[pH Bin]],$B13,TU_DB[[Year]:[Year]],G$6)</f>
        <v>2</v>
      </c>
      <c r="H13" s="79">
        <f>COUNTIFS(TU_DB[[pH Bin]:[pH Bin]],$B13,TU_DB[[Year]:[Year]],H$6)</f>
        <v>6</v>
      </c>
      <c r="I13" s="79">
        <f>COUNTIFS(TU_DB[[pH Bin]:[pH Bin]],$B13,TU_DB[[Year]:[Year]],I$6)</f>
        <v>7</v>
      </c>
      <c r="J13" s="79">
        <f>COUNTIFS(TU_DB[[pH Bin]:[pH Bin]],$B13,TU_DB[[Year]:[Year]],J$6)</f>
        <v>33</v>
      </c>
      <c r="K13" s="79">
        <f>COUNTIFS(TU_DB[[pH Bin]:[pH Bin]],$B13,TU_DB[[Year]:[Year]],K$6)</f>
        <v>18</v>
      </c>
      <c r="AA13"/>
      <c r="AB13"/>
    </row>
    <row r="14" spans="1:33" ht="15.75" thickBot="1" x14ac:dyDescent="0.3">
      <c r="B14" s="251" t="s">
        <v>133</v>
      </c>
      <c r="C14" s="251">
        <f>SUM(C7:C13)</f>
        <v>2003</v>
      </c>
      <c r="D14" s="251"/>
      <c r="E14" s="251"/>
      <c r="F14" s="335">
        <f t="shared" ref="F14:J14" si="2">SUM(F7:F13)</f>
        <v>4</v>
      </c>
      <c r="G14" s="251">
        <f t="shared" si="2"/>
        <v>108</v>
      </c>
      <c r="H14" s="251">
        <f t="shared" si="2"/>
        <v>361</v>
      </c>
      <c r="I14" s="251">
        <f t="shared" si="2"/>
        <v>419</v>
      </c>
      <c r="J14" s="251">
        <f t="shared" si="2"/>
        <v>714</v>
      </c>
      <c r="K14" s="251">
        <f t="shared" ref="K14" si="3">SUM(K7:K13)</f>
        <v>397</v>
      </c>
      <c r="AA14"/>
      <c r="AB14"/>
    </row>
    <row r="15" spans="1:33" ht="15.75" thickTop="1" x14ac:dyDescent="0.25">
      <c r="AA15"/>
      <c r="AB15"/>
    </row>
    <row r="16" spans="1:33" s="7" customFormat="1" x14ac:dyDescent="0.25">
      <c r="S16"/>
      <c r="T16"/>
      <c r="U16"/>
      <c r="V16"/>
      <c r="W16"/>
      <c r="X16"/>
      <c r="Y16"/>
      <c r="Z16"/>
      <c r="AA16"/>
      <c r="AB16"/>
      <c r="AC16"/>
      <c r="AD16"/>
      <c r="AE16"/>
      <c r="AF16"/>
      <c r="AG16"/>
    </row>
    <row r="17" spans="2:49" ht="15" customHeight="1" thickBot="1" x14ac:dyDescent="0.3">
      <c r="B17" s="267" t="s">
        <v>575</v>
      </c>
      <c r="C17"/>
      <c r="D17"/>
      <c r="E17"/>
      <c r="U17"/>
    </row>
    <row r="18" spans="2:49" ht="15" customHeight="1" x14ac:dyDescent="0.25">
      <c r="B18" s="319"/>
      <c r="C18" s="322" t="s">
        <v>135</v>
      </c>
      <c r="D18" s="323"/>
      <c r="E18" s="323"/>
      <c r="F18" s="323"/>
      <c r="G18" s="323"/>
      <c r="H18" s="323"/>
      <c r="I18" s="323"/>
      <c r="J18" s="325"/>
      <c r="K18" s="319"/>
      <c r="L18" s="558" t="s">
        <v>4170</v>
      </c>
    </row>
    <row r="19" spans="2:49" ht="15" customHeight="1" x14ac:dyDescent="0.25">
      <c r="B19" s="320" t="s">
        <v>575</v>
      </c>
      <c r="C19" s="321">
        <v>6</v>
      </c>
      <c r="D19" s="320">
        <v>6.5</v>
      </c>
      <c r="E19" s="320">
        <v>7</v>
      </c>
      <c r="F19" s="320">
        <v>7.5</v>
      </c>
      <c r="G19" s="320">
        <v>8</v>
      </c>
      <c r="H19" s="320">
        <v>8.5</v>
      </c>
      <c r="I19" s="320">
        <v>9</v>
      </c>
      <c r="J19" s="324" t="s">
        <v>2325</v>
      </c>
      <c r="K19" s="320" t="s">
        <v>2352</v>
      </c>
      <c r="L19" s="559"/>
    </row>
    <row r="20" spans="2:49" ht="15.75" customHeight="1" x14ac:dyDescent="0.25">
      <c r="B20" s="329" t="s">
        <v>35</v>
      </c>
      <c r="C20" s="262">
        <f>COUNTIFS(TU_DB[[pH Bin]:[pH Bin]],C$19,TU_DB[[Weather]:[Weather]],$B20)</f>
        <v>2</v>
      </c>
      <c r="D20" s="232">
        <f>COUNTIFS(TU_DB[[pH Bin]:[pH Bin]],D$19,TU_DB[[Weather]:[Weather]],$B20)</f>
        <v>2</v>
      </c>
      <c r="E20" s="232">
        <f>COUNTIFS(TU_DB[[pH Bin]:[pH Bin]],E$19,TU_DB[[Weather]:[Weather]],$B20)</f>
        <v>28</v>
      </c>
      <c r="F20" s="232">
        <f>COUNTIFS(TU_DB[[pH Bin]:[pH Bin]],F$19,TU_DB[[Weather]:[Weather]],$B20)</f>
        <v>36</v>
      </c>
      <c r="G20" s="232">
        <f>COUNTIFS(TU_DB[[pH Bin]:[pH Bin]],G$19,TU_DB[[Weather]:[Weather]],$B20)</f>
        <v>16</v>
      </c>
      <c r="H20" s="232">
        <f>COUNTIFS(TU_DB[[pH Bin]:[pH Bin]],H$19,TU_DB[[Weather]:[Weather]],$B20)</f>
        <v>0</v>
      </c>
      <c r="I20" s="232">
        <f>COUNTIFS(TU_DB[[pH Bin]:[pH Bin]],I$19,TU_DB[[Weather]:[Weather]],$B20)</f>
        <v>0</v>
      </c>
      <c r="J20" s="262">
        <f>SUM(C20:I20)</f>
        <v>84</v>
      </c>
      <c r="K20" s="263">
        <f t="shared" ref="K20:K25" si="4">SUM(J20)/SUM($J$20:$J$25)</f>
        <v>4.8922539312754802E-2</v>
      </c>
      <c r="L20" s="326" t="s">
        <v>3687</v>
      </c>
    </row>
    <row r="21" spans="2:49" ht="16.5" customHeight="1" x14ac:dyDescent="0.25">
      <c r="B21" s="329" t="s">
        <v>13</v>
      </c>
      <c r="C21" s="262">
        <f>COUNTIFS(TU_DB[[pH Bin]:[pH Bin]],C$19,TU_DB[[Weather]:[Weather]],$B21)</f>
        <v>8</v>
      </c>
      <c r="D21" s="232">
        <f>COUNTIFS(TU_DB[[pH Bin]:[pH Bin]],D$19,TU_DB[[Weather]:[Weather]],$B21)</f>
        <v>8</v>
      </c>
      <c r="E21" s="232">
        <f>COUNTIFS(TU_DB[[pH Bin]:[pH Bin]],E$19,TU_DB[[Weather]:[Weather]],$B21)</f>
        <v>97</v>
      </c>
      <c r="F21" s="232">
        <f>COUNTIFS(TU_DB[[pH Bin]:[pH Bin]],F$19,TU_DB[[Weather]:[Weather]],$B21)</f>
        <v>76</v>
      </c>
      <c r="G21" s="232">
        <f>COUNTIFS(TU_DB[[pH Bin]:[pH Bin]],G$19,TU_DB[[Weather]:[Weather]],$B21)</f>
        <v>47</v>
      </c>
      <c r="H21" s="232">
        <f>COUNTIFS(TU_DB[[pH Bin]:[pH Bin]],H$19,TU_DB[[Weather]:[Weather]],$B21)</f>
        <v>0</v>
      </c>
      <c r="I21" s="232">
        <f>COUNTIFS(TU_DB[[pH Bin]:[pH Bin]],I$19,TU_DB[[Weather]:[Weather]],$B21)</f>
        <v>9</v>
      </c>
      <c r="J21" s="262">
        <f t="shared" ref="J21:J25" si="5">SUM(C21:H21)</f>
        <v>236</v>
      </c>
      <c r="K21" s="263">
        <f t="shared" si="4"/>
        <v>0.1374490390215492</v>
      </c>
      <c r="L21" s="326" t="s">
        <v>3688</v>
      </c>
      <c r="V21" s="1"/>
      <c r="W21" s="1"/>
      <c r="X21" s="1"/>
      <c r="Y21" s="1"/>
      <c r="Z21" s="1"/>
      <c r="AB21" s="1"/>
      <c r="AC21" s="1"/>
    </row>
    <row r="22" spans="2:49" ht="16.5" customHeight="1" x14ac:dyDescent="0.25">
      <c r="B22" s="329" t="s">
        <v>904</v>
      </c>
      <c r="C22" s="262">
        <f>COUNTIFS(TU_DB[[pH Bin]:[pH Bin]],C$19,TU_DB[[Weather]:[Weather]],$B22)</f>
        <v>0</v>
      </c>
      <c r="D22" s="232">
        <f>COUNTIFS(TU_DB[[pH Bin]:[pH Bin]],D$19,TU_DB[[Weather]:[Weather]],$B22)</f>
        <v>0</v>
      </c>
      <c r="E22" s="232">
        <f>COUNTIFS(TU_DB[[pH Bin]:[pH Bin]],E$19,TU_DB[[Weather]:[Weather]],$B22)</f>
        <v>0</v>
      </c>
      <c r="F22" s="232">
        <f>COUNTIFS(TU_DB[[pH Bin]:[pH Bin]],F$19,TU_DB[[Weather]:[Weather]],$B22)</f>
        <v>9</v>
      </c>
      <c r="G22" s="232">
        <f>COUNTIFS(TU_DB[[pH Bin]:[pH Bin]],G$19,TU_DB[[Weather]:[Weather]],$B22)</f>
        <v>1</v>
      </c>
      <c r="H22" s="232">
        <f>COUNTIFS(TU_DB[[pH Bin]:[pH Bin]],H$19,TU_DB[[Weather]:[Weather]],$B22)</f>
        <v>0</v>
      </c>
      <c r="I22" s="232">
        <f>COUNTIFS(TU_DB[[pH Bin]:[pH Bin]],I$19,TU_DB[[Weather]:[Weather]],$B22)</f>
        <v>0</v>
      </c>
      <c r="J22" s="262">
        <f t="shared" si="5"/>
        <v>10</v>
      </c>
      <c r="K22" s="263">
        <f t="shared" si="4"/>
        <v>5.8241118229470003E-3</v>
      </c>
      <c r="L22" s="326" t="s">
        <v>3690</v>
      </c>
      <c r="AA22"/>
      <c r="AB22"/>
      <c r="AD22" s="1"/>
    </row>
    <row r="23" spans="2:49" ht="34.5" customHeight="1" x14ac:dyDescent="0.25">
      <c r="B23" s="329" t="s">
        <v>226</v>
      </c>
      <c r="C23" s="262">
        <f>COUNTIFS(TU_DB[[pH Bin]:[pH Bin]],C$19,TU_DB[[Weather]:[Weather]],$B23)</f>
        <v>0</v>
      </c>
      <c r="D23" s="232">
        <f>COUNTIFS(TU_DB[[pH Bin]:[pH Bin]],D$19,TU_DB[[Weather]:[Weather]],$B23)</f>
        <v>3</v>
      </c>
      <c r="E23" s="232">
        <f>COUNTIFS(TU_DB[[pH Bin]:[pH Bin]],E$19,TU_DB[[Weather]:[Weather]],$B23)</f>
        <v>1</v>
      </c>
      <c r="F23" s="232">
        <f>COUNTIFS(TU_DB[[pH Bin]:[pH Bin]],F$19,TU_DB[[Weather]:[Weather]],$B23)</f>
        <v>1</v>
      </c>
      <c r="G23" s="232">
        <f>COUNTIFS(TU_DB[[pH Bin]:[pH Bin]],G$19,TU_DB[[Weather]:[Weather]],$B23)</f>
        <v>0</v>
      </c>
      <c r="H23" s="232">
        <f>COUNTIFS(TU_DB[[pH Bin]:[pH Bin]],H$19,TU_DB[[Weather]:[Weather]],$B23)</f>
        <v>0</v>
      </c>
      <c r="I23" s="232">
        <f>COUNTIFS(TU_DB[[pH Bin]:[pH Bin]],I$19,TU_DB[[Weather]:[Weather]],$B23)</f>
        <v>0</v>
      </c>
      <c r="J23" s="262">
        <f t="shared" si="5"/>
        <v>5</v>
      </c>
      <c r="K23" s="263">
        <f t="shared" si="4"/>
        <v>2.9120559114735002E-3</v>
      </c>
      <c r="L23" s="326" t="s">
        <v>3691</v>
      </c>
      <c r="AA23"/>
      <c r="AB23"/>
    </row>
    <row r="24" spans="2:49" ht="34.5" customHeight="1" x14ac:dyDescent="0.25">
      <c r="B24" s="329" t="s">
        <v>58</v>
      </c>
      <c r="C24" s="262">
        <f>COUNTIFS(TU_DB[[pH Bin]:[pH Bin]],C$19,TU_DB[[Weather]:[Weather]],$B24)</f>
        <v>0</v>
      </c>
      <c r="D24" s="232">
        <f>COUNTIFS(TU_DB[[pH Bin]:[pH Bin]],D$19,TU_DB[[Weather]:[Weather]],$B24)</f>
        <v>1</v>
      </c>
      <c r="E24" s="232">
        <f>COUNTIFS(TU_DB[[pH Bin]:[pH Bin]],E$19,TU_DB[[Weather]:[Weather]],$B24)</f>
        <v>9</v>
      </c>
      <c r="F24" s="232">
        <f>COUNTIFS(TU_DB[[pH Bin]:[pH Bin]],F$19,TU_DB[[Weather]:[Weather]],$B24)</f>
        <v>7</v>
      </c>
      <c r="G24" s="232">
        <f>COUNTIFS(TU_DB[[pH Bin]:[pH Bin]],G$19,TU_DB[[Weather]:[Weather]],$B24)</f>
        <v>3</v>
      </c>
      <c r="H24" s="232">
        <f>COUNTIFS(TU_DB[[pH Bin]:[pH Bin]],H$19,TU_DB[[Weather]:[Weather]],$B24)</f>
        <v>0</v>
      </c>
      <c r="I24" s="232">
        <f>COUNTIFS(TU_DB[[pH Bin]:[pH Bin]],I$19,TU_DB[[Weather]:[Weather]],$B24)</f>
        <v>0</v>
      </c>
      <c r="J24" s="262">
        <f t="shared" si="5"/>
        <v>20</v>
      </c>
      <c r="K24" s="263">
        <f t="shared" si="4"/>
        <v>1.1648223645894001E-2</v>
      </c>
      <c r="L24" s="326" t="s">
        <v>3689</v>
      </c>
      <c r="AA24"/>
      <c r="AB24"/>
    </row>
    <row r="25" spans="2:49" ht="16.5" customHeight="1" x14ac:dyDescent="0.25">
      <c r="B25" s="330" t="s">
        <v>10</v>
      </c>
      <c r="C25" s="264">
        <f>COUNTIFS(TU_DB[[pH Bin]:[pH Bin]],C$19,TU_DB[[Weather]:[Weather]],$B25)</f>
        <v>49</v>
      </c>
      <c r="D25" s="265">
        <f>COUNTIFS(TU_DB[[pH Bin]:[pH Bin]],D$19,TU_DB[[Weather]:[Weather]],$B25)</f>
        <v>46</v>
      </c>
      <c r="E25" s="265">
        <f>COUNTIFS(TU_DB[[pH Bin]:[pH Bin]],E$19,TU_DB[[Weather]:[Weather]],$B25)</f>
        <v>387</v>
      </c>
      <c r="F25" s="265">
        <f>COUNTIFS(TU_DB[[pH Bin]:[pH Bin]],F$19,TU_DB[[Weather]:[Weather]],$B25)</f>
        <v>441</v>
      </c>
      <c r="G25" s="265">
        <f>COUNTIFS(TU_DB[[pH Bin]:[pH Bin]],G$19,TU_DB[[Weather]:[Weather]],$B25)</f>
        <v>420</v>
      </c>
      <c r="H25" s="265">
        <f>COUNTIFS(TU_DB[[pH Bin]:[pH Bin]],H$19,TU_DB[[Weather]:[Weather]],$B25)</f>
        <v>19</v>
      </c>
      <c r="I25" s="265">
        <f>COUNTIFS(TU_DB[[pH Bin]:[pH Bin]],I$19,TU_DB[[Weather]:[Weather]],$B25)</f>
        <v>44</v>
      </c>
      <c r="J25" s="264">
        <f t="shared" si="5"/>
        <v>1362</v>
      </c>
      <c r="K25" s="266">
        <f t="shared" si="4"/>
        <v>0.79324403028538149</v>
      </c>
      <c r="L25" s="327" t="s">
        <v>10</v>
      </c>
      <c r="AA25"/>
      <c r="AB25"/>
    </row>
    <row r="26" spans="2:49" ht="16.5" customHeight="1" thickBot="1" x14ac:dyDescent="0.3">
      <c r="B26" s="255" t="s">
        <v>133</v>
      </c>
      <c r="C26" s="258">
        <f t="shared" ref="C26:J26" si="6">SUM(C20:C25)</f>
        <v>59</v>
      </c>
      <c r="D26" s="255">
        <f t="shared" si="6"/>
        <v>60</v>
      </c>
      <c r="E26" s="255">
        <f t="shared" si="6"/>
        <v>522</v>
      </c>
      <c r="F26" s="255">
        <f t="shared" si="6"/>
        <v>570</v>
      </c>
      <c r="G26" s="255">
        <f t="shared" si="6"/>
        <v>487</v>
      </c>
      <c r="H26" s="255">
        <f t="shared" si="6"/>
        <v>19</v>
      </c>
      <c r="I26" s="255"/>
      <c r="J26" s="258">
        <f t="shared" si="6"/>
        <v>1717</v>
      </c>
      <c r="K26" s="256"/>
      <c r="L26" s="328"/>
      <c r="AA26"/>
      <c r="AB26"/>
    </row>
    <row r="27" spans="2:49" ht="56.25" customHeight="1" x14ac:dyDescent="0.25">
      <c r="U27"/>
      <c r="AA27"/>
      <c r="AB27"/>
    </row>
    <row r="28" spans="2:49" ht="16.5" thickBot="1" x14ac:dyDescent="0.3">
      <c r="B28" s="267" t="s">
        <v>108</v>
      </c>
      <c r="C28"/>
      <c r="D28"/>
      <c r="E28"/>
      <c r="U28"/>
      <c r="AA28"/>
      <c r="AB28"/>
    </row>
    <row r="29" spans="2:49" x14ac:dyDescent="0.25">
      <c r="B29" s="319"/>
      <c r="C29" s="322" t="s">
        <v>135</v>
      </c>
      <c r="D29" s="323"/>
      <c r="E29" s="323"/>
      <c r="F29" s="323"/>
      <c r="G29" s="323"/>
      <c r="H29" s="323"/>
      <c r="I29" s="323"/>
      <c r="J29" s="325"/>
      <c r="K29" s="319"/>
      <c r="U29"/>
      <c r="AA29"/>
      <c r="AB29"/>
    </row>
    <row r="30" spans="2:49" ht="15.75" customHeight="1" x14ac:dyDescent="0.25">
      <c r="B30" s="320" t="s">
        <v>108</v>
      </c>
      <c r="C30" s="321">
        <v>6</v>
      </c>
      <c r="D30" s="320">
        <v>6.5</v>
      </c>
      <c r="E30" s="320">
        <v>7</v>
      </c>
      <c r="F30" s="320">
        <v>7.5</v>
      </c>
      <c r="G30" s="320">
        <v>8</v>
      </c>
      <c r="H30" s="320">
        <v>8.5</v>
      </c>
      <c r="I30" s="320">
        <v>9</v>
      </c>
      <c r="J30" s="324" t="s">
        <v>2325</v>
      </c>
      <c r="K30" s="320" t="s">
        <v>2352</v>
      </c>
      <c r="U30"/>
      <c r="AA30"/>
      <c r="AB30"/>
    </row>
    <row r="31" spans="2:49" ht="15" customHeight="1" x14ac:dyDescent="0.25">
      <c r="B31" t="s">
        <v>80</v>
      </c>
      <c r="C31" s="257">
        <f>COUNTIFS(TU_DB[[pH Bin]:[pH Bin]],C$19,TU_DB[[Water Level]:[Water Level]],$B31)</f>
        <v>44</v>
      </c>
      <c r="D31" s="79">
        <f>COUNTIFS(TU_DB[[pH Bin]:[pH Bin]],D$19,TU_DB[[Water Level]:[Water Level]],$B31)</f>
        <v>45</v>
      </c>
      <c r="E31" s="79">
        <f>COUNTIFS(TU_DB[[pH Bin]:[pH Bin]],E$19,TU_DB[[Water Level]:[Water Level]],$B31)</f>
        <v>380</v>
      </c>
      <c r="F31" s="79">
        <f>COUNTIFS(TU_DB[[pH Bin]:[pH Bin]],F$19,TU_DB[[Water Level]:[Water Level]],$B31)</f>
        <v>444</v>
      </c>
      <c r="G31" s="79">
        <f>COUNTIFS(TU_DB[[pH Bin]:[pH Bin]],G$19,TU_DB[[Water Level]:[Water Level]],$B31)</f>
        <v>407</v>
      </c>
      <c r="H31" s="79">
        <f>COUNTIFS(TU_DB[[pH Bin]:[pH Bin]],H$19,TU_DB[[Water Level]:[Water Level]],$B31)</f>
        <v>15</v>
      </c>
      <c r="I31" s="79">
        <f>COUNTIFS(TU_DB[[pH Bin]:[pH Bin]],I$19,TU_DB[[Water Level]:[Water Level]],$B31)</f>
        <v>38</v>
      </c>
      <c r="J31" s="257">
        <f>SUM(C31:H31)</f>
        <v>1335</v>
      </c>
      <c r="K31" s="269">
        <f>SUM(J31)/SUM($J$31:$J$34)</f>
        <v>0.76111744583808438</v>
      </c>
      <c r="L31" s="23"/>
      <c r="M31" s="23"/>
      <c r="N31" s="23"/>
      <c r="O31" s="23"/>
      <c r="P31" s="23"/>
      <c r="Q31" s="23"/>
      <c r="R31" s="23"/>
      <c r="S31" s="23"/>
      <c r="U31"/>
      <c r="AA31"/>
      <c r="AB31"/>
      <c r="AD31" s="23"/>
      <c r="AE31" s="23"/>
      <c r="AF31" s="23"/>
      <c r="AG31" s="23"/>
      <c r="AH31" s="23"/>
      <c r="AI31" s="23"/>
      <c r="AJ31" s="23"/>
      <c r="AK31" s="23"/>
      <c r="AL31" s="23"/>
      <c r="AM31" s="23"/>
      <c r="AN31" s="23"/>
      <c r="AO31" s="23"/>
      <c r="AP31" s="23"/>
      <c r="AQ31" s="23"/>
      <c r="AR31" s="23"/>
      <c r="AS31" s="23"/>
      <c r="AT31" s="23"/>
      <c r="AU31" s="23"/>
      <c r="AV31" s="23"/>
      <c r="AW31" s="23"/>
    </row>
    <row r="32" spans="2:49" s="23" customFormat="1" ht="15" customHeight="1" x14ac:dyDescent="0.25">
      <c r="B32" t="s">
        <v>2353</v>
      </c>
      <c r="C32" s="257">
        <f>COUNTIFS(TU_DB[[pH Bin]:[pH Bin]],C$19,TU_DB[[Water Level]:[Water Level]],$B32)</f>
        <v>15</v>
      </c>
      <c r="D32" s="79">
        <f>COUNTIFS(TU_DB[[pH Bin]:[pH Bin]],D$19,TU_DB[[Water Level]:[Water Level]],$B32)</f>
        <v>12</v>
      </c>
      <c r="E32" s="79">
        <f>COUNTIFS(TU_DB[[pH Bin]:[pH Bin]],E$19,TU_DB[[Water Level]:[Water Level]],$B32)</f>
        <v>117</v>
      </c>
      <c r="F32" s="79">
        <f>COUNTIFS(TU_DB[[pH Bin]:[pH Bin]],F$19,TU_DB[[Water Level]:[Water Level]],$B32)</f>
        <v>117</v>
      </c>
      <c r="G32" s="79">
        <f>COUNTIFS(TU_DB[[pH Bin]:[pH Bin]],G$19,TU_DB[[Water Level]:[Water Level]],$B32)</f>
        <v>76</v>
      </c>
      <c r="H32" s="79">
        <f>COUNTIFS(TU_DB[[pH Bin]:[pH Bin]],H$19,TU_DB[[Water Level]:[Water Level]],$B32)</f>
        <v>4</v>
      </c>
      <c r="I32" s="79">
        <f>COUNTIFS(TU_DB[[pH Bin]:[pH Bin]],I$19,TU_DB[[Water Level]:[Water Level]],$B32)</f>
        <v>16</v>
      </c>
      <c r="J32" s="257">
        <f>SUM(C32:H32)</f>
        <v>341</v>
      </c>
      <c r="K32" s="269">
        <f>SUM(J32)/SUM($J$31:$J$34)</f>
        <v>0.19441277080957811</v>
      </c>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row>
    <row r="33" spans="1:49" ht="15" customHeight="1" x14ac:dyDescent="0.25">
      <c r="B33" t="s">
        <v>195</v>
      </c>
      <c r="C33" s="257">
        <f>COUNTIFS(TU_DB[[pH Bin]:[pH Bin]],C$19,TU_DB[[Water Level]:[Water Level]],$B33)</f>
        <v>2</v>
      </c>
      <c r="D33" s="79">
        <f>COUNTIFS(TU_DB[[pH Bin]:[pH Bin]],D$19,TU_DB[[Water Level]:[Water Level]],$B33)</f>
        <v>2</v>
      </c>
      <c r="E33" s="79">
        <f>COUNTIFS(TU_DB[[pH Bin]:[pH Bin]],E$19,TU_DB[[Water Level]:[Water Level]],$B33)</f>
        <v>26</v>
      </c>
      <c r="F33" s="79">
        <f>COUNTIFS(TU_DB[[pH Bin]:[pH Bin]],F$19,TU_DB[[Water Level]:[Water Level]],$B33)</f>
        <v>24</v>
      </c>
      <c r="G33" s="79">
        <f>COUNTIFS(TU_DB[[pH Bin]:[pH Bin]],G$19,TU_DB[[Water Level]:[Water Level]],$B33)</f>
        <v>18</v>
      </c>
      <c r="H33" s="79">
        <f>COUNTIFS(TU_DB[[pH Bin]:[pH Bin]],H$19,TU_DB[[Water Level]:[Water Level]],$B33)</f>
        <v>0</v>
      </c>
      <c r="I33" s="79">
        <f>COUNTIFS(TU_DB[[pH Bin]:[pH Bin]],I$19,TU_DB[[Water Level]:[Water Level]],$B33)</f>
        <v>3</v>
      </c>
      <c r="J33" s="257">
        <f>SUM(C33:H33)</f>
        <v>72</v>
      </c>
      <c r="K33" s="269">
        <f>SUM(J33)/SUM($J$31:$J$34)</f>
        <v>4.1049030786773091E-2</v>
      </c>
      <c r="L33" s="7"/>
      <c r="M33" s="7"/>
      <c r="N33" s="7"/>
      <c r="O33" s="7"/>
      <c r="P33" s="7"/>
      <c r="Q33" s="7"/>
      <c r="R33" s="7"/>
      <c r="S33" s="7"/>
      <c r="U33"/>
      <c r="AA33"/>
      <c r="AB33"/>
      <c r="AD33" s="7"/>
      <c r="AE33" s="7"/>
      <c r="AF33" s="7"/>
      <c r="AG33" s="7"/>
      <c r="AH33" s="7"/>
      <c r="AI33" s="7"/>
      <c r="AJ33" s="7"/>
      <c r="AK33" s="7"/>
      <c r="AL33" s="7"/>
      <c r="AM33" s="7"/>
      <c r="AN33" s="7"/>
      <c r="AO33" s="7"/>
      <c r="AP33" s="7"/>
      <c r="AQ33" s="7"/>
      <c r="AR33" s="7"/>
      <c r="AS33" s="7"/>
      <c r="AT33" s="7"/>
      <c r="AU33" s="7"/>
      <c r="AV33" s="7"/>
      <c r="AW33" s="7"/>
    </row>
    <row r="34" spans="1:49" s="7" customFormat="1" ht="15" customHeight="1" x14ac:dyDescent="0.25">
      <c r="B34" s="261" t="s">
        <v>86</v>
      </c>
      <c r="C34" s="260">
        <v>1</v>
      </c>
      <c r="D34" s="259">
        <v>1</v>
      </c>
      <c r="E34" s="259">
        <v>1</v>
      </c>
      <c r="F34" s="259">
        <v>1</v>
      </c>
      <c r="G34" s="259">
        <v>2</v>
      </c>
      <c r="H34" s="259">
        <v>0</v>
      </c>
      <c r="I34" s="259">
        <v>1</v>
      </c>
      <c r="J34" s="260">
        <v>6</v>
      </c>
      <c r="K34" s="270">
        <f>SUM(J34)/SUM($J$31:$J$34)</f>
        <v>3.4207525655644243E-3</v>
      </c>
      <c r="L34"/>
      <c r="M34"/>
      <c r="N34"/>
      <c r="O34"/>
      <c r="P34"/>
      <c r="Q34"/>
      <c r="R34"/>
      <c r="S34"/>
      <c r="T34"/>
      <c r="U34" s="1"/>
      <c r="V34"/>
      <c r="W34"/>
      <c r="X34"/>
      <c r="Y34"/>
      <c r="Z34"/>
      <c r="AA34" s="1"/>
      <c r="AB34" s="15"/>
      <c r="AC34"/>
      <c r="AD34"/>
      <c r="AE34"/>
      <c r="AF34"/>
      <c r="AG34"/>
      <c r="AH34"/>
      <c r="AI34"/>
      <c r="AJ34"/>
      <c r="AK34"/>
      <c r="AL34"/>
      <c r="AM34"/>
      <c r="AN34"/>
      <c r="AO34"/>
      <c r="AP34"/>
      <c r="AQ34"/>
      <c r="AR34"/>
      <c r="AS34"/>
      <c r="AT34"/>
      <c r="AU34"/>
      <c r="AV34"/>
      <c r="AW34"/>
    </row>
    <row r="35" spans="1:49" ht="15" customHeight="1" thickBot="1" x14ac:dyDescent="0.3">
      <c r="B35" s="255" t="s">
        <v>133</v>
      </c>
      <c r="C35" s="258">
        <f t="shared" ref="C35:J35" si="7">SUM(C31:C34)</f>
        <v>62</v>
      </c>
      <c r="D35" s="255">
        <f t="shared" si="7"/>
        <v>60</v>
      </c>
      <c r="E35" s="255">
        <f t="shared" si="7"/>
        <v>524</v>
      </c>
      <c r="F35" s="255">
        <f t="shared" si="7"/>
        <v>586</v>
      </c>
      <c r="G35" s="255">
        <f t="shared" si="7"/>
        <v>503</v>
      </c>
      <c r="H35" s="255">
        <f t="shared" si="7"/>
        <v>19</v>
      </c>
      <c r="I35" s="255"/>
      <c r="J35" s="258">
        <f t="shared" si="7"/>
        <v>1754</v>
      </c>
      <c r="K35" s="256"/>
    </row>
    <row r="36" spans="1:49" ht="15" customHeight="1" x14ac:dyDescent="0.25"/>
    <row r="37" spans="1:49" ht="15" customHeight="1" x14ac:dyDescent="0.25"/>
    <row r="38" spans="1:49" ht="15" customHeight="1" x14ac:dyDescent="0.25"/>
    <row r="39" spans="1:49" ht="15" customHeight="1" x14ac:dyDescent="0.25"/>
    <row r="40" spans="1:49" ht="15" customHeight="1" x14ac:dyDescent="0.25"/>
    <row r="41" spans="1:49" ht="15" customHeight="1" x14ac:dyDescent="0.25">
      <c r="U41"/>
    </row>
    <row r="42" spans="1:49" ht="15" customHeight="1" x14ac:dyDescent="0.25">
      <c r="U42"/>
    </row>
    <row r="43" spans="1:49" ht="15" customHeight="1" x14ac:dyDescent="0.25">
      <c r="U43"/>
    </row>
    <row r="44" spans="1:49" ht="15" customHeight="1" thickBot="1" x14ac:dyDescent="0.3">
      <c r="B44" s="267" t="s">
        <v>87</v>
      </c>
      <c r="C44"/>
      <c r="D44"/>
      <c r="E44"/>
      <c r="K44" s="23"/>
      <c r="U44"/>
      <c r="Z44" s="23"/>
      <c r="AA44" s="22"/>
      <c r="AB44" s="22"/>
      <c r="AC44" s="23"/>
    </row>
    <row r="45" spans="1:49" ht="15" customHeight="1" x14ac:dyDescent="0.25">
      <c r="B45" s="319"/>
      <c r="C45" s="322" t="s">
        <v>135</v>
      </c>
      <c r="D45" s="323"/>
      <c r="E45" s="323"/>
      <c r="F45" s="323"/>
      <c r="G45" s="323"/>
      <c r="H45" s="323"/>
      <c r="I45" s="323"/>
      <c r="J45" s="325"/>
      <c r="K45" s="319"/>
      <c r="U45"/>
      <c r="AD45" s="23"/>
      <c r="AE45" s="23"/>
      <c r="AF45" s="23"/>
      <c r="AG45" s="23"/>
      <c r="AH45" s="23"/>
      <c r="AI45" s="23"/>
      <c r="AJ45" s="23"/>
      <c r="AK45" s="23"/>
      <c r="AL45" s="23"/>
      <c r="AM45" s="23"/>
      <c r="AN45" s="23"/>
    </row>
    <row r="46" spans="1:49" ht="15" customHeight="1" x14ac:dyDescent="0.25">
      <c r="A46" s="23"/>
      <c r="B46" s="320" t="s">
        <v>87</v>
      </c>
      <c r="C46" s="321">
        <v>6</v>
      </c>
      <c r="D46" s="320">
        <v>6.5</v>
      </c>
      <c r="E46" s="320">
        <v>7</v>
      </c>
      <c r="F46" s="320">
        <v>7.5</v>
      </c>
      <c r="G46" s="320">
        <v>8</v>
      </c>
      <c r="H46" s="320">
        <v>8.5</v>
      </c>
      <c r="I46" s="320">
        <v>9</v>
      </c>
      <c r="J46" s="324" t="s">
        <v>2325</v>
      </c>
      <c r="K46" s="320" t="s">
        <v>2352</v>
      </c>
      <c r="L46" s="23"/>
      <c r="M46" s="23"/>
      <c r="N46" s="23"/>
      <c r="O46" s="23"/>
      <c r="P46" s="23"/>
      <c r="Q46" s="23"/>
      <c r="R46" s="23"/>
      <c r="S46" s="23"/>
      <c r="U46"/>
      <c r="AC46" s="7"/>
      <c r="AO46" s="23"/>
      <c r="AP46" s="23"/>
      <c r="AQ46" s="23"/>
      <c r="AR46" s="23"/>
      <c r="AS46" s="23"/>
      <c r="AT46" s="23"/>
      <c r="AU46" s="23"/>
      <c r="AV46" s="23"/>
      <c r="AW46" s="23"/>
    </row>
    <row r="47" spans="1:49" s="23" customFormat="1" ht="15" customHeight="1" x14ac:dyDescent="0.25">
      <c r="A47"/>
      <c r="B47" t="s">
        <v>83</v>
      </c>
      <c r="C47" s="257">
        <f>COUNTIFS(TU_DB[[pH Bin]:[pH Bin]],C$19,TU_DB[[Clarity]:[Clarity]],$B47)</f>
        <v>47</v>
      </c>
      <c r="D47" s="79">
        <f>COUNTIFS(TU_DB[[pH Bin]:[pH Bin]],D$19,TU_DB[[Clarity]:[Clarity]],$B47)</f>
        <v>39</v>
      </c>
      <c r="E47" s="79">
        <f>COUNTIFS(TU_DB[[pH Bin]:[pH Bin]],E$19,TU_DB[[Clarity]:[Clarity]],$B47)</f>
        <v>389</v>
      </c>
      <c r="F47" s="79">
        <f>COUNTIFS(TU_DB[[pH Bin]:[pH Bin]],F$19,TU_DB[[Clarity]:[Clarity]],$B47)</f>
        <v>461</v>
      </c>
      <c r="G47" s="79">
        <f>COUNTIFS(TU_DB[[pH Bin]:[pH Bin]],G$19,TU_DB[[Clarity]:[Clarity]],$B47)</f>
        <v>411</v>
      </c>
      <c r="H47" s="79">
        <f>COUNTIFS(TU_DB[[pH Bin]:[pH Bin]],H$19,TU_DB[[Clarity]:[Clarity]],$B47)</f>
        <v>18</v>
      </c>
      <c r="I47" s="79">
        <f>COUNTIFS(TU_DB[[pH Bin]:[pH Bin]],I$19,TU_DB[[Clarity]:[Clarity]],$B47)</f>
        <v>41</v>
      </c>
      <c r="J47" s="257">
        <f>SUM(C47:H47)</f>
        <v>1365</v>
      </c>
      <c r="K47" s="269">
        <f>SUM(J47)/SUM($J$47:$J$49)</f>
        <v>0.77293318233295583</v>
      </c>
      <c r="L47" s="7"/>
      <c r="M47" s="7"/>
      <c r="N47" s="7"/>
      <c r="O47" s="7"/>
      <c r="P47" s="7"/>
      <c r="Q47" s="7"/>
      <c r="R47" s="7"/>
      <c r="S47" s="7"/>
      <c r="T47"/>
      <c r="U47"/>
      <c r="V47"/>
      <c r="W47"/>
      <c r="X47"/>
      <c r="Y47"/>
      <c r="Z47"/>
      <c r="AA47" s="1"/>
      <c r="AB47" s="15"/>
      <c r="AC47"/>
      <c r="AD47" s="7"/>
      <c r="AE47" s="7"/>
      <c r="AF47" s="7"/>
      <c r="AG47" s="7"/>
      <c r="AH47" s="7"/>
      <c r="AI47" s="7"/>
      <c r="AJ47" s="7"/>
      <c r="AK47" s="7"/>
      <c r="AL47" s="7"/>
      <c r="AM47" s="7"/>
      <c r="AN47" s="7"/>
      <c r="AO47"/>
      <c r="AP47"/>
      <c r="AQ47"/>
      <c r="AR47"/>
      <c r="AS47"/>
      <c r="AT47"/>
      <c r="AU47"/>
      <c r="AV47"/>
      <c r="AW47"/>
    </row>
    <row r="48" spans="1:49" s="7" customFormat="1" ht="15" customHeight="1" x14ac:dyDescent="0.25">
      <c r="A48"/>
      <c r="B48" t="s">
        <v>85</v>
      </c>
      <c r="C48" s="257">
        <f>COUNTIFS(TU_DB[[pH Bin]:[pH Bin]],C$19,TU_DB[[Clarity]:[Clarity]],$B48)</f>
        <v>2</v>
      </c>
      <c r="D48" s="79">
        <f>COUNTIFS(TU_DB[[pH Bin]:[pH Bin]],D$19,TU_DB[[Clarity]:[Clarity]],$B48)</f>
        <v>2</v>
      </c>
      <c r="E48" s="79">
        <f>COUNTIFS(TU_DB[[pH Bin]:[pH Bin]],E$19,TU_DB[[Clarity]:[Clarity]],$B48)</f>
        <v>31</v>
      </c>
      <c r="F48" s="79">
        <f>COUNTIFS(TU_DB[[pH Bin]:[pH Bin]],F$19,TU_DB[[Clarity]:[Clarity]],$B48)</f>
        <v>32</v>
      </c>
      <c r="G48" s="79">
        <f>COUNTIFS(TU_DB[[pH Bin]:[pH Bin]],G$19,TU_DB[[Clarity]:[Clarity]],$B48)</f>
        <v>19</v>
      </c>
      <c r="H48" s="79">
        <f>COUNTIFS(TU_DB[[pH Bin]:[pH Bin]],H$19,TU_DB[[Clarity]:[Clarity]],$B48)</f>
        <v>0</v>
      </c>
      <c r="I48" s="79">
        <f>COUNTIFS(TU_DB[[pH Bin]:[pH Bin]],I$19,TU_DB[[Clarity]:[Clarity]],$B48)</f>
        <v>1</v>
      </c>
      <c r="J48" s="257">
        <f>SUM(C48:H48)</f>
        <v>86</v>
      </c>
      <c r="K48" s="269">
        <f>SUM(J48)/SUM($J$47:$J$49)</f>
        <v>4.8697621744054363E-2</v>
      </c>
      <c r="L48"/>
      <c r="M48"/>
      <c r="N48"/>
      <c r="O48"/>
      <c r="P48"/>
      <c r="Q48"/>
      <c r="R48"/>
      <c r="S48"/>
      <c r="T48"/>
      <c r="U48"/>
      <c r="V48"/>
      <c r="W48"/>
      <c r="X48"/>
      <c r="Y48"/>
      <c r="Z48"/>
      <c r="AA48" s="1"/>
      <c r="AB48" s="15"/>
      <c r="AC48"/>
      <c r="AD48"/>
      <c r="AE48"/>
      <c r="AF48"/>
      <c r="AG48"/>
      <c r="AH48"/>
      <c r="AI48"/>
      <c r="AJ48"/>
      <c r="AK48"/>
      <c r="AL48"/>
      <c r="AM48"/>
      <c r="AN48"/>
      <c r="AO48"/>
      <c r="AP48"/>
      <c r="AQ48"/>
      <c r="AR48"/>
      <c r="AS48"/>
      <c r="AT48"/>
      <c r="AU48"/>
      <c r="AV48"/>
      <c r="AW48"/>
    </row>
    <row r="49" spans="2:29" ht="15" customHeight="1" x14ac:dyDescent="0.25">
      <c r="B49" s="261" t="s">
        <v>84</v>
      </c>
      <c r="C49" s="260">
        <f>COUNTIFS(TU_DB[[pH Bin]:[pH Bin]],C$19,TU_DB[[Clarity]:[Clarity]],$B49)</f>
        <v>14</v>
      </c>
      <c r="D49" s="259">
        <f>COUNTIFS(TU_DB[[pH Bin]:[pH Bin]],D$19,TU_DB[[Clarity]:[Clarity]],$B49)</f>
        <v>18</v>
      </c>
      <c r="E49" s="259">
        <f>COUNTIFS(TU_DB[[pH Bin]:[pH Bin]],E$19,TU_DB[[Clarity]:[Clarity]],$B49)</f>
        <v>104</v>
      </c>
      <c r="F49" s="259">
        <f>COUNTIFS(TU_DB[[pH Bin]:[pH Bin]],F$19,TU_DB[[Clarity]:[Clarity]],$B49)</f>
        <v>98</v>
      </c>
      <c r="G49" s="259">
        <f>COUNTIFS(TU_DB[[pH Bin]:[pH Bin]],G$19,TU_DB[[Clarity]:[Clarity]],$B49)</f>
        <v>80</v>
      </c>
      <c r="H49" s="259">
        <f>COUNTIFS(TU_DB[[pH Bin]:[pH Bin]],H$19,TU_DB[[Clarity]:[Clarity]],$B49)</f>
        <v>1</v>
      </c>
      <c r="I49" s="259">
        <f>COUNTIFS(TU_DB[[pH Bin]:[pH Bin]],I$19,TU_DB[[Clarity]:[Clarity]],$B49)</f>
        <v>15</v>
      </c>
      <c r="J49" s="260">
        <f>SUM(C49:H49)</f>
        <v>315</v>
      </c>
      <c r="K49" s="270">
        <f>SUM(J49)/SUM($J$47:$J$49)</f>
        <v>0.1783691959229898</v>
      </c>
      <c r="U49"/>
      <c r="AA49"/>
      <c r="AB49"/>
    </row>
    <row r="50" spans="2:29" ht="15" customHeight="1" thickBot="1" x14ac:dyDescent="0.3">
      <c r="B50" s="255" t="s">
        <v>133</v>
      </c>
      <c r="C50" s="258">
        <f t="shared" ref="C50:J50" si="8">SUM(C47:C49)</f>
        <v>63</v>
      </c>
      <c r="D50" s="255">
        <f t="shared" si="8"/>
        <v>59</v>
      </c>
      <c r="E50" s="255">
        <f t="shared" si="8"/>
        <v>524</v>
      </c>
      <c r="F50" s="255">
        <f t="shared" si="8"/>
        <v>591</v>
      </c>
      <c r="G50" s="255">
        <f t="shared" si="8"/>
        <v>510</v>
      </c>
      <c r="H50" s="255">
        <f t="shared" si="8"/>
        <v>19</v>
      </c>
      <c r="I50" s="255"/>
      <c r="J50" s="258">
        <f t="shared" si="8"/>
        <v>1766</v>
      </c>
      <c r="K50" s="256"/>
      <c r="U50"/>
      <c r="AA50"/>
      <c r="AB50"/>
    </row>
    <row r="51" spans="2:29" ht="15" customHeight="1" x14ac:dyDescent="0.25">
      <c r="U51"/>
      <c r="AA51"/>
      <c r="AB51"/>
    </row>
    <row r="52" spans="2:29" ht="15" customHeight="1" x14ac:dyDescent="0.25">
      <c r="U52"/>
      <c r="AA52"/>
      <c r="AB52"/>
    </row>
    <row r="53" spans="2:29" ht="15" customHeight="1" x14ac:dyDescent="0.25">
      <c r="U53"/>
      <c r="AA53"/>
      <c r="AB53"/>
    </row>
    <row r="54" spans="2:29" ht="15" customHeight="1" x14ac:dyDescent="0.25">
      <c r="U54"/>
      <c r="AA54"/>
      <c r="AB54"/>
    </row>
    <row r="55" spans="2:29" ht="15" customHeight="1" x14ac:dyDescent="0.25">
      <c r="U55"/>
      <c r="AA55"/>
      <c r="AB55"/>
    </row>
    <row r="56" spans="2:29" ht="15" customHeight="1" x14ac:dyDescent="0.25">
      <c r="U56"/>
      <c r="AA56"/>
      <c r="AB56"/>
    </row>
    <row r="57" spans="2:29" ht="15" customHeight="1" x14ac:dyDescent="0.25">
      <c r="S57" s="23"/>
      <c r="U57"/>
      <c r="AA57"/>
      <c r="AB57"/>
    </row>
    <row r="58" spans="2:29" ht="15" customHeight="1" x14ac:dyDescent="0.25">
      <c r="U58"/>
      <c r="AA58"/>
      <c r="AB58"/>
    </row>
    <row r="59" spans="2:29" ht="15" customHeight="1" x14ac:dyDescent="0.25">
      <c r="U59"/>
      <c r="AA59"/>
      <c r="AB59"/>
    </row>
    <row r="60" spans="2:29" ht="15" customHeight="1" x14ac:dyDescent="0.25">
      <c r="U60"/>
      <c r="AA60"/>
      <c r="AB60"/>
    </row>
    <row r="61" spans="2:29" ht="15" customHeight="1" thickBot="1" x14ac:dyDescent="0.3">
      <c r="B61" s="21" t="s">
        <v>4788</v>
      </c>
      <c r="U61"/>
      <c r="X61" s="23"/>
      <c r="Y61" s="23"/>
      <c r="Z61" s="23"/>
      <c r="AA61" s="23"/>
      <c r="AB61" s="23"/>
      <c r="AC61" s="23"/>
    </row>
    <row r="62" spans="2:29" ht="16.5" customHeight="1" x14ac:dyDescent="0.25">
      <c r="B62" s="319"/>
      <c r="C62" s="322" t="s">
        <v>135</v>
      </c>
      <c r="D62" s="323"/>
      <c r="E62" s="323"/>
      <c r="F62" s="323"/>
      <c r="G62" s="323"/>
      <c r="H62" s="323"/>
      <c r="I62" s="323"/>
      <c r="J62" s="325"/>
      <c r="K62" s="319"/>
      <c r="N62" s="333" t="s">
        <v>4169</v>
      </c>
      <c r="O62" s="560" t="s">
        <v>2365</v>
      </c>
      <c r="P62" s="560"/>
      <c r="Q62" s="560"/>
      <c r="R62" s="560"/>
      <c r="U62"/>
    </row>
    <row r="63" spans="2:29" ht="15" customHeight="1" x14ac:dyDescent="0.25">
      <c r="B63" s="320" t="s">
        <v>124</v>
      </c>
      <c r="C63" s="321">
        <v>6</v>
      </c>
      <c r="D63" s="320">
        <v>6.5</v>
      </c>
      <c r="E63" s="320">
        <v>7</v>
      </c>
      <c r="F63" s="320">
        <v>7.5</v>
      </c>
      <c r="G63" s="320">
        <v>8</v>
      </c>
      <c r="H63" s="320">
        <v>8.5</v>
      </c>
      <c r="I63" s="320">
        <v>9</v>
      </c>
      <c r="J63" s="324" t="s">
        <v>2325</v>
      </c>
      <c r="K63" s="320" t="s">
        <v>2352</v>
      </c>
      <c r="U63"/>
    </row>
    <row r="64" spans="2:29" ht="15" customHeight="1" x14ac:dyDescent="0.25">
      <c r="B64" s="153" t="s">
        <v>1328</v>
      </c>
      <c r="C64" s="378">
        <f>SUM(C65:C74)</f>
        <v>1</v>
      </c>
      <c r="D64" s="378">
        <f t="shared" ref="D64:I64" si="9">SUM(D65:D74)</f>
        <v>5</v>
      </c>
      <c r="E64" s="378">
        <f t="shared" si="9"/>
        <v>64</v>
      </c>
      <c r="F64" s="378">
        <f t="shared" si="9"/>
        <v>59</v>
      </c>
      <c r="G64" s="378">
        <f t="shared" si="9"/>
        <v>56</v>
      </c>
      <c r="H64" s="378">
        <f t="shared" si="9"/>
        <v>1</v>
      </c>
      <c r="I64" s="378">
        <f t="shared" si="9"/>
        <v>1</v>
      </c>
      <c r="J64" s="378">
        <f>SUM(J65:J74)</f>
        <v>187</v>
      </c>
      <c r="K64" s="378"/>
      <c r="U64"/>
    </row>
    <row r="65" spans="2:21" ht="15" customHeight="1" x14ac:dyDescent="0.25">
      <c r="B65" s="8" t="s">
        <v>154</v>
      </c>
      <c r="C65" s="257">
        <f>COUNTIFS(TU_DB[[pH Bin]:[pH Bin]],C$19,TU_DB[[Monitoring Site]:[Monitoring Site]],$B65)</f>
        <v>1</v>
      </c>
      <c r="D65" s="79">
        <f>COUNTIFS(TU_DB[[pH Bin]:[pH Bin]],D$19,TU_DB[[Monitoring Site]:[Monitoring Site]],$B65)</f>
        <v>0</v>
      </c>
      <c r="E65" s="79">
        <f>COUNTIFS(TU_DB[[pH Bin]:[pH Bin]],E$19,TU_DB[[Monitoring Site]:[Monitoring Site]],$B65)</f>
        <v>8</v>
      </c>
      <c r="F65" s="79">
        <f>COUNTIFS(TU_DB[[pH Bin]:[pH Bin]],F$19,TU_DB[[Monitoring Site]:[Monitoring Site]],$B65)</f>
        <v>5</v>
      </c>
      <c r="G65" s="79">
        <f>COUNTIFS(TU_DB[[pH Bin]:[pH Bin]],G$19,TU_DB[[Monitoring Site]:[Monitoring Site]],$B65)</f>
        <v>2</v>
      </c>
      <c r="H65" s="79">
        <f>COUNTIFS(TU_DB[[pH Bin]:[pH Bin]],H$19,TU_DB[[Monitoring Site]:[Monitoring Site]],$B65)</f>
        <v>0</v>
      </c>
      <c r="I65" s="79">
        <f>COUNTIFS(TU_DB[[pH Bin]:[pH Bin]],I$19,TU_DB[[Monitoring Site]:[Monitoring Site]],$B65)</f>
        <v>0</v>
      </c>
      <c r="J65" s="257">
        <f>SUM(C65:I65)</f>
        <v>16</v>
      </c>
      <c r="K65" s="268">
        <f t="shared" ref="K65:K74" si="10">SUM(J65)/$J$64</f>
        <v>8.5561497326203204E-2</v>
      </c>
      <c r="U65"/>
    </row>
    <row r="66" spans="2:21" x14ac:dyDescent="0.25">
      <c r="B66" s="8" t="str">
        <f>Use!S125</f>
        <v>Eau Galle River @ WI Hwy 29</v>
      </c>
      <c r="C66" s="257">
        <f>COUNTIFS(TU_DB[[pH Bin]:[pH Bin]],C$19,TU_DB[[Monitoring Site]:[Monitoring Site]],$B66)</f>
        <v>0</v>
      </c>
      <c r="D66" s="79">
        <f>COUNTIFS(TU_DB[[pH Bin]:[pH Bin]],D$19,TU_DB[[Monitoring Site]:[Monitoring Site]],$B66)</f>
        <v>0</v>
      </c>
      <c r="E66" s="79">
        <f>COUNTIFS(TU_DB[[pH Bin]:[pH Bin]],E$19,TU_DB[[Monitoring Site]:[Monitoring Site]],$B66)</f>
        <v>5</v>
      </c>
      <c r="F66" s="79">
        <f>COUNTIFS(TU_DB[[pH Bin]:[pH Bin]],F$19,TU_DB[[Monitoring Site]:[Monitoring Site]],$B66)</f>
        <v>4</v>
      </c>
      <c r="G66" s="79">
        <f>COUNTIFS(TU_DB[[pH Bin]:[pH Bin]],G$19,TU_DB[[Monitoring Site]:[Monitoring Site]],$B66)</f>
        <v>2</v>
      </c>
      <c r="H66" s="79">
        <f>COUNTIFS(TU_DB[[pH Bin]:[pH Bin]],H$19,TU_DB[[Monitoring Site]:[Monitoring Site]],$B66)</f>
        <v>0</v>
      </c>
      <c r="I66" s="79">
        <f>COUNTIFS(TU_DB[[pH Bin]:[pH Bin]],I$19,TU_DB[[Monitoring Site]:[Monitoring Site]],$B66)</f>
        <v>0</v>
      </c>
      <c r="J66" s="257">
        <f t="shared" ref="J66:J74" si="11">SUM(C66:I66)</f>
        <v>11</v>
      </c>
      <c r="K66" s="268">
        <f t="shared" si="10"/>
        <v>5.8823529411764705E-2</v>
      </c>
      <c r="U66"/>
    </row>
    <row r="67" spans="2:21" x14ac:dyDescent="0.25">
      <c r="B67" s="8" t="str">
        <f>Use!S126</f>
        <v>Isabelle Creek @ County Rd. EE</v>
      </c>
      <c r="C67" s="257">
        <f>COUNTIFS(TU_DB[[pH Bin]:[pH Bin]],C$19,TU_DB[[Monitoring Site]:[Monitoring Site]],$B67)</f>
        <v>0</v>
      </c>
      <c r="D67" s="79">
        <f>COUNTIFS(TU_DB[[pH Bin]:[pH Bin]],D$19,TU_DB[[Monitoring Site]:[Monitoring Site]],$B67)</f>
        <v>0</v>
      </c>
      <c r="E67" s="79">
        <f>COUNTIFS(TU_DB[[pH Bin]:[pH Bin]],E$19,TU_DB[[Monitoring Site]:[Monitoring Site]],$B67)</f>
        <v>1</v>
      </c>
      <c r="F67" s="79">
        <f>COUNTIFS(TU_DB[[pH Bin]:[pH Bin]],F$19,TU_DB[[Monitoring Site]:[Monitoring Site]],$B67)</f>
        <v>5</v>
      </c>
      <c r="G67" s="79">
        <f>COUNTIFS(TU_DB[[pH Bin]:[pH Bin]],G$19,TU_DB[[Monitoring Site]:[Monitoring Site]],$B67)</f>
        <v>16</v>
      </c>
      <c r="H67" s="79">
        <f>COUNTIFS(TU_DB[[pH Bin]:[pH Bin]],H$19,TU_DB[[Monitoring Site]:[Monitoring Site]],$B67)</f>
        <v>0</v>
      </c>
      <c r="I67" s="79">
        <f>COUNTIFS(TU_DB[[pH Bin]:[pH Bin]],I$19,TU_DB[[Monitoring Site]:[Monitoring Site]],$B67)</f>
        <v>0</v>
      </c>
      <c r="J67" s="257">
        <f t="shared" si="11"/>
        <v>22</v>
      </c>
      <c r="K67" s="268">
        <f t="shared" si="10"/>
        <v>0.11764705882352941</v>
      </c>
      <c r="U67"/>
    </row>
    <row r="68" spans="2:21" x14ac:dyDescent="0.25">
      <c r="B68" s="8" t="str">
        <f>Use!S127</f>
        <v>Kinnickinnic River, Lower Glen Park</v>
      </c>
      <c r="C68" s="257">
        <f>COUNTIFS(TU_DB[[pH Bin]:[pH Bin]],C$19,TU_DB[[Monitoring Site]:[Monitoring Site]],$B68)</f>
        <v>0</v>
      </c>
      <c r="D68" s="79">
        <f>COUNTIFS(TU_DB[[pH Bin]:[pH Bin]],D$19,TU_DB[[Monitoring Site]:[Monitoring Site]],$B68)</f>
        <v>0</v>
      </c>
      <c r="E68" s="79">
        <f>COUNTIFS(TU_DB[[pH Bin]:[pH Bin]],E$19,TU_DB[[Monitoring Site]:[Monitoring Site]],$B68)</f>
        <v>17</v>
      </c>
      <c r="F68" s="79">
        <f>COUNTIFS(TU_DB[[pH Bin]:[pH Bin]],F$19,TU_DB[[Monitoring Site]:[Monitoring Site]],$B68)</f>
        <v>9</v>
      </c>
      <c r="G68" s="79">
        <f>COUNTIFS(TU_DB[[pH Bin]:[pH Bin]],G$19,TU_DB[[Monitoring Site]:[Monitoring Site]],$B68)</f>
        <v>10</v>
      </c>
      <c r="H68" s="79">
        <f>COUNTIFS(TU_DB[[pH Bin]:[pH Bin]],H$19,TU_DB[[Monitoring Site]:[Monitoring Site]],$B68)</f>
        <v>0</v>
      </c>
      <c r="I68" s="79">
        <f>COUNTIFS(TU_DB[[pH Bin]:[pH Bin]],I$19,TU_DB[[Monitoring Site]:[Monitoring Site]],$B68)</f>
        <v>1</v>
      </c>
      <c r="J68" s="257">
        <f t="shared" si="11"/>
        <v>37</v>
      </c>
      <c r="K68" s="268">
        <f t="shared" si="10"/>
        <v>0.19786096256684493</v>
      </c>
      <c r="U68"/>
    </row>
    <row r="69" spans="2:21" x14ac:dyDescent="0.25">
      <c r="B69" s="8" t="str">
        <f>Use!S128</f>
        <v>Pine Creek @ County Rd. AA</v>
      </c>
      <c r="C69" s="257">
        <f>COUNTIFS(TU_DB[[pH Bin]:[pH Bin]],C$19,TU_DB[[Monitoring Site]:[Monitoring Site]],$B69)</f>
        <v>0</v>
      </c>
      <c r="D69" s="79">
        <f>COUNTIFS(TU_DB[[pH Bin]:[pH Bin]],D$19,TU_DB[[Monitoring Site]:[Monitoring Site]],$B69)</f>
        <v>0</v>
      </c>
      <c r="E69" s="79">
        <f>COUNTIFS(TU_DB[[pH Bin]:[pH Bin]],E$19,TU_DB[[Monitoring Site]:[Monitoring Site]],$B69)</f>
        <v>8</v>
      </c>
      <c r="F69" s="79">
        <f>COUNTIFS(TU_DB[[pH Bin]:[pH Bin]],F$19,TU_DB[[Monitoring Site]:[Monitoring Site]],$B69)</f>
        <v>13</v>
      </c>
      <c r="G69" s="79">
        <f>COUNTIFS(TU_DB[[pH Bin]:[pH Bin]],G$19,TU_DB[[Monitoring Site]:[Monitoring Site]],$B69)</f>
        <v>8</v>
      </c>
      <c r="H69" s="79">
        <f>COUNTIFS(TU_DB[[pH Bin]:[pH Bin]],H$19,TU_DB[[Monitoring Site]:[Monitoring Site]],$B69)</f>
        <v>1</v>
      </c>
      <c r="I69" s="79">
        <f>COUNTIFS(TU_DB[[pH Bin]:[pH Bin]],I$19,TU_DB[[Monitoring Site]:[Monitoring Site]],$B69)</f>
        <v>0</v>
      </c>
      <c r="J69" s="257">
        <f t="shared" si="11"/>
        <v>30</v>
      </c>
      <c r="K69" s="268">
        <f t="shared" si="10"/>
        <v>0.16042780748663102</v>
      </c>
      <c r="U69"/>
    </row>
    <row r="70" spans="2:21" x14ac:dyDescent="0.25">
      <c r="B70" s="8" t="str">
        <f>Use!S129</f>
        <v>Plum Creek @ Plum CIty Park</v>
      </c>
      <c r="C70" s="257">
        <f>COUNTIFS(TU_DB[[pH Bin]:[pH Bin]],C$19,TU_DB[[Monitoring Site]:[Monitoring Site]],$B70)</f>
        <v>0</v>
      </c>
      <c r="D70" s="79">
        <f>COUNTIFS(TU_DB[[pH Bin]:[pH Bin]],D$19,TU_DB[[Monitoring Site]:[Monitoring Site]],$B70)</f>
        <v>0</v>
      </c>
      <c r="E70" s="79">
        <f>COUNTIFS(TU_DB[[pH Bin]:[pH Bin]],E$19,TU_DB[[Monitoring Site]:[Monitoring Site]],$B70)</f>
        <v>9</v>
      </c>
      <c r="F70" s="79">
        <f>COUNTIFS(TU_DB[[pH Bin]:[pH Bin]],F$19,TU_DB[[Monitoring Site]:[Monitoring Site]],$B70)</f>
        <v>3</v>
      </c>
      <c r="G70" s="79">
        <f>COUNTIFS(TU_DB[[pH Bin]:[pH Bin]],G$19,TU_DB[[Monitoring Site]:[Monitoring Site]],$B70)</f>
        <v>5</v>
      </c>
      <c r="H70" s="79">
        <f>COUNTIFS(TU_DB[[pH Bin]:[pH Bin]],H$19,TU_DB[[Monitoring Site]:[Monitoring Site]],$B70)</f>
        <v>0</v>
      </c>
      <c r="I70" s="79">
        <f>COUNTIFS(TU_DB[[pH Bin]:[pH Bin]],I$19,TU_DB[[Monitoring Site]:[Monitoring Site]],$B70)</f>
        <v>0</v>
      </c>
      <c r="J70" s="257">
        <f t="shared" si="11"/>
        <v>17</v>
      </c>
      <c r="K70" s="268">
        <f t="shared" si="10"/>
        <v>9.0909090909090912E-2</v>
      </c>
      <c r="U70"/>
    </row>
    <row r="71" spans="2:21" x14ac:dyDescent="0.25">
      <c r="B71" s="8" t="str">
        <f>Use!S130</f>
        <v>Rocky Branch Creek, Lower Glen Park</v>
      </c>
      <c r="C71" s="257">
        <f>COUNTIFS(TU_DB[[pH Bin]:[pH Bin]],C$19,TU_DB[[Monitoring Site]:[Monitoring Site]],$B71)</f>
        <v>0</v>
      </c>
      <c r="D71" s="79">
        <f>COUNTIFS(TU_DB[[pH Bin]:[pH Bin]],D$19,TU_DB[[Monitoring Site]:[Monitoring Site]],$B71)</f>
        <v>0</v>
      </c>
      <c r="E71" s="79">
        <f>COUNTIFS(TU_DB[[pH Bin]:[pH Bin]],E$19,TU_DB[[Monitoring Site]:[Monitoring Site]],$B71)</f>
        <v>2</v>
      </c>
      <c r="F71" s="79">
        <f>COUNTIFS(TU_DB[[pH Bin]:[pH Bin]],F$19,TU_DB[[Monitoring Site]:[Monitoring Site]],$B71)</f>
        <v>8</v>
      </c>
      <c r="G71" s="79">
        <f>COUNTIFS(TU_DB[[pH Bin]:[pH Bin]],G$19,TU_DB[[Monitoring Site]:[Monitoring Site]],$B71)</f>
        <v>0</v>
      </c>
      <c r="H71" s="79">
        <f>COUNTIFS(TU_DB[[pH Bin]:[pH Bin]],H$19,TU_DB[[Monitoring Site]:[Monitoring Site]],$B71)</f>
        <v>0</v>
      </c>
      <c r="I71" s="79">
        <f>COUNTIFS(TU_DB[[pH Bin]:[pH Bin]],I$19,TU_DB[[Monitoring Site]:[Monitoring Site]],$B71)</f>
        <v>0</v>
      </c>
      <c r="J71" s="257">
        <f t="shared" si="11"/>
        <v>10</v>
      </c>
      <c r="K71" s="268">
        <f t="shared" si="10"/>
        <v>5.3475935828877004E-2</v>
      </c>
      <c r="U71"/>
    </row>
    <row r="72" spans="2:21" x14ac:dyDescent="0.25">
      <c r="B72" s="8" t="str">
        <f>Use!S131</f>
        <v>Rush River @ 570th Ave</v>
      </c>
      <c r="C72" s="257">
        <f>COUNTIFS(TU_DB[[pH Bin]:[pH Bin]],C$19,TU_DB[[Monitoring Site]:[Monitoring Site]],$B72)</f>
        <v>0</v>
      </c>
      <c r="D72" s="79">
        <f>COUNTIFS(TU_DB[[pH Bin]:[pH Bin]],D$19,TU_DB[[Monitoring Site]:[Monitoring Site]],$B72)</f>
        <v>4</v>
      </c>
      <c r="E72" s="79">
        <f>COUNTIFS(TU_DB[[pH Bin]:[pH Bin]],E$19,TU_DB[[Monitoring Site]:[Monitoring Site]],$B72)</f>
        <v>10</v>
      </c>
      <c r="F72" s="79">
        <f>COUNTIFS(TU_DB[[pH Bin]:[pH Bin]],F$19,TU_DB[[Monitoring Site]:[Monitoring Site]],$B72)</f>
        <v>8</v>
      </c>
      <c r="G72" s="79">
        <f>COUNTIFS(TU_DB[[pH Bin]:[pH Bin]],G$19,TU_DB[[Monitoring Site]:[Monitoring Site]],$B72)</f>
        <v>3</v>
      </c>
      <c r="H72" s="79">
        <f>COUNTIFS(TU_DB[[pH Bin]:[pH Bin]],H$19,TU_DB[[Monitoring Site]:[Monitoring Site]],$B72)</f>
        <v>0</v>
      </c>
      <c r="I72" s="79">
        <f>COUNTIFS(TU_DB[[pH Bin]:[pH Bin]],I$19,TU_DB[[Monitoring Site]:[Monitoring Site]],$B72)</f>
        <v>0</v>
      </c>
      <c r="J72" s="257">
        <f t="shared" si="11"/>
        <v>25</v>
      </c>
      <c r="K72" s="268">
        <f t="shared" si="10"/>
        <v>0.13368983957219252</v>
      </c>
      <c r="U72"/>
    </row>
    <row r="73" spans="2:21" x14ac:dyDescent="0.25">
      <c r="B73" s="8" t="str">
        <f>Use!S132</f>
        <v>SF Kinnickinnic River @ 900th St</v>
      </c>
      <c r="C73" s="257">
        <f>COUNTIFS(TU_DB[[pH Bin]:[pH Bin]],C$19,TU_DB[[Monitoring Site]:[Monitoring Site]],$B73)</f>
        <v>0</v>
      </c>
      <c r="D73" s="79">
        <f>COUNTIFS(TU_DB[[pH Bin]:[pH Bin]],D$19,TU_DB[[Monitoring Site]:[Monitoring Site]],$B73)</f>
        <v>0</v>
      </c>
      <c r="E73" s="79">
        <f>COUNTIFS(TU_DB[[pH Bin]:[pH Bin]],E$19,TU_DB[[Monitoring Site]:[Monitoring Site]],$B73)</f>
        <v>2</v>
      </c>
      <c r="F73" s="79">
        <f>COUNTIFS(TU_DB[[pH Bin]:[pH Bin]],F$19,TU_DB[[Monitoring Site]:[Monitoring Site]],$B73)</f>
        <v>2</v>
      </c>
      <c r="G73" s="79">
        <f>COUNTIFS(TU_DB[[pH Bin]:[pH Bin]],G$19,TU_DB[[Monitoring Site]:[Monitoring Site]],$B73)</f>
        <v>8</v>
      </c>
      <c r="H73" s="79">
        <f>COUNTIFS(TU_DB[[pH Bin]:[pH Bin]],H$19,TU_DB[[Monitoring Site]:[Monitoring Site]],$B73)</f>
        <v>0</v>
      </c>
      <c r="I73" s="79">
        <f>COUNTIFS(TU_DB[[pH Bin]:[pH Bin]],I$19,TU_DB[[Monitoring Site]:[Monitoring Site]],$B73)</f>
        <v>0</v>
      </c>
      <c r="J73" s="257">
        <f t="shared" si="11"/>
        <v>12</v>
      </c>
      <c r="K73" s="268">
        <f t="shared" si="10"/>
        <v>6.4171122994652413E-2</v>
      </c>
      <c r="U73"/>
    </row>
    <row r="74" spans="2:21" x14ac:dyDescent="0.25">
      <c r="B74" s="8" t="str">
        <f>Use!S133</f>
        <v>Trimbelle River @ County Rd W</v>
      </c>
      <c r="C74" s="257">
        <f>COUNTIFS(TU_DB[[pH Bin]:[pH Bin]],C$19,TU_DB[[Monitoring Site]:[Monitoring Site]],$B74)</f>
        <v>0</v>
      </c>
      <c r="D74" s="79">
        <f>COUNTIFS(TU_DB[[pH Bin]:[pH Bin]],D$19,TU_DB[[Monitoring Site]:[Monitoring Site]],$B74)</f>
        <v>1</v>
      </c>
      <c r="E74" s="79">
        <f>COUNTIFS(TU_DB[[pH Bin]:[pH Bin]],E$19,TU_DB[[Monitoring Site]:[Monitoring Site]],$B74)</f>
        <v>2</v>
      </c>
      <c r="F74" s="79">
        <f>COUNTIFS(TU_DB[[pH Bin]:[pH Bin]],F$19,TU_DB[[Monitoring Site]:[Monitoring Site]],$B74)</f>
        <v>2</v>
      </c>
      <c r="G74" s="79">
        <f>COUNTIFS(TU_DB[[pH Bin]:[pH Bin]],G$19,TU_DB[[Monitoring Site]:[Monitoring Site]],$B74)</f>
        <v>2</v>
      </c>
      <c r="H74" s="79">
        <f>COUNTIFS(TU_DB[[pH Bin]:[pH Bin]],H$19,TU_DB[[Monitoring Site]:[Monitoring Site]],$B74)</f>
        <v>0</v>
      </c>
      <c r="I74" s="79">
        <f>COUNTIFS(TU_DB[[pH Bin]:[pH Bin]],I$19,TU_DB[[Monitoring Site]:[Monitoring Site]],$B74)</f>
        <v>0</v>
      </c>
      <c r="J74" s="257">
        <f t="shared" si="11"/>
        <v>7</v>
      </c>
      <c r="K74" s="268">
        <f t="shared" si="10"/>
        <v>3.7433155080213901E-2</v>
      </c>
      <c r="U74"/>
    </row>
    <row r="75" spans="2:21" x14ac:dyDescent="0.25">
      <c r="B75" s="153" t="s">
        <v>1329</v>
      </c>
      <c r="C75" s="378">
        <f>SUM(C76:C85)</f>
        <v>0</v>
      </c>
      <c r="D75" s="378">
        <f t="shared" ref="D75:I75" si="12">SUM(D76:D85)</f>
        <v>1</v>
      </c>
      <c r="E75" s="378">
        <f t="shared" si="12"/>
        <v>31</v>
      </c>
      <c r="F75" s="378">
        <f t="shared" si="12"/>
        <v>40</v>
      </c>
      <c r="G75" s="378">
        <f t="shared" si="12"/>
        <v>29</v>
      </c>
      <c r="H75" s="378">
        <f t="shared" si="12"/>
        <v>0</v>
      </c>
      <c r="I75" s="378">
        <f t="shared" si="12"/>
        <v>3</v>
      </c>
      <c r="J75" s="378">
        <f>SUM(J76:J83)</f>
        <v>104</v>
      </c>
      <c r="K75" s="377"/>
      <c r="U75"/>
    </row>
    <row r="76" spans="2:21" x14ac:dyDescent="0.25">
      <c r="B76" s="8" t="str">
        <f>Use!S135</f>
        <v>Belle Creek</v>
      </c>
      <c r="C76" s="257">
        <f>COUNTIFS(TU_DB[[pH Bin]:[pH Bin]],C$19,TU_DB[[Monitoring Site]:[Monitoring Site]],$B76)</f>
        <v>0</v>
      </c>
      <c r="D76" s="79">
        <f>COUNTIFS(TU_DB[[pH Bin]:[pH Bin]],D$19,TU_DB[[Monitoring Site]:[Monitoring Site]],$B76)</f>
        <v>1</v>
      </c>
      <c r="E76" s="79">
        <f>COUNTIFS(TU_DB[[pH Bin]:[pH Bin]],E$19,TU_DB[[Monitoring Site]:[Monitoring Site]],$B76)</f>
        <v>3</v>
      </c>
      <c r="F76" s="79">
        <f>COUNTIFS(TU_DB[[pH Bin]:[pH Bin]],F$19,TU_DB[[Monitoring Site]:[Monitoring Site]],$B76)</f>
        <v>3</v>
      </c>
      <c r="G76" s="79">
        <f>COUNTIFS(TU_DB[[pH Bin]:[pH Bin]],G$19,TU_DB[[Monitoring Site]:[Monitoring Site]],$B76)</f>
        <v>0</v>
      </c>
      <c r="H76" s="79">
        <f>COUNTIFS(TU_DB[[pH Bin]:[pH Bin]],H$19,TU_DB[[Monitoring Site]:[Monitoring Site]],$B76)</f>
        <v>0</v>
      </c>
      <c r="I76" s="79">
        <f>COUNTIFS(TU_DB[[pH Bin]:[pH Bin]],I$19,TU_DB[[Monitoring Site]:[Monitoring Site]],$B76)</f>
        <v>0</v>
      </c>
      <c r="J76" s="257">
        <f t="shared" ref="J76:J83" si="13">SUM(C76:I76)</f>
        <v>7</v>
      </c>
      <c r="K76" s="268">
        <f t="shared" ref="K76:K83" si="14">SUM(J76)/$J$75</f>
        <v>6.7307692307692304E-2</v>
      </c>
      <c r="U76"/>
    </row>
    <row r="77" spans="2:21" x14ac:dyDescent="0.25">
      <c r="B77" s="8" t="str">
        <f>Use!S136</f>
        <v>Hay Creek @ 320th St</v>
      </c>
      <c r="C77" s="257">
        <f>COUNTIFS(TU_DB[[pH Bin]:[pH Bin]],C$19,TU_DB[[Monitoring Site]:[Monitoring Site]],$B77)</f>
        <v>0</v>
      </c>
      <c r="D77" s="79">
        <f>COUNTIFS(TU_DB[[pH Bin]:[pH Bin]],D$19,TU_DB[[Monitoring Site]:[Monitoring Site]],$B77)</f>
        <v>0</v>
      </c>
      <c r="E77" s="79">
        <f>COUNTIFS(TU_DB[[pH Bin]:[pH Bin]],E$19,TU_DB[[Monitoring Site]:[Monitoring Site]],$B77)</f>
        <v>0</v>
      </c>
      <c r="F77" s="79">
        <f>COUNTIFS(TU_DB[[pH Bin]:[pH Bin]],F$19,TU_DB[[Monitoring Site]:[Monitoring Site]],$B77)</f>
        <v>0</v>
      </c>
      <c r="G77" s="79">
        <f>COUNTIFS(TU_DB[[pH Bin]:[pH Bin]],G$19,TU_DB[[Monitoring Site]:[Monitoring Site]],$B77)</f>
        <v>0</v>
      </c>
      <c r="H77" s="79">
        <f>COUNTIFS(TU_DB[[pH Bin]:[pH Bin]],H$19,TU_DB[[Monitoring Site]:[Monitoring Site]],$B77)</f>
        <v>0</v>
      </c>
      <c r="I77" s="79">
        <f>COUNTIFS(TU_DB[[pH Bin]:[pH Bin]],I$19,TU_DB[[Monitoring Site]:[Monitoring Site]],$B77)</f>
        <v>0</v>
      </c>
      <c r="J77" s="257">
        <f t="shared" si="13"/>
        <v>0</v>
      </c>
      <c r="K77" s="268">
        <f t="shared" si="14"/>
        <v>0</v>
      </c>
      <c r="U77"/>
    </row>
    <row r="78" spans="2:21" x14ac:dyDescent="0.25">
      <c r="B78" s="8" t="str">
        <f>Use!S137</f>
        <v>Hay Creek @ 325th St</v>
      </c>
      <c r="C78" s="257">
        <f>COUNTIFS(TU_DB[[pH Bin]:[pH Bin]],C$19,TU_DB[[Monitoring Site]:[Monitoring Site]],$B78)</f>
        <v>0</v>
      </c>
      <c r="D78" s="79">
        <f>COUNTIFS(TU_DB[[pH Bin]:[pH Bin]],D$19,TU_DB[[Monitoring Site]:[Monitoring Site]],$B78)</f>
        <v>0</v>
      </c>
      <c r="E78" s="79">
        <f>COUNTIFS(TU_DB[[pH Bin]:[pH Bin]],E$19,TU_DB[[Monitoring Site]:[Monitoring Site]],$B78)</f>
        <v>0</v>
      </c>
      <c r="F78" s="79">
        <f>COUNTIFS(TU_DB[[pH Bin]:[pH Bin]],F$19,TU_DB[[Monitoring Site]:[Monitoring Site]],$B78)</f>
        <v>0</v>
      </c>
      <c r="G78" s="79">
        <f>COUNTIFS(TU_DB[[pH Bin]:[pH Bin]],G$19,TU_DB[[Monitoring Site]:[Monitoring Site]],$B78)</f>
        <v>0</v>
      </c>
      <c r="H78" s="79">
        <f>COUNTIFS(TU_DB[[pH Bin]:[pH Bin]],H$19,TU_DB[[Monitoring Site]:[Monitoring Site]],$B78)</f>
        <v>0</v>
      </c>
      <c r="I78" s="79">
        <f>COUNTIFS(TU_DB[[pH Bin]:[pH Bin]],I$19,TU_DB[[Monitoring Site]:[Monitoring Site]],$B78)</f>
        <v>0</v>
      </c>
      <c r="J78" s="257">
        <f t="shared" si="13"/>
        <v>0</v>
      </c>
      <c r="K78" s="268">
        <f t="shared" si="14"/>
        <v>0</v>
      </c>
      <c r="U78"/>
    </row>
    <row r="79" spans="2:21" x14ac:dyDescent="0.25">
      <c r="B79" s="8" t="str">
        <f>Use!S138</f>
        <v>Eagle Creek</v>
      </c>
      <c r="C79" s="257">
        <f>COUNTIFS(TU_DB[[pH Bin]:[pH Bin]],C$19,TU_DB[[Monitoring Site]:[Monitoring Site]],$B79)</f>
        <v>0</v>
      </c>
      <c r="D79" s="79">
        <f>COUNTIFS(TU_DB[[pH Bin]:[pH Bin]],D$19,TU_DB[[Monitoring Site]:[Monitoring Site]],$B79)</f>
        <v>0</v>
      </c>
      <c r="E79" s="79">
        <f>COUNTIFS(TU_DB[[pH Bin]:[pH Bin]],E$19,TU_DB[[Monitoring Site]:[Monitoring Site]],$B79)</f>
        <v>0</v>
      </c>
      <c r="F79" s="79">
        <f>COUNTIFS(TU_DB[[pH Bin]:[pH Bin]],F$19,TU_DB[[Monitoring Site]:[Monitoring Site]],$B79)</f>
        <v>2</v>
      </c>
      <c r="G79" s="79">
        <f>COUNTIFS(TU_DB[[pH Bin]:[pH Bin]],G$19,TU_DB[[Monitoring Site]:[Monitoring Site]],$B79)</f>
        <v>0</v>
      </c>
      <c r="H79" s="79">
        <f>COUNTIFS(TU_DB[[pH Bin]:[pH Bin]],H$19,TU_DB[[Monitoring Site]:[Monitoring Site]],$B79)</f>
        <v>0</v>
      </c>
      <c r="I79" s="79">
        <f>COUNTIFS(TU_DB[[pH Bin]:[pH Bin]],I$19,TU_DB[[Monitoring Site]:[Monitoring Site]],$B79)</f>
        <v>0</v>
      </c>
      <c r="J79" s="257">
        <f t="shared" si="13"/>
        <v>2</v>
      </c>
      <c r="K79" s="268">
        <f t="shared" si="14"/>
        <v>1.9230769230769232E-2</v>
      </c>
      <c r="U79"/>
    </row>
    <row r="80" spans="2:21" x14ac:dyDescent="0.25">
      <c r="B80" s="8" t="str">
        <f>Use!S139</f>
        <v>Little Cannon River</v>
      </c>
      <c r="C80" s="257">
        <f>COUNTIFS(TU_DB[[pH Bin]:[pH Bin]],C$19,TU_DB[[Monitoring Site]:[Monitoring Site]],$B80)</f>
        <v>0</v>
      </c>
      <c r="D80" s="79">
        <f>COUNTIFS(TU_DB[[pH Bin]:[pH Bin]],D$19,TU_DB[[Monitoring Site]:[Monitoring Site]],$B80)</f>
        <v>0</v>
      </c>
      <c r="E80" s="79">
        <f>COUNTIFS(TU_DB[[pH Bin]:[pH Bin]],E$19,TU_DB[[Monitoring Site]:[Monitoring Site]],$B80)</f>
        <v>0</v>
      </c>
      <c r="F80" s="79">
        <f>COUNTIFS(TU_DB[[pH Bin]:[pH Bin]],F$19,TU_DB[[Monitoring Site]:[Monitoring Site]],$B80)</f>
        <v>0</v>
      </c>
      <c r="G80" s="79">
        <f>COUNTIFS(TU_DB[[pH Bin]:[pH Bin]],G$19,TU_DB[[Monitoring Site]:[Monitoring Site]],$B80)</f>
        <v>0</v>
      </c>
      <c r="H80" s="79">
        <f>COUNTIFS(TU_DB[[pH Bin]:[pH Bin]],H$19,TU_DB[[Monitoring Site]:[Monitoring Site]],$B80)</f>
        <v>0</v>
      </c>
      <c r="I80" s="79">
        <f>COUNTIFS(TU_DB[[pH Bin]:[pH Bin]],I$19,TU_DB[[Monitoring Site]:[Monitoring Site]],$B80)</f>
        <v>0</v>
      </c>
      <c r="J80" s="257">
        <f t="shared" si="13"/>
        <v>0</v>
      </c>
      <c r="K80" s="268">
        <f t="shared" si="14"/>
        <v>0</v>
      </c>
      <c r="U80"/>
    </row>
    <row r="81" spans="2:34" x14ac:dyDescent="0.25">
      <c r="B81" s="8" t="str">
        <f>Use!S140</f>
        <v>MOA Creek</v>
      </c>
      <c r="C81" s="257">
        <f>COUNTIFS(TU_DB[[pH Bin]:[pH Bin]],C$19,TU_DB[[Monitoring Site]:[Monitoring Site]],$B81)</f>
        <v>0</v>
      </c>
      <c r="D81" s="79">
        <f>COUNTIFS(TU_DB[[pH Bin]:[pH Bin]],D$19,TU_DB[[Monitoring Site]:[Monitoring Site]],$B81)</f>
        <v>0</v>
      </c>
      <c r="E81" s="79">
        <f>COUNTIFS(TU_DB[[pH Bin]:[pH Bin]],E$19,TU_DB[[Monitoring Site]:[Monitoring Site]],$B81)</f>
        <v>5</v>
      </c>
      <c r="F81" s="79">
        <f>COUNTIFS(TU_DB[[pH Bin]:[pH Bin]],F$19,TU_DB[[Monitoring Site]:[Monitoring Site]],$B81)</f>
        <v>4</v>
      </c>
      <c r="G81" s="79">
        <f>COUNTIFS(TU_DB[[pH Bin]:[pH Bin]],G$19,TU_DB[[Monitoring Site]:[Monitoring Site]],$B81)</f>
        <v>13</v>
      </c>
      <c r="H81" s="79">
        <f>COUNTIFS(TU_DB[[pH Bin]:[pH Bin]],H$19,TU_DB[[Monitoring Site]:[Monitoring Site]],$B81)</f>
        <v>0</v>
      </c>
      <c r="I81" s="79">
        <f>COUNTIFS(TU_DB[[pH Bin]:[pH Bin]],I$19,TU_DB[[Monitoring Site]:[Monitoring Site]],$B81)</f>
        <v>0</v>
      </c>
      <c r="J81" s="257">
        <f t="shared" si="13"/>
        <v>22</v>
      </c>
      <c r="K81" s="268">
        <f t="shared" si="14"/>
        <v>0.21153846153846154</v>
      </c>
      <c r="U81"/>
    </row>
    <row r="82" spans="2:34" x14ac:dyDescent="0.25">
      <c r="B82" s="8" t="str">
        <f>Use!S141</f>
        <v>Trout Brook</v>
      </c>
      <c r="C82" s="257">
        <f>COUNTIFS(TU_DB[[pH Bin]:[pH Bin]],C$19,TU_DB[[Monitoring Site]:[Monitoring Site]],$B82)</f>
        <v>0</v>
      </c>
      <c r="D82" s="79">
        <f>COUNTIFS(TU_DB[[pH Bin]:[pH Bin]],D$19,TU_DB[[Monitoring Site]:[Monitoring Site]],$B82)</f>
        <v>0</v>
      </c>
      <c r="E82" s="79">
        <f>COUNTIFS(TU_DB[[pH Bin]:[pH Bin]],E$19,TU_DB[[Monitoring Site]:[Monitoring Site]],$B82)</f>
        <v>8</v>
      </c>
      <c r="F82" s="79">
        <f>COUNTIFS(TU_DB[[pH Bin]:[pH Bin]],F$19,TU_DB[[Monitoring Site]:[Monitoring Site]],$B82)</f>
        <v>26</v>
      </c>
      <c r="G82" s="79">
        <f>COUNTIFS(TU_DB[[pH Bin]:[pH Bin]],G$19,TU_DB[[Monitoring Site]:[Monitoring Site]],$B82)</f>
        <v>3</v>
      </c>
      <c r="H82" s="79">
        <f>COUNTIFS(TU_DB[[pH Bin]:[pH Bin]],H$19,TU_DB[[Monitoring Site]:[Monitoring Site]],$B82)</f>
        <v>0</v>
      </c>
      <c r="I82" s="79">
        <f>COUNTIFS(TU_DB[[pH Bin]:[pH Bin]],I$19,TU_DB[[Monitoring Site]:[Monitoring Site]],$B82)</f>
        <v>1</v>
      </c>
      <c r="J82" s="257">
        <f t="shared" si="13"/>
        <v>38</v>
      </c>
      <c r="K82" s="268">
        <f t="shared" si="14"/>
        <v>0.36538461538461536</v>
      </c>
      <c r="U82"/>
    </row>
    <row r="83" spans="2:34" ht="15.75" thickBot="1" x14ac:dyDescent="0.3">
      <c r="B83" s="379" t="str">
        <f>Use!S142</f>
        <v>Vermillion River, South Branch</v>
      </c>
      <c r="C83" s="258">
        <f>COUNTIFS(TU_DB[[pH Bin]:[pH Bin]],C$19,TU_DB[[Monitoring Site]:[Monitoring Site]],$B83)</f>
        <v>0</v>
      </c>
      <c r="D83" s="255">
        <f>COUNTIFS(TU_DB[[pH Bin]:[pH Bin]],D$19,TU_DB[[Monitoring Site]:[Monitoring Site]],$B83)</f>
        <v>0</v>
      </c>
      <c r="E83" s="255">
        <f>COUNTIFS(TU_DB[[pH Bin]:[pH Bin]],E$19,TU_DB[[Monitoring Site]:[Monitoring Site]],$B83)</f>
        <v>15</v>
      </c>
      <c r="F83" s="255">
        <f>COUNTIFS(TU_DB[[pH Bin]:[pH Bin]],F$19,TU_DB[[Monitoring Site]:[Monitoring Site]],$B83)</f>
        <v>5</v>
      </c>
      <c r="G83" s="255">
        <f>COUNTIFS(TU_DB[[pH Bin]:[pH Bin]],G$19,TU_DB[[Monitoring Site]:[Monitoring Site]],$B83)</f>
        <v>13</v>
      </c>
      <c r="H83" s="255">
        <f>COUNTIFS(TU_DB[[pH Bin]:[pH Bin]],H$19,TU_DB[[Monitoring Site]:[Monitoring Site]],$B83)</f>
        <v>0</v>
      </c>
      <c r="I83" s="255">
        <f>COUNTIFS(TU_DB[[pH Bin]:[pH Bin]],I$19,TU_DB[[Monitoring Site]:[Monitoring Site]],$B83)</f>
        <v>2</v>
      </c>
      <c r="J83" s="258">
        <f t="shared" si="13"/>
        <v>35</v>
      </c>
      <c r="K83" s="380">
        <f t="shared" si="14"/>
        <v>0.33653846153846156</v>
      </c>
      <c r="U83"/>
    </row>
    <row r="84" spans="2:34" x14ac:dyDescent="0.25">
      <c r="U84"/>
      <c r="AF84" s="1"/>
      <c r="AG84" s="1"/>
      <c r="AH84" s="1"/>
    </row>
    <row r="85" spans="2:34" x14ac:dyDescent="0.25">
      <c r="O85" s="317" t="s">
        <v>4168</v>
      </c>
      <c r="P85" s="318">
        <v>6</v>
      </c>
      <c r="Q85" s="318">
        <v>6.5</v>
      </c>
      <c r="R85" s="318">
        <v>7</v>
      </c>
      <c r="S85" s="318">
        <v>7.5</v>
      </c>
      <c r="T85" s="318">
        <v>8</v>
      </c>
      <c r="U85" s="318">
        <v>8.5</v>
      </c>
      <c r="V85" s="318">
        <v>9</v>
      </c>
    </row>
    <row r="86" spans="2:34" x14ac:dyDescent="0.25">
      <c r="O86" s="318" t="str">
        <f t="shared" ref="O86" si="15">INDEX(B64:B82,MATCH($O$62,$B$64:$B$82,0))</f>
        <v>Hay Creek @ 320th St</v>
      </c>
      <c r="P86" s="318">
        <f>INDEX(C64:C83,MATCH($O$62,$B$64:$B$83,0))</f>
        <v>0</v>
      </c>
      <c r="Q86" s="318">
        <f t="shared" ref="Q86:V86" si="16">INDEX(D64:D83,MATCH($O$62,$B$64:$B$83,0))</f>
        <v>0</v>
      </c>
      <c r="R86" s="318">
        <f t="shared" si="16"/>
        <v>0</v>
      </c>
      <c r="S86" s="318">
        <f t="shared" si="16"/>
        <v>0</v>
      </c>
      <c r="T86" s="318">
        <f t="shared" si="16"/>
        <v>0</v>
      </c>
      <c r="U86" s="318">
        <f t="shared" si="16"/>
        <v>0</v>
      </c>
      <c r="V86" s="318">
        <f t="shared" si="16"/>
        <v>0</v>
      </c>
    </row>
    <row r="87" spans="2:34" x14ac:dyDescent="0.25">
      <c r="U87"/>
    </row>
    <row r="88" spans="2:34" x14ac:dyDescent="0.25">
      <c r="U88"/>
    </row>
    <row r="89" spans="2:34" x14ac:dyDescent="0.25">
      <c r="U89"/>
    </row>
    <row r="90" spans="2:34" x14ac:dyDescent="0.25">
      <c r="U90"/>
    </row>
    <row r="91" spans="2:34" x14ac:dyDescent="0.25">
      <c r="U91"/>
    </row>
    <row r="92" spans="2:34" x14ac:dyDescent="0.25">
      <c r="U92"/>
    </row>
    <row r="93" spans="2:34" x14ac:dyDescent="0.25">
      <c r="U93"/>
    </row>
    <row r="94" spans="2:34" x14ac:dyDescent="0.25">
      <c r="C94"/>
      <c r="D94"/>
      <c r="E94"/>
      <c r="U94"/>
      <c r="AA94"/>
      <c r="AB94"/>
    </row>
    <row r="95" spans="2:34" x14ac:dyDescent="0.25">
      <c r="C95"/>
      <c r="D95"/>
      <c r="E95"/>
      <c r="S95" s="1"/>
      <c r="T95" s="15"/>
      <c r="U95"/>
      <c r="AA95"/>
      <c r="AB95"/>
    </row>
    <row r="96" spans="2:34" x14ac:dyDescent="0.25">
      <c r="C96"/>
      <c r="D96"/>
      <c r="E96"/>
      <c r="K96" s="1"/>
      <c r="S96" s="1"/>
      <c r="T96" s="15"/>
      <c r="U96"/>
      <c r="AA96"/>
      <c r="AB96"/>
    </row>
    <row r="97" spans="3:28" x14ac:dyDescent="0.25">
      <c r="C97"/>
      <c r="D97"/>
      <c r="E97"/>
      <c r="K97" s="1"/>
      <c r="S97" s="1"/>
      <c r="T97" s="15"/>
      <c r="U97"/>
      <c r="AA97"/>
      <c r="AB97"/>
    </row>
    <row r="98" spans="3:28" x14ac:dyDescent="0.25">
      <c r="C98"/>
      <c r="D98"/>
      <c r="E98"/>
      <c r="K98" s="1"/>
      <c r="S98" s="1"/>
      <c r="T98" s="15"/>
      <c r="U98"/>
      <c r="AA98"/>
      <c r="AB98"/>
    </row>
    <row r="99" spans="3:28" customFormat="1" x14ac:dyDescent="0.25">
      <c r="S99" s="1"/>
      <c r="T99" s="15"/>
    </row>
    <row r="100" spans="3:28" customFormat="1" x14ac:dyDescent="0.25">
      <c r="S100" s="1"/>
      <c r="T100" s="15"/>
    </row>
    <row r="101" spans="3:28" x14ac:dyDescent="0.25">
      <c r="C101"/>
      <c r="D101"/>
      <c r="E101"/>
      <c r="M101" s="1"/>
      <c r="S101" s="1"/>
      <c r="T101" s="15"/>
      <c r="U101"/>
      <c r="AA101"/>
      <c r="AB101"/>
    </row>
    <row r="102" spans="3:28" x14ac:dyDescent="0.25">
      <c r="C102"/>
      <c r="D102"/>
      <c r="E102"/>
      <c r="M102" s="1"/>
      <c r="S102" s="1"/>
      <c r="T102" s="15"/>
      <c r="U102"/>
      <c r="AA102"/>
      <c r="AB102"/>
    </row>
    <row r="103" spans="3:28" x14ac:dyDescent="0.25">
      <c r="C103"/>
      <c r="D103"/>
      <c r="E103"/>
      <c r="M103" s="1"/>
      <c r="S103" s="1"/>
      <c r="T103" s="15"/>
      <c r="U103"/>
      <c r="AA103"/>
      <c r="AB103"/>
    </row>
    <row r="104" spans="3:28" x14ac:dyDescent="0.25">
      <c r="C104"/>
      <c r="D104"/>
      <c r="E104"/>
      <c r="M104" s="1"/>
      <c r="S104" s="1"/>
      <c r="T104" s="15"/>
      <c r="U104"/>
      <c r="AA104"/>
      <c r="AB104"/>
    </row>
    <row r="105" spans="3:28" x14ac:dyDescent="0.25">
      <c r="C105"/>
      <c r="D105"/>
      <c r="E105"/>
      <c r="M105" s="1"/>
      <c r="S105" s="1"/>
      <c r="T105" s="15"/>
      <c r="U105"/>
      <c r="AA105"/>
      <c r="AB105"/>
    </row>
    <row r="106" spans="3:28" x14ac:dyDescent="0.25">
      <c r="C106"/>
      <c r="D106"/>
      <c r="E106"/>
      <c r="M106" s="1"/>
      <c r="S106" s="1"/>
      <c r="T106" s="15"/>
      <c r="U106"/>
      <c r="AA106"/>
      <c r="AB106"/>
    </row>
    <row r="107" spans="3:28" x14ac:dyDescent="0.25">
      <c r="C107"/>
      <c r="D107"/>
      <c r="E107"/>
      <c r="M107" s="1"/>
      <c r="S107" s="1"/>
      <c r="T107" s="15"/>
      <c r="U107"/>
      <c r="AA107"/>
      <c r="AB107"/>
    </row>
    <row r="108" spans="3:28" x14ac:dyDescent="0.25">
      <c r="C108"/>
      <c r="D108"/>
      <c r="E108"/>
      <c r="M108" s="1"/>
      <c r="S108" s="1"/>
      <c r="T108" s="15"/>
      <c r="U108"/>
      <c r="AA108"/>
      <c r="AB108"/>
    </row>
    <row r="109" spans="3:28" x14ac:dyDescent="0.25">
      <c r="C109"/>
      <c r="D109"/>
      <c r="E109"/>
      <c r="M109" s="1"/>
      <c r="S109" s="1"/>
      <c r="T109" s="15"/>
      <c r="U109"/>
      <c r="AA109"/>
      <c r="AB109"/>
    </row>
    <row r="110" spans="3:28" x14ac:dyDescent="0.25">
      <c r="C110"/>
      <c r="D110"/>
      <c r="E110"/>
      <c r="M110" s="1"/>
      <c r="S110" s="1"/>
      <c r="T110" s="15"/>
      <c r="U110"/>
      <c r="AA110"/>
      <c r="AB110"/>
    </row>
    <row r="111" spans="3:28" x14ac:dyDescent="0.25">
      <c r="C111"/>
      <c r="D111"/>
      <c r="E111"/>
      <c r="M111" s="1"/>
      <c r="S111" s="1"/>
      <c r="T111" s="15"/>
      <c r="U111"/>
      <c r="AA111"/>
      <c r="AB111"/>
    </row>
    <row r="112" spans="3:28" x14ac:dyDescent="0.25">
      <c r="C112"/>
      <c r="D112"/>
      <c r="E112"/>
      <c r="M112" s="1"/>
      <c r="S112" s="1"/>
      <c r="T112" s="15"/>
      <c r="U112"/>
      <c r="AA112"/>
      <c r="AB112"/>
    </row>
    <row r="113" spans="3:28" x14ac:dyDescent="0.25">
      <c r="C113"/>
      <c r="D113"/>
      <c r="E113"/>
      <c r="M113" s="1"/>
      <c r="S113" s="1"/>
      <c r="T113" s="15"/>
      <c r="U113"/>
      <c r="AA113"/>
      <c r="AB113"/>
    </row>
    <row r="114" spans="3:28" x14ac:dyDescent="0.25">
      <c r="C114"/>
      <c r="D114"/>
      <c r="E114"/>
      <c r="M114" s="1"/>
      <c r="S114" s="1"/>
      <c r="T114" s="15"/>
      <c r="U114"/>
      <c r="AA114"/>
      <c r="AB114"/>
    </row>
    <row r="115" spans="3:28" x14ac:dyDescent="0.25">
      <c r="C115"/>
      <c r="D115"/>
      <c r="E115"/>
      <c r="M115" s="1"/>
      <c r="S115" s="1"/>
      <c r="T115" s="15"/>
      <c r="U115"/>
      <c r="AA115"/>
      <c r="AB115"/>
    </row>
    <row r="116" spans="3:28" x14ac:dyDescent="0.25">
      <c r="C116"/>
      <c r="D116"/>
      <c r="E116"/>
      <c r="M116" s="1"/>
      <c r="S116" s="1"/>
      <c r="T116" s="15"/>
      <c r="U116"/>
      <c r="AA116"/>
      <c r="AB116"/>
    </row>
    <row r="117" spans="3:28" x14ac:dyDescent="0.25">
      <c r="C117"/>
      <c r="D117"/>
      <c r="E117"/>
      <c r="M117" s="1"/>
      <c r="S117" s="1"/>
      <c r="T117" s="15"/>
      <c r="U117"/>
      <c r="AA117"/>
      <c r="AB117"/>
    </row>
    <row r="118" spans="3:28" x14ac:dyDescent="0.25">
      <c r="C118"/>
      <c r="D118"/>
      <c r="E118"/>
      <c r="M118" s="1"/>
      <c r="S118" s="1"/>
      <c r="T118" s="15"/>
      <c r="U118"/>
      <c r="AA118"/>
      <c r="AB118"/>
    </row>
    <row r="119" spans="3:28" x14ac:dyDescent="0.25">
      <c r="C119"/>
      <c r="D119"/>
      <c r="E119"/>
      <c r="M119" s="1"/>
      <c r="S119" s="1"/>
      <c r="T119" s="15"/>
      <c r="U119"/>
      <c r="AA119"/>
      <c r="AB119"/>
    </row>
    <row r="120" spans="3:28" x14ac:dyDescent="0.25">
      <c r="C120"/>
      <c r="D120"/>
      <c r="E120"/>
      <c r="M120" s="1"/>
      <c r="S120" s="1"/>
      <c r="T120" s="15"/>
      <c r="U120"/>
      <c r="AA120"/>
      <c r="AB120"/>
    </row>
    <row r="121" spans="3:28" x14ac:dyDescent="0.25">
      <c r="C121"/>
      <c r="D121"/>
      <c r="E121"/>
      <c r="M121" s="1"/>
      <c r="S121" s="1"/>
      <c r="T121" s="15"/>
      <c r="U121"/>
      <c r="AA121"/>
      <c r="AB121"/>
    </row>
    <row r="122" spans="3:28" x14ac:dyDescent="0.25">
      <c r="C122"/>
      <c r="D122"/>
      <c r="E122"/>
      <c r="M122" s="1"/>
      <c r="S122" s="1"/>
      <c r="T122" s="15"/>
      <c r="U122"/>
      <c r="AA122"/>
      <c r="AB122"/>
    </row>
    <row r="123" spans="3:28" x14ac:dyDescent="0.25">
      <c r="C123"/>
      <c r="D123"/>
      <c r="E123"/>
      <c r="M123" s="1"/>
      <c r="S123" s="1"/>
      <c r="T123" s="15"/>
      <c r="U123"/>
      <c r="AA123"/>
      <c r="AB123"/>
    </row>
    <row r="124" spans="3:28" x14ac:dyDescent="0.25">
      <c r="C124"/>
      <c r="D124"/>
      <c r="E124"/>
      <c r="M124" s="1"/>
      <c r="S124" s="1"/>
      <c r="T124" s="15"/>
      <c r="U124"/>
      <c r="AA124"/>
      <c r="AB124"/>
    </row>
    <row r="125" spans="3:28" x14ac:dyDescent="0.25">
      <c r="C125"/>
      <c r="D125"/>
      <c r="E125"/>
      <c r="M125" s="1"/>
      <c r="S125" s="1"/>
      <c r="T125" s="15"/>
      <c r="U125"/>
      <c r="AA125"/>
      <c r="AB125"/>
    </row>
    <row r="126" spans="3:28" x14ac:dyDescent="0.25">
      <c r="C126"/>
      <c r="D126"/>
      <c r="E126"/>
      <c r="M126" s="1"/>
      <c r="S126" s="1"/>
      <c r="T126" s="15"/>
      <c r="U126"/>
      <c r="AA126"/>
      <c r="AB126"/>
    </row>
  </sheetData>
  <mergeCells count="3">
    <mergeCell ref="C2:D2"/>
    <mergeCell ref="L18:L19"/>
    <mergeCell ref="O62:R62"/>
  </mergeCells>
  <dataValidations count="1">
    <dataValidation type="list" allowBlank="1" showInputMessage="1" showErrorMessage="1" sqref="O62:R62" xr:uid="{9372CD27-4EDE-4FF5-9BD8-CA042050F4E7}">
      <formula1>$B$64:$B$83</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D934A-2B83-461E-8907-FE74BDDA7552}">
  <sheetPr codeName="Sheet7"/>
  <dimension ref="A1:AV126"/>
  <sheetViews>
    <sheetView showGridLines="0" zoomScale="70" zoomScaleNormal="70" workbookViewId="0">
      <selection activeCell="G7" sqref="G7"/>
    </sheetView>
  </sheetViews>
  <sheetFormatPr defaultRowHeight="15" x14ac:dyDescent="0.25"/>
  <cols>
    <col min="1" max="1" width="2.28515625" customWidth="1"/>
    <col min="2" max="2" width="30.7109375" customWidth="1"/>
    <col min="3" max="3" width="15" style="1" customWidth="1"/>
    <col min="4" max="5" width="8.42578125" style="1" customWidth="1"/>
    <col min="6" max="8" width="8.42578125" customWidth="1"/>
    <col min="9" max="9" width="7.140625" customWidth="1"/>
    <col min="10" max="10" width="8.28515625" customWidth="1"/>
    <col min="11" max="11" width="8.42578125" customWidth="1"/>
    <col min="12" max="19" width="8.7109375" customWidth="1"/>
    <col min="20" max="20" width="8.7109375" style="1" customWidth="1"/>
    <col min="21" max="22" width="8.7109375" customWidth="1"/>
    <col min="23" max="25" width="12.140625" customWidth="1"/>
    <col min="26" max="26" width="12.140625" style="1" customWidth="1"/>
    <col min="27" max="27" width="12.140625" style="15" customWidth="1"/>
    <col min="28" max="35" width="12.140625" customWidth="1"/>
    <col min="36" max="37" width="3.85546875" bestFit="1" customWidth="1"/>
    <col min="38" max="38" width="2" bestFit="1" customWidth="1"/>
    <col min="39" max="39" width="30.5703125" bestFit="1" customWidth="1"/>
    <col min="40" max="40" width="8.42578125" bestFit="1" customWidth="1"/>
    <col min="41" max="42" width="2.85546875" bestFit="1" customWidth="1"/>
    <col min="43" max="45" width="3.85546875" bestFit="1" customWidth="1"/>
    <col min="46" max="46" width="2.85546875" bestFit="1" customWidth="1"/>
    <col min="47" max="47" width="11" bestFit="1" customWidth="1"/>
    <col min="48" max="48" width="5.7109375" bestFit="1" customWidth="1"/>
  </cols>
  <sheetData>
    <row r="1" spans="1:32" ht="20.65" customHeight="1" x14ac:dyDescent="0.45">
      <c r="A1" s="4" t="s">
        <v>1271</v>
      </c>
      <c r="B1" s="1"/>
    </row>
    <row r="2" spans="1:32" x14ac:dyDescent="0.25">
      <c r="B2" s="13" t="s">
        <v>75</v>
      </c>
      <c r="C2" s="557" t="s">
        <v>4171</v>
      </c>
      <c r="D2" s="557"/>
    </row>
    <row r="3" spans="1:32" x14ac:dyDescent="0.25">
      <c r="B3" s="13" t="s">
        <v>0</v>
      </c>
      <c r="C3" s="273">
        <f>TUDB!B3</f>
        <v>45580</v>
      </c>
    </row>
    <row r="4" spans="1:32" x14ac:dyDescent="0.25">
      <c r="B4" s="12"/>
    </row>
    <row r="5" spans="1:32" ht="30.4" customHeight="1" thickBot="1" x14ac:dyDescent="0.3">
      <c r="B5" s="281" t="s">
        <v>576</v>
      </c>
      <c r="Z5"/>
      <c r="AA5"/>
    </row>
    <row r="6" spans="1:32" s="7" customFormat="1" ht="30.4" customHeight="1" thickTop="1" x14ac:dyDescent="0.25">
      <c r="B6" s="112" t="s">
        <v>4172</v>
      </c>
      <c r="C6" s="112" t="s">
        <v>134</v>
      </c>
      <c r="D6" s="112" t="s">
        <v>963</v>
      </c>
      <c r="E6" s="112" t="s">
        <v>964</v>
      </c>
      <c r="F6" s="334">
        <v>2019</v>
      </c>
      <c r="G6" s="112">
        <v>2020</v>
      </c>
      <c r="H6" s="112">
        <v>2021</v>
      </c>
      <c r="I6" s="112">
        <v>2022</v>
      </c>
      <c r="J6" s="112">
        <v>2023</v>
      </c>
      <c r="K6" s="112">
        <v>2024</v>
      </c>
      <c r="T6" s="6"/>
      <c r="Y6"/>
      <c r="Z6"/>
      <c r="AA6" s="23"/>
      <c r="AB6" s="23"/>
      <c r="AC6" s="23"/>
      <c r="AD6" s="23"/>
      <c r="AE6" s="23"/>
      <c r="AF6" s="23"/>
    </row>
    <row r="7" spans="1:32" x14ac:dyDescent="0.25">
      <c r="B7" s="79">
        <v>0</v>
      </c>
      <c r="C7" s="79">
        <f>COUNTIFS(TU_DB[NO2 Bin (2n1) (ppm)],B7)</f>
        <v>1872</v>
      </c>
      <c r="D7" s="250">
        <f t="shared" ref="D7:D12" si="0">C7/$C$13</f>
        <v>0.99893276414087517</v>
      </c>
      <c r="E7" s="250">
        <f>D7</f>
        <v>0.99893276414087517</v>
      </c>
      <c r="F7" s="102">
        <f>COUNTIFS(TU_DB[[NO2 Bin (2n1) (ppm)]:[NO2 Bin (2n1) (ppm)]],$B7,TU_DB[[Year]:[Year]],F$6)</f>
        <v>0</v>
      </c>
      <c r="G7" s="79">
        <f>COUNTIFS(TU_DB[[NO2 Bin (2n1) (ppm)]:[NO2 Bin (2n1) (ppm)]],$B7,TU_DB[[Year]:[Year]],G$6)</f>
        <v>89</v>
      </c>
      <c r="H7" s="79">
        <f>COUNTIFS(TU_DB[[NO2 Bin (2n1) (ppm)]:[NO2 Bin (2n1) (ppm)]],$B7,TU_DB[[Year]:[Year]],H$6)</f>
        <v>307</v>
      </c>
      <c r="I7" s="79">
        <f>COUNTIFS(TU_DB[[NO2 Bin (2n1) (ppm)]:[NO2 Bin (2n1) (ppm)]],$B7,TU_DB[[Year]:[Year]],I$6)</f>
        <v>381</v>
      </c>
      <c r="J7" s="79">
        <f>COUNTIFS(TU_DB[[NO2 Bin (2n1) (ppm)]:[NO2 Bin (2n1) (ppm)]],$B7,TU_DB[[Year]:[Year]],J$6)</f>
        <v>705</v>
      </c>
      <c r="K7" s="79">
        <f>COUNTIFS(TU_DB[[NO2 Bin (2n1) (ppm)]:[NO2 Bin (2n1) (ppm)]],$B7,TU_DB[[Year]:[Year]],K$6)</f>
        <v>390</v>
      </c>
      <c r="Z7"/>
      <c r="AA7"/>
    </row>
    <row r="8" spans="1:32" x14ac:dyDescent="0.25">
      <c r="B8" s="79">
        <v>0.15</v>
      </c>
      <c r="C8" s="79">
        <f>COUNTIFS(TU_DB[NO2 Bin (2n1) (ppm)],B8)</f>
        <v>0</v>
      </c>
      <c r="D8" s="250">
        <f t="shared" si="0"/>
        <v>0</v>
      </c>
      <c r="E8" s="250">
        <f>D8+E7</f>
        <v>0.99893276414087517</v>
      </c>
      <c r="F8" s="102">
        <f>COUNTIFS(TU_DB[[NO2 Bin (2n1) (ppm)]:[NO2 Bin (2n1) (ppm)]],$B8,TU_DB[[Year]:[Year]],F$6)</f>
        <v>0</v>
      </c>
      <c r="G8" s="79">
        <f>COUNTIFS(TU_DB[[NO2 Bin (2n1) (ppm)]:[NO2 Bin (2n1) (ppm)]],$B8,TU_DB[[Year]:[Year]],G$6)</f>
        <v>0</v>
      </c>
      <c r="H8" s="79">
        <f>COUNTIFS(TU_DB[[NO2 Bin (2n1) (ppm)]:[NO2 Bin (2n1) (ppm)]],$B8,TU_DB[[Year]:[Year]],H$6)</f>
        <v>0</v>
      </c>
      <c r="I8" s="79">
        <f>COUNTIFS(TU_DB[[NO2 Bin (2n1) (ppm)]:[NO2 Bin (2n1) (ppm)]],$B8,TU_DB[[Year]:[Year]],I$6)</f>
        <v>0</v>
      </c>
      <c r="J8" s="79">
        <f>COUNTIFS(TU_DB[[NO2 Bin (2n1) (ppm)]:[NO2 Bin (2n1) (ppm)]],$B8,TU_DB[[Year]:[Year]],J$6)</f>
        <v>0</v>
      </c>
      <c r="K8" s="79">
        <f>COUNTIFS(TU_DB[[NO2 Bin (2n1) (ppm)]:[NO2 Bin (2n1) (ppm)]],$B8,TU_DB[[Year]:[Year]],K$6)</f>
        <v>0</v>
      </c>
      <c r="Z8"/>
      <c r="AA8"/>
    </row>
    <row r="9" spans="1:32" x14ac:dyDescent="0.25">
      <c r="B9" s="79">
        <v>0.3</v>
      </c>
      <c r="C9" s="79">
        <f>COUNTIFS(TU_DB[NO2 Bin (2n1) (ppm)],B9)</f>
        <v>0</v>
      </c>
      <c r="D9" s="250">
        <f t="shared" si="0"/>
        <v>0</v>
      </c>
      <c r="E9" s="250">
        <f>D9+E8</f>
        <v>0.99893276414087517</v>
      </c>
      <c r="F9" s="102">
        <f>COUNTIFS(TU_DB[[NO2 Bin (2n1) (ppm)]:[NO2 Bin (2n1) (ppm)]],$B9,TU_DB[[Year]:[Year]],F$6)</f>
        <v>0</v>
      </c>
      <c r="G9" s="79">
        <f>COUNTIFS(TU_DB[[NO2 Bin (2n1) (ppm)]:[NO2 Bin (2n1) (ppm)]],$B9,TU_DB[[Year]:[Year]],G$6)</f>
        <v>0</v>
      </c>
      <c r="H9" s="79">
        <f>COUNTIFS(TU_DB[[NO2 Bin (2n1) (ppm)]:[NO2 Bin (2n1) (ppm)]],$B9,TU_DB[[Year]:[Year]],H$6)</f>
        <v>0</v>
      </c>
      <c r="I9" s="79">
        <f>COUNTIFS(TU_DB[[NO2 Bin (2n1) (ppm)]:[NO2 Bin (2n1) (ppm)]],$B9,TU_DB[[Year]:[Year]],I$6)</f>
        <v>0</v>
      </c>
      <c r="J9" s="79">
        <f>COUNTIFS(TU_DB[[NO2 Bin (2n1) (ppm)]:[NO2 Bin (2n1) (ppm)]],$B9,TU_DB[[Year]:[Year]],J$6)</f>
        <v>0</v>
      </c>
      <c r="K9" s="79">
        <f>COUNTIFS(TU_DB[[NO2 Bin (2n1) (ppm)]:[NO2 Bin (2n1) (ppm)]],$B9,TU_DB[[Year]:[Year]],K$6)</f>
        <v>0</v>
      </c>
      <c r="Z9"/>
      <c r="AA9"/>
    </row>
    <row r="10" spans="1:32" x14ac:dyDescent="0.25">
      <c r="B10" s="79">
        <v>1</v>
      </c>
      <c r="C10" s="79">
        <f>COUNTIFS(TU_DB[NO2 Bin (2n1) (ppm)],B10)</f>
        <v>2</v>
      </c>
      <c r="D10" s="250">
        <f t="shared" si="0"/>
        <v>1.0672358591248667E-3</v>
      </c>
      <c r="E10" s="250">
        <f>D10+E9</f>
        <v>1</v>
      </c>
      <c r="F10" s="102">
        <f>COUNTIFS(TU_DB[[NO2 Bin (2n1) (ppm)]:[NO2 Bin (2n1) (ppm)]],$B10,TU_DB[[Year]:[Year]],F$6)</f>
        <v>0</v>
      </c>
      <c r="G10" s="79">
        <f>COUNTIFS(TU_DB[[NO2 Bin (2n1) (ppm)]:[NO2 Bin (2n1) (ppm)]],$B10,TU_DB[[Year]:[Year]],G$6)</f>
        <v>0</v>
      </c>
      <c r="H10" s="79">
        <f>COUNTIFS(TU_DB[[NO2 Bin (2n1) (ppm)]:[NO2 Bin (2n1) (ppm)]],$B10,TU_DB[[Year]:[Year]],H$6)</f>
        <v>0</v>
      </c>
      <c r="I10" s="79">
        <f>COUNTIFS(TU_DB[[NO2 Bin (2n1) (ppm)]:[NO2 Bin (2n1) (ppm)]],$B10,TU_DB[[Year]:[Year]],I$6)</f>
        <v>0</v>
      </c>
      <c r="J10" s="79">
        <f>COUNTIFS(TU_DB[[NO2 Bin (2n1) (ppm)]:[NO2 Bin (2n1) (ppm)]],$B10,TU_DB[[Year]:[Year]],J$6)</f>
        <v>1</v>
      </c>
      <c r="K10" s="79">
        <f>COUNTIFS(TU_DB[[NO2 Bin (2n1) (ppm)]:[NO2 Bin (2n1) (ppm)]],$B10,TU_DB[[Year]:[Year]],K$6)</f>
        <v>1</v>
      </c>
      <c r="Z10"/>
      <c r="AA10"/>
    </row>
    <row r="11" spans="1:32" x14ac:dyDescent="0.25">
      <c r="B11" s="79">
        <v>1.5</v>
      </c>
      <c r="C11" s="79">
        <f>COUNTIFS(TU_DB[NO2 Bin (2n1) (ppm)],B11)</f>
        <v>0</v>
      </c>
      <c r="D11" s="250">
        <f t="shared" si="0"/>
        <v>0</v>
      </c>
      <c r="E11" s="250">
        <f>D11+E10</f>
        <v>1</v>
      </c>
      <c r="F11" s="102">
        <f>COUNTIFS(TU_DB[[NO2 Bin (2n1) (ppm)]:[NO2 Bin (2n1) (ppm)]],$B11,TU_DB[[Year]:[Year]],F$6)</f>
        <v>0</v>
      </c>
      <c r="G11" s="79">
        <f>COUNTIFS(TU_DB[[NO2 Bin (2n1) (ppm)]:[NO2 Bin (2n1) (ppm)]],$B11,TU_DB[[Year]:[Year]],G$6)</f>
        <v>0</v>
      </c>
      <c r="H11" s="79">
        <f>COUNTIFS(TU_DB[[NO2 Bin (2n1) (ppm)]:[NO2 Bin (2n1) (ppm)]],$B11,TU_DB[[Year]:[Year]],H$6)</f>
        <v>0</v>
      </c>
      <c r="I11" s="79">
        <f>COUNTIFS(TU_DB[[NO2 Bin (2n1) (ppm)]:[NO2 Bin (2n1) (ppm)]],$B11,TU_DB[[Year]:[Year]],I$6)</f>
        <v>0</v>
      </c>
      <c r="J11" s="79">
        <f>COUNTIFS(TU_DB[[NO2 Bin (2n1) (ppm)]:[NO2 Bin (2n1) (ppm)]],$B11,TU_DB[[Year]:[Year]],J$6)</f>
        <v>0</v>
      </c>
      <c r="K11" s="79">
        <f>COUNTIFS(TU_DB[[NO2 Bin (2n1) (ppm)]:[NO2 Bin (2n1) (ppm)]],$B11,TU_DB[[Year]:[Year]],K$6)</f>
        <v>0</v>
      </c>
      <c r="Z11"/>
      <c r="AA11"/>
    </row>
    <row r="12" spans="1:32" x14ac:dyDescent="0.25">
      <c r="B12" s="79">
        <v>3</v>
      </c>
      <c r="C12" s="79">
        <f>COUNTIFS(TU_DB[NO2 Bin (2n1) (ppm)],B12)</f>
        <v>0</v>
      </c>
      <c r="D12" s="250">
        <f t="shared" si="0"/>
        <v>0</v>
      </c>
      <c r="E12" s="250">
        <f>D12+E11</f>
        <v>1</v>
      </c>
      <c r="F12" s="102">
        <f>COUNTIFS(TU_DB[[NO2 Bin (2n1) (ppm)]:[NO2 Bin (2n1) (ppm)]],$B12,TU_DB[[Year]:[Year]],F$6)</f>
        <v>0</v>
      </c>
      <c r="G12" s="79">
        <f>COUNTIFS(TU_DB[[NO2 Bin (2n1) (ppm)]:[NO2 Bin (2n1) (ppm)]],$B12,TU_DB[[Year]:[Year]],G$6)</f>
        <v>0</v>
      </c>
      <c r="H12" s="79">
        <f>COUNTIFS(TU_DB[[NO2 Bin (2n1) (ppm)]:[NO2 Bin (2n1) (ppm)]],$B12,TU_DB[[Year]:[Year]],H$6)</f>
        <v>0</v>
      </c>
      <c r="I12" s="79">
        <f>COUNTIFS(TU_DB[[NO2 Bin (2n1) (ppm)]:[NO2 Bin (2n1) (ppm)]],$B12,TU_DB[[Year]:[Year]],I$6)</f>
        <v>0</v>
      </c>
      <c r="J12" s="79">
        <f>COUNTIFS(TU_DB[[NO2 Bin (2n1) (ppm)]:[NO2 Bin (2n1) (ppm)]],$B12,TU_DB[[Year]:[Year]],J$6)</f>
        <v>0</v>
      </c>
      <c r="K12" s="79">
        <f>COUNTIFS(TU_DB[[NO2 Bin (2n1) (ppm)]:[NO2 Bin (2n1) (ppm)]],$B12,TU_DB[[Year]:[Year]],K$6)</f>
        <v>0</v>
      </c>
      <c r="Z12"/>
      <c r="AA12"/>
    </row>
    <row r="13" spans="1:32" ht="15.75" thickBot="1" x14ac:dyDescent="0.3">
      <c r="B13" s="251" t="s">
        <v>133</v>
      </c>
      <c r="C13" s="251">
        <f>SUM(C7:C12)</f>
        <v>1874</v>
      </c>
      <c r="D13" s="251"/>
      <c r="E13" s="251"/>
      <c r="F13" s="335">
        <f>SUM(F7:F12)</f>
        <v>0</v>
      </c>
      <c r="G13" s="251">
        <f t="shared" ref="G13:J13" si="1">SUM(G7:G12)</f>
        <v>89</v>
      </c>
      <c r="H13" s="251">
        <f t="shared" si="1"/>
        <v>307</v>
      </c>
      <c r="I13" s="251">
        <f t="shared" si="1"/>
        <v>381</v>
      </c>
      <c r="J13" s="251">
        <f t="shared" si="1"/>
        <v>706</v>
      </c>
      <c r="K13" s="251">
        <f t="shared" ref="K13" si="2">SUM(K7:K12)</f>
        <v>391</v>
      </c>
      <c r="Z13"/>
      <c r="AA13"/>
    </row>
    <row r="14" spans="1:32" ht="16.5" thickTop="1" x14ac:dyDescent="0.25">
      <c r="B14" s="11"/>
      <c r="Z14"/>
      <c r="AA14"/>
    </row>
    <row r="15" spans="1:32" x14ac:dyDescent="0.25">
      <c r="Z15"/>
      <c r="AA15"/>
    </row>
    <row r="16" spans="1:32" s="7" customFormat="1" x14ac:dyDescent="0.25">
      <c r="R16"/>
      <c r="S16"/>
      <c r="T16"/>
      <c r="U16"/>
      <c r="V16"/>
      <c r="W16"/>
      <c r="X16"/>
      <c r="Y16"/>
      <c r="Z16"/>
      <c r="AA16"/>
      <c r="AB16"/>
      <c r="AC16"/>
      <c r="AD16"/>
      <c r="AE16"/>
      <c r="AF16"/>
    </row>
    <row r="17" spans="2:48" ht="15" customHeight="1" thickBot="1" x14ac:dyDescent="0.3">
      <c r="B17" s="267" t="s">
        <v>575</v>
      </c>
      <c r="C17"/>
      <c r="D17"/>
      <c r="E17"/>
      <c r="T17"/>
    </row>
    <row r="18" spans="2:48" ht="15" customHeight="1" x14ac:dyDescent="0.25">
      <c r="B18" s="319"/>
      <c r="C18" s="322" t="s">
        <v>4173</v>
      </c>
      <c r="D18" s="323"/>
      <c r="E18" s="323"/>
      <c r="F18" s="323"/>
      <c r="G18" s="323"/>
      <c r="H18" s="323"/>
      <c r="I18" s="325"/>
      <c r="J18" s="319"/>
      <c r="K18" s="558" t="s">
        <v>4170</v>
      </c>
    </row>
    <row r="19" spans="2:48" ht="15" customHeight="1" x14ac:dyDescent="0.25">
      <c r="B19" s="320" t="s">
        <v>575</v>
      </c>
      <c r="C19" s="321">
        <v>0</v>
      </c>
      <c r="D19" s="320">
        <v>0.15</v>
      </c>
      <c r="E19" s="320">
        <v>0.3</v>
      </c>
      <c r="F19" s="320">
        <v>1</v>
      </c>
      <c r="G19" s="320">
        <v>1.5</v>
      </c>
      <c r="H19" s="320">
        <v>3</v>
      </c>
      <c r="I19" s="324" t="s">
        <v>2325</v>
      </c>
      <c r="J19" s="320" t="s">
        <v>2352</v>
      </c>
      <c r="K19" s="559"/>
    </row>
    <row r="20" spans="2:48" ht="15.75" customHeight="1" x14ac:dyDescent="0.25">
      <c r="B20" s="329" t="s">
        <v>35</v>
      </c>
      <c r="C20" s="262">
        <f>COUNTIFS(TU_DB[[NO2 Bin (2n1) (ppm)]:[NO2 Bin (2n1) (ppm)]],C$19,TU_DB[[Weather]:[Weather]],$B20)</f>
        <v>82</v>
      </c>
      <c r="D20" s="232">
        <f>COUNTIFS(TU_DB[[NO2 Bin (2n1) (ppm)]:[NO2 Bin (2n1) (ppm)]],D$19,TU_DB[[Weather]:[Weather]],$B20)</f>
        <v>0</v>
      </c>
      <c r="E20" s="232">
        <f>COUNTIFS(TU_DB[[NO2 Bin (2n1) (ppm)]:[NO2 Bin (2n1) (ppm)]],E$19,TU_DB[[Weather]:[Weather]],$B20)</f>
        <v>0</v>
      </c>
      <c r="F20" s="232">
        <f>COUNTIFS(TU_DB[[NO2 Bin (2n1) (ppm)]:[NO2 Bin (2n1) (ppm)]],F$19,TU_DB[[Weather]:[Weather]],$B20)</f>
        <v>0</v>
      </c>
      <c r="G20" s="232">
        <f>COUNTIFS(TU_DB[[NO2 Bin (2n1) (ppm)]:[NO2 Bin (2n1) (ppm)]],G$19,TU_DB[[Weather]:[Weather]],$B20)</f>
        <v>0</v>
      </c>
      <c r="H20" s="232">
        <f>COUNTIFS(TU_DB[[NO2 Bin (2n1) (ppm)]:[NO2 Bin (2n1) (ppm)]],H$19,TU_DB[[Weather]:[Weather]],$B20)</f>
        <v>0</v>
      </c>
      <c r="I20" s="262">
        <f t="shared" ref="I20:I25" si="3">SUM(C20:H20)</f>
        <v>82</v>
      </c>
      <c r="J20" s="263">
        <f t="shared" ref="J20:J25" si="4">SUM(I20)/SUM($I$20:$I$25)</f>
        <v>4.9013747758517634E-2</v>
      </c>
      <c r="K20" s="326" t="s">
        <v>3687</v>
      </c>
    </row>
    <row r="21" spans="2:48" ht="16.5" customHeight="1" x14ac:dyDescent="0.25">
      <c r="B21" s="329" t="s">
        <v>13</v>
      </c>
      <c r="C21" s="262">
        <f>COUNTIFS(TU_DB[[NO2 Bin (2n1) (ppm)]:[NO2 Bin (2n1) (ppm)]],C$19,TU_DB[[Weather]:[Weather]],$B21)</f>
        <v>235</v>
      </c>
      <c r="D21" s="232">
        <f>COUNTIFS(TU_DB[[NO2 Bin (2n1) (ppm)]:[NO2 Bin (2n1) (ppm)]],D$19,TU_DB[[Weather]:[Weather]],$B21)</f>
        <v>0</v>
      </c>
      <c r="E21" s="232">
        <f>COUNTIFS(TU_DB[[NO2 Bin (2n1) (ppm)]:[NO2 Bin (2n1) (ppm)]],E$19,TU_DB[[Weather]:[Weather]],$B21)</f>
        <v>0</v>
      </c>
      <c r="F21" s="232">
        <f>COUNTIFS(TU_DB[[NO2 Bin (2n1) (ppm)]:[NO2 Bin (2n1) (ppm)]],F$19,TU_DB[[Weather]:[Weather]],$B21)</f>
        <v>0</v>
      </c>
      <c r="G21" s="232">
        <f>COUNTIFS(TU_DB[[NO2 Bin (2n1) (ppm)]:[NO2 Bin (2n1) (ppm)]],G$19,TU_DB[[Weather]:[Weather]],$B21)</f>
        <v>0</v>
      </c>
      <c r="H21" s="232">
        <f>COUNTIFS(TU_DB[[NO2 Bin (2n1) (ppm)]:[NO2 Bin (2n1) (ppm)]],H$19,TU_DB[[Weather]:[Weather]],$B21)</f>
        <v>0</v>
      </c>
      <c r="I21" s="262">
        <f t="shared" si="3"/>
        <v>235</v>
      </c>
      <c r="J21" s="263">
        <f t="shared" si="4"/>
        <v>0.14046622833233713</v>
      </c>
      <c r="K21" s="326" t="s">
        <v>3688</v>
      </c>
      <c r="U21" s="1"/>
      <c r="V21" s="1"/>
      <c r="W21" s="1"/>
      <c r="X21" s="1"/>
      <c r="Y21" s="1"/>
      <c r="AA21" s="1"/>
      <c r="AB21" s="1"/>
    </row>
    <row r="22" spans="2:48" ht="16.5" customHeight="1" x14ac:dyDescent="0.25">
      <c r="B22" s="329" t="s">
        <v>904</v>
      </c>
      <c r="C22" s="262">
        <f>COUNTIFS(TU_DB[[NO2 Bin (2n1) (ppm)]:[NO2 Bin (2n1) (ppm)]],C$19,TU_DB[[Weather]:[Weather]],$B22)</f>
        <v>9</v>
      </c>
      <c r="D22" s="232">
        <f>COUNTIFS(TU_DB[[NO2 Bin (2n1) (ppm)]:[NO2 Bin (2n1) (ppm)]],D$19,TU_DB[[Weather]:[Weather]],$B22)</f>
        <v>0</v>
      </c>
      <c r="E22" s="232">
        <f>COUNTIFS(TU_DB[[NO2 Bin (2n1) (ppm)]:[NO2 Bin (2n1) (ppm)]],E$19,TU_DB[[Weather]:[Weather]],$B22)</f>
        <v>0</v>
      </c>
      <c r="F22" s="232">
        <f>COUNTIFS(TU_DB[[NO2 Bin (2n1) (ppm)]:[NO2 Bin (2n1) (ppm)]],F$19,TU_DB[[Weather]:[Weather]],$B22)</f>
        <v>0</v>
      </c>
      <c r="G22" s="232">
        <f>COUNTIFS(TU_DB[[NO2 Bin (2n1) (ppm)]:[NO2 Bin (2n1) (ppm)]],G$19,TU_DB[[Weather]:[Weather]],$B22)</f>
        <v>0</v>
      </c>
      <c r="H22" s="232">
        <f>COUNTIFS(TU_DB[[NO2 Bin (2n1) (ppm)]:[NO2 Bin (2n1) (ppm)]],H$19,TU_DB[[Weather]:[Weather]],$B22)</f>
        <v>0</v>
      </c>
      <c r="I22" s="262">
        <f t="shared" si="3"/>
        <v>9</v>
      </c>
      <c r="J22" s="263">
        <f t="shared" si="4"/>
        <v>5.3795576808129113E-3</v>
      </c>
      <c r="K22" s="326" t="s">
        <v>3690</v>
      </c>
      <c r="Z22"/>
      <c r="AA22"/>
      <c r="AC22" s="1"/>
    </row>
    <row r="23" spans="2:48" ht="34.5" customHeight="1" x14ac:dyDescent="0.25">
      <c r="B23" s="329" t="s">
        <v>226</v>
      </c>
      <c r="C23" s="262">
        <f>COUNTIFS(TU_DB[[NO2 Bin (2n1) (ppm)]:[NO2 Bin (2n1) (ppm)]],C$19,TU_DB[[Weather]:[Weather]],$B23)</f>
        <v>4</v>
      </c>
      <c r="D23" s="232">
        <f>COUNTIFS(TU_DB[[NO2 Bin (2n1) (ppm)]:[NO2 Bin (2n1) (ppm)]],D$19,TU_DB[[Weather]:[Weather]],$B23)</f>
        <v>0</v>
      </c>
      <c r="E23" s="232">
        <f>COUNTIFS(TU_DB[[NO2 Bin (2n1) (ppm)]:[NO2 Bin (2n1) (ppm)]],E$19,TU_DB[[Weather]:[Weather]],$B23)</f>
        <v>0</v>
      </c>
      <c r="F23" s="232">
        <f>COUNTIFS(TU_DB[[NO2 Bin (2n1) (ppm)]:[NO2 Bin (2n1) (ppm)]],F$19,TU_DB[[Weather]:[Weather]],$B23)</f>
        <v>0</v>
      </c>
      <c r="G23" s="232">
        <f>COUNTIFS(TU_DB[[NO2 Bin (2n1) (ppm)]:[NO2 Bin (2n1) (ppm)]],G$19,TU_DB[[Weather]:[Weather]],$B23)</f>
        <v>0</v>
      </c>
      <c r="H23" s="232">
        <f>COUNTIFS(TU_DB[[NO2 Bin (2n1) (ppm)]:[NO2 Bin (2n1) (ppm)]],H$19,TU_DB[[Weather]:[Weather]],$B23)</f>
        <v>0</v>
      </c>
      <c r="I23" s="262">
        <f t="shared" si="3"/>
        <v>4</v>
      </c>
      <c r="J23" s="263">
        <f t="shared" si="4"/>
        <v>2.390914524805738E-3</v>
      </c>
      <c r="K23" s="326" t="s">
        <v>3691</v>
      </c>
      <c r="Z23"/>
      <c r="AA23"/>
    </row>
    <row r="24" spans="2:48" ht="34.5" customHeight="1" x14ac:dyDescent="0.25">
      <c r="B24" s="329" t="s">
        <v>58</v>
      </c>
      <c r="C24" s="262">
        <f>COUNTIFS(TU_DB[[NO2 Bin (2n1) (ppm)]:[NO2 Bin (2n1) (ppm)]],C$19,TU_DB[[Weather]:[Weather]],$B24)</f>
        <v>13</v>
      </c>
      <c r="D24" s="232">
        <f>COUNTIFS(TU_DB[[NO2 Bin (2n1) (ppm)]:[NO2 Bin (2n1) (ppm)]],D$19,TU_DB[[Weather]:[Weather]],$B24)</f>
        <v>0</v>
      </c>
      <c r="E24" s="232">
        <f>COUNTIFS(TU_DB[[NO2 Bin (2n1) (ppm)]:[NO2 Bin (2n1) (ppm)]],E$19,TU_DB[[Weather]:[Weather]],$B24)</f>
        <v>0</v>
      </c>
      <c r="F24" s="232">
        <f>COUNTIFS(TU_DB[[NO2 Bin (2n1) (ppm)]:[NO2 Bin (2n1) (ppm)]],F$19,TU_DB[[Weather]:[Weather]],$B24)</f>
        <v>0</v>
      </c>
      <c r="G24" s="232">
        <f>COUNTIFS(TU_DB[[NO2 Bin (2n1) (ppm)]:[NO2 Bin (2n1) (ppm)]],G$19,TU_DB[[Weather]:[Weather]],$B24)</f>
        <v>0</v>
      </c>
      <c r="H24" s="232">
        <f>COUNTIFS(TU_DB[[NO2 Bin (2n1) (ppm)]:[NO2 Bin (2n1) (ppm)]],H$19,TU_DB[[Weather]:[Weather]],$B24)</f>
        <v>0</v>
      </c>
      <c r="I24" s="262">
        <f t="shared" si="3"/>
        <v>13</v>
      </c>
      <c r="J24" s="263">
        <f t="shared" si="4"/>
        <v>7.7704722056186493E-3</v>
      </c>
      <c r="K24" s="326" t="s">
        <v>3689</v>
      </c>
      <c r="Z24"/>
      <c r="AA24"/>
    </row>
    <row r="25" spans="2:48" ht="16.5" customHeight="1" x14ac:dyDescent="0.25">
      <c r="B25" s="330" t="s">
        <v>10</v>
      </c>
      <c r="C25" s="264">
        <f>COUNTIFS(TU_DB[[NO2 Bin (2n1) (ppm)]:[NO2 Bin (2n1) (ppm)]],C$19,TU_DB[[Weather]:[Weather]],$B25)</f>
        <v>1329</v>
      </c>
      <c r="D25" s="265">
        <f>COUNTIFS(TU_DB[[NO2 Bin (2n1) (ppm)]:[NO2 Bin (2n1) (ppm)]],D$19,TU_DB[[Weather]:[Weather]],$B25)</f>
        <v>0</v>
      </c>
      <c r="E25" s="265">
        <f>COUNTIFS(TU_DB[[NO2 Bin (2n1) (ppm)]:[NO2 Bin (2n1) (ppm)]],E$19,TU_DB[[Weather]:[Weather]],$B25)</f>
        <v>0</v>
      </c>
      <c r="F25" s="265">
        <f>COUNTIFS(TU_DB[[NO2 Bin (2n1) (ppm)]:[NO2 Bin (2n1) (ppm)]],F$19,TU_DB[[Weather]:[Weather]],$B25)</f>
        <v>1</v>
      </c>
      <c r="G25" s="265">
        <f>COUNTIFS(TU_DB[[NO2 Bin (2n1) (ppm)]:[NO2 Bin (2n1) (ppm)]],G$19,TU_DB[[Weather]:[Weather]],$B25)</f>
        <v>0</v>
      </c>
      <c r="H25" s="265">
        <f>COUNTIFS(TU_DB[[NO2 Bin (2n1) (ppm)]:[NO2 Bin (2n1) (ppm)]],H$19,TU_DB[[Weather]:[Weather]],$B25)</f>
        <v>0</v>
      </c>
      <c r="I25" s="264">
        <f t="shared" si="3"/>
        <v>1330</v>
      </c>
      <c r="J25" s="266">
        <f t="shared" si="4"/>
        <v>0.79497907949790791</v>
      </c>
      <c r="K25" s="327" t="s">
        <v>10</v>
      </c>
      <c r="Z25"/>
      <c r="AA25"/>
    </row>
    <row r="26" spans="2:48" ht="16.5" customHeight="1" thickBot="1" x14ac:dyDescent="0.3">
      <c r="B26" s="255" t="s">
        <v>133</v>
      </c>
      <c r="C26" s="258">
        <f t="shared" ref="C26:I26" si="5">SUM(C20:C25)</f>
        <v>1672</v>
      </c>
      <c r="D26" s="255">
        <f t="shared" si="5"/>
        <v>0</v>
      </c>
      <c r="E26" s="255">
        <f t="shared" si="5"/>
        <v>0</v>
      </c>
      <c r="F26" s="255">
        <f t="shared" si="5"/>
        <v>1</v>
      </c>
      <c r="G26" s="255">
        <f t="shared" si="5"/>
        <v>0</v>
      </c>
      <c r="H26" s="255">
        <f t="shared" si="5"/>
        <v>0</v>
      </c>
      <c r="I26" s="258">
        <f t="shared" si="5"/>
        <v>1673</v>
      </c>
      <c r="J26" s="256"/>
      <c r="K26" s="328"/>
      <c r="Z26"/>
      <c r="AA26"/>
    </row>
    <row r="27" spans="2:48" ht="56.25" customHeight="1" x14ac:dyDescent="0.25">
      <c r="T27"/>
      <c r="Z27"/>
      <c r="AA27"/>
    </row>
    <row r="28" spans="2:48" ht="16.5" thickBot="1" x14ac:dyDescent="0.3">
      <c r="B28" s="267" t="s">
        <v>108</v>
      </c>
      <c r="C28"/>
      <c r="D28"/>
      <c r="E28"/>
      <c r="T28"/>
      <c r="Z28"/>
      <c r="AA28"/>
    </row>
    <row r="29" spans="2:48" x14ac:dyDescent="0.25">
      <c r="B29" s="319"/>
      <c r="C29" s="322" t="s">
        <v>4173</v>
      </c>
      <c r="D29" s="323"/>
      <c r="E29" s="323"/>
      <c r="F29" s="323"/>
      <c r="G29" s="323"/>
      <c r="H29" s="323"/>
      <c r="I29" s="325"/>
      <c r="J29" s="319"/>
      <c r="T29"/>
      <c r="Z29"/>
      <c r="AA29"/>
    </row>
    <row r="30" spans="2:48" ht="15.75" customHeight="1" x14ac:dyDescent="0.25">
      <c r="B30" s="320" t="s">
        <v>108</v>
      </c>
      <c r="C30" s="321">
        <v>0</v>
      </c>
      <c r="D30" s="320">
        <v>0.15</v>
      </c>
      <c r="E30" s="320">
        <v>0.3</v>
      </c>
      <c r="F30" s="320">
        <v>1</v>
      </c>
      <c r="G30" s="320">
        <v>1.5</v>
      </c>
      <c r="H30" s="320">
        <v>3</v>
      </c>
      <c r="I30" s="324" t="s">
        <v>2325</v>
      </c>
      <c r="J30" s="320" t="s">
        <v>2352</v>
      </c>
      <c r="T30"/>
      <c r="Z30"/>
      <c r="AA30"/>
    </row>
    <row r="31" spans="2:48" ht="15" customHeight="1" x14ac:dyDescent="0.25">
      <c r="B31" t="s">
        <v>80</v>
      </c>
      <c r="C31" s="257">
        <f>COUNTIFS(TU_DB[[NO2 Bin (2n1) (ppm)]:[NO2 Bin (2n1) (ppm)]],C$19,TU_DB[[Water Level]:[Water Level]],$B31)</f>
        <v>1293</v>
      </c>
      <c r="D31" s="79">
        <f>COUNTIFS(TU_DB[[NO2 Bin (2n1) (ppm)]:[NO2 Bin (2n1) (ppm)]],D$19,TU_DB[[Water Level]:[Water Level]],$B31)</f>
        <v>0</v>
      </c>
      <c r="E31" s="79">
        <f>COUNTIFS(TU_DB[[NO2 Bin (2n1) (ppm)]:[NO2 Bin (2n1) (ppm)]],E$19,TU_DB[[Water Level]:[Water Level]],$B31)</f>
        <v>0</v>
      </c>
      <c r="F31" s="79">
        <f>COUNTIFS(TU_DB[[NO2 Bin (2n1) (ppm)]:[NO2 Bin (2n1) (ppm)]],F$19,TU_DB[[Water Level]:[Water Level]],$B31)</f>
        <v>1</v>
      </c>
      <c r="G31" s="79">
        <f>COUNTIFS(TU_DB[[NO2 Bin (2n1) (ppm)]:[NO2 Bin (2n1) (ppm)]],G$19,TU_DB[[Water Level]:[Water Level]],$B31)</f>
        <v>0</v>
      </c>
      <c r="H31" s="79">
        <f>COUNTIFS(TU_DB[[NO2 Bin (2n1) (ppm)]:[NO2 Bin (2n1) (ppm)]],H$19,TU_DB[[Water Level]:[Water Level]],$B31)</f>
        <v>0</v>
      </c>
      <c r="I31" s="257">
        <f>SUM(C31:H31)</f>
        <v>1294</v>
      </c>
      <c r="J31" s="269">
        <f>SUM(I31)/SUM($I$31:$I$34)</f>
        <v>0.75495915985997664</v>
      </c>
      <c r="K31" s="23"/>
      <c r="L31" s="23"/>
      <c r="M31" s="23"/>
      <c r="N31" s="23"/>
      <c r="O31" s="23"/>
      <c r="P31" s="23"/>
      <c r="Q31" s="23"/>
      <c r="R31" s="23"/>
      <c r="T31"/>
      <c r="Z31"/>
      <c r="AA31"/>
      <c r="AC31" s="23"/>
      <c r="AD31" s="23"/>
      <c r="AE31" s="23"/>
      <c r="AF31" s="23"/>
      <c r="AG31" s="23"/>
      <c r="AH31" s="23"/>
      <c r="AI31" s="23"/>
      <c r="AJ31" s="23"/>
      <c r="AK31" s="23"/>
      <c r="AL31" s="23"/>
      <c r="AM31" s="23"/>
      <c r="AN31" s="23"/>
      <c r="AO31" s="23"/>
      <c r="AP31" s="23"/>
      <c r="AQ31" s="23"/>
      <c r="AR31" s="23"/>
      <c r="AS31" s="23"/>
      <c r="AT31" s="23"/>
      <c r="AU31" s="23"/>
      <c r="AV31" s="23"/>
    </row>
    <row r="32" spans="2:48" s="23" customFormat="1" ht="15" customHeight="1" x14ac:dyDescent="0.25">
      <c r="B32" t="s">
        <v>2353</v>
      </c>
      <c r="C32" s="257">
        <f>COUNTIFS(TU_DB[[NO2 Bin (2n1) (ppm)]:[NO2 Bin (2n1) (ppm)]],C$19,TU_DB[[Water Level]:[Water Level]],$B32)</f>
        <v>336</v>
      </c>
      <c r="D32" s="79">
        <f>COUNTIFS(TU_DB[[NO2 Bin (2n1) (ppm)]:[NO2 Bin (2n1) (ppm)]],D$19,TU_DB[[Water Level]:[Water Level]],$B32)</f>
        <v>0</v>
      </c>
      <c r="E32" s="79">
        <f>COUNTIFS(TU_DB[[NO2 Bin (2n1) (ppm)]:[NO2 Bin (2n1) (ppm)]],E$19,TU_DB[[Water Level]:[Water Level]],$B32)</f>
        <v>0</v>
      </c>
      <c r="F32" s="79">
        <f>COUNTIFS(TU_DB[[NO2 Bin (2n1) (ppm)]:[NO2 Bin (2n1) (ppm)]],F$19,TU_DB[[Water Level]:[Water Level]],$B32)</f>
        <v>0</v>
      </c>
      <c r="G32" s="79">
        <f>COUNTIFS(TU_DB[[NO2 Bin (2n1) (ppm)]:[NO2 Bin (2n1) (ppm)]],G$19,TU_DB[[Water Level]:[Water Level]],$B32)</f>
        <v>0</v>
      </c>
      <c r="H32" s="79">
        <f>COUNTIFS(TU_DB[[NO2 Bin (2n1) (ppm)]:[NO2 Bin (2n1) (ppm)]],H$19,TU_DB[[Water Level]:[Water Level]],$B32)</f>
        <v>0</v>
      </c>
      <c r="I32" s="257">
        <f>SUM(C32:H32)</f>
        <v>336</v>
      </c>
      <c r="J32" s="269">
        <f>SUM(I32)/SUM($I$31:$I$34)</f>
        <v>0.19603267211201866</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row>
    <row r="33" spans="1:48" ht="15" customHeight="1" x14ac:dyDescent="0.25">
      <c r="B33" t="s">
        <v>195</v>
      </c>
      <c r="C33" s="257">
        <f>COUNTIFS(TU_DB[[NO2 Bin (2n1) (ppm)]:[NO2 Bin (2n1) (ppm)]],C$19,TU_DB[[Water Level]:[Water Level]],$B33)</f>
        <v>78</v>
      </c>
      <c r="D33" s="79">
        <f>COUNTIFS(TU_DB[[NO2 Bin (2n1) (ppm)]:[NO2 Bin (2n1) (ppm)]],D$19,TU_DB[[Water Level]:[Water Level]],$B33)</f>
        <v>0</v>
      </c>
      <c r="E33" s="79">
        <f>COUNTIFS(TU_DB[[NO2 Bin (2n1) (ppm)]:[NO2 Bin (2n1) (ppm)]],E$19,TU_DB[[Water Level]:[Water Level]],$B33)</f>
        <v>0</v>
      </c>
      <c r="F33" s="79">
        <f>COUNTIFS(TU_DB[[NO2 Bin (2n1) (ppm)]:[NO2 Bin (2n1) (ppm)]],F$19,TU_DB[[Water Level]:[Water Level]],$B33)</f>
        <v>0</v>
      </c>
      <c r="G33" s="79">
        <f>COUNTIFS(TU_DB[[NO2 Bin (2n1) (ppm)]:[NO2 Bin (2n1) (ppm)]],G$19,TU_DB[[Water Level]:[Water Level]],$B33)</f>
        <v>0</v>
      </c>
      <c r="H33" s="79">
        <f>COUNTIFS(TU_DB[[NO2 Bin (2n1) (ppm)]:[NO2 Bin (2n1) (ppm)]],H$19,TU_DB[[Water Level]:[Water Level]],$B33)</f>
        <v>0</v>
      </c>
      <c r="I33" s="257">
        <f>SUM(C33:H33)</f>
        <v>78</v>
      </c>
      <c r="J33" s="269">
        <f>SUM(I33)/SUM($I$31:$I$34)</f>
        <v>4.5507584597432905E-2</v>
      </c>
      <c r="K33" s="7"/>
      <c r="L33" s="7"/>
      <c r="M33" s="7"/>
      <c r="N33" s="7"/>
      <c r="O33" s="7"/>
      <c r="P33" s="7"/>
      <c r="Q33" s="7"/>
      <c r="R33" s="7"/>
      <c r="T33"/>
      <c r="Z33"/>
      <c r="AA33"/>
      <c r="AC33" s="7"/>
      <c r="AD33" s="7"/>
      <c r="AE33" s="7"/>
      <c r="AF33" s="7"/>
      <c r="AG33" s="7"/>
      <c r="AH33" s="7"/>
      <c r="AI33" s="7"/>
      <c r="AJ33" s="7"/>
      <c r="AK33" s="7"/>
      <c r="AL33" s="7"/>
      <c r="AM33" s="7"/>
      <c r="AN33" s="7"/>
      <c r="AO33" s="7"/>
      <c r="AP33" s="7"/>
      <c r="AQ33" s="7"/>
      <c r="AR33" s="7"/>
      <c r="AS33" s="7"/>
      <c r="AT33" s="7"/>
      <c r="AU33" s="7"/>
      <c r="AV33" s="7"/>
    </row>
    <row r="34" spans="1:48" s="7" customFormat="1" ht="15" customHeight="1" x14ac:dyDescent="0.25">
      <c r="B34" s="261" t="s">
        <v>86</v>
      </c>
      <c r="C34" s="260">
        <v>1</v>
      </c>
      <c r="D34" s="259">
        <v>1</v>
      </c>
      <c r="E34" s="259">
        <v>1</v>
      </c>
      <c r="F34" s="259">
        <v>1</v>
      </c>
      <c r="G34" s="259">
        <v>2</v>
      </c>
      <c r="H34" s="259">
        <v>0</v>
      </c>
      <c r="I34" s="260">
        <v>6</v>
      </c>
      <c r="J34" s="270">
        <f>SUM(I34)/SUM($I$31:$I$34)</f>
        <v>3.5005834305717621E-3</v>
      </c>
      <c r="K34"/>
      <c r="L34"/>
      <c r="M34"/>
      <c r="N34"/>
      <c r="O34"/>
      <c r="P34"/>
      <c r="Q34"/>
      <c r="R34"/>
      <c r="S34"/>
      <c r="T34" s="1"/>
      <c r="U34"/>
      <c r="V34"/>
      <c r="W34"/>
      <c r="X34"/>
      <c r="Y34"/>
      <c r="Z34" s="1"/>
      <c r="AA34" s="15"/>
      <c r="AB34"/>
      <c r="AC34"/>
      <c r="AD34"/>
      <c r="AE34"/>
      <c r="AF34"/>
      <c r="AG34"/>
      <c r="AH34"/>
      <c r="AI34"/>
      <c r="AJ34"/>
      <c r="AK34"/>
      <c r="AL34"/>
      <c r="AM34"/>
      <c r="AN34"/>
      <c r="AO34"/>
      <c r="AP34"/>
      <c r="AQ34"/>
      <c r="AR34"/>
      <c r="AS34"/>
      <c r="AT34"/>
      <c r="AU34"/>
      <c r="AV34"/>
    </row>
    <row r="35" spans="1:48" ht="15" customHeight="1" thickBot="1" x14ac:dyDescent="0.3">
      <c r="B35" s="255" t="s">
        <v>133</v>
      </c>
      <c r="C35" s="258">
        <f t="shared" ref="C35:I35" si="6">SUM(C31:C34)</f>
        <v>1708</v>
      </c>
      <c r="D35" s="255">
        <f t="shared" si="6"/>
        <v>1</v>
      </c>
      <c r="E35" s="255">
        <f t="shared" si="6"/>
        <v>1</v>
      </c>
      <c r="F35" s="255">
        <f t="shared" si="6"/>
        <v>2</v>
      </c>
      <c r="G35" s="255">
        <f t="shared" si="6"/>
        <v>2</v>
      </c>
      <c r="H35" s="255">
        <f t="shared" si="6"/>
        <v>0</v>
      </c>
      <c r="I35" s="258">
        <f t="shared" si="6"/>
        <v>1714</v>
      </c>
      <c r="J35" s="256"/>
    </row>
    <row r="36" spans="1:48" ht="15" customHeight="1" x14ac:dyDescent="0.25"/>
    <row r="37" spans="1:48" ht="15" customHeight="1" x14ac:dyDescent="0.25"/>
    <row r="38" spans="1:48" ht="15" customHeight="1" x14ac:dyDescent="0.25"/>
    <row r="39" spans="1:48" ht="15" customHeight="1" x14ac:dyDescent="0.25"/>
    <row r="40" spans="1:48" ht="15" customHeight="1" x14ac:dyDescent="0.25"/>
    <row r="41" spans="1:48" ht="15" customHeight="1" x14ac:dyDescent="0.25">
      <c r="T41"/>
    </row>
    <row r="42" spans="1:48" ht="15" customHeight="1" x14ac:dyDescent="0.25">
      <c r="T42"/>
    </row>
    <row r="43" spans="1:48" ht="15" customHeight="1" x14ac:dyDescent="0.25">
      <c r="T43"/>
    </row>
    <row r="44" spans="1:48" ht="15" customHeight="1" thickBot="1" x14ac:dyDescent="0.3">
      <c r="B44" s="267" t="s">
        <v>87</v>
      </c>
      <c r="C44"/>
      <c r="D44"/>
      <c r="E44"/>
      <c r="J44" s="23"/>
      <c r="T44"/>
      <c r="Y44" s="23"/>
      <c r="Z44" s="22"/>
      <c r="AA44" s="22"/>
      <c r="AB44" s="23"/>
    </row>
    <row r="45" spans="1:48" ht="15" customHeight="1" x14ac:dyDescent="0.25">
      <c r="B45" s="319"/>
      <c r="C45" s="322" t="s">
        <v>4173</v>
      </c>
      <c r="D45" s="323"/>
      <c r="E45" s="323"/>
      <c r="F45" s="323"/>
      <c r="G45" s="323"/>
      <c r="H45" s="323"/>
      <c r="I45" s="325"/>
      <c r="J45" s="319"/>
      <c r="T45"/>
      <c r="AC45" s="23"/>
      <c r="AD45" s="23"/>
      <c r="AE45" s="23"/>
      <c r="AF45" s="23"/>
      <c r="AG45" s="23"/>
      <c r="AH45" s="23"/>
      <c r="AI45" s="23"/>
      <c r="AJ45" s="23"/>
      <c r="AK45" s="23"/>
      <c r="AL45" s="23"/>
      <c r="AM45" s="23"/>
    </row>
    <row r="46" spans="1:48" ht="15" customHeight="1" x14ac:dyDescent="0.25">
      <c r="A46" s="23"/>
      <c r="B46" s="320" t="s">
        <v>87</v>
      </c>
      <c r="C46" s="321">
        <v>0</v>
      </c>
      <c r="D46" s="320">
        <v>0.15</v>
      </c>
      <c r="E46" s="320">
        <v>0.3</v>
      </c>
      <c r="F46" s="320">
        <v>1</v>
      </c>
      <c r="G46" s="320">
        <v>1.5</v>
      </c>
      <c r="H46" s="320">
        <v>3</v>
      </c>
      <c r="I46" s="324" t="s">
        <v>2325</v>
      </c>
      <c r="J46" s="320" t="s">
        <v>2352</v>
      </c>
      <c r="K46" s="23"/>
      <c r="L46" s="23"/>
      <c r="M46" s="23"/>
      <c r="N46" s="23"/>
      <c r="O46" s="23"/>
      <c r="P46" s="23"/>
      <c r="Q46" s="23"/>
      <c r="R46" s="23"/>
      <c r="T46"/>
      <c r="AB46" s="7"/>
      <c r="AN46" s="23"/>
      <c r="AO46" s="23"/>
      <c r="AP46" s="23"/>
      <c r="AQ46" s="23"/>
      <c r="AR46" s="23"/>
      <c r="AS46" s="23"/>
      <c r="AT46" s="23"/>
      <c r="AU46" s="23"/>
      <c r="AV46" s="23"/>
    </row>
    <row r="47" spans="1:48" s="23" customFormat="1" ht="15" customHeight="1" x14ac:dyDescent="0.25">
      <c r="A47"/>
      <c r="B47" t="s">
        <v>83</v>
      </c>
      <c r="C47" s="257">
        <f>COUNTIFS(TU_DB[[NO2 Bin (2n1) (ppm)]:[NO2 Bin (2n1) (ppm)]],C$19,TU_DB[[Clarity]:[Clarity]],$B47)</f>
        <v>1315</v>
      </c>
      <c r="D47" s="79">
        <f>COUNTIFS(TU_DB[[NO2 Bin (2n1) (ppm)]:[NO2 Bin (2n1) (ppm)]],D$19,TU_DB[[Clarity]:[Clarity]],$B47)</f>
        <v>0</v>
      </c>
      <c r="E47" s="79">
        <f>COUNTIFS(TU_DB[[NO2 Bin (2n1) (ppm)]:[NO2 Bin (2n1) (ppm)]],E$19,TU_DB[[Clarity]:[Clarity]],$B47)</f>
        <v>0</v>
      </c>
      <c r="F47" s="79">
        <f>COUNTIFS(TU_DB[[NO2 Bin (2n1) (ppm)]:[NO2 Bin (2n1) (ppm)]],F$19,TU_DB[[Clarity]:[Clarity]],$B47)</f>
        <v>1</v>
      </c>
      <c r="G47" s="79">
        <f>COUNTIFS(TU_DB[[NO2 Bin (2n1) (ppm)]:[NO2 Bin (2n1) (ppm)]],G$19,TU_DB[[Clarity]:[Clarity]],$B47)</f>
        <v>0</v>
      </c>
      <c r="H47" s="79">
        <f>COUNTIFS(TU_DB[[NO2 Bin (2n1) (ppm)]:[NO2 Bin (2n1) (ppm)]],H$19,TU_DB[[Clarity]:[Clarity]],$B47)</f>
        <v>0</v>
      </c>
      <c r="I47" s="257">
        <f>SUM(C47:H47)</f>
        <v>1316</v>
      </c>
      <c r="J47" s="269">
        <f>SUM(I47)/SUM($I$47:$I$49)</f>
        <v>0.76378409750435283</v>
      </c>
      <c r="K47" s="7"/>
      <c r="L47" s="7"/>
      <c r="M47" s="7"/>
      <c r="N47" s="7"/>
      <c r="O47" s="7"/>
      <c r="P47" s="7"/>
      <c r="Q47" s="7"/>
      <c r="R47" s="7"/>
      <c r="S47"/>
      <c r="T47"/>
      <c r="U47"/>
      <c r="V47"/>
      <c r="W47"/>
      <c r="X47"/>
      <c r="Y47"/>
      <c r="Z47" s="1"/>
      <c r="AA47" s="15"/>
      <c r="AB47"/>
      <c r="AC47" s="7"/>
      <c r="AD47" s="7"/>
      <c r="AE47" s="7"/>
      <c r="AF47" s="7"/>
      <c r="AG47" s="7"/>
      <c r="AH47" s="7"/>
      <c r="AI47" s="7"/>
      <c r="AJ47" s="7"/>
      <c r="AK47" s="7"/>
      <c r="AL47" s="7"/>
      <c r="AM47" s="7"/>
      <c r="AN47"/>
      <c r="AO47"/>
      <c r="AP47"/>
      <c r="AQ47"/>
      <c r="AR47"/>
      <c r="AS47"/>
      <c r="AT47"/>
      <c r="AU47"/>
      <c r="AV47"/>
    </row>
    <row r="48" spans="1:48" s="7" customFormat="1" ht="15" customHeight="1" x14ac:dyDescent="0.25">
      <c r="A48"/>
      <c r="B48" t="s">
        <v>85</v>
      </c>
      <c r="C48" s="257">
        <f>COUNTIFS(TU_DB[[NO2 Bin (2n1) (ppm)]:[NO2 Bin (2n1) (ppm)]],C$19,TU_DB[[Clarity]:[Clarity]],$B48)</f>
        <v>85</v>
      </c>
      <c r="D48" s="79">
        <f>COUNTIFS(TU_DB[[NO2 Bin (2n1) (ppm)]:[NO2 Bin (2n1) (ppm)]],D$19,TU_DB[[Clarity]:[Clarity]],$B48)</f>
        <v>0</v>
      </c>
      <c r="E48" s="79">
        <f>COUNTIFS(TU_DB[[NO2 Bin (2n1) (ppm)]:[NO2 Bin (2n1) (ppm)]],E$19,TU_DB[[Clarity]:[Clarity]],$B48)</f>
        <v>0</v>
      </c>
      <c r="F48" s="79">
        <f>COUNTIFS(TU_DB[[NO2 Bin (2n1) (ppm)]:[NO2 Bin (2n1) (ppm)]],F$19,TU_DB[[Clarity]:[Clarity]],$B48)</f>
        <v>0</v>
      </c>
      <c r="G48" s="79">
        <f>COUNTIFS(TU_DB[[NO2 Bin (2n1) (ppm)]:[NO2 Bin (2n1) (ppm)]],G$19,TU_DB[[Clarity]:[Clarity]],$B48)</f>
        <v>0</v>
      </c>
      <c r="H48" s="79">
        <f>COUNTIFS(TU_DB[[NO2 Bin (2n1) (ppm)]:[NO2 Bin (2n1) (ppm)]],H$19,TU_DB[[Clarity]:[Clarity]],$B48)</f>
        <v>0</v>
      </c>
      <c r="I48" s="257">
        <f>SUM(C48:H48)</f>
        <v>85</v>
      </c>
      <c r="J48" s="269">
        <f>SUM(I48)/SUM($I$47:$I$49)</f>
        <v>4.9332559489262913E-2</v>
      </c>
      <c r="K48"/>
      <c r="L48"/>
      <c r="M48"/>
      <c r="N48"/>
      <c r="O48"/>
      <c r="P48"/>
      <c r="Q48"/>
      <c r="R48"/>
      <c r="S48"/>
      <c r="T48"/>
      <c r="U48"/>
      <c r="V48"/>
      <c r="W48"/>
      <c r="X48"/>
      <c r="Y48"/>
      <c r="Z48" s="1"/>
      <c r="AA48" s="15"/>
      <c r="AB48"/>
      <c r="AC48"/>
      <c r="AD48"/>
      <c r="AE48"/>
      <c r="AF48"/>
      <c r="AG48"/>
      <c r="AH48"/>
      <c r="AI48"/>
      <c r="AJ48"/>
      <c r="AK48"/>
      <c r="AL48"/>
      <c r="AM48"/>
      <c r="AN48"/>
      <c r="AO48"/>
      <c r="AP48"/>
      <c r="AQ48"/>
      <c r="AR48"/>
      <c r="AS48"/>
      <c r="AT48"/>
      <c r="AU48"/>
      <c r="AV48"/>
    </row>
    <row r="49" spans="2:28" ht="15" customHeight="1" x14ac:dyDescent="0.25">
      <c r="B49" s="261" t="s">
        <v>84</v>
      </c>
      <c r="C49" s="260">
        <f>COUNTIFS(TU_DB[[NO2 Bin (2n1) (ppm)]:[NO2 Bin (2n1) (ppm)]],C$19,TU_DB[[Clarity]:[Clarity]],$B49)</f>
        <v>322</v>
      </c>
      <c r="D49" s="259">
        <f>COUNTIFS(TU_DB[[NO2 Bin (2n1) (ppm)]:[NO2 Bin (2n1) (ppm)]],D$19,TU_DB[[Clarity]:[Clarity]],$B49)</f>
        <v>0</v>
      </c>
      <c r="E49" s="259">
        <f>COUNTIFS(TU_DB[[NO2 Bin (2n1) (ppm)]:[NO2 Bin (2n1) (ppm)]],E$19,TU_DB[[Clarity]:[Clarity]],$B49)</f>
        <v>0</v>
      </c>
      <c r="F49" s="259">
        <f>COUNTIFS(TU_DB[[NO2 Bin (2n1) (ppm)]:[NO2 Bin (2n1) (ppm)]],F$19,TU_DB[[Clarity]:[Clarity]],$B49)</f>
        <v>0</v>
      </c>
      <c r="G49" s="259">
        <f>COUNTIFS(TU_DB[[NO2 Bin (2n1) (ppm)]:[NO2 Bin (2n1) (ppm)]],G$19,TU_DB[[Clarity]:[Clarity]],$B49)</f>
        <v>0</v>
      </c>
      <c r="H49" s="259">
        <f>COUNTIFS(TU_DB[[NO2 Bin (2n1) (ppm)]:[NO2 Bin (2n1) (ppm)]],H$19,TU_DB[[Clarity]:[Clarity]],$B49)</f>
        <v>0</v>
      </c>
      <c r="I49" s="260">
        <f>SUM(C49:H49)</f>
        <v>322</v>
      </c>
      <c r="J49" s="270">
        <f>SUM(I49)/SUM($I$47:$I$49)</f>
        <v>0.18688334300638421</v>
      </c>
      <c r="T49"/>
      <c r="Z49"/>
      <c r="AA49"/>
    </row>
    <row r="50" spans="2:28" ht="15" customHeight="1" thickBot="1" x14ac:dyDescent="0.3">
      <c r="B50" s="255" t="s">
        <v>133</v>
      </c>
      <c r="C50" s="258">
        <f t="shared" ref="C50:I50" si="7">SUM(C47:C49)</f>
        <v>1722</v>
      </c>
      <c r="D50" s="255">
        <f t="shared" si="7"/>
        <v>0</v>
      </c>
      <c r="E50" s="255">
        <f t="shared" si="7"/>
        <v>0</v>
      </c>
      <c r="F50" s="255">
        <f t="shared" si="7"/>
        <v>1</v>
      </c>
      <c r="G50" s="255">
        <f t="shared" si="7"/>
        <v>0</v>
      </c>
      <c r="H50" s="255">
        <f t="shared" si="7"/>
        <v>0</v>
      </c>
      <c r="I50" s="258">
        <f t="shared" si="7"/>
        <v>1723</v>
      </c>
      <c r="J50" s="256"/>
      <c r="T50"/>
      <c r="Z50"/>
      <c r="AA50"/>
    </row>
    <row r="51" spans="2:28" ht="15" customHeight="1" x14ac:dyDescent="0.25">
      <c r="T51"/>
      <c r="Z51"/>
      <c r="AA51"/>
    </row>
    <row r="52" spans="2:28" ht="15" customHeight="1" x14ac:dyDescent="0.25">
      <c r="T52"/>
      <c r="Z52"/>
      <c r="AA52"/>
    </row>
    <row r="53" spans="2:28" ht="15" customHeight="1" x14ac:dyDescent="0.25">
      <c r="T53"/>
      <c r="Z53"/>
      <c r="AA53"/>
    </row>
    <row r="54" spans="2:28" ht="15" customHeight="1" x14ac:dyDescent="0.25">
      <c r="T54"/>
      <c r="Z54"/>
      <c r="AA54"/>
    </row>
    <row r="55" spans="2:28" ht="15" customHeight="1" x14ac:dyDescent="0.25">
      <c r="T55"/>
      <c r="Z55"/>
      <c r="AA55"/>
    </row>
    <row r="56" spans="2:28" ht="15" customHeight="1" x14ac:dyDescent="0.25">
      <c r="T56"/>
      <c r="Z56"/>
      <c r="AA56"/>
    </row>
    <row r="57" spans="2:28" ht="15" customHeight="1" x14ac:dyDescent="0.25">
      <c r="R57" s="23"/>
      <c r="T57"/>
      <c r="Z57"/>
      <c r="AA57"/>
    </row>
    <row r="58" spans="2:28" ht="15" customHeight="1" x14ac:dyDescent="0.25">
      <c r="T58"/>
      <c r="Z58"/>
      <c r="AA58"/>
    </row>
    <row r="59" spans="2:28" ht="15" customHeight="1" x14ac:dyDescent="0.25">
      <c r="T59"/>
      <c r="Z59"/>
      <c r="AA59"/>
    </row>
    <row r="60" spans="2:28" ht="15" customHeight="1" x14ac:dyDescent="0.25">
      <c r="T60"/>
      <c r="Z60"/>
      <c r="AA60"/>
    </row>
    <row r="61" spans="2:28" ht="15" customHeight="1" thickBot="1" x14ac:dyDescent="0.3">
      <c r="B61" s="21" t="s">
        <v>4788</v>
      </c>
      <c r="T61"/>
      <c r="W61" s="23"/>
      <c r="X61" s="23"/>
      <c r="Y61" s="23"/>
      <c r="Z61" s="23"/>
      <c r="AA61" s="23"/>
      <c r="AB61" s="23"/>
    </row>
    <row r="62" spans="2:28" ht="16.5" customHeight="1" x14ac:dyDescent="0.25">
      <c r="B62" s="319"/>
      <c r="C62" s="322" t="s">
        <v>4173</v>
      </c>
      <c r="D62" s="323"/>
      <c r="E62" s="323"/>
      <c r="F62" s="323"/>
      <c r="G62" s="323"/>
      <c r="H62" s="323"/>
      <c r="I62" s="325"/>
      <c r="J62" s="319"/>
      <c r="M62" s="333" t="s">
        <v>4169</v>
      </c>
      <c r="N62" s="560" t="s">
        <v>368</v>
      </c>
      <c r="O62" s="560"/>
      <c r="P62" s="560"/>
      <c r="Q62" s="560"/>
      <c r="T62"/>
    </row>
    <row r="63" spans="2:28" ht="15" customHeight="1" x14ac:dyDescent="0.25">
      <c r="B63" s="320" t="s">
        <v>124</v>
      </c>
      <c r="C63" s="321">
        <v>0</v>
      </c>
      <c r="D63" s="320">
        <v>0.15</v>
      </c>
      <c r="E63" s="320">
        <v>0.3</v>
      </c>
      <c r="F63" s="320">
        <v>1</v>
      </c>
      <c r="G63" s="320">
        <v>1.5</v>
      </c>
      <c r="H63" s="320">
        <v>3</v>
      </c>
      <c r="I63" s="324" t="s">
        <v>2325</v>
      </c>
      <c r="J63" s="320" t="s">
        <v>2352</v>
      </c>
      <c r="T63"/>
    </row>
    <row r="64" spans="2:28" ht="15" customHeight="1" x14ac:dyDescent="0.25">
      <c r="B64" s="153" t="s">
        <v>1328</v>
      </c>
      <c r="C64" s="378">
        <f>SUM(C65:C74)</f>
        <v>168</v>
      </c>
      <c r="D64" s="378">
        <f t="shared" ref="D64:I64" si="8">SUM(D65:D74)</f>
        <v>0</v>
      </c>
      <c r="E64" s="378">
        <f t="shared" si="8"/>
        <v>0</v>
      </c>
      <c r="F64" s="378">
        <f t="shared" si="8"/>
        <v>1</v>
      </c>
      <c r="G64" s="378">
        <f t="shared" si="8"/>
        <v>0</v>
      </c>
      <c r="H64" s="378">
        <f t="shared" si="8"/>
        <v>0</v>
      </c>
      <c r="I64" s="378">
        <f t="shared" si="8"/>
        <v>169</v>
      </c>
      <c r="J64" s="378"/>
      <c r="T64"/>
    </row>
    <row r="65" spans="2:20" ht="15" customHeight="1" x14ac:dyDescent="0.25">
      <c r="B65" s="8" t="s">
        <v>154</v>
      </c>
      <c r="C65" s="257">
        <f>COUNTIFS(TU_DB[[NO2 Bin (2n1) (ppm)]:[NO2 Bin (2n1) (ppm)]],C$19,TU_DB[[Monitoring Site]:[Monitoring Site]],$B65)</f>
        <v>15</v>
      </c>
      <c r="D65" s="79">
        <f>COUNTIFS(TU_DB[[NO2 Bin (2n1) (ppm)]:[NO2 Bin (2n1) (ppm)]],D$19,TU_DB[[Monitoring Site]:[Monitoring Site]],$B65)</f>
        <v>0</v>
      </c>
      <c r="E65" s="79">
        <f>COUNTIFS(TU_DB[[NO2 Bin (2n1) (ppm)]:[NO2 Bin (2n1) (ppm)]],E$19,TU_DB[[Monitoring Site]:[Monitoring Site]],$B65)</f>
        <v>0</v>
      </c>
      <c r="F65" s="79">
        <f>COUNTIFS(TU_DB[[NO2 Bin (2n1) (ppm)]:[NO2 Bin (2n1) (ppm)]],F$19,TU_DB[[Monitoring Site]:[Monitoring Site]],$B65)</f>
        <v>0</v>
      </c>
      <c r="G65" s="79">
        <f>COUNTIFS(TU_DB[[NO2 Bin (2n1) (ppm)]:[NO2 Bin (2n1) (ppm)]],G$19,TU_DB[[Monitoring Site]:[Monitoring Site]],$B65)</f>
        <v>0</v>
      </c>
      <c r="H65" s="79">
        <f>COUNTIFS(TU_DB[[NO2 Bin (2n1) (ppm)]:[NO2 Bin (2n1) (ppm)]],H$19,TU_DB[[Monitoring Site]:[Monitoring Site]],$B65)</f>
        <v>0</v>
      </c>
      <c r="I65" s="257">
        <f t="shared" ref="I65:I81" si="9">SUM(C65:H65)</f>
        <v>15</v>
      </c>
      <c r="J65" s="268">
        <f>SUM(I65)/$I$64</f>
        <v>8.8757396449704137E-2</v>
      </c>
      <c r="T65"/>
    </row>
    <row r="66" spans="2:20" x14ac:dyDescent="0.25">
      <c r="B66" s="8" t="str">
        <f>Use!S125</f>
        <v>Eau Galle River @ WI Hwy 29</v>
      </c>
      <c r="C66" s="257">
        <f>COUNTIFS(TU_DB[[NO2 Bin (2n1) (ppm)]:[NO2 Bin (2n1) (ppm)]],C$19,TU_DB[[Monitoring Site]:[Monitoring Site]],$B66)</f>
        <v>10</v>
      </c>
      <c r="D66" s="79">
        <f>COUNTIFS(TU_DB[[NO2 Bin (2n1) (ppm)]:[NO2 Bin (2n1) (ppm)]],D$19,TU_DB[[Monitoring Site]:[Monitoring Site]],$B66)</f>
        <v>0</v>
      </c>
      <c r="E66" s="79">
        <f>COUNTIFS(TU_DB[[NO2 Bin (2n1) (ppm)]:[NO2 Bin (2n1) (ppm)]],E$19,TU_DB[[Monitoring Site]:[Monitoring Site]],$B66)</f>
        <v>0</v>
      </c>
      <c r="F66" s="79">
        <f>COUNTIFS(TU_DB[[NO2 Bin (2n1) (ppm)]:[NO2 Bin (2n1) (ppm)]],F$19,TU_DB[[Monitoring Site]:[Monitoring Site]],$B66)</f>
        <v>0</v>
      </c>
      <c r="G66" s="79">
        <f>COUNTIFS(TU_DB[[NO2 Bin (2n1) (ppm)]:[NO2 Bin (2n1) (ppm)]],G$19,TU_DB[[Monitoring Site]:[Monitoring Site]],$B66)</f>
        <v>0</v>
      </c>
      <c r="H66" s="79">
        <f>COUNTIFS(TU_DB[[NO2 Bin (2n1) (ppm)]:[NO2 Bin (2n1) (ppm)]],H$19,TU_DB[[Monitoring Site]:[Monitoring Site]],$B66)</f>
        <v>0</v>
      </c>
      <c r="I66" s="257">
        <f t="shared" si="9"/>
        <v>10</v>
      </c>
      <c r="J66" s="268">
        <f t="shared" ref="J66:J74" si="10">SUM(I66)/$I$64</f>
        <v>5.9171597633136092E-2</v>
      </c>
      <c r="T66"/>
    </row>
    <row r="67" spans="2:20" x14ac:dyDescent="0.25">
      <c r="B67" s="8" t="str">
        <f>Use!S126</f>
        <v>Isabelle Creek @ County Rd. EE</v>
      </c>
      <c r="C67" s="257">
        <f>COUNTIFS(TU_DB[[NO2 Bin (2n1) (ppm)]:[NO2 Bin (2n1) (ppm)]],C$19,TU_DB[[Monitoring Site]:[Monitoring Site]],$B67)</f>
        <v>23</v>
      </c>
      <c r="D67" s="79">
        <f>COUNTIFS(TU_DB[[NO2 Bin (2n1) (ppm)]:[NO2 Bin (2n1) (ppm)]],D$19,TU_DB[[Monitoring Site]:[Monitoring Site]],$B67)</f>
        <v>0</v>
      </c>
      <c r="E67" s="79">
        <f>COUNTIFS(TU_DB[[NO2 Bin (2n1) (ppm)]:[NO2 Bin (2n1) (ppm)]],E$19,TU_DB[[Monitoring Site]:[Monitoring Site]],$B67)</f>
        <v>0</v>
      </c>
      <c r="F67" s="79">
        <f>COUNTIFS(TU_DB[[NO2 Bin (2n1) (ppm)]:[NO2 Bin (2n1) (ppm)]],F$19,TU_DB[[Monitoring Site]:[Monitoring Site]],$B67)</f>
        <v>0</v>
      </c>
      <c r="G67" s="79">
        <f>COUNTIFS(TU_DB[[NO2 Bin (2n1) (ppm)]:[NO2 Bin (2n1) (ppm)]],G$19,TU_DB[[Monitoring Site]:[Monitoring Site]],$B67)</f>
        <v>0</v>
      </c>
      <c r="H67" s="79">
        <f>COUNTIFS(TU_DB[[NO2 Bin (2n1) (ppm)]:[NO2 Bin (2n1) (ppm)]],H$19,TU_DB[[Monitoring Site]:[Monitoring Site]],$B67)</f>
        <v>0</v>
      </c>
      <c r="I67" s="257">
        <f t="shared" si="9"/>
        <v>23</v>
      </c>
      <c r="J67" s="268">
        <f t="shared" si="10"/>
        <v>0.13609467455621302</v>
      </c>
      <c r="T67"/>
    </row>
    <row r="68" spans="2:20" x14ac:dyDescent="0.25">
      <c r="B68" s="8" t="str">
        <f>Use!S127</f>
        <v>Kinnickinnic River, Lower Glen Park</v>
      </c>
      <c r="C68" s="257">
        <f>COUNTIFS(TU_DB[[NO2 Bin (2n1) (ppm)]:[NO2 Bin (2n1) (ppm)]],C$19,TU_DB[[Monitoring Site]:[Monitoring Site]],$B68)</f>
        <v>37</v>
      </c>
      <c r="D68" s="79">
        <f>COUNTIFS(TU_DB[[NO2 Bin (2n1) (ppm)]:[NO2 Bin (2n1) (ppm)]],D$19,TU_DB[[Monitoring Site]:[Monitoring Site]],$B68)</f>
        <v>0</v>
      </c>
      <c r="E68" s="79">
        <f>COUNTIFS(TU_DB[[NO2 Bin (2n1) (ppm)]:[NO2 Bin (2n1) (ppm)]],E$19,TU_DB[[Monitoring Site]:[Monitoring Site]],$B68)</f>
        <v>0</v>
      </c>
      <c r="F68" s="79">
        <f>COUNTIFS(TU_DB[[NO2 Bin (2n1) (ppm)]:[NO2 Bin (2n1) (ppm)]],F$19,TU_DB[[Monitoring Site]:[Monitoring Site]],$B68)</f>
        <v>0</v>
      </c>
      <c r="G68" s="79">
        <f>COUNTIFS(TU_DB[[NO2 Bin (2n1) (ppm)]:[NO2 Bin (2n1) (ppm)]],G$19,TU_DB[[Monitoring Site]:[Monitoring Site]],$B68)</f>
        <v>0</v>
      </c>
      <c r="H68" s="79">
        <f>COUNTIFS(TU_DB[[NO2 Bin (2n1) (ppm)]:[NO2 Bin (2n1) (ppm)]],H$19,TU_DB[[Monitoring Site]:[Monitoring Site]],$B68)</f>
        <v>0</v>
      </c>
      <c r="I68" s="257">
        <f t="shared" si="9"/>
        <v>37</v>
      </c>
      <c r="J68" s="268">
        <f t="shared" si="10"/>
        <v>0.21893491124260356</v>
      </c>
      <c r="T68"/>
    </row>
    <row r="69" spans="2:20" x14ac:dyDescent="0.25">
      <c r="B69" s="8" t="str">
        <f>Use!S128</f>
        <v>Pine Creek @ County Rd. AA</v>
      </c>
      <c r="C69" s="257">
        <f>COUNTIFS(TU_DB[[NO2 Bin (2n1) (ppm)]:[NO2 Bin (2n1) (ppm)]],C$19,TU_DB[[Monitoring Site]:[Monitoring Site]],$B69)</f>
        <v>27</v>
      </c>
      <c r="D69" s="79">
        <f>COUNTIFS(TU_DB[[NO2 Bin (2n1) (ppm)]:[NO2 Bin (2n1) (ppm)]],D$19,TU_DB[[Monitoring Site]:[Monitoring Site]],$B69)</f>
        <v>0</v>
      </c>
      <c r="E69" s="79">
        <f>COUNTIFS(TU_DB[[NO2 Bin (2n1) (ppm)]:[NO2 Bin (2n1) (ppm)]],E$19,TU_DB[[Monitoring Site]:[Monitoring Site]],$B69)</f>
        <v>0</v>
      </c>
      <c r="F69" s="79">
        <f>COUNTIFS(TU_DB[[NO2 Bin (2n1) (ppm)]:[NO2 Bin (2n1) (ppm)]],F$19,TU_DB[[Monitoring Site]:[Monitoring Site]],$B69)</f>
        <v>0</v>
      </c>
      <c r="G69" s="79">
        <f>COUNTIFS(TU_DB[[NO2 Bin (2n1) (ppm)]:[NO2 Bin (2n1) (ppm)]],G$19,TU_DB[[Monitoring Site]:[Monitoring Site]],$B69)</f>
        <v>0</v>
      </c>
      <c r="H69" s="79">
        <f>COUNTIFS(TU_DB[[NO2 Bin (2n1) (ppm)]:[NO2 Bin (2n1) (ppm)]],H$19,TU_DB[[Monitoring Site]:[Monitoring Site]],$B69)</f>
        <v>0</v>
      </c>
      <c r="I69" s="257">
        <f t="shared" si="9"/>
        <v>27</v>
      </c>
      <c r="J69" s="268">
        <f t="shared" si="10"/>
        <v>0.15976331360946747</v>
      </c>
      <c r="T69"/>
    </row>
    <row r="70" spans="2:20" x14ac:dyDescent="0.25">
      <c r="B70" s="8" t="str">
        <f>Use!S129</f>
        <v>Plum Creek @ Plum CIty Park</v>
      </c>
      <c r="C70" s="257">
        <f>COUNTIFS(TU_DB[[NO2 Bin (2n1) (ppm)]:[NO2 Bin (2n1) (ppm)]],C$19,TU_DB[[Monitoring Site]:[Monitoring Site]],$B70)</f>
        <v>13</v>
      </c>
      <c r="D70" s="79">
        <f>COUNTIFS(TU_DB[[NO2 Bin (2n1) (ppm)]:[NO2 Bin (2n1) (ppm)]],D$19,TU_DB[[Monitoring Site]:[Monitoring Site]],$B70)</f>
        <v>0</v>
      </c>
      <c r="E70" s="79">
        <f>COUNTIFS(TU_DB[[NO2 Bin (2n1) (ppm)]:[NO2 Bin (2n1) (ppm)]],E$19,TU_DB[[Monitoring Site]:[Monitoring Site]],$B70)</f>
        <v>0</v>
      </c>
      <c r="F70" s="79">
        <f>COUNTIFS(TU_DB[[NO2 Bin (2n1) (ppm)]:[NO2 Bin (2n1) (ppm)]],F$19,TU_DB[[Monitoring Site]:[Monitoring Site]],$B70)</f>
        <v>0</v>
      </c>
      <c r="G70" s="79">
        <f>COUNTIFS(TU_DB[[NO2 Bin (2n1) (ppm)]:[NO2 Bin (2n1) (ppm)]],G$19,TU_DB[[Monitoring Site]:[Monitoring Site]],$B70)</f>
        <v>0</v>
      </c>
      <c r="H70" s="79">
        <f>COUNTIFS(TU_DB[[NO2 Bin (2n1) (ppm)]:[NO2 Bin (2n1) (ppm)]],H$19,TU_DB[[Monitoring Site]:[Monitoring Site]],$B70)</f>
        <v>0</v>
      </c>
      <c r="I70" s="257">
        <f t="shared" si="9"/>
        <v>13</v>
      </c>
      <c r="J70" s="268">
        <f t="shared" si="10"/>
        <v>7.6923076923076927E-2</v>
      </c>
      <c r="T70"/>
    </row>
    <row r="71" spans="2:20" x14ac:dyDescent="0.25">
      <c r="B71" s="8" t="str">
        <f>Use!S130</f>
        <v>Rocky Branch Creek, Lower Glen Park</v>
      </c>
      <c r="C71" s="257">
        <f>COUNTIFS(TU_DB[[NO2 Bin (2n1) (ppm)]:[NO2 Bin (2n1) (ppm)]],C$19,TU_DB[[Monitoring Site]:[Monitoring Site]],$B71)</f>
        <v>4</v>
      </c>
      <c r="D71" s="79">
        <f>COUNTIFS(TU_DB[[NO2 Bin (2n1) (ppm)]:[NO2 Bin (2n1) (ppm)]],D$19,TU_DB[[Monitoring Site]:[Monitoring Site]],$B71)</f>
        <v>0</v>
      </c>
      <c r="E71" s="79">
        <f>COUNTIFS(TU_DB[[NO2 Bin (2n1) (ppm)]:[NO2 Bin (2n1) (ppm)]],E$19,TU_DB[[Monitoring Site]:[Monitoring Site]],$B71)</f>
        <v>0</v>
      </c>
      <c r="F71" s="79">
        <f>COUNTIFS(TU_DB[[NO2 Bin (2n1) (ppm)]:[NO2 Bin (2n1) (ppm)]],F$19,TU_DB[[Monitoring Site]:[Monitoring Site]],$B71)</f>
        <v>0</v>
      </c>
      <c r="G71" s="79">
        <f>COUNTIFS(TU_DB[[NO2 Bin (2n1) (ppm)]:[NO2 Bin (2n1) (ppm)]],G$19,TU_DB[[Monitoring Site]:[Monitoring Site]],$B71)</f>
        <v>0</v>
      </c>
      <c r="H71" s="79">
        <f>COUNTIFS(TU_DB[[NO2 Bin (2n1) (ppm)]:[NO2 Bin (2n1) (ppm)]],H$19,TU_DB[[Monitoring Site]:[Monitoring Site]],$B71)</f>
        <v>0</v>
      </c>
      <c r="I71" s="257">
        <f t="shared" si="9"/>
        <v>4</v>
      </c>
      <c r="J71" s="268">
        <f t="shared" si="10"/>
        <v>2.3668639053254437E-2</v>
      </c>
      <c r="T71"/>
    </row>
    <row r="72" spans="2:20" x14ac:dyDescent="0.25">
      <c r="B72" s="8" t="str">
        <f>Use!S131</f>
        <v>Rush River @ 570th Ave</v>
      </c>
      <c r="C72" s="257">
        <f>COUNTIFS(TU_DB[[NO2 Bin (2n1) (ppm)]:[NO2 Bin (2n1) (ppm)]],C$19,TU_DB[[Monitoring Site]:[Monitoring Site]],$B72)</f>
        <v>20</v>
      </c>
      <c r="D72" s="79">
        <f>COUNTIFS(TU_DB[[NO2 Bin (2n1) (ppm)]:[NO2 Bin (2n1) (ppm)]],D$19,TU_DB[[Monitoring Site]:[Monitoring Site]],$B72)</f>
        <v>0</v>
      </c>
      <c r="E72" s="79">
        <f>COUNTIFS(TU_DB[[NO2 Bin (2n1) (ppm)]:[NO2 Bin (2n1) (ppm)]],E$19,TU_DB[[Monitoring Site]:[Monitoring Site]],$B72)</f>
        <v>0</v>
      </c>
      <c r="F72" s="79">
        <f>COUNTIFS(TU_DB[[NO2 Bin (2n1) (ppm)]:[NO2 Bin (2n1) (ppm)]],F$19,TU_DB[[Monitoring Site]:[Monitoring Site]],$B72)</f>
        <v>1</v>
      </c>
      <c r="G72" s="79">
        <f>COUNTIFS(TU_DB[[NO2 Bin (2n1) (ppm)]:[NO2 Bin (2n1) (ppm)]],G$19,TU_DB[[Monitoring Site]:[Monitoring Site]],$B72)</f>
        <v>0</v>
      </c>
      <c r="H72" s="79">
        <f>COUNTIFS(TU_DB[[NO2 Bin (2n1) (ppm)]:[NO2 Bin (2n1) (ppm)]],H$19,TU_DB[[Monitoring Site]:[Monitoring Site]],$B72)</f>
        <v>0</v>
      </c>
      <c r="I72" s="257">
        <f t="shared" si="9"/>
        <v>21</v>
      </c>
      <c r="J72" s="268">
        <f t="shared" si="10"/>
        <v>0.1242603550295858</v>
      </c>
      <c r="T72"/>
    </row>
    <row r="73" spans="2:20" x14ac:dyDescent="0.25">
      <c r="B73" s="8" t="str">
        <f>Use!S132</f>
        <v>SF Kinnickinnic River @ 900th St</v>
      </c>
      <c r="C73" s="257">
        <f>COUNTIFS(TU_DB[[NO2 Bin (2n1) (ppm)]:[NO2 Bin (2n1) (ppm)]],C$19,TU_DB[[Monitoring Site]:[Monitoring Site]],$B73)</f>
        <v>13</v>
      </c>
      <c r="D73" s="79">
        <f>COUNTIFS(TU_DB[[NO2 Bin (2n1) (ppm)]:[NO2 Bin (2n1) (ppm)]],D$19,TU_DB[[Monitoring Site]:[Monitoring Site]],$B73)</f>
        <v>0</v>
      </c>
      <c r="E73" s="79">
        <f>COUNTIFS(TU_DB[[NO2 Bin (2n1) (ppm)]:[NO2 Bin (2n1) (ppm)]],E$19,TU_DB[[Monitoring Site]:[Monitoring Site]],$B73)</f>
        <v>0</v>
      </c>
      <c r="F73" s="79">
        <f>COUNTIFS(TU_DB[[NO2 Bin (2n1) (ppm)]:[NO2 Bin (2n1) (ppm)]],F$19,TU_DB[[Monitoring Site]:[Monitoring Site]],$B73)</f>
        <v>0</v>
      </c>
      <c r="G73" s="79">
        <f>COUNTIFS(TU_DB[[NO2 Bin (2n1) (ppm)]:[NO2 Bin (2n1) (ppm)]],G$19,TU_DB[[Monitoring Site]:[Monitoring Site]],$B73)</f>
        <v>0</v>
      </c>
      <c r="H73" s="79">
        <f>COUNTIFS(TU_DB[[NO2 Bin (2n1) (ppm)]:[NO2 Bin (2n1) (ppm)]],H$19,TU_DB[[Monitoring Site]:[Monitoring Site]],$B73)</f>
        <v>0</v>
      </c>
      <c r="I73" s="257">
        <f t="shared" si="9"/>
        <v>13</v>
      </c>
      <c r="J73" s="268">
        <f t="shared" si="10"/>
        <v>7.6923076923076927E-2</v>
      </c>
      <c r="T73"/>
    </row>
    <row r="74" spans="2:20" x14ac:dyDescent="0.25">
      <c r="B74" s="8" t="str">
        <f>Use!S133</f>
        <v>Trimbelle River @ County Rd W</v>
      </c>
      <c r="C74" s="257">
        <f>COUNTIFS(TU_DB[[NO2 Bin (2n1) (ppm)]:[NO2 Bin (2n1) (ppm)]],C$19,TU_DB[[Monitoring Site]:[Monitoring Site]],$B74)</f>
        <v>6</v>
      </c>
      <c r="D74" s="79">
        <f>COUNTIFS(TU_DB[[NO2 Bin (2n1) (ppm)]:[NO2 Bin (2n1) (ppm)]],D$19,TU_DB[[Monitoring Site]:[Monitoring Site]],$B74)</f>
        <v>0</v>
      </c>
      <c r="E74" s="79">
        <f>COUNTIFS(TU_DB[[NO2 Bin (2n1) (ppm)]:[NO2 Bin (2n1) (ppm)]],E$19,TU_DB[[Monitoring Site]:[Monitoring Site]],$B74)</f>
        <v>0</v>
      </c>
      <c r="F74" s="79">
        <f>COUNTIFS(TU_DB[[NO2 Bin (2n1) (ppm)]:[NO2 Bin (2n1) (ppm)]],F$19,TU_DB[[Monitoring Site]:[Monitoring Site]],$B74)</f>
        <v>0</v>
      </c>
      <c r="G74" s="79">
        <f>COUNTIFS(TU_DB[[NO2 Bin (2n1) (ppm)]:[NO2 Bin (2n1) (ppm)]],G$19,TU_DB[[Monitoring Site]:[Monitoring Site]],$B74)</f>
        <v>0</v>
      </c>
      <c r="H74" s="79">
        <f>COUNTIFS(TU_DB[[NO2 Bin (2n1) (ppm)]:[NO2 Bin (2n1) (ppm)]],H$19,TU_DB[[Monitoring Site]:[Monitoring Site]],$B74)</f>
        <v>0</v>
      </c>
      <c r="I74" s="257">
        <f t="shared" si="9"/>
        <v>6</v>
      </c>
      <c r="J74" s="268">
        <f t="shared" si="10"/>
        <v>3.5502958579881658E-2</v>
      </c>
      <c r="T74"/>
    </row>
    <row r="75" spans="2:20" x14ac:dyDescent="0.25">
      <c r="B75" s="153" t="s">
        <v>1329</v>
      </c>
      <c r="C75" s="378">
        <f>SUM(C76:C85)</f>
        <v>96</v>
      </c>
      <c r="D75" s="378">
        <f t="shared" ref="D75:H75" si="11">SUM(D76:D85)</f>
        <v>0</v>
      </c>
      <c r="E75" s="378">
        <f t="shared" si="11"/>
        <v>0</v>
      </c>
      <c r="F75" s="378">
        <f t="shared" si="11"/>
        <v>0</v>
      </c>
      <c r="G75" s="378">
        <f t="shared" si="11"/>
        <v>0</v>
      </c>
      <c r="H75" s="378">
        <f t="shared" si="11"/>
        <v>0</v>
      </c>
      <c r="I75" s="378">
        <f>SUM(I76:I83)</f>
        <v>96</v>
      </c>
      <c r="J75" s="377"/>
      <c r="T75"/>
    </row>
    <row r="76" spans="2:20" x14ac:dyDescent="0.25">
      <c r="B76" s="8" t="str">
        <f>Use!S135</f>
        <v>Belle Creek</v>
      </c>
      <c r="C76" s="257">
        <f>COUNTIFS(TU_DB[[NO2 Bin (2n1) (ppm)]:[NO2 Bin (2n1) (ppm)]],C$19,TU_DB[[Monitoring Site]:[Monitoring Site]],$B76)</f>
        <v>4</v>
      </c>
      <c r="D76" s="79">
        <f>COUNTIFS(TU_DB[[NO2 Bin (2n1) (ppm)]:[NO2 Bin (2n1) (ppm)]],D$19,TU_DB[[Monitoring Site]:[Monitoring Site]],$B76)</f>
        <v>0</v>
      </c>
      <c r="E76" s="79">
        <f>COUNTIFS(TU_DB[[NO2 Bin (2n1) (ppm)]:[NO2 Bin (2n1) (ppm)]],E$19,TU_DB[[Monitoring Site]:[Monitoring Site]],$B76)</f>
        <v>0</v>
      </c>
      <c r="F76" s="79">
        <f>COUNTIFS(TU_DB[[NO2 Bin (2n1) (ppm)]:[NO2 Bin (2n1) (ppm)]],F$19,TU_DB[[Monitoring Site]:[Monitoring Site]],$B76)</f>
        <v>0</v>
      </c>
      <c r="G76" s="79">
        <f>COUNTIFS(TU_DB[[NO2 Bin (2n1) (ppm)]:[NO2 Bin (2n1) (ppm)]],G$19,TU_DB[[Monitoring Site]:[Monitoring Site]],$B76)</f>
        <v>0</v>
      </c>
      <c r="H76" s="79">
        <f>COUNTIFS(TU_DB[[NO2 Bin (2n1) (ppm)]:[NO2 Bin (2n1) (ppm)]],H$19,TU_DB[[Monitoring Site]:[Monitoring Site]],$B76)</f>
        <v>0</v>
      </c>
      <c r="I76" s="257">
        <f t="shared" si="9"/>
        <v>4</v>
      </c>
      <c r="J76" s="268">
        <f>SUM(I76)/$I$75</f>
        <v>4.1666666666666664E-2</v>
      </c>
      <c r="T76"/>
    </row>
    <row r="77" spans="2:20" x14ac:dyDescent="0.25">
      <c r="B77" s="8" t="str">
        <f>Use!S136</f>
        <v>Hay Creek @ 320th St</v>
      </c>
      <c r="C77" s="257">
        <f>COUNTIFS(TU_DB[[NO2 Bin (2n1) (ppm)]:[NO2 Bin (2n1) (ppm)]],C$19,TU_DB[[Monitoring Site]:[Monitoring Site]],$B77)</f>
        <v>0</v>
      </c>
      <c r="D77" s="79">
        <f>COUNTIFS(TU_DB[[NO2 Bin (2n1) (ppm)]:[NO2 Bin (2n1) (ppm)]],D$19,TU_DB[[Monitoring Site]:[Monitoring Site]],$B77)</f>
        <v>0</v>
      </c>
      <c r="E77" s="79">
        <f>COUNTIFS(TU_DB[[NO2 Bin (2n1) (ppm)]:[NO2 Bin (2n1) (ppm)]],E$19,TU_DB[[Monitoring Site]:[Monitoring Site]],$B77)</f>
        <v>0</v>
      </c>
      <c r="F77" s="79">
        <f>COUNTIFS(TU_DB[[NO2 Bin (2n1) (ppm)]:[NO2 Bin (2n1) (ppm)]],F$19,TU_DB[[Monitoring Site]:[Monitoring Site]],$B77)</f>
        <v>0</v>
      </c>
      <c r="G77" s="79">
        <f>COUNTIFS(TU_DB[[NO2 Bin (2n1) (ppm)]:[NO2 Bin (2n1) (ppm)]],G$19,TU_DB[[Monitoring Site]:[Monitoring Site]],$B77)</f>
        <v>0</v>
      </c>
      <c r="H77" s="79">
        <f>COUNTIFS(TU_DB[[NO2 Bin (2n1) (ppm)]:[NO2 Bin (2n1) (ppm)]],H$19,TU_DB[[Monitoring Site]:[Monitoring Site]],$B77)</f>
        <v>0</v>
      </c>
      <c r="I77" s="257">
        <f t="shared" si="9"/>
        <v>0</v>
      </c>
      <c r="J77" s="268">
        <f t="shared" ref="J77:J83" si="12">SUM(I77)/$I$75</f>
        <v>0</v>
      </c>
      <c r="T77"/>
    </row>
    <row r="78" spans="2:20" x14ac:dyDescent="0.25">
      <c r="B78" s="8" t="str">
        <f>Use!S137</f>
        <v>Hay Creek @ 325th St</v>
      </c>
      <c r="C78" s="257">
        <f>COUNTIFS(TU_DB[[NO2 Bin (2n1) (ppm)]:[NO2 Bin (2n1) (ppm)]],C$19,TU_DB[[Monitoring Site]:[Monitoring Site]],$B78)</f>
        <v>0</v>
      </c>
      <c r="D78" s="79">
        <f>COUNTIFS(TU_DB[[NO2 Bin (2n1) (ppm)]:[NO2 Bin (2n1) (ppm)]],D$19,TU_DB[[Monitoring Site]:[Monitoring Site]],$B78)</f>
        <v>0</v>
      </c>
      <c r="E78" s="79">
        <f>COUNTIFS(TU_DB[[NO2 Bin (2n1) (ppm)]:[NO2 Bin (2n1) (ppm)]],E$19,TU_DB[[Monitoring Site]:[Monitoring Site]],$B78)</f>
        <v>0</v>
      </c>
      <c r="F78" s="79">
        <f>COUNTIFS(TU_DB[[NO2 Bin (2n1) (ppm)]:[NO2 Bin (2n1) (ppm)]],F$19,TU_DB[[Monitoring Site]:[Monitoring Site]],$B78)</f>
        <v>0</v>
      </c>
      <c r="G78" s="79">
        <f>COUNTIFS(TU_DB[[NO2 Bin (2n1) (ppm)]:[NO2 Bin (2n1) (ppm)]],G$19,TU_DB[[Monitoring Site]:[Monitoring Site]],$B78)</f>
        <v>0</v>
      </c>
      <c r="H78" s="79">
        <f>COUNTIFS(TU_DB[[NO2 Bin (2n1) (ppm)]:[NO2 Bin (2n1) (ppm)]],H$19,TU_DB[[Monitoring Site]:[Monitoring Site]],$B78)</f>
        <v>0</v>
      </c>
      <c r="I78" s="257">
        <f t="shared" si="9"/>
        <v>0</v>
      </c>
      <c r="J78" s="268">
        <f t="shared" si="12"/>
        <v>0</v>
      </c>
      <c r="T78"/>
    </row>
    <row r="79" spans="2:20" x14ac:dyDescent="0.25">
      <c r="B79" s="8" t="str">
        <f>Use!S138</f>
        <v>Eagle Creek</v>
      </c>
      <c r="C79" s="257">
        <f>COUNTIFS(TU_DB[[NO2 Bin (2n1) (ppm)]:[NO2 Bin (2n1) (ppm)]],C$19,TU_DB[[Monitoring Site]:[Monitoring Site]],$B79)</f>
        <v>0</v>
      </c>
      <c r="D79" s="79">
        <f>COUNTIFS(TU_DB[[NO2 Bin (2n1) (ppm)]:[NO2 Bin (2n1) (ppm)]],D$19,TU_DB[[Monitoring Site]:[Monitoring Site]],$B79)</f>
        <v>0</v>
      </c>
      <c r="E79" s="79">
        <f>COUNTIFS(TU_DB[[NO2 Bin (2n1) (ppm)]:[NO2 Bin (2n1) (ppm)]],E$19,TU_DB[[Monitoring Site]:[Monitoring Site]],$B79)</f>
        <v>0</v>
      </c>
      <c r="F79" s="79">
        <f>COUNTIFS(TU_DB[[NO2 Bin (2n1) (ppm)]:[NO2 Bin (2n1) (ppm)]],F$19,TU_DB[[Monitoring Site]:[Monitoring Site]],$B79)</f>
        <v>0</v>
      </c>
      <c r="G79" s="79">
        <f>COUNTIFS(TU_DB[[NO2 Bin (2n1) (ppm)]:[NO2 Bin (2n1) (ppm)]],G$19,TU_DB[[Monitoring Site]:[Monitoring Site]],$B79)</f>
        <v>0</v>
      </c>
      <c r="H79" s="79">
        <f>COUNTIFS(TU_DB[[NO2 Bin (2n1) (ppm)]:[NO2 Bin (2n1) (ppm)]],H$19,TU_DB[[Monitoring Site]:[Monitoring Site]],$B79)</f>
        <v>0</v>
      </c>
      <c r="I79" s="257">
        <f t="shared" si="9"/>
        <v>0</v>
      </c>
      <c r="J79" s="268">
        <f t="shared" si="12"/>
        <v>0</v>
      </c>
      <c r="T79"/>
    </row>
    <row r="80" spans="2:20" x14ac:dyDescent="0.25">
      <c r="B80" s="8" t="str">
        <f>Use!S139</f>
        <v>Little Cannon River</v>
      </c>
      <c r="C80" s="257">
        <f>COUNTIFS(TU_DB[[NO2 Bin (2n1) (ppm)]:[NO2 Bin (2n1) (ppm)]],C$19,TU_DB[[Monitoring Site]:[Monitoring Site]],$B80)</f>
        <v>0</v>
      </c>
      <c r="D80" s="79">
        <f>COUNTIFS(TU_DB[[NO2 Bin (2n1) (ppm)]:[NO2 Bin (2n1) (ppm)]],D$19,TU_DB[[Monitoring Site]:[Monitoring Site]],$B80)</f>
        <v>0</v>
      </c>
      <c r="E80" s="79">
        <f>COUNTIFS(TU_DB[[NO2 Bin (2n1) (ppm)]:[NO2 Bin (2n1) (ppm)]],E$19,TU_DB[[Monitoring Site]:[Monitoring Site]],$B80)</f>
        <v>0</v>
      </c>
      <c r="F80" s="79">
        <f>COUNTIFS(TU_DB[[NO2 Bin (2n1) (ppm)]:[NO2 Bin (2n1) (ppm)]],F$19,TU_DB[[Monitoring Site]:[Monitoring Site]],$B80)</f>
        <v>0</v>
      </c>
      <c r="G80" s="79">
        <f>COUNTIFS(TU_DB[[NO2 Bin (2n1) (ppm)]:[NO2 Bin (2n1) (ppm)]],G$19,TU_DB[[Monitoring Site]:[Monitoring Site]],$B80)</f>
        <v>0</v>
      </c>
      <c r="H80" s="79">
        <f>COUNTIFS(TU_DB[[NO2 Bin (2n1) (ppm)]:[NO2 Bin (2n1) (ppm)]],H$19,TU_DB[[Monitoring Site]:[Monitoring Site]],$B80)</f>
        <v>0</v>
      </c>
      <c r="I80" s="257">
        <f t="shared" si="9"/>
        <v>0</v>
      </c>
      <c r="J80" s="268">
        <f t="shared" si="12"/>
        <v>0</v>
      </c>
      <c r="T80"/>
    </row>
    <row r="81" spans="2:33" x14ac:dyDescent="0.25">
      <c r="B81" s="8" t="str">
        <f>Use!S140</f>
        <v>MOA Creek</v>
      </c>
      <c r="C81" s="257">
        <f>COUNTIFS(TU_DB[[NO2 Bin (2n1) (ppm)]:[NO2 Bin (2n1) (ppm)]],C$19,TU_DB[[Monitoring Site]:[Monitoring Site]],$B81)</f>
        <v>22</v>
      </c>
      <c r="D81" s="79">
        <f>COUNTIFS(TU_DB[[NO2 Bin (2n1) (ppm)]:[NO2 Bin (2n1) (ppm)]],D$19,TU_DB[[Monitoring Site]:[Monitoring Site]],$B81)</f>
        <v>0</v>
      </c>
      <c r="E81" s="79">
        <f>COUNTIFS(TU_DB[[NO2 Bin (2n1) (ppm)]:[NO2 Bin (2n1) (ppm)]],E$19,TU_DB[[Monitoring Site]:[Monitoring Site]],$B81)</f>
        <v>0</v>
      </c>
      <c r="F81" s="79">
        <f>COUNTIFS(TU_DB[[NO2 Bin (2n1) (ppm)]:[NO2 Bin (2n1) (ppm)]],F$19,TU_DB[[Monitoring Site]:[Monitoring Site]],$B81)</f>
        <v>0</v>
      </c>
      <c r="G81" s="79">
        <f>COUNTIFS(TU_DB[[NO2 Bin (2n1) (ppm)]:[NO2 Bin (2n1) (ppm)]],G$19,TU_DB[[Monitoring Site]:[Monitoring Site]],$B81)</f>
        <v>0</v>
      </c>
      <c r="H81" s="79">
        <f>COUNTIFS(TU_DB[[NO2 Bin (2n1) (ppm)]:[NO2 Bin (2n1) (ppm)]],H$19,TU_DB[[Monitoring Site]:[Monitoring Site]],$B81)</f>
        <v>0</v>
      </c>
      <c r="I81" s="257">
        <f t="shared" si="9"/>
        <v>22</v>
      </c>
      <c r="J81" s="268">
        <f t="shared" si="12"/>
        <v>0.22916666666666666</v>
      </c>
      <c r="T81"/>
    </row>
    <row r="82" spans="2:33" x14ac:dyDescent="0.25">
      <c r="B82" s="8" t="str">
        <f>Use!S141</f>
        <v>Trout Brook</v>
      </c>
      <c r="C82" s="257">
        <f>COUNTIFS(TU_DB[[NO2 Bin (2n1) (ppm)]:[NO2 Bin (2n1) (ppm)]],C$19,TU_DB[[Monitoring Site]:[Monitoring Site]],$B82)</f>
        <v>35</v>
      </c>
      <c r="D82" s="79">
        <f>COUNTIFS(TU_DB[[NO2 Bin (2n1) (ppm)]:[NO2 Bin (2n1) (ppm)]],D$19,TU_DB[[Monitoring Site]:[Monitoring Site]],$B82)</f>
        <v>0</v>
      </c>
      <c r="E82" s="79">
        <f>COUNTIFS(TU_DB[[NO2 Bin (2n1) (ppm)]:[NO2 Bin (2n1) (ppm)]],E$19,TU_DB[[Monitoring Site]:[Monitoring Site]],$B82)</f>
        <v>0</v>
      </c>
      <c r="F82" s="79">
        <f>COUNTIFS(TU_DB[[NO2 Bin (2n1) (ppm)]:[NO2 Bin (2n1) (ppm)]],F$19,TU_DB[[Monitoring Site]:[Monitoring Site]],$B82)</f>
        <v>0</v>
      </c>
      <c r="G82" s="79">
        <f>COUNTIFS(TU_DB[[NO2 Bin (2n1) (ppm)]:[NO2 Bin (2n1) (ppm)]],G$19,TU_DB[[Monitoring Site]:[Monitoring Site]],$B82)</f>
        <v>0</v>
      </c>
      <c r="H82" s="79">
        <f>COUNTIFS(TU_DB[[NO2 Bin (2n1) (ppm)]:[NO2 Bin (2n1) (ppm)]],H$19,TU_DB[[Monitoring Site]:[Monitoring Site]],$B82)</f>
        <v>0</v>
      </c>
      <c r="I82" s="257">
        <f>SUM(C82:H82)</f>
        <v>35</v>
      </c>
      <c r="J82" s="268">
        <f t="shared" si="12"/>
        <v>0.36458333333333331</v>
      </c>
      <c r="T82"/>
    </row>
    <row r="83" spans="2:33" ht="15.75" thickBot="1" x14ac:dyDescent="0.3">
      <c r="B83" s="379" t="str">
        <f>Use!S142</f>
        <v>Vermillion River, South Branch</v>
      </c>
      <c r="C83" s="258">
        <f>COUNTIFS(TU_DB[[NO2 Bin (2n1) (ppm)]:[NO2 Bin (2n1) (ppm)]],C$19,TU_DB[[Monitoring Site]:[Monitoring Site]],$B83)</f>
        <v>35</v>
      </c>
      <c r="D83" s="255">
        <f>COUNTIFS(TU_DB[[NO2 Bin (2n1) (ppm)]:[NO2 Bin (2n1) (ppm)]],D$19,TU_DB[[Monitoring Site]:[Monitoring Site]],$B83)</f>
        <v>0</v>
      </c>
      <c r="E83" s="255">
        <f>COUNTIFS(TU_DB[[NO2 Bin (2n1) (ppm)]:[NO2 Bin (2n1) (ppm)]],E$19,TU_DB[[Monitoring Site]:[Monitoring Site]],$B83)</f>
        <v>0</v>
      </c>
      <c r="F83" s="255">
        <f>COUNTIFS(TU_DB[[NO2 Bin (2n1) (ppm)]:[NO2 Bin (2n1) (ppm)]],F$19,TU_DB[[Monitoring Site]:[Monitoring Site]],$B83)</f>
        <v>0</v>
      </c>
      <c r="G83" s="255">
        <f>COUNTIFS(TU_DB[[NO2 Bin (2n1) (ppm)]:[NO2 Bin (2n1) (ppm)]],G$19,TU_DB[[Monitoring Site]:[Monitoring Site]],$B83)</f>
        <v>0</v>
      </c>
      <c r="H83" s="255">
        <f>COUNTIFS(TU_DB[[NO2 Bin (2n1) (ppm)]:[NO2 Bin (2n1) (ppm)]],H$19,TU_DB[[Monitoring Site]:[Monitoring Site]],$B83)</f>
        <v>0</v>
      </c>
      <c r="I83" s="258">
        <f>SUM(C83:H83)</f>
        <v>35</v>
      </c>
      <c r="J83" s="380">
        <f t="shared" si="12"/>
        <v>0.36458333333333331</v>
      </c>
      <c r="T83"/>
    </row>
    <row r="84" spans="2:33" x14ac:dyDescent="0.25">
      <c r="T84"/>
      <c r="AE84" s="1"/>
      <c r="AF84" s="1"/>
      <c r="AG84" s="1"/>
    </row>
    <row r="85" spans="2:33" x14ac:dyDescent="0.25">
      <c r="T85"/>
    </row>
    <row r="86" spans="2:33" x14ac:dyDescent="0.25">
      <c r="M86" s="331" t="s">
        <v>4168</v>
      </c>
      <c r="N86" s="317">
        <v>0</v>
      </c>
      <c r="O86" s="317">
        <v>0.15</v>
      </c>
      <c r="P86" s="317">
        <v>0.3</v>
      </c>
      <c r="Q86" s="317">
        <v>1</v>
      </c>
      <c r="R86" s="317">
        <v>1.5</v>
      </c>
      <c r="S86" s="317">
        <v>3</v>
      </c>
      <c r="T86"/>
    </row>
    <row r="87" spans="2:33" x14ac:dyDescent="0.25">
      <c r="M87" s="332" t="str">
        <f t="shared" ref="M87" si="13">INDEX(B64:B82,MATCH($N$62,$B$64:$B$82,0))</f>
        <v>Rush River @ 570th Ave</v>
      </c>
      <c r="N87" s="318">
        <f>INDEX(C64:C83,MATCH($N$62,$B$64:$B$83,0))</f>
        <v>20</v>
      </c>
      <c r="O87" s="318">
        <f t="shared" ref="O87:S87" si="14">INDEX(D64:D83,MATCH($N$62,$B$64:$B$83,0))</f>
        <v>0</v>
      </c>
      <c r="P87" s="318">
        <f t="shared" si="14"/>
        <v>0</v>
      </c>
      <c r="Q87" s="318">
        <f t="shared" si="14"/>
        <v>1</v>
      </c>
      <c r="R87" s="318">
        <f t="shared" si="14"/>
        <v>0</v>
      </c>
      <c r="S87" s="318">
        <f t="shared" si="14"/>
        <v>0</v>
      </c>
      <c r="T87"/>
    </row>
    <row r="88" spans="2:33" x14ac:dyDescent="0.25">
      <c r="T88"/>
    </row>
    <row r="89" spans="2:33" x14ac:dyDescent="0.25">
      <c r="T89"/>
    </row>
    <row r="90" spans="2:33" x14ac:dyDescent="0.25">
      <c r="T90"/>
    </row>
    <row r="91" spans="2:33" x14ac:dyDescent="0.25">
      <c r="T91"/>
    </row>
    <row r="92" spans="2:33" x14ac:dyDescent="0.25">
      <c r="T92"/>
    </row>
    <row r="93" spans="2:33" x14ac:dyDescent="0.25">
      <c r="T93"/>
    </row>
    <row r="94" spans="2:33" x14ac:dyDescent="0.25">
      <c r="C94"/>
      <c r="D94"/>
      <c r="E94"/>
      <c r="T94"/>
      <c r="Z94"/>
      <c r="AA94"/>
    </row>
    <row r="95" spans="2:33" x14ac:dyDescent="0.25">
      <c r="C95"/>
      <c r="D95"/>
      <c r="E95"/>
      <c r="R95" s="1"/>
      <c r="S95" s="15"/>
      <c r="T95"/>
      <c r="Z95"/>
      <c r="AA95"/>
    </row>
    <row r="96" spans="2:33" x14ac:dyDescent="0.25">
      <c r="C96"/>
      <c r="D96"/>
      <c r="E96"/>
      <c r="J96" s="1"/>
      <c r="R96" s="1"/>
      <c r="S96" s="15"/>
      <c r="T96"/>
      <c r="Z96"/>
      <c r="AA96"/>
    </row>
    <row r="97" spans="3:27" x14ac:dyDescent="0.25">
      <c r="C97"/>
      <c r="D97"/>
      <c r="E97"/>
      <c r="J97" s="1"/>
      <c r="R97" s="1"/>
      <c r="S97" s="15"/>
      <c r="T97"/>
      <c r="Z97"/>
      <c r="AA97"/>
    </row>
    <row r="98" spans="3:27" x14ac:dyDescent="0.25">
      <c r="C98"/>
      <c r="D98"/>
      <c r="E98"/>
      <c r="J98" s="1"/>
      <c r="R98" s="1"/>
      <c r="S98" s="15"/>
      <c r="T98"/>
      <c r="Z98"/>
      <c r="AA98"/>
    </row>
    <row r="99" spans="3:27" customFormat="1" x14ac:dyDescent="0.25">
      <c r="R99" s="1"/>
      <c r="S99" s="15"/>
    </row>
    <row r="100" spans="3:27" customFormat="1" x14ac:dyDescent="0.25">
      <c r="R100" s="1"/>
      <c r="S100" s="15"/>
    </row>
    <row r="101" spans="3:27" x14ac:dyDescent="0.25">
      <c r="C101"/>
      <c r="D101"/>
      <c r="E101"/>
      <c r="L101" s="1"/>
      <c r="R101" s="1"/>
      <c r="S101" s="15"/>
      <c r="T101"/>
      <c r="Z101"/>
      <c r="AA101"/>
    </row>
    <row r="102" spans="3:27" x14ac:dyDescent="0.25">
      <c r="C102"/>
      <c r="D102"/>
      <c r="E102"/>
      <c r="L102" s="1"/>
      <c r="R102" s="1"/>
      <c r="S102" s="15"/>
      <c r="T102"/>
      <c r="Z102"/>
      <c r="AA102"/>
    </row>
    <row r="103" spans="3:27" x14ac:dyDescent="0.25">
      <c r="C103"/>
      <c r="D103"/>
      <c r="E103"/>
      <c r="L103" s="1"/>
      <c r="R103" s="1"/>
      <c r="S103" s="15"/>
      <c r="T103"/>
      <c r="Z103"/>
      <c r="AA103"/>
    </row>
    <row r="104" spans="3:27" x14ac:dyDescent="0.25">
      <c r="C104"/>
      <c r="D104"/>
      <c r="E104"/>
      <c r="L104" s="1"/>
      <c r="R104" s="1"/>
      <c r="S104" s="15"/>
      <c r="T104"/>
      <c r="Z104"/>
      <c r="AA104"/>
    </row>
    <row r="105" spans="3:27" x14ac:dyDescent="0.25">
      <c r="C105"/>
      <c r="D105"/>
      <c r="E105"/>
      <c r="L105" s="1"/>
      <c r="R105" s="1"/>
      <c r="S105" s="15"/>
      <c r="T105"/>
      <c r="Z105"/>
      <c r="AA105"/>
    </row>
    <row r="106" spans="3:27" x14ac:dyDescent="0.25">
      <c r="C106"/>
      <c r="D106"/>
      <c r="E106"/>
      <c r="L106" s="1"/>
      <c r="R106" s="1"/>
      <c r="S106" s="15"/>
      <c r="T106"/>
      <c r="Z106"/>
      <c r="AA106"/>
    </row>
    <row r="107" spans="3:27" x14ac:dyDescent="0.25">
      <c r="C107"/>
      <c r="D107"/>
      <c r="E107"/>
      <c r="L107" s="1"/>
      <c r="R107" s="1"/>
      <c r="S107" s="15"/>
      <c r="T107"/>
      <c r="Z107"/>
      <c r="AA107"/>
    </row>
    <row r="108" spans="3:27" x14ac:dyDescent="0.25">
      <c r="C108"/>
      <c r="D108"/>
      <c r="E108"/>
      <c r="L108" s="1"/>
      <c r="R108" s="1"/>
      <c r="S108" s="15"/>
      <c r="T108"/>
      <c r="Z108"/>
      <c r="AA108"/>
    </row>
    <row r="109" spans="3:27" x14ac:dyDescent="0.25">
      <c r="C109"/>
      <c r="D109"/>
      <c r="E109"/>
      <c r="L109" s="1"/>
      <c r="R109" s="1"/>
      <c r="S109" s="15"/>
      <c r="T109"/>
      <c r="Z109"/>
      <c r="AA109"/>
    </row>
    <row r="110" spans="3:27" x14ac:dyDescent="0.25">
      <c r="C110"/>
      <c r="D110"/>
      <c r="E110"/>
      <c r="L110" s="1"/>
      <c r="R110" s="1"/>
      <c r="S110" s="15"/>
      <c r="T110"/>
      <c r="Z110"/>
      <c r="AA110"/>
    </row>
    <row r="111" spans="3:27" x14ac:dyDescent="0.25">
      <c r="C111"/>
      <c r="D111"/>
      <c r="E111"/>
      <c r="L111" s="1"/>
      <c r="R111" s="1"/>
      <c r="S111" s="15"/>
      <c r="T111"/>
      <c r="Z111"/>
      <c r="AA111"/>
    </row>
    <row r="112" spans="3:27" x14ac:dyDescent="0.25">
      <c r="C112"/>
      <c r="D112"/>
      <c r="E112"/>
      <c r="L112" s="1"/>
      <c r="R112" s="1"/>
      <c r="S112" s="15"/>
      <c r="T112"/>
      <c r="Z112"/>
      <c r="AA112"/>
    </row>
    <row r="113" spans="3:27" x14ac:dyDescent="0.25">
      <c r="C113"/>
      <c r="D113"/>
      <c r="E113"/>
      <c r="L113" s="1"/>
      <c r="R113" s="1"/>
      <c r="S113" s="15"/>
      <c r="T113"/>
      <c r="Z113"/>
      <c r="AA113"/>
    </row>
    <row r="114" spans="3:27" x14ac:dyDescent="0.25">
      <c r="C114"/>
      <c r="D114"/>
      <c r="E114"/>
      <c r="L114" s="1"/>
      <c r="R114" s="1"/>
      <c r="S114" s="15"/>
      <c r="T114"/>
      <c r="Z114"/>
      <c r="AA114"/>
    </row>
    <row r="115" spans="3:27" x14ac:dyDescent="0.25">
      <c r="C115"/>
      <c r="D115"/>
      <c r="E115"/>
      <c r="L115" s="1"/>
      <c r="R115" s="1"/>
      <c r="S115" s="15"/>
      <c r="T115"/>
      <c r="Z115"/>
      <c r="AA115"/>
    </row>
    <row r="116" spans="3:27" x14ac:dyDescent="0.25">
      <c r="C116"/>
      <c r="D116"/>
      <c r="E116"/>
      <c r="L116" s="1"/>
      <c r="R116" s="1"/>
      <c r="S116" s="15"/>
      <c r="T116"/>
      <c r="Z116"/>
      <c r="AA116"/>
    </row>
    <row r="117" spans="3:27" x14ac:dyDescent="0.25">
      <c r="C117"/>
      <c r="D117"/>
      <c r="E117"/>
      <c r="L117" s="1"/>
      <c r="R117" s="1"/>
      <c r="S117" s="15"/>
      <c r="T117"/>
      <c r="Z117"/>
      <c r="AA117"/>
    </row>
    <row r="118" spans="3:27" x14ac:dyDescent="0.25">
      <c r="C118"/>
      <c r="D118"/>
      <c r="E118"/>
      <c r="L118" s="1"/>
      <c r="R118" s="1"/>
      <c r="S118" s="15"/>
      <c r="T118"/>
      <c r="Z118"/>
      <c r="AA118"/>
    </row>
    <row r="119" spans="3:27" x14ac:dyDescent="0.25">
      <c r="C119"/>
      <c r="D119"/>
      <c r="E119"/>
      <c r="L119" s="1"/>
      <c r="R119" s="1"/>
      <c r="S119" s="15"/>
      <c r="T119"/>
      <c r="Z119"/>
      <c r="AA119"/>
    </row>
    <row r="120" spans="3:27" x14ac:dyDescent="0.25">
      <c r="C120"/>
      <c r="D120"/>
      <c r="E120"/>
      <c r="L120" s="1"/>
      <c r="R120" s="1"/>
      <c r="S120" s="15"/>
      <c r="T120"/>
      <c r="Z120"/>
      <c r="AA120"/>
    </row>
    <row r="121" spans="3:27" x14ac:dyDescent="0.25">
      <c r="C121"/>
      <c r="D121"/>
      <c r="E121"/>
      <c r="L121" s="1"/>
      <c r="R121" s="1"/>
      <c r="S121" s="15"/>
      <c r="T121"/>
      <c r="Z121"/>
      <c r="AA121"/>
    </row>
    <row r="122" spans="3:27" x14ac:dyDescent="0.25">
      <c r="C122"/>
      <c r="D122"/>
      <c r="E122"/>
      <c r="L122" s="1"/>
      <c r="R122" s="1"/>
      <c r="S122" s="15"/>
      <c r="T122"/>
      <c r="Z122"/>
      <c r="AA122"/>
    </row>
    <row r="123" spans="3:27" x14ac:dyDescent="0.25">
      <c r="C123"/>
      <c r="D123"/>
      <c r="E123"/>
      <c r="L123" s="1"/>
      <c r="R123" s="1"/>
      <c r="S123" s="15"/>
      <c r="T123"/>
      <c r="Z123"/>
      <c r="AA123"/>
    </row>
    <row r="124" spans="3:27" x14ac:dyDescent="0.25">
      <c r="C124"/>
      <c r="D124"/>
      <c r="E124"/>
      <c r="L124" s="1"/>
      <c r="R124" s="1"/>
      <c r="S124" s="15"/>
      <c r="T124"/>
      <c r="Z124"/>
      <c r="AA124"/>
    </row>
    <row r="125" spans="3:27" x14ac:dyDescent="0.25">
      <c r="C125"/>
      <c r="D125"/>
      <c r="E125"/>
      <c r="L125" s="1"/>
      <c r="R125" s="1"/>
      <c r="S125" s="15"/>
      <c r="T125"/>
      <c r="Z125"/>
      <c r="AA125"/>
    </row>
    <row r="126" spans="3:27" x14ac:dyDescent="0.25">
      <c r="C126"/>
      <c r="D126"/>
      <c r="E126"/>
      <c r="L126" s="1"/>
      <c r="R126" s="1"/>
      <c r="S126" s="15"/>
      <c r="T126"/>
      <c r="Z126"/>
      <c r="AA126"/>
    </row>
  </sheetData>
  <mergeCells count="3">
    <mergeCell ref="C2:D2"/>
    <mergeCell ref="K18:K19"/>
    <mergeCell ref="N62:Q62"/>
  </mergeCells>
  <dataValidations count="1">
    <dataValidation type="list" allowBlank="1" showInputMessage="1" showErrorMessage="1" sqref="N62:Q62" xr:uid="{25EDD574-5D51-45D2-A3E6-32A789D4B7D4}">
      <formula1>$B$64:$B$83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0F83-F327-465C-B833-8A2C87DB0FF0}">
  <sheetPr codeName="Sheet21"/>
  <dimension ref="A1:AW126"/>
  <sheetViews>
    <sheetView showGridLines="0" zoomScale="70" zoomScaleNormal="70" workbookViewId="0">
      <selection activeCell="AE27" sqref="AE27"/>
    </sheetView>
  </sheetViews>
  <sheetFormatPr defaultRowHeight="15" x14ac:dyDescent="0.25"/>
  <cols>
    <col min="1" max="1" width="2.28515625" customWidth="1"/>
    <col min="2" max="2" width="30.7109375" customWidth="1"/>
    <col min="3" max="3" width="15" style="1" customWidth="1"/>
    <col min="4" max="5" width="8.42578125" style="1" customWidth="1"/>
    <col min="6" max="9" width="8.42578125" customWidth="1"/>
    <col min="10" max="10" width="7.140625" customWidth="1"/>
    <col min="11" max="11" width="8.28515625" customWidth="1"/>
    <col min="12" max="12" width="8.42578125" customWidth="1"/>
    <col min="13" max="20" width="8.7109375" customWidth="1"/>
    <col min="21" max="21" width="8.7109375" style="1" customWidth="1"/>
    <col min="22" max="23" width="8.7109375" customWidth="1"/>
    <col min="24" max="26" width="12.140625" customWidth="1"/>
    <col min="27" max="27" width="12.140625" style="1" customWidth="1"/>
    <col min="28" max="28" width="12.140625" style="15" customWidth="1"/>
    <col min="29" max="36" width="12.140625" customWidth="1"/>
    <col min="37" max="38" width="3.85546875" bestFit="1" customWidth="1"/>
    <col min="39" max="39" width="2" bestFit="1" customWidth="1"/>
    <col min="40" max="40" width="30.5703125" bestFit="1" customWidth="1"/>
    <col min="41" max="41" width="8.42578125" bestFit="1" customWidth="1"/>
    <col min="42" max="43" width="2.85546875" bestFit="1" customWidth="1"/>
    <col min="44" max="46" width="3.85546875" bestFit="1" customWidth="1"/>
    <col min="47" max="47" width="2.85546875" bestFit="1" customWidth="1"/>
    <col min="48" max="48" width="11" bestFit="1" customWidth="1"/>
    <col min="49" max="49" width="5.7109375" bestFit="1" customWidth="1"/>
  </cols>
  <sheetData>
    <row r="1" spans="1:33" ht="20.65" customHeight="1" x14ac:dyDescent="0.45">
      <c r="A1" s="4" t="s">
        <v>1271</v>
      </c>
      <c r="B1" s="1"/>
    </row>
    <row r="2" spans="1:33" x14ac:dyDescent="0.25">
      <c r="B2" s="13" t="s">
        <v>75</v>
      </c>
      <c r="C2" s="557" t="s">
        <v>4179</v>
      </c>
      <c r="D2" s="557"/>
    </row>
    <row r="3" spans="1:33" x14ac:dyDescent="0.25">
      <c r="B3" s="13" t="s">
        <v>0</v>
      </c>
      <c r="C3" s="273">
        <f>TUDB!B3</f>
        <v>45580</v>
      </c>
    </row>
    <row r="4" spans="1:33" x14ac:dyDescent="0.25">
      <c r="B4" s="12"/>
    </row>
    <row r="5" spans="1:33" ht="30.4" customHeight="1" thickBot="1" x14ac:dyDescent="0.3">
      <c r="B5" s="281" t="s">
        <v>576</v>
      </c>
      <c r="AA5"/>
      <c r="AB5"/>
    </row>
    <row r="6" spans="1:33" s="7" customFormat="1" ht="30.4" customHeight="1" thickTop="1" x14ac:dyDescent="0.25">
      <c r="B6" s="112" t="s">
        <v>4178</v>
      </c>
      <c r="C6" s="112" t="s">
        <v>134</v>
      </c>
      <c r="D6" s="112" t="s">
        <v>963</v>
      </c>
      <c r="E6" s="112" t="s">
        <v>964</v>
      </c>
      <c r="F6" s="334">
        <v>2019</v>
      </c>
      <c r="G6" s="112">
        <v>2020</v>
      </c>
      <c r="H6" s="112">
        <v>2021</v>
      </c>
      <c r="I6" s="112">
        <v>2022</v>
      </c>
      <c r="J6" s="112">
        <v>2023</v>
      </c>
      <c r="K6" s="112">
        <v>2024</v>
      </c>
      <c r="U6" s="6"/>
      <c r="Z6"/>
      <c r="AA6"/>
      <c r="AB6"/>
      <c r="AC6"/>
      <c r="AD6"/>
      <c r="AE6"/>
      <c r="AF6"/>
      <c r="AG6" s="23"/>
    </row>
    <row r="7" spans="1:33" x14ac:dyDescent="0.25">
      <c r="B7" s="79">
        <v>0</v>
      </c>
      <c r="C7" s="79">
        <f>COUNTIFS(TU_DB[NO3 Bin (2n1) (ppm)],B7)</f>
        <v>257</v>
      </c>
      <c r="D7" s="250">
        <f t="shared" ref="D7:D13" si="0">C7/$C$14</f>
        <v>0.13670212765957446</v>
      </c>
      <c r="E7" s="250">
        <f>D7</f>
        <v>0.13670212765957446</v>
      </c>
      <c r="F7" s="102">
        <f>COUNTIFS(TU_DB[[NO3 Bin (2n1) (ppm)]:[NO3 Bin (2n1) (ppm)]],$B7,TU_DB[[Year]:[Year]],F$6)</f>
        <v>0</v>
      </c>
      <c r="G7" s="79">
        <f>COUNTIFS(TU_DB[[NO3 Bin (2n1) (ppm)]:[NO3 Bin (2n1) (ppm)]],$B7,TU_DB[[Year]:[Year]],G$6)</f>
        <v>12</v>
      </c>
      <c r="H7" s="79">
        <f>COUNTIFS(TU_DB[[NO3 Bin (2n1) (ppm)]:[NO3 Bin (2n1) (ppm)]],$B7,TU_DB[[Year]:[Year]],H$6)</f>
        <v>42</v>
      </c>
      <c r="I7" s="79">
        <f>COUNTIFS(TU_DB[[NO3 Bin (2n1) (ppm)]:[NO3 Bin (2n1) (ppm)]],$B7,TU_DB[[Year]:[Year]],I$6)</f>
        <v>42</v>
      </c>
      <c r="J7" s="79">
        <f>COUNTIFS(TU_DB[[NO3 Bin (2n1) (ppm)]:[NO3 Bin (2n1) (ppm)]],$B7,TU_DB[[Year]:[Year]],J$6)</f>
        <v>120</v>
      </c>
      <c r="K7" s="79">
        <f>COUNTIFS(TU_DB[[NO3 Bin (2n1) (ppm)]:[NO3 Bin (2n1) (ppm)]],$B7,TU_DB[[Year]:[Year]],K$6)</f>
        <v>41</v>
      </c>
      <c r="AA7"/>
      <c r="AB7"/>
    </row>
    <row r="8" spans="1:33" x14ac:dyDescent="0.25">
      <c r="B8" s="79">
        <v>1</v>
      </c>
      <c r="C8" s="79">
        <f>COUNTIFS(TU_DB[NO3 Bin (2n1) (ppm)],B8)</f>
        <v>67</v>
      </c>
      <c r="D8" s="250">
        <f t="shared" si="0"/>
        <v>3.5638297872340428E-2</v>
      </c>
      <c r="E8" s="250">
        <f t="shared" ref="E8:E13" si="1">D8+E7</f>
        <v>0.17234042553191489</v>
      </c>
      <c r="F8" s="102">
        <f>COUNTIFS(TU_DB[[NO3 Bin (2n1) (ppm)]:[NO3 Bin (2n1) (ppm)]],$B8,TU_DB[[Year]:[Year]],F$6)</f>
        <v>0</v>
      </c>
      <c r="G8" s="79">
        <f>COUNTIFS(TU_DB[[NO3 Bin (2n1) (ppm)]:[NO3 Bin (2n1) (ppm)]],$B8,TU_DB[[Year]:[Year]],G$6)</f>
        <v>2</v>
      </c>
      <c r="H8" s="79">
        <f>COUNTIFS(TU_DB[[NO3 Bin (2n1) (ppm)]:[NO3 Bin (2n1) (ppm)]],$B8,TU_DB[[Year]:[Year]],H$6)</f>
        <v>7</v>
      </c>
      <c r="I8" s="79">
        <f>COUNTIFS(TU_DB[[NO3 Bin (2n1) (ppm)]:[NO3 Bin (2n1) (ppm)]],$B8,TU_DB[[Year]:[Year]],I$6)</f>
        <v>11</v>
      </c>
      <c r="J8" s="79">
        <f>COUNTIFS(TU_DB[[NO3 Bin (2n1) (ppm)]:[NO3 Bin (2n1) (ppm)]],$B8,TU_DB[[Year]:[Year]],J$6)</f>
        <v>37</v>
      </c>
      <c r="K8" s="79">
        <f>COUNTIFS(TU_DB[[NO3 Bin (2n1) (ppm)]:[NO3 Bin (2n1) (ppm)]],$B8,TU_DB[[Year]:[Year]],K$6)</f>
        <v>10</v>
      </c>
      <c r="AA8"/>
      <c r="AB8"/>
    </row>
    <row r="9" spans="1:33" x14ac:dyDescent="0.25">
      <c r="B9" s="79">
        <v>2</v>
      </c>
      <c r="C9" s="79">
        <f>COUNTIFS(TU_DB[NO3 Bin (2n1) (ppm)],B9)</f>
        <v>645</v>
      </c>
      <c r="D9" s="250">
        <f t="shared" si="0"/>
        <v>0.34308510638297873</v>
      </c>
      <c r="E9" s="250">
        <f t="shared" si="1"/>
        <v>0.5154255319148936</v>
      </c>
      <c r="F9" s="102">
        <f>COUNTIFS(TU_DB[[NO3 Bin (2n1) (ppm)]:[NO3 Bin (2n1) (ppm)]],$B9,TU_DB[[Year]:[Year]],F$6)</f>
        <v>0</v>
      </c>
      <c r="G9" s="79">
        <f>COUNTIFS(TU_DB[[NO3 Bin (2n1) (ppm)]:[NO3 Bin (2n1) (ppm)]],$B9,TU_DB[[Year]:[Year]],G$6)</f>
        <v>40</v>
      </c>
      <c r="H9" s="79">
        <f>COUNTIFS(TU_DB[[NO3 Bin (2n1) (ppm)]:[NO3 Bin (2n1) (ppm)]],$B9,TU_DB[[Year]:[Year]],H$6)</f>
        <v>86</v>
      </c>
      <c r="I9" s="79">
        <f>COUNTIFS(TU_DB[[NO3 Bin (2n1) (ppm)]:[NO3 Bin (2n1) (ppm)]],$B9,TU_DB[[Year]:[Year]],I$6)</f>
        <v>116</v>
      </c>
      <c r="J9" s="79">
        <f>COUNTIFS(TU_DB[[NO3 Bin (2n1) (ppm)]:[NO3 Bin (2n1) (ppm)]],$B9,TU_DB[[Year]:[Year]],J$6)</f>
        <v>271</v>
      </c>
      <c r="K9" s="79">
        <f>COUNTIFS(TU_DB[[NO3 Bin (2n1) (ppm)]:[NO3 Bin (2n1) (ppm)]],$B9,TU_DB[[Year]:[Year]],K$6)</f>
        <v>132</v>
      </c>
      <c r="AA9"/>
      <c r="AB9"/>
    </row>
    <row r="10" spans="1:33" x14ac:dyDescent="0.25">
      <c r="B10" s="79">
        <v>5</v>
      </c>
      <c r="C10" s="79">
        <f>COUNTIFS(TU_DB[NO3 Bin (2n1) (ppm)],B10)</f>
        <v>729</v>
      </c>
      <c r="D10" s="250">
        <f t="shared" si="0"/>
        <v>0.38776595744680853</v>
      </c>
      <c r="E10" s="250">
        <f t="shared" si="1"/>
        <v>0.90319148936170213</v>
      </c>
      <c r="F10" s="102">
        <f>COUNTIFS(TU_DB[[NO3 Bin (2n1) (ppm)]:[NO3 Bin (2n1) (ppm)]],$B10,TU_DB[[Year]:[Year]],F$6)</f>
        <v>0</v>
      </c>
      <c r="G10" s="79">
        <f>COUNTIFS(TU_DB[[NO3 Bin (2n1) (ppm)]:[NO3 Bin (2n1) (ppm)]],$B10,TU_DB[[Year]:[Year]],G$6)</f>
        <v>32</v>
      </c>
      <c r="H10" s="79">
        <f>COUNTIFS(TU_DB[[NO3 Bin (2n1) (ppm)]:[NO3 Bin (2n1) (ppm)]],$B10,TU_DB[[Year]:[Year]],H$6)</f>
        <v>135</v>
      </c>
      <c r="I10" s="79">
        <f>COUNTIFS(TU_DB[[NO3 Bin (2n1) (ppm)]:[NO3 Bin (2n1) (ppm)]],$B10,TU_DB[[Year]:[Year]],I$6)</f>
        <v>181</v>
      </c>
      <c r="J10" s="79">
        <f>COUNTIFS(TU_DB[[NO3 Bin (2n1) (ppm)]:[NO3 Bin (2n1) (ppm)]],$B10,TU_DB[[Year]:[Year]],J$6)</f>
        <v>245</v>
      </c>
      <c r="K10" s="79">
        <f>COUNTIFS(TU_DB[[NO3 Bin (2n1) (ppm)]:[NO3 Bin (2n1) (ppm)]],$B10,TU_DB[[Year]:[Year]],K$6)</f>
        <v>136</v>
      </c>
      <c r="AA10"/>
      <c r="AB10"/>
    </row>
    <row r="11" spans="1:33" x14ac:dyDescent="0.25">
      <c r="B11" s="79">
        <v>10</v>
      </c>
      <c r="C11" s="79">
        <f>COUNTIFS(TU_DB[NO3 Bin (2n1) (ppm)],B11)</f>
        <v>150</v>
      </c>
      <c r="D11" s="250">
        <f t="shared" si="0"/>
        <v>7.9787234042553196E-2</v>
      </c>
      <c r="E11" s="250">
        <f t="shared" si="1"/>
        <v>0.98297872340425529</v>
      </c>
      <c r="F11" s="102">
        <f>COUNTIFS(TU_DB[[NO3 Bin (2n1) (ppm)]:[NO3 Bin (2n1) (ppm)]],$B11,TU_DB[[Year]:[Year]],F$6)</f>
        <v>0</v>
      </c>
      <c r="G11" s="79">
        <f>COUNTIFS(TU_DB[[NO3 Bin (2n1) (ppm)]:[NO3 Bin (2n1) (ppm)]],$B11,TU_DB[[Year]:[Year]],G$6)</f>
        <v>5</v>
      </c>
      <c r="H11" s="79">
        <f>COUNTIFS(TU_DB[[NO3 Bin (2n1) (ppm)]:[NO3 Bin (2n1) (ppm)]],$B11,TU_DB[[Year]:[Year]],H$6)</f>
        <v>37</v>
      </c>
      <c r="I11" s="79">
        <f>COUNTIFS(TU_DB[[NO3 Bin (2n1) (ppm)]:[NO3 Bin (2n1) (ppm)]],$B11,TU_DB[[Year]:[Year]],I$6)</f>
        <v>30</v>
      </c>
      <c r="J11" s="79">
        <f>COUNTIFS(TU_DB[[NO3 Bin (2n1) (ppm)]:[NO3 Bin (2n1) (ppm)]],$B11,TU_DB[[Year]:[Year]],J$6)</f>
        <v>34</v>
      </c>
      <c r="K11" s="79">
        <f>COUNTIFS(TU_DB[[NO3 Bin (2n1) (ppm)]:[NO3 Bin (2n1) (ppm)]],$B11,TU_DB[[Year]:[Year]],K$6)</f>
        <v>44</v>
      </c>
      <c r="AA11"/>
      <c r="AB11"/>
    </row>
    <row r="12" spans="1:33" x14ac:dyDescent="0.25">
      <c r="B12" s="79">
        <v>20</v>
      </c>
      <c r="C12" s="79">
        <f>COUNTIFS(TU_DB[NO3 Bin (2n1) (ppm)],B12)</f>
        <v>32</v>
      </c>
      <c r="D12" s="250">
        <f t="shared" si="0"/>
        <v>1.7021276595744681E-2</v>
      </c>
      <c r="E12" s="250">
        <f t="shared" si="1"/>
        <v>1</v>
      </c>
      <c r="F12" s="102">
        <f>COUNTIFS(TU_DB[[NO3 Bin (2n1) (ppm)]:[NO3 Bin (2n1) (ppm)]],$B12,TU_DB[[Year]:[Year]],F$6)</f>
        <v>0</v>
      </c>
      <c r="G12" s="79">
        <f>COUNTIFS(TU_DB[[NO3 Bin (2n1) (ppm)]:[NO3 Bin (2n1) (ppm)]],$B12,TU_DB[[Year]:[Year]],G$6)</f>
        <v>0</v>
      </c>
      <c r="H12" s="79">
        <f>COUNTIFS(TU_DB[[NO3 Bin (2n1) (ppm)]:[NO3 Bin (2n1) (ppm)]],$B12,TU_DB[[Year]:[Year]],H$6)</f>
        <v>2</v>
      </c>
      <c r="I12" s="79">
        <f>COUNTIFS(TU_DB[[NO3 Bin (2n1) (ppm)]:[NO3 Bin (2n1) (ppm)]],$B12,TU_DB[[Year]:[Year]],I$6)</f>
        <v>1</v>
      </c>
      <c r="J12" s="79">
        <f>COUNTIFS(TU_DB[[NO3 Bin (2n1) (ppm)]:[NO3 Bin (2n1) (ppm)]],$B12,TU_DB[[Year]:[Year]],J$6)</f>
        <v>1</v>
      </c>
      <c r="K12" s="79">
        <f>COUNTIFS(TU_DB[[NO3 Bin (2n1) (ppm)]:[NO3 Bin (2n1) (ppm)]],$B12,TU_DB[[Year]:[Year]],K$6)</f>
        <v>28</v>
      </c>
      <c r="AA12"/>
      <c r="AB12"/>
    </row>
    <row r="13" spans="1:33" x14ac:dyDescent="0.25">
      <c r="B13" s="79">
        <v>50</v>
      </c>
      <c r="C13" s="79">
        <f>COUNTIFS(TU_DB[NO3 Bin (2n1) (ppm)],B13)</f>
        <v>0</v>
      </c>
      <c r="D13" s="250">
        <f t="shared" si="0"/>
        <v>0</v>
      </c>
      <c r="E13" s="250">
        <f t="shared" si="1"/>
        <v>1</v>
      </c>
      <c r="F13" s="102">
        <f>COUNTIFS(TU_DB[[NO3 Bin (2n1) (ppm)]:[NO3 Bin (2n1) (ppm)]],$B13,TU_DB[[Year]:[Year]],F$6)</f>
        <v>0</v>
      </c>
      <c r="G13" s="79">
        <f>COUNTIFS(TU_DB[[NO3 Bin (2n1) (ppm)]:[NO3 Bin (2n1) (ppm)]],$B13,TU_DB[[Year]:[Year]],G$6)</f>
        <v>0</v>
      </c>
      <c r="H13" s="79">
        <f>COUNTIFS(TU_DB[[NO3 Bin (2n1) (ppm)]:[NO3 Bin (2n1) (ppm)]],$B13,TU_DB[[Year]:[Year]],H$6)</f>
        <v>0</v>
      </c>
      <c r="I13" s="79">
        <f>COUNTIFS(TU_DB[[NO3 Bin (2n1) (ppm)]:[NO3 Bin (2n1) (ppm)]],$B13,TU_DB[[Year]:[Year]],I$6)</f>
        <v>0</v>
      </c>
      <c r="J13" s="79">
        <f>COUNTIFS(TU_DB[[NO3 Bin (2n1) (ppm)]:[NO3 Bin (2n1) (ppm)]],$B13,TU_DB[[Year]:[Year]],J$6)</f>
        <v>0</v>
      </c>
      <c r="K13" s="79">
        <f>COUNTIFS(TU_DB[[NO3 Bin (2n1) (ppm)]:[NO3 Bin (2n1) (ppm)]],$B13,TU_DB[[Year]:[Year]],K$6)</f>
        <v>0</v>
      </c>
      <c r="AA13"/>
      <c r="AB13"/>
    </row>
    <row r="14" spans="1:33" ht="15.75" thickBot="1" x14ac:dyDescent="0.3">
      <c r="B14" s="251" t="s">
        <v>133</v>
      </c>
      <c r="C14" s="251">
        <f>SUM(C7:C13)</f>
        <v>1880</v>
      </c>
      <c r="D14" s="251"/>
      <c r="E14" s="251"/>
      <c r="F14" s="335">
        <f t="shared" ref="F14:J14" si="2">SUM(F7:F13)</f>
        <v>0</v>
      </c>
      <c r="G14" s="251">
        <f t="shared" si="2"/>
        <v>91</v>
      </c>
      <c r="H14" s="251">
        <f t="shared" si="2"/>
        <v>309</v>
      </c>
      <c r="I14" s="251">
        <f t="shared" si="2"/>
        <v>381</v>
      </c>
      <c r="J14" s="251">
        <f t="shared" si="2"/>
        <v>708</v>
      </c>
      <c r="K14" s="251">
        <f t="shared" ref="K14" si="3">SUM(K7:K13)</f>
        <v>391</v>
      </c>
      <c r="AA14"/>
      <c r="AB14"/>
    </row>
    <row r="15" spans="1:33" ht="15.75" thickTop="1" x14ac:dyDescent="0.25">
      <c r="AA15"/>
      <c r="AB15"/>
    </row>
    <row r="16" spans="1:33" s="7" customFormat="1" x14ac:dyDescent="0.25">
      <c r="S16"/>
      <c r="T16"/>
      <c r="U16"/>
      <c r="V16"/>
      <c r="W16"/>
      <c r="X16"/>
      <c r="Y16"/>
      <c r="Z16"/>
      <c r="AA16"/>
      <c r="AB16"/>
      <c r="AC16"/>
      <c r="AD16"/>
      <c r="AE16"/>
      <c r="AF16"/>
      <c r="AG16"/>
    </row>
    <row r="17" spans="2:49" ht="15" customHeight="1" thickBot="1" x14ac:dyDescent="0.3">
      <c r="B17" s="267" t="s">
        <v>575</v>
      </c>
      <c r="C17"/>
      <c r="D17"/>
      <c r="E17"/>
      <c r="U17"/>
      <c r="AB17"/>
    </row>
    <row r="18" spans="2:49" ht="15" customHeight="1" x14ac:dyDescent="0.25">
      <c r="B18" s="319"/>
      <c r="C18" s="322" t="s">
        <v>4178</v>
      </c>
      <c r="D18" s="323"/>
      <c r="E18" s="323"/>
      <c r="F18" s="323"/>
      <c r="G18" s="323"/>
      <c r="H18" s="323"/>
      <c r="I18" s="323"/>
      <c r="J18" s="325"/>
      <c r="K18" s="319"/>
      <c r="L18" s="558" t="s">
        <v>4170</v>
      </c>
    </row>
    <row r="19" spans="2:49" ht="15" customHeight="1" x14ac:dyDescent="0.25">
      <c r="B19" s="320" t="s">
        <v>575</v>
      </c>
      <c r="C19" s="321">
        <v>0</v>
      </c>
      <c r="D19" s="320">
        <v>1</v>
      </c>
      <c r="E19" s="320">
        <v>2</v>
      </c>
      <c r="F19" s="320">
        <v>5</v>
      </c>
      <c r="G19" s="320">
        <v>10</v>
      </c>
      <c r="H19" s="320">
        <v>20</v>
      </c>
      <c r="I19" s="320">
        <v>50</v>
      </c>
      <c r="J19" s="324" t="s">
        <v>2325</v>
      </c>
      <c r="K19" s="320" t="s">
        <v>2352</v>
      </c>
      <c r="L19" s="559"/>
    </row>
    <row r="20" spans="2:49" ht="15.75" customHeight="1" x14ac:dyDescent="0.25">
      <c r="B20" s="329" t="s">
        <v>35</v>
      </c>
      <c r="C20" s="262">
        <f>COUNTIFS(TU_DB[[NO3 Bin (2n1) (ppm)]:[NO3 Bin (2n1) (ppm)]],C$19,TU_DB[[Weather]:[Weather]],$B20)</f>
        <v>15</v>
      </c>
      <c r="D20" s="232">
        <f>COUNTIFS(TU_DB[[NO3 Bin (2n1) (ppm)]:[NO3 Bin (2n1) (ppm)]],D$19,TU_DB[[Weather]:[Weather]],$B20)</f>
        <v>3</v>
      </c>
      <c r="E20" s="232">
        <f>COUNTIFS(TU_DB[[NO3 Bin (2n1) (ppm)]:[NO3 Bin (2n1) (ppm)]],E$19,TU_DB[[Weather]:[Weather]],$B20)</f>
        <v>35</v>
      </c>
      <c r="F20" s="232">
        <f>COUNTIFS(TU_DB[[NO3 Bin (2n1) (ppm)]:[NO3 Bin (2n1) (ppm)]],F$19,TU_DB[[Weather]:[Weather]],$B20)</f>
        <v>26</v>
      </c>
      <c r="G20" s="232">
        <f>COUNTIFS(TU_DB[[NO3 Bin (2n1) (ppm)]:[NO3 Bin (2n1) (ppm)]],G$19,TU_DB[[Weather]:[Weather]],$B20)</f>
        <v>3</v>
      </c>
      <c r="H20" s="232">
        <f>COUNTIFS(TU_DB[[NO3 Bin (2n1) (ppm)]:[NO3 Bin (2n1) (ppm)]],H$19,TU_DB[[Weather]:[Weather]],$B20)</f>
        <v>0</v>
      </c>
      <c r="I20" s="232">
        <f>COUNTIFS(TU_DB[[NO3 Bin (2n1) (ppm)]:[NO3 Bin (2n1) (ppm)]],I$19,TU_DB[[Weather]:[Weather]],$B20)</f>
        <v>0</v>
      </c>
      <c r="J20" s="262">
        <f>SUM(C20:I20)</f>
        <v>82</v>
      </c>
      <c r="K20" s="263">
        <f t="shared" ref="K20:K25" si="4">SUM(J20)/SUM($J$20:$J$25)</f>
        <v>4.8838594401429423E-2</v>
      </c>
      <c r="L20" s="326" t="s">
        <v>3687</v>
      </c>
    </row>
    <row r="21" spans="2:49" ht="16.5" customHeight="1" x14ac:dyDescent="0.25">
      <c r="B21" s="329" t="s">
        <v>13</v>
      </c>
      <c r="C21" s="262">
        <f>COUNTIFS(TU_DB[[NO3 Bin (2n1) (ppm)]:[NO3 Bin (2n1) (ppm)]],C$19,TU_DB[[Weather]:[Weather]],$B21)</f>
        <v>41</v>
      </c>
      <c r="D21" s="232">
        <f>COUNTIFS(TU_DB[[NO3 Bin (2n1) (ppm)]:[NO3 Bin (2n1) (ppm)]],D$19,TU_DB[[Weather]:[Weather]],$B21)</f>
        <v>5</v>
      </c>
      <c r="E21" s="232">
        <f>COUNTIFS(TU_DB[[NO3 Bin (2n1) (ppm)]:[NO3 Bin (2n1) (ppm)]],E$19,TU_DB[[Weather]:[Weather]],$B21)</f>
        <v>82</v>
      </c>
      <c r="F21" s="232">
        <f>COUNTIFS(TU_DB[[NO3 Bin (2n1) (ppm)]:[NO3 Bin (2n1) (ppm)]],F$19,TU_DB[[Weather]:[Weather]],$B21)</f>
        <v>78</v>
      </c>
      <c r="G21" s="232">
        <f>COUNTIFS(TU_DB[[NO3 Bin (2n1) (ppm)]:[NO3 Bin (2n1) (ppm)]],G$19,TU_DB[[Weather]:[Weather]],$B21)</f>
        <v>18</v>
      </c>
      <c r="H21" s="232">
        <f>COUNTIFS(TU_DB[[NO3 Bin (2n1) (ppm)]:[NO3 Bin (2n1) (ppm)]],H$19,TU_DB[[Weather]:[Weather]],$B21)</f>
        <v>12</v>
      </c>
      <c r="I21" s="232">
        <f>COUNTIFS(TU_DB[[NO3 Bin (2n1) (ppm)]:[NO3 Bin (2n1) (ppm)]],I$19,TU_DB[[Weather]:[Weather]],$B21)</f>
        <v>0</v>
      </c>
      <c r="J21" s="262">
        <f t="shared" ref="J21:J25" si="5">SUM(C21:H21)</f>
        <v>236</v>
      </c>
      <c r="K21" s="263">
        <f t="shared" si="4"/>
        <v>0.14055985705777249</v>
      </c>
      <c r="L21" s="326" t="s">
        <v>3688</v>
      </c>
      <c r="V21" s="1"/>
      <c r="W21" s="1"/>
      <c r="X21" s="1"/>
      <c r="Y21" s="1"/>
      <c r="Z21" s="1"/>
      <c r="AB21" s="1"/>
      <c r="AC21" s="1"/>
    </row>
    <row r="22" spans="2:49" ht="16.5" customHeight="1" x14ac:dyDescent="0.25">
      <c r="B22" s="329" t="s">
        <v>904</v>
      </c>
      <c r="C22" s="262">
        <f>COUNTIFS(TU_DB[[NO3 Bin (2n1) (ppm)]:[NO3 Bin (2n1) (ppm)]],C$19,TU_DB[[Weather]:[Weather]],$B22)</f>
        <v>0</v>
      </c>
      <c r="D22" s="232">
        <f>COUNTIFS(TU_DB[[NO3 Bin (2n1) (ppm)]:[NO3 Bin (2n1) (ppm)]],D$19,TU_DB[[Weather]:[Weather]],$B22)</f>
        <v>0</v>
      </c>
      <c r="E22" s="232">
        <f>COUNTIFS(TU_DB[[NO3 Bin (2n1) (ppm)]:[NO3 Bin (2n1) (ppm)]],E$19,TU_DB[[Weather]:[Weather]],$B22)</f>
        <v>4</v>
      </c>
      <c r="F22" s="232">
        <f>COUNTIFS(TU_DB[[NO3 Bin (2n1) (ppm)]:[NO3 Bin (2n1) (ppm)]],F$19,TU_DB[[Weather]:[Weather]],$B22)</f>
        <v>1</v>
      </c>
      <c r="G22" s="232">
        <f>COUNTIFS(TU_DB[[NO3 Bin (2n1) (ppm)]:[NO3 Bin (2n1) (ppm)]],G$19,TU_DB[[Weather]:[Weather]],$B22)</f>
        <v>4</v>
      </c>
      <c r="H22" s="232">
        <f>COUNTIFS(TU_DB[[NO3 Bin (2n1) (ppm)]:[NO3 Bin (2n1) (ppm)]],H$19,TU_DB[[Weather]:[Weather]],$B22)</f>
        <v>0</v>
      </c>
      <c r="I22" s="232">
        <f>COUNTIFS(TU_DB[[NO3 Bin (2n1) (ppm)]:[NO3 Bin (2n1) (ppm)]],I$19,TU_DB[[Weather]:[Weather]],$B22)</f>
        <v>0</v>
      </c>
      <c r="J22" s="262">
        <f t="shared" si="5"/>
        <v>9</v>
      </c>
      <c r="K22" s="263">
        <f t="shared" si="4"/>
        <v>5.3603335318642047E-3</v>
      </c>
      <c r="L22" s="326" t="s">
        <v>3690</v>
      </c>
      <c r="AA22"/>
      <c r="AB22"/>
      <c r="AD22" s="1"/>
    </row>
    <row r="23" spans="2:49" ht="34.5" customHeight="1" x14ac:dyDescent="0.25">
      <c r="B23" s="329" t="s">
        <v>226</v>
      </c>
      <c r="C23" s="262">
        <f>COUNTIFS(TU_DB[[NO3 Bin (2n1) (ppm)]:[NO3 Bin (2n1) (ppm)]],C$19,TU_DB[[Weather]:[Weather]],$B23)</f>
        <v>2</v>
      </c>
      <c r="D23" s="232">
        <f>COUNTIFS(TU_DB[[NO3 Bin (2n1) (ppm)]:[NO3 Bin (2n1) (ppm)]],D$19,TU_DB[[Weather]:[Weather]],$B23)</f>
        <v>0</v>
      </c>
      <c r="E23" s="232">
        <f>COUNTIFS(TU_DB[[NO3 Bin (2n1) (ppm)]:[NO3 Bin (2n1) (ppm)]],E$19,TU_DB[[Weather]:[Weather]],$B23)</f>
        <v>1</v>
      </c>
      <c r="F23" s="232">
        <f>COUNTIFS(TU_DB[[NO3 Bin (2n1) (ppm)]:[NO3 Bin (2n1) (ppm)]],F$19,TU_DB[[Weather]:[Weather]],$B23)</f>
        <v>1</v>
      </c>
      <c r="G23" s="232">
        <f>COUNTIFS(TU_DB[[NO3 Bin (2n1) (ppm)]:[NO3 Bin (2n1) (ppm)]],G$19,TU_DB[[Weather]:[Weather]],$B23)</f>
        <v>0</v>
      </c>
      <c r="H23" s="232">
        <f>COUNTIFS(TU_DB[[NO3 Bin (2n1) (ppm)]:[NO3 Bin (2n1) (ppm)]],H$19,TU_DB[[Weather]:[Weather]],$B23)</f>
        <v>0</v>
      </c>
      <c r="I23" s="232">
        <f>COUNTIFS(TU_DB[[NO3 Bin (2n1) (ppm)]:[NO3 Bin (2n1) (ppm)]],I$19,TU_DB[[Weather]:[Weather]],$B23)</f>
        <v>0</v>
      </c>
      <c r="J23" s="262">
        <f t="shared" si="5"/>
        <v>4</v>
      </c>
      <c r="K23" s="263">
        <f t="shared" si="4"/>
        <v>2.3823704586063135E-3</v>
      </c>
      <c r="L23" s="326" t="s">
        <v>3691</v>
      </c>
      <c r="AA23"/>
      <c r="AB23"/>
    </row>
    <row r="24" spans="2:49" ht="34.5" customHeight="1" x14ac:dyDescent="0.25">
      <c r="B24" s="329" t="s">
        <v>58</v>
      </c>
      <c r="C24" s="262">
        <f>COUNTIFS(TU_DB[[NO3 Bin (2n1) (ppm)]:[NO3 Bin (2n1) (ppm)]],C$19,TU_DB[[Weather]:[Weather]],$B24)</f>
        <v>2</v>
      </c>
      <c r="D24" s="232">
        <f>COUNTIFS(TU_DB[[NO3 Bin (2n1) (ppm)]:[NO3 Bin (2n1) (ppm)]],D$19,TU_DB[[Weather]:[Weather]],$B24)</f>
        <v>0</v>
      </c>
      <c r="E24" s="232">
        <f>COUNTIFS(TU_DB[[NO3 Bin (2n1) (ppm)]:[NO3 Bin (2n1) (ppm)]],E$19,TU_DB[[Weather]:[Weather]],$B24)</f>
        <v>6</v>
      </c>
      <c r="F24" s="232">
        <f>COUNTIFS(TU_DB[[NO3 Bin (2n1) (ppm)]:[NO3 Bin (2n1) (ppm)]],F$19,TU_DB[[Weather]:[Weather]],$B24)</f>
        <v>5</v>
      </c>
      <c r="G24" s="232">
        <f>COUNTIFS(TU_DB[[NO3 Bin (2n1) (ppm)]:[NO3 Bin (2n1) (ppm)]],G$19,TU_DB[[Weather]:[Weather]],$B24)</f>
        <v>0</v>
      </c>
      <c r="H24" s="232">
        <f>COUNTIFS(TU_DB[[NO3 Bin (2n1) (ppm)]:[NO3 Bin (2n1) (ppm)]],H$19,TU_DB[[Weather]:[Weather]],$B24)</f>
        <v>0</v>
      </c>
      <c r="I24" s="232">
        <f>COUNTIFS(TU_DB[[NO3 Bin (2n1) (ppm)]:[NO3 Bin (2n1) (ppm)]],I$19,TU_DB[[Weather]:[Weather]],$B24)</f>
        <v>0</v>
      </c>
      <c r="J24" s="262">
        <f t="shared" si="5"/>
        <v>13</v>
      </c>
      <c r="K24" s="263">
        <f t="shared" si="4"/>
        <v>7.7427039904705182E-3</v>
      </c>
      <c r="L24" s="326" t="s">
        <v>3689</v>
      </c>
      <c r="AA24"/>
      <c r="AB24"/>
    </row>
    <row r="25" spans="2:49" ht="16.5" customHeight="1" x14ac:dyDescent="0.25">
      <c r="B25" s="330" t="s">
        <v>10</v>
      </c>
      <c r="C25" s="264">
        <f>COUNTIFS(TU_DB[[NO3 Bin (2n1) (ppm)]:[NO3 Bin (2n1) (ppm)]],C$19,TU_DB[[Weather]:[Weather]],$B25)</f>
        <v>161</v>
      </c>
      <c r="D25" s="265">
        <f>COUNTIFS(TU_DB[[NO3 Bin (2n1) (ppm)]:[NO3 Bin (2n1) (ppm)]],D$19,TU_DB[[Weather]:[Weather]],$B25)</f>
        <v>46</v>
      </c>
      <c r="E25" s="265">
        <f>COUNTIFS(TU_DB[[NO3 Bin (2n1) (ppm)]:[NO3 Bin (2n1) (ppm)]],E$19,TU_DB[[Weather]:[Weather]],$B25)</f>
        <v>442</v>
      </c>
      <c r="F25" s="265">
        <f>COUNTIFS(TU_DB[[NO3 Bin (2n1) (ppm)]:[NO3 Bin (2n1) (ppm)]],F$19,TU_DB[[Weather]:[Weather]],$B25)</f>
        <v>563</v>
      </c>
      <c r="G25" s="265">
        <f>COUNTIFS(TU_DB[[NO3 Bin (2n1) (ppm)]:[NO3 Bin (2n1) (ppm)]],G$19,TU_DB[[Weather]:[Weather]],$B25)</f>
        <v>107</v>
      </c>
      <c r="H25" s="265">
        <f>COUNTIFS(TU_DB[[NO3 Bin (2n1) (ppm)]:[NO3 Bin (2n1) (ppm)]],H$19,TU_DB[[Weather]:[Weather]],$B25)</f>
        <v>16</v>
      </c>
      <c r="I25" s="265">
        <f>COUNTIFS(TU_DB[[NO3 Bin (2n1) (ppm)]:[NO3 Bin (2n1) (ppm)]],I$19,TU_DB[[Weather]:[Weather]],$B25)</f>
        <v>0</v>
      </c>
      <c r="J25" s="264">
        <f t="shared" si="5"/>
        <v>1335</v>
      </c>
      <c r="K25" s="266">
        <f t="shared" si="4"/>
        <v>0.79511614055985702</v>
      </c>
      <c r="L25" s="327" t="s">
        <v>10</v>
      </c>
      <c r="AA25"/>
      <c r="AB25"/>
    </row>
    <row r="26" spans="2:49" ht="16.5" customHeight="1" thickBot="1" x14ac:dyDescent="0.3">
      <c r="B26" s="255" t="s">
        <v>133</v>
      </c>
      <c r="C26" s="258">
        <f t="shared" ref="C26:J26" si="6">SUM(C20:C25)</f>
        <v>221</v>
      </c>
      <c r="D26" s="255">
        <f t="shared" si="6"/>
        <v>54</v>
      </c>
      <c r="E26" s="255">
        <f t="shared" si="6"/>
        <v>570</v>
      </c>
      <c r="F26" s="255">
        <f t="shared" si="6"/>
        <v>674</v>
      </c>
      <c r="G26" s="255">
        <f t="shared" si="6"/>
        <v>132</v>
      </c>
      <c r="H26" s="255">
        <f t="shared" si="6"/>
        <v>28</v>
      </c>
      <c r="I26" s="255"/>
      <c r="J26" s="258">
        <f t="shared" si="6"/>
        <v>1679</v>
      </c>
      <c r="K26" s="256"/>
      <c r="L26" s="328"/>
      <c r="AA26"/>
      <c r="AB26"/>
    </row>
    <row r="27" spans="2:49" ht="56.25" customHeight="1" x14ac:dyDescent="0.25">
      <c r="U27"/>
      <c r="AA27"/>
      <c r="AB27"/>
    </row>
    <row r="28" spans="2:49" ht="16.5" thickBot="1" x14ac:dyDescent="0.3">
      <c r="B28" s="267" t="s">
        <v>108</v>
      </c>
      <c r="C28"/>
      <c r="D28"/>
      <c r="E28"/>
      <c r="U28"/>
      <c r="AA28"/>
      <c r="AB28"/>
    </row>
    <row r="29" spans="2:49" x14ac:dyDescent="0.25">
      <c r="B29" s="319"/>
      <c r="C29" s="322" t="s">
        <v>4178</v>
      </c>
      <c r="D29" s="323"/>
      <c r="E29" s="323"/>
      <c r="F29" s="323"/>
      <c r="G29" s="323"/>
      <c r="H29" s="323"/>
      <c r="I29" s="323"/>
      <c r="J29" s="325"/>
      <c r="K29" s="319"/>
      <c r="U29"/>
      <c r="AA29"/>
      <c r="AB29"/>
    </row>
    <row r="30" spans="2:49" ht="15.75" customHeight="1" x14ac:dyDescent="0.25">
      <c r="B30" s="320" t="s">
        <v>108</v>
      </c>
      <c r="C30" s="321">
        <v>0</v>
      </c>
      <c r="D30" s="320">
        <v>1</v>
      </c>
      <c r="E30" s="320">
        <v>2</v>
      </c>
      <c r="F30" s="320">
        <v>5</v>
      </c>
      <c r="G30" s="320">
        <v>10</v>
      </c>
      <c r="H30" s="320">
        <v>20</v>
      </c>
      <c r="I30" s="320">
        <v>50</v>
      </c>
      <c r="J30" s="324" t="s">
        <v>2325</v>
      </c>
      <c r="K30" s="320" t="s">
        <v>2352</v>
      </c>
      <c r="U30"/>
      <c r="AA30"/>
      <c r="AB30"/>
    </row>
    <row r="31" spans="2:49" ht="15" customHeight="1" x14ac:dyDescent="0.25">
      <c r="B31" t="s">
        <v>80</v>
      </c>
      <c r="C31" s="257">
        <f>COUNTIFS(TU_DB[[NO3 Bin (2n1) (ppm)]:[NO3 Bin (2n1) (ppm)]],C$19,TU_DB[[Water Level]:[Water Level]],$B31)</f>
        <v>159</v>
      </c>
      <c r="D31" s="79">
        <f>COUNTIFS(TU_DB[[NO3 Bin (2n1) (ppm)]:[NO3 Bin (2n1) (ppm)]],D$19,TU_DB[[Water Level]:[Water Level]],$B31)</f>
        <v>45</v>
      </c>
      <c r="E31" s="79">
        <f>COUNTIFS(TU_DB[[NO3 Bin (2n1) (ppm)]:[NO3 Bin (2n1) (ppm)]],E$19,TU_DB[[Water Level]:[Water Level]],$B31)</f>
        <v>443</v>
      </c>
      <c r="F31" s="79">
        <f>COUNTIFS(TU_DB[[NO3 Bin (2n1) (ppm)]:[NO3 Bin (2n1) (ppm)]],F$19,TU_DB[[Water Level]:[Water Level]],$B31)</f>
        <v>554</v>
      </c>
      <c r="G31" s="79">
        <f>COUNTIFS(TU_DB[[NO3 Bin (2n1) (ppm)]:[NO3 Bin (2n1) (ppm)]],G$19,TU_DB[[Water Level]:[Water Level]],$B31)</f>
        <v>93</v>
      </c>
      <c r="H31" s="79">
        <f>COUNTIFS(TU_DB[[NO3 Bin (2n1) (ppm)]:[NO3 Bin (2n1) (ppm)]],H$19,TU_DB[[Water Level]:[Water Level]],$B31)</f>
        <v>6</v>
      </c>
      <c r="I31" s="79">
        <f>COUNTIFS(TU_DB[[NO3 Bin (2n1) (ppm)]:[NO3 Bin (2n1) (ppm)]],I$19,TU_DB[[Water Level]:[Water Level]],$B31)</f>
        <v>0</v>
      </c>
      <c r="J31" s="257">
        <f>SUM(C31:H31)</f>
        <v>1300</v>
      </c>
      <c r="K31" s="269">
        <f>SUM(J31)/SUM($J$31:$J$34)</f>
        <v>0.7558139534883721</v>
      </c>
      <c r="L31" s="23"/>
      <c r="M31" s="23"/>
      <c r="N31" s="23"/>
      <c r="O31" s="23"/>
      <c r="P31" s="23"/>
      <c r="Q31" s="23"/>
      <c r="R31" s="23"/>
      <c r="S31" s="23"/>
      <c r="U31"/>
      <c r="AA31"/>
      <c r="AB31"/>
      <c r="AD31" s="23"/>
      <c r="AE31" s="23"/>
      <c r="AF31" s="23"/>
      <c r="AG31" s="23"/>
      <c r="AH31" s="23"/>
      <c r="AI31" s="23"/>
      <c r="AJ31" s="23"/>
      <c r="AK31" s="23"/>
      <c r="AL31" s="23"/>
      <c r="AM31" s="23"/>
      <c r="AN31" s="23"/>
      <c r="AO31" s="23"/>
      <c r="AP31" s="23"/>
      <c r="AQ31" s="23"/>
      <c r="AR31" s="23"/>
      <c r="AS31" s="23"/>
      <c r="AT31" s="23"/>
      <c r="AU31" s="23"/>
      <c r="AV31" s="23"/>
      <c r="AW31" s="23"/>
    </row>
    <row r="32" spans="2:49" s="23" customFormat="1" ht="15" customHeight="1" x14ac:dyDescent="0.25">
      <c r="B32" t="s">
        <v>2353</v>
      </c>
      <c r="C32" s="257">
        <f>COUNTIFS(TU_DB[[NO3 Bin (2n1) (ppm)]:[NO3 Bin (2n1) (ppm)]],C$19,TU_DB[[Water Level]:[Water Level]],$B32)</f>
        <v>44</v>
      </c>
      <c r="D32" s="79">
        <f>COUNTIFS(TU_DB[[NO3 Bin (2n1) (ppm)]:[NO3 Bin (2n1) (ppm)]],D$19,TU_DB[[Water Level]:[Water Level]],$B32)</f>
        <v>7</v>
      </c>
      <c r="E32" s="79">
        <f>COUNTIFS(TU_DB[[NO3 Bin (2n1) (ppm)]:[NO3 Bin (2n1) (ppm)]],E$19,TU_DB[[Water Level]:[Water Level]],$B32)</f>
        <v>110</v>
      </c>
      <c r="F32" s="79">
        <f>COUNTIFS(TU_DB[[NO3 Bin (2n1) (ppm)]:[NO3 Bin (2n1) (ppm)]],F$19,TU_DB[[Water Level]:[Water Level]],$B32)</f>
        <v>114</v>
      </c>
      <c r="G32" s="79">
        <f>COUNTIFS(TU_DB[[NO3 Bin (2n1) (ppm)]:[NO3 Bin (2n1) (ppm)]],G$19,TU_DB[[Water Level]:[Water Level]],$B32)</f>
        <v>37</v>
      </c>
      <c r="H32" s="79">
        <f>COUNTIFS(TU_DB[[NO3 Bin (2n1) (ppm)]:[NO3 Bin (2n1) (ppm)]],H$19,TU_DB[[Water Level]:[Water Level]],$B32)</f>
        <v>24</v>
      </c>
      <c r="I32" s="79">
        <f>COUNTIFS(TU_DB[[NO3 Bin (2n1) (ppm)]:[NO3 Bin (2n1) (ppm)]],I$19,TU_DB[[Water Level]:[Water Level]],$B32)</f>
        <v>0</v>
      </c>
      <c r="J32" s="257">
        <f>SUM(C32:H32)</f>
        <v>336</v>
      </c>
      <c r="K32" s="269">
        <f>SUM(J32)/SUM($J$31:$J$34)</f>
        <v>0.19534883720930232</v>
      </c>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row>
    <row r="33" spans="1:49" ht="15" customHeight="1" x14ac:dyDescent="0.25">
      <c r="B33" t="s">
        <v>195</v>
      </c>
      <c r="C33" s="257">
        <f>COUNTIFS(TU_DB[[NO3 Bin (2n1) (ppm)]:[NO3 Bin (2n1) (ppm)]],C$19,TU_DB[[Water Level]:[Water Level]],$B33)</f>
        <v>16</v>
      </c>
      <c r="D33" s="79">
        <f>COUNTIFS(TU_DB[[NO3 Bin (2n1) (ppm)]:[NO3 Bin (2n1) (ppm)]],D$19,TU_DB[[Water Level]:[Water Level]],$B33)</f>
        <v>3</v>
      </c>
      <c r="E33" s="79">
        <f>COUNTIFS(TU_DB[[NO3 Bin (2n1) (ppm)]:[NO3 Bin (2n1) (ppm)]],E$19,TU_DB[[Water Level]:[Water Level]],$B33)</f>
        <v>23</v>
      </c>
      <c r="F33" s="79">
        <f>COUNTIFS(TU_DB[[NO3 Bin (2n1) (ppm)]:[NO3 Bin (2n1) (ppm)]],F$19,TU_DB[[Water Level]:[Water Level]],$B33)</f>
        <v>28</v>
      </c>
      <c r="G33" s="79">
        <f>COUNTIFS(TU_DB[[NO3 Bin (2n1) (ppm)]:[NO3 Bin (2n1) (ppm)]],G$19,TU_DB[[Water Level]:[Water Level]],$B33)</f>
        <v>7</v>
      </c>
      <c r="H33" s="79">
        <f>COUNTIFS(TU_DB[[NO3 Bin (2n1) (ppm)]:[NO3 Bin (2n1) (ppm)]],H$19,TU_DB[[Water Level]:[Water Level]],$B33)</f>
        <v>1</v>
      </c>
      <c r="I33" s="79">
        <f>COUNTIFS(TU_DB[[NO3 Bin (2n1) (ppm)]:[NO3 Bin (2n1) (ppm)]],I$19,TU_DB[[Water Level]:[Water Level]],$B33)</f>
        <v>0</v>
      </c>
      <c r="J33" s="257">
        <f>SUM(C33:H33)</f>
        <v>78</v>
      </c>
      <c r="K33" s="269">
        <f>SUM(J33)/SUM($J$31:$J$34)</f>
        <v>4.5348837209302328E-2</v>
      </c>
      <c r="L33" s="7"/>
      <c r="M33" s="7"/>
      <c r="N33" s="7"/>
      <c r="O33" s="7"/>
      <c r="P33" s="7"/>
      <c r="Q33" s="7"/>
      <c r="R33" s="7"/>
      <c r="S33" s="7"/>
      <c r="U33"/>
      <c r="AA33"/>
      <c r="AB33"/>
      <c r="AD33" s="7"/>
      <c r="AE33" s="7"/>
      <c r="AF33" s="7"/>
      <c r="AG33" s="7"/>
      <c r="AH33" s="7"/>
      <c r="AI33" s="7"/>
      <c r="AJ33" s="7"/>
      <c r="AK33" s="7"/>
      <c r="AL33" s="7"/>
      <c r="AM33" s="7"/>
      <c r="AN33" s="7"/>
      <c r="AO33" s="7"/>
      <c r="AP33" s="7"/>
      <c r="AQ33" s="7"/>
      <c r="AR33" s="7"/>
      <c r="AS33" s="7"/>
      <c r="AT33" s="7"/>
      <c r="AU33" s="7"/>
      <c r="AV33" s="7"/>
      <c r="AW33" s="7"/>
    </row>
    <row r="34" spans="1:49" s="7" customFormat="1" ht="15" customHeight="1" x14ac:dyDescent="0.25">
      <c r="B34" s="261" t="s">
        <v>86</v>
      </c>
      <c r="C34" s="260">
        <v>1</v>
      </c>
      <c r="D34" s="259">
        <v>1</v>
      </c>
      <c r="E34" s="259">
        <v>1</v>
      </c>
      <c r="F34" s="259">
        <v>1</v>
      </c>
      <c r="G34" s="259">
        <v>2</v>
      </c>
      <c r="H34" s="259">
        <v>0</v>
      </c>
      <c r="I34" s="259">
        <v>1</v>
      </c>
      <c r="J34" s="260">
        <v>6</v>
      </c>
      <c r="K34" s="270">
        <f>SUM(J34)/SUM($J$31:$J$34)</f>
        <v>3.4883720930232558E-3</v>
      </c>
      <c r="L34"/>
      <c r="M34"/>
      <c r="N34"/>
      <c r="O34"/>
      <c r="P34"/>
      <c r="Q34"/>
      <c r="R34"/>
      <c r="S34"/>
      <c r="T34"/>
      <c r="U34" s="1"/>
      <c r="V34"/>
      <c r="W34"/>
      <c r="X34"/>
      <c r="Y34"/>
      <c r="Z34"/>
      <c r="AA34" s="1"/>
      <c r="AB34" s="15"/>
      <c r="AC34"/>
      <c r="AD34"/>
      <c r="AE34"/>
      <c r="AF34"/>
      <c r="AG34"/>
      <c r="AH34"/>
      <c r="AI34"/>
      <c r="AJ34"/>
      <c r="AK34"/>
      <c r="AL34"/>
      <c r="AM34"/>
      <c r="AN34"/>
      <c r="AO34"/>
      <c r="AP34"/>
      <c r="AQ34"/>
      <c r="AR34"/>
      <c r="AS34"/>
      <c r="AT34"/>
      <c r="AU34"/>
      <c r="AV34"/>
      <c r="AW34"/>
    </row>
    <row r="35" spans="1:49" ht="15" customHeight="1" thickBot="1" x14ac:dyDescent="0.3">
      <c r="B35" s="255" t="s">
        <v>133</v>
      </c>
      <c r="C35" s="258">
        <f t="shared" ref="C35:J35" si="7">SUM(C31:C34)</f>
        <v>220</v>
      </c>
      <c r="D35" s="255">
        <f t="shared" si="7"/>
        <v>56</v>
      </c>
      <c r="E35" s="255">
        <f t="shared" si="7"/>
        <v>577</v>
      </c>
      <c r="F35" s="255">
        <f t="shared" si="7"/>
        <v>697</v>
      </c>
      <c r="G35" s="255">
        <f t="shared" si="7"/>
        <v>139</v>
      </c>
      <c r="H35" s="255">
        <f t="shared" si="7"/>
        <v>31</v>
      </c>
      <c r="I35" s="255"/>
      <c r="J35" s="258">
        <f t="shared" si="7"/>
        <v>1720</v>
      </c>
      <c r="K35" s="256"/>
    </row>
    <row r="36" spans="1:49" ht="15" customHeight="1" x14ac:dyDescent="0.25"/>
    <row r="37" spans="1:49" ht="15" customHeight="1" x14ac:dyDescent="0.25"/>
    <row r="38" spans="1:49" ht="15" customHeight="1" x14ac:dyDescent="0.25"/>
    <row r="39" spans="1:49" ht="15" customHeight="1" x14ac:dyDescent="0.25"/>
    <row r="40" spans="1:49" ht="15" customHeight="1" x14ac:dyDescent="0.25"/>
    <row r="41" spans="1:49" ht="15" customHeight="1" x14ac:dyDescent="0.25">
      <c r="U41"/>
    </row>
    <row r="42" spans="1:49" ht="15" customHeight="1" x14ac:dyDescent="0.25">
      <c r="U42"/>
    </row>
    <row r="43" spans="1:49" ht="15" customHeight="1" x14ac:dyDescent="0.25">
      <c r="U43"/>
    </row>
    <row r="44" spans="1:49" ht="15" customHeight="1" thickBot="1" x14ac:dyDescent="0.3">
      <c r="B44" s="267" t="s">
        <v>87</v>
      </c>
      <c r="C44"/>
      <c r="D44"/>
      <c r="E44"/>
      <c r="K44" s="23"/>
      <c r="U44"/>
      <c r="Z44" s="23"/>
      <c r="AA44" s="22"/>
      <c r="AB44" s="22"/>
      <c r="AC44" s="23"/>
    </row>
    <row r="45" spans="1:49" ht="15" customHeight="1" x14ac:dyDescent="0.25">
      <c r="B45" s="319"/>
      <c r="C45" s="322" t="s">
        <v>4178</v>
      </c>
      <c r="D45" s="323"/>
      <c r="E45" s="323"/>
      <c r="F45" s="323"/>
      <c r="G45" s="323"/>
      <c r="H45" s="323"/>
      <c r="I45" s="323"/>
      <c r="J45" s="325"/>
      <c r="K45" s="319"/>
      <c r="U45"/>
      <c r="AD45" s="23"/>
      <c r="AE45" s="23"/>
      <c r="AF45" s="23"/>
      <c r="AG45" s="23"/>
      <c r="AH45" s="23"/>
      <c r="AI45" s="23"/>
      <c r="AJ45" s="23"/>
      <c r="AK45" s="23"/>
      <c r="AL45" s="23"/>
      <c r="AM45" s="23"/>
      <c r="AN45" s="23"/>
    </row>
    <row r="46" spans="1:49" ht="15" customHeight="1" x14ac:dyDescent="0.25">
      <c r="A46" s="23"/>
      <c r="B46" s="320" t="s">
        <v>87</v>
      </c>
      <c r="C46" s="321">
        <v>0</v>
      </c>
      <c r="D46" s="320">
        <v>1</v>
      </c>
      <c r="E46" s="320">
        <v>2</v>
      </c>
      <c r="F46" s="320">
        <v>5</v>
      </c>
      <c r="G46" s="320">
        <v>10</v>
      </c>
      <c r="H46" s="320">
        <v>20</v>
      </c>
      <c r="I46" s="320">
        <v>50</v>
      </c>
      <c r="J46" s="324" t="s">
        <v>2325</v>
      </c>
      <c r="K46" s="320" t="s">
        <v>2352</v>
      </c>
      <c r="L46" s="23"/>
      <c r="M46" s="23"/>
      <c r="N46" s="23"/>
      <c r="O46" s="23"/>
      <c r="P46" s="23"/>
      <c r="Q46" s="23"/>
      <c r="R46" s="23"/>
      <c r="S46" s="23"/>
      <c r="U46"/>
      <c r="AC46" s="7"/>
      <c r="AO46" s="23"/>
      <c r="AP46" s="23"/>
      <c r="AQ46" s="23"/>
      <c r="AR46" s="23"/>
      <c r="AS46" s="23"/>
      <c r="AT46" s="23"/>
      <c r="AU46" s="23"/>
      <c r="AV46" s="23"/>
      <c r="AW46" s="23"/>
    </row>
    <row r="47" spans="1:49" s="23" customFormat="1" ht="15" customHeight="1" x14ac:dyDescent="0.25">
      <c r="A47"/>
      <c r="B47" t="s">
        <v>83</v>
      </c>
      <c r="C47" s="257">
        <f>COUNTIFS(TU_DB[[NO3 Bin (2n1) (ppm)]:[NO3 Bin (2n1) (ppm)]],C$19,TU_DB[[Clarity]:[Clarity]],$B47)</f>
        <v>165</v>
      </c>
      <c r="D47" s="79">
        <f>COUNTIFS(TU_DB[[NO3 Bin (2n1) (ppm)]:[NO3 Bin (2n1) (ppm)]],D$19,TU_DB[[Clarity]:[Clarity]],$B47)</f>
        <v>38</v>
      </c>
      <c r="E47" s="79">
        <f>COUNTIFS(TU_DB[[NO3 Bin (2n1) (ppm)]:[NO3 Bin (2n1) (ppm)]],E$19,TU_DB[[Clarity]:[Clarity]],$B47)</f>
        <v>436</v>
      </c>
      <c r="F47" s="79">
        <f>COUNTIFS(TU_DB[[NO3 Bin (2n1) (ppm)]:[NO3 Bin (2n1) (ppm)]],F$19,TU_DB[[Clarity]:[Clarity]],$B47)</f>
        <v>568</v>
      </c>
      <c r="G47" s="79">
        <f>COUNTIFS(TU_DB[[NO3 Bin (2n1) (ppm)]:[NO3 Bin (2n1) (ppm)]],G$19,TU_DB[[Clarity]:[Clarity]],$B47)</f>
        <v>104</v>
      </c>
      <c r="H47" s="79">
        <f>COUNTIFS(TU_DB[[NO3 Bin (2n1) (ppm)]:[NO3 Bin (2n1) (ppm)]],H$19,TU_DB[[Clarity]:[Clarity]],$B47)</f>
        <v>10</v>
      </c>
      <c r="I47" s="79">
        <f>COUNTIFS(TU_DB[[NO3 Bin (2n1) (ppm)]:[NO3 Bin (2n1) (ppm)]],I$19,TU_DB[[Clarity]:[Clarity]],$B47)</f>
        <v>0</v>
      </c>
      <c r="J47" s="257">
        <f>SUM(C47:H47)</f>
        <v>1321</v>
      </c>
      <c r="K47" s="269">
        <f>SUM(J47)/SUM($J$47:$J$49)</f>
        <v>0.76402544823597451</v>
      </c>
      <c r="L47" s="7"/>
      <c r="M47" s="7"/>
      <c r="N47" s="7"/>
      <c r="O47" s="7"/>
      <c r="P47" s="7"/>
      <c r="Q47" s="7"/>
      <c r="R47" s="7"/>
      <c r="S47" s="7"/>
      <c r="T47"/>
      <c r="U47"/>
      <c r="V47"/>
      <c r="W47"/>
      <c r="X47"/>
      <c r="Y47"/>
      <c r="Z47"/>
      <c r="AA47" s="1"/>
      <c r="AB47" s="15"/>
      <c r="AC47"/>
      <c r="AD47" s="7"/>
      <c r="AE47" s="7"/>
      <c r="AF47" s="7"/>
      <c r="AG47" s="7"/>
      <c r="AH47" s="7"/>
      <c r="AI47" s="7"/>
      <c r="AJ47" s="7"/>
      <c r="AK47" s="7"/>
      <c r="AL47" s="7"/>
      <c r="AM47" s="7"/>
      <c r="AN47" s="7"/>
      <c r="AO47"/>
      <c r="AP47"/>
      <c r="AQ47"/>
      <c r="AR47"/>
      <c r="AS47"/>
      <c r="AT47"/>
      <c r="AU47"/>
      <c r="AV47"/>
      <c r="AW47"/>
    </row>
    <row r="48" spans="1:49" s="7" customFormat="1" ht="15" customHeight="1" x14ac:dyDescent="0.25">
      <c r="A48"/>
      <c r="B48" t="s">
        <v>85</v>
      </c>
      <c r="C48" s="257">
        <f>COUNTIFS(TU_DB[[NO3 Bin (2n1) (ppm)]:[NO3 Bin (2n1) (ppm)]],C$19,TU_DB[[Clarity]:[Clarity]],$B48)</f>
        <v>8</v>
      </c>
      <c r="D48" s="79">
        <f>COUNTIFS(TU_DB[[NO3 Bin (2n1) (ppm)]:[NO3 Bin (2n1) (ppm)]],D$19,TU_DB[[Clarity]:[Clarity]],$B48)</f>
        <v>6</v>
      </c>
      <c r="E48" s="79">
        <f>COUNTIFS(TU_DB[[NO3 Bin (2n1) (ppm)]:[NO3 Bin (2n1) (ppm)]],E$19,TU_DB[[Clarity]:[Clarity]],$B48)</f>
        <v>42</v>
      </c>
      <c r="F48" s="79">
        <f>COUNTIFS(TU_DB[[NO3 Bin (2n1) (ppm)]:[NO3 Bin (2n1) (ppm)]],F$19,TU_DB[[Clarity]:[Clarity]],$B48)</f>
        <v>18</v>
      </c>
      <c r="G48" s="79">
        <f>COUNTIFS(TU_DB[[NO3 Bin (2n1) (ppm)]:[NO3 Bin (2n1) (ppm)]],G$19,TU_DB[[Clarity]:[Clarity]],$B48)</f>
        <v>7</v>
      </c>
      <c r="H48" s="79">
        <f>COUNTIFS(TU_DB[[NO3 Bin (2n1) (ppm)]:[NO3 Bin (2n1) (ppm)]],H$19,TU_DB[[Clarity]:[Clarity]],$B48)</f>
        <v>4</v>
      </c>
      <c r="I48" s="79">
        <f>COUNTIFS(TU_DB[[NO3 Bin (2n1) (ppm)]:[NO3 Bin (2n1) (ppm)]],I$19,TU_DB[[Clarity]:[Clarity]],$B48)</f>
        <v>0</v>
      </c>
      <c r="J48" s="257">
        <f>SUM(C48:H48)</f>
        <v>85</v>
      </c>
      <c r="K48" s="269">
        <f>SUM(J48)/SUM($J$47:$J$49)</f>
        <v>4.9161364950838636E-2</v>
      </c>
      <c r="L48"/>
      <c r="M48"/>
      <c r="N48"/>
      <c r="O48"/>
      <c r="P48"/>
      <c r="Q48"/>
      <c r="R48"/>
      <c r="S48"/>
      <c r="T48"/>
      <c r="U48"/>
      <c r="V48"/>
      <c r="W48"/>
      <c r="X48"/>
      <c r="Y48"/>
      <c r="Z48"/>
      <c r="AA48" s="1"/>
      <c r="AB48" s="15"/>
      <c r="AC48"/>
      <c r="AD48"/>
      <c r="AE48"/>
      <c r="AF48"/>
      <c r="AG48"/>
      <c r="AH48"/>
      <c r="AI48"/>
      <c r="AJ48"/>
      <c r="AK48"/>
      <c r="AL48"/>
      <c r="AM48"/>
      <c r="AN48"/>
      <c r="AO48"/>
      <c r="AP48"/>
      <c r="AQ48"/>
      <c r="AR48"/>
      <c r="AS48"/>
      <c r="AT48"/>
      <c r="AU48"/>
      <c r="AV48"/>
      <c r="AW48"/>
    </row>
    <row r="49" spans="2:29" ht="15" customHeight="1" x14ac:dyDescent="0.25">
      <c r="B49" s="261" t="s">
        <v>84</v>
      </c>
      <c r="C49" s="260">
        <f>COUNTIFS(TU_DB[[NO3 Bin (2n1) (ppm)]:[NO3 Bin (2n1) (ppm)]],C$19,TU_DB[[Clarity]:[Clarity]],$B49)</f>
        <v>55</v>
      </c>
      <c r="D49" s="259">
        <f>COUNTIFS(TU_DB[[NO3 Bin (2n1) (ppm)]:[NO3 Bin (2n1) (ppm)]],D$19,TU_DB[[Clarity]:[Clarity]],$B49)</f>
        <v>12</v>
      </c>
      <c r="E49" s="259">
        <f>COUNTIFS(TU_DB[[NO3 Bin (2n1) (ppm)]:[NO3 Bin (2n1) (ppm)]],E$19,TU_DB[[Clarity]:[Clarity]],$B49)</f>
        <v>112</v>
      </c>
      <c r="F49" s="259">
        <f>COUNTIFS(TU_DB[[NO3 Bin (2n1) (ppm)]:[NO3 Bin (2n1) (ppm)]],F$19,TU_DB[[Clarity]:[Clarity]],$B49)</f>
        <v>107</v>
      </c>
      <c r="G49" s="259">
        <f>COUNTIFS(TU_DB[[NO3 Bin (2n1) (ppm)]:[NO3 Bin (2n1) (ppm)]],G$19,TU_DB[[Clarity]:[Clarity]],$B49)</f>
        <v>23</v>
      </c>
      <c r="H49" s="259">
        <f>COUNTIFS(TU_DB[[NO3 Bin (2n1) (ppm)]:[NO3 Bin (2n1) (ppm)]],H$19,TU_DB[[Clarity]:[Clarity]],$B49)</f>
        <v>14</v>
      </c>
      <c r="I49" s="259">
        <f>COUNTIFS(TU_DB[[NO3 Bin (2n1) (ppm)]:[NO3 Bin (2n1) (ppm)]],I$19,TU_DB[[Clarity]:[Clarity]],$B49)</f>
        <v>0</v>
      </c>
      <c r="J49" s="260">
        <f>SUM(C49:H49)</f>
        <v>323</v>
      </c>
      <c r="K49" s="270">
        <f>SUM(J49)/SUM($J$47:$J$49)</f>
        <v>0.18681318681318682</v>
      </c>
      <c r="U49"/>
      <c r="AA49"/>
      <c r="AB49"/>
    </row>
    <row r="50" spans="2:29" ht="15" customHeight="1" thickBot="1" x14ac:dyDescent="0.3">
      <c r="B50" s="255" t="s">
        <v>133</v>
      </c>
      <c r="C50" s="258">
        <f t="shared" ref="C50:J50" si="8">SUM(C47:C49)</f>
        <v>228</v>
      </c>
      <c r="D50" s="255">
        <f t="shared" si="8"/>
        <v>56</v>
      </c>
      <c r="E50" s="255">
        <f t="shared" si="8"/>
        <v>590</v>
      </c>
      <c r="F50" s="255">
        <f t="shared" si="8"/>
        <v>693</v>
      </c>
      <c r="G50" s="255">
        <f t="shared" si="8"/>
        <v>134</v>
      </c>
      <c r="H50" s="255">
        <f t="shared" si="8"/>
        <v>28</v>
      </c>
      <c r="I50" s="255"/>
      <c r="J50" s="258">
        <f t="shared" si="8"/>
        <v>1729</v>
      </c>
      <c r="K50" s="256"/>
      <c r="U50"/>
      <c r="AA50"/>
      <c r="AB50"/>
    </row>
    <row r="51" spans="2:29" ht="15" customHeight="1" x14ac:dyDescent="0.25">
      <c r="U51"/>
      <c r="AA51"/>
      <c r="AB51"/>
    </row>
    <row r="52" spans="2:29" ht="15" customHeight="1" x14ac:dyDescent="0.25">
      <c r="U52"/>
      <c r="AA52"/>
      <c r="AB52"/>
    </row>
    <row r="53" spans="2:29" ht="15" customHeight="1" x14ac:dyDescent="0.25">
      <c r="U53"/>
      <c r="AA53"/>
      <c r="AB53"/>
    </row>
    <row r="54" spans="2:29" ht="15" customHeight="1" x14ac:dyDescent="0.25">
      <c r="U54"/>
      <c r="AA54"/>
      <c r="AB54"/>
    </row>
    <row r="55" spans="2:29" ht="15" customHeight="1" x14ac:dyDescent="0.25">
      <c r="U55"/>
      <c r="AA55"/>
      <c r="AB55"/>
    </row>
    <row r="56" spans="2:29" ht="15" customHeight="1" x14ac:dyDescent="0.25">
      <c r="U56"/>
      <c r="AA56"/>
      <c r="AB56"/>
    </row>
    <row r="57" spans="2:29" ht="15" customHeight="1" x14ac:dyDescent="0.25">
      <c r="S57" s="23"/>
      <c r="U57"/>
      <c r="AA57"/>
      <c r="AB57"/>
    </row>
    <row r="58" spans="2:29" ht="15" customHeight="1" x14ac:dyDescent="0.25">
      <c r="U58"/>
      <c r="AA58"/>
      <c r="AB58"/>
    </row>
    <row r="59" spans="2:29" ht="15" customHeight="1" x14ac:dyDescent="0.25">
      <c r="U59"/>
      <c r="AA59"/>
      <c r="AB59"/>
    </row>
    <row r="60" spans="2:29" ht="15" customHeight="1" x14ac:dyDescent="0.25">
      <c r="U60"/>
      <c r="AA60"/>
      <c r="AB60"/>
    </row>
    <row r="61" spans="2:29" ht="15" customHeight="1" thickBot="1" x14ac:dyDescent="0.3">
      <c r="B61" s="21" t="s">
        <v>4788</v>
      </c>
      <c r="U61"/>
      <c r="X61" s="23"/>
      <c r="Y61" s="23"/>
      <c r="Z61" s="23"/>
      <c r="AA61" s="23"/>
      <c r="AB61" s="23"/>
      <c r="AC61" s="23"/>
    </row>
    <row r="62" spans="2:29" ht="16.5" customHeight="1" x14ac:dyDescent="0.25">
      <c r="B62" s="319"/>
      <c r="C62" s="322" t="s">
        <v>4178</v>
      </c>
      <c r="D62" s="323"/>
      <c r="E62" s="323"/>
      <c r="F62" s="323"/>
      <c r="G62" s="323"/>
      <c r="H62" s="323"/>
      <c r="I62" s="323"/>
      <c r="J62" s="325"/>
      <c r="K62" s="319"/>
      <c r="N62" s="333" t="s">
        <v>4169</v>
      </c>
      <c r="O62" s="560" t="s">
        <v>2365</v>
      </c>
      <c r="P62" s="560"/>
      <c r="Q62" s="560"/>
      <c r="R62" s="560"/>
      <c r="U62"/>
    </row>
    <row r="63" spans="2:29" ht="15" customHeight="1" x14ac:dyDescent="0.25">
      <c r="B63" s="320" t="s">
        <v>124</v>
      </c>
      <c r="C63" s="321">
        <v>0</v>
      </c>
      <c r="D63" s="320">
        <v>1</v>
      </c>
      <c r="E63" s="320">
        <v>2</v>
      </c>
      <c r="F63" s="320">
        <v>5</v>
      </c>
      <c r="G63" s="320">
        <v>10</v>
      </c>
      <c r="H63" s="320">
        <v>20</v>
      </c>
      <c r="I63" s="320">
        <v>50</v>
      </c>
      <c r="J63" s="324" t="s">
        <v>2325</v>
      </c>
      <c r="K63" s="320" t="s">
        <v>2352</v>
      </c>
      <c r="U63"/>
    </row>
    <row r="64" spans="2:29" ht="15" customHeight="1" x14ac:dyDescent="0.25">
      <c r="B64" s="153" t="s">
        <v>1328</v>
      </c>
      <c r="C64" s="378">
        <f>SUM(C65:C74)</f>
        <v>16</v>
      </c>
      <c r="D64" s="378">
        <f t="shared" ref="D64:I64" si="9">SUM(D65:D74)</f>
        <v>4</v>
      </c>
      <c r="E64" s="378">
        <f t="shared" si="9"/>
        <v>78</v>
      </c>
      <c r="F64" s="378">
        <f t="shared" si="9"/>
        <v>70</v>
      </c>
      <c r="G64" s="378">
        <f t="shared" si="9"/>
        <v>4</v>
      </c>
      <c r="H64" s="378">
        <f t="shared" si="9"/>
        <v>0</v>
      </c>
      <c r="I64" s="378">
        <f t="shared" si="9"/>
        <v>0</v>
      </c>
      <c r="J64" s="378">
        <f>SUM(J65:J74)</f>
        <v>172</v>
      </c>
      <c r="K64" s="378"/>
      <c r="U64"/>
    </row>
    <row r="65" spans="2:21" ht="15" customHeight="1" x14ac:dyDescent="0.25">
      <c r="B65" s="8" t="s">
        <v>154</v>
      </c>
      <c r="C65" s="257">
        <f>COUNTIFS(TU_DB[[NO3 Bin (2n1) (ppm)]:[NO3 Bin (2n1) (ppm)]],C$19,TU_DB[[Monitoring Site]:[Monitoring Site]],$B65)</f>
        <v>3</v>
      </c>
      <c r="D65" s="79">
        <f>COUNTIFS(TU_DB[[NO3 Bin (2n1) (ppm)]:[NO3 Bin (2n1) (ppm)]],D$19,TU_DB[[Monitoring Site]:[Monitoring Site]],$B65)</f>
        <v>1</v>
      </c>
      <c r="E65" s="79">
        <f>COUNTIFS(TU_DB[[NO3 Bin (2n1) (ppm)]:[NO3 Bin (2n1) (ppm)]],E$19,TU_DB[[Monitoring Site]:[Monitoring Site]],$B65)</f>
        <v>8</v>
      </c>
      <c r="F65" s="79">
        <f>COUNTIFS(TU_DB[[NO3 Bin (2n1) (ppm)]:[NO3 Bin (2n1) (ppm)]],F$19,TU_DB[[Monitoring Site]:[Monitoring Site]],$B65)</f>
        <v>3</v>
      </c>
      <c r="G65" s="79">
        <f>COUNTIFS(TU_DB[[NO3 Bin (2n1) (ppm)]:[NO3 Bin (2n1) (ppm)]],G$19,TU_DB[[Monitoring Site]:[Monitoring Site]],$B65)</f>
        <v>0</v>
      </c>
      <c r="H65" s="79">
        <f>COUNTIFS(TU_DB[[NO3 Bin (2n1) (ppm)]:[NO3 Bin (2n1) (ppm)]],H$19,TU_DB[[Monitoring Site]:[Monitoring Site]],$B65)</f>
        <v>0</v>
      </c>
      <c r="I65" s="79">
        <f>COUNTIFS(TU_DB[[NO3 Bin (2n1) (ppm)]:[NO3 Bin (2n1) (ppm)]],I$19,TU_DB[[Monitoring Site]:[Monitoring Site]],$B65)</f>
        <v>0</v>
      </c>
      <c r="J65" s="257">
        <f>SUM(C65:I65)</f>
        <v>15</v>
      </c>
      <c r="K65" s="268">
        <f t="shared" ref="K65:K74" si="10">SUM(J65)/$J$64</f>
        <v>8.7209302325581398E-2</v>
      </c>
      <c r="U65"/>
    </row>
    <row r="66" spans="2:21" x14ac:dyDescent="0.25">
      <c r="B66" s="8" t="str">
        <f>Use!S125</f>
        <v>Eau Galle River @ WI Hwy 29</v>
      </c>
      <c r="C66" s="257">
        <f>COUNTIFS(TU_DB[[NO3 Bin (2n1) (ppm)]:[NO3 Bin (2n1) (ppm)]],C$19,TU_DB[[Monitoring Site]:[Monitoring Site]],$B66)</f>
        <v>5</v>
      </c>
      <c r="D66" s="79">
        <f>COUNTIFS(TU_DB[[NO3 Bin (2n1) (ppm)]:[NO3 Bin (2n1) (ppm)]],D$19,TU_DB[[Monitoring Site]:[Monitoring Site]],$B66)</f>
        <v>2</v>
      </c>
      <c r="E66" s="79">
        <f>COUNTIFS(TU_DB[[NO3 Bin (2n1) (ppm)]:[NO3 Bin (2n1) (ppm)]],E$19,TU_DB[[Monitoring Site]:[Monitoring Site]],$B66)</f>
        <v>3</v>
      </c>
      <c r="F66" s="79">
        <f>COUNTIFS(TU_DB[[NO3 Bin (2n1) (ppm)]:[NO3 Bin (2n1) (ppm)]],F$19,TU_DB[[Monitoring Site]:[Monitoring Site]],$B66)</f>
        <v>0</v>
      </c>
      <c r="G66" s="79">
        <f>COUNTIFS(TU_DB[[NO3 Bin (2n1) (ppm)]:[NO3 Bin (2n1) (ppm)]],G$19,TU_DB[[Monitoring Site]:[Monitoring Site]],$B66)</f>
        <v>0</v>
      </c>
      <c r="H66" s="79">
        <f>COUNTIFS(TU_DB[[NO3 Bin (2n1) (ppm)]:[NO3 Bin (2n1) (ppm)]],H$19,TU_DB[[Monitoring Site]:[Monitoring Site]],$B66)</f>
        <v>0</v>
      </c>
      <c r="I66" s="79">
        <f>COUNTIFS(TU_DB[[NO3 Bin (2n1) (ppm)]:[NO3 Bin (2n1) (ppm)]],I$19,TU_DB[[Monitoring Site]:[Monitoring Site]],$B66)</f>
        <v>0</v>
      </c>
      <c r="J66" s="257">
        <f t="shared" ref="J66:J74" si="11">SUM(C66:I66)</f>
        <v>10</v>
      </c>
      <c r="K66" s="268">
        <f t="shared" si="10"/>
        <v>5.8139534883720929E-2</v>
      </c>
      <c r="U66"/>
    </row>
    <row r="67" spans="2:21" x14ac:dyDescent="0.25">
      <c r="B67" s="8" t="str">
        <f>Use!S126</f>
        <v>Isabelle Creek @ County Rd. EE</v>
      </c>
      <c r="C67" s="257">
        <f>COUNTIFS(TU_DB[[NO3 Bin (2n1) (ppm)]:[NO3 Bin (2n1) (ppm)]],C$19,TU_DB[[Monitoring Site]:[Monitoring Site]],$B67)</f>
        <v>1</v>
      </c>
      <c r="D67" s="79">
        <f>COUNTIFS(TU_DB[[NO3 Bin (2n1) (ppm)]:[NO3 Bin (2n1) (ppm)]],D$19,TU_DB[[Monitoring Site]:[Monitoring Site]],$B67)</f>
        <v>1</v>
      </c>
      <c r="E67" s="79">
        <f>COUNTIFS(TU_DB[[NO3 Bin (2n1) (ppm)]:[NO3 Bin (2n1) (ppm)]],E$19,TU_DB[[Monitoring Site]:[Monitoring Site]],$B67)</f>
        <v>4</v>
      </c>
      <c r="F67" s="79">
        <f>COUNTIFS(TU_DB[[NO3 Bin (2n1) (ppm)]:[NO3 Bin (2n1) (ppm)]],F$19,TU_DB[[Monitoring Site]:[Monitoring Site]],$B67)</f>
        <v>17</v>
      </c>
      <c r="G67" s="79">
        <f>COUNTIFS(TU_DB[[NO3 Bin (2n1) (ppm)]:[NO3 Bin (2n1) (ppm)]],G$19,TU_DB[[Monitoring Site]:[Monitoring Site]],$B67)</f>
        <v>0</v>
      </c>
      <c r="H67" s="79">
        <f>COUNTIFS(TU_DB[[NO3 Bin (2n1) (ppm)]:[NO3 Bin (2n1) (ppm)]],H$19,TU_DB[[Monitoring Site]:[Monitoring Site]],$B67)</f>
        <v>0</v>
      </c>
      <c r="I67" s="79">
        <f>COUNTIFS(TU_DB[[NO3 Bin (2n1) (ppm)]:[NO3 Bin (2n1) (ppm)]],I$19,TU_DB[[Monitoring Site]:[Monitoring Site]],$B67)</f>
        <v>0</v>
      </c>
      <c r="J67" s="257">
        <f t="shared" si="11"/>
        <v>23</v>
      </c>
      <c r="K67" s="268">
        <f t="shared" si="10"/>
        <v>0.13372093023255813</v>
      </c>
      <c r="U67"/>
    </row>
    <row r="68" spans="2:21" x14ac:dyDescent="0.25">
      <c r="B68" s="8" t="str">
        <f>Use!S127</f>
        <v>Kinnickinnic River, Lower Glen Park</v>
      </c>
      <c r="C68" s="257">
        <f>COUNTIFS(TU_DB[[NO3 Bin (2n1) (ppm)]:[NO3 Bin (2n1) (ppm)]],C$19,TU_DB[[Monitoring Site]:[Monitoring Site]],$B68)</f>
        <v>0</v>
      </c>
      <c r="D68" s="79">
        <f>COUNTIFS(TU_DB[[NO3 Bin (2n1) (ppm)]:[NO3 Bin (2n1) (ppm)]],D$19,TU_DB[[Monitoring Site]:[Monitoring Site]],$B68)</f>
        <v>0</v>
      </c>
      <c r="E68" s="79">
        <f>COUNTIFS(TU_DB[[NO3 Bin (2n1) (ppm)]:[NO3 Bin (2n1) (ppm)]],E$19,TU_DB[[Monitoring Site]:[Monitoring Site]],$B68)</f>
        <v>9</v>
      </c>
      <c r="F68" s="79">
        <f>COUNTIFS(TU_DB[[NO3 Bin (2n1) (ppm)]:[NO3 Bin (2n1) (ppm)]],F$19,TU_DB[[Monitoring Site]:[Monitoring Site]],$B68)</f>
        <v>24</v>
      </c>
      <c r="G68" s="79">
        <f>COUNTIFS(TU_DB[[NO3 Bin (2n1) (ppm)]:[NO3 Bin (2n1) (ppm)]],G$19,TU_DB[[Monitoring Site]:[Monitoring Site]],$B68)</f>
        <v>4</v>
      </c>
      <c r="H68" s="79">
        <f>COUNTIFS(TU_DB[[NO3 Bin (2n1) (ppm)]:[NO3 Bin (2n1) (ppm)]],H$19,TU_DB[[Monitoring Site]:[Monitoring Site]],$B68)</f>
        <v>0</v>
      </c>
      <c r="I68" s="79">
        <f>COUNTIFS(TU_DB[[NO3 Bin (2n1) (ppm)]:[NO3 Bin (2n1) (ppm)]],I$19,TU_DB[[Monitoring Site]:[Monitoring Site]],$B68)</f>
        <v>0</v>
      </c>
      <c r="J68" s="257">
        <f t="shared" si="11"/>
        <v>37</v>
      </c>
      <c r="K68" s="268">
        <f t="shared" si="10"/>
        <v>0.21511627906976744</v>
      </c>
      <c r="U68"/>
    </row>
    <row r="69" spans="2:21" x14ac:dyDescent="0.25">
      <c r="B69" s="8" t="str">
        <f>Use!S128</f>
        <v>Pine Creek @ County Rd. AA</v>
      </c>
      <c r="C69" s="257">
        <f>COUNTIFS(TU_DB[[NO3 Bin (2n1) (ppm)]:[NO3 Bin (2n1) (ppm)]],C$19,TU_DB[[Monitoring Site]:[Monitoring Site]],$B69)</f>
        <v>0</v>
      </c>
      <c r="D69" s="79">
        <f>COUNTIFS(TU_DB[[NO3 Bin (2n1) (ppm)]:[NO3 Bin (2n1) (ppm)]],D$19,TU_DB[[Monitoring Site]:[Monitoring Site]],$B69)</f>
        <v>0</v>
      </c>
      <c r="E69" s="79">
        <f>COUNTIFS(TU_DB[[NO3 Bin (2n1) (ppm)]:[NO3 Bin (2n1) (ppm)]],E$19,TU_DB[[Monitoring Site]:[Monitoring Site]],$B69)</f>
        <v>16</v>
      </c>
      <c r="F69" s="79">
        <f>COUNTIFS(TU_DB[[NO3 Bin (2n1) (ppm)]:[NO3 Bin (2n1) (ppm)]],F$19,TU_DB[[Monitoring Site]:[Monitoring Site]],$B69)</f>
        <v>12</v>
      </c>
      <c r="G69" s="79">
        <f>COUNTIFS(TU_DB[[NO3 Bin (2n1) (ppm)]:[NO3 Bin (2n1) (ppm)]],G$19,TU_DB[[Monitoring Site]:[Monitoring Site]],$B69)</f>
        <v>0</v>
      </c>
      <c r="H69" s="79">
        <f>COUNTIFS(TU_DB[[NO3 Bin (2n1) (ppm)]:[NO3 Bin (2n1) (ppm)]],H$19,TU_DB[[Monitoring Site]:[Monitoring Site]],$B69)</f>
        <v>0</v>
      </c>
      <c r="I69" s="79">
        <f>COUNTIFS(TU_DB[[NO3 Bin (2n1) (ppm)]:[NO3 Bin (2n1) (ppm)]],I$19,TU_DB[[Monitoring Site]:[Monitoring Site]],$B69)</f>
        <v>0</v>
      </c>
      <c r="J69" s="257">
        <f t="shared" si="11"/>
        <v>28</v>
      </c>
      <c r="K69" s="268">
        <f t="shared" si="10"/>
        <v>0.16279069767441862</v>
      </c>
      <c r="U69"/>
    </row>
    <row r="70" spans="2:21" x14ac:dyDescent="0.25">
      <c r="B70" s="8" t="str">
        <f>Use!S129</f>
        <v>Plum Creek @ Plum CIty Park</v>
      </c>
      <c r="C70" s="257">
        <f>COUNTIFS(TU_DB[[NO3 Bin (2n1) (ppm)]:[NO3 Bin (2n1) (ppm)]],C$19,TU_DB[[Monitoring Site]:[Monitoring Site]],$B70)</f>
        <v>0</v>
      </c>
      <c r="D70" s="79">
        <f>COUNTIFS(TU_DB[[NO3 Bin (2n1) (ppm)]:[NO3 Bin (2n1) (ppm)]],D$19,TU_DB[[Monitoring Site]:[Monitoring Site]],$B70)</f>
        <v>0</v>
      </c>
      <c r="E70" s="79">
        <f>COUNTIFS(TU_DB[[NO3 Bin (2n1) (ppm)]:[NO3 Bin (2n1) (ppm)]],E$19,TU_DB[[Monitoring Site]:[Monitoring Site]],$B70)</f>
        <v>11</v>
      </c>
      <c r="F70" s="79">
        <f>COUNTIFS(TU_DB[[NO3 Bin (2n1) (ppm)]:[NO3 Bin (2n1) (ppm)]],F$19,TU_DB[[Monitoring Site]:[Monitoring Site]],$B70)</f>
        <v>3</v>
      </c>
      <c r="G70" s="79">
        <f>COUNTIFS(TU_DB[[NO3 Bin (2n1) (ppm)]:[NO3 Bin (2n1) (ppm)]],G$19,TU_DB[[Monitoring Site]:[Monitoring Site]],$B70)</f>
        <v>0</v>
      </c>
      <c r="H70" s="79">
        <f>COUNTIFS(TU_DB[[NO3 Bin (2n1) (ppm)]:[NO3 Bin (2n1) (ppm)]],H$19,TU_DB[[Monitoring Site]:[Monitoring Site]],$B70)</f>
        <v>0</v>
      </c>
      <c r="I70" s="79">
        <f>COUNTIFS(TU_DB[[NO3 Bin (2n1) (ppm)]:[NO3 Bin (2n1) (ppm)]],I$19,TU_DB[[Monitoring Site]:[Monitoring Site]],$B70)</f>
        <v>0</v>
      </c>
      <c r="J70" s="257">
        <f t="shared" si="11"/>
        <v>14</v>
      </c>
      <c r="K70" s="268">
        <f t="shared" si="10"/>
        <v>8.1395348837209308E-2</v>
      </c>
      <c r="U70"/>
    </row>
    <row r="71" spans="2:21" x14ac:dyDescent="0.25">
      <c r="B71" s="8" t="str">
        <f>Use!S130</f>
        <v>Rocky Branch Creek, Lower Glen Park</v>
      </c>
      <c r="C71" s="257">
        <f>COUNTIFS(TU_DB[[NO3 Bin (2n1) (ppm)]:[NO3 Bin (2n1) (ppm)]],C$19,TU_DB[[Monitoring Site]:[Monitoring Site]],$B71)</f>
        <v>0</v>
      </c>
      <c r="D71" s="79">
        <f>COUNTIFS(TU_DB[[NO3 Bin (2n1) (ppm)]:[NO3 Bin (2n1) (ppm)]],D$19,TU_DB[[Monitoring Site]:[Monitoring Site]],$B71)</f>
        <v>0</v>
      </c>
      <c r="E71" s="79">
        <f>COUNTIFS(TU_DB[[NO3 Bin (2n1) (ppm)]:[NO3 Bin (2n1) (ppm)]],E$19,TU_DB[[Monitoring Site]:[Monitoring Site]],$B71)</f>
        <v>4</v>
      </c>
      <c r="F71" s="79">
        <f>COUNTIFS(TU_DB[[NO3 Bin (2n1) (ppm)]:[NO3 Bin (2n1) (ppm)]],F$19,TU_DB[[Monitoring Site]:[Monitoring Site]],$B71)</f>
        <v>0</v>
      </c>
      <c r="G71" s="79">
        <f>COUNTIFS(TU_DB[[NO3 Bin (2n1) (ppm)]:[NO3 Bin (2n1) (ppm)]],G$19,TU_DB[[Monitoring Site]:[Monitoring Site]],$B71)</f>
        <v>0</v>
      </c>
      <c r="H71" s="79">
        <f>COUNTIFS(TU_DB[[NO3 Bin (2n1) (ppm)]:[NO3 Bin (2n1) (ppm)]],H$19,TU_DB[[Monitoring Site]:[Monitoring Site]],$B71)</f>
        <v>0</v>
      </c>
      <c r="I71" s="79">
        <f>COUNTIFS(TU_DB[[NO3 Bin (2n1) (ppm)]:[NO3 Bin (2n1) (ppm)]],I$19,TU_DB[[Monitoring Site]:[Monitoring Site]],$B71)</f>
        <v>0</v>
      </c>
      <c r="J71" s="257">
        <f t="shared" si="11"/>
        <v>4</v>
      </c>
      <c r="K71" s="268">
        <f t="shared" si="10"/>
        <v>2.3255813953488372E-2</v>
      </c>
      <c r="U71"/>
    </row>
    <row r="72" spans="2:21" x14ac:dyDescent="0.25">
      <c r="B72" s="8" t="str">
        <f>Use!S131</f>
        <v>Rush River @ 570th Ave</v>
      </c>
      <c r="C72" s="257">
        <f>COUNTIFS(TU_DB[[NO3 Bin (2n1) (ppm)]:[NO3 Bin (2n1) (ppm)]],C$19,TU_DB[[Monitoring Site]:[Monitoring Site]],$B72)</f>
        <v>5</v>
      </c>
      <c r="D72" s="79">
        <f>COUNTIFS(TU_DB[[NO3 Bin (2n1) (ppm)]:[NO3 Bin (2n1) (ppm)]],D$19,TU_DB[[Monitoring Site]:[Monitoring Site]],$B72)</f>
        <v>0</v>
      </c>
      <c r="E72" s="79">
        <f>COUNTIFS(TU_DB[[NO3 Bin (2n1) (ppm)]:[NO3 Bin (2n1) (ppm)]],E$19,TU_DB[[Monitoring Site]:[Monitoring Site]],$B72)</f>
        <v>8</v>
      </c>
      <c r="F72" s="79">
        <f>COUNTIFS(TU_DB[[NO3 Bin (2n1) (ppm)]:[NO3 Bin (2n1) (ppm)]],F$19,TU_DB[[Monitoring Site]:[Monitoring Site]],$B72)</f>
        <v>8</v>
      </c>
      <c r="G72" s="79">
        <f>COUNTIFS(TU_DB[[NO3 Bin (2n1) (ppm)]:[NO3 Bin (2n1) (ppm)]],G$19,TU_DB[[Monitoring Site]:[Monitoring Site]],$B72)</f>
        <v>0</v>
      </c>
      <c r="H72" s="79">
        <f>COUNTIFS(TU_DB[[NO3 Bin (2n1) (ppm)]:[NO3 Bin (2n1) (ppm)]],H$19,TU_DB[[Monitoring Site]:[Monitoring Site]],$B72)</f>
        <v>0</v>
      </c>
      <c r="I72" s="79">
        <f>COUNTIFS(TU_DB[[NO3 Bin (2n1) (ppm)]:[NO3 Bin (2n1) (ppm)]],I$19,TU_DB[[Monitoring Site]:[Monitoring Site]],$B72)</f>
        <v>0</v>
      </c>
      <c r="J72" s="257">
        <f t="shared" si="11"/>
        <v>21</v>
      </c>
      <c r="K72" s="268">
        <f t="shared" si="10"/>
        <v>0.12209302325581395</v>
      </c>
      <c r="U72"/>
    </row>
    <row r="73" spans="2:21" x14ac:dyDescent="0.25">
      <c r="B73" s="8" t="str">
        <f>Use!S132</f>
        <v>SF Kinnickinnic River @ 900th St</v>
      </c>
      <c r="C73" s="257">
        <f>COUNTIFS(TU_DB[[NO3 Bin (2n1) (ppm)]:[NO3 Bin (2n1) (ppm)]],C$19,TU_DB[[Monitoring Site]:[Monitoring Site]],$B73)</f>
        <v>0</v>
      </c>
      <c r="D73" s="79">
        <f>COUNTIFS(TU_DB[[NO3 Bin (2n1) (ppm)]:[NO3 Bin (2n1) (ppm)]],D$19,TU_DB[[Monitoring Site]:[Monitoring Site]],$B73)</f>
        <v>0</v>
      </c>
      <c r="E73" s="79">
        <f>COUNTIFS(TU_DB[[NO3 Bin (2n1) (ppm)]:[NO3 Bin (2n1) (ppm)]],E$19,TU_DB[[Monitoring Site]:[Monitoring Site]],$B73)</f>
        <v>11</v>
      </c>
      <c r="F73" s="79">
        <f>COUNTIFS(TU_DB[[NO3 Bin (2n1) (ppm)]:[NO3 Bin (2n1) (ppm)]],F$19,TU_DB[[Monitoring Site]:[Monitoring Site]],$B73)</f>
        <v>2</v>
      </c>
      <c r="G73" s="79">
        <f>COUNTIFS(TU_DB[[NO3 Bin (2n1) (ppm)]:[NO3 Bin (2n1) (ppm)]],G$19,TU_DB[[Monitoring Site]:[Monitoring Site]],$B73)</f>
        <v>0</v>
      </c>
      <c r="H73" s="79">
        <f>COUNTIFS(TU_DB[[NO3 Bin (2n1) (ppm)]:[NO3 Bin (2n1) (ppm)]],H$19,TU_DB[[Monitoring Site]:[Monitoring Site]],$B73)</f>
        <v>0</v>
      </c>
      <c r="I73" s="79">
        <f>COUNTIFS(TU_DB[[NO3 Bin (2n1) (ppm)]:[NO3 Bin (2n1) (ppm)]],I$19,TU_DB[[Monitoring Site]:[Monitoring Site]],$B73)</f>
        <v>0</v>
      </c>
      <c r="J73" s="257">
        <f t="shared" si="11"/>
        <v>13</v>
      </c>
      <c r="K73" s="268">
        <f t="shared" si="10"/>
        <v>7.5581395348837205E-2</v>
      </c>
      <c r="U73"/>
    </row>
    <row r="74" spans="2:21" x14ac:dyDescent="0.25">
      <c r="B74" s="8" t="str">
        <f>Use!S133</f>
        <v>Trimbelle River @ County Rd W</v>
      </c>
      <c r="C74" s="257">
        <f>COUNTIFS(TU_DB[[NO3 Bin (2n1) (ppm)]:[NO3 Bin (2n1) (ppm)]],C$19,TU_DB[[Monitoring Site]:[Monitoring Site]],$B74)</f>
        <v>2</v>
      </c>
      <c r="D74" s="79">
        <f>COUNTIFS(TU_DB[[NO3 Bin (2n1) (ppm)]:[NO3 Bin (2n1) (ppm)]],D$19,TU_DB[[Monitoring Site]:[Monitoring Site]],$B74)</f>
        <v>0</v>
      </c>
      <c r="E74" s="79">
        <f>COUNTIFS(TU_DB[[NO3 Bin (2n1) (ppm)]:[NO3 Bin (2n1) (ppm)]],E$19,TU_DB[[Monitoring Site]:[Monitoring Site]],$B74)</f>
        <v>4</v>
      </c>
      <c r="F74" s="79">
        <f>COUNTIFS(TU_DB[[NO3 Bin (2n1) (ppm)]:[NO3 Bin (2n1) (ppm)]],F$19,TU_DB[[Monitoring Site]:[Monitoring Site]],$B74)</f>
        <v>1</v>
      </c>
      <c r="G74" s="79">
        <f>COUNTIFS(TU_DB[[NO3 Bin (2n1) (ppm)]:[NO3 Bin (2n1) (ppm)]],G$19,TU_DB[[Monitoring Site]:[Monitoring Site]],$B74)</f>
        <v>0</v>
      </c>
      <c r="H74" s="79">
        <f>COUNTIFS(TU_DB[[NO3 Bin (2n1) (ppm)]:[NO3 Bin (2n1) (ppm)]],H$19,TU_DB[[Monitoring Site]:[Monitoring Site]],$B74)</f>
        <v>0</v>
      </c>
      <c r="I74" s="79">
        <f>COUNTIFS(TU_DB[[NO3 Bin (2n1) (ppm)]:[NO3 Bin (2n1) (ppm)]],I$19,TU_DB[[Monitoring Site]:[Monitoring Site]],$B74)</f>
        <v>0</v>
      </c>
      <c r="J74" s="257">
        <f t="shared" si="11"/>
        <v>7</v>
      </c>
      <c r="K74" s="268">
        <f t="shared" si="10"/>
        <v>4.0697674418604654E-2</v>
      </c>
      <c r="U74"/>
    </row>
    <row r="75" spans="2:21" x14ac:dyDescent="0.25">
      <c r="B75" s="153" t="s">
        <v>1329</v>
      </c>
      <c r="C75" s="378">
        <f>SUM(C76:C85)</f>
        <v>23</v>
      </c>
      <c r="D75" s="378">
        <f t="shared" ref="D75:I75" si="12">SUM(D76:D85)</f>
        <v>2</v>
      </c>
      <c r="E75" s="378">
        <f t="shared" si="12"/>
        <v>12</v>
      </c>
      <c r="F75" s="378">
        <f t="shared" si="12"/>
        <v>34</v>
      </c>
      <c r="G75" s="378">
        <f t="shared" si="12"/>
        <v>24</v>
      </c>
      <c r="H75" s="378">
        <f t="shared" si="12"/>
        <v>2</v>
      </c>
      <c r="I75" s="378">
        <f t="shared" si="12"/>
        <v>0</v>
      </c>
      <c r="J75" s="378">
        <f>SUM(J76:J83)</f>
        <v>97</v>
      </c>
      <c r="K75" s="377"/>
      <c r="U75"/>
    </row>
    <row r="76" spans="2:21" x14ac:dyDescent="0.25">
      <c r="B76" s="8" t="str">
        <f>Use!S135</f>
        <v>Belle Creek</v>
      </c>
      <c r="C76" s="257">
        <f>COUNTIFS(TU_DB[[NO3 Bin (2n1) (ppm)]:[NO3 Bin (2n1) (ppm)]],C$19,TU_DB[[Monitoring Site]:[Monitoring Site]],$B76)</f>
        <v>2</v>
      </c>
      <c r="D76" s="79">
        <f>COUNTIFS(TU_DB[[NO3 Bin (2n1) (ppm)]:[NO3 Bin (2n1) (ppm)]],D$19,TU_DB[[Monitoring Site]:[Monitoring Site]],$B76)</f>
        <v>0</v>
      </c>
      <c r="E76" s="79">
        <f>COUNTIFS(TU_DB[[NO3 Bin (2n1) (ppm)]:[NO3 Bin (2n1) (ppm)]],E$19,TU_DB[[Monitoring Site]:[Monitoring Site]],$B76)</f>
        <v>1</v>
      </c>
      <c r="F76" s="79">
        <f>COUNTIFS(TU_DB[[NO3 Bin (2n1) (ppm)]:[NO3 Bin (2n1) (ppm)]],F$19,TU_DB[[Monitoring Site]:[Monitoring Site]],$B76)</f>
        <v>1</v>
      </c>
      <c r="G76" s="79">
        <f>COUNTIFS(TU_DB[[NO3 Bin (2n1) (ppm)]:[NO3 Bin (2n1) (ppm)]],G$19,TU_DB[[Monitoring Site]:[Monitoring Site]],$B76)</f>
        <v>0</v>
      </c>
      <c r="H76" s="79">
        <f>COUNTIFS(TU_DB[[NO3 Bin (2n1) (ppm)]:[NO3 Bin (2n1) (ppm)]],H$19,TU_DB[[Monitoring Site]:[Monitoring Site]],$B76)</f>
        <v>0</v>
      </c>
      <c r="I76" s="79">
        <f>COUNTIFS(TU_DB[[NO3 Bin (2n1) (ppm)]:[NO3 Bin (2n1) (ppm)]],I$19,TU_DB[[Monitoring Site]:[Monitoring Site]],$B76)</f>
        <v>0</v>
      </c>
      <c r="J76" s="257">
        <f t="shared" ref="J76:J83" si="13">SUM(C76:I76)</f>
        <v>4</v>
      </c>
      <c r="K76" s="268">
        <f t="shared" ref="K76:K83" si="14">SUM(J76)/$J$75</f>
        <v>4.1237113402061855E-2</v>
      </c>
      <c r="U76"/>
    </row>
    <row r="77" spans="2:21" x14ac:dyDescent="0.25">
      <c r="B77" s="8" t="str">
        <f>Use!S136</f>
        <v>Hay Creek @ 320th St</v>
      </c>
      <c r="C77" s="257">
        <f>COUNTIFS(TU_DB[[NO3 Bin (2n1) (ppm)]:[NO3 Bin (2n1) (ppm)]],C$19,TU_DB[[Monitoring Site]:[Monitoring Site]],$B77)</f>
        <v>0</v>
      </c>
      <c r="D77" s="79">
        <f>COUNTIFS(TU_DB[[NO3 Bin (2n1) (ppm)]:[NO3 Bin (2n1) (ppm)]],D$19,TU_DB[[Monitoring Site]:[Monitoring Site]],$B77)</f>
        <v>0</v>
      </c>
      <c r="E77" s="79">
        <f>COUNTIFS(TU_DB[[NO3 Bin (2n1) (ppm)]:[NO3 Bin (2n1) (ppm)]],E$19,TU_DB[[Monitoring Site]:[Monitoring Site]],$B77)</f>
        <v>0</v>
      </c>
      <c r="F77" s="79">
        <f>COUNTIFS(TU_DB[[NO3 Bin (2n1) (ppm)]:[NO3 Bin (2n1) (ppm)]],F$19,TU_DB[[Monitoring Site]:[Monitoring Site]],$B77)</f>
        <v>0</v>
      </c>
      <c r="G77" s="79">
        <f>COUNTIFS(TU_DB[[NO3 Bin (2n1) (ppm)]:[NO3 Bin (2n1) (ppm)]],G$19,TU_DB[[Monitoring Site]:[Monitoring Site]],$B77)</f>
        <v>0</v>
      </c>
      <c r="H77" s="79">
        <f>COUNTIFS(TU_DB[[NO3 Bin (2n1) (ppm)]:[NO3 Bin (2n1) (ppm)]],H$19,TU_DB[[Monitoring Site]:[Monitoring Site]],$B77)</f>
        <v>0</v>
      </c>
      <c r="I77" s="79">
        <f>COUNTIFS(TU_DB[[NO3 Bin (2n1) (ppm)]:[NO3 Bin (2n1) (ppm)]],I$19,TU_DB[[Monitoring Site]:[Monitoring Site]],$B77)</f>
        <v>0</v>
      </c>
      <c r="J77" s="257">
        <f t="shared" si="13"/>
        <v>0</v>
      </c>
      <c r="K77" s="268">
        <f t="shared" si="14"/>
        <v>0</v>
      </c>
      <c r="U77"/>
    </row>
    <row r="78" spans="2:21" x14ac:dyDescent="0.25">
      <c r="B78" s="8" t="str">
        <f>Use!S137</f>
        <v>Hay Creek @ 325th St</v>
      </c>
      <c r="C78" s="257">
        <f>COUNTIFS(TU_DB[[NO3 Bin (2n1) (ppm)]:[NO3 Bin (2n1) (ppm)]],C$19,TU_DB[[Monitoring Site]:[Monitoring Site]],$B78)</f>
        <v>0</v>
      </c>
      <c r="D78" s="79">
        <f>COUNTIFS(TU_DB[[NO3 Bin (2n1) (ppm)]:[NO3 Bin (2n1) (ppm)]],D$19,TU_DB[[Monitoring Site]:[Monitoring Site]],$B78)</f>
        <v>0</v>
      </c>
      <c r="E78" s="79">
        <f>COUNTIFS(TU_DB[[NO3 Bin (2n1) (ppm)]:[NO3 Bin (2n1) (ppm)]],E$19,TU_DB[[Monitoring Site]:[Monitoring Site]],$B78)</f>
        <v>0</v>
      </c>
      <c r="F78" s="79">
        <f>COUNTIFS(TU_DB[[NO3 Bin (2n1) (ppm)]:[NO3 Bin (2n1) (ppm)]],F$19,TU_DB[[Monitoring Site]:[Monitoring Site]],$B78)</f>
        <v>0</v>
      </c>
      <c r="G78" s="79">
        <f>COUNTIFS(TU_DB[[NO3 Bin (2n1) (ppm)]:[NO3 Bin (2n1) (ppm)]],G$19,TU_DB[[Monitoring Site]:[Monitoring Site]],$B78)</f>
        <v>0</v>
      </c>
      <c r="H78" s="79">
        <f>COUNTIFS(TU_DB[[NO3 Bin (2n1) (ppm)]:[NO3 Bin (2n1) (ppm)]],H$19,TU_DB[[Monitoring Site]:[Monitoring Site]],$B78)</f>
        <v>0</v>
      </c>
      <c r="I78" s="79">
        <f>COUNTIFS(TU_DB[[NO3 Bin (2n1) (ppm)]:[NO3 Bin (2n1) (ppm)]],I$19,TU_DB[[Monitoring Site]:[Monitoring Site]],$B78)</f>
        <v>0</v>
      </c>
      <c r="J78" s="257">
        <f t="shared" si="13"/>
        <v>0</v>
      </c>
      <c r="K78" s="268">
        <f t="shared" si="14"/>
        <v>0</v>
      </c>
      <c r="U78"/>
    </row>
    <row r="79" spans="2:21" x14ac:dyDescent="0.25">
      <c r="B79" s="8" t="str">
        <f>Use!S138</f>
        <v>Eagle Creek</v>
      </c>
      <c r="C79" s="257">
        <f>COUNTIFS(TU_DB[[NO3 Bin (2n1) (ppm)]:[NO3 Bin (2n1) (ppm)]],C$19,TU_DB[[Monitoring Site]:[Monitoring Site]],$B79)</f>
        <v>0</v>
      </c>
      <c r="D79" s="79">
        <f>COUNTIFS(TU_DB[[NO3 Bin (2n1) (ppm)]:[NO3 Bin (2n1) (ppm)]],D$19,TU_DB[[Monitoring Site]:[Monitoring Site]],$B79)</f>
        <v>0</v>
      </c>
      <c r="E79" s="79">
        <f>COUNTIFS(TU_DB[[NO3 Bin (2n1) (ppm)]:[NO3 Bin (2n1) (ppm)]],E$19,TU_DB[[Monitoring Site]:[Monitoring Site]],$B79)</f>
        <v>0</v>
      </c>
      <c r="F79" s="79">
        <f>COUNTIFS(TU_DB[[NO3 Bin (2n1) (ppm)]:[NO3 Bin (2n1) (ppm)]],F$19,TU_DB[[Monitoring Site]:[Monitoring Site]],$B79)</f>
        <v>0</v>
      </c>
      <c r="G79" s="79">
        <f>COUNTIFS(TU_DB[[NO3 Bin (2n1) (ppm)]:[NO3 Bin (2n1) (ppm)]],G$19,TU_DB[[Monitoring Site]:[Monitoring Site]],$B79)</f>
        <v>0</v>
      </c>
      <c r="H79" s="79">
        <f>COUNTIFS(TU_DB[[NO3 Bin (2n1) (ppm)]:[NO3 Bin (2n1) (ppm)]],H$19,TU_DB[[Monitoring Site]:[Monitoring Site]],$B79)</f>
        <v>0</v>
      </c>
      <c r="I79" s="79">
        <f>COUNTIFS(TU_DB[[NO3 Bin (2n1) (ppm)]:[NO3 Bin (2n1) (ppm)]],I$19,TU_DB[[Monitoring Site]:[Monitoring Site]],$B79)</f>
        <v>0</v>
      </c>
      <c r="J79" s="257">
        <f t="shared" si="13"/>
        <v>0</v>
      </c>
      <c r="K79" s="268">
        <f t="shared" si="14"/>
        <v>0</v>
      </c>
      <c r="U79"/>
    </row>
    <row r="80" spans="2:21" x14ac:dyDescent="0.25">
      <c r="B80" s="8" t="str">
        <f>Use!S139</f>
        <v>Little Cannon River</v>
      </c>
      <c r="C80" s="257">
        <f>COUNTIFS(TU_DB[[NO3 Bin (2n1) (ppm)]:[NO3 Bin (2n1) (ppm)]],C$19,TU_DB[[Monitoring Site]:[Monitoring Site]],$B80)</f>
        <v>0</v>
      </c>
      <c r="D80" s="79">
        <f>COUNTIFS(TU_DB[[NO3 Bin (2n1) (ppm)]:[NO3 Bin (2n1) (ppm)]],D$19,TU_DB[[Monitoring Site]:[Monitoring Site]],$B80)</f>
        <v>0</v>
      </c>
      <c r="E80" s="79">
        <f>COUNTIFS(TU_DB[[NO3 Bin (2n1) (ppm)]:[NO3 Bin (2n1) (ppm)]],E$19,TU_DB[[Monitoring Site]:[Monitoring Site]],$B80)</f>
        <v>0</v>
      </c>
      <c r="F80" s="79">
        <f>COUNTIFS(TU_DB[[NO3 Bin (2n1) (ppm)]:[NO3 Bin (2n1) (ppm)]],F$19,TU_DB[[Monitoring Site]:[Monitoring Site]],$B80)</f>
        <v>0</v>
      </c>
      <c r="G80" s="79">
        <f>COUNTIFS(TU_DB[[NO3 Bin (2n1) (ppm)]:[NO3 Bin (2n1) (ppm)]],G$19,TU_DB[[Monitoring Site]:[Monitoring Site]],$B80)</f>
        <v>0</v>
      </c>
      <c r="H80" s="79">
        <f>COUNTIFS(TU_DB[[NO3 Bin (2n1) (ppm)]:[NO3 Bin (2n1) (ppm)]],H$19,TU_DB[[Monitoring Site]:[Monitoring Site]],$B80)</f>
        <v>0</v>
      </c>
      <c r="I80" s="79">
        <f>COUNTIFS(TU_DB[[NO3 Bin (2n1) (ppm)]:[NO3 Bin (2n1) (ppm)]],I$19,TU_DB[[Monitoring Site]:[Monitoring Site]],$B80)</f>
        <v>0</v>
      </c>
      <c r="J80" s="257">
        <f t="shared" si="13"/>
        <v>0</v>
      </c>
      <c r="K80" s="268">
        <f t="shared" si="14"/>
        <v>0</v>
      </c>
      <c r="U80"/>
    </row>
    <row r="81" spans="2:34" x14ac:dyDescent="0.25">
      <c r="B81" s="8" t="str">
        <f>Use!S140</f>
        <v>MOA Creek</v>
      </c>
      <c r="C81" s="257">
        <f>COUNTIFS(TU_DB[[NO3 Bin (2n1) (ppm)]:[NO3 Bin (2n1) (ppm)]],C$19,TU_DB[[Monitoring Site]:[Monitoring Site]],$B81)</f>
        <v>16</v>
      </c>
      <c r="D81" s="79">
        <f>COUNTIFS(TU_DB[[NO3 Bin (2n1) (ppm)]:[NO3 Bin (2n1) (ppm)]],D$19,TU_DB[[Monitoring Site]:[Monitoring Site]],$B81)</f>
        <v>2</v>
      </c>
      <c r="E81" s="79">
        <f>COUNTIFS(TU_DB[[NO3 Bin (2n1) (ppm)]:[NO3 Bin (2n1) (ppm)]],E$19,TU_DB[[Monitoring Site]:[Monitoring Site]],$B81)</f>
        <v>4</v>
      </c>
      <c r="F81" s="79">
        <f>COUNTIFS(TU_DB[[NO3 Bin (2n1) (ppm)]:[NO3 Bin (2n1) (ppm)]],F$19,TU_DB[[Monitoring Site]:[Monitoring Site]],$B81)</f>
        <v>0</v>
      </c>
      <c r="G81" s="79">
        <f>COUNTIFS(TU_DB[[NO3 Bin (2n1) (ppm)]:[NO3 Bin (2n1) (ppm)]],G$19,TU_DB[[Monitoring Site]:[Monitoring Site]],$B81)</f>
        <v>0</v>
      </c>
      <c r="H81" s="79">
        <f>COUNTIFS(TU_DB[[NO3 Bin (2n1) (ppm)]:[NO3 Bin (2n1) (ppm)]],H$19,TU_DB[[Monitoring Site]:[Monitoring Site]],$B81)</f>
        <v>0</v>
      </c>
      <c r="I81" s="79">
        <f>COUNTIFS(TU_DB[[NO3 Bin (2n1) (ppm)]:[NO3 Bin (2n1) (ppm)]],I$19,TU_DB[[Monitoring Site]:[Monitoring Site]],$B81)</f>
        <v>0</v>
      </c>
      <c r="J81" s="257">
        <f t="shared" si="13"/>
        <v>22</v>
      </c>
      <c r="K81" s="268">
        <f t="shared" si="14"/>
        <v>0.22680412371134021</v>
      </c>
      <c r="U81"/>
    </row>
    <row r="82" spans="2:34" x14ac:dyDescent="0.25">
      <c r="B82" s="8" t="str">
        <f>Use!S141</f>
        <v>Trout Brook</v>
      </c>
      <c r="C82" s="257">
        <f>COUNTIFS(TU_DB[[NO3 Bin (2n1) (ppm)]:[NO3 Bin (2n1) (ppm)]],C$19,TU_DB[[Monitoring Site]:[Monitoring Site]],$B82)</f>
        <v>2</v>
      </c>
      <c r="D82" s="79">
        <f>COUNTIFS(TU_DB[[NO3 Bin (2n1) (ppm)]:[NO3 Bin (2n1) (ppm)]],D$19,TU_DB[[Monitoring Site]:[Monitoring Site]],$B82)</f>
        <v>0</v>
      </c>
      <c r="E82" s="79">
        <f>COUNTIFS(TU_DB[[NO3 Bin (2n1) (ppm)]:[NO3 Bin (2n1) (ppm)]],E$19,TU_DB[[Monitoring Site]:[Monitoring Site]],$B82)</f>
        <v>0</v>
      </c>
      <c r="F82" s="79">
        <f>COUNTIFS(TU_DB[[NO3 Bin (2n1) (ppm)]:[NO3 Bin (2n1) (ppm)]],F$19,TU_DB[[Monitoring Site]:[Monitoring Site]],$B82)</f>
        <v>10</v>
      </c>
      <c r="G82" s="79">
        <f>COUNTIFS(TU_DB[[NO3 Bin (2n1) (ppm)]:[NO3 Bin (2n1) (ppm)]],G$19,TU_DB[[Monitoring Site]:[Monitoring Site]],$B82)</f>
        <v>22</v>
      </c>
      <c r="H82" s="79">
        <f>COUNTIFS(TU_DB[[NO3 Bin (2n1) (ppm)]:[NO3 Bin (2n1) (ppm)]],H$19,TU_DB[[Monitoring Site]:[Monitoring Site]],$B82)</f>
        <v>2</v>
      </c>
      <c r="I82" s="79">
        <f>COUNTIFS(TU_DB[[NO3 Bin (2n1) (ppm)]:[NO3 Bin (2n1) (ppm)]],I$19,TU_DB[[Monitoring Site]:[Monitoring Site]],$B82)</f>
        <v>0</v>
      </c>
      <c r="J82" s="257">
        <f t="shared" si="13"/>
        <v>36</v>
      </c>
      <c r="K82" s="268">
        <f t="shared" si="14"/>
        <v>0.37113402061855671</v>
      </c>
      <c r="U82"/>
    </row>
    <row r="83" spans="2:34" ht="15.75" thickBot="1" x14ac:dyDescent="0.3">
      <c r="B83" s="379" t="str">
        <f>Use!S142</f>
        <v>Vermillion River, South Branch</v>
      </c>
      <c r="C83" s="258">
        <f>COUNTIFS(TU_DB[[NO3 Bin (2n1) (ppm)]:[NO3 Bin (2n1) (ppm)]],C$19,TU_DB[[Monitoring Site]:[Monitoring Site]],$B83)</f>
        <v>3</v>
      </c>
      <c r="D83" s="255">
        <f>COUNTIFS(TU_DB[[NO3 Bin (2n1) (ppm)]:[NO3 Bin (2n1) (ppm)]],D$19,TU_DB[[Monitoring Site]:[Monitoring Site]],$B83)</f>
        <v>0</v>
      </c>
      <c r="E83" s="255">
        <f>COUNTIFS(TU_DB[[NO3 Bin (2n1) (ppm)]:[NO3 Bin (2n1) (ppm)]],E$19,TU_DB[[Monitoring Site]:[Monitoring Site]],$B83)</f>
        <v>7</v>
      </c>
      <c r="F83" s="255">
        <f>COUNTIFS(TU_DB[[NO3 Bin (2n1) (ppm)]:[NO3 Bin (2n1) (ppm)]],F$19,TU_DB[[Monitoring Site]:[Monitoring Site]],$B83)</f>
        <v>23</v>
      </c>
      <c r="G83" s="255">
        <f>COUNTIFS(TU_DB[[NO3 Bin (2n1) (ppm)]:[NO3 Bin (2n1) (ppm)]],G$19,TU_DB[[Monitoring Site]:[Monitoring Site]],$B83)</f>
        <v>2</v>
      </c>
      <c r="H83" s="255">
        <f>COUNTIFS(TU_DB[[NO3 Bin (2n1) (ppm)]:[NO3 Bin (2n1) (ppm)]],H$19,TU_DB[[Monitoring Site]:[Monitoring Site]],$B83)</f>
        <v>0</v>
      </c>
      <c r="I83" s="255">
        <f>COUNTIFS(TU_DB[[NO3 Bin (2n1) (ppm)]:[NO3 Bin (2n1) (ppm)]],I$19,TU_DB[[Monitoring Site]:[Monitoring Site]],$B83)</f>
        <v>0</v>
      </c>
      <c r="J83" s="258">
        <f t="shared" si="13"/>
        <v>35</v>
      </c>
      <c r="K83" s="380">
        <f t="shared" si="14"/>
        <v>0.36082474226804123</v>
      </c>
      <c r="U83"/>
    </row>
    <row r="84" spans="2:34" x14ac:dyDescent="0.25">
      <c r="U84"/>
      <c r="AF84" s="1"/>
      <c r="AG84" s="1"/>
      <c r="AH84" s="1"/>
    </row>
    <row r="85" spans="2:34" x14ac:dyDescent="0.25">
      <c r="O85" s="331" t="s">
        <v>4168</v>
      </c>
      <c r="P85" s="318">
        <v>0</v>
      </c>
      <c r="Q85" s="318">
        <v>1</v>
      </c>
      <c r="R85" s="318">
        <v>2</v>
      </c>
      <c r="S85" s="318">
        <v>5</v>
      </c>
      <c r="T85" s="318">
        <v>10</v>
      </c>
      <c r="U85" s="318">
        <v>20</v>
      </c>
      <c r="V85" s="318">
        <v>50</v>
      </c>
    </row>
    <row r="86" spans="2:34" x14ac:dyDescent="0.25">
      <c r="O86" s="332" t="str">
        <f t="shared" ref="O86" si="15">INDEX(B64:B82,MATCH($O$62,$B$64:$B$82,0))</f>
        <v>Hay Creek @ 320th St</v>
      </c>
      <c r="P86" s="318">
        <f>INDEX(C64:C83,MATCH($O$62,$B$64:$B$83,0))</f>
        <v>0</v>
      </c>
      <c r="Q86" s="318">
        <f t="shared" ref="Q86:V86" si="16">INDEX(D64:D83,MATCH($O$62,$B$64:$B$83,0))</f>
        <v>0</v>
      </c>
      <c r="R86" s="318">
        <f t="shared" si="16"/>
        <v>0</v>
      </c>
      <c r="S86" s="318">
        <f t="shared" si="16"/>
        <v>0</v>
      </c>
      <c r="T86" s="318">
        <f t="shared" si="16"/>
        <v>0</v>
      </c>
      <c r="U86" s="318">
        <f t="shared" si="16"/>
        <v>0</v>
      </c>
      <c r="V86" s="318">
        <f t="shared" si="16"/>
        <v>0</v>
      </c>
    </row>
    <row r="87" spans="2:34" x14ac:dyDescent="0.25">
      <c r="U87"/>
    </row>
    <row r="88" spans="2:34" x14ac:dyDescent="0.25">
      <c r="U88"/>
    </row>
    <row r="89" spans="2:34" x14ac:dyDescent="0.25">
      <c r="U89"/>
    </row>
    <row r="90" spans="2:34" x14ac:dyDescent="0.25">
      <c r="U90"/>
    </row>
    <row r="91" spans="2:34" x14ac:dyDescent="0.25">
      <c r="U91"/>
    </row>
    <row r="92" spans="2:34" x14ac:dyDescent="0.25">
      <c r="U92"/>
    </row>
    <row r="93" spans="2:34" x14ac:dyDescent="0.25">
      <c r="U93"/>
    </row>
    <row r="94" spans="2:34" x14ac:dyDescent="0.25">
      <c r="C94"/>
      <c r="D94"/>
      <c r="E94"/>
      <c r="U94"/>
      <c r="AA94"/>
      <c r="AB94"/>
    </row>
    <row r="95" spans="2:34" x14ac:dyDescent="0.25">
      <c r="C95"/>
      <c r="D95"/>
      <c r="E95"/>
      <c r="S95" s="1"/>
      <c r="T95" s="15"/>
      <c r="U95"/>
      <c r="AA95"/>
      <c r="AB95"/>
    </row>
    <row r="96" spans="2:34" x14ac:dyDescent="0.25">
      <c r="C96"/>
      <c r="D96"/>
      <c r="E96"/>
      <c r="K96" s="1"/>
      <c r="S96" s="1"/>
      <c r="T96" s="15"/>
      <c r="U96"/>
      <c r="AA96"/>
      <c r="AB96"/>
    </row>
    <row r="97" spans="3:28" x14ac:dyDescent="0.25">
      <c r="C97"/>
      <c r="D97"/>
      <c r="E97"/>
      <c r="K97" s="1"/>
      <c r="S97" s="1"/>
      <c r="T97" s="15"/>
      <c r="U97"/>
      <c r="AA97"/>
      <c r="AB97"/>
    </row>
    <row r="98" spans="3:28" x14ac:dyDescent="0.25">
      <c r="C98"/>
      <c r="D98"/>
      <c r="E98"/>
      <c r="K98" s="1"/>
      <c r="S98" s="1"/>
      <c r="T98" s="15"/>
      <c r="U98"/>
      <c r="AA98"/>
      <c r="AB98"/>
    </row>
    <row r="99" spans="3:28" customFormat="1" x14ac:dyDescent="0.25">
      <c r="S99" s="1"/>
      <c r="T99" s="15"/>
    </row>
    <row r="100" spans="3:28" customFormat="1" x14ac:dyDescent="0.25">
      <c r="S100" s="1"/>
      <c r="T100" s="15"/>
    </row>
    <row r="101" spans="3:28" x14ac:dyDescent="0.25">
      <c r="C101"/>
      <c r="D101"/>
      <c r="E101"/>
      <c r="M101" s="1"/>
      <c r="S101" s="1"/>
      <c r="T101" s="15"/>
      <c r="U101"/>
      <c r="AA101"/>
      <c r="AB101"/>
    </row>
    <row r="102" spans="3:28" x14ac:dyDescent="0.25">
      <c r="C102"/>
      <c r="D102"/>
      <c r="E102"/>
      <c r="M102" s="1"/>
      <c r="S102" s="1"/>
      <c r="T102" s="15"/>
      <c r="U102"/>
      <c r="AA102"/>
      <c r="AB102"/>
    </row>
    <row r="103" spans="3:28" x14ac:dyDescent="0.25">
      <c r="C103"/>
      <c r="D103"/>
      <c r="E103"/>
      <c r="M103" s="1"/>
      <c r="S103" s="1"/>
      <c r="T103" s="15"/>
      <c r="U103"/>
      <c r="AA103"/>
      <c r="AB103"/>
    </row>
    <row r="104" spans="3:28" x14ac:dyDescent="0.25">
      <c r="C104"/>
      <c r="D104"/>
      <c r="E104"/>
      <c r="M104" s="1"/>
      <c r="S104" s="1"/>
      <c r="T104" s="15"/>
      <c r="U104"/>
      <c r="AA104"/>
      <c r="AB104"/>
    </row>
    <row r="105" spans="3:28" x14ac:dyDescent="0.25">
      <c r="C105"/>
      <c r="D105"/>
      <c r="E105"/>
      <c r="M105" s="1"/>
      <c r="S105" s="1"/>
      <c r="T105" s="15"/>
      <c r="U105"/>
      <c r="AA105"/>
      <c r="AB105"/>
    </row>
    <row r="106" spans="3:28" x14ac:dyDescent="0.25">
      <c r="C106"/>
      <c r="D106"/>
      <c r="E106"/>
      <c r="M106" s="1"/>
      <c r="S106" s="1"/>
      <c r="T106" s="15"/>
      <c r="U106"/>
      <c r="AA106"/>
      <c r="AB106"/>
    </row>
    <row r="107" spans="3:28" x14ac:dyDescent="0.25">
      <c r="C107"/>
      <c r="D107"/>
      <c r="E107"/>
      <c r="M107" s="1"/>
      <c r="S107" s="1"/>
      <c r="T107" s="15"/>
      <c r="U107"/>
      <c r="AA107"/>
      <c r="AB107"/>
    </row>
    <row r="108" spans="3:28" x14ac:dyDescent="0.25">
      <c r="C108"/>
      <c r="D108"/>
      <c r="E108"/>
      <c r="M108" s="1"/>
      <c r="S108" s="1"/>
      <c r="T108" s="15"/>
      <c r="U108"/>
      <c r="AA108"/>
      <c r="AB108"/>
    </row>
    <row r="109" spans="3:28" x14ac:dyDescent="0.25">
      <c r="C109"/>
      <c r="D109"/>
      <c r="E109"/>
      <c r="M109" s="1"/>
      <c r="S109" s="1"/>
      <c r="T109" s="15"/>
      <c r="U109"/>
      <c r="AA109"/>
      <c r="AB109"/>
    </row>
    <row r="110" spans="3:28" x14ac:dyDescent="0.25">
      <c r="C110"/>
      <c r="D110"/>
      <c r="E110"/>
      <c r="M110" s="1"/>
      <c r="S110" s="1"/>
      <c r="T110" s="15"/>
      <c r="U110"/>
      <c r="AA110"/>
      <c r="AB110"/>
    </row>
    <row r="111" spans="3:28" x14ac:dyDescent="0.25">
      <c r="C111"/>
      <c r="D111"/>
      <c r="E111"/>
      <c r="M111" s="1"/>
      <c r="S111" s="1"/>
      <c r="T111" s="15"/>
      <c r="U111"/>
      <c r="AA111"/>
      <c r="AB111"/>
    </row>
    <row r="112" spans="3:28" x14ac:dyDescent="0.25">
      <c r="C112"/>
      <c r="D112"/>
      <c r="E112"/>
      <c r="M112" s="1"/>
      <c r="S112" s="1"/>
      <c r="T112" s="15"/>
      <c r="U112"/>
      <c r="AA112"/>
      <c r="AB112"/>
    </row>
    <row r="113" spans="3:28" x14ac:dyDescent="0.25">
      <c r="C113"/>
      <c r="D113"/>
      <c r="E113"/>
      <c r="M113" s="1"/>
      <c r="S113" s="1"/>
      <c r="T113" s="15"/>
      <c r="U113"/>
      <c r="AA113"/>
      <c r="AB113"/>
    </row>
    <row r="114" spans="3:28" x14ac:dyDescent="0.25">
      <c r="C114"/>
      <c r="D114"/>
      <c r="E114"/>
      <c r="M114" s="1"/>
      <c r="S114" s="1"/>
      <c r="T114" s="15"/>
      <c r="U114"/>
      <c r="AA114"/>
      <c r="AB114"/>
    </row>
    <row r="115" spans="3:28" x14ac:dyDescent="0.25">
      <c r="C115"/>
      <c r="D115"/>
      <c r="E115"/>
      <c r="M115" s="1"/>
      <c r="S115" s="1"/>
      <c r="T115" s="15"/>
      <c r="U115"/>
      <c r="AA115"/>
      <c r="AB115"/>
    </row>
    <row r="116" spans="3:28" x14ac:dyDescent="0.25">
      <c r="C116"/>
      <c r="D116"/>
      <c r="E116"/>
      <c r="M116" s="1"/>
      <c r="S116" s="1"/>
      <c r="T116" s="15"/>
      <c r="U116"/>
      <c r="AA116"/>
      <c r="AB116"/>
    </row>
    <row r="117" spans="3:28" x14ac:dyDescent="0.25">
      <c r="C117"/>
      <c r="D117"/>
      <c r="E117"/>
      <c r="M117" s="1"/>
      <c r="S117" s="1"/>
      <c r="T117" s="15"/>
      <c r="U117"/>
      <c r="AA117"/>
      <c r="AB117"/>
    </row>
    <row r="118" spans="3:28" x14ac:dyDescent="0.25">
      <c r="C118"/>
      <c r="D118"/>
      <c r="E118"/>
      <c r="M118" s="1"/>
      <c r="S118" s="1"/>
      <c r="T118" s="15"/>
      <c r="U118"/>
      <c r="AA118"/>
      <c r="AB118"/>
    </row>
    <row r="119" spans="3:28" x14ac:dyDescent="0.25">
      <c r="C119"/>
      <c r="D119"/>
      <c r="E119"/>
      <c r="M119" s="1"/>
      <c r="S119" s="1"/>
      <c r="T119" s="15"/>
      <c r="U119"/>
      <c r="AA119"/>
      <c r="AB119"/>
    </row>
    <row r="120" spans="3:28" x14ac:dyDescent="0.25">
      <c r="C120"/>
      <c r="D120"/>
      <c r="E120"/>
      <c r="M120" s="1"/>
      <c r="S120" s="1"/>
      <c r="T120" s="15"/>
      <c r="U120"/>
      <c r="AA120"/>
      <c r="AB120"/>
    </row>
    <row r="121" spans="3:28" x14ac:dyDescent="0.25">
      <c r="C121"/>
      <c r="D121"/>
      <c r="E121"/>
      <c r="M121" s="1"/>
      <c r="S121" s="1"/>
      <c r="T121" s="15"/>
      <c r="U121"/>
      <c r="AA121"/>
      <c r="AB121"/>
    </row>
    <row r="122" spans="3:28" x14ac:dyDescent="0.25">
      <c r="C122"/>
      <c r="D122"/>
      <c r="E122"/>
      <c r="M122" s="1"/>
      <c r="S122" s="1"/>
      <c r="T122" s="15"/>
      <c r="U122"/>
      <c r="AA122"/>
      <c r="AB122"/>
    </row>
    <row r="123" spans="3:28" x14ac:dyDescent="0.25">
      <c r="C123"/>
      <c r="D123"/>
      <c r="E123"/>
      <c r="M123" s="1"/>
      <c r="S123" s="1"/>
      <c r="T123" s="15"/>
      <c r="U123"/>
      <c r="AA123"/>
      <c r="AB123"/>
    </row>
    <row r="124" spans="3:28" x14ac:dyDescent="0.25">
      <c r="C124"/>
      <c r="D124"/>
      <c r="E124"/>
      <c r="M124" s="1"/>
      <c r="S124" s="1"/>
      <c r="T124" s="15"/>
      <c r="U124"/>
      <c r="AA124"/>
      <c r="AB124"/>
    </row>
    <row r="125" spans="3:28" x14ac:dyDescent="0.25">
      <c r="C125"/>
      <c r="D125"/>
      <c r="E125"/>
      <c r="M125" s="1"/>
      <c r="S125" s="1"/>
      <c r="T125" s="15"/>
      <c r="U125"/>
      <c r="AA125"/>
      <c r="AB125"/>
    </row>
    <row r="126" spans="3:28" x14ac:dyDescent="0.25">
      <c r="C126"/>
      <c r="D126"/>
      <c r="E126"/>
      <c r="M126" s="1"/>
      <c r="S126" s="1"/>
      <c r="T126" s="15"/>
      <c r="U126"/>
      <c r="AA126"/>
      <c r="AB126"/>
    </row>
  </sheetData>
  <mergeCells count="3">
    <mergeCell ref="C2:D2"/>
    <mergeCell ref="L18:L19"/>
    <mergeCell ref="O62:R62"/>
  </mergeCells>
  <dataValidations count="1">
    <dataValidation type="list" allowBlank="1" showInputMessage="1" showErrorMessage="1" sqref="O62:R62" xr:uid="{265CAEB8-BF94-40CB-85D7-AF47AB4610F8}">
      <formula1>$B$64:$B$83</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B6288-CE58-4F2C-9EE1-B7726C66CE93}">
  <sheetPr codeName="Sheet22"/>
  <dimension ref="A1:AW126"/>
  <sheetViews>
    <sheetView showGridLines="0" topLeftCell="A46" zoomScale="70" zoomScaleNormal="70" workbookViewId="0">
      <selection activeCell="AC58" sqref="AC58"/>
    </sheetView>
  </sheetViews>
  <sheetFormatPr defaultRowHeight="15" x14ac:dyDescent="0.25"/>
  <cols>
    <col min="1" max="1" width="2.28515625" customWidth="1"/>
    <col min="2" max="2" width="30.7109375" customWidth="1"/>
    <col min="3" max="3" width="15" style="1" customWidth="1"/>
    <col min="4" max="5" width="8.42578125" style="1" customWidth="1"/>
    <col min="6" max="9" width="8.42578125" customWidth="1"/>
    <col min="10" max="10" width="7.140625" customWidth="1"/>
    <col min="11" max="11" width="8.28515625" customWidth="1"/>
    <col min="12" max="12" width="8.42578125" customWidth="1"/>
    <col min="13" max="20" width="8.7109375" customWidth="1"/>
    <col min="21" max="21" width="8.7109375" style="1" customWidth="1"/>
    <col min="22" max="23" width="8.7109375" customWidth="1"/>
    <col min="24" max="26" width="12.140625" customWidth="1"/>
    <col min="27" max="27" width="12.140625" style="1" customWidth="1"/>
    <col min="28" max="28" width="12.140625" style="15" customWidth="1"/>
    <col min="29" max="36" width="12.140625" customWidth="1"/>
    <col min="37" max="38" width="3.85546875" bestFit="1" customWidth="1"/>
    <col min="39" max="39" width="2" bestFit="1" customWidth="1"/>
    <col min="40" max="40" width="30.5703125" bestFit="1" customWidth="1"/>
    <col min="41" max="41" width="8.42578125" bestFit="1" customWidth="1"/>
    <col min="42" max="43" width="2.85546875" bestFit="1" customWidth="1"/>
    <col min="44" max="46" width="3.85546875" bestFit="1" customWidth="1"/>
    <col min="47" max="47" width="2.85546875" bestFit="1" customWidth="1"/>
    <col min="48" max="48" width="11" bestFit="1" customWidth="1"/>
    <col min="49" max="49" width="5.7109375" bestFit="1" customWidth="1"/>
  </cols>
  <sheetData>
    <row r="1" spans="1:33" ht="20.65" customHeight="1" x14ac:dyDescent="0.45">
      <c r="A1" s="4" t="s">
        <v>1271</v>
      </c>
      <c r="B1" s="1"/>
    </row>
    <row r="2" spans="1:33" x14ac:dyDescent="0.25">
      <c r="B2" s="13" t="s">
        <v>75</v>
      </c>
      <c r="C2" s="557" t="s">
        <v>2366</v>
      </c>
      <c r="D2" s="557"/>
    </row>
    <row r="3" spans="1:33" x14ac:dyDescent="0.25">
      <c r="B3" s="13" t="s">
        <v>0</v>
      </c>
      <c r="C3" s="273">
        <f>TUDB!B3</f>
        <v>45580</v>
      </c>
    </row>
    <row r="4" spans="1:33" x14ac:dyDescent="0.25">
      <c r="B4" s="12"/>
    </row>
    <row r="5" spans="1:33" ht="30.4" customHeight="1" thickBot="1" x14ac:dyDescent="0.3">
      <c r="B5" s="281" t="s">
        <v>576</v>
      </c>
      <c r="AA5"/>
      <c r="AB5"/>
    </row>
    <row r="6" spans="1:33" s="7" customFormat="1" ht="30.4" customHeight="1" thickTop="1" x14ac:dyDescent="0.25">
      <c r="B6" s="112" t="s">
        <v>4182</v>
      </c>
      <c r="C6" s="112" t="s">
        <v>134</v>
      </c>
      <c r="D6" s="112" t="s">
        <v>963</v>
      </c>
      <c r="E6" s="112" t="s">
        <v>964</v>
      </c>
      <c r="F6" s="334">
        <v>2019</v>
      </c>
      <c r="G6" s="112">
        <v>2020</v>
      </c>
      <c r="H6" s="112">
        <v>2021</v>
      </c>
      <c r="I6" s="112">
        <v>2022</v>
      </c>
      <c r="J6" s="112">
        <v>2023</v>
      </c>
      <c r="K6" s="112">
        <v>2024</v>
      </c>
      <c r="U6" s="6"/>
      <c r="Z6"/>
      <c r="AA6"/>
      <c r="AB6" s="23"/>
      <c r="AC6" s="23"/>
      <c r="AD6" s="23"/>
      <c r="AE6" s="23"/>
      <c r="AF6" s="23"/>
      <c r="AG6" s="23"/>
    </row>
    <row r="7" spans="1:33" x14ac:dyDescent="0.25">
      <c r="B7" s="79">
        <v>0</v>
      </c>
      <c r="C7" s="79">
        <f>COUNTIFS(TU_DB[Orthophosphate (ppb)],B7)</f>
        <v>1155</v>
      </c>
      <c r="D7" s="250">
        <f t="shared" ref="D7:D13" si="0">C7/$C$14</f>
        <v>0.62432432432432428</v>
      </c>
      <c r="E7" s="250">
        <f>D7</f>
        <v>0.62432432432432428</v>
      </c>
      <c r="F7" s="102">
        <f>COUNTIFS(TU_DB[[Orthophosphate (ppb)]:[Orthophosphate (ppb)]],$B7,TU_DB[[Year]:[Year]],F$6)</f>
        <v>26</v>
      </c>
      <c r="G7" s="79">
        <f>COUNTIFS(TU_DB[[Orthophosphate (ppb)]:[Orthophosphate (ppb)]],$B7,TU_DB[[Year]:[Year]],G$6)</f>
        <v>61</v>
      </c>
      <c r="H7" s="79">
        <f>COUNTIFS(TU_DB[[Orthophosphate (ppb)]:[Orthophosphate (ppb)]],$B7,TU_DB[[Year]:[Year]],H$6)</f>
        <v>206</v>
      </c>
      <c r="I7" s="79">
        <f>COUNTIFS(TU_DB[[Orthophosphate (ppb)]:[Orthophosphate (ppb)]],$B7,TU_DB[[Year]:[Year]],I$6)</f>
        <v>242</v>
      </c>
      <c r="J7" s="79">
        <f>COUNTIFS(TU_DB[[Orthophosphate (ppb)]:[Orthophosphate (ppb)]],$B7,TU_DB[[Year]:[Year]],J$6)</f>
        <v>394</v>
      </c>
      <c r="K7" s="79">
        <f>COUNTIFS(TU_DB[[Orthophosphate (ppb)]:[Orthophosphate (ppb)]],$B7,TU_DB[[Year]:[Year]],K$6)</f>
        <v>226</v>
      </c>
      <c r="AA7"/>
      <c r="AB7"/>
    </row>
    <row r="8" spans="1:33" x14ac:dyDescent="0.25">
      <c r="B8" s="79">
        <v>100</v>
      </c>
      <c r="C8" s="79">
        <f>COUNTIFS(TU_DB[Orthophosphate (ppb)],B8)</f>
        <v>480</v>
      </c>
      <c r="D8" s="250">
        <f t="shared" si="0"/>
        <v>0.25945945945945947</v>
      </c>
      <c r="E8" s="250">
        <f t="shared" ref="E8:E13" si="1">D8+E7</f>
        <v>0.88378378378378375</v>
      </c>
      <c r="F8" s="102">
        <f>COUNTIFS(TU_DB[[Orthophosphate (ppb)]:[Orthophosphate (ppb)]],$B8,TU_DB[[Year]:[Year]],F$6)</f>
        <v>10</v>
      </c>
      <c r="G8" s="79">
        <f>COUNTIFS(TU_DB[[Orthophosphate (ppb)]:[Orthophosphate (ppb)]],$B8,TU_DB[[Year]:[Year]],G$6)</f>
        <v>17</v>
      </c>
      <c r="H8" s="79">
        <f>COUNTIFS(TU_DB[[Orthophosphate (ppb)]:[Orthophosphate (ppb)]],$B8,TU_DB[[Year]:[Year]],H$6)</f>
        <v>71</v>
      </c>
      <c r="I8" s="79">
        <f>COUNTIFS(TU_DB[[Orthophosphate (ppb)]:[Orthophosphate (ppb)]],$B8,TU_DB[[Year]:[Year]],I$6)</f>
        <v>101</v>
      </c>
      <c r="J8" s="79">
        <f>COUNTIFS(TU_DB[[Orthophosphate (ppb)]:[Orthophosphate (ppb)]],$B8,TU_DB[[Year]:[Year]],J$6)</f>
        <v>177</v>
      </c>
      <c r="K8" s="79">
        <f>COUNTIFS(TU_DB[[Orthophosphate (ppb)]:[Orthophosphate (ppb)]],$B8,TU_DB[[Year]:[Year]],K$6)</f>
        <v>104</v>
      </c>
      <c r="AA8"/>
      <c r="AB8"/>
    </row>
    <row r="9" spans="1:33" x14ac:dyDescent="0.25">
      <c r="B9" s="79">
        <v>200</v>
      </c>
      <c r="C9" s="79">
        <f>COUNTIFS(TU_DB[Orthophosphate (ppb)],B9)</f>
        <v>148</v>
      </c>
      <c r="D9" s="250">
        <f t="shared" si="0"/>
        <v>0.08</v>
      </c>
      <c r="E9" s="250">
        <f t="shared" si="1"/>
        <v>0.96378378378378371</v>
      </c>
      <c r="F9" s="102">
        <f>COUNTIFS(TU_DB[[Orthophosphate (ppb)]:[Orthophosphate (ppb)]],$B9,TU_DB[[Year]:[Year]],F$6)</f>
        <v>3</v>
      </c>
      <c r="G9" s="79">
        <f>COUNTIFS(TU_DB[[Orthophosphate (ppb)]:[Orthophosphate (ppb)]],$B9,TU_DB[[Year]:[Year]],G$6)</f>
        <v>4</v>
      </c>
      <c r="H9" s="79">
        <f>COUNTIFS(TU_DB[[Orthophosphate (ppb)]:[Orthophosphate (ppb)]],$B9,TU_DB[[Year]:[Year]],H$6)</f>
        <v>27</v>
      </c>
      <c r="I9" s="79">
        <f>COUNTIFS(TU_DB[[Orthophosphate (ppb)]:[Orthophosphate (ppb)]],$B9,TU_DB[[Year]:[Year]],I$6)</f>
        <v>27</v>
      </c>
      <c r="J9" s="79">
        <f>COUNTIFS(TU_DB[[Orthophosphate (ppb)]:[Orthophosphate (ppb)]],$B9,TU_DB[[Year]:[Year]],J$6)</f>
        <v>65</v>
      </c>
      <c r="K9" s="79">
        <f>COUNTIFS(TU_DB[[Orthophosphate (ppb)]:[Orthophosphate (ppb)]],$B9,TU_DB[[Year]:[Year]],K$6)</f>
        <v>22</v>
      </c>
      <c r="AA9"/>
      <c r="AB9"/>
    </row>
    <row r="10" spans="1:33" x14ac:dyDescent="0.25">
      <c r="B10" s="79">
        <v>300</v>
      </c>
      <c r="C10" s="79">
        <f>COUNTIFS(TU_DB[Orthophosphate (ppb)],B10)</f>
        <v>42</v>
      </c>
      <c r="D10" s="250">
        <f t="shared" si="0"/>
        <v>2.2702702702702703E-2</v>
      </c>
      <c r="E10" s="250">
        <f t="shared" si="1"/>
        <v>0.9864864864864864</v>
      </c>
      <c r="F10" s="102">
        <f>COUNTIFS(TU_DB[[Orthophosphate (ppb)]:[Orthophosphate (ppb)]],$B10,TU_DB[[Year]:[Year]],F$6)</f>
        <v>1</v>
      </c>
      <c r="G10" s="79">
        <f>COUNTIFS(TU_DB[[Orthophosphate (ppb)]:[Orthophosphate (ppb)]],$B10,TU_DB[[Year]:[Year]],G$6)</f>
        <v>2</v>
      </c>
      <c r="H10" s="79">
        <f>COUNTIFS(TU_DB[[Orthophosphate (ppb)]:[Orthophosphate (ppb)]],$B10,TU_DB[[Year]:[Year]],H$6)</f>
        <v>7</v>
      </c>
      <c r="I10" s="79">
        <f>COUNTIFS(TU_DB[[Orthophosphate (ppb)]:[Orthophosphate (ppb)]],$B10,TU_DB[[Year]:[Year]],I$6)</f>
        <v>1</v>
      </c>
      <c r="J10" s="79">
        <f>COUNTIFS(TU_DB[[Orthophosphate (ppb)]:[Orthophosphate (ppb)]],$B10,TU_DB[[Year]:[Year]],J$6)</f>
        <v>26</v>
      </c>
      <c r="K10" s="79">
        <f>COUNTIFS(TU_DB[[Orthophosphate (ppb)]:[Orthophosphate (ppb)]],$B10,TU_DB[[Year]:[Year]],K$6)</f>
        <v>5</v>
      </c>
      <c r="AA10"/>
      <c r="AB10"/>
    </row>
    <row r="11" spans="1:33" x14ac:dyDescent="0.25">
      <c r="B11" s="79">
        <v>500</v>
      </c>
      <c r="C11" s="79">
        <f>COUNTIFS(TU_DB[Orthophosphate (ppb)],B11)</f>
        <v>16</v>
      </c>
      <c r="D11" s="250">
        <f t="shared" si="0"/>
        <v>8.6486486486486488E-3</v>
      </c>
      <c r="E11" s="250">
        <f t="shared" si="1"/>
        <v>0.99513513513513507</v>
      </c>
      <c r="F11" s="102">
        <f>COUNTIFS(TU_DB[[Orthophosphate (ppb)]:[Orthophosphate (ppb)]],$B11,TU_DB[[Year]:[Year]],F$6)</f>
        <v>0</v>
      </c>
      <c r="G11" s="79">
        <f>COUNTIFS(TU_DB[[Orthophosphate (ppb)]:[Orthophosphate (ppb)]],$B11,TU_DB[[Year]:[Year]],G$6)</f>
        <v>0</v>
      </c>
      <c r="H11" s="79">
        <f>COUNTIFS(TU_DB[[Orthophosphate (ppb)]:[Orthophosphate (ppb)]],$B11,TU_DB[[Year]:[Year]],H$6)</f>
        <v>5</v>
      </c>
      <c r="I11" s="79">
        <f>COUNTIFS(TU_DB[[Orthophosphate (ppb)]:[Orthophosphate (ppb)]],$B11,TU_DB[[Year]:[Year]],I$6)</f>
        <v>3</v>
      </c>
      <c r="J11" s="79">
        <f>COUNTIFS(TU_DB[[Orthophosphate (ppb)]:[Orthophosphate (ppb)]],$B11,TU_DB[[Year]:[Year]],J$6)</f>
        <v>7</v>
      </c>
      <c r="K11" s="79">
        <f>COUNTIFS(TU_DB[[Orthophosphate (ppb)]:[Orthophosphate (ppb)]],$B11,TU_DB[[Year]:[Year]],K$6)</f>
        <v>1</v>
      </c>
      <c r="AA11"/>
      <c r="AB11"/>
    </row>
    <row r="12" spans="1:33" x14ac:dyDescent="0.25">
      <c r="B12" s="79">
        <v>1000</v>
      </c>
      <c r="C12" s="79">
        <f>COUNTIFS(TU_DB[Orthophosphate (ppb)],B12)</f>
        <v>4</v>
      </c>
      <c r="D12" s="250">
        <f t="shared" si="0"/>
        <v>2.1621621621621622E-3</v>
      </c>
      <c r="E12" s="250">
        <f t="shared" si="1"/>
        <v>0.99729729729729721</v>
      </c>
      <c r="F12" s="102">
        <f>COUNTIFS(TU_DB[[Orthophosphate (ppb)]:[Orthophosphate (ppb)]],$B12,TU_DB[[Year]:[Year]],F$6)</f>
        <v>0</v>
      </c>
      <c r="G12" s="79">
        <f>COUNTIFS(TU_DB[[Orthophosphate (ppb)]:[Orthophosphate (ppb)]],$B12,TU_DB[[Year]:[Year]],G$6)</f>
        <v>0</v>
      </c>
      <c r="H12" s="79">
        <f>COUNTIFS(TU_DB[[Orthophosphate (ppb)]:[Orthophosphate (ppb)]],$B12,TU_DB[[Year]:[Year]],H$6)</f>
        <v>4</v>
      </c>
      <c r="I12" s="79">
        <f>COUNTIFS(TU_DB[[Orthophosphate (ppb)]:[Orthophosphate (ppb)]],$B12,TU_DB[[Year]:[Year]],I$6)</f>
        <v>0</v>
      </c>
      <c r="J12" s="79">
        <f>COUNTIFS(TU_DB[[Orthophosphate (ppb)]:[Orthophosphate (ppb)]],$B12,TU_DB[[Year]:[Year]],J$6)</f>
        <v>0</v>
      </c>
      <c r="K12" s="79">
        <f>COUNTIFS(TU_DB[[Orthophosphate (ppb)]:[Orthophosphate (ppb)]],$B12,TU_DB[[Year]:[Year]],K$6)</f>
        <v>0</v>
      </c>
      <c r="AA12"/>
      <c r="AB12"/>
    </row>
    <row r="13" spans="1:33" x14ac:dyDescent="0.25">
      <c r="B13" s="1">
        <v>2500</v>
      </c>
      <c r="C13" s="79">
        <f>COUNTIFS(TU_DB[Orthophosphate (ppb)],B13)</f>
        <v>5</v>
      </c>
      <c r="D13" s="250">
        <f t="shared" si="0"/>
        <v>2.7027027027027029E-3</v>
      </c>
      <c r="E13" s="250">
        <f t="shared" si="1"/>
        <v>0.99999999999999989</v>
      </c>
      <c r="F13" s="102">
        <f>COUNTIFS(TU_DB[[Orthophosphate (ppb)]:[Orthophosphate (ppb)]],$B13,TU_DB[[Year]:[Year]],F$6)</f>
        <v>1</v>
      </c>
      <c r="G13" s="79">
        <f>COUNTIFS(TU_DB[[Orthophosphate (ppb)]:[Orthophosphate (ppb)]],$B13,TU_DB[[Year]:[Year]],G$6)</f>
        <v>0</v>
      </c>
      <c r="H13" s="79">
        <f>COUNTIFS(TU_DB[[Orthophosphate (ppb)]:[Orthophosphate (ppb)]],$B13,TU_DB[[Year]:[Year]],H$6)</f>
        <v>4</v>
      </c>
      <c r="I13" s="79">
        <f>COUNTIFS(TU_DB[[Orthophosphate (ppb)]:[Orthophosphate (ppb)]],$B13,TU_DB[[Year]:[Year]],I$6)</f>
        <v>0</v>
      </c>
      <c r="J13" s="79">
        <f>COUNTIFS(TU_DB[[Orthophosphate (ppb)]:[Orthophosphate (ppb)]],$B13,TU_DB[[Year]:[Year]],J$6)</f>
        <v>0</v>
      </c>
      <c r="K13" s="79">
        <f>COUNTIFS(TU_DB[[Orthophosphate (ppb)]:[Orthophosphate (ppb)]],$B13,TU_DB[[Year]:[Year]],K$6)</f>
        <v>0</v>
      </c>
      <c r="AA13"/>
      <c r="AB13"/>
    </row>
    <row r="14" spans="1:33" ht="15.75" thickBot="1" x14ac:dyDescent="0.3">
      <c r="B14" s="251" t="s">
        <v>133</v>
      </c>
      <c r="C14" s="251">
        <f>SUM(C7:C13)</f>
        <v>1850</v>
      </c>
      <c r="D14" s="251"/>
      <c r="E14" s="251"/>
      <c r="F14" s="335">
        <f t="shared" ref="F14:J14" si="2">SUM(F7:F13)</f>
        <v>41</v>
      </c>
      <c r="G14" s="251">
        <f t="shared" si="2"/>
        <v>84</v>
      </c>
      <c r="H14" s="251">
        <f t="shared" si="2"/>
        <v>324</v>
      </c>
      <c r="I14" s="251">
        <f t="shared" si="2"/>
        <v>374</v>
      </c>
      <c r="J14" s="251">
        <f t="shared" si="2"/>
        <v>669</v>
      </c>
      <c r="K14" s="251">
        <f t="shared" ref="K14" si="3">SUM(K7:K13)</f>
        <v>358</v>
      </c>
      <c r="AA14"/>
      <c r="AB14"/>
    </row>
    <row r="15" spans="1:33" ht="15.75" thickTop="1" x14ac:dyDescent="0.25">
      <c r="AA15"/>
      <c r="AB15"/>
    </row>
    <row r="16" spans="1:33" s="7" customFormat="1" x14ac:dyDescent="0.25">
      <c r="S16"/>
      <c r="T16"/>
      <c r="U16"/>
      <c r="V16"/>
      <c r="W16"/>
      <c r="X16"/>
      <c r="Y16"/>
      <c r="Z16"/>
      <c r="AA16"/>
      <c r="AB16"/>
      <c r="AC16"/>
      <c r="AD16"/>
      <c r="AE16"/>
      <c r="AF16"/>
      <c r="AG16"/>
    </row>
    <row r="17" spans="2:49" ht="15" customHeight="1" thickBot="1" x14ac:dyDescent="0.3">
      <c r="B17" s="267" t="s">
        <v>575</v>
      </c>
      <c r="C17"/>
      <c r="D17"/>
      <c r="E17"/>
      <c r="U17"/>
    </row>
    <row r="18" spans="2:49" ht="15" customHeight="1" x14ac:dyDescent="0.25">
      <c r="B18" s="319"/>
      <c r="C18" s="322" t="s">
        <v>4183</v>
      </c>
      <c r="D18" s="323"/>
      <c r="E18" s="323"/>
      <c r="F18" s="323"/>
      <c r="G18" s="323"/>
      <c r="H18" s="323"/>
      <c r="I18" s="323"/>
      <c r="J18" s="325"/>
      <c r="K18" s="319"/>
      <c r="L18" s="558" t="s">
        <v>4170</v>
      </c>
    </row>
    <row r="19" spans="2:49" ht="15" customHeight="1" x14ac:dyDescent="0.25">
      <c r="B19" s="320" t="s">
        <v>575</v>
      </c>
      <c r="C19" s="321">
        <v>0</v>
      </c>
      <c r="D19" s="320">
        <v>100</v>
      </c>
      <c r="E19" s="320">
        <v>200</v>
      </c>
      <c r="F19" s="320">
        <v>300</v>
      </c>
      <c r="G19" s="320">
        <v>500</v>
      </c>
      <c r="H19" s="320">
        <v>1000</v>
      </c>
      <c r="I19" s="320">
        <v>2500</v>
      </c>
      <c r="J19" s="324" t="s">
        <v>2325</v>
      </c>
      <c r="K19" s="320" t="s">
        <v>2352</v>
      </c>
      <c r="L19" s="559"/>
    </row>
    <row r="20" spans="2:49" ht="15.75" customHeight="1" x14ac:dyDescent="0.25">
      <c r="B20" s="329" t="s">
        <v>35</v>
      </c>
      <c r="C20" s="262">
        <f>COUNTIFS(TU_DB[[Orthophosphate (ppb)]:[Orthophosphate (ppb)]],C$19,TU_DB[[Weather]:[Weather]],$B20)</f>
        <v>47</v>
      </c>
      <c r="D20" s="232">
        <f>COUNTIFS(TU_DB[[Orthophosphate (ppb)]:[Orthophosphate (ppb)]],D$19,TU_DB[[Weather]:[Weather]],$B20)</f>
        <v>24</v>
      </c>
      <c r="E20" s="232">
        <f>COUNTIFS(TU_DB[[Orthophosphate (ppb)]:[Orthophosphate (ppb)]],E$19,TU_DB[[Weather]:[Weather]],$B20)</f>
        <v>9</v>
      </c>
      <c r="F20" s="232">
        <f>COUNTIFS(TU_DB[[Orthophosphate (ppb)]:[Orthophosphate (ppb)]],F$19,TU_DB[[Weather]:[Weather]],$B20)</f>
        <v>3</v>
      </c>
      <c r="G20" s="232">
        <f>COUNTIFS(TU_DB[[Orthophosphate (ppb)]:[Orthophosphate (ppb)]],G$19,TU_DB[[Weather]:[Weather]],$B20)</f>
        <v>3</v>
      </c>
      <c r="H20" s="232">
        <f>COUNTIFS(TU_DB[[Orthophosphate (ppb)]:[Orthophosphate (ppb)]],H$19,TU_DB[[Weather]:[Weather]],$B20)</f>
        <v>1</v>
      </c>
      <c r="I20" s="232">
        <f>COUNTIFS(TU_DB[[Orthophosphate (ppb)]:[Orthophosphate (ppb)]],I$19,TU_DB[[Weather]:[Weather]],$B20)</f>
        <v>0</v>
      </c>
      <c r="J20" s="262">
        <f>SUM(C20:I20)</f>
        <v>87</v>
      </c>
      <c r="K20" s="263">
        <f t="shared" ref="K20:K25" si="4">SUM(J20)/SUM($J$20:$J$25)</f>
        <v>5.2409638554216868E-2</v>
      </c>
      <c r="L20" s="326" t="s">
        <v>3687</v>
      </c>
    </row>
    <row r="21" spans="2:49" ht="16.5" customHeight="1" x14ac:dyDescent="0.25">
      <c r="B21" s="329" t="s">
        <v>13</v>
      </c>
      <c r="C21" s="262">
        <f>COUNTIFS(TU_DB[[Orthophosphate (ppb)]:[Orthophosphate (ppb)]],C$19,TU_DB[[Weather]:[Weather]],$B21)</f>
        <v>108</v>
      </c>
      <c r="D21" s="232">
        <f>COUNTIFS(TU_DB[[Orthophosphate (ppb)]:[Orthophosphate (ppb)]],D$19,TU_DB[[Weather]:[Weather]],$B21)</f>
        <v>85</v>
      </c>
      <c r="E21" s="232">
        <f>COUNTIFS(TU_DB[[Orthophosphate (ppb)]:[Orthophosphate (ppb)]],E$19,TU_DB[[Weather]:[Weather]],$B21)</f>
        <v>26</v>
      </c>
      <c r="F21" s="232">
        <f>COUNTIFS(TU_DB[[Orthophosphate (ppb)]:[Orthophosphate (ppb)]],F$19,TU_DB[[Weather]:[Weather]],$B21)</f>
        <v>8</v>
      </c>
      <c r="G21" s="232">
        <f>COUNTIFS(TU_DB[[Orthophosphate (ppb)]:[Orthophosphate (ppb)]],G$19,TU_DB[[Weather]:[Weather]],$B21)</f>
        <v>2</v>
      </c>
      <c r="H21" s="232">
        <f>COUNTIFS(TU_DB[[Orthophosphate (ppb)]:[Orthophosphate (ppb)]],H$19,TU_DB[[Weather]:[Weather]],$B21)</f>
        <v>0</v>
      </c>
      <c r="I21" s="232">
        <f>COUNTIFS(TU_DB[[Orthophosphate (ppb)]:[Orthophosphate (ppb)]],I$19,TU_DB[[Weather]:[Weather]],$B21)</f>
        <v>0</v>
      </c>
      <c r="J21" s="262">
        <f t="shared" ref="J21:J25" si="5">SUM(C21:H21)</f>
        <v>229</v>
      </c>
      <c r="K21" s="263">
        <f t="shared" si="4"/>
        <v>0.13795180722891567</v>
      </c>
      <c r="L21" s="326" t="s">
        <v>3688</v>
      </c>
      <c r="V21" s="1"/>
      <c r="W21" s="1"/>
      <c r="X21" s="1"/>
      <c r="Y21" s="1"/>
      <c r="Z21" s="1"/>
      <c r="AB21" s="1"/>
      <c r="AC21" s="1"/>
    </row>
    <row r="22" spans="2:49" ht="16.5" customHeight="1" x14ac:dyDescent="0.25">
      <c r="B22" s="329" t="s">
        <v>904</v>
      </c>
      <c r="C22" s="262">
        <f>COUNTIFS(TU_DB[[Orthophosphate (ppb)]:[Orthophosphate (ppb)]],C$19,TU_DB[[Weather]:[Weather]],$B22)</f>
        <v>6</v>
      </c>
      <c r="D22" s="232">
        <f>COUNTIFS(TU_DB[[Orthophosphate (ppb)]:[Orthophosphate (ppb)]],D$19,TU_DB[[Weather]:[Weather]],$B22)</f>
        <v>1</v>
      </c>
      <c r="E22" s="232">
        <f>COUNTIFS(TU_DB[[Orthophosphate (ppb)]:[Orthophosphate (ppb)]],E$19,TU_DB[[Weather]:[Weather]],$B22)</f>
        <v>1</v>
      </c>
      <c r="F22" s="232">
        <f>COUNTIFS(TU_DB[[Orthophosphate (ppb)]:[Orthophosphate (ppb)]],F$19,TU_DB[[Weather]:[Weather]],$B22)</f>
        <v>0</v>
      </c>
      <c r="G22" s="232">
        <f>COUNTIFS(TU_DB[[Orthophosphate (ppb)]:[Orthophosphate (ppb)]],G$19,TU_DB[[Weather]:[Weather]],$B22)</f>
        <v>0</v>
      </c>
      <c r="H22" s="232">
        <f>COUNTIFS(TU_DB[[Orthophosphate (ppb)]:[Orthophosphate (ppb)]],H$19,TU_DB[[Weather]:[Weather]],$B22)</f>
        <v>0</v>
      </c>
      <c r="I22" s="232">
        <f>COUNTIFS(TU_DB[[Orthophosphate (ppb)]:[Orthophosphate (ppb)]],I$19,TU_DB[[Weather]:[Weather]],$B22)</f>
        <v>0</v>
      </c>
      <c r="J22" s="262">
        <f t="shared" si="5"/>
        <v>8</v>
      </c>
      <c r="K22" s="263">
        <f t="shared" si="4"/>
        <v>4.8192771084337354E-3</v>
      </c>
      <c r="L22" s="326" t="s">
        <v>3690</v>
      </c>
      <c r="AA22"/>
      <c r="AB22"/>
      <c r="AD22" s="1"/>
    </row>
    <row r="23" spans="2:49" ht="34.5" customHeight="1" x14ac:dyDescent="0.25">
      <c r="B23" s="329" t="s">
        <v>226</v>
      </c>
      <c r="C23" s="262">
        <f>COUNTIFS(TU_DB[[Orthophosphate (ppb)]:[Orthophosphate (ppb)]],C$19,TU_DB[[Weather]:[Weather]],$B23)</f>
        <v>5</v>
      </c>
      <c r="D23" s="232">
        <f>COUNTIFS(TU_DB[[Orthophosphate (ppb)]:[Orthophosphate (ppb)]],D$19,TU_DB[[Weather]:[Weather]],$B23)</f>
        <v>0</v>
      </c>
      <c r="E23" s="232">
        <f>COUNTIFS(TU_DB[[Orthophosphate (ppb)]:[Orthophosphate (ppb)]],E$19,TU_DB[[Weather]:[Weather]],$B23)</f>
        <v>0</v>
      </c>
      <c r="F23" s="232">
        <f>COUNTIFS(TU_DB[[Orthophosphate (ppb)]:[Orthophosphate (ppb)]],F$19,TU_DB[[Weather]:[Weather]],$B23)</f>
        <v>0</v>
      </c>
      <c r="G23" s="232">
        <f>COUNTIFS(TU_DB[[Orthophosphate (ppb)]:[Orthophosphate (ppb)]],G$19,TU_DB[[Weather]:[Weather]],$B23)</f>
        <v>0</v>
      </c>
      <c r="H23" s="232">
        <f>COUNTIFS(TU_DB[[Orthophosphate (ppb)]:[Orthophosphate (ppb)]],H$19,TU_DB[[Weather]:[Weather]],$B23)</f>
        <v>0</v>
      </c>
      <c r="I23" s="232">
        <f>COUNTIFS(TU_DB[[Orthophosphate (ppb)]:[Orthophosphate (ppb)]],I$19,TU_DB[[Weather]:[Weather]],$B23)</f>
        <v>0</v>
      </c>
      <c r="J23" s="262">
        <f t="shared" si="5"/>
        <v>5</v>
      </c>
      <c r="K23" s="263">
        <f t="shared" si="4"/>
        <v>3.0120481927710845E-3</v>
      </c>
      <c r="L23" s="326" t="s">
        <v>3691</v>
      </c>
      <c r="AA23"/>
      <c r="AB23"/>
    </row>
    <row r="24" spans="2:49" ht="34.5" customHeight="1" x14ac:dyDescent="0.25">
      <c r="B24" s="329" t="s">
        <v>58</v>
      </c>
      <c r="C24" s="262">
        <f>COUNTIFS(TU_DB[[Orthophosphate (ppb)]:[Orthophosphate (ppb)]],C$19,TU_DB[[Weather]:[Weather]],$B24)</f>
        <v>13</v>
      </c>
      <c r="D24" s="232">
        <f>COUNTIFS(TU_DB[[Orthophosphate (ppb)]:[Orthophosphate (ppb)]],D$19,TU_DB[[Weather]:[Weather]],$B24)</f>
        <v>5</v>
      </c>
      <c r="E24" s="232">
        <f>COUNTIFS(TU_DB[[Orthophosphate (ppb)]:[Orthophosphate (ppb)]],E$19,TU_DB[[Weather]:[Weather]],$B24)</f>
        <v>3</v>
      </c>
      <c r="F24" s="232">
        <f>COUNTIFS(TU_DB[[Orthophosphate (ppb)]:[Orthophosphate (ppb)]],F$19,TU_DB[[Weather]:[Weather]],$B24)</f>
        <v>0</v>
      </c>
      <c r="G24" s="232">
        <f>COUNTIFS(TU_DB[[Orthophosphate (ppb)]:[Orthophosphate (ppb)]],G$19,TU_DB[[Weather]:[Weather]],$B24)</f>
        <v>0</v>
      </c>
      <c r="H24" s="232">
        <f>COUNTIFS(TU_DB[[Orthophosphate (ppb)]:[Orthophosphate (ppb)]],H$19,TU_DB[[Weather]:[Weather]],$B24)</f>
        <v>0</v>
      </c>
      <c r="I24" s="232">
        <f>COUNTIFS(TU_DB[[Orthophosphate (ppb)]:[Orthophosphate (ppb)]],I$19,TU_DB[[Weather]:[Weather]],$B24)</f>
        <v>1</v>
      </c>
      <c r="J24" s="262">
        <f t="shared" si="5"/>
        <v>21</v>
      </c>
      <c r="K24" s="263">
        <f t="shared" si="4"/>
        <v>1.2650602409638554E-2</v>
      </c>
      <c r="L24" s="326" t="s">
        <v>3689</v>
      </c>
      <c r="AA24"/>
      <c r="AB24"/>
    </row>
    <row r="25" spans="2:49" ht="16.5" customHeight="1" x14ac:dyDescent="0.25">
      <c r="B25" s="330" t="s">
        <v>10</v>
      </c>
      <c r="C25" s="264">
        <f>COUNTIFS(TU_DB[[Orthophosphate (ppb)]:[Orthophosphate (ppb)]],C$19,TU_DB[[Weather]:[Weather]],$B25)</f>
        <v>871</v>
      </c>
      <c r="D25" s="265">
        <f>COUNTIFS(TU_DB[[Orthophosphate (ppb)]:[Orthophosphate (ppb)]],D$19,TU_DB[[Weather]:[Weather]],$B25)</f>
        <v>316</v>
      </c>
      <c r="E25" s="265">
        <f>COUNTIFS(TU_DB[[Orthophosphate (ppb)]:[Orthophosphate (ppb)]],E$19,TU_DB[[Weather]:[Weather]],$B25)</f>
        <v>90</v>
      </c>
      <c r="F25" s="265">
        <f>COUNTIFS(TU_DB[[Orthophosphate (ppb)]:[Orthophosphate (ppb)]],F$19,TU_DB[[Weather]:[Weather]],$B25)</f>
        <v>23</v>
      </c>
      <c r="G25" s="265">
        <f>COUNTIFS(TU_DB[[Orthophosphate (ppb)]:[Orthophosphate (ppb)]],G$19,TU_DB[[Weather]:[Weather]],$B25)</f>
        <v>7</v>
      </c>
      <c r="H25" s="265">
        <f>COUNTIFS(TU_DB[[Orthophosphate (ppb)]:[Orthophosphate (ppb)]],H$19,TU_DB[[Weather]:[Weather]],$B25)</f>
        <v>3</v>
      </c>
      <c r="I25" s="265">
        <f>COUNTIFS(TU_DB[[Orthophosphate (ppb)]:[Orthophosphate (ppb)]],I$19,TU_DB[[Weather]:[Weather]],$B25)</f>
        <v>3</v>
      </c>
      <c r="J25" s="264">
        <f t="shared" si="5"/>
        <v>1310</v>
      </c>
      <c r="K25" s="266">
        <f t="shared" si="4"/>
        <v>0.78915662650602414</v>
      </c>
      <c r="L25" s="327" t="s">
        <v>10</v>
      </c>
      <c r="AA25"/>
      <c r="AB25"/>
    </row>
    <row r="26" spans="2:49" ht="16.5" customHeight="1" thickBot="1" x14ac:dyDescent="0.3">
      <c r="B26" s="255" t="s">
        <v>133</v>
      </c>
      <c r="C26" s="258">
        <f t="shared" ref="C26:J26" si="6">SUM(C20:C25)</f>
        <v>1050</v>
      </c>
      <c r="D26" s="255">
        <f t="shared" si="6"/>
        <v>431</v>
      </c>
      <c r="E26" s="255">
        <f t="shared" si="6"/>
        <v>129</v>
      </c>
      <c r="F26" s="255">
        <f t="shared" si="6"/>
        <v>34</v>
      </c>
      <c r="G26" s="255">
        <f t="shared" si="6"/>
        <v>12</v>
      </c>
      <c r="H26" s="255">
        <f t="shared" si="6"/>
        <v>4</v>
      </c>
      <c r="I26" s="255"/>
      <c r="J26" s="258">
        <f t="shared" si="6"/>
        <v>1660</v>
      </c>
      <c r="K26" s="256"/>
      <c r="L26" s="328"/>
      <c r="AA26"/>
      <c r="AB26"/>
    </row>
    <row r="27" spans="2:49" ht="56.25" customHeight="1" x14ac:dyDescent="0.25">
      <c r="U27"/>
      <c r="AA27"/>
      <c r="AB27"/>
    </row>
    <row r="28" spans="2:49" ht="16.5" thickBot="1" x14ac:dyDescent="0.3">
      <c r="B28" s="267" t="s">
        <v>108</v>
      </c>
      <c r="C28"/>
      <c r="D28"/>
      <c r="E28"/>
      <c r="U28"/>
      <c r="AA28"/>
      <c r="AB28"/>
    </row>
    <row r="29" spans="2:49" x14ac:dyDescent="0.25">
      <c r="B29" s="319"/>
      <c r="C29" s="322" t="s">
        <v>4183</v>
      </c>
      <c r="D29" s="323"/>
      <c r="E29" s="323"/>
      <c r="F29" s="323"/>
      <c r="G29" s="323"/>
      <c r="H29" s="323"/>
      <c r="I29" s="323"/>
      <c r="J29" s="325"/>
      <c r="K29" s="319"/>
      <c r="U29"/>
      <c r="AA29"/>
      <c r="AB29"/>
    </row>
    <row r="30" spans="2:49" ht="15.75" customHeight="1" x14ac:dyDescent="0.25">
      <c r="B30" s="320" t="s">
        <v>108</v>
      </c>
      <c r="C30" s="321">
        <v>0</v>
      </c>
      <c r="D30" s="320">
        <v>100</v>
      </c>
      <c r="E30" s="320">
        <v>200</v>
      </c>
      <c r="F30" s="320">
        <v>300</v>
      </c>
      <c r="G30" s="320">
        <v>500</v>
      </c>
      <c r="H30" s="320">
        <v>1000</v>
      </c>
      <c r="I30" s="320">
        <v>2500</v>
      </c>
      <c r="J30" s="324" t="s">
        <v>2325</v>
      </c>
      <c r="K30" s="320" t="s">
        <v>2352</v>
      </c>
      <c r="U30"/>
      <c r="AA30"/>
      <c r="AB30"/>
    </row>
    <row r="31" spans="2:49" ht="15" customHeight="1" x14ac:dyDescent="0.25">
      <c r="B31" t="s">
        <v>80</v>
      </c>
      <c r="C31" s="257">
        <f>COUNTIFS(TU_DB[[Orthophosphate (ppb)]:[Orthophosphate (ppb)]],C$19,TU_DB[[Water Level]:[Water Level]],$B31)</f>
        <v>873</v>
      </c>
      <c r="D31" s="79">
        <f>COUNTIFS(TU_DB[[Orthophosphate (ppb)]:[Orthophosphate (ppb)]],D$19,TU_DB[[Water Level]:[Water Level]],$B31)</f>
        <v>309</v>
      </c>
      <c r="E31" s="79">
        <f>COUNTIFS(TU_DB[[Orthophosphate (ppb)]:[Orthophosphate (ppb)]],E$19,TU_DB[[Water Level]:[Water Level]],$B31)</f>
        <v>79</v>
      </c>
      <c r="F31" s="79">
        <f>COUNTIFS(TU_DB[[Orthophosphate (ppb)]:[Orthophosphate (ppb)]],F$19,TU_DB[[Water Level]:[Water Level]],$B31)</f>
        <v>21</v>
      </c>
      <c r="G31" s="79">
        <f>COUNTIFS(TU_DB[[Orthophosphate (ppb)]:[Orthophosphate (ppb)]],G$19,TU_DB[[Water Level]:[Water Level]],$B31)</f>
        <v>6</v>
      </c>
      <c r="H31" s="79">
        <f>COUNTIFS(TU_DB[[Orthophosphate (ppb)]:[Orthophosphate (ppb)]],H$19,TU_DB[[Water Level]:[Water Level]],$B31)</f>
        <v>1</v>
      </c>
      <c r="I31" s="79">
        <f>COUNTIFS(TU_DB[[Orthophosphate (ppb)]:[Orthophosphate (ppb)]],I$19,TU_DB[[Water Level]:[Water Level]],$B31)</f>
        <v>1</v>
      </c>
      <c r="J31" s="257">
        <f>SUM(C31:H31)</f>
        <v>1289</v>
      </c>
      <c r="K31" s="269">
        <f>SUM(J31)/SUM($J$31:$J$34)</f>
        <v>0.76182033096926716</v>
      </c>
      <c r="L31" s="23"/>
      <c r="M31" s="23"/>
      <c r="N31" s="23"/>
      <c r="O31" s="23"/>
      <c r="P31" s="23"/>
      <c r="Q31" s="23"/>
      <c r="R31" s="23"/>
      <c r="S31" s="23"/>
      <c r="U31"/>
      <c r="AA31"/>
      <c r="AB31"/>
      <c r="AD31" s="23"/>
      <c r="AE31" s="23"/>
      <c r="AF31" s="23"/>
      <c r="AG31" s="23"/>
      <c r="AH31" s="23"/>
      <c r="AI31" s="23"/>
      <c r="AJ31" s="23"/>
      <c r="AK31" s="23"/>
      <c r="AL31" s="23"/>
      <c r="AM31" s="23"/>
      <c r="AN31" s="23"/>
      <c r="AO31" s="23"/>
      <c r="AP31" s="23"/>
      <c r="AQ31" s="23"/>
      <c r="AR31" s="23"/>
      <c r="AS31" s="23"/>
      <c r="AT31" s="23"/>
      <c r="AU31" s="23"/>
      <c r="AV31" s="23"/>
      <c r="AW31" s="23"/>
    </row>
    <row r="32" spans="2:49" s="23" customFormat="1" ht="15" customHeight="1" x14ac:dyDescent="0.25">
      <c r="B32" t="s">
        <v>2353</v>
      </c>
      <c r="C32" s="257">
        <f>COUNTIFS(TU_DB[[Orthophosphate (ppb)]:[Orthophosphate (ppb)]],C$19,TU_DB[[Water Level]:[Water Level]],$B32)</f>
        <v>153</v>
      </c>
      <c r="D32" s="79">
        <f>COUNTIFS(TU_DB[[Orthophosphate (ppb)]:[Orthophosphate (ppb)]],D$19,TU_DB[[Water Level]:[Water Level]],$B32)</f>
        <v>116</v>
      </c>
      <c r="E32" s="79">
        <f>COUNTIFS(TU_DB[[Orthophosphate (ppb)]:[Orthophosphate (ppb)]],E$19,TU_DB[[Water Level]:[Water Level]],$B32)</f>
        <v>40</v>
      </c>
      <c r="F32" s="79">
        <f>COUNTIFS(TU_DB[[Orthophosphate (ppb)]:[Orthophosphate (ppb)]],F$19,TU_DB[[Water Level]:[Water Level]],$B32)</f>
        <v>10</v>
      </c>
      <c r="G32" s="79">
        <f>COUNTIFS(TU_DB[[Orthophosphate (ppb)]:[Orthophosphate (ppb)]],G$19,TU_DB[[Water Level]:[Water Level]],$B32)</f>
        <v>3</v>
      </c>
      <c r="H32" s="79">
        <f>COUNTIFS(TU_DB[[Orthophosphate (ppb)]:[Orthophosphate (ppb)]],H$19,TU_DB[[Water Level]:[Water Level]],$B32)</f>
        <v>3</v>
      </c>
      <c r="I32" s="79">
        <f>COUNTIFS(TU_DB[[Orthophosphate (ppb)]:[Orthophosphate (ppb)]],I$19,TU_DB[[Water Level]:[Water Level]],$B32)</f>
        <v>1</v>
      </c>
      <c r="J32" s="257">
        <f>SUM(C32:H32)</f>
        <v>325</v>
      </c>
      <c r="K32" s="269">
        <f>SUM(J32)/SUM($J$31:$J$34)</f>
        <v>0.19208037825059102</v>
      </c>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row>
    <row r="33" spans="1:49" ht="15" customHeight="1" x14ac:dyDescent="0.25">
      <c r="B33" t="s">
        <v>195</v>
      </c>
      <c r="C33" s="257">
        <f>COUNTIFS(TU_DB[[Orthophosphate (ppb)]:[Orthophosphate (ppb)]],C$19,TU_DB[[Water Level]:[Water Level]],$B33)</f>
        <v>41</v>
      </c>
      <c r="D33" s="79">
        <f>COUNTIFS(TU_DB[[Orthophosphate (ppb)]:[Orthophosphate (ppb)]],D$19,TU_DB[[Water Level]:[Water Level]],$B33)</f>
        <v>18</v>
      </c>
      <c r="E33" s="79">
        <f>COUNTIFS(TU_DB[[Orthophosphate (ppb)]:[Orthophosphate (ppb)]],E$19,TU_DB[[Water Level]:[Water Level]],$B33)</f>
        <v>9</v>
      </c>
      <c r="F33" s="79">
        <f>COUNTIFS(TU_DB[[Orthophosphate (ppb)]:[Orthophosphate (ppb)]],F$19,TU_DB[[Water Level]:[Water Level]],$B33)</f>
        <v>2</v>
      </c>
      <c r="G33" s="79">
        <f>COUNTIFS(TU_DB[[Orthophosphate (ppb)]:[Orthophosphate (ppb)]],G$19,TU_DB[[Water Level]:[Water Level]],$B33)</f>
        <v>2</v>
      </c>
      <c r="H33" s="79">
        <f>COUNTIFS(TU_DB[[Orthophosphate (ppb)]:[Orthophosphate (ppb)]],H$19,TU_DB[[Water Level]:[Water Level]],$B33)</f>
        <v>0</v>
      </c>
      <c r="I33" s="79">
        <f>COUNTIFS(TU_DB[[Orthophosphate (ppb)]:[Orthophosphate (ppb)]],I$19,TU_DB[[Water Level]:[Water Level]],$B33)</f>
        <v>0</v>
      </c>
      <c r="J33" s="257">
        <f>SUM(C33:H33)</f>
        <v>72</v>
      </c>
      <c r="K33" s="269">
        <f>SUM(J33)/SUM($J$31:$J$34)</f>
        <v>4.2553191489361701E-2</v>
      </c>
      <c r="L33" s="7"/>
      <c r="M33" s="7"/>
      <c r="N33" s="7"/>
      <c r="O33" s="7"/>
      <c r="P33" s="7"/>
      <c r="Q33" s="7"/>
      <c r="R33" s="7"/>
      <c r="S33" s="7"/>
      <c r="U33"/>
      <c r="AA33"/>
      <c r="AB33"/>
      <c r="AD33" s="7"/>
      <c r="AE33" s="7"/>
      <c r="AF33" s="7"/>
      <c r="AG33" s="7"/>
      <c r="AH33" s="7"/>
      <c r="AI33" s="7"/>
      <c r="AJ33" s="7"/>
      <c r="AK33" s="7"/>
      <c r="AL33" s="7"/>
      <c r="AM33" s="7"/>
      <c r="AN33" s="7"/>
      <c r="AO33" s="7"/>
      <c r="AP33" s="7"/>
      <c r="AQ33" s="7"/>
      <c r="AR33" s="7"/>
      <c r="AS33" s="7"/>
      <c r="AT33" s="7"/>
      <c r="AU33" s="7"/>
      <c r="AV33" s="7"/>
      <c r="AW33" s="7"/>
    </row>
    <row r="34" spans="1:49" s="7" customFormat="1" ht="15" customHeight="1" x14ac:dyDescent="0.25">
      <c r="B34" s="261" t="s">
        <v>86</v>
      </c>
      <c r="C34" s="260">
        <v>1</v>
      </c>
      <c r="D34" s="259">
        <v>1</v>
      </c>
      <c r="E34" s="259">
        <v>1</v>
      </c>
      <c r="F34" s="259">
        <v>1</v>
      </c>
      <c r="G34" s="259">
        <v>2</v>
      </c>
      <c r="H34" s="259">
        <v>0</v>
      </c>
      <c r="I34" s="259">
        <v>1</v>
      </c>
      <c r="J34" s="260">
        <v>6</v>
      </c>
      <c r="K34" s="270">
        <f>SUM(J34)/SUM($J$31:$J$34)</f>
        <v>3.5460992907801418E-3</v>
      </c>
      <c r="L34"/>
      <c r="M34"/>
      <c r="N34"/>
      <c r="O34"/>
      <c r="P34"/>
      <c r="Q34"/>
      <c r="R34"/>
      <c r="S34"/>
      <c r="T34"/>
      <c r="U34" s="1"/>
      <c r="V34"/>
      <c r="W34"/>
      <c r="X34"/>
      <c r="Y34"/>
      <c r="Z34"/>
      <c r="AA34" s="1"/>
      <c r="AB34" s="15"/>
      <c r="AC34"/>
      <c r="AD34"/>
      <c r="AE34"/>
      <c r="AF34"/>
      <c r="AG34"/>
      <c r="AH34"/>
      <c r="AI34"/>
      <c r="AJ34"/>
      <c r="AK34"/>
      <c r="AL34"/>
      <c r="AM34"/>
      <c r="AN34"/>
      <c r="AO34"/>
      <c r="AP34"/>
      <c r="AQ34"/>
      <c r="AR34"/>
      <c r="AS34"/>
      <c r="AT34"/>
      <c r="AU34"/>
      <c r="AV34"/>
      <c r="AW34"/>
    </row>
    <row r="35" spans="1:49" ht="15" customHeight="1" thickBot="1" x14ac:dyDescent="0.3">
      <c r="B35" s="255" t="s">
        <v>133</v>
      </c>
      <c r="C35" s="258">
        <f t="shared" ref="C35:J35" si="7">SUM(C31:C34)</f>
        <v>1068</v>
      </c>
      <c r="D35" s="255">
        <f t="shared" si="7"/>
        <v>444</v>
      </c>
      <c r="E35" s="255">
        <f t="shared" si="7"/>
        <v>129</v>
      </c>
      <c r="F35" s="255">
        <f t="shared" si="7"/>
        <v>34</v>
      </c>
      <c r="G35" s="255">
        <f t="shared" si="7"/>
        <v>13</v>
      </c>
      <c r="H35" s="255">
        <f t="shared" si="7"/>
        <v>4</v>
      </c>
      <c r="I35" s="255"/>
      <c r="J35" s="258">
        <f t="shared" si="7"/>
        <v>1692</v>
      </c>
      <c r="K35" s="256"/>
    </row>
    <row r="36" spans="1:49" ht="15" customHeight="1" x14ac:dyDescent="0.25"/>
    <row r="37" spans="1:49" ht="15" customHeight="1" x14ac:dyDescent="0.25"/>
    <row r="38" spans="1:49" ht="15" customHeight="1" x14ac:dyDescent="0.25"/>
    <row r="39" spans="1:49" ht="15" customHeight="1" x14ac:dyDescent="0.25"/>
    <row r="40" spans="1:49" ht="15" customHeight="1" x14ac:dyDescent="0.25"/>
    <row r="41" spans="1:49" ht="15" customHeight="1" x14ac:dyDescent="0.25">
      <c r="U41"/>
    </row>
    <row r="42" spans="1:49" ht="15" customHeight="1" x14ac:dyDescent="0.25">
      <c r="U42"/>
    </row>
    <row r="43" spans="1:49" ht="15" customHeight="1" x14ac:dyDescent="0.25">
      <c r="U43"/>
    </row>
    <row r="44" spans="1:49" ht="15" customHeight="1" thickBot="1" x14ac:dyDescent="0.3">
      <c r="B44" s="267" t="s">
        <v>87</v>
      </c>
      <c r="C44"/>
      <c r="D44"/>
      <c r="E44"/>
      <c r="K44" s="23"/>
      <c r="U44"/>
      <c r="Z44" s="23"/>
      <c r="AA44" s="22"/>
      <c r="AB44" s="22"/>
      <c r="AC44" s="23"/>
    </row>
    <row r="45" spans="1:49" ht="15" customHeight="1" x14ac:dyDescent="0.25">
      <c r="B45" s="319"/>
      <c r="C45" s="322" t="s">
        <v>4183</v>
      </c>
      <c r="D45" s="323"/>
      <c r="E45" s="323"/>
      <c r="F45" s="323"/>
      <c r="G45" s="323"/>
      <c r="H45" s="323"/>
      <c r="I45" s="323"/>
      <c r="J45" s="325"/>
      <c r="K45" s="319"/>
      <c r="U45"/>
      <c r="AD45" s="23"/>
      <c r="AE45" s="23"/>
      <c r="AF45" s="23"/>
      <c r="AG45" s="23"/>
      <c r="AH45" s="23"/>
      <c r="AI45" s="23"/>
      <c r="AJ45" s="23"/>
      <c r="AK45" s="23"/>
      <c r="AL45" s="23"/>
      <c r="AM45" s="23"/>
      <c r="AN45" s="23"/>
    </row>
    <row r="46" spans="1:49" ht="15" customHeight="1" x14ac:dyDescent="0.25">
      <c r="A46" s="23"/>
      <c r="B46" s="320" t="s">
        <v>87</v>
      </c>
      <c r="C46" s="321">
        <v>0</v>
      </c>
      <c r="D46" s="320">
        <v>100</v>
      </c>
      <c r="E46" s="320">
        <v>200</v>
      </c>
      <c r="F46" s="320">
        <v>300</v>
      </c>
      <c r="G46" s="320">
        <v>500</v>
      </c>
      <c r="H46" s="320">
        <v>1000</v>
      </c>
      <c r="I46" s="320">
        <v>2500</v>
      </c>
      <c r="J46" s="324" t="s">
        <v>2325</v>
      </c>
      <c r="K46" s="320" t="s">
        <v>2352</v>
      </c>
      <c r="L46" s="23"/>
      <c r="M46" s="23"/>
      <c r="N46" s="23"/>
      <c r="O46" s="23"/>
      <c r="P46" s="23"/>
      <c r="Q46" s="23"/>
      <c r="R46" s="23"/>
      <c r="S46" s="23"/>
      <c r="U46"/>
      <c r="AC46" s="7"/>
      <c r="AO46" s="23"/>
      <c r="AP46" s="23"/>
      <c r="AQ46" s="23"/>
      <c r="AR46" s="23"/>
      <c r="AS46" s="23"/>
      <c r="AT46" s="23"/>
      <c r="AU46" s="23"/>
      <c r="AV46" s="23"/>
      <c r="AW46" s="23"/>
    </row>
    <row r="47" spans="1:49" s="23" customFormat="1" ht="15" customHeight="1" x14ac:dyDescent="0.25">
      <c r="A47"/>
      <c r="B47" t="s">
        <v>83</v>
      </c>
      <c r="C47" s="257">
        <f>COUNTIFS(TU_DB[[Orthophosphate (ppb)]:[Orthophosphate (ppb)]],C$19,TU_DB[[Clarity]:[Clarity]],$B47)</f>
        <v>889</v>
      </c>
      <c r="D47" s="79">
        <f>COUNTIFS(TU_DB[[Orthophosphate (ppb)]:[Orthophosphate (ppb)]],D$19,TU_DB[[Clarity]:[Clarity]],$B47)</f>
        <v>304</v>
      </c>
      <c r="E47" s="79">
        <f>COUNTIFS(TU_DB[[Orthophosphate (ppb)]:[Orthophosphate (ppb)]],E$19,TU_DB[[Clarity]:[Clarity]],$B47)</f>
        <v>89</v>
      </c>
      <c r="F47" s="79">
        <f>COUNTIFS(TU_DB[[Orthophosphate (ppb)]:[Orthophosphate (ppb)]],F$19,TU_DB[[Clarity]:[Clarity]],$B47)</f>
        <v>24</v>
      </c>
      <c r="G47" s="79">
        <f>COUNTIFS(TU_DB[[Orthophosphate (ppb)]:[Orthophosphate (ppb)]],G$19,TU_DB[[Clarity]:[Clarity]],$B47)</f>
        <v>7</v>
      </c>
      <c r="H47" s="79">
        <f>COUNTIFS(TU_DB[[Orthophosphate (ppb)]:[Orthophosphate (ppb)]],H$19,TU_DB[[Clarity]:[Clarity]],$B47)</f>
        <v>3</v>
      </c>
      <c r="I47" s="79">
        <f>COUNTIFS(TU_DB[[Orthophosphate (ppb)]:[Orthophosphate (ppb)]],I$19,TU_DB[[Clarity]:[Clarity]],$B47)</f>
        <v>2</v>
      </c>
      <c r="J47" s="257">
        <f>SUM(C47:H47)</f>
        <v>1316</v>
      </c>
      <c r="K47" s="269">
        <f>SUM(J47)/SUM($J$47:$J$49)</f>
        <v>0.77049180327868849</v>
      </c>
      <c r="L47" s="7"/>
      <c r="M47" s="7"/>
      <c r="N47" s="7"/>
      <c r="O47" s="7"/>
      <c r="P47" s="7"/>
      <c r="Q47" s="7"/>
      <c r="R47" s="7"/>
      <c r="S47" s="7"/>
      <c r="T47"/>
      <c r="U47"/>
      <c r="V47"/>
      <c r="W47"/>
      <c r="X47"/>
      <c r="Y47"/>
      <c r="Z47"/>
      <c r="AA47" s="1"/>
      <c r="AB47" s="15"/>
      <c r="AC47"/>
      <c r="AD47" s="7"/>
      <c r="AE47" s="7"/>
      <c r="AF47" s="7"/>
      <c r="AG47" s="7"/>
      <c r="AH47" s="7"/>
      <c r="AI47" s="7"/>
      <c r="AJ47" s="7"/>
      <c r="AK47" s="7"/>
      <c r="AL47" s="7"/>
      <c r="AM47" s="7"/>
      <c r="AN47" s="7"/>
      <c r="AO47"/>
      <c r="AP47"/>
      <c r="AQ47"/>
      <c r="AR47"/>
      <c r="AS47"/>
      <c r="AT47"/>
      <c r="AU47"/>
      <c r="AV47"/>
      <c r="AW47"/>
    </row>
    <row r="48" spans="1:49" s="7" customFormat="1" ht="15" customHeight="1" x14ac:dyDescent="0.25">
      <c r="A48"/>
      <c r="B48" t="s">
        <v>85</v>
      </c>
      <c r="C48" s="257">
        <f>COUNTIFS(TU_DB[[Orthophosphate (ppb)]:[Orthophosphate (ppb)]],C$19,TU_DB[[Clarity]:[Clarity]],$B48)</f>
        <v>26</v>
      </c>
      <c r="D48" s="79">
        <f>COUNTIFS(TU_DB[[Orthophosphate (ppb)]:[Orthophosphate (ppb)]],D$19,TU_DB[[Clarity]:[Clarity]],$B48)</f>
        <v>29</v>
      </c>
      <c r="E48" s="79">
        <f>COUNTIFS(TU_DB[[Orthophosphate (ppb)]:[Orthophosphate (ppb)]],E$19,TU_DB[[Clarity]:[Clarity]],$B48)</f>
        <v>15</v>
      </c>
      <c r="F48" s="79">
        <f>COUNTIFS(TU_DB[[Orthophosphate (ppb)]:[Orthophosphate (ppb)]],F$19,TU_DB[[Clarity]:[Clarity]],$B48)</f>
        <v>6</v>
      </c>
      <c r="G48" s="79">
        <f>COUNTIFS(TU_DB[[Orthophosphate (ppb)]:[Orthophosphate (ppb)]],G$19,TU_DB[[Clarity]:[Clarity]],$B48)</f>
        <v>4</v>
      </c>
      <c r="H48" s="79">
        <f>COUNTIFS(TU_DB[[Orthophosphate (ppb)]:[Orthophosphate (ppb)]],H$19,TU_DB[[Clarity]:[Clarity]],$B48)</f>
        <v>0</v>
      </c>
      <c r="I48" s="79">
        <f>COUNTIFS(TU_DB[[Orthophosphate (ppb)]:[Orthophosphate (ppb)]],I$19,TU_DB[[Clarity]:[Clarity]],$B48)</f>
        <v>1</v>
      </c>
      <c r="J48" s="257">
        <f>SUM(C48:H48)</f>
        <v>80</v>
      </c>
      <c r="K48" s="269">
        <f>SUM(J48)/SUM($J$47:$J$49)</f>
        <v>4.6838407494145202E-2</v>
      </c>
      <c r="L48"/>
      <c r="M48"/>
      <c r="N48"/>
      <c r="O48"/>
      <c r="P48"/>
      <c r="Q48"/>
      <c r="R48"/>
      <c r="S48"/>
      <c r="T48"/>
      <c r="U48"/>
      <c r="V48"/>
      <c r="W48"/>
      <c r="X48"/>
      <c r="Y48"/>
      <c r="Z48"/>
      <c r="AA48" s="1"/>
      <c r="AB48" s="15"/>
      <c r="AC48"/>
      <c r="AD48"/>
      <c r="AE48"/>
      <c r="AF48"/>
      <c r="AG48"/>
      <c r="AH48"/>
      <c r="AI48"/>
      <c r="AJ48"/>
      <c r="AK48"/>
      <c r="AL48"/>
      <c r="AM48"/>
      <c r="AN48"/>
      <c r="AO48"/>
      <c r="AP48"/>
      <c r="AQ48"/>
      <c r="AR48"/>
      <c r="AS48"/>
      <c r="AT48"/>
      <c r="AU48"/>
      <c r="AV48"/>
      <c r="AW48"/>
    </row>
    <row r="49" spans="2:29" ht="15" customHeight="1" x14ac:dyDescent="0.25">
      <c r="B49" s="261" t="s">
        <v>84</v>
      </c>
      <c r="C49" s="260">
        <f>COUNTIFS(TU_DB[[Orthophosphate (ppb)]:[Orthophosphate (ppb)]],C$19,TU_DB[[Clarity]:[Clarity]],$B49)</f>
        <v>154</v>
      </c>
      <c r="D49" s="259">
        <f>COUNTIFS(TU_DB[[Orthophosphate (ppb)]:[Orthophosphate (ppb)]],D$19,TU_DB[[Clarity]:[Clarity]],$B49)</f>
        <v>116</v>
      </c>
      <c r="E49" s="259">
        <f>COUNTIFS(TU_DB[[Orthophosphate (ppb)]:[Orthophosphate (ppb)]],E$19,TU_DB[[Clarity]:[Clarity]],$B49)</f>
        <v>30</v>
      </c>
      <c r="F49" s="259">
        <f>COUNTIFS(TU_DB[[Orthophosphate (ppb)]:[Orthophosphate (ppb)]],F$19,TU_DB[[Clarity]:[Clarity]],$B49)</f>
        <v>9</v>
      </c>
      <c r="G49" s="259">
        <f>COUNTIFS(TU_DB[[Orthophosphate (ppb)]:[Orthophosphate (ppb)]],G$19,TU_DB[[Clarity]:[Clarity]],$B49)</f>
        <v>2</v>
      </c>
      <c r="H49" s="259">
        <f>COUNTIFS(TU_DB[[Orthophosphate (ppb)]:[Orthophosphate (ppb)]],H$19,TU_DB[[Clarity]:[Clarity]],$B49)</f>
        <v>1</v>
      </c>
      <c r="I49" s="259">
        <f>COUNTIFS(TU_DB[[Orthophosphate (ppb)]:[Orthophosphate (ppb)]],I$19,TU_DB[[Clarity]:[Clarity]],$B49)</f>
        <v>1</v>
      </c>
      <c r="J49" s="260">
        <f>SUM(C49:H49)</f>
        <v>312</v>
      </c>
      <c r="K49" s="270">
        <f>SUM(J49)/SUM($J$47:$J$49)</f>
        <v>0.18266978922716628</v>
      </c>
      <c r="U49"/>
      <c r="AA49"/>
      <c r="AB49"/>
    </row>
    <row r="50" spans="2:29" ht="15" customHeight="1" thickBot="1" x14ac:dyDescent="0.3">
      <c r="B50" s="255" t="s">
        <v>133</v>
      </c>
      <c r="C50" s="258">
        <f t="shared" ref="C50:J50" si="8">SUM(C47:C49)</f>
        <v>1069</v>
      </c>
      <c r="D50" s="255">
        <f t="shared" si="8"/>
        <v>449</v>
      </c>
      <c r="E50" s="255">
        <f t="shared" si="8"/>
        <v>134</v>
      </c>
      <c r="F50" s="255">
        <f t="shared" si="8"/>
        <v>39</v>
      </c>
      <c r="G50" s="255">
        <f t="shared" si="8"/>
        <v>13</v>
      </c>
      <c r="H50" s="255">
        <f t="shared" si="8"/>
        <v>4</v>
      </c>
      <c r="I50" s="255"/>
      <c r="J50" s="258">
        <f t="shared" si="8"/>
        <v>1708</v>
      </c>
      <c r="K50" s="256"/>
      <c r="U50"/>
      <c r="AA50"/>
      <c r="AB50"/>
    </row>
    <row r="51" spans="2:29" ht="15" customHeight="1" x14ac:dyDescent="0.25">
      <c r="U51"/>
      <c r="AA51"/>
      <c r="AB51"/>
    </row>
    <row r="52" spans="2:29" ht="15" customHeight="1" x14ac:dyDescent="0.25">
      <c r="U52"/>
      <c r="AA52"/>
      <c r="AB52"/>
    </row>
    <row r="53" spans="2:29" ht="15" customHeight="1" x14ac:dyDescent="0.25">
      <c r="U53"/>
      <c r="AA53"/>
      <c r="AB53"/>
    </row>
    <row r="54" spans="2:29" ht="15" customHeight="1" x14ac:dyDescent="0.25">
      <c r="U54"/>
      <c r="AA54"/>
      <c r="AB54"/>
    </row>
    <row r="55" spans="2:29" ht="15" customHeight="1" x14ac:dyDescent="0.25">
      <c r="U55"/>
      <c r="AA55"/>
      <c r="AB55"/>
    </row>
    <row r="56" spans="2:29" ht="15" customHeight="1" x14ac:dyDescent="0.25">
      <c r="U56"/>
      <c r="AA56"/>
      <c r="AB56"/>
    </row>
    <row r="57" spans="2:29" ht="15" customHeight="1" x14ac:dyDescent="0.25">
      <c r="S57" s="23"/>
      <c r="U57"/>
      <c r="AA57"/>
      <c r="AB57"/>
    </row>
    <row r="58" spans="2:29" ht="15" customHeight="1" x14ac:dyDescent="0.25">
      <c r="U58"/>
      <c r="AA58"/>
      <c r="AB58"/>
    </row>
    <row r="59" spans="2:29" ht="15" customHeight="1" x14ac:dyDescent="0.25">
      <c r="U59"/>
      <c r="AA59"/>
      <c r="AB59"/>
    </row>
    <row r="60" spans="2:29" ht="15" customHeight="1" x14ac:dyDescent="0.25">
      <c r="U60"/>
      <c r="AA60"/>
      <c r="AB60"/>
    </row>
    <row r="61" spans="2:29" ht="15" customHeight="1" thickBot="1" x14ac:dyDescent="0.3">
      <c r="B61" s="21" t="s">
        <v>4788</v>
      </c>
      <c r="U61"/>
      <c r="X61" s="23"/>
      <c r="Y61" s="23"/>
      <c r="Z61" s="23"/>
      <c r="AA61" s="23"/>
      <c r="AB61" s="23"/>
      <c r="AC61" s="23"/>
    </row>
    <row r="62" spans="2:29" ht="16.5" customHeight="1" x14ac:dyDescent="0.25">
      <c r="B62" s="319"/>
      <c r="C62" s="322" t="s">
        <v>4183</v>
      </c>
      <c r="D62" s="323"/>
      <c r="E62" s="323"/>
      <c r="F62" s="323"/>
      <c r="G62" s="323"/>
      <c r="H62" s="323"/>
      <c r="I62" s="323"/>
      <c r="J62" s="325"/>
      <c r="K62" s="319"/>
      <c r="N62" s="333" t="s">
        <v>4169</v>
      </c>
      <c r="O62" s="560" t="s">
        <v>2365</v>
      </c>
      <c r="P62" s="560"/>
      <c r="Q62" s="560"/>
      <c r="R62" s="560"/>
      <c r="U62"/>
    </row>
    <row r="63" spans="2:29" ht="15" customHeight="1" x14ac:dyDescent="0.25">
      <c r="B63" s="320" t="s">
        <v>124</v>
      </c>
      <c r="C63" s="321">
        <v>0</v>
      </c>
      <c r="D63" s="320">
        <v>100</v>
      </c>
      <c r="E63" s="320">
        <v>200</v>
      </c>
      <c r="F63" s="320">
        <v>300</v>
      </c>
      <c r="G63" s="320">
        <v>500</v>
      </c>
      <c r="H63" s="320">
        <v>1000</v>
      </c>
      <c r="I63" s="320">
        <v>2500</v>
      </c>
      <c r="J63" s="324" t="s">
        <v>2325</v>
      </c>
      <c r="K63" s="320" t="s">
        <v>2352</v>
      </c>
      <c r="U63"/>
    </row>
    <row r="64" spans="2:29" ht="15" customHeight="1" x14ac:dyDescent="0.25">
      <c r="B64" s="153" t="s">
        <v>1328</v>
      </c>
      <c r="C64" s="378">
        <f>SUM(C65:C74)</f>
        <v>149</v>
      </c>
      <c r="D64" s="378">
        <f t="shared" ref="D64:I64" si="9">SUM(D65:D74)</f>
        <v>47</v>
      </c>
      <c r="E64" s="378">
        <f t="shared" si="9"/>
        <v>10</v>
      </c>
      <c r="F64" s="378">
        <f t="shared" si="9"/>
        <v>2</v>
      </c>
      <c r="G64" s="378">
        <f t="shared" si="9"/>
        <v>0</v>
      </c>
      <c r="H64" s="378">
        <f t="shared" si="9"/>
        <v>0</v>
      </c>
      <c r="I64" s="378">
        <f t="shared" si="9"/>
        <v>1</v>
      </c>
      <c r="J64" s="378">
        <f>SUM(J65:J74)</f>
        <v>209</v>
      </c>
      <c r="K64" s="378"/>
      <c r="U64"/>
    </row>
    <row r="65" spans="2:21" ht="15" customHeight="1" x14ac:dyDescent="0.25">
      <c r="B65" s="8" t="s">
        <v>154</v>
      </c>
      <c r="C65" s="257">
        <f>COUNTIFS(TU_DB[[Orthophosphate (ppb)]:[Orthophosphate (ppb)]],C$19,TU_DB[[Monitoring Site]:[Monitoring Site]],$B65)</f>
        <v>7</v>
      </c>
      <c r="D65" s="79">
        <f>COUNTIFS(TU_DB[[Orthophosphate (ppb)]:[Orthophosphate (ppb)]],D$19,TU_DB[[Monitoring Site]:[Monitoring Site]],$B65)</f>
        <v>6</v>
      </c>
      <c r="E65" s="79">
        <f>COUNTIFS(TU_DB[[Orthophosphate (ppb)]:[Orthophosphate (ppb)]],E$19,TU_DB[[Monitoring Site]:[Monitoring Site]],$B65)</f>
        <v>3</v>
      </c>
      <c r="F65" s="79">
        <f>COUNTIFS(TU_DB[[Orthophosphate (ppb)]:[Orthophosphate (ppb)]],F$19,TU_DB[[Monitoring Site]:[Monitoring Site]],$B65)</f>
        <v>1</v>
      </c>
      <c r="G65" s="79">
        <f>COUNTIFS(TU_DB[[Orthophosphate (ppb)]:[Orthophosphate (ppb)]],G$19,TU_DB[[Monitoring Site]:[Monitoring Site]],$B65)</f>
        <v>0</v>
      </c>
      <c r="H65" s="79">
        <f>COUNTIFS(TU_DB[[Orthophosphate (ppb)]:[Orthophosphate (ppb)]],H$19,TU_DB[[Monitoring Site]:[Monitoring Site]],$B65)</f>
        <v>0</v>
      </c>
      <c r="I65" s="79">
        <f>COUNTIFS(TU_DB[[Orthophosphate (ppb)]:[Orthophosphate (ppb)]],I$19,TU_DB[[Monitoring Site]:[Monitoring Site]],$B65)</f>
        <v>0</v>
      </c>
      <c r="J65" s="257">
        <f>SUM(C65:I65)</f>
        <v>17</v>
      </c>
      <c r="K65" s="268">
        <f t="shared" ref="K65:K74" si="10">SUM(J65)/$J$64</f>
        <v>8.1339712918660281E-2</v>
      </c>
      <c r="U65"/>
    </row>
    <row r="66" spans="2:21" x14ac:dyDescent="0.25">
      <c r="B66" s="8" t="str">
        <f>Use!S125</f>
        <v>Eau Galle River @ WI Hwy 29</v>
      </c>
      <c r="C66" s="257">
        <f>COUNTIFS(TU_DB[[Orthophosphate (ppb)]:[Orthophosphate (ppb)]],C$19,TU_DB[[Monitoring Site]:[Monitoring Site]],$B66)</f>
        <v>5</v>
      </c>
      <c r="D66" s="79">
        <f>COUNTIFS(TU_DB[[Orthophosphate (ppb)]:[Orthophosphate (ppb)]],D$19,TU_DB[[Monitoring Site]:[Monitoring Site]],$B66)</f>
        <v>4</v>
      </c>
      <c r="E66" s="79">
        <f>COUNTIFS(TU_DB[[Orthophosphate (ppb)]:[Orthophosphate (ppb)]],E$19,TU_DB[[Monitoring Site]:[Monitoring Site]],$B66)</f>
        <v>0</v>
      </c>
      <c r="F66" s="79">
        <f>COUNTIFS(TU_DB[[Orthophosphate (ppb)]:[Orthophosphate (ppb)]],F$19,TU_DB[[Monitoring Site]:[Monitoring Site]],$B66)</f>
        <v>0</v>
      </c>
      <c r="G66" s="79">
        <f>COUNTIFS(TU_DB[[Orthophosphate (ppb)]:[Orthophosphate (ppb)]],G$19,TU_DB[[Monitoring Site]:[Monitoring Site]],$B66)</f>
        <v>0</v>
      </c>
      <c r="H66" s="79">
        <f>COUNTIFS(TU_DB[[Orthophosphate (ppb)]:[Orthophosphate (ppb)]],H$19,TU_DB[[Monitoring Site]:[Monitoring Site]],$B66)</f>
        <v>0</v>
      </c>
      <c r="I66" s="79">
        <f>COUNTIFS(TU_DB[[Orthophosphate (ppb)]:[Orthophosphate (ppb)]],I$19,TU_DB[[Monitoring Site]:[Monitoring Site]],$B66)</f>
        <v>0</v>
      </c>
      <c r="J66" s="257">
        <f t="shared" ref="J66:J74" si="11">SUM(C66:I66)</f>
        <v>9</v>
      </c>
      <c r="K66" s="268">
        <f t="shared" si="10"/>
        <v>4.3062200956937802E-2</v>
      </c>
      <c r="U66"/>
    </row>
    <row r="67" spans="2:21" x14ac:dyDescent="0.25">
      <c r="B67" s="8" t="str">
        <f>Use!S126</f>
        <v>Isabelle Creek @ County Rd. EE</v>
      </c>
      <c r="C67" s="257">
        <f>COUNTIFS(TU_DB[[Orthophosphate (ppb)]:[Orthophosphate (ppb)]],C$19,TU_DB[[Monitoring Site]:[Monitoring Site]],$B67)</f>
        <v>15</v>
      </c>
      <c r="D67" s="79">
        <f>COUNTIFS(TU_DB[[Orthophosphate (ppb)]:[Orthophosphate (ppb)]],D$19,TU_DB[[Monitoring Site]:[Monitoring Site]],$B67)</f>
        <v>6</v>
      </c>
      <c r="E67" s="79">
        <f>COUNTIFS(TU_DB[[Orthophosphate (ppb)]:[Orthophosphate (ppb)]],E$19,TU_DB[[Monitoring Site]:[Monitoring Site]],$B67)</f>
        <v>1</v>
      </c>
      <c r="F67" s="79">
        <f>COUNTIFS(TU_DB[[Orthophosphate (ppb)]:[Orthophosphate (ppb)]],F$19,TU_DB[[Monitoring Site]:[Monitoring Site]],$B67)</f>
        <v>1</v>
      </c>
      <c r="G67" s="79">
        <f>COUNTIFS(TU_DB[[Orthophosphate (ppb)]:[Orthophosphate (ppb)]],G$19,TU_DB[[Monitoring Site]:[Monitoring Site]],$B67)</f>
        <v>0</v>
      </c>
      <c r="H67" s="79">
        <f>COUNTIFS(TU_DB[[Orthophosphate (ppb)]:[Orthophosphate (ppb)]],H$19,TU_DB[[Monitoring Site]:[Monitoring Site]],$B67)</f>
        <v>0</v>
      </c>
      <c r="I67" s="79">
        <f>COUNTIFS(TU_DB[[Orthophosphate (ppb)]:[Orthophosphate (ppb)]],I$19,TU_DB[[Monitoring Site]:[Monitoring Site]],$B67)</f>
        <v>1</v>
      </c>
      <c r="J67" s="257">
        <f t="shared" si="11"/>
        <v>24</v>
      </c>
      <c r="K67" s="268">
        <f t="shared" si="10"/>
        <v>0.11483253588516747</v>
      </c>
      <c r="U67"/>
    </row>
    <row r="68" spans="2:21" x14ac:dyDescent="0.25">
      <c r="B68" s="8" t="str">
        <f>Use!S127</f>
        <v>Kinnickinnic River, Lower Glen Park</v>
      </c>
      <c r="C68" s="257">
        <f>COUNTIFS(TU_DB[[Orthophosphate (ppb)]:[Orthophosphate (ppb)]],C$19,TU_DB[[Monitoring Site]:[Monitoring Site]],$B68)</f>
        <v>23</v>
      </c>
      <c r="D68" s="79">
        <f>COUNTIFS(TU_DB[[Orthophosphate (ppb)]:[Orthophosphate (ppb)]],D$19,TU_DB[[Monitoring Site]:[Monitoring Site]],$B68)</f>
        <v>15</v>
      </c>
      <c r="E68" s="79">
        <f>COUNTIFS(TU_DB[[Orthophosphate (ppb)]:[Orthophosphate (ppb)]],E$19,TU_DB[[Monitoring Site]:[Monitoring Site]],$B68)</f>
        <v>3</v>
      </c>
      <c r="F68" s="79">
        <f>COUNTIFS(TU_DB[[Orthophosphate (ppb)]:[Orthophosphate (ppb)]],F$19,TU_DB[[Monitoring Site]:[Monitoring Site]],$B68)</f>
        <v>0</v>
      </c>
      <c r="G68" s="79">
        <f>COUNTIFS(TU_DB[[Orthophosphate (ppb)]:[Orthophosphate (ppb)]],G$19,TU_DB[[Monitoring Site]:[Monitoring Site]],$B68)</f>
        <v>0</v>
      </c>
      <c r="H68" s="79">
        <f>COUNTIFS(TU_DB[[Orthophosphate (ppb)]:[Orthophosphate (ppb)]],H$19,TU_DB[[Monitoring Site]:[Monitoring Site]],$B68)</f>
        <v>0</v>
      </c>
      <c r="I68" s="79">
        <f>COUNTIFS(TU_DB[[Orthophosphate (ppb)]:[Orthophosphate (ppb)]],I$19,TU_DB[[Monitoring Site]:[Monitoring Site]],$B68)</f>
        <v>0</v>
      </c>
      <c r="J68" s="257">
        <f t="shared" si="11"/>
        <v>41</v>
      </c>
      <c r="K68" s="268">
        <f t="shared" si="10"/>
        <v>0.19617224880382775</v>
      </c>
      <c r="U68"/>
    </row>
    <row r="69" spans="2:21" x14ac:dyDescent="0.25">
      <c r="B69" s="8" t="str">
        <f>Use!S128</f>
        <v>Pine Creek @ County Rd. AA</v>
      </c>
      <c r="C69" s="257">
        <f>COUNTIFS(TU_DB[[Orthophosphate (ppb)]:[Orthophosphate (ppb)]],C$19,TU_DB[[Monitoring Site]:[Monitoring Site]],$B69)</f>
        <v>34</v>
      </c>
      <c r="D69" s="79">
        <f>COUNTIFS(TU_DB[[Orthophosphate (ppb)]:[Orthophosphate (ppb)]],D$19,TU_DB[[Monitoring Site]:[Monitoring Site]],$B69)</f>
        <v>0</v>
      </c>
      <c r="E69" s="79">
        <f>COUNTIFS(TU_DB[[Orthophosphate (ppb)]:[Orthophosphate (ppb)]],E$19,TU_DB[[Monitoring Site]:[Monitoring Site]],$B69)</f>
        <v>0</v>
      </c>
      <c r="F69" s="79">
        <f>COUNTIFS(TU_DB[[Orthophosphate (ppb)]:[Orthophosphate (ppb)]],F$19,TU_DB[[Monitoring Site]:[Monitoring Site]],$B69)</f>
        <v>0</v>
      </c>
      <c r="G69" s="79">
        <f>COUNTIFS(TU_DB[[Orthophosphate (ppb)]:[Orthophosphate (ppb)]],G$19,TU_DB[[Monitoring Site]:[Monitoring Site]],$B69)</f>
        <v>0</v>
      </c>
      <c r="H69" s="79">
        <f>COUNTIFS(TU_DB[[Orthophosphate (ppb)]:[Orthophosphate (ppb)]],H$19,TU_DB[[Monitoring Site]:[Monitoring Site]],$B69)</f>
        <v>0</v>
      </c>
      <c r="I69" s="79">
        <f>COUNTIFS(TU_DB[[Orthophosphate (ppb)]:[Orthophosphate (ppb)]],I$19,TU_DB[[Monitoring Site]:[Monitoring Site]],$B69)</f>
        <v>0</v>
      </c>
      <c r="J69" s="257">
        <f t="shared" si="11"/>
        <v>34</v>
      </c>
      <c r="K69" s="268">
        <f t="shared" si="10"/>
        <v>0.16267942583732056</v>
      </c>
      <c r="U69"/>
    </row>
    <row r="70" spans="2:21" x14ac:dyDescent="0.25">
      <c r="B70" s="8" t="str">
        <f>Use!S129</f>
        <v>Plum Creek @ Plum CIty Park</v>
      </c>
      <c r="C70" s="257">
        <f>COUNTIFS(TU_DB[[Orthophosphate (ppb)]:[Orthophosphate (ppb)]],C$19,TU_DB[[Monitoring Site]:[Monitoring Site]],$B70)</f>
        <v>16</v>
      </c>
      <c r="D70" s="79">
        <f>COUNTIFS(TU_DB[[Orthophosphate (ppb)]:[Orthophosphate (ppb)]],D$19,TU_DB[[Monitoring Site]:[Monitoring Site]],$B70)</f>
        <v>1</v>
      </c>
      <c r="E70" s="79">
        <f>COUNTIFS(TU_DB[[Orthophosphate (ppb)]:[Orthophosphate (ppb)]],E$19,TU_DB[[Monitoring Site]:[Monitoring Site]],$B70)</f>
        <v>1</v>
      </c>
      <c r="F70" s="79">
        <f>COUNTIFS(TU_DB[[Orthophosphate (ppb)]:[Orthophosphate (ppb)]],F$19,TU_DB[[Monitoring Site]:[Monitoring Site]],$B70)</f>
        <v>0</v>
      </c>
      <c r="G70" s="79">
        <f>COUNTIFS(TU_DB[[Orthophosphate (ppb)]:[Orthophosphate (ppb)]],G$19,TU_DB[[Monitoring Site]:[Monitoring Site]],$B70)</f>
        <v>0</v>
      </c>
      <c r="H70" s="79">
        <f>COUNTIFS(TU_DB[[Orthophosphate (ppb)]:[Orthophosphate (ppb)]],H$19,TU_DB[[Monitoring Site]:[Monitoring Site]],$B70)</f>
        <v>0</v>
      </c>
      <c r="I70" s="79">
        <f>COUNTIFS(TU_DB[[Orthophosphate (ppb)]:[Orthophosphate (ppb)]],I$19,TU_DB[[Monitoring Site]:[Monitoring Site]],$B70)</f>
        <v>0</v>
      </c>
      <c r="J70" s="257">
        <f t="shared" si="11"/>
        <v>18</v>
      </c>
      <c r="K70" s="268">
        <f t="shared" si="10"/>
        <v>8.6124401913875603E-2</v>
      </c>
      <c r="U70"/>
    </row>
    <row r="71" spans="2:21" x14ac:dyDescent="0.25">
      <c r="B71" s="8" t="str">
        <f>Use!S130</f>
        <v>Rocky Branch Creek, Lower Glen Park</v>
      </c>
      <c r="C71" s="257">
        <f>COUNTIFS(TU_DB[[Orthophosphate (ppb)]:[Orthophosphate (ppb)]],C$19,TU_DB[[Monitoring Site]:[Monitoring Site]],$B71)</f>
        <v>6</v>
      </c>
      <c r="D71" s="79">
        <f>COUNTIFS(TU_DB[[Orthophosphate (ppb)]:[Orthophosphate (ppb)]],D$19,TU_DB[[Monitoring Site]:[Monitoring Site]],$B71)</f>
        <v>8</v>
      </c>
      <c r="E71" s="79">
        <f>COUNTIFS(TU_DB[[Orthophosphate (ppb)]:[Orthophosphate (ppb)]],E$19,TU_DB[[Monitoring Site]:[Monitoring Site]],$B71)</f>
        <v>0</v>
      </c>
      <c r="F71" s="79">
        <f>COUNTIFS(TU_DB[[Orthophosphate (ppb)]:[Orthophosphate (ppb)]],F$19,TU_DB[[Monitoring Site]:[Monitoring Site]],$B71)</f>
        <v>0</v>
      </c>
      <c r="G71" s="79">
        <f>COUNTIFS(TU_DB[[Orthophosphate (ppb)]:[Orthophosphate (ppb)]],G$19,TU_DB[[Monitoring Site]:[Monitoring Site]],$B71)</f>
        <v>0</v>
      </c>
      <c r="H71" s="79">
        <f>COUNTIFS(TU_DB[[Orthophosphate (ppb)]:[Orthophosphate (ppb)]],H$19,TU_DB[[Monitoring Site]:[Monitoring Site]],$B71)</f>
        <v>0</v>
      </c>
      <c r="I71" s="79">
        <f>COUNTIFS(TU_DB[[Orthophosphate (ppb)]:[Orthophosphate (ppb)]],I$19,TU_DB[[Monitoring Site]:[Monitoring Site]],$B71)</f>
        <v>0</v>
      </c>
      <c r="J71" s="257">
        <f t="shared" si="11"/>
        <v>14</v>
      </c>
      <c r="K71" s="268">
        <f t="shared" si="10"/>
        <v>6.6985645933014357E-2</v>
      </c>
      <c r="U71"/>
    </row>
    <row r="72" spans="2:21" x14ac:dyDescent="0.25">
      <c r="B72" s="8" t="str">
        <f>Use!S131</f>
        <v>Rush River @ 570th Ave</v>
      </c>
      <c r="C72" s="257">
        <f>COUNTIFS(TU_DB[[Orthophosphate (ppb)]:[Orthophosphate (ppb)]],C$19,TU_DB[[Monitoring Site]:[Monitoring Site]],$B72)</f>
        <v>17</v>
      </c>
      <c r="D72" s="79">
        <f>COUNTIFS(TU_DB[[Orthophosphate (ppb)]:[Orthophosphate (ppb)]],D$19,TU_DB[[Monitoring Site]:[Monitoring Site]],$B72)</f>
        <v>6</v>
      </c>
      <c r="E72" s="79">
        <f>COUNTIFS(TU_DB[[Orthophosphate (ppb)]:[Orthophosphate (ppb)]],E$19,TU_DB[[Monitoring Site]:[Monitoring Site]],$B72)</f>
        <v>2</v>
      </c>
      <c r="F72" s="79">
        <f>COUNTIFS(TU_DB[[Orthophosphate (ppb)]:[Orthophosphate (ppb)]],F$19,TU_DB[[Monitoring Site]:[Monitoring Site]],$B72)</f>
        <v>0</v>
      </c>
      <c r="G72" s="79">
        <f>COUNTIFS(TU_DB[[Orthophosphate (ppb)]:[Orthophosphate (ppb)]],G$19,TU_DB[[Monitoring Site]:[Monitoring Site]],$B72)</f>
        <v>0</v>
      </c>
      <c r="H72" s="79">
        <f>COUNTIFS(TU_DB[[Orthophosphate (ppb)]:[Orthophosphate (ppb)]],H$19,TU_DB[[Monitoring Site]:[Monitoring Site]],$B72)</f>
        <v>0</v>
      </c>
      <c r="I72" s="79">
        <f>COUNTIFS(TU_DB[[Orthophosphate (ppb)]:[Orthophosphate (ppb)]],I$19,TU_DB[[Monitoring Site]:[Monitoring Site]],$B72)</f>
        <v>0</v>
      </c>
      <c r="J72" s="257">
        <f t="shared" si="11"/>
        <v>25</v>
      </c>
      <c r="K72" s="268">
        <f t="shared" si="10"/>
        <v>0.11961722488038277</v>
      </c>
      <c r="U72"/>
    </row>
    <row r="73" spans="2:21" x14ac:dyDescent="0.25">
      <c r="B73" s="8" t="str">
        <f>Use!S132</f>
        <v>SF Kinnickinnic River @ 900th St</v>
      </c>
      <c r="C73" s="257">
        <f>COUNTIFS(TU_DB[[Orthophosphate (ppb)]:[Orthophosphate (ppb)]],C$19,TU_DB[[Monitoring Site]:[Monitoring Site]],$B73)</f>
        <v>11</v>
      </c>
      <c r="D73" s="79">
        <f>COUNTIFS(TU_DB[[Orthophosphate (ppb)]:[Orthophosphate (ppb)]],D$19,TU_DB[[Monitoring Site]:[Monitoring Site]],$B73)</f>
        <v>1</v>
      </c>
      <c r="E73" s="79">
        <f>COUNTIFS(TU_DB[[Orthophosphate (ppb)]:[Orthophosphate (ppb)]],E$19,TU_DB[[Monitoring Site]:[Monitoring Site]],$B73)</f>
        <v>0</v>
      </c>
      <c r="F73" s="79">
        <f>COUNTIFS(TU_DB[[Orthophosphate (ppb)]:[Orthophosphate (ppb)]],F$19,TU_DB[[Monitoring Site]:[Monitoring Site]],$B73)</f>
        <v>0</v>
      </c>
      <c r="G73" s="79">
        <f>COUNTIFS(TU_DB[[Orthophosphate (ppb)]:[Orthophosphate (ppb)]],G$19,TU_DB[[Monitoring Site]:[Monitoring Site]],$B73)</f>
        <v>0</v>
      </c>
      <c r="H73" s="79">
        <f>COUNTIFS(TU_DB[[Orthophosphate (ppb)]:[Orthophosphate (ppb)]],H$19,TU_DB[[Monitoring Site]:[Monitoring Site]],$B73)</f>
        <v>0</v>
      </c>
      <c r="I73" s="79">
        <f>COUNTIFS(TU_DB[[Orthophosphate (ppb)]:[Orthophosphate (ppb)]],I$19,TU_DB[[Monitoring Site]:[Monitoring Site]],$B73)</f>
        <v>0</v>
      </c>
      <c r="J73" s="257">
        <f t="shared" si="11"/>
        <v>12</v>
      </c>
      <c r="K73" s="268">
        <f t="shared" si="10"/>
        <v>5.7416267942583733E-2</v>
      </c>
      <c r="U73"/>
    </row>
    <row r="74" spans="2:21" x14ac:dyDescent="0.25">
      <c r="B74" s="8" t="str">
        <f>Use!S133</f>
        <v>Trimbelle River @ County Rd W</v>
      </c>
      <c r="C74" s="257">
        <f>COUNTIFS(TU_DB[[Orthophosphate (ppb)]:[Orthophosphate (ppb)]],C$19,TU_DB[[Monitoring Site]:[Monitoring Site]],$B74)</f>
        <v>15</v>
      </c>
      <c r="D74" s="79">
        <f>COUNTIFS(TU_DB[[Orthophosphate (ppb)]:[Orthophosphate (ppb)]],D$19,TU_DB[[Monitoring Site]:[Monitoring Site]],$B74)</f>
        <v>0</v>
      </c>
      <c r="E74" s="79">
        <f>COUNTIFS(TU_DB[[Orthophosphate (ppb)]:[Orthophosphate (ppb)]],E$19,TU_DB[[Monitoring Site]:[Monitoring Site]],$B74)</f>
        <v>0</v>
      </c>
      <c r="F74" s="79">
        <f>COUNTIFS(TU_DB[[Orthophosphate (ppb)]:[Orthophosphate (ppb)]],F$19,TU_DB[[Monitoring Site]:[Monitoring Site]],$B74)</f>
        <v>0</v>
      </c>
      <c r="G74" s="79">
        <f>COUNTIFS(TU_DB[[Orthophosphate (ppb)]:[Orthophosphate (ppb)]],G$19,TU_DB[[Monitoring Site]:[Monitoring Site]],$B74)</f>
        <v>0</v>
      </c>
      <c r="H74" s="79">
        <f>COUNTIFS(TU_DB[[Orthophosphate (ppb)]:[Orthophosphate (ppb)]],H$19,TU_DB[[Monitoring Site]:[Monitoring Site]],$B74)</f>
        <v>0</v>
      </c>
      <c r="I74" s="79">
        <f>COUNTIFS(TU_DB[[Orthophosphate (ppb)]:[Orthophosphate (ppb)]],I$19,TU_DB[[Monitoring Site]:[Monitoring Site]],$B74)</f>
        <v>0</v>
      </c>
      <c r="J74" s="257">
        <f t="shared" si="11"/>
        <v>15</v>
      </c>
      <c r="K74" s="268">
        <f t="shared" si="10"/>
        <v>7.1770334928229665E-2</v>
      </c>
      <c r="U74"/>
    </row>
    <row r="75" spans="2:21" x14ac:dyDescent="0.25">
      <c r="B75" s="153" t="s">
        <v>1329</v>
      </c>
      <c r="C75" s="378">
        <f>SUM(C76:C85)</f>
        <v>54</v>
      </c>
      <c r="D75" s="378">
        <f t="shared" ref="D75:I75" si="12">SUM(D76:D85)</f>
        <v>32</v>
      </c>
      <c r="E75" s="378">
        <f t="shared" si="12"/>
        <v>16</v>
      </c>
      <c r="F75" s="378">
        <f t="shared" si="12"/>
        <v>0</v>
      </c>
      <c r="G75" s="378">
        <f t="shared" si="12"/>
        <v>2</v>
      </c>
      <c r="H75" s="378">
        <f t="shared" si="12"/>
        <v>0</v>
      </c>
      <c r="I75" s="378">
        <f t="shared" si="12"/>
        <v>0</v>
      </c>
      <c r="J75" s="378">
        <f>SUM(J76:J83)</f>
        <v>104</v>
      </c>
      <c r="K75" s="377"/>
      <c r="U75"/>
    </row>
    <row r="76" spans="2:21" x14ac:dyDescent="0.25">
      <c r="B76" s="8" t="str">
        <f>Use!S135</f>
        <v>Belle Creek</v>
      </c>
      <c r="C76" s="257">
        <f>COUNTIFS(TU_DB[[Orthophosphate (ppb)]:[Orthophosphate (ppb)]],C$19,TU_DB[[Monitoring Site]:[Monitoring Site]],$B76)</f>
        <v>2</v>
      </c>
      <c r="D76" s="79">
        <f>COUNTIFS(TU_DB[[Orthophosphate (ppb)]:[Orthophosphate (ppb)]],D$19,TU_DB[[Monitoring Site]:[Monitoring Site]],$B76)</f>
        <v>5</v>
      </c>
      <c r="E76" s="79">
        <f>COUNTIFS(TU_DB[[Orthophosphate (ppb)]:[Orthophosphate (ppb)]],E$19,TU_DB[[Monitoring Site]:[Monitoring Site]],$B76)</f>
        <v>0</v>
      </c>
      <c r="F76" s="79">
        <f>COUNTIFS(TU_DB[[Orthophosphate (ppb)]:[Orthophosphate (ppb)]],F$19,TU_DB[[Monitoring Site]:[Monitoring Site]],$B76)</f>
        <v>0</v>
      </c>
      <c r="G76" s="79">
        <f>COUNTIFS(TU_DB[[Orthophosphate (ppb)]:[Orthophosphate (ppb)]],G$19,TU_DB[[Monitoring Site]:[Monitoring Site]],$B76)</f>
        <v>0</v>
      </c>
      <c r="H76" s="79">
        <f>COUNTIFS(TU_DB[[Orthophosphate (ppb)]:[Orthophosphate (ppb)]],H$19,TU_DB[[Monitoring Site]:[Monitoring Site]],$B76)</f>
        <v>0</v>
      </c>
      <c r="I76" s="79">
        <f>COUNTIFS(TU_DB[[Orthophosphate (ppb)]:[Orthophosphate (ppb)]],I$19,TU_DB[[Monitoring Site]:[Monitoring Site]],$B76)</f>
        <v>0</v>
      </c>
      <c r="J76" s="257">
        <f t="shared" ref="J76:J83" si="13">SUM(C76:I76)</f>
        <v>7</v>
      </c>
      <c r="K76" s="268">
        <f t="shared" ref="K76:K83" si="14">SUM(J76)/$J$75</f>
        <v>6.7307692307692304E-2</v>
      </c>
      <c r="U76"/>
    </row>
    <row r="77" spans="2:21" x14ac:dyDescent="0.25">
      <c r="B77" s="8" t="str">
        <f>Use!S136</f>
        <v>Hay Creek @ 320th St</v>
      </c>
      <c r="C77" s="257">
        <f>COUNTIFS(TU_DB[[Orthophosphate (ppb)]:[Orthophosphate (ppb)]],C$19,TU_DB[[Monitoring Site]:[Monitoring Site]],$B77)</f>
        <v>0</v>
      </c>
      <c r="D77" s="79">
        <f>COUNTIFS(TU_DB[[Orthophosphate (ppb)]:[Orthophosphate (ppb)]],D$19,TU_DB[[Monitoring Site]:[Monitoring Site]],$B77)</f>
        <v>0</v>
      </c>
      <c r="E77" s="79">
        <f>COUNTIFS(TU_DB[[Orthophosphate (ppb)]:[Orthophosphate (ppb)]],E$19,TU_DB[[Monitoring Site]:[Monitoring Site]],$B77)</f>
        <v>0</v>
      </c>
      <c r="F77" s="79">
        <f>COUNTIFS(TU_DB[[Orthophosphate (ppb)]:[Orthophosphate (ppb)]],F$19,TU_DB[[Monitoring Site]:[Monitoring Site]],$B77)</f>
        <v>0</v>
      </c>
      <c r="G77" s="79">
        <f>COUNTIFS(TU_DB[[Orthophosphate (ppb)]:[Orthophosphate (ppb)]],G$19,TU_DB[[Monitoring Site]:[Monitoring Site]],$B77)</f>
        <v>0</v>
      </c>
      <c r="H77" s="79">
        <f>COUNTIFS(TU_DB[[Orthophosphate (ppb)]:[Orthophosphate (ppb)]],H$19,TU_DB[[Monitoring Site]:[Monitoring Site]],$B77)</f>
        <v>0</v>
      </c>
      <c r="I77" s="79">
        <f>COUNTIFS(TU_DB[[Orthophosphate (ppb)]:[Orthophosphate (ppb)]],I$19,TU_DB[[Monitoring Site]:[Monitoring Site]],$B77)</f>
        <v>0</v>
      </c>
      <c r="J77" s="257">
        <f t="shared" si="13"/>
        <v>0</v>
      </c>
      <c r="K77" s="268">
        <f t="shared" si="14"/>
        <v>0</v>
      </c>
      <c r="U77"/>
    </row>
    <row r="78" spans="2:21" x14ac:dyDescent="0.25">
      <c r="B78" s="8" t="str">
        <f>Use!S137</f>
        <v>Hay Creek @ 325th St</v>
      </c>
      <c r="C78" s="257">
        <f>COUNTIFS(TU_DB[[Orthophosphate (ppb)]:[Orthophosphate (ppb)]],C$19,TU_DB[[Monitoring Site]:[Monitoring Site]],$B78)</f>
        <v>0</v>
      </c>
      <c r="D78" s="79">
        <f>COUNTIFS(TU_DB[[Orthophosphate (ppb)]:[Orthophosphate (ppb)]],D$19,TU_DB[[Monitoring Site]:[Monitoring Site]],$B78)</f>
        <v>0</v>
      </c>
      <c r="E78" s="79">
        <f>COUNTIFS(TU_DB[[Orthophosphate (ppb)]:[Orthophosphate (ppb)]],E$19,TU_DB[[Monitoring Site]:[Monitoring Site]],$B78)</f>
        <v>0</v>
      </c>
      <c r="F78" s="79">
        <f>COUNTIFS(TU_DB[[Orthophosphate (ppb)]:[Orthophosphate (ppb)]],F$19,TU_DB[[Monitoring Site]:[Monitoring Site]],$B78)</f>
        <v>0</v>
      </c>
      <c r="G78" s="79">
        <f>COUNTIFS(TU_DB[[Orthophosphate (ppb)]:[Orthophosphate (ppb)]],G$19,TU_DB[[Monitoring Site]:[Monitoring Site]],$B78)</f>
        <v>0</v>
      </c>
      <c r="H78" s="79">
        <f>COUNTIFS(TU_DB[[Orthophosphate (ppb)]:[Orthophosphate (ppb)]],H$19,TU_DB[[Monitoring Site]:[Monitoring Site]],$B78)</f>
        <v>0</v>
      </c>
      <c r="I78" s="79">
        <f>COUNTIFS(TU_DB[[Orthophosphate (ppb)]:[Orthophosphate (ppb)]],I$19,TU_DB[[Monitoring Site]:[Monitoring Site]],$B78)</f>
        <v>0</v>
      </c>
      <c r="J78" s="257">
        <f t="shared" si="13"/>
        <v>0</v>
      </c>
      <c r="K78" s="268">
        <f t="shared" si="14"/>
        <v>0</v>
      </c>
      <c r="U78"/>
    </row>
    <row r="79" spans="2:21" x14ac:dyDescent="0.25">
      <c r="B79" s="8" t="str">
        <f>Use!S138</f>
        <v>Eagle Creek</v>
      </c>
      <c r="C79" s="257">
        <f>COUNTIFS(TU_DB[[Orthophosphate (ppb)]:[Orthophosphate (ppb)]],C$19,TU_DB[[Monitoring Site]:[Monitoring Site]],$B79)</f>
        <v>0</v>
      </c>
      <c r="D79" s="79">
        <f>COUNTIFS(TU_DB[[Orthophosphate (ppb)]:[Orthophosphate (ppb)]],D$19,TU_DB[[Monitoring Site]:[Monitoring Site]],$B79)</f>
        <v>0</v>
      </c>
      <c r="E79" s="79">
        <f>COUNTIFS(TU_DB[[Orthophosphate (ppb)]:[Orthophosphate (ppb)]],E$19,TU_DB[[Monitoring Site]:[Monitoring Site]],$B79)</f>
        <v>0</v>
      </c>
      <c r="F79" s="79">
        <f>COUNTIFS(TU_DB[[Orthophosphate (ppb)]:[Orthophosphate (ppb)]],F$19,TU_DB[[Monitoring Site]:[Monitoring Site]],$B79)</f>
        <v>0</v>
      </c>
      <c r="G79" s="79">
        <f>COUNTIFS(TU_DB[[Orthophosphate (ppb)]:[Orthophosphate (ppb)]],G$19,TU_DB[[Monitoring Site]:[Monitoring Site]],$B79)</f>
        <v>0</v>
      </c>
      <c r="H79" s="79">
        <f>COUNTIFS(TU_DB[[Orthophosphate (ppb)]:[Orthophosphate (ppb)]],H$19,TU_DB[[Monitoring Site]:[Monitoring Site]],$B79)</f>
        <v>0</v>
      </c>
      <c r="I79" s="79">
        <f>COUNTIFS(TU_DB[[Orthophosphate (ppb)]:[Orthophosphate (ppb)]],I$19,TU_DB[[Monitoring Site]:[Monitoring Site]],$B79)</f>
        <v>0</v>
      </c>
      <c r="J79" s="257">
        <f t="shared" si="13"/>
        <v>0</v>
      </c>
      <c r="K79" s="268">
        <f t="shared" si="14"/>
        <v>0</v>
      </c>
      <c r="U79"/>
    </row>
    <row r="80" spans="2:21" x14ac:dyDescent="0.25">
      <c r="B80" s="8" t="str">
        <f>Use!S139</f>
        <v>Little Cannon River</v>
      </c>
      <c r="C80" s="257">
        <f>COUNTIFS(TU_DB[[Orthophosphate (ppb)]:[Orthophosphate (ppb)]],C$19,TU_DB[[Monitoring Site]:[Monitoring Site]],$B80)</f>
        <v>0</v>
      </c>
      <c r="D80" s="79">
        <f>COUNTIFS(TU_DB[[Orthophosphate (ppb)]:[Orthophosphate (ppb)]],D$19,TU_DB[[Monitoring Site]:[Monitoring Site]],$B80)</f>
        <v>0</v>
      </c>
      <c r="E80" s="79">
        <f>COUNTIFS(TU_DB[[Orthophosphate (ppb)]:[Orthophosphate (ppb)]],E$19,TU_DB[[Monitoring Site]:[Monitoring Site]],$B80)</f>
        <v>0</v>
      </c>
      <c r="F80" s="79">
        <f>COUNTIFS(TU_DB[[Orthophosphate (ppb)]:[Orthophosphate (ppb)]],F$19,TU_DB[[Monitoring Site]:[Monitoring Site]],$B80)</f>
        <v>0</v>
      </c>
      <c r="G80" s="79">
        <f>COUNTIFS(TU_DB[[Orthophosphate (ppb)]:[Orthophosphate (ppb)]],G$19,TU_DB[[Monitoring Site]:[Monitoring Site]],$B80)</f>
        <v>0</v>
      </c>
      <c r="H80" s="79">
        <f>COUNTIFS(TU_DB[[Orthophosphate (ppb)]:[Orthophosphate (ppb)]],H$19,TU_DB[[Monitoring Site]:[Monitoring Site]],$B80)</f>
        <v>0</v>
      </c>
      <c r="I80" s="79">
        <f>COUNTIFS(TU_DB[[Orthophosphate (ppb)]:[Orthophosphate (ppb)]],I$19,TU_DB[[Monitoring Site]:[Monitoring Site]],$B80)</f>
        <v>0</v>
      </c>
      <c r="J80" s="257">
        <f t="shared" si="13"/>
        <v>0</v>
      </c>
      <c r="K80" s="268">
        <f t="shared" si="14"/>
        <v>0</v>
      </c>
      <c r="U80"/>
    </row>
    <row r="81" spans="2:34" x14ac:dyDescent="0.25">
      <c r="B81" s="8" t="str">
        <f>Use!S140</f>
        <v>MOA Creek</v>
      </c>
      <c r="C81" s="257">
        <f>COUNTIFS(TU_DB[[Orthophosphate (ppb)]:[Orthophosphate (ppb)]],C$19,TU_DB[[Monitoring Site]:[Monitoring Site]],$B81)</f>
        <v>21</v>
      </c>
      <c r="D81" s="79">
        <f>COUNTIFS(TU_DB[[Orthophosphate (ppb)]:[Orthophosphate (ppb)]],D$19,TU_DB[[Monitoring Site]:[Monitoring Site]],$B81)</f>
        <v>2</v>
      </c>
      <c r="E81" s="79">
        <f>COUNTIFS(TU_DB[[Orthophosphate (ppb)]:[Orthophosphate (ppb)]],E$19,TU_DB[[Monitoring Site]:[Monitoring Site]],$B81)</f>
        <v>0</v>
      </c>
      <c r="F81" s="79">
        <f>COUNTIFS(TU_DB[[Orthophosphate (ppb)]:[Orthophosphate (ppb)]],F$19,TU_DB[[Monitoring Site]:[Monitoring Site]],$B81)</f>
        <v>0</v>
      </c>
      <c r="G81" s="79">
        <f>COUNTIFS(TU_DB[[Orthophosphate (ppb)]:[Orthophosphate (ppb)]],G$19,TU_DB[[Monitoring Site]:[Monitoring Site]],$B81)</f>
        <v>0</v>
      </c>
      <c r="H81" s="79">
        <f>COUNTIFS(TU_DB[[Orthophosphate (ppb)]:[Orthophosphate (ppb)]],H$19,TU_DB[[Monitoring Site]:[Monitoring Site]],$B81)</f>
        <v>0</v>
      </c>
      <c r="I81" s="79">
        <f>COUNTIFS(TU_DB[[Orthophosphate (ppb)]:[Orthophosphate (ppb)]],I$19,TU_DB[[Monitoring Site]:[Monitoring Site]],$B81)</f>
        <v>0</v>
      </c>
      <c r="J81" s="257">
        <f t="shared" si="13"/>
        <v>23</v>
      </c>
      <c r="K81" s="268">
        <f t="shared" si="14"/>
        <v>0.22115384615384615</v>
      </c>
      <c r="U81"/>
    </row>
    <row r="82" spans="2:34" x14ac:dyDescent="0.25">
      <c r="B82" s="8" t="str">
        <f>Use!S141</f>
        <v>Trout Brook</v>
      </c>
      <c r="C82" s="257">
        <f>COUNTIFS(TU_DB[[Orthophosphate (ppb)]:[Orthophosphate (ppb)]],C$19,TU_DB[[Monitoring Site]:[Monitoring Site]],$B82)</f>
        <v>19</v>
      </c>
      <c r="D82" s="79">
        <f>COUNTIFS(TU_DB[[Orthophosphate (ppb)]:[Orthophosphate (ppb)]],D$19,TU_DB[[Monitoring Site]:[Monitoring Site]],$B82)</f>
        <v>16</v>
      </c>
      <c r="E82" s="79">
        <f>COUNTIFS(TU_DB[[Orthophosphate (ppb)]:[Orthophosphate (ppb)]],E$19,TU_DB[[Monitoring Site]:[Monitoring Site]],$B82)</f>
        <v>2</v>
      </c>
      <c r="F82" s="79">
        <f>COUNTIFS(TU_DB[[Orthophosphate (ppb)]:[Orthophosphate (ppb)]],F$19,TU_DB[[Monitoring Site]:[Monitoring Site]],$B82)</f>
        <v>0</v>
      </c>
      <c r="G82" s="79">
        <f>COUNTIFS(TU_DB[[Orthophosphate (ppb)]:[Orthophosphate (ppb)]],G$19,TU_DB[[Monitoring Site]:[Monitoring Site]],$B82)</f>
        <v>1</v>
      </c>
      <c r="H82" s="79">
        <f>COUNTIFS(TU_DB[[Orthophosphate (ppb)]:[Orthophosphate (ppb)]],H$19,TU_DB[[Monitoring Site]:[Monitoring Site]],$B82)</f>
        <v>0</v>
      </c>
      <c r="I82" s="79">
        <f>COUNTIFS(TU_DB[[Orthophosphate (ppb)]:[Orthophosphate (ppb)]],I$19,TU_DB[[Monitoring Site]:[Monitoring Site]],$B82)</f>
        <v>0</v>
      </c>
      <c r="J82" s="257">
        <f t="shared" si="13"/>
        <v>38</v>
      </c>
      <c r="K82" s="268">
        <f t="shared" si="14"/>
        <v>0.36538461538461536</v>
      </c>
      <c r="U82"/>
    </row>
    <row r="83" spans="2:34" ht="15.75" thickBot="1" x14ac:dyDescent="0.3">
      <c r="B83" s="379" t="str">
        <f>Use!S142</f>
        <v>Vermillion River, South Branch</v>
      </c>
      <c r="C83" s="258">
        <f>COUNTIFS(TU_DB[[Orthophosphate (ppb)]:[Orthophosphate (ppb)]],C$19,TU_DB[[Monitoring Site]:[Monitoring Site]],$B83)</f>
        <v>12</v>
      </c>
      <c r="D83" s="255">
        <f>COUNTIFS(TU_DB[[Orthophosphate (ppb)]:[Orthophosphate (ppb)]],D$19,TU_DB[[Monitoring Site]:[Monitoring Site]],$B83)</f>
        <v>9</v>
      </c>
      <c r="E83" s="255">
        <f>COUNTIFS(TU_DB[[Orthophosphate (ppb)]:[Orthophosphate (ppb)]],E$19,TU_DB[[Monitoring Site]:[Monitoring Site]],$B83)</f>
        <v>14</v>
      </c>
      <c r="F83" s="255">
        <f>COUNTIFS(TU_DB[[Orthophosphate (ppb)]:[Orthophosphate (ppb)]],F$19,TU_DB[[Monitoring Site]:[Monitoring Site]],$B83)</f>
        <v>0</v>
      </c>
      <c r="G83" s="255">
        <f>COUNTIFS(TU_DB[[Orthophosphate (ppb)]:[Orthophosphate (ppb)]],G$19,TU_DB[[Monitoring Site]:[Monitoring Site]],$B83)</f>
        <v>1</v>
      </c>
      <c r="H83" s="255">
        <f>COUNTIFS(TU_DB[[Orthophosphate (ppb)]:[Orthophosphate (ppb)]],H$19,TU_DB[[Monitoring Site]:[Monitoring Site]],$B83)</f>
        <v>0</v>
      </c>
      <c r="I83" s="255">
        <f>COUNTIFS(TU_DB[[Orthophosphate (ppb)]:[Orthophosphate (ppb)]],I$19,TU_DB[[Monitoring Site]:[Monitoring Site]],$B83)</f>
        <v>0</v>
      </c>
      <c r="J83" s="258">
        <f t="shared" si="13"/>
        <v>36</v>
      </c>
      <c r="K83" s="380">
        <f t="shared" si="14"/>
        <v>0.34615384615384615</v>
      </c>
      <c r="U83"/>
    </row>
    <row r="84" spans="2:34" x14ac:dyDescent="0.25">
      <c r="U84"/>
      <c r="AF84" s="1"/>
      <c r="AG84" s="1"/>
      <c r="AH84" s="1"/>
    </row>
    <row r="85" spans="2:34" x14ac:dyDescent="0.25">
      <c r="O85" s="331" t="s">
        <v>4168</v>
      </c>
      <c r="P85" s="318">
        <v>0</v>
      </c>
      <c r="Q85" s="318">
        <v>100</v>
      </c>
      <c r="R85" s="318">
        <v>200</v>
      </c>
      <c r="S85" s="318">
        <v>300</v>
      </c>
      <c r="T85" s="318">
        <v>500</v>
      </c>
      <c r="U85" s="318">
        <v>1000</v>
      </c>
      <c r="V85" s="318">
        <v>2500</v>
      </c>
    </row>
    <row r="86" spans="2:34" x14ac:dyDescent="0.25">
      <c r="O86" s="332" t="str">
        <f t="shared" ref="O86" si="15">INDEX(B64:B82,MATCH($O$62,$B$64:$B$82,0))</f>
        <v>Hay Creek @ 320th St</v>
      </c>
      <c r="P86" s="318">
        <f>INDEX(C64:C83,MATCH($O$62,$B$64:$B$83,0))</f>
        <v>0</v>
      </c>
      <c r="Q86" s="318">
        <f t="shared" ref="Q86:V86" si="16">INDEX(D64:D83,MATCH($O$62,$B$64:$B$83,0))</f>
        <v>0</v>
      </c>
      <c r="R86" s="318">
        <f t="shared" si="16"/>
        <v>0</v>
      </c>
      <c r="S86" s="318">
        <f t="shared" si="16"/>
        <v>0</v>
      </c>
      <c r="T86" s="318">
        <f t="shared" si="16"/>
        <v>0</v>
      </c>
      <c r="U86" s="318">
        <f t="shared" si="16"/>
        <v>0</v>
      </c>
      <c r="V86" s="318">
        <f t="shared" si="16"/>
        <v>0</v>
      </c>
    </row>
    <row r="87" spans="2:34" x14ac:dyDescent="0.25">
      <c r="U87"/>
    </row>
    <row r="88" spans="2:34" x14ac:dyDescent="0.25">
      <c r="U88"/>
    </row>
    <row r="89" spans="2:34" x14ac:dyDescent="0.25">
      <c r="U89"/>
    </row>
    <row r="90" spans="2:34" x14ac:dyDescent="0.25">
      <c r="U90"/>
    </row>
    <row r="91" spans="2:34" x14ac:dyDescent="0.25">
      <c r="U91"/>
    </row>
    <row r="92" spans="2:34" x14ac:dyDescent="0.25">
      <c r="U92"/>
    </row>
    <row r="93" spans="2:34" x14ac:dyDescent="0.25">
      <c r="U93"/>
    </row>
    <row r="94" spans="2:34" x14ac:dyDescent="0.25">
      <c r="C94"/>
      <c r="D94"/>
      <c r="E94"/>
      <c r="U94"/>
      <c r="AA94"/>
      <c r="AB94"/>
    </row>
    <row r="95" spans="2:34" x14ac:dyDescent="0.25">
      <c r="C95"/>
      <c r="D95"/>
      <c r="E95"/>
      <c r="S95" s="1"/>
      <c r="T95" s="15"/>
      <c r="U95"/>
      <c r="AA95"/>
      <c r="AB95"/>
    </row>
    <row r="96" spans="2:34" x14ac:dyDescent="0.25">
      <c r="C96"/>
      <c r="D96"/>
      <c r="E96"/>
      <c r="K96" s="1"/>
      <c r="S96" s="1"/>
      <c r="T96" s="15"/>
      <c r="U96"/>
      <c r="AA96"/>
      <c r="AB96"/>
    </row>
    <row r="97" spans="3:28" x14ac:dyDescent="0.25">
      <c r="C97"/>
      <c r="D97"/>
      <c r="E97"/>
      <c r="K97" s="1"/>
      <c r="S97" s="1"/>
      <c r="T97" s="15"/>
      <c r="U97"/>
      <c r="AA97"/>
      <c r="AB97"/>
    </row>
    <row r="98" spans="3:28" x14ac:dyDescent="0.25">
      <c r="C98"/>
      <c r="D98"/>
      <c r="E98"/>
      <c r="K98" s="1"/>
      <c r="S98" s="1"/>
      <c r="T98" s="15"/>
      <c r="U98"/>
      <c r="AA98"/>
      <c r="AB98"/>
    </row>
    <row r="99" spans="3:28" customFormat="1" x14ac:dyDescent="0.25">
      <c r="S99" s="1"/>
      <c r="T99" s="15"/>
    </row>
    <row r="100" spans="3:28" customFormat="1" x14ac:dyDescent="0.25">
      <c r="S100" s="1"/>
      <c r="T100" s="15"/>
    </row>
    <row r="101" spans="3:28" x14ac:dyDescent="0.25">
      <c r="C101"/>
      <c r="D101"/>
      <c r="E101"/>
      <c r="M101" s="1"/>
      <c r="S101" s="1"/>
      <c r="T101" s="15"/>
      <c r="U101"/>
      <c r="AA101"/>
      <c r="AB101"/>
    </row>
    <row r="102" spans="3:28" x14ac:dyDescent="0.25">
      <c r="C102"/>
      <c r="D102"/>
      <c r="E102"/>
      <c r="M102" s="1"/>
      <c r="S102" s="1"/>
      <c r="T102" s="15"/>
      <c r="U102"/>
      <c r="AA102"/>
      <c r="AB102"/>
    </row>
    <row r="103" spans="3:28" x14ac:dyDescent="0.25">
      <c r="C103"/>
      <c r="D103"/>
      <c r="E103"/>
      <c r="M103" s="1"/>
      <c r="S103" s="1"/>
      <c r="T103" s="15"/>
      <c r="U103"/>
      <c r="AA103"/>
      <c r="AB103"/>
    </row>
    <row r="104" spans="3:28" x14ac:dyDescent="0.25">
      <c r="C104"/>
      <c r="D104"/>
      <c r="E104"/>
      <c r="M104" s="1"/>
      <c r="S104" s="1"/>
      <c r="T104" s="15"/>
      <c r="U104"/>
      <c r="AA104"/>
      <c r="AB104"/>
    </row>
    <row r="105" spans="3:28" x14ac:dyDescent="0.25">
      <c r="C105"/>
      <c r="D105"/>
      <c r="E105"/>
      <c r="M105" s="1"/>
      <c r="S105" s="1"/>
      <c r="T105" s="15"/>
      <c r="U105"/>
      <c r="AA105"/>
      <c r="AB105"/>
    </row>
    <row r="106" spans="3:28" x14ac:dyDescent="0.25">
      <c r="C106"/>
      <c r="D106"/>
      <c r="E106"/>
      <c r="M106" s="1"/>
      <c r="S106" s="1"/>
      <c r="T106" s="15"/>
      <c r="U106"/>
      <c r="AA106"/>
      <c r="AB106"/>
    </row>
    <row r="107" spans="3:28" x14ac:dyDescent="0.25">
      <c r="C107"/>
      <c r="D107"/>
      <c r="E107"/>
      <c r="M107" s="1"/>
      <c r="S107" s="1"/>
      <c r="T107" s="15"/>
      <c r="U107"/>
      <c r="AA107"/>
      <c r="AB107"/>
    </row>
    <row r="108" spans="3:28" x14ac:dyDescent="0.25">
      <c r="C108"/>
      <c r="D108"/>
      <c r="E108"/>
      <c r="M108" s="1"/>
      <c r="S108" s="1"/>
      <c r="T108" s="15"/>
      <c r="U108"/>
      <c r="AA108"/>
      <c r="AB108"/>
    </row>
    <row r="109" spans="3:28" x14ac:dyDescent="0.25">
      <c r="C109"/>
      <c r="D109"/>
      <c r="E109"/>
      <c r="M109" s="1"/>
      <c r="S109" s="1"/>
      <c r="T109" s="15"/>
      <c r="U109"/>
      <c r="AA109"/>
      <c r="AB109"/>
    </row>
    <row r="110" spans="3:28" x14ac:dyDescent="0.25">
      <c r="C110"/>
      <c r="D110"/>
      <c r="E110"/>
      <c r="M110" s="1"/>
      <c r="S110" s="1"/>
      <c r="T110" s="15"/>
      <c r="U110"/>
      <c r="AA110"/>
      <c r="AB110"/>
    </row>
    <row r="111" spans="3:28" x14ac:dyDescent="0.25">
      <c r="C111"/>
      <c r="D111"/>
      <c r="E111"/>
      <c r="M111" s="1"/>
      <c r="S111" s="1"/>
      <c r="T111" s="15"/>
      <c r="U111"/>
      <c r="AA111"/>
      <c r="AB111"/>
    </row>
    <row r="112" spans="3:28" x14ac:dyDescent="0.25">
      <c r="C112"/>
      <c r="D112"/>
      <c r="E112"/>
      <c r="M112" s="1"/>
      <c r="S112" s="1"/>
      <c r="T112" s="15"/>
      <c r="U112"/>
      <c r="AA112"/>
      <c r="AB112"/>
    </row>
    <row r="113" spans="3:28" x14ac:dyDescent="0.25">
      <c r="C113"/>
      <c r="D113"/>
      <c r="E113"/>
      <c r="M113" s="1"/>
      <c r="S113" s="1"/>
      <c r="T113" s="15"/>
      <c r="U113"/>
      <c r="AA113"/>
      <c r="AB113"/>
    </row>
    <row r="114" spans="3:28" x14ac:dyDescent="0.25">
      <c r="C114"/>
      <c r="D114"/>
      <c r="E114"/>
      <c r="M114" s="1"/>
      <c r="S114" s="1"/>
      <c r="T114" s="15"/>
      <c r="U114"/>
      <c r="AA114"/>
      <c r="AB114"/>
    </row>
    <row r="115" spans="3:28" x14ac:dyDescent="0.25">
      <c r="C115"/>
      <c r="D115"/>
      <c r="E115"/>
      <c r="M115" s="1"/>
      <c r="S115" s="1"/>
      <c r="T115" s="15"/>
      <c r="U115"/>
      <c r="AA115"/>
      <c r="AB115"/>
    </row>
    <row r="116" spans="3:28" x14ac:dyDescent="0.25">
      <c r="C116"/>
      <c r="D116"/>
      <c r="E116"/>
      <c r="M116" s="1"/>
      <c r="S116" s="1"/>
      <c r="T116" s="15"/>
      <c r="U116"/>
      <c r="AA116"/>
      <c r="AB116"/>
    </row>
    <row r="117" spans="3:28" x14ac:dyDescent="0.25">
      <c r="C117"/>
      <c r="D117"/>
      <c r="E117"/>
      <c r="M117" s="1"/>
      <c r="S117" s="1"/>
      <c r="T117" s="15"/>
      <c r="U117"/>
      <c r="AA117"/>
      <c r="AB117"/>
    </row>
    <row r="118" spans="3:28" x14ac:dyDescent="0.25">
      <c r="C118"/>
      <c r="D118"/>
      <c r="E118"/>
      <c r="M118" s="1"/>
      <c r="S118" s="1"/>
      <c r="T118" s="15"/>
      <c r="U118"/>
      <c r="AA118"/>
      <c r="AB118"/>
    </row>
    <row r="119" spans="3:28" x14ac:dyDescent="0.25">
      <c r="C119"/>
      <c r="D119"/>
      <c r="E119"/>
      <c r="M119" s="1"/>
      <c r="S119" s="1"/>
      <c r="T119" s="15"/>
      <c r="U119"/>
      <c r="AA119"/>
      <c r="AB119"/>
    </row>
    <row r="120" spans="3:28" x14ac:dyDescent="0.25">
      <c r="C120"/>
      <c r="D120"/>
      <c r="E120"/>
      <c r="M120" s="1"/>
      <c r="S120" s="1"/>
      <c r="T120" s="15"/>
      <c r="U120"/>
      <c r="AA120"/>
      <c r="AB120"/>
    </row>
    <row r="121" spans="3:28" x14ac:dyDescent="0.25">
      <c r="C121"/>
      <c r="D121"/>
      <c r="E121"/>
      <c r="M121" s="1"/>
      <c r="S121" s="1"/>
      <c r="T121" s="15"/>
      <c r="U121"/>
      <c r="AA121"/>
      <c r="AB121"/>
    </row>
    <row r="122" spans="3:28" x14ac:dyDescent="0.25">
      <c r="C122"/>
      <c r="D122"/>
      <c r="E122"/>
      <c r="M122" s="1"/>
      <c r="S122" s="1"/>
      <c r="T122" s="15"/>
      <c r="U122"/>
      <c r="AA122"/>
      <c r="AB122"/>
    </row>
    <row r="123" spans="3:28" x14ac:dyDescent="0.25">
      <c r="C123"/>
      <c r="D123"/>
      <c r="E123"/>
      <c r="M123" s="1"/>
      <c r="S123" s="1"/>
      <c r="T123" s="15"/>
      <c r="U123"/>
      <c r="AA123"/>
      <c r="AB123"/>
    </row>
    <row r="124" spans="3:28" x14ac:dyDescent="0.25">
      <c r="C124"/>
      <c r="D124"/>
      <c r="E124"/>
      <c r="M124" s="1"/>
      <c r="S124" s="1"/>
      <c r="T124" s="15"/>
      <c r="U124"/>
      <c r="AA124"/>
      <c r="AB124"/>
    </row>
    <row r="125" spans="3:28" x14ac:dyDescent="0.25">
      <c r="C125"/>
      <c r="D125"/>
      <c r="E125"/>
      <c r="M125" s="1"/>
      <c r="S125" s="1"/>
      <c r="T125" s="15"/>
      <c r="U125"/>
      <c r="AA125"/>
      <c r="AB125"/>
    </row>
    <row r="126" spans="3:28" x14ac:dyDescent="0.25">
      <c r="C126"/>
      <c r="D126"/>
      <c r="E126"/>
      <c r="M126" s="1"/>
      <c r="S126" s="1"/>
      <c r="T126" s="15"/>
      <c r="U126"/>
      <c r="AA126"/>
      <c r="AB126"/>
    </row>
  </sheetData>
  <mergeCells count="3">
    <mergeCell ref="C2:D2"/>
    <mergeCell ref="L18:L19"/>
    <mergeCell ref="O62:R62"/>
  </mergeCells>
  <dataValidations count="1">
    <dataValidation type="list" allowBlank="1" showInputMessage="1" showErrorMessage="1" sqref="O62:R62" xr:uid="{C011B367-FA88-4E66-9DFE-89B72E081E86}">
      <formula1>$B$64:$B$83</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6B5E-9E7B-4E83-8FB2-3C608A996C27}">
  <sheetPr codeName="Sheet9"/>
  <dimension ref="A1:TF744"/>
  <sheetViews>
    <sheetView showGridLines="0" topLeftCell="A3" zoomScale="70" zoomScaleNormal="70" workbookViewId="0">
      <selection activeCell="AF9" sqref="AF9"/>
    </sheetView>
  </sheetViews>
  <sheetFormatPr defaultRowHeight="15" x14ac:dyDescent="0.25"/>
  <cols>
    <col min="1" max="1" width="2.28515625" customWidth="1"/>
    <col min="2" max="2" width="13" customWidth="1"/>
    <col min="3" max="3" width="8.7109375" style="1" customWidth="1"/>
    <col min="4" max="14" width="8.7109375" style="6" customWidth="1"/>
    <col min="15" max="19" width="8.7109375" style="7" customWidth="1"/>
    <col min="20" max="20" width="8.7109375" style="6" customWidth="1"/>
    <col min="21" max="23" width="7.42578125" style="6" customWidth="1"/>
    <col min="24" max="24" width="10.42578125" style="1" customWidth="1"/>
    <col min="25" max="25" width="9.42578125" style="1" customWidth="1"/>
    <col min="26" max="26" width="9.42578125" customWidth="1"/>
    <col min="27" max="28" width="9.42578125" style="1" customWidth="1"/>
    <col min="29" max="30" width="10.42578125" style="1" customWidth="1"/>
    <col min="31" max="31" width="39.5703125" style="1" bestFit="1" customWidth="1"/>
    <col min="32" max="32" width="34.7109375" style="1" bestFit="1" customWidth="1"/>
    <col min="33" max="33" width="34" style="1" bestFit="1" customWidth="1"/>
    <col min="34" max="34" width="39.5703125" bestFit="1" customWidth="1"/>
    <col min="35" max="35" width="34.7109375" bestFit="1" customWidth="1"/>
    <col min="36" max="36" width="10.5703125" style="1" bestFit="1" customWidth="1"/>
    <col min="37" max="38" width="6.85546875" style="1" bestFit="1" customWidth="1"/>
    <col min="39" max="39" width="11.85546875" style="1" bestFit="1" customWidth="1"/>
    <col min="40" max="40" width="10.42578125" style="1" customWidth="1"/>
    <col min="41" max="42" width="16.42578125" bestFit="1" customWidth="1"/>
    <col min="43" max="43" width="9.85546875" bestFit="1" customWidth="1"/>
    <col min="44" max="44" width="16.42578125" bestFit="1" customWidth="1"/>
    <col min="45" max="47" width="16.42578125" style="17" bestFit="1" customWidth="1"/>
    <col min="48" max="48" width="10.5703125" style="17" bestFit="1" customWidth="1"/>
    <col min="49" max="49" width="11.140625" style="17" bestFit="1" customWidth="1"/>
    <col min="50" max="51" width="14.5703125" style="17" bestFit="1" customWidth="1"/>
    <col min="52" max="53" width="16.42578125" style="17" bestFit="1" customWidth="1"/>
    <col min="54" max="54" width="10.28515625" style="1" bestFit="1" customWidth="1"/>
    <col min="55" max="56" width="9.28515625" style="1" bestFit="1" customWidth="1"/>
    <col min="57" max="57" width="16.85546875" bestFit="1" customWidth="1"/>
    <col min="58" max="58" width="34" bestFit="1" customWidth="1"/>
    <col min="59" max="59" width="39.5703125" bestFit="1" customWidth="1"/>
    <col min="60" max="60" width="34.7109375" bestFit="1" customWidth="1"/>
    <col min="61" max="61" width="34" bestFit="1" customWidth="1"/>
    <col min="62" max="62" width="39.5703125" bestFit="1" customWidth="1"/>
    <col min="63" max="63" width="34.7109375" bestFit="1" customWidth="1"/>
    <col min="64" max="64" width="34" bestFit="1" customWidth="1"/>
    <col min="65" max="65" width="39.5703125" bestFit="1" customWidth="1"/>
    <col min="66" max="66" width="34.7109375" bestFit="1" customWidth="1"/>
    <col min="67" max="67" width="14.42578125" bestFit="1" customWidth="1"/>
    <col min="68" max="68" width="13.42578125" bestFit="1" customWidth="1"/>
    <col min="69" max="70" width="14.42578125" bestFit="1" customWidth="1"/>
    <col min="71" max="71" width="13.42578125" bestFit="1" customWidth="1"/>
    <col min="72" max="72" width="14.42578125" bestFit="1" customWidth="1"/>
    <col min="73" max="74" width="13.42578125" bestFit="1" customWidth="1"/>
    <col min="75" max="75" width="12.28515625" bestFit="1" customWidth="1"/>
    <col min="76" max="82" width="14.42578125" bestFit="1" customWidth="1"/>
    <col min="83" max="83" width="13.42578125" bestFit="1" customWidth="1"/>
    <col min="84" max="85" width="14.42578125" bestFit="1" customWidth="1"/>
    <col min="86" max="86" width="13.42578125" bestFit="1" customWidth="1"/>
    <col min="87" max="88" width="14.42578125" bestFit="1" customWidth="1"/>
    <col min="89" max="90" width="13.42578125" bestFit="1" customWidth="1"/>
    <col min="91" max="97" width="14.42578125" bestFit="1" customWidth="1"/>
    <col min="98" max="100" width="13.42578125" bestFit="1" customWidth="1"/>
    <col min="101" max="101" width="14.42578125" bestFit="1" customWidth="1"/>
    <col min="102" max="105" width="13.42578125" bestFit="1" customWidth="1"/>
    <col min="106" max="106" width="14.42578125" bestFit="1" customWidth="1"/>
    <col min="107" max="107" width="12.28515625" bestFit="1" customWidth="1"/>
    <col min="108" max="108" width="13.42578125" bestFit="1" customWidth="1"/>
    <col min="109" max="109" width="12.28515625" bestFit="1" customWidth="1"/>
    <col min="110" max="110" width="14.42578125" bestFit="1" customWidth="1"/>
    <col min="111" max="111" width="13.42578125" bestFit="1" customWidth="1"/>
    <col min="112" max="116" width="14.42578125" bestFit="1" customWidth="1"/>
    <col min="117" max="119" width="13.42578125" bestFit="1" customWidth="1"/>
    <col min="120" max="125" width="14.42578125" bestFit="1" customWidth="1"/>
    <col min="126" max="126" width="13.42578125" bestFit="1" customWidth="1"/>
    <col min="127" max="127" width="14.42578125" bestFit="1" customWidth="1"/>
    <col min="128" max="128" width="12.28515625" bestFit="1" customWidth="1"/>
    <col min="129" max="141" width="14.42578125" bestFit="1" customWidth="1"/>
    <col min="142" max="142" width="13.42578125" bestFit="1" customWidth="1"/>
    <col min="143" max="144" width="14.42578125" bestFit="1" customWidth="1"/>
    <col min="145" max="145" width="13.42578125" bestFit="1" customWidth="1"/>
    <col min="146" max="146" width="14.42578125" bestFit="1" customWidth="1"/>
    <col min="147" max="149" width="13.42578125" bestFit="1" customWidth="1"/>
    <col min="150" max="150" width="14.42578125" bestFit="1" customWidth="1"/>
    <col min="151" max="156" width="13.42578125" bestFit="1" customWidth="1"/>
    <col min="157" max="161" width="14.42578125" bestFit="1" customWidth="1"/>
    <col min="162" max="162" width="13.42578125" bestFit="1" customWidth="1"/>
    <col min="163" max="172" width="14.42578125" bestFit="1" customWidth="1"/>
    <col min="173" max="173" width="13.42578125" bestFit="1" customWidth="1"/>
    <col min="174" max="178" width="14.42578125" bestFit="1" customWidth="1"/>
    <col min="179" max="179" width="13.42578125" bestFit="1" customWidth="1"/>
    <col min="180" max="180" width="14.42578125" bestFit="1" customWidth="1"/>
    <col min="181" max="181" width="13.42578125" bestFit="1" customWidth="1"/>
    <col min="182" max="185" width="14.42578125" bestFit="1" customWidth="1"/>
    <col min="186" max="186" width="15.42578125" bestFit="1" customWidth="1"/>
    <col min="187" max="187" width="14.42578125" bestFit="1" customWidth="1"/>
    <col min="188" max="189" width="15.42578125" bestFit="1" customWidth="1"/>
    <col min="190" max="207" width="14.42578125" bestFit="1" customWidth="1"/>
    <col min="208" max="208" width="32" bestFit="1" customWidth="1"/>
    <col min="209" max="213" width="14.42578125" bestFit="1" customWidth="1"/>
    <col min="214" max="214" width="12.28515625" bestFit="1" customWidth="1"/>
    <col min="215" max="216" width="13.42578125" bestFit="1" customWidth="1"/>
    <col min="217" max="220" width="14.42578125" bestFit="1" customWidth="1"/>
    <col min="221" max="221" width="13.42578125" bestFit="1" customWidth="1"/>
    <col min="222" max="222" width="12.28515625" bestFit="1" customWidth="1"/>
    <col min="223" max="227" width="14.42578125" bestFit="1" customWidth="1"/>
    <col min="228" max="229" width="13.42578125" bestFit="1" customWidth="1"/>
    <col min="230" max="230" width="14.42578125" bestFit="1" customWidth="1"/>
    <col min="231" max="231" width="13.42578125" bestFit="1" customWidth="1"/>
    <col min="232" max="233" width="14.42578125" bestFit="1" customWidth="1"/>
    <col min="234" max="234" width="13.42578125" bestFit="1" customWidth="1"/>
    <col min="235" max="235" width="14.42578125" bestFit="1" customWidth="1"/>
    <col min="236" max="237" width="13.42578125" bestFit="1" customWidth="1"/>
    <col min="238" max="238" width="12.28515625" bestFit="1" customWidth="1"/>
    <col min="239" max="245" width="14.42578125" bestFit="1" customWidth="1"/>
    <col min="246" max="246" width="13.42578125" bestFit="1" customWidth="1"/>
    <col min="247" max="248" width="14.42578125" bestFit="1" customWidth="1"/>
    <col min="249" max="249" width="13.42578125" bestFit="1" customWidth="1"/>
    <col min="250" max="251" width="14.42578125" bestFit="1" customWidth="1"/>
    <col min="252" max="253" width="13.42578125" bestFit="1" customWidth="1"/>
    <col min="254" max="260" width="14.42578125" bestFit="1" customWidth="1"/>
    <col min="261" max="263" width="13.42578125" bestFit="1" customWidth="1"/>
    <col min="264" max="264" width="14.42578125" bestFit="1" customWidth="1"/>
    <col min="265" max="268" width="13.42578125" bestFit="1" customWidth="1"/>
    <col min="269" max="269" width="14.42578125" bestFit="1" customWidth="1"/>
    <col min="270" max="270" width="12.28515625" bestFit="1" customWidth="1"/>
    <col min="271" max="271" width="13.42578125" bestFit="1" customWidth="1"/>
    <col min="272" max="272" width="12.28515625" bestFit="1" customWidth="1"/>
    <col min="273" max="273" width="14.42578125" bestFit="1" customWidth="1"/>
    <col min="274" max="274" width="13.42578125" bestFit="1" customWidth="1"/>
    <col min="275" max="279" width="14.42578125" bestFit="1" customWidth="1"/>
    <col min="280" max="282" width="13.42578125" bestFit="1" customWidth="1"/>
    <col min="283" max="288" width="14.42578125" bestFit="1" customWidth="1"/>
    <col min="289" max="289" width="13.42578125" bestFit="1" customWidth="1"/>
    <col min="290" max="290" width="14.42578125" bestFit="1" customWidth="1"/>
    <col min="291" max="291" width="12.28515625" bestFit="1" customWidth="1"/>
    <col min="292" max="304" width="14.42578125" bestFit="1" customWidth="1"/>
    <col min="305" max="305" width="13.42578125" bestFit="1" customWidth="1"/>
    <col min="306" max="307" width="14.42578125" bestFit="1" customWidth="1"/>
    <col min="308" max="308" width="13.42578125" bestFit="1" customWidth="1"/>
    <col min="309" max="309" width="14.42578125" bestFit="1" customWidth="1"/>
    <col min="310" max="312" width="13.42578125" bestFit="1" customWidth="1"/>
    <col min="313" max="313" width="14.42578125" bestFit="1" customWidth="1"/>
    <col min="314" max="319" width="13.42578125" bestFit="1" customWidth="1"/>
    <col min="320" max="324" width="14.42578125" bestFit="1" customWidth="1"/>
    <col min="325" max="325" width="13.42578125" bestFit="1" customWidth="1"/>
    <col min="326" max="335" width="14.42578125" bestFit="1" customWidth="1"/>
    <col min="336" max="336" width="13.42578125" bestFit="1" customWidth="1"/>
    <col min="337" max="341" width="14.42578125" bestFit="1" customWidth="1"/>
    <col min="342" max="342" width="13.42578125" bestFit="1" customWidth="1"/>
    <col min="343" max="343" width="14.42578125" bestFit="1" customWidth="1"/>
    <col min="344" max="344" width="13.42578125" bestFit="1" customWidth="1"/>
    <col min="345" max="348" width="14.42578125" bestFit="1" customWidth="1"/>
    <col min="349" max="349" width="15.42578125" bestFit="1" customWidth="1"/>
    <col min="350" max="350" width="14.42578125" bestFit="1" customWidth="1"/>
    <col min="351" max="352" width="15.42578125" bestFit="1" customWidth="1"/>
    <col min="353" max="370" width="14.42578125" bestFit="1" customWidth="1"/>
    <col min="371" max="371" width="27.85546875" bestFit="1" customWidth="1"/>
    <col min="372" max="376" width="14.42578125" bestFit="1" customWidth="1"/>
    <col min="377" max="377" width="12.28515625" bestFit="1" customWidth="1"/>
    <col min="378" max="379" width="13.42578125" bestFit="1" customWidth="1"/>
    <col min="380" max="383" width="14.42578125" bestFit="1" customWidth="1"/>
    <col min="384" max="384" width="13.42578125" bestFit="1" customWidth="1"/>
    <col min="385" max="385" width="12.28515625" bestFit="1" customWidth="1"/>
    <col min="386" max="390" width="14.42578125" bestFit="1" customWidth="1"/>
    <col min="391" max="392" width="13.42578125" bestFit="1" customWidth="1"/>
    <col min="393" max="393" width="14.42578125" bestFit="1" customWidth="1"/>
    <col min="394" max="394" width="13.42578125" bestFit="1" customWidth="1"/>
    <col min="395" max="396" width="14.42578125" bestFit="1" customWidth="1"/>
    <col min="397" max="397" width="13.42578125" bestFit="1" customWidth="1"/>
    <col min="398" max="398" width="14.42578125" bestFit="1" customWidth="1"/>
    <col min="399" max="400" width="13.42578125" bestFit="1" customWidth="1"/>
    <col min="401" max="401" width="12.28515625" bestFit="1" customWidth="1"/>
    <col min="402" max="408" width="14.42578125" bestFit="1" customWidth="1"/>
    <col min="409" max="409" width="13.42578125" bestFit="1" customWidth="1"/>
    <col min="410" max="411" width="14.42578125" bestFit="1" customWidth="1"/>
    <col min="412" max="412" width="13.42578125" bestFit="1" customWidth="1"/>
    <col min="413" max="414" width="14.42578125" bestFit="1" customWidth="1"/>
    <col min="415" max="416" width="13.42578125" bestFit="1" customWidth="1"/>
    <col min="417" max="423" width="14.42578125" bestFit="1" customWidth="1"/>
    <col min="424" max="426" width="13.42578125" bestFit="1" customWidth="1"/>
    <col min="427" max="427" width="14.42578125" bestFit="1" customWidth="1"/>
    <col min="428" max="431" width="13.42578125" bestFit="1" customWidth="1"/>
    <col min="432" max="432" width="14.42578125" bestFit="1" customWidth="1"/>
    <col min="433" max="433" width="12.28515625" bestFit="1" customWidth="1"/>
    <col min="434" max="434" width="13.42578125" bestFit="1" customWidth="1"/>
    <col min="435" max="435" width="12.28515625" bestFit="1" customWidth="1"/>
    <col min="436" max="436" width="14.42578125" bestFit="1" customWidth="1"/>
    <col min="437" max="437" width="13.42578125" bestFit="1" customWidth="1"/>
    <col min="438" max="442" width="14.42578125" bestFit="1" customWidth="1"/>
    <col min="443" max="445" width="13.42578125" bestFit="1" customWidth="1"/>
    <col min="446" max="451" width="14.42578125" bestFit="1" customWidth="1"/>
    <col min="452" max="452" width="13.42578125" bestFit="1" customWidth="1"/>
    <col min="453" max="453" width="14.42578125" bestFit="1" customWidth="1"/>
    <col min="454" max="454" width="12.28515625" bestFit="1" customWidth="1"/>
    <col min="455" max="467" width="14.42578125" bestFit="1" customWidth="1"/>
    <col min="468" max="468" width="13.42578125" bestFit="1" customWidth="1"/>
    <col min="469" max="470" width="14.42578125" bestFit="1" customWidth="1"/>
    <col min="471" max="471" width="13.42578125" bestFit="1" customWidth="1"/>
    <col min="472" max="472" width="14.42578125" bestFit="1" customWidth="1"/>
    <col min="473" max="475" width="13.42578125" bestFit="1" customWidth="1"/>
    <col min="476" max="476" width="14.42578125" bestFit="1" customWidth="1"/>
    <col min="477" max="482" width="13.42578125" bestFit="1" customWidth="1"/>
    <col min="483" max="487" width="14.42578125" bestFit="1" customWidth="1"/>
    <col min="488" max="488" width="13.42578125" bestFit="1" customWidth="1"/>
    <col min="489" max="498" width="14.42578125" bestFit="1" customWidth="1"/>
    <col min="499" max="499" width="13.42578125" bestFit="1" customWidth="1"/>
    <col min="500" max="504" width="14.42578125" bestFit="1" customWidth="1"/>
    <col min="505" max="505" width="13.42578125" bestFit="1" customWidth="1"/>
    <col min="506" max="506" width="14.42578125" bestFit="1" customWidth="1"/>
    <col min="507" max="507" width="13.42578125" bestFit="1" customWidth="1"/>
    <col min="508" max="511" width="14.42578125" bestFit="1" customWidth="1"/>
    <col min="512" max="512" width="15.42578125" bestFit="1" customWidth="1"/>
    <col min="513" max="513" width="14.42578125" bestFit="1" customWidth="1"/>
    <col min="514" max="515" width="15.42578125" bestFit="1" customWidth="1"/>
    <col min="516" max="533" width="14.42578125" bestFit="1" customWidth="1"/>
    <col min="534" max="534" width="33.140625" bestFit="1" customWidth="1"/>
    <col min="535" max="535" width="36.7109375" bestFit="1" customWidth="1"/>
    <col min="536" max="536" width="32.42578125" bestFit="1" customWidth="1"/>
  </cols>
  <sheetData>
    <row r="1" spans="1:56" ht="20.65" customHeight="1" x14ac:dyDescent="0.45">
      <c r="A1" s="4" t="s">
        <v>1271</v>
      </c>
      <c r="B1" s="6"/>
      <c r="P1" s="6"/>
      <c r="Q1" s="6"/>
      <c r="R1" s="6"/>
      <c r="S1" s="6"/>
      <c r="Z1" s="1"/>
      <c r="AC1"/>
      <c r="AD1"/>
      <c r="AE1"/>
      <c r="AH1" s="1"/>
      <c r="AI1" s="1"/>
      <c r="AL1"/>
      <c r="AM1"/>
      <c r="AN1"/>
      <c r="AP1" s="17"/>
      <c r="AQ1" s="17"/>
      <c r="AR1" s="17"/>
      <c r="AW1" s="1"/>
      <c r="AX1" s="1"/>
      <c r="AY1" s="1"/>
      <c r="AZ1"/>
      <c r="BA1"/>
      <c r="BB1"/>
      <c r="BC1"/>
      <c r="BD1"/>
    </row>
    <row r="2" spans="1:56" ht="15.75" x14ac:dyDescent="0.25">
      <c r="A2" s="2" t="s">
        <v>75</v>
      </c>
      <c r="B2" s="1"/>
      <c r="C2" s="394" t="s">
        <v>4791</v>
      </c>
      <c r="D2" s="394"/>
      <c r="E2" s="394"/>
      <c r="P2" s="6"/>
      <c r="Q2" s="6"/>
      <c r="R2" s="6"/>
      <c r="S2" s="6"/>
      <c r="Z2" s="1"/>
      <c r="AC2"/>
      <c r="AD2"/>
      <c r="AE2"/>
      <c r="AH2" s="1"/>
      <c r="AI2" s="1"/>
      <c r="AL2"/>
      <c r="AM2"/>
      <c r="AN2"/>
      <c r="AP2" s="17"/>
      <c r="AQ2" s="17"/>
      <c r="AR2" s="17"/>
      <c r="AV2" s="1"/>
      <c r="AW2" s="1"/>
      <c r="AX2" s="1"/>
      <c r="AY2"/>
      <c r="AZ2"/>
      <c r="BA2"/>
      <c r="BB2"/>
      <c r="BC2"/>
      <c r="BD2"/>
    </row>
    <row r="3" spans="1:56" x14ac:dyDescent="0.25">
      <c r="B3" s="13" t="s">
        <v>0</v>
      </c>
      <c r="C3" s="111">
        <f>TUDB!B3</f>
        <v>45580</v>
      </c>
      <c r="P3" s="6"/>
      <c r="Q3" s="351"/>
      <c r="R3" s="6"/>
      <c r="S3" s="6"/>
      <c r="X3" s="5"/>
      <c r="Z3" s="1"/>
      <c r="AC3"/>
      <c r="AD3"/>
      <c r="AE3"/>
      <c r="AG3" s="5"/>
      <c r="AH3" s="1"/>
      <c r="AI3" s="1"/>
      <c r="AL3"/>
      <c r="AM3"/>
      <c r="AN3"/>
      <c r="AP3" s="17"/>
      <c r="AQ3" s="17"/>
      <c r="AR3" s="17"/>
      <c r="AV3" s="1"/>
      <c r="AW3" s="1"/>
      <c r="AX3" s="1"/>
      <c r="AY3"/>
      <c r="AZ3"/>
      <c r="BA3"/>
      <c r="BB3"/>
      <c r="BC3"/>
      <c r="BD3"/>
    </row>
    <row r="4" spans="1:56" x14ac:dyDescent="0.25">
      <c r="B4" s="12" t="s">
        <v>88</v>
      </c>
      <c r="P4" s="6"/>
      <c r="Q4" s="6"/>
      <c r="R4" s="6"/>
      <c r="S4" s="6"/>
      <c r="Z4" s="1"/>
      <c r="AC4"/>
      <c r="AD4"/>
      <c r="AE4"/>
      <c r="AH4" s="1"/>
      <c r="AI4" s="1"/>
      <c r="AL4"/>
      <c r="AM4"/>
      <c r="AN4"/>
      <c r="AP4" s="17"/>
      <c r="AQ4" s="17"/>
      <c r="AR4" s="17"/>
      <c r="AV4" s="1"/>
      <c r="AW4" s="1"/>
      <c r="AX4" s="1"/>
      <c r="AY4"/>
      <c r="AZ4"/>
      <c r="BA4"/>
      <c r="BB4"/>
      <c r="BC4"/>
      <c r="BD4"/>
    </row>
    <row r="5" spans="1:56" x14ac:dyDescent="0.25">
      <c r="P5" s="6"/>
      <c r="Q5" s="6"/>
      <c r="R5" s="6"/>
      <c r="S5" s="6"/>
      <c r="AL5"/>
      <c r="AM5"/>
      <c r="AN5"/>
      <c r="AP5" s="17"/>
      <c r="AQ5" s="17"/>
      <c r="AR5" s="17"/>
      <c r="AV5" s="1"/>
      <c r="AW5" s="1"/>
      <c r="AX5" s="1"/>
      <c r="AY5"/>
      <c r="AZ5"/>
      <c r="BA5"/>
      <c r="BB5"/>
      <c r="BC5"/>
      <c r="BD5"/>
    </row>
    <row r="6" spans="1:56" ht="15.75" x14ac:dyDescent="0.25">
      <c r="B6" s="11" t="s">
        <v>4794</v>
      </c>
      <c r="P6" s="352"/>
      <c r="Q6" s="6"/>
      <c r="R6" s="6"/>
      <c r="S6" s="6"/>
      <c r="W6" s="352"/>
      <c r="AL6"/>
      <c r="AM6"/>
      <c r="AN6"/>
      <c r="AP6" s="17"/>
      <c r="AQ6" s="17"/>
      <c r="AR6" s="17"/>
      <c r="AV6" s="1"/>
      <c r="AW6" s="1"/>
      <c r="AX6" s="1"/>
      <c r="AY6"/>
      <c r="AZ6"/>
      <c r="BA6"/>
      <c r="BB6"/>
      <c r="BC6"/>
      <c r="BD6"/>
    </row>
    <row r="7" spans="1:56" ht="16.5" thickBot="1" x14ac:dyDescent="0.3">
      <c r="B7" s="11"/>
      <c r="C7" s="11"/>
      <c r="J7" s="353"/>
      <c r="K7" s="347"/>
      <c r="M7" s="353"/>
      <c r="N7" s="347"/>
      <c r="O7" s="6"/>
      <c r="Q7" s="352"/>
      <c r="R7" s="6"/>
      <c r="S7" s="6"/>
      <c r="X7"/>
      <c r="Y7" s="1" t="s">
        <v>4211</v>
      </c>
      <c r="Z7" s="1"/>
      <c r="AG7" s="11"/>
      <c r="AH7" s="1"/>
      <c r="AI7" s="1"/>
      <c r="AJ7"/>
      <c r="AK7"/>
      <c r="AL7"/>
      <c r="AM7"/>
      <c r="AZ7" s="1"/>
      <c r="BA7"/>
      <c r="BB7"/>
      <c r="BC7"/>
      <c r="BD7"/>
    </row>
    <row r="8" spans="1:56" ht="15.75" thickTop="1" x14ac:dyDescent="0.25">
      <c r="B8" s="46"/>
      <c r="C8" s="46"/>
      <c r="D8" s="354" t="s">
        <v>4792</v>
      </c>
      <c r="E8" s="354"/>
      <c r="F8" s="354"/>
      <c r="G8" s="354"/>
      <c r="H8" s="354"/>
      <c r="I8" s="354"/>
      <c r="J8" s="354"/>
      <c r="K8" s="354"/>
      <c r="L8" s="354"/>
      <c r="M8" s="354"/>
      <c r="N8" s="354"/>
      <c r="O8" s="354"/>
      <c r="P8" s="354"/>
      <c r="Q8" s="354"/>
      <c r="R8" s="354"/>
      <c r="S8" s="354"/>
      <c r="T8" s="354"/>
      <c r="U8" s="354"/>
      <c r="V8" s="354"/>
      <c r="W8" s="354"/>
      <c r="X8"/>
      <c r="Y8" s="363" t="s">
        <v>2104</v>
      </c>
      <c r="Z8" s="363"/>
      <c r="AA8" s="354"/>
      <c r="AB8" s="354"/>
      <c r="AC8"/>
      <c r="AD8"/>
      <c r="AE8"/>
      <c r="AF8"/>
      <c r="AG8"/>
      <c r="AJ8"/>
      <c r="AK8"/>
      <c r="AL8"/>
      <c r="AM8"/>
      <c r="AS8"/>
      <c r="AT8"/>
      <c r="AU8"/>
      <c r="AV8"/>
      <c r="AW8"/>
      <c r="AZ8" s="1"/>
      <c r="BA8"/>
      <c r="BB8"/>
      <c r="BC8"/>
      <c r="BD8"/>
    </row>
    <row r="9" spans="1:56" ht="21" customHeight="1" x14ac:dyDescent="0.25">
      <c r="B9" s="80"/>
      <c r="C9" s="561" t="s">
        <v>4184</v>
      </c>
      <c r="D9" s="340">
        <v>2020</v>
      </c>
      <c r="E9" s="341"/>
      <c r="F9" s="341"/>
      <c r="G9" s="342"/>
      <c r="H9" s="340">
        <v>2021</v>
      </c>
      <c r="I9" s="341"/>
      <c r="J9" s="341"/>
      <c r="K9" s="342"/>
      <c r="L9" s="340">
        <v>2022</v>
      </c>
      <c r="M9" s="341"/>
      <c r="N9" s="341"/>
      <c r="O9" s="342"/>
      <c r="P9" s="340">
        <v>2023</v>
      </c>
      <c r="Q9" s="341"/>
      <c r="R9" s="341"/>
      <c r="S9" s="342"/>
      <c r="T9" s="340">
        <v>2024</v>
      </c>
      <c r="U9" s="341"/>
      <c r="V9" s="341"/>
      <c r="W9" s="341"/>
      <c r="X9"/>
      <c r="Y9" s="365" t="s">
        <v>4210</v>
      </c>
      <c r="Z9" s="365" t="s">
        <v>4209</v>
      </c>
      <c r="AA9" s="365" t="s">
        <v>4208</v>
      </c>
      <c r="AB9" s="365" t="s">
        <v>1278</v>
      </c>
      <c r="AC9"/>
      <c r="AD9"/>
      <c r="AE9"/>
      <c r="AF9"/>
      <c r="AG9"/>
      <c r="AJ9"/>
      <c r="AK9"/>
      <c r="AL9"/>
      <c r="AM9"/>
      <c r="AS9"/>
      <c r="AT9"/>
      <c r="AU9"/>
      <c r="AV9"/>
      <c r="AW9"/>
      <c r="AZ9" s="1"/>
      <c r="BA9"/>
      <c r="BB9"/>
      <c r="BC9"/>
      <c r="BD9"/>
    </row>
    <row r="10" spans="1:56" ht="17.25" customHeight="1" x14ac:dyDescent="0.25">
      <c r="B10" s="100" t="s">
        <v>136</v>
      </c>
      <c r="C10" s="562"/>
      <c r="D10" s="350" t="s">
        <v>4187</v>
      </c>
      <c r="E10" s="47" t="s">
        <v>4188</v>
      </c>
      <c r="F10" s="47" t="s">
        <v>4189</v>
      </c>
      <c r="G10" s="48" t="s">
        <v>4190</v>
      </c>
      <c r="H10" s="350" t="s">
        <v>4191</v>
      </c>
      <c r="I10" s="47" t="s">
        <v>4192</v>
      </c>
      <c r="J10" s="47" t="s">
        <v>4193</v>
      </c>
      <c r="K10" s="48" t="s">
        <v>4194</v>
      </c>
      <c r="L10" s="350" t="s">
        <v>4195</v>
      </c>
      <c r="M10" s="47" t="s">
        <v>4196</v>
      </c>
      <c r="N10" s="47" t="s">
        <v>4197</v>
      </c>
      <c r="O10" s="48" t="s">
        <v>4198</v>
      </c>
      <c r="P10" s="350" t="s">
        <v>4199</v>
      </c>
      <c r="Q10" s="47" t="s">
        <v>4200</v>
      </c>
      <c r="R10" s="47" t="s">
        <v>4201</v>
      </c>
      <c r="S10" s="48" t="s">
        <v>4202</v>
      </c>
      <c r="T10" s="350" t="s">
        <v>4203</v>
      </c>
      <c r="U10" s="47" t="s">
        <v>4204</v>
      </c>
      <c r="V10" s="47" t="s">
        <v>4205</v>
      </c>
      <c r="W10" s="47" t="s">
        <v>4206</v>
      </c>
      <c r="X10"/>
      <c r="Y10" s="364">
        <v>67</v>
      </c>
      <c r="Z10" s="364">
        <v>71</v>
      </c>
      <c r="AA10" s="364">
        <v>76</v>
      </c>
      <c r="AB10" s="364">
        <v>100</v>
      </c>
      <c r="AC10"/>
      <c r="AD10"/>
      <c r="AF10"/>
      <c r="AG10"/>
      <c r="AJ10"/>
      <c r="AK10"/>
      <c r="AL10"/>
      <c r="AM10"/>
      <c r="AS10"/>
      <c r="AT10"/>
      <c r="AU10"/>
      <c r="AV10"/>
      <c r="AW10"/>
      <c r="AZ10" s="1"/>
      <c r="BA10"/>
      <c r="BB10"/>
      <c r="BC10"/>
      <c r="BD10"/>
    </row>
    <row r="11" spans="1:56" ht="18.75" customHeight="1" x14ac:dyDescent="0.25">
      <c r="B11" s="6" t="s">
        <v>581</v>
      </c>
      <c r="C11" s="6">
        <v>1</v>
      </c>
      <c r="D11" s="344">
        <f>COUNTIFS(TU_DB[[Water Temperature (oF)]:[Water Temperature (oF)]],"&gt;="&amp;32,TU_DB[[Year]:[Year]],D$9,TU_DB[[Month No.]:[Month No.]],$C11)</f>
        <v>0</v>
      </c>
      <c r="E11" s="345" t="str">
        <f>IF(D11&gt;0,_xlfn.MINIFS(TU_DB[[Water Temperature (oF)]:[Water Temperature (oF)]],TU_DB[[Year]:[Year]],D$9,TU_DB[[Month No.]:[Month No.]],$C11),"-")</f>
        <v>-</v>
      </c>
      <c r="F11" s="345" t="str">
        <f>IF(D11&gt;0,AVERAGEIFS(TU_DB[[Water Temperature (oF)]:[Water Temperature (oF)]],TU_DB[[Year]:[Year]],D$9,TU_DB[[Month No.]:[Month No.]],$C11),"-")</f>
        <v>-</v>
      </c>
      <c r="G11" s="346" t="str">
        <f>IF(D11&gt;0,_xlfn.MAXIFS(TU_DB[[Water Temperature (oF)]:[Water Temperature (oF)]],TU_DB[[Year]:[Year]],D$9,TU_DB[[Month No.]:[Month No.]],$C11),"-")</f>
        <v>-</v>
      </c>
      <c r="H11" s="344">
        <f>COUNTIFS(TU_DB[[Water Temperature (oF)]:[Water Temperature (oF)]],"&gt;="&amp;32,TU_DB[[Year]:[Year]],H$9,TU_DB[[Month No.]:[Month No.]],$C11)</f>
        <v>6</v>
      </c>
      <c r="I11" s="345">
        <f>IF(H11&gt;0,_xlfn.MINIFS(TU_DB[[Water Temperature (oF)]:[Water Temperature (oF)]],TU_DB[[Year]:[Year]],H$9,TU_DB[[Month No.]:[Month No.]],$C11),"-")</f>
        <v>36</v>
      </c>
      <c r="J11" s="345">
        <f>IF(H11&gt;0,AVERAGEIFS(TU_DB[[Water Temperature (oF)]:[Water Temperature (oF)]],TU_DB[[Year]:[Year]],H$9,TU_DB[[Month No.]:[Month No.]],$C11),"-")</f>
        <v>42.833333333333336</v>
      </c>
      <c r="K11" s="346">
        <f>IF(H11&gt;0,_xlfn.MAXIFS(TU_DB[[Water Temperature (oF)]:[Water Temperature (oF)]],TU_DB[[Year]:[Year]],H$9,TU_DB[[Month No.]:[Month No.]],$C11),"-")</f>
        <v>48</v>
      </c>
      <c r="L11" s="344">
        <f>COUNTIFS(TU_DB[[Water Temperature (oF)]:[Water Temperature (oF)]],"&gt;="&amp;32,TU_DB[[Year]:[Year]],L$9,TU_DB[[Month No.]:[Month No.]],$C11)</f>
        <v>0</v>
      </c>
      <c r="M11" s="345" t="str">
        <f>IF(L11&gt;0,_xlfn.MINIFS(TU_DB[[Water Temperature (oF)]:[Water Temperature (oF)]],TU_DB[[Year]:[Year]],L$9,TU_DB[[Month No.]:[Month No.]],$C11),"-")</f>
        <v>-</v>
      </c>
      <c r="N11" s="345" t="str">
        <f>IF(L11&gt;0,AVERAGEIFS(TU_DB[[Water Temperature (oF)]:[Water Temperature (oF)]],TU_DB[[Year]:[Year]],L$9,TU_DB[[Month No.]:[Month No.]],$C11),"-")</f>
        <v>-</v>
      </c>
      <c r="O11" s="346" t="str">
        <f>IF(L11&gt;0,_xlfn.MAXIFS(TU_DB[[Water Temperature (oF)]:[Water Temperature (oF)]],TU_DB[[Year]:[Year]],L$9,TU_DB[[Month No.]:[Month No.]],$C11),"-")</f>
        <v>-</v>
      </c>
      <c r="P11" s="344">
        <f>COUNTIFS(TU_DB[[Water Temperature (oF)]:[Water Temperature (oF)]],"&gt;="&amp;32,TU_DB[[Year]:[Year]],P$9,TU_DB[[Month No.]:[Month No.]],$C11)</f>
        <v>0</v>
      </c>
      <c r="Q11" s="345" t="str">
        <f>IF(P11&gt;0,_xlfn.MINIFS(TU_DB[[Water Temperature (oF)]:[Water Temperature (oF)]],TU_DB[[Year]:[Year]],P$9,TU_DB[[Month No.]:[Month No.]],$C11),"-")</f>
        <v>-</v>
      </c>
      <c r="R11" s="345" t="str">
        <f>IF(P11&gt;0,AVERAGEIFS(TU_DB[[Water Temperature (oF)]:[Water Temperature (oF)]],TU_DB[[Year]:[Year]],P$9,TU_DB[[Month No.]:[Month No.]],$C11),"-")</f>
        <v>-</v>
      </c>
      <c r="S11" s="346" t="str">
        <f>IF(P11&gt;0,_xlfn.MAXIFS(TU_DB[[Water Temperature (oF)]:[Water Temperature (oF)]],TU_DB[[Year]:[Year]],P$9,TU_DB[[Month No.]:[Month No.]],$C11),"-")</f>
        <v>-</v>
      </c>
      <c r="T11" s="344">
        <f>COUNTIFS(TU_DB[[Water Temperature (oF)]:[Water Temperature (oF)]],"&gt;="&amp;32,TU_DB[[Year]:[Year]],T$9,TU_DB[[Month No.]:[Month No.]],$C11)</f>
        <v>0</v>
      </c>
      <c r="U11" s="345" t="str">
        <f>IF(T11&gt;0,_xlfn.MINIFS(TU_DB[[Water Temperature (oF)]:[Water Temperature (oF)]],TU_DB[[Year]:[Year]],T$9,TU_DB[[Month No.]:[Month No.]],$C11),"-")</f>
        <v>-</v>
      </c>
      <c r="V11" s="345" t="str">
        <f>IF(T11&gt;0,AVERAGEIFS(TU_DB[[Water Temperature (oF)]:[Water Temperature (oF)]],TU_DB[[Year]:[Year]],T$9,TU_DB[[Month No.]:[Month No.]],$C11),"-")</f>
        <v>-</v>
      </c>
      <c r="W11" s="345" t="str">
        <f>IF(T11&gt;0,_xlfn.MAXIFS(TU_DB[[Water Temperature (oF)]:[Water Temperature (oF)]],TU_DB[[Year]:[Year]],T$9,TU_DB[[Month No.]:[Month No.]],$C11),"-")</f>
        <v>-</v>
      </c>
      <c r="X11"/>
      <c r="Y11" s="318">
        <f>Y$10</f>
        <v>67</v>
      </c>
      <c r="Z11" s="318">
        <f>Z10-Y10</f>
        <v>4</v>
      </c>
      <c r="AA11" s="318">
        <f>AA10-Z10</f>
        <v>5</v>
      </c>
      <c r="AB11" s="318">
        <f>AB10-AA10</f>
        <v>24</v>
      </c>
      <c r="AC11"/>
      <c r="AD11"/>
      <c r="AF11"/>
      <c r="AG11"/>
      <c r="AJ11"/>
      <c r="AK11"/>
      <c r="AL11"/>
      <c r="AM11"/>
      <c r="AO11" s="1"/>
      <c r="AS11"/>
      <c r="AT11"/>
      <c r="AU11"/>
      <c r="AV11"/>
      <c r="AW11"/>
      <c r="AZ11" s="1"/>
      <c r="BA11"/>
      <c r="BB11"/>
      <c r="BC11"/>
      <c r="BD11"/>
    </row>
    <row r="12" spans="1:56" x14ac:dyDescent="0.25">
      <c r="B12" s="6" t="s">
        <v>579</v>
      </c>
      <c r="C12" s="6">
        <v>2</v>
      </c>
      <c r="D12" s="49">
        <f>COUNTIFS(TU_DB[[Water Temperature (oF)]:[Water Temperature (oF)]],"&gt;="&amp;32,TU_DB[[Year]:[Year]],D$9,TU_DB[[Month No.]:[Month No.]],$C12)</f>
        <v>5</v>
      </c>
      <c r="E12" s="347">
        <f>IF(D12&gt;0,_xlfn.MINIFS(TU_DB[[Water Temperature (oF)]:[Water Temperature (oF)]],TU_DB[[Year]:[Year]],D$9,TU_DB[[Month No.]:[Month No.]],$C12),"-")</f>
        <v>41</v>
      </c>
      <c r="F12" s="347">
        <f>IF(D12&gt;0,AVERAGEIFS(TU_DB[[Water Temperature (oF)]:[Water Temperature (oF)]],TU_DB[[Year]:[Year]],D$9,TU_DB[[Month No.]:[Month No.]],$C12),"-")</f>
        <v>55</v>
      </c>
      <c r="G12" s="50">
        <f>IF(D12&gt;0,_xlfn.MAXIFS(TU_DB[[Water Temperature (oF)]:[Water Temperature (oF)]],TU_DB[[Year]:[Year]],D$9,TU_DB[[Month No.]:[Month No.]],$C12),"-")</f>
        <v>70</v>
      </c>
      <c r="H12" s="49">
        <f>COUNTIFS(TU_DB[[Water Temperature (oF)]:[Water Temperature (oF)]],"&gt;="&amp;32,TU_DB[[Year]:[Year]],H$9,TU_DB[[Month No.]:[Month No.]],$C12)</f>
        <v>0</v>
      </c>
      <c r="I12" s="347" t="str">
        <f>IF(H12&gt;0,_xlfn.MINIFS(TU_DB[[Water Temperature (oF)]:[Water Temperature (oF)]],TU_DB[[Year]:[Year]],H$9,TU_DB[[Month No.]:[Month No.]],$C12),"-")</f>
        <v>-</v>
      </c>
      <c r="J12" s="347" t="str">
        <f>IF(H12&gt;0,AVERAGEIFS(TU_DB[[Water Temperature (oF)]:[Water Temperature (oF)]],TU_DB[[Year]:[Year]],H$9,TU_DB[[Month No.]:[Month No.]],$C12),"-")</f>
        <v>-</v>
      </c>
      <c r="K12" s="50" t="str">
        <f>IF(H12&gt;0,_xlfn.MAXIFS(TU_DB[[Water Temperature (oF)]:[Water Temperature (oF)]],TU_DB[[Year]:[Year]],H$9,TU_DB[[Month No.]:[Month No.]],$C12),"-")</f>
        <v>-</v>
      </c>
      <c r="L12" s="49">
        <f>COUNTIFS(TU_DB[[Water Temperature (oF)]:[Water Temperature (oF)]],"&gt;="&amp;32,TU_DB[[Year]:[Year]],L$9,TU_DB[[Month No.]:[Month No.]],$C12)</f>
        <v>1</v>
      </c>
      <c r="M12" s="347">
        <f>IF(L12&gt;0,_xlfn.MINIFS(TU_DB[[Water Temperature (oF)]:[Water Temperature (oF)]],TU_DB[[Year]:[Year]],L$9,TU_DB[[Month No.]:[Month No.]],$C12),"-")</f>
        <v>44</v>
      </c>
      <c r="N12" s="347">
        <f>IF(L12&gt;0,AVERAGEIFS(TU_DB[[Water Temperature (oF)]:[Water Temperature (oF)]],TU_DB[[Year]:[Year]],L$9,TU_DB[[Month No.]:[Month No.]],$C12),"-")</f>
        <v>44</v>
      </c>
      <c r="O12" s="50">
        <f>IF(L12&gt;0,_xlfn.MAXIFS(TU_DB[[Water Temperature (oF)]:[Water Temperature (oF)]],TU_DB[[Year]:[Year]],L$9,TU_DB[[Month No.]:[Month No.]],$C12),"-")</f>
        <v>44</v>
      </c>
      <c r="P12" s="49">
        <f>COUNTIFS(TU_DB[[Water Temperature (oF)]:[Water Temperature (oF)]],"&gt;="&amp;32,TU_DB[[Year]:[Year]],P$9,TU_DB[[Month No.]:[Month No.]],$C12)</f>
        <v>1</v>
      </c>
      <c r="Q12" s="347">
        <f>IF(P12&gt;0,_xlfn.MINIFS(TU_DB[[Water Temperature (oF)]:[Water Temperature (oF)]],TU_DB[[Year]:[Year]],P$9,TU_DB[[Month No.]:[Month No.]],$C12),"-")</f>
        <v>39</v>
      </c>
      <c r="R12" s="347">
        <f>IF(P12&gt;0,AVERAGEIFS(TU_DB[[Water Temperature (oF)]:[Water Temperature (oF)]],TU_DB[[Year]:[Year]],P$9,TU_DB[[Month No.]:[Month No.]],$C12),"-")</f>
        <v>39</v>
      </c>
      <c r="S12" s="50">
        <f>IF(P12&gt;0,_xlfn.MAXIFS(TU_DB[[Water Temperature (oF)]:[Water Temperature (oF)]],TU_DB[[Year]:[Year]],P$9,TU_DB[[Month No.]:[Month No.]],$C12),"-")</f>
        <v>39</v>
      </c>
      <c r="T12" s="49">
        <f>COUNTIFS(TU_DB[[Water Temperature (oF)]:[Water Temperature (oF)]],"&gt;="&amp;32,TU_DB[[Year]:[Year]],T$9,TU_DB[[Month No.]:[Month No.]],$C12)</f>
        <v>1</v>
      </c>
      <c r="U12" s="347">
        <f>IF(T12&gt;0,_xlfn.MINIFS(TU_DB[[Water Temperature (oF)]:[Water Temperature (oF)]],TU_DB[[Year]:[Year]],T$9,TU_DB[[Month No.]:[Month No.]],$C12),"-")</f>
        <v>43</v>
      </c>
      <c r="V12" s="347">
        <f>IF(T12&gt;0,AVERAGEIFS(TU_DB[[Water Temperature (oF)]:[Water Temperature (oF)]],TU_DB[[Year]:[Year]],T$9,TU_DB[[Month No.]:[Month No.]],$C12),"-")</f>
        <v>43</v>
      </c>
      <c r="W12" s="347">
        <f>IF(T12&gt;0,_xlfn.MAXIFS(TU_DB[[Water Temperature (oF)]:[Water Temperature (oF)]],TU_DB[[Year]:[Year]],T$9,TU_DB[[Month No.]:[Month No.]],$C12),"-")</f>
        <v>43</v>
      </c>
      <c r="X12"/>
      <c r="Y12" s="318">
        <f t="shared" ref="Y12:Y22" si="0">Y$10</f>
        <v>67</v>
      </c>
      <c r="Z12" s="318">
        <f>Z11</f>
        <v>4</v>
      </c>
      <c r="AA12" s="318">
        <f t="shared" ref="AA12:AB12" si="1">AA11</f>
        <v>5</v>
      </c>
      <c r="AB12" s="318">
        <f t="shared" si="1"/>
        <v>24</v>
      </c>
      <c r="AC12"/>
      <c r="AD12"/>
      <c r="AE12"/>
      <c r="AF12"/>
      <c r="AG12"/>
      <c r="AJ12"/>
      <c r="AK12"/>
      <c r="AL12"/>
      <c r="AM12"/>
      <c r="AO12" s="1"/>
      <c r="AQ12" s="45"/>
      <c r="AR12" s="45"/>
      <c r="AS12"/>
      <c r="AT12"/>
      <c r="AU12"/>
      <c r="AV12"/>
      <c r="AW12"/>
      <c r="AZ12" s="1"/>
      <c r="BA12"/>
      <c r="BB12"/>
      <c r="BC12"/>
      <c r="BD12"/>
    </row>
    <row r="13" spans="1:56" x14ac:dyDescent="0.25">
      <c r="B13" s="6" t="s">
        <v>139</v>
      </c>
      <c r="C13" s="6">
        <v>3</v>
      </c>
      <c r="D13" s="49">
        <f>COUNTIFS(TU_DB[[Water Temperature (oF)]:[Water Temperature (oF)]],"&gt;="&amp;32,TU_DB[[Year]:[Year]],D$9,TU_DB[[Month No.]:[Month No.]],$C13)</f>
        <v>10</v>
      </c>
      <c r="E13" s="347">
        <f>IF(D13&gt;0,_xlfn.MINIFS(TU_DB[[Water Temperature (oF)]:[Water Temperature (oF)]],TU_DB[[Year]:[Year]],D$9,TU_DB[[Month No.]:[Month No.]],$C13),"-")</f>
        <v>34</v>
      </c>
      <c r="F13" s="347">
        <f>IF(D13&gt;0,AVERAGEIFS(TU_DB[[Water Temperature (oF)]:[Water Temperature (oF)]],TU_DB[[Year]:[Year]],D$9,TU_DB[[Month No.]:[Month No.]],$C13),"-")</f>
        <v>41.4</v>
      </c>
      <c r="G13" s="50">
        <f>IF(D13&gt;0,_xlfn.MAXIFS(TU_DB[[Water Temperature (oF)]:[Water Temperature (oF)]],TU_DB[[Year]:[Year]],D$9,TU_DB[[Month No.]:[Month No.]],$C13),"-")</f>
        <v>50</v>
      </c>
      <c r="H13" s="49">
        <f>COUNTIFS(TU_DB[[Water Temperature (oF)]:[Water Temperature (oF)]],"&gt;="&amp;32,TU_DB[[Year]:[Year]],H$9,TU_DB[[Month No.]:[Month No.]],$C13)</f>
        <v>9</v>
      </c>
      <c r="I13" s="347">
        <f>IF(H13&gt;0,_xlfn.MINIFS(TU_DB[[Water Temperature (oF)]:[Water Temperature (oF)]],TU_DB[[Year]:[Year]],H$9,TU_DB[[Month No.]:[Month No.]],$C13),"-")</f>
        <v>37</v>
      </c>
      <c r="J13" s="347">
        <f>IF(H13&gt;0,AVERAGEIFS(TU_DB[[Water Temperature (oF)]:[Water Temperature (oF)]],TU_DB[[Year]:[Year]],H$9,TU_DB[[Month No.]:[Month No.]],$C13),"-")</f>
        <v>44.222222222222221</v>
      </c>
      <c r="K13" s="50">
        <f>IF(H13&gt;0,_xlfn.MAXIFS(TU_DB[[Water Temperature (oF)]:[Water Temperature (oF)]],TU_DB[[Year]:[Year]],H$9,TU_DB[[Month No.]:[Month No.]],$C13),"-")</f>
        <v>49</v>
      </c>
      <c r="L13" s="49">
        <f>COUNTIFS(TU_DB[[Water Temperature (oF)]:[Water Temperature (oF)]],"&gt;="&amp;32,TU_DB[[Year]:[Year]],L$9,TU_DB[[Month No.]:[Month No.]],$C13)</f>
        <v>1</v>
      </c>
      <c r="M13" s="347">
        <f>IF(L13&gt;0,_xlfn.MINIFS(TU_DB[[Water Temperature (oF)]:[Water Temperature (oF)]],TU_DB[[Year]:[Year]],L$9,TU_DB[[Month No.]:[Month No.]],$C13),"-")</f>
        <v>41</v>
      </c>
      <c r="N13" s="347">
        <f>IF(L13&gt;0,AVERAGEIFS(TU_DB[[Water Temperature (oF)]:[Water Temperature (oF)]],TU_DB[[Year]:[Year]],L$9,TU_DB[[Month No.]:[Month No.]],$C13),"-")</f>
        <v>41</v>
      </c>
      <c r="O13" s="50">
        <f>IF(L13&gt;0,_xlfn.MAXIFS(TU_DB[[Water Temperature (oF)]:[Water Temperature (oF)]],TU_DB[[Year]:[Year]],L$9,TU_DB[[Month No.]:[Month No.]],$C13),"-")</f>
        <v>41</v>
      </c>
      <c r="P13" s="49">
        <f>COUNTIFS(TU_DB[[Water Temperature (oF)]:[Water Temperature (oF)]],"&gt;="&amp;32,TU_DB[[Year]:[Year]],P$9,TU_DB[[Month No.]:[Month No.]],$C13)</f>
        <v>1</v>
      </c>
      <c r="Q13" s="347">
        <f>IF(P13&gt;0,_xlfn.MINIFS(TU_DB[[Water Temperature (oF)]:[Water Temperature (oF)]],TU_DB[[Year]:[Year]],P$9,TU_DB[[Month No.]:[Month No.]],$C13),"-")</f>
        <v>44</v>
      </c>
      <c r="R13" s="347">
        <f>IF(P13&gt;0,AVERAGEIFS(TU_DB[[Water Temperature (oF)]:[Water Temperature (oF)]],TU_DB[[Year]:[Year]],P$9,TU_DB[[Month No.]:[Month No.]],$C13),"-")</f>
        <v>44</v>
      </c>
      <c r="S13" s="50">
        <f>IF(P13&gt;0,_xlfn.MAXIFS(TU_DB[[Water Temperature (oF)]:[Water Temperature (oF)]],TU_DB[[Year]:[Year]],P$9,TU_DB[[Month No.]:[Month No.]],$C13),"-")</f>
        <v>44</v>
      </c>
      <c r="T13" s="49">
        <f>COUNTIFS(TU_DB[[Water Temperature (oF)]:[Water Temperature (oF)]],"&gt;="&amp;32,TU_DB[[Year]:[Year]],T$9,TU_DB[[Month No.]:[Month No.]],$C13)</f>
        <v>13</v>
      </c>
      <c r="U13" s="347">
        <f>IF(T13&gt;0,_xlfn.MINIFS(TU_DB[[Water Temperature (oF)]:[Water Temperature (oF)]],TU_DB[[Year]:[Year]],T$9,TU_DB[[Month No.]:[Month No.]],$C13),"-")</f>
        <v>47</v>
      </c>
      <c r="V13" s="347">
        <f>IF(T13&gt;0,AVERAGEIFS(TU_DB[[Water Temperature (oF)]:[Water Temperature (oF)]],TU_DB[[Year]:[Year]],T$9,TU_DB[[Month No.]:[Month No.]],$C13),"-")</f>
        <v>51.230769230769234</v>
      </c>
      <c r="W13" s="347">
        <f>IF(T13&gt;0,_xlfn.MAXIFS(TU_DB[[Water Temperature (oF)]:[Water Temperature (oF)]],TU_DB[[Year]:[Year]],T$9,TU_DB[[Month No.]:[Month No.]],$C13),"-")</f>
        <v>57</v>
      </c>
      <c r="X13"/>
      <c r="Y13" s="318">
        <f t="shared" si="0"/>
        <v>67</v>
      </c>
      <c r="Z13" s="318">
        <f t="shared" ref="Z13:Z22" si="2">Z12</f>
        <v>4</v>
      </c>
      <c r="AA13" s="318">
        <f t="shared" ref="AA13:AA22" si="3">AA12</f>
        <v>5</v>
      </c>
      <c r="AB13" s="318">
        <f t="shared" ref="AB13:AB22" si="4">AB12</f>
        <v>24</v>
      </c>
      <c r="AC13"/>
      <c r="AD13"/>
      <c r="AE13"/>
      <c r="AF13"/>
      <c r="AG13"/>
      <c r="AJ13"/>
      <c r="AK13"/>
      <c r="AL13"/>
      <c r="AM13"/>
      <c r="AO13" s="7"/>
      <c r="AS13"/>
      <c r="AT13"/>
      <c r="AU13"/>
      <c r="AV13"/>
      <c r="AW13"/>
      <c r="AZ13" s="1"/>
      <c r="BA13"/>
      <c r="BB13"/>
      <c r="BC13"/>
      <c r="BD13"/>
    </row>
    <row r="14" spans="1:56" x14ac:dyDescent="0.25">
      <c r="B14" s="6" t="s">
        <v>138</v>
      </c>
      <c r="C14" s="6">
        <v>4</v>
      </c>
      <c r="D14" s="49">
        <f>COUNTIFS(TU_DB[[Water Temperature (oF)]:[Water Temperature (oF)]],"&gt;="&amp;32,TU_DB[[Year]:[Year]],D$9,TU_DB[[Month No.]:[Month No.]],$C14)</f>
        <v>11</v>
      </c>
      <c r="E14" s="347">
        <f>IF(D14&gt;0,_xlfn.MINIFS(TU_DB[[Water Temperature (oF)]:[Water Temperature (oF)]],TU_DB[[Year]:[Year]],D$9,TU_DB[[Month No.]:[Month No.]],$C14),"-")</f>
        <v>42</v>
      </c>
      <c r="F14" s="347">
        <f>IF(D14&gt;0,AVERAGEIFS(TU_DB[[Water Temperature (oF)]:[Water Temperature (oF)]],TU_DB[[Year]:[Year]],D$9,TU_DB[[Month No.]:[Month No.]],$C14),"-")</f>
        <v>47.090909090909093</v>
      </c>
      <c r="G14" s="50">
        <f>IF(D14&gt;0,_xlfn.MAXIFS(TU_DB[[Water Temperature (oF)]:[Water Temperature (oF)]],TU_DB[[Year]:[Year]],D$9,TU_DB[[Month No.]:[Month No.]],$C14),"-")</f>
        <v>55</v>
      </c>
      <c r="H14" s="49">
        <f>COUNTIFS(TU_DB[[Water Temperature (oF)]:[Water Temperature (oF)]],"&gt;="&amp;32,TU_DB[[Year]:[Year]],H$9,TU_DB[[Month No.]:[Month No.]],$C14)</f>
        <v>41</v>
      </c>
      <c r="I14" s="347">
        <f>IF(H14&gt;0,_xlfn.MINIFS(TU_DB[[Water Temperature (oF)]:[Water Temperature (oF)]],TU_DB[[Year]:[Year]],H$9,TU_DB[[Month No.]:[Month No.]],$C14),"-")</f>
        <v>0</v>
      </c>
      <c r="J14" s="347">
        <f>IF(H14&gt;0,AVERAGEIFS(TU_DB[[Water Temperature (oF)]:[Water Temperature (oF)]],TU_DB[[Year]:[Year]],H$9,TU_DB[[Month No.]:[Month No.]],$C14),"-")</f>
        <v>44.088888888888889</v>
      </c>
      <c r="K14" s="50">
        <f>IF(H14&gt;0,_xlfn.MAXIFS(TU_DB[[Water Temperature (oF)]:[Water Temperature (oF)]],TU_DB[[Year]:[Year]],H$9,TU_DB[[Month No.]:[Month No.]],$C14),"-")</f>
        <v>70</v>
      </c>
      <c r="L14" s="49">
        <f>COUNTIFS(TU_DB[[Water Temperature (oF)]:[Water Temperature (oF)]],"&gt;="&amp;32,TU_DB[[Year]:[Year]],L$9,TU_DB[[Month No.]:[Month No.]],$C14)</f>
        <v>38</v>
      </c>
      <c r="M14" s="347">
        <f>IF(L14&gt;0,_xlfn.MINIFS(TU_DB[[Water Temperature (oF)]:[Water Temperature (oF)]],TU_DB[[Year]:[Year]],L$9,TU_DB[[Month No.]:[Month No.]],$C14),"-")</f>
        <v>37</v>
      </c>
      <c r="N14" s="347">
        <f>IF(L14&gt;0,AVERAGEIFS(TU_DB[[Water Temperature (oF)]:[Water Temperature (oF)]],TU_DB[[Year]:[Year]],L$9,TU_DB[[Month No.]:[Month No.]],$C14),"-")</f>
        <v>45.94736842105263</v>
      </c>
      <c r="O14" s="50">
        <f>IF(L14&gt;0,_xlfn.MAXIFS(TU_DB[[Water Temperature (oF)]:[Water Temperature (oF)]],TU_DB[[Year]:[Year]],L$9,TU_DB[[Month No.]:[Month No.]],$C14),"-")</f>
        <v>57</v>
      </c>
      <c r="P14" s="49">
        <f>COUNTIFS(TU_DB[[Water Temperature (oF)]:[Water Temperature (oF)]],"&gt;="&amp;32,TU_DB[[Year]:[Year]],P$9,TU_DB[[Month No.]:[Month No.]],$C14)</f>
        <v>31</v>
      </c>
      <c r="Q14" s="347">
        <f>IF(P14&gt;0,_xlfn.MINIFS(TU_DB[[Water Temperature (oF)]:[Water Temperature (oF)]],TU_DB[[Year]:[Year]],P$9,TU_DB[[Month No.]:[Month No.]],$C14),"-")</f>
        <v>41</v>
      </c>
      <c r="R14" s="347">
        <f>IF(P14&gt;0,AVERAGEIFS(TU_DB[[Water Temperature (oF)]:[Water Temperature (oF)]],TU_DB[[Year]:[Year]],P$9,TU_DB[[Month No.]:[Month No.]],$C14),"-")</f>
        <v>52.87096774193548</v>
      </c>
      <c r="S14" s="50">
        <f>IF(P14&gt;0,_xlfn.MAXIFS(TU_DB[[Water Temperature (oF)]:[Water Temperature (oF)]],TU_DB[[Year]:[Year]],P$9,TU_DB[[Month No.]:[Month No.]],$C14),"-")</f>
        <v>62</v>
      </c>
      <c r="T14" s="49">
        <f>COUNTIFS(TU_DB[[Water Temperature (oF)]:[Water Temperature (oF)]],"&gt;="&amp;32,TU_DB[[Year]:[Year]],T$9,TU_DB[[Month No.]:[Month No.]],$C14)</f>
        <v>16</v>
      </c>
      <c r="U14" s="347">
        <f>IF(T14&gt;0,_xlfn.MINIFS(TU_DB[[Water Temperature (oF)]:[Water Temperature (oF)]],TU_DB[[Year]:[Year]],T$9,TU_DB[[Month No.]:[Month No.]],$C14),"-")</f>
        <v>45</v>
      </c>
      <c r="V14" s="347">
        <f>IF(T14&gt;0,AVERAGEIFS(TU_DB[[Water Temperature (oF)]:[Water Temperature (oF)]],TU_DB[[Year]:[Year]],T$9,TU_DB[[Month No.]:[Month No.]],$C14),"-")</f>
        <v>52.125</v>
      </c>
      <c r="W14" s="347">
        <f>IF(T14&gt;0,_xlfn.MAXIFS(TU_DB[[Water Temperature (oF)]:[Water Temperature (oF)]],TU_DB[[Year]:[Year]],T$9,TU_DB[[Month No.]:[Month No.]],$C14),"-")</f>
        <v>62</v>
      </c>
      <c r="X14"/>
      <c r="Y14" s="318">
        <f t="shared" si="0"/>
        <v>67</v>
      </c>
      <c r="Z14" s="318">
        <f t="shared" si="2"/>
        <v>4</v>
      </c>
      <c r="AA14" s="318">
        <f t="shared" si="3"/>
        <v>5</v>
      </c>
      <c r="AB14" s="318">
        <f t="shared" si="4"/>
        <v>24</v>
      </c>
      <c r="AC14"/>
      <c r="AD14"/>
      <c r="AE14"/>
      <c r="AF14"/>
      <c r="AG14"/>
      <c r="AJ14"/>
      <c r="AK14"/>
      <c r="AL14"/>
      <c r="AM14"/>
      <c r="AO14" s="7"/>
      <c r="AQ14" s="7"/>
      <c r="AR14" s="7"/>
      <c r="AS14"/>
      <c r="AT14" s="7"/>
      <c r="AU14" s="7"/>
      <c r="AV14" s="7"/>
      <c r="AW14" s="7"/>
      <c r="AZ14" s="1"/>
      <c r="BA14"/>
      <c r="BB14"/>
      <c r="BC14"/>
      <c r="BD14"/>
    </row>
    <row r="15" spans="1:56" x14ac:dyDescent="0.25">
      <c r="B15" s="6" t="s">
        <v>137</v>
      </c>
      <c r="C15" s="6">
        <v>5</v>
      </c>
      <c r="D15" s="49">
        <f>COUNTIFS(TU_DB[[Water Temperature (oF)]:[Water Temperature (oF)]],"&gt;="&amp;32,TU_DB[[Year]:[Year]],D$9,TU_DB[[Month No.]:[Month No.]],$C15)</f>
        <v>14</v>
      </c>
      <c r="E15" s="347">
        <f>IF(D15&gt;0,_xlfn.MINIFS(TU_DB[[Water Temperature (oF)]:[Water Temperature (oF)]],TU_DB[[Year]:[Year]],D$9,TU_DB[[Month No.]:[Month No.]],$C15),"-")</f>
        <v>46</v>
      </c>
      <c r="F15" s="347">
        <f>IF(D15&gt;0,AVERAGEIFS(TU_DB[[Water Temperature (oF)]:[Water Temperature (oF)]],TU_DB[[Year]:[Year]],D$9,TU_DB[[Month No.]:[Month No.]],$C15),"-")</f>
        <v>56</v>
      </c>
      <c r="G15" s="50">
        <f>IF(D15&gt;0,_xlfn.MAXIFS(TU_DB[[Water Temperature (oF)]:[Water Temperature (oF)]],TU_DB[[Year]:[Year]],D$9,TU_DB[[Month No.]:[Month No.]],$C15),"-")</f>
        <v>66</v>
      </c>
      <c r="H15" s="49">
        <f>COUNTIFS(TU_DB[[Water Temperature (oF)]:[Water Temperature (oF)]],"&gt;="&amp;32,TU_DB[[Year]:[Year]],H$9,TU_DB[[Month No.]:[Month No.]],$C15)</f>
        <v>44</v>
      </c>
      <c r="I15" s="347">
        <f>IF(H15&gt;0,_xlfn.MINIFS(TU_DB[[Water Temperature (oF)]:[Water Temperature (oF)]],TU_DB[[Year]:[Year]],H$9,TU_DB[[Month No.]:[Month No.]],$C15),"-")</f>
        <v>0</v>
      </c>
      <c r="J15" s="347">
        <f>IF(H15&gt;0,AVERAGEIFS(TU_DB[[Water Temperature (oF)]:[Water Temperature (oF)]],TU_DB[[Year]:[Year]],H$9,TU_DB[[Month No.]:[Month No.]],$C15),"-")</f>
        <v>48.204081632653065</v>
      </c>
      <c r="K15" s="50">
        <f>IF(H15&gt;0,_xlfn.MAXIFS(TU_DB[[Water Temperature (oF)]:[Water Temperature (oF)]],TU_DB[[Year]:[Year]],H$9,TU_DB[[Month No.]:[Month No.]],$C15),"-")</f>
        <v>64</v>
      </c>
      <c r="L15" s="49">
        <f>COUNTIFS(TU_DB[[Water Temperature (oF)]:[Water Temperature (oF)]],"&gt;="&amp;32,TU_DB[[Year]:[Year]],L$9,TU_DB[[Month No.]:[Month No.]],$C15)</f>
        <v>62</v>
      </c>
      <c r="M15" s="347">
        <f>IF(L15&gt;0,_xlfn.MINIFS(TU_DB[[Water Temperature (oF)]:[Water Temperature (oF)]],TU_DB[[Year]:[Year]],L$9,TU_DB[[Month No.]:[Month No.]],$C15),"-")</f>
        <v>0</v>
      </c>
      <c r="N15" s="347">
        <f>IF(L15&gt;0,AVERAGEIFS(TU_DB[[Water Temperature (oF)]:[Water Temperature (oF)]],TU_DB[[Year]:[Year]],L$9,TU_DB[[Month No.]:[Month No.]],$C15),"-")</f>
        <v>52.230769230769234</v>
      </c>
      <c r="O15" s="50">
        <f>IF(L15&gt;0,_xlfn.MAXIFS(TU_DB[[Water Temperature (oF)]:[Water Temperature (oF)]],TU_DB[[Year]:[Year]],L$9,TU_DB[[Month No.]:[Month No.]],$C15),"-")</f>
        <v>68</v>
      </c>
      <c r="P15" s="49">
        <f>COUNTIFS(TU_DB[[Water Temperature (oF)]:[Water Temperature (oF)]],"&gt;="&amp;32,TU_DB[[Year]:[Year]],P$9,TU_DB[[Month No.]:[Month No.]],$C15)</f>
        <v>113</v>
      </c>
      <c r="Q15" s="347">
        <f>IF(P15&gt;0,_xlfn.MINIFS(TU_DB[[Water Temperature (oF)]:[Water Temperature (oF)]],TU_DB[[Year]:[Year]],P$9,TU_DB[[Month No.]:[Month No.]],$C15),"-")</f>
        <v>47</v>
      </c>
      <c r="R15" s="347">
        <f>IF(P15&gt;0,AVERAGEIFS(TU_DB[[Water Temperature (oF)]:[Water Temperature (oF)]],TU_DB[[Year]:[Year]],P$9,TU_DB[[Month No.]:[Month No.]],$C15),"-")</f>
        <v>58.194690265486727</v>
      </c>
      <c r="S15" s="50">
        <f>IF(P15&gt;0,_xlfn.MAXIFS(TU_DB[[Water Temperature (oF)]:[Water Temperature (oF)]],TU_DB[[Year]:[Year]],P$9,TU_DB[[Month No.]:[Month No.]],$C15),"-")</f>
        <v>80</v>
      </c>
      <c r="T15" s="49">
        <f>COUNTIFS(TU_DB[[Water Temperature (oF)]:[Water Temperature (oF)]],"&gt;="&amp;32,TU_DB[[Year]:[Year]],T$9,TU_DB[[Month No.]:[Month No.]],$C15)</f>
        <v>46</v>
      </c>
      <c r="U15" s="347">
        <f>IF(T15&gt;0,_xlfn.MINIFS(TU_DB[[Water Temperature (oF)]:[Water Temperature (oF)]],TU_DB[[Year]:[Year]],T$9,TU_DB[[Month No.]:[Month No.]],$C15),"-")</f>
        <v>0</v>
      </c>
      <c r="V15" s="347">
        <f>IF(T15&gt;0,AVERAGEIFS(TU_DB[[Water Temperature (oF)]:[Water Temperature (oF)]],TU_DB[[Year]:[Year]],T$9,TU_DB[[Month No.]:[Month No.]],$C15),"-")</f>
        <v>52.64</v>
      </c>
      <c r="W15" s="347">
        <f>IF(T15&gt;0,_xlfn.MAXIFS(TU_DB[[Water Temperature (oF)]:[Water Temperature (oF)]],TU_DB[[Year]:[Year]],T$9,TU_DB[[Month No.]:[Month No.]],$C15),"-")</f>
        <v>66</v>
      </c>
      <c r="X15"/>
      <c r="Y15" s="318">
        <f t="shared" si="0"/>
        <v>67</v>
      </c>
      <c r="Z15" s="318">
        <f t="shared" si="2"/>
        <v>4</v>
      </c>
      <c r="AA15" s="318">
        <f t="shared" si="3"/>
        <v>5</v>
      </c>
      <c r="AB15" s="318">
        <f t="shared" si="4"/>
        <v>24</v>
      </c>
      <c r="AC15"/>
      <c r="AD15"/>
      <c r="AE15"/>
      <c r="AF15"/>
      <c r="AG15"/>
      <c r="AJ15"/>
      <c r="AK15"/>
      <c r="AL15"/>
      <c r="AM15"/>
      <c r="AO15" s="1"/>
      <c r="AS15"/>
      <c r="AT15"/>
      <c r="AU15"/>
      <c r="AV15"/>
      <c r="AW15"/>
      <c r="AZ15" s="1"/>
      <c r="BA15"/>
      <c r="BB15"/>
      <c r="BC15"/>
      <c r="BD15"/>
    </row>
    <row r="16" spans="1:56" x14ac:dyDescent="0.25">
      <c r="B16" s="6" t="s">
        <v>143</v>
      </c>
      <c r="C16" s="6">
        <v>6</v>
      </c>
      <c r="D16" s="49">
        <f>COUNTIFS(TU_DB[[Water Temperature (oF)]:[Water Temperature (oF)]],"&gt;="&amp;32,TU_DB[[Year]:[Year]],D$9,TU_DB[[Month No.]:[Month No.]],$C16)</f>
        <v>5</v>
      </c>
      <c r="E16" s="347">
        <f>IF(D16&gt;0,_xlfn.MINIFS(TU_DB[[Water Temperature (oF)]:[Water Temperature (oF)]],TU_DB[[Year]:[Year]],D$9,TU_DB[[Month No.]:[Month No.]],$C16),"-")</f>
        <v>52</v>
      </c>
      <c r="F16" s="347">
        <f>IF(D16&gt;0,AVERAGEIFS(TU_DB[[Water Temperature (oF)]:[Water Temperature (oF)]],TU_DB[[Year]:[Year]],D$9,TU_DB[[Month No.]:[Month No.]],$C16),"-")</f>
        <v>58.2</v>
      </c>
      <c r="G16" s="50">
        <f>IF(D16&gt;0,_xlfn.MAXIFS(TU_DB[[Water Temperature (oF)]:[Water Temperature (oF)]],TU_DB[[Year]:[Year]],D$9,TU_DB[[Month No.]:[Month No.]],$C16),"-")</f>
        <v>64</v>
      </c>
      <c r="H16" s="49">
        <f>COUNTIFS(TU_DB[[Water Temperature (oF)]:[Water Temperature (oF)]],"&gt;="&amp;32,TU_DB[[Year]:[Year]],H$9,TU_DB[[Month No.]:[Month No.]],$C16)</f>
        <v>37</v>
      </c>
      <c r="I16" s="347">
        <f>IF(H16&gt;0,_xlfn.MINIFS(TU_DB[[Water Temperature (oF)]:[Water Temperature (oF)]],TU_DB[[Year]:[Year]],H$9,TU_DB[[Month No.]:[Month No.]],$C16),"-")</f>
        <v>0</v>
      </c>
      <c r="J16" s="347">
        <f>IF(H16&gt;0,AVERAGEIFS(TU_DB[[Water Temperature (oF)]:[Water Temperature (oF)]],TU_DB[[Year]:[Year]],H$9,TU_DB[[Month No.]:[Month No.]],$C16),"-")</f>
        <v>56.524999999999999</v>
      </c>
      <c r="K16" s="50">
        <f>IF(H16&gt;0,_xlfn.MAXIFS(TU_DB[[Water Temperature (oF)]:[Water Temperature (oF)]],TU_DB[[Year]:[Year]],H$9,TU_DB[[Month No.]:[Month No.]],$C16),"-")</f>
        <v>71</v>
      </c>
      <c r="L16" s="49">
        <f>COUNTIFS(TU_DB[[Water Temperature (oF)]:[Water Temperature (oF)]],"&gt;="&amp;32,TU_DB[[Year]:[Year]],L$9,TU_DB[[Month No.]:[Month No.]],$C16)</f>
        <v>66</v>
      </c>
      <c r="M16" s="347">
        <f>IF(L16&gt;0,_xlfn.MINIFS(TU_DB[[Water Temperature (oF)]:[Water Temperature (oF)]],TU_DB[[Year]:[Year]],L$9,TU_DB[[Month No.]:[Month No.]],$C16),"-")</f>
        <v>51</v>
      </c>
      <c r="N16" s="347">
        <f>IF(L16&gt;0,AVERAGEIFS(TU_DB[[Water Temperature (oF)]:[Water Temperature (oF)]],TU_DB[[Year]:[Year]],L$9,TU_DB[[Month No.]:[Month No.]],$C16),"-")</f>
        <v>61.227272727272727</v>
      </c>
      <c r="O16" s="50">
        <f>IF(L16&gt;0,_xlfn.MAXIFS(TU_DB[[Water Temperature (oF)]:[Water Temperature (oF)]],TU_DB[[Year]:[Year]],L$9,TU_DB[[Month No.]:[Month No.]],$C16),"-")</f>
        <v>74</v>
      </c>
      <c r="P16" s="49">
        <f>COUNTIFS(TU_DB[[Water Temperature (oF)]:[Water Temperature (oF)]],"&gt;="&amp;32,TU_DB[[Year]:[Year]],P$9,TU_DB[[Month No.]:[Month No.]],$C16)</f>
        <v>213</v>
      </c>
      <c r="Q16" s="347">
        <f>IF(P16&gt;0,_xlfn.MINIFS(TU_DB[[Water Temperature (oF)]:[Water Temperature (oF)]],TU_DB[[Year]:[Year]],P$9,TU_DB[[Month No.]:[Month No.]],$C16),"-")</f>
        <v>0</v>
      </c>
      <c r="R16" s="347">
        <f>IF(P16&gt;0,AVERAGEIFS(TU_DB[[Water Temperature (oF)]:[Water Temperature (oF)]],TU_DB[[Year]:[Year]],P$9,TU_DB[[Month No.]:[Month No.]],$C16),"-")</f>
        <v>61.242990654205606</v>
      </c>
      <c r="S16" s="50">
        <f>IF(P16&gt;0,_xlfn.MAXIFS(TU_DB[[Water Temperature (oF)]:[Water Temperature (oF)]],TU_DB[[Year]:[Year]],P$9,TU_DB[[Month No.]:[Month No.]],$C16),"-")</f>
        <v>81</v>
      </c>
      <c r="T16" s="49">
        <f>COUNTIFS(TU_DB[[Water Temperature (oF)]:[Water Temperature (oF)]],"&gt;="&amp;32,TU_DB[[Year]:[Year]],T$9,TU_DB[[Month No.]:[Month No.]],$C16)</f>
        <v>87</v>
      </c>
      <c r="U16" s="347">
        <f>IF(T16&gt;0,_xlfn.MINIFS(TU_DB[[Water Temperature (oF)]:[Water Temperature (oF)]],TU_DB[[Year]:[Year]],T$9,TU_DB[[Month No.]:[Month No.]],$C16),"-")</f>
        <v>49</v>
      </c>
      <c r="V16" s="347">
        <f>IF(T16&gt;0,AVERAGEIFS(TU_DB[[Water Temperature (oF)]:[Water Temperature (oF)]],TU_DB[[Year]:[Year]],T$9,TU_DB[[Month No.]:[Month No.]],$C16),"-")</f>
        <v>61.747126436781606</v>
      </c>
      <c r="W16" s="347">
        <f>IF(T16&gt;0,_xlfn.MAXIFS(TU_DB[[Water Temperature (oF)]:[Water Temperature (oF)]],TU_DB[[Year]:[Year]],T$9,TU_DB[[Month No.]:[Month No.]],$C16),"-")</f>
        <v>74</v>
      </c>
      <c r="X16"/>
      <c r="Y16" s="318">
        <f t="shared" si="0"/>
        <v>67</v>
      </c>
      <c r="Z16" s="318">
        <f t="shared" si="2"/>
        <v>4</v>
      </c>
      <c r="AA16" s="318">
        <f t="shared" si="3"/>
        <v>5</v>
      </c>
      <c r="AB16" s="318">
        <f t="shared" si="4"/>
        <v>24</v>
      </c>
      <c r="AC16"/>
      <c r="AD16"/>
      <c r="AE16"/>
      <c r="AF16"/>
      <c r="AG16"/>
      <c r="AJ16"/>
      <c r="AK16"/>
      <c r="AL16"/>
      <c r="AM16"/>
      <c r="AO16" s="1"/>
      <c r="AS16"/>
      <c r="AT16"/>
      <c r="AU16"/>
      <c r="AV16"/>
      <c r="AW16"/>
      <c r="AZ16" s="1"/>
      <c r="BA16"/>
      <c r="BB16"/>
      <c r="BC16"/>
      <c r="BD16"/>
    </row>
    <row r="17" spans="1:526" x14ac:dyDescent="0.25">
      <c r="B17" s="6" t="s">
        <v>144</v>
      </c>
      <c r="C17" s="6">
        <v>7</v>
      </c>
      <c r="D17" s="49">
        <f>COUNTIFS(TU_DB[[Water Temperature (oF)]:[Water Temperature (oF)]],"&gt;="&amp;32,TU_DB[[Year]:[Year]],D$9,TU_DB[[Month No.]:[Month No.]],$C17)</f>
        <v>6</v>
      </c>
      <c r="E17" s="347">
        <f>IF(D17&gt;0,_xlfn.MINIFS(TU_DB[[Water Temperature (oF)]:[Water Temperature (oF)]],TU_DB[[Year]:[Year]],D$9,TU_DB[[Month No.]:[Month No.]],$C17),"-")</f>
        <v>46</v>
      </c>
      <c r="F17" s="347">
        <f>IF(D17&gt;0,AVERAGEIFS(TU_DB[[Water Temperature (oF)]:[Water Temperature (oF)]],TU_DB[[Year]:[Year]],D$9,TU_DB[[Month No.]:[Month No.]],$C17),"-")</f>
        <v>55.166666666666664</v>
      </c>
      <c r="G17" s="50">
        <f>IF(D17&gt;0,_xlfn.MAXIFS(TU_DB[[Water Temperature (oF)]:[Water Temperature (oF)]],TU_DB[[Year]:[Year]],D$9,TU_DB[[Month No.]:[Month No.]],$C17),"-")</f>
        <v>66</v>
      </c>
      <c r="H17" s="49">
        <f>COUNTIFS(TU_DB[[Water Temperature (oF)]:[Water Temperature (oF)]],"&gt;="&amp;32,TU_DB[[Year]:[Year]],H$9,TU_DB[[Month No.]:[Month No.]],$C17)</f>
        <v>29</v>
      </c>
      <c r="I17" s="347">
        <f>IF(H17&gt;0,_xlfn.MINIFS(TU_DB[[Water Temperature (oF)]:[Water Temperature (oF)]],TU_DB[[Year]:[Year]],H$9,TU_DB[[Month No.]:[Month No.]],$C17),"-")</f>
        <v>0</v>
      </c>
      <c r="J17" s="347">
        <f>IF(H17&gt;0,AVERAGEIFS(TU_DB[[Water Temperature (oF)]:[Water Temperature (oF)]],TU_DB[[Year]:[Year]],H$9,TU_DB[[Month No.]:[Month No.]],$C17),"-")</f>
        <v>54</v>
      </c>
      <c r="K17" s="50">
        <f>IF(H17&gt;0,_xlfn.MAXIFS(TU_DB[[Water Temperature (oF)]:[Water Temperature (oF)]],TU_DB[[Year]:[Year]],H$9,TU_DB[[Month No.]:[Month No.]],$C17),"-")</f>
        <v>70</v>
      </c>
      <c r="L17" s="49">
        <f>COUNTIFS(TU_DB[[Water Temperature (oF)]:[Water Temperature (oF)]],"&gt;="&amp;32,TU_DB[[Year]:[Year]],L$9,TU_DB[[Month No.]:[Month No.]],$C17)</f>
        <v>66</v>
      </c>
      <c r="M17" s="347">
        <f>IF(L17&gt;0,_xlfn.MINIFS(TU_DB[[Water Temperature (oF)]:[Water Temperature (oF)]],TU_DB[[Year]:[Year]],L$9,TU_DB[[Month No.]:[Month No.]],$C17),"-")</f>
        <v>0</v>
      </c>
      <c r="N17" s="347">
        <f>IF(L17&gt;0,AVERAGEIFS(TU_DB[[Water Temperature (oF)]:[Water Temperature (oF)]],TU_DB[[Year]:[Year]],L$9,TU_DB[[Month No.]:[Month No.]],$C17),"-")</f>
        <v>62.208955223880594</v>
      </c>
      <c r="O17" s="50">
        <f>IF(L17&gt;0,_xlfn.MAXIFS(TU_DB[[Water Temperature (oF)]:[Water Temperature (oF)]],TU_DB[[Year]:[Year]],L$9,TU_DB[[Month No.]:[Month No.]],$C17),"-")</f>
        <v>84</v>
      </c>
      <c r="P17" s="49">
        <f>COUNTIFS(TU_DB[[Water Temperature (oF)]:[Water Temperature (oF)]],"&gt;="&amp;32,TU_DB[[Year]:[Year]],P$9,TU_DB[[Month No.]:[Month No.]],$C17)</f>
        <v>152</v>
      </c>
      <c r="Q17" s="347">
        <f>IF(P17&gt;0,_xlfn.MINIFS(TU_DB[[Water Temperature (oF)]:[Water Temperature (oF)]],TU_DB[[Year]:[Year]],P$9,TU_DB[[Month No.]:[Month No.]],$C17),"-")</f>
        <v>0</v>
      </c>
      <c r="R17" s="347">
        <f>IF(P17&gt;0,AVERAGEIFS(TU_DB[[Water Temperature (oF)]:[Water Temperature (oF)]],TU_DB[[Year]:[Year]],P$9,TU_DB[[Month No.]:[Month No.]],$C17),"-")</f>
        <v>61.487012987012989</v>
      </c>
      <c r="S17" s="50">
        <f>IF(P17&gt;0,_xlfn.MAXIFS(TU_DB[[Water Temperature (oF)]:[Water Temperature (oF)]],TU_DB[[Year]:[Year]],P$9,TU_DB[[Month No.]:[Month No.]],$C17),"-")</f>
        <v>81</v>
      </c>
      <c r="T17" s="49">
        <f>COUNTIFS(TU_DB[[Water Temperature (oF)]:[Water Temperature (oF)]],"&gt;="&amp;32,TU_DB[[Year]:[Year]],T$9,TU_DB[[Month No.]:[Month No.]],$C17)</f>
        <v>127</v>
      </c>
      <c r="U17" s="347">
        <f>IF(T17&gt;0,_xlfn.MINIFS(TU_DB[[Water Temperature (oF)]:[Water Temperature (oF)]],TU_DB[[Year]:[Year]],T$9,TU_DB[[Month No.]:[Month No.]],$C17),"-")</f>
        <v>48</v>
      </c>
      <c r="V17" s="347">
        <f>IF(T17&gt;0,AVERAGEIFS(TU_DB[[Water Temperature (oF)]:[Water Temperature (oF)]],TU_DB[[Year]:[Year]],T$9,TU_DB[[Month No.]:[Month No.]],$C17),"-")</f>
        <v>60.464566929133859</v>
      </c>
      <c r="W17" s="347">
        <f>IF(T17&gt;0,_xlfn.MAXIFS(TU_DB[[Water Temperature (oF)]:[Water Temperature (oF)]],TU_DB[[Year]:[Year]],T$9,TU_DB[[Month No.]:[Month No.]],$C17),"-")</f>
        <v>79</v>
      </c>
      <c r="X17"/>
      <c r="Y17" s="318">
        <f t="shared" si="0"/>
        <v>67</v>
      </c>
      <c r="Z17" s="318">
        <f t="shared" si="2"/>
        <v>4</v>
      </c>
      <c r="AA17" s="318">
        <f t="shared" si="3"/>
        <v>5</v>
      </c>
      <c r="AB17" s="318">
        <f t="shared" si="4"/>
        <v>24</v>
      </c>
      <c r="AC17"/>
      <c r="AD17"/>
      <c r="AE17"/>
      <c r="AF17"/>
      <c r="AG17"/>
      <c r="AJ17"/>
      <c r="AK17"/>
      <c r="AL17"/>
      <c r="AM17"/>
      <c r="AO17" s="1"/>
      <c r="AS17"/>
      <c r="AT17"/>
      <c r="AU17"/>
      <c r="AV17"/>
      <c r="AW17"/>
      <c r="AZ17" s="1"/>
      <c r="BA17"/>
      <c r="BB17"/>
      <c r="BC17"/>
      <c r="BD17"/>
    </row>
    <row r="18" spans="1:526" x14ac:dyDescent="0.25">
      <c r="B18" s="6" t="s">
        <v>145</v>
      </c>
      <c r="C18" s="6">
        <v>8</v>
      </c>
      <c r="D18" s="49">
        <f>COUNTIFS(TU_DB[[Water Temperature (oF)]:[Water Temperature (oF)]],"&gt;="&amp;32,TU_DB[[Year]:[Year]],D$9,TU_DB[[Month No.]:[Month No.]],$C18)</f>
        <v>9</v>
      </c>
      <c r="E18" s="347">
        <f>IF(D18&gt;0,_xlfn.MINIFS(TU_DB[[Water Temperature (oF)]:[Water Temperature (oF)]],TU_DB[[Year]:[Year]],D$9,TU_DB[[Month No.]:[Month No.]],$C18),"-")</f>
        <v>58</v>
      </c>
      <c r="F18" s="347">
        <f>IF(D18&gt;0,AVERAGEIFS(TU_DB[[Water Temperature (oF)]:[Water Temperature (oF)]],TU_DB[[Year]:[Year]],D$9,TU_DB[[Month No.]:[Month No.]],$C18),"-")</f>
        <v>63.111111111111114</v>
      </c>
      <c r="G18" s="50">
        <f>IF(D18&gt;0,_xlfn.MAXIFS(TU_DB[[Water Temperature (oF)]:[Water Temperature (oF)]],TU_DB[[Year]:[Year]],D$9,TU_DB[[Month No.]:[Month No.]],$C18),"-")</f>
        <v>71</v>
      </c>
      <c r="H18" s="49">
        <f>COUNTIFS(TU_DB[[Water Temperature (oF)]:[Water Temperature (oF)]],"&gt;="&amp;32,TU_DB[[Year]:[Year]],H$9,TU_DB[[Month No.]:[Month No.]],$C18)</f>
        <v>38</v>
      </c>
      <c r="I18" s="347">
        <f>IF(H18&gt;0,_xlfn.MINIFS(TU_DB[[Water Temperature (oF)]:[Water Temperature (oF)]],TU_DB[[Year]:[Year]],H$9,TU_DB[[Month No.]:[Month No.]],$C18),"-")</f>
        <v>0</v>
      </c>
      <c r="J18" s="347">
        <f>IF(H18&gt;0,AVERAGEIFS(TU_DB[[Water Temperature (oF)]:[Water Temperature (oF)]],TU_DB[[Year]:[Year]],H$9,TU_DB[[Month No.]:[Month No.]],$C18),"-")</f>
        <v>52.333333333333336</v>
      </c>
      <c r="K18" s="50">
        <f>IF(H18&gt;0,_xlfn.MAXIFS(TU_DB[[Water Temperature (oF)]:[Water Temperature (oF)]],TU_DB[[Year]:[Year]],H$9,TU_DB[[Month No.]:[Month No.]],$C18),"-")</f>
        <v>70</v>
      </c>
      <c r="L18" s="49">
        <f>COUNTIFS(TU_DB[[Water Temperature (oF)]:[Water Temperature (oF)]],"&gt;="&amp;32,TU_DB[[Year]:[Year]],L$9,TU_DB[[Month No.]:[Month No.]],$C18)</f>
        <v>55</v>
      </c>
      <c r="M18" s="347">
        <f>IF(L18&gt;0,_xlfn.MINIFS(TU_DB[[Water Temperature (oF)]:[Water Temperature (oF)]],TU_DB[[Year]:[Year]],L$9,TU_DB[[Month No.]:[Month No.]],$C18),"-")</f>
        <v>0</v>
      </c>
      <c r="N18" s="347">
        <f>IF(L18&gt;0,AVERAGEIFS(TU_DB[[Water Temperature (oF)]:[Water Temperature (oF)]],TU_DB[[Year]:[Year]],L$9,TU_DB[[Month No.]:[Month No.]],$C18),"-")</f>
        <v>55.68333333333333</v>
      </c>
      <c r="O18" s="50">
        <f>IF(L18&gt;0,_xlfn.MAXIFS(TU_DB[[Water Temperature (oF)]:[Water Temperature (oF)]],TU_DB[[Year]:[Year]],L$9,TU_DB[[Month No.]:[Month No.]],$C18),"-")</f>
        <v>76</v>
      </c>
      <c r="P18" s="49">
        <f>COUNTIFS(TU_DB[[Water Temperature (oF)]:[Water Temperature (oF)]],"&gt;="&amp;32,TU_DB[[Year]:[Year]],P$9,TU_DB[[Month No.]:[Month No.]],$C18)</f>
        <v>91</v>
      </c>
      <c r="Q18" s="347">
        <f>IF(P18&gt;0,_xlfn.MINIFS(TU_DB[[Water Temperature (oF)]:[Water Temperature (oF)]],TU_DB[[Year]:[Year]],P$9,TU_DB[[Month No.]:[Month No.]],$C18),"-")</f>
        <v>50</v>
      </c>
      <c r="R18" s="347">
        <f>IF(P18&gt;0,AVERAGEIFS(TU_DB[[Water Temperature (oF)]:[Water Temperature (oF)]],TU_DB[[Year]:[Year]],P$9,TU_DB[[Month No.]:[Month No.]],$C18),"-")</f>
        <v>61.296703296703299</v>
      </c>
      <c r="S18" s="50">
        <f>IF(P18&gt;0,_xlfn.MAXIFS(TU_DB[[Water Temperature (oF)]:[Water Temperature (oF)]],TU_DB[[Year]:[Year]],P$9,TU_DB[[Month No.]:[Month No.]],$C18),"-")</f>
        <v>77</v>
      </c>
      <c r="T18" s="49">
        <f>COUNTIFS(TU_DB[[Water Temperature (oF)]:[Water Temperature (oF)]],"&gt;="&amp;32,TU_DB[[Year]:[Year]],T$9,TU_DB[[Month No.]:[Month No.]],$C18)</f>
        <v>40</v>
      </c>
      <c r="U18" s="347">
        <f>IF(T18&gt;0,_xlfn.MINIFS(TU_DB[[Water Temperature (oF)]:[Water Temperature (oF)]],TU_DB[[Year]:[Year]],T$9,TU_DB[[Month No.]:[Month No.]],$C18),"-")</f>
        <v>13</v>
      </c>
      <c r="V18" s="347">
        <f>IF(T18&gt;0,AVERAGEIFS(TU_DB[[Water Temperature (oF)]:[Water Temperature (oF)]],TU_DB[[Year]:[Year]],T$9,TU_DB[[Month No.]:[Month No.]],$C18),"-")</f>
        <v>58.186046511627907</v>
      </c>
      <c r="W18" s="347">
        <f>IF(T18&gt;0,_xlfn.MAXIFS(TU_DB[[Water Temperature (oF)]:[Water Temperature (oF)]],TU_DB[[Year]:[Year]],T$9,TU_DB[[Month No.]:[Month No.]],$C18),"-")</f>
        <v>73</v>
      </c>
      <c r="X18"/>
      <c r="Y18" s="318">
        <f t="shared" si="0"/>
        <v>67</v>
      </c>
      <c r="Z18" s="318">
        <f t="shared" si="2"/>
        <v>4</v>
      </c>
      <c r="AA18" s="318">
        <f t="shared" si="3"/>
        <v>5</v>
      </c>
      <c r="AB18" s="318">
        <f t="shared" si="4"/>
        <v>24</v>
      </c>
      <c r="AC18"/>
      <c r="AD18"/>
      <c r="AE18"/>
      <c r="AF18"/>
      <c r="AG18"/>
      <c r="AJ18"/>
      <c r="AK18"/>
      <c r="AL18"/>
      <c r="AM18"/>
      <c r="AO18" s="1"/>
      <c r="AS18"/>
      <c r="AT18"/>
      <c r="AU18"/>
      <c r="AV18"/>
      <c r="AW18"/>
      <c r="AZ18" s="1"/>
      <c r="BA18"/>
      <c r="BB18"/>
      <c r="BC18"/>
      <c r="BD18"/>
    </row>
    <row r="19" spans="1:526" x14ac:dyDescent="0.25">
      <c r="B19" s="6" t="s">
        <v>142</v>
      </c>
      <c r="C19" s="6">
        <v>9</v>
      </c>
      <c r="D19" s="49">
        <f>COUNTIFS(TU_DB[[Water Temperature (oF)]:[Water Temperature (oF)]],"&gt;="&amp;32,TU_DB[[Year]:[Year]],D$9,TU_DB[[Month No.]:[Month No.]],$C19)</f>
        <v>20</v>
      </c>
      <c r="E19" s="347">
        <f>IF(D19&gt;0,_xlfn.MINIFS(TU_DB[[Water Temperature (oF)]:[Water Temperature (oF)]],TU_DB[[Year]:[Year]],D$9,TU_DB[[Month No.]:[Month No.]],$C19),"-")</f>
        <v>0</v>
      </c>
      <c r="F19" s="347">
        <f>IF(D19&gt;0,AVERAGEIFS(TU_DB[[Water Temperature (oF)]:[Water Temperature (oF)]],TU_DB[[Year]:[Year]],D$9,TU_DB[[Month No.]:[Month No.]],$C19),"-")</f>
        <v>49.428571428571431</v>
      </c>
      <c r="G19" s="50">
        <f>IF(D19&gt;0,_xlfn.MAXIFS(TU_DB[[Water Temperature (oF)]:[Water Temperature (oF)]],TU_DB[[Year]:[Year]],D$9,TU_DB[[Month No.]:[Month No.]],$C19),"-")</f>
        <v>63</v>
      </c>
      <c r="H19" s="49">
        <f>COUNTIFS(TU_DB[[Water Temperature (oF)]:[Water Temperature (oF)]],"&gt;="&amp;32,TU_DB[[Year]:[Year]],H$9,TU_DB[[Month No.]:[Month No.]],$C19)</f>
        <v>52</v>
      </c>
      <c r="I19" s="347">
        <f>IF(H19&gt;0,_xlfn.MINIFS(TU_DB[[Water Temperature (oF)]:[Water Temperature (oF)]],TU_DB[[Year]:[Year]],H$9,TU_DB[[Month No.]:[Month No.]],$C19),"-")</f>
        <v>0</v>
      </c>
      <c r="J19" s="347">
        <f>IF(H19&gt;0,AVERAGEIFS(TU_DB[[Water Temperature (oF)]:[Water Temperature (oF)]],TU_DB[[Year]:[Year]],H$9,TU_DB[[Month No.]:[Month No.]],$C19),"-")</f>
        <v>54.925925925925924</v>
      </c>
      <c r="K19" s="50">
        <f>IF(H19&gt;0,_xlfn.MAXIFS(TU_DB[[Water Temperature (oF)]:[Water Temperature (oF)]],TU_DB[[Year]:[Year]],H$9,TU_DB[[Month No.]:[Month No.]],$C19),"-")</f>
        <v>68</v>
      </c>
      <c r="L19" s="49">
        <f>COUNTIFS(TU_DB[[Water Temperature (oF)]:[Water Temperature (oF)]],"&gt;="&amp;32,TU_DB[[Year]:[Year]],L$9,TU_DB[[Month No.]:[Month No.]],$C19)</f>
        <v>33</v>
      </c>
      <c r="M19" s="347">
        <f>IF(L19&gt;0,_xlfn.MINIFS(TU_DB[[Water Temperature (oF)]:[Water Temperature (oF)]],TU_DB[[Year]:[Year]],L$9,TU_DB[[Month No.]:[Month No.]],$C19),"-")</f>
        <v>0</v>
      </c>
      <c r="N19" s="347">
        <f>IF(L19&gt;0,AVERAGEIFS(TU_DB[[Water Temperature (oF)]:[Water Temperature (oF)]],TU_DB[[Year]:[Year]],L$9,TU_DB[[Month No.]:[Month No.]],$C19),"-")</f>
        <v>47.774999999999999</v>
      </c>
      <c r="O19" s="50">
        <f>IF(L19&gt;0,_xlfn.MAXIFS(TU_DB[[Water Temperature (oF)]:[Water Temperature (oF)]],TU_DB[[Year]:[Year]],L$9,TU_DB[[Month No.]:[Month No.]],$C19),"-")</f>
        <v>74</v>
      </c>
      <c r="P19" s="49">
        <f>COUNTIFS(TU_DB[[Water Temperature (oF)]:[Water Temperature (oF)]],"&gt;="&amp;32,TU_DB[[Year]:[Year]],P$9,TU_DB[[Month No.]:[Month No.]],$C19)</f>
        <v>76</v>
      </c>
      <c r="Q19" s="347">
        <f>IF(P19&gt;0,_xlfn.MINIFS(TU_DB[[Water Temperature (oF)]:[Water Temperature (oF)]],TU_DB[[Year]:[Year]],P$9,TU_DB[[Month No.]:[Month No.]],$C19),"-")</f>
        <v>50</v>
      </c>
      <c r="R19" s="347">
        <f>IF(P19&gt;0,AVERAGEIFS(TU_DB[[Water Temperature (oF)]:[Water Temperature (oF)]],TU_DB[[Year]:[Year]],P$9,TU_DB[[Month No.]:[Month No.]],$C19),"-")</f>
        <v>58.736842105263158</v>
      </c>
      <c r="S19" s="50">
        <f>IF(P19&gt;0,_xlfn.MAXIFS(TU_DB[[Water Temperature (oF)]:[Water Temperature (oF)]],TU_DB[[Year]:[Year]],P$9,TU_DB[[Month No.]:[Month No.]],$C19),"-")</f>
        <v>76</v>
      </c>
      <c r="T19" s="49">
        <f>COUNTIFS(TU_DB[[Water Temperature (oF)]:[Water Temperature (oF)]],"&gt;="&amp;32,TU_DB[[Year]:[Year]],T$9,TU_DB[[Month No.]:[Month No.]],$C19)</f>
        <v>20</v>
      </c>
      <c r="U19" s="347">
        <f>IF(T19&gt;0,_xlfn.MINIFS(TU_DB[[Water Temperature (oF)]:[Water Temperature (oF)]],TU_DB[[Year]:[Year]],T$9,TU_DB[[Month No.]:[Month No.]],$C19),"-")</f>
        <v>52</v>
      </c>
      <c r="V19" s="347">
        <f>IF(T19&gt;0,AVERAGEIFS(TU_DB[[Water Temperature (oF)]:[Water Temperature (oF)]],TU_DB[[Year]:[Year]],T$9,TU_DB[[Month No.]:[Month No.]],$C19),"-")</f>
        <v>57.75</v>
      </c>
      <c r="W19" s="347">
        <f>IF(T19&gt;0,_xlfn.MAXIFS(TU_DB[[Water Temperature (oF)]:[Water Temperature (oF)]],TU_DB[[Year]:[Year]],T$9,TU_DB[[Month No.]:[Month No.]],$C19),"-")</f>
        <v>69</v>
      </c>
      <c r="X19"/>
      <c r="Y19" s="318">
        <f t="shared" si="0"/>
        <v>67</v>
      </c>
      <c r="Z19" s="318">
        <f t="shared" si="2"/>
        <v>4</v>
      </c>
      <c r="AA19" s="318">
        <f t="shared" si="3"/>
        <v>5</v>
      </c>
      <c r="AB19" s="318">
        <f t="shared" si="4"/>
        <v>24</v>
      </c>
      <c r="AC19"/>
      <c r="AD19"/>
      <c r="AE19"/>
      <c r="AF19"/>
      <c r="AG19"/>
      <c r="AJ19"/>
      <c r="AK19"/>
      <c r="AL19"/>
      <c r="AM19"/>
      <c r="AO19" s="1"/>
      <c r="AS19"/>
      <c r="AT19"/>
      <c r="AU19"/>
      <c r="AV19"/>
      <c r="AW19"/>
      <c r="AZ19" s="1"/>
      <c r="BA19"/>
      <c r="BB19"/>
      <c r="BC19"/>
      <c r="BD19"/>
    </row>
    <row r="20" spans="1:526" x14ac:dyDescent="0.25">
      <c r="B20" s="6" t="s">
        <v>141</v>
      </c>
      <c r="C20" s="6">
        <v>10</v>
      </c>
      <c r="D20" s="49">
        <f>COUNTIFS(TU_DB[[Water Temperature (oF)]:[Water Temperature (oF)]],"&gt;="&amp;32,TU_DB[[Year]:[Year]],D$9,TU_DB[[Month No.]:[Month No.]],$C20)</f>
        <v>8</v>
      </c>
      <c r="E20" s="347">
        <f>IF(D20&gt;0,_xlfn.MINIFS(TU_DB[[Water Temperature (oF)]:[Water Temperature (oF)]],TU_DB[[Year]:[Year]],D$9,TU_DB[[Month No.]:[Month No.]],$C20),"-")</f>
        <v>45</v>
      </c>
      <c r="F20" s="347">
        <f>IF(D20&gt;0,AVERAGEIFS(TU_DB[[Water Temperature (oF)]:[Water Temperature (oF)]],TU_DB[[Year]:[Year]],D$9,TU_DB[[Month No.]:[Month No.]],$C20),"-")</f>
        <v>48.875</v>
      </c>
      <c r="G20" s="50">
        <f>IF(D20&gt;0,_xlfn.MAXIFS(TU_DB[[Water Temperature (oF)]:[Water Temperature (oF)]],TU_DB[[Year]:[Year]],D$9,TU_DB[[Month No.]:[Month No.]],$C20),"-")</f>
        <v>54</v>
      </c>
      <c r="H20" s="49">
        <f>COUNTIFS(TU_DB[[Water Temperature (oF)]:[Water Temperature (oF)]],"&gt;="&amp;32,TU_DB[[Year]:[Year]],H$9,TU_DB[[Month No.]:[Month No.]],$C20)</f>
        <v>15</v>
      </c>
      <c r="I20" s="347">
        <f>IF(H20&gt;0,_xlfn.MINIFS(TU_DB[[Water Temperature (oF)]:[Water Temperature (oF)]],TU_DB[[Year]:[Year]],H$9,TU_DB[[Month No.]:[Month No.]],$C20),"-")</f>
        <v>0</v>
      </c>
      <c r="J20" s="347">
        <f>IF(H20&gt;0,AVERAGEIFS(TU_DB[[Water Temperature (oF)]:[Water Temperature (oF)]],TU_DB[[Year]:[Year]],H$9,TU_DB[[Month No.]:[Month No.]],$C20),"-")</f>
        <v>49.5625</v>
      </c>
      <c r="K20" s="50">
        <f>IF(H20&gt;0,_xlfn.MAXIFS(TU_DB[[Water Temperature (oF)]:[Water Temperature (oF)]],TU_DB[[Year]:[Year]],H$9,TU_DB[[Month No.]:[Month No.]],$C20),"-")</f>
        <v>61</v>
      </c>
      <c r="L20" s="49">
        <f>COUNTIFS(TU_DB[[Water Temperature (oF)]:[Water Temperature (oF)]],"&gt;="&amp;32,TU_DB[[Year]:[Year]],L$9,TU_DB[[Month No.]:[Month No.]],$C20)</f>
        <v>24</v>
      </c>
      <c r="M20" s="347">
        <f>IF(L20&gt;0,_xlfn.MINIFS(TU_DB[[Water Temperature (oF)]:[Water Temperature (oF)]],TU_DB[[Year]:[Year]],L$9,TU_DB[[Month No.]:[Month No.]],$C20),"-")</f>
        <v>42</v>
      </c>
      <c r="N20" s="347">
        <f>IF(L20&gt;0,AVERAGEIFS(TU_DB[[Water Temperature (oF)]:[Water Temperature (oF)]],TU_DB[[Year]:[Year]],L$9,TU_DB[[Month No.]:[Month No.]],$C20),"-")</f>
        <v>51.083333333333336</v>
      </c>
      <c r="O20" s="50">
        <f>IF(L20&gt;0,_xlfn.MAXIFS(TU_DB[[Water Temperature (oF)]:[Water Temperature (oF)]],TU_DB[[Year]:[Year]],L$9,TU_DB[[Month No.]:[Month No.]],$C20),"-")</f>
        <v>58</v>
      </c>
      <c r="P20" s="49">
        <f>COUNTIFS(TU_DB[[Water Temperature (oF)]:[Water Temperature (oF)]],"&gt;="&amp;32,TU_DB[[Year]:[Year]],P$9,TU_DB[[Month No.]:[Month No.]],$C20)</f>
        <v>36</v>
      </c>
      <c r="Q20" s="347">
        <f>IF(P20&gt;0,_xlfn.MINIFS(TU_DB[[Water Temperature (oF)]:[Water Temperature (oF)]],TU_DB[[Year]:[Year]],P$9,TU_DB[[Month No.]:[Month No.]],$C20),"-")</f>
        <v>0</v>
      </c>
      <c r="R20" s="347">
        <f>IF(P20&gt;0,AVERAGEIFS(TU_DB[[Water Temperature (oF)]:[Water Temperature (oF)]],TU_DB[[Year]:[Year]],P$9,TU_DB[[Month No.]:[Month No.]],$C20),"-")</f>
        <v>50.702702702702702</v>
      </c>
      <c r="S20" s="50">
        <f>IF(P20&gt;0,_xlfn.MAXIFS(TU_DB[[Water Temperature (oF)]:[Water Temperature (oF)]],TU_DB[[Year]:[Year]],P$9,TU_DB[[Month No.]:[Month No.]],$C20),"-")</f>
        <v>65</v>
      </c>
      <c r="T20" s="49">
        <f>COUNTIFS(TU_DB[[Water Temperature (oF)]:[Water Temperature (oF)]],"&gt;="&amp;32,TU_DB[[Year]:[Year]],T$9,TU_DB[[Month No.]:[Month No.]],$C20)</f>
        <v>12</v>
      </c>
      <c r="U20" s="347">
        <f>IF(T20&gt;0,_xlfn.MINIFS(TU_DB[[Water Temperature (oF)]:[Water Temperature (oF)]],TU_DB[[Year]:[Year]],T$9,TU_DB[[Month No.]:[Month No.]],$C20),"-")</f>
        <v>42</v>
      </c>
      <c r="V20" s="347">
        <f>IF(T20&gt;0,AVERAGEIFS(TU_DB[[Water Temperature (oF)]:[Water Temperature (oF)]],TU_DB[[Year]:[Year]],T$9,TU_DB[[Month No.]:[Month No.]],$C20),"-")</f>
        <v>54</v>
      </c>
      <c r="W20" s="347">
        <f>IF(T20&gt;0,_xlfn.MAXIFS(TU_DB[[Water Temperature (oF)]:[Water Temperature (oF)]],TU_DB[[Year]:[Year]],T$9,TU_DB[[Month No.]:[Month No.]],$C20),"-")</f>
        <v>64</v>
      </c>
      <c r="X20"/>
      <c r="Y20" s="318">
        <f t="shared" si="0"/>
        <v>67</v>
      </c>
      <c r="Z20" s="318">
        <f t="shared" si="2"/>
        <v>4</v>
      </c>
      <c r="AA20" s="318">
        <f t="shared" si="3"/>
        <v>5</v>
      </c>
      <c r="AB20" s="318">
        <f t="shared" si="4"/>
        <v>24</v>
      </c>
      <c r="AC20"/>
      <c r="AD20"/>
      <c r="AE20"/>
      <c r="AF20"/>
      <c r="AG20"/>
      <c r="AJ20"/>
      <c r="AK20"/>
      <c r="AL20"/>
      <c r="AM20"/>
      <c r="AO20" s="1"/>
      <c r="AS20"/>
      <c r="AT20"/>
      <c r="AU20"/>
      <c r="AV20"/>
      <c r="AW20"/>
      <c r="AZ20" s="1"/>
      <c r="BA20"/>
      <c r="BB20"/>
      <c r="BC20"/>
      <c r="BD20"/>
    </row>
    <row r="21" spans="1:526" x14ac:dyDescent="0.25">
      <c r="B21" s="6" t="s">
        <v>140</v>
      </c>
      <c r="C21" s="6">
        <v>11</v>
      </c>
      <c r="D21" s="49">
        <f>COUNTIFS(TU_DB[[Water Temperature (oF)]:[Water Temperature (oF)]],"&gt;="&amp;32,TU_DB[[Year]:[Year]],D$9,TU_DB[[Month No.]:[Month No.]],$C21)</f>
        <v>5</v>
      </c>
      <c r="E21" s="347">
        <f>IF(D21&gt;0,_xlfn.MINIFS(TU_DB[[Water Temperature (oF)]:[Water Temperature (oF)]],TU_DB[[Year]:[Year]],D$9,TU_DB[[Month No.]:[Month No.]],$C21),"-")</f>
        <v>45</v>
      </c>
      <c r="F21" s="347">
        <f>IF(D21&gt;0,AVERAGEIFS(TU_DB[[Water Temperature (oF)]:[Water Temperature (oF)]],TU_DB[[Year]:[Year]],D$9,TU_DB[[Month No.]:[Month No.]],$C21),"-")</f>
        <v>47</v>
      </c>
      <c r="G21" s="50">
        <f>IF(D21&gt;0,_xlfn.MAXIFS(TU_DB[[Water Temperature (oF)]:[Water Temperature (oF)]],TU_DB[[Year]:[Year]],D$9,TU_DB[[Month No.]:[Month No.]],$C21),"-")</f>
        <v>48</v>
      </c>
      <c r="H21" s="49">
        <f>COUNTIFS(TU_DB[[Water Temperature (oF)]:[Water Temperature (oF)]],"&gt;="&amp;32,TU_DB[[Year]:[Year]],H$9,TU_DB[[Month No.]:[Month No.]],$C21)</f>
        <v>7</v>
      </c>
      <c r="I21" s="347">
        <f>IF(H21&gt;0,_xlfn.MINIFS(TU_DB[[Water Temperature (oF)]:[Water Temperature (oF)]],TU_DB[[Year]:[Year]],H$9,TU_DB[[Month No.]:[Month No.]],$C21),"-")</f>
        <v>44</v>
      </c>
      <c r="J21" s="347">
        <f>IF(H21&gt;0,AVERAGEIFS(TU_DB[[Water Temperature (oF)]:[Water Temperature (oF)]],TU_DB[[Year]:[Year]],H$9,TU_DB[[Month No.]:[Month No.]],$C21),"-")</f>
        <v>46.571428571428569</v>
      </c>
      <c r="K21" s="50">
        <f>IF(H21&gt;0,_xlfn.MAXIFS(TU_DB[[Water Temperature (oF)]:[Water Temperature (oF)]],TU_DB[[Year]:[Year]],H$9,TU_DB[[Month No.]:[Month No.]],$C21),"-")</f>
        <v>49</v>
      </c>
      <c r="L21" s="49">
        <f>COUNTIFS(TU_DB[[Water Temperature (oF)]:[Water Temperature (oF)]],"&gt;="&amp;32,TU_DB[[Year]:[Year]],L$9,TU_DB[[Month No.]:[Month No.]],$C21)</f>
        <v>4</v>
      </c>
      <c r="M21" s="347">
        <f>IF(L21&gt;0,_xlfn.MINIFS(TU_DB[[Water Temperature (oF)]:[Water Temperature (oF)]],TU_DB[[Year]:[Year]],L$9,TU_DB[[Month No.]:[Month No.]],$C21),"-")</f>
        <v>40</v>
      </c>
      <c r="N21" s="347">
        <f>IF(L21&gt;0,AVERAGEIFS(TU_DB[[Water Temperature (oF)]:[Water Temperature (oF)]],TU_DB[[Year]:[Year]],L$9,TU_DB[[Month No.]:[Month No.]],$C21),"-")</f>
        <v>45.75</v>
      </c>
      <c r="O21" s="50">
        <f>IF(L21&gt;0,_xlfn.MAXIFS(TU_DB[[Water Temperature (oF)]:[Water Temperature (oF)]],TU_DB[[Year]:[Year]],L$9,TU_DB[[Month No.]:[Month No.]],$C21),"-")</f>
        <v>55</v>
      </c>
      <c r="P21" s="49">
        <f>COUNTIFS(TU_DB[[Water Temperature (oF)]:[Water Temperature (oF)]],"&gt;="&amp;32,TU_DB[[Year]:[Year]],P$9,TU_DB[[Month No.]:[Month No.]],$C21)</f>
        <v>0</v>
      </c>
      <c r="Q21" s="347" t="str">
        <f>IF(P21&gt;0,_xlfn.MINIFS(TU_DB[[Water Temperature (oF)]:[Water Temperature (oF)]],TU_DB[[Year]:[Year]],P$9,TU_DB[[Month No.]:[Month No.]],$C21),"-")</f>
        <v>-</v>
      </c>
      <c r="R21" s="347" t="str">
        <f>IF(P21&gt;0,AVERAGEIFS(TU_DB[[Water Temperature (oF)]:[Water Temperature (oF)]],TU_DB[[Year]:[Year]],P$9,TU_DB[[Month No.]:[Month No.]],$C21),"-")</f>
        <v>-</v>
      </c>
      <c r="S21" s="50" t="str">
        <f>IF(P21&gt;0,_xlfn.MAXIFS(TU_DB[[Water Temperature (oF)]:[Water Temperature (oF)]],TU_DB[[Year]:[Year]],P$9,TU_DB[[Month No.]:[Month No.]],$C21),"-")</f>
        <v>-</v>
      </c>
      <c r="T21" s="49">
        <f>COUNTIFS(TU_DB[[Water Temperature (oF)]:[Water Temperature (oF)]],"&gt;="&amp;32,TU_DB[[Year]:[Year]],T$9,TU_DB[[Month No.]:[Month No.]],$C21)</f>
        <v>0</v>
      </c>
      <c r="U21" s="347" t="str">
        <f>IF(T21&gt;0,_xlfn.MINIFS(TU_DB[[Water Temperature (oF)]:[Water Temperature (oF)]],TU_DB[[Year]:[Year]],T$9,TU_DB[[Month No.]:[Month No.]],$C21),"-")</f>
        <v>-</v>
      </c>
      <c r="V21" s="347" t="str">
        <f>IF(T21&gt;0,AVERAGEIFS(TU_DB[[Water Temperature (oF)]:[Water Temperature (oF)]],TU_DB[[Year]:[Year]],T$9,TU_DB[[Month No.]:[Month No.]],$C21),"-")</f>
        <v>-</v>
      </c>
      <c r="W21" s="347" t="str">
        <f>IF(T21&gt;0,_xlfn.MAXIFS(TU_DB[[Water Temperature (oF)]:[Water Temperature (oF)]],TU_DB[[Year]:[Year]],T$9,TU_DB[[Month No.]:[Month No.]],$C21),"-")</f>
        <v>-</v>
      </c>
      <c r="X21"/>
      <c r="Y21" s="318">
        <f t="shared" si="0"/>
        <v>67</v>
      </c>
      <c r="Z21" s="318">
        <f t="shared" si="2"/>
        <v>4</v>
      </c>
      <c r="AA21" s="318">
        <f t="shared" si="3"/>
        <v>5</v>
      </c>
      <c r="AB21" s="318">
        <f t="shared" si="4"/>
        <v>24</v>
      </c>
      <c r="AC21"/>
      <c r="AD21"/>
      <c r="AE21"/>
      <c r="AF21"/>
      <c r="AG21"/>
      <c r="AJ21"/>
      <c r="AK21"/>
      <c r="AL21"/>
      <c r="AM21"/>
      <c r="AO21" s="1"/>
      <c r="AS21"/>
      <c r="AT21"/>
      <c r="AU21"/>
      <c r="AV21"/>
      <c r="AW21"/>
      <c r="AZ21" s="1"/>
      <c r="BA21"/>
      <c r="BB21"/>
      <c r="BC21"/>
      <c r="BD21"/>
    </row>
    <row r="22" spans="1:526" ht="15.75" thickBot="1" x14ac:dyDescent="0.3">
      <c r="B22" s="101" t="s">
        <v>580</v>
      </c>
      <c r="C22" s="101">
        <v>12</v>
      </c>
      <c r="D22" s="343">
        <f>COUNTIFS(TU_DB[[Water Temperature (oF)]:[Water Temperature (oF)]],"&gt;="&amp;32,TU_DB[[Year]:[Year]],D$9,TU_DB[[Month No.]:[Month No.]],$C22)</f>
        <v>0</v>
      </c>
      <c r="E22" s="348" t="str">
        <f>IF(D22&gt;0,_xlfn.MINIFS(TU_DB[[Water Temperature (oF)]:[Water Temperature (oF)]],TU_DB[[Year]:[Year]],D$9,TU_DB[[Month No.]:[Month No.]],$C22),"-")</f>
        <v>-</v>
      </c>
      <c r="F22" s="348" t="str">
        <f>IF(D22&gt;0,AVERAGEIFS(TU_DB[[Water Temperature (oF)]:[Water Temperature (oF)]],TU_DB[[Year]:[Year]],D$9,TU_DB[[Month No.]:[Month No.]],$C22),"-")</f>
        <v>-</v>
      </c>
      <c r="G22" s="349" t="str">
        <f>IF(D22&gt;0,_xlfn.MAXIFS(TU_DB[[Water Temperature (oF)]:[Water Temperature (oF)]],TU_DB[[Year]:[Year]],D$9,TU_DB[[Month No.]:[Month No.]],$C22),"-")</f>
        <v>-</v>
      </c>
      <c r="H22" s="343">
        <f>COUNTIFS(TU_DB[[Water Temperature (oF)]:[Water Temperature (oF)]],"&gt;="&amp;32,TU_DB[[Year]:[Year]],H$9,TU_DB[[Month No.]:[Month No.]],$C22)</f>
        <v>1</v>
      </c>
      <c r="I22" s="348">
        <f>IF(H22&gt;0,_xlfn.MINIFS(TU_DB[[Water Temperature (oF)]:[Water Temperature (oF)]],TU_DB[[Year]:[Year]],H$9,TU_DB[[Month No.]:[Month No.]],$C22),"-")</f>
        <v>42</v>
      </c>
      <c r="J22" s="348">
        <f>IF(H22&gt;0,AVERAGEIFS(TU_DB[[Water Temperature (oF)]:[Water Temperature (oF)]],TU_DB[[Year]:[Year]],H$9,TU_DB[[Month No.]:[Month No.]],$C22),"-")</f>
        <v>42</v>
      </c>
      <c r="K22" s="349">
        <f>IF(H22&gt;0,_xlfn.MAXIFS(TU_DB[[Water Temperature (oF)]:[Water Temperature (oF)]],TU_DB[[Year]:[Year]],H$9,TU_DB[[Month No.]:[Month No.]],$C22),"-")</f>
        <v>42</v>
      </c>
      <c r="L22" s="343">
        <f>COUNTIFS(TU_DB[[Water Temperature (oF)]:[Water Temperature (oF)]],"&gt;="&amp;32,TU_DB[[Year]:[Year]],L$9,TU_DB[[Month No.]:[Month No.]],$C22)</f>
        <v>0</v>
      </c>
      <c r="M22" s="348" t="str">
        <f>IF(L22&gt;0,_xlfn.MINIFS(TU_DB[[Water Temperature (oF)]:[Water Temperature (oF)]],TU_DB[[Year]:[Year]],L$9,TU_DB[[Month No.]:[Month No.]],$C22),"-")</f>
        <v>-</v>
      </c>
      <c r="N22" s="348" t="str">
        <f>IF(L22&gt;0,AVERAGEIFS(TU_DB[[Water Temperature (oF)]:[Water Temperature (oF)]],TU_DB[[Year]:[Year]],L$9,TU_DB[[Month No.]:[Month No.]],$C22),"-")</f>
        <v>-</v>
      </c>
      <c r="O22" s="349" t="str">
        <f>IF(L22&gt;0,_xlfn.MAXIFS(TU_DB[[Water Temperature (oF)]:[Water Temperature (oF)]],TU_DB[[Year]:[Year]],L$9,TU_DB[[Month No.]:[Month No.]],$C22),"-")</f>
        <v>-</v>
      </c>
      <c r="P22" s="343">
        <f>COUNTIFS(TU_DB[[Water Temperature (oF)]:[Water Temperature (oF)]],"&gt;="&amp;32,TU_DB[[Year]:[Year]],P$9,TU_DB[[Month No.]:[Month No.]],$C22)</f>
        <v>1</v>
      </c>
      <c r="Q22" s="348">
        <f>IF(P22&gt;0,_xlfn.MINIFS(TU_DB[[Water Temperature (oF)]:[Water Temperature (oF)]],TU_DB[[Year]:[Year]],P$9,TU_DB[[Month No.]:[Month No.]],$C22),"-")</f>
        <v>48</v>
      </c>
      <c r="R22" s="348">
        <f>IF(P22&gt;0,AVERAGEIFS(TU_DB[[Water Temperature (oF)]:[Water Temperature (oF)]],TU_DB[[Year]:[Year]],P$9,TU_DB[[Month No.]:[Month No.]],$C22),"-")</f>
        <v>48</v>
      </c>
      <c r="S22" s="349">
        <f>IF(P22&gt;0,_xlfn.MAXIFS(TU_DB[[Water Temperature (oF)]:[Water Temperature (oF)]],TU_DB[[Year]:[Year]],P$9,TU_DB[[Month No.]:[Month No.]],$C22),"-")</f>
        <v>48</v>
      </c>
      <c r="T22" s="343">
        <f>COUNTIFS(TU_DB[[Water Temperature (oF)]:[Water Temperature (oF)]],"&gt;="&amp;32,TU_DB[[Year]:[Year]],T$9,TU_DB[[Month No.]:[Month No.]],$C22)</f>
        <v>0</v>
      </c>
      <c r="U22" s="348" t="str">
        <f>IF(T22&gt;0,_xlfn.MINIFS(TU_DB[[Water Temperature (oF)]:[Water Temperature (oF)]],TU_DB[[Year]:[Year]],T$9,TU_DB[[Month No.]:[Month No.]],$C22),"-")</f>
        <v>-</v>
      </c>
      <c r="V22" s="348" t="str">
        <f>IF(T22&gt;0,AVERAGEIFS(TU_DB[[Water Temperature (oF)]:[Water Temperature (oF)]],TU_DB[[Year]:[Year]],T$9,TU_DB[[Month No.]:[Month No.]],$C22),"-")</f>
        <v>-</v>
      </c>
      <c r="W22" s="348" t="str">
        <f>IF(T22&gt;0,_xlfn.MAXIFS(TU_DB[[Water Temperature (oF)]:[Water Temperature (oF)]],TU_DB[[Year]:[Year]],T$9,TU_DB[[Month No.]:[Month No.]],$C22),"-")</f>
        <v>-</v>
      </c>
      <c r="X22"/>
      <c r="Y22" s="366">
        <f t="shared" si="0"/>
        <v>67</v>
      </c>
      <c r="Z22" s="366">
        <f t="shared" si="2"/>
        <v>4</v>
      </c>
      <c r="AA22" s="366">
        <f t="shared" si="3"/>
        <v>5</v>
      </c>
      <c r="AB22" s="366">
        <f t="shared" si="4"/>
        <v>24</v>
      </c>
      <c r="AC22"/>
      <c r="AD22"/>
      <c r="AE22"/>
      <c r="AF22"/>
      <c r="AG22"/>
      <c r="AJ22"/>
      <c r="AO22" s="1"/>
      <c r="AS22"/>
      <c r="AT22"/>
      <c r="AU22"/>
      <c r="AV22"/>
      <c r="AW22"/>
      <c r="AZ22" s="1"/>
      <c r="BA22"/>
      <c r="BB22"/>
      <c r="BC22"/>
      <c r="BD22"/>
    </row>
    <row r="23" spans="1:526" ht="16.5" thickTop="1" x14ac:dyDescent="0.25">
      <c r="B23" s="11"/>
      <c r="C23" s="11"/>
      <c r="J23" s="353"/>
      <c r="K23" s="347"/>
      <c r="M23" s="353"/>
      <c r="N23" s="347"/>
      <c r="O23" s="6"/>
      <c r="Q23" s="352"/>
      <c r="R23" s="6"/>
      <c r="S23" s="6"/>
      <c r="X23"/>
      <c r="Z23" s="1"/>
      <c r="AA23"/>
      <c r="AB23"/>
      <c r="AC23"/>
      <c r="AD23"/>
      <c r="AE23"/>
      <c r="AF23"/>
      <c r="AG23"/>
      <c r="AI23" s="1"/>
      <c r="AM23"/>
      <c r="AN23"/>
      <c r="AO23" s="1"/>
      <c r="AS23"/>
      <c r="AT23"/>
      <c r="AU23"/>
      <c r="AV23"/>
      <c r="AW23"/>
      <c r="AX23"/>
      <c r="AY23"/>
      <c r="AZ23"/>
      <c r="BA23"/>
      <c r="BB23"/>
      <c r="BC23"/>
      <c r="BD23"/>
    </row>
    <row r="24" spans="1:526" ht="15.75" x14ac:dyDescent="0.25">
      <c r="B24" s="11"/>
      <c r="I24" s="353"/>
      <c r="J24" s="347"/>
      <c r="L24" s="353"/>
      <c r="M24" s="347"/>
      <c r="P24" s="352"/>
      <c r="Q24" s="6"/>
      <c r="R24" s="6"/>
      <c r="S24" s="6"/>
      <c r="W24" s="352"/>
      <c r="X24" s="11"/>
      <c r="Z24" s="1"/>
      <c r="AA24"/>
      <c r="AB24"/>
      <c r="AC24"/>
      <c r="AD24"/>
      <c r="AE24"/>
      <c r="AF24"/>
      <c r="AG24"/>
      <c r="AI24" s="1"/>
      <c r="AL24"/>
      <c r="AM24"/>
      <c r="AN24"/>
      <c r="AO24" s="1"/>
      <c r="AS24"/>
      <c r="AT24"/>
      <c r="AU24"/>
      <c r="AV24"/>
      <c r="AW24"/>
      <c r="AX24"/>
      <c r="AY24"/>
      <c r="AZ24"/>
      <c r="BA24"/>
      <c r="BB24"/>
      <c r="BC24"/>
      <c r="BD24"/>
    </row>
    <row r="25" spans="1:526" s="53" customFormat="1" ht="15.75" x14ac:dyDescent="0.25">
      <c r="B25" s="51"/>
      <c r="C25" s="52"/>
      <c r="D25" s="355"/>
      <c r="E25" s="355"/>
      <c r="F25" s="355"/>
      <c r="G25" s="355"/>
      <c r="H25" s="355"/>
      <c r="I25" s="355"/>
      <c r="J25" s="355"/>
      <c r="K25" s="355"/>
      <c r="L25" s="355"/>
      <c r="M25" s="356"/>
      <c r="N25" s="355"/>
      <c r="O25" s="355"/>
      <c r="P25" s="355"/>
      <c r="Q25" s="355"/>
      <c r="R25" s="355"/>
      <c r="S25" s="355"/>
      <c r="T25" s="355"/>
      <c r="U25" s="355"/>
      <c r="V25" s="357"/>
      <c r="W25" s="356"/>
      <c r="X25" s="11"/>
      <c r="Y25" s="1"/>
      <c r="Z25" s="1"/>
      <c r="AA25"/>
      <c r="AB25"/>
      <c r="AC25"/>
      <c r="AD25"/>
      <c r="AE25"/>
      <c r="AF25"/>
      <c r="AG25"/>
      <c r="AH25"/>
      <c r="AI25"/>
      <c r="AJ25"/>
      <c r="AK25"/>
      <c r="AL25"/>
      <c r="AM25"/>
      <c r="AN25"/>
      <c r="AO25" s="1"/>
      <c r="AP25"/>
      <c r="AQ25"/>
      <c r="AR25"/>
      <c r="AS25"/>
      <c r="AT25"/>
      <c r="AU25"/>
      <c r="AV25"/>
      <c r="AW25"/>
      <c r="AX25"/>
      <c r="AY25"/>
      <c r="AZ25"/>
      <c r="BA25"/>
      <c r="BB25"/>
      <c r="BC25"/>
      <c r="BD25"/>
      <c r="BE25"/>
      <c r="BF25"/>
      <c r="BG25"/>
      <c r="BH25"/>
      <c r="BI25"/>
      <c r="BJ25"/>
      <c r="BK25"/>
      <c r="BL25"/>
      <c r="BM25"/>
      <c r="BN25"/>
    </row>
    <row r="26" spans="1:526" ht="15.75" x14ac:dyDescent="0.25">
      <c r="M26" s="352"/>
      <c r="O26" s="6"/>
      <c r="P26" s="6"/>
      <c r="Q26" s="6"/>
      <c r="R26" s="6"/>
      <c r="S26" s="6"/>
      <c r="V26" s="7"/>
      <c r="W26" s="352"/>
      <c r="X26" s="11"/>
      <c r="Z26" s="1"/>
      <c r="AA26"/>
      <c r="AB26"/>
      <c r="AC26"/>
      <c r="AD26"/>
      <c r="AE26"/>
      <c r="AF26"/>
      <c r="AG26"/>
      <c r="AI26" s="17"/>
      <c r="AK26" s="44"/>
      <c r="AL26" s="17"/>
      <c r="AO26" s="1"/>
      <c r="AS26"/>
      <c r="AT26"/>
      <c r="AU26"/>
      <c r="AV26"/>
      <c r="AW26"/>
      <c r="AX26"/>
      <c r="AY26"/>
      <c r="AZ26"/>
      <c r="BA26"/>
      <c r="BB26"/>
      <c r="BC26"/>
      <c r="BD26"/>
    </row>
    <row r="27" spans="1:526" ht="16.5" customHeight="1" x14ac:dyDescent="0.3">
      <c r="M27" s="7"/>
      <c r="O27" s="6"/>
      <c r="P27" s="6"/>
      <c r="Q27" s="6"/>
      <c r="R27" s="6"/>
      <c r="S27" s="6"/>
      <c r="V27" s="7"/>
      <c r="W27" s="7"/>
      <c r="X27" s="11"/>
      <c r="Z27" s="1"/>
      <c r="AA27"/>
      <c r="AB27"/>
      <c r="AC27"/>
      <c r="AD27"/>
      <c r="AE27"/>
      <c r="AF27"/>
      <c r="AG27"/>
      <c r="AI27" s="9"/>
      <c r="AJ27" s="9"/>
      <c r="AO27" s="1"/>
      <c r="AS27"/>
      <c r="AT27"/>
      <c r="AU27"/>
      <c r="AV27"/>
      <c r="AW27"/>
      <c r="AX27"/>
      <c r="AY27"/>
      <c r="AZ27"/>
      <c r="BA27"/>
      <c r="BB27"/>
      <c r="BC27"/>
      <c r="BD27"/>
    </row>
    <row r="28" spans="1:526" s="7" customFormat="1" ht="15.75" x14ac:dyDescent="0.25">
      <c r="A28"/>
      <c r="B28"/>
      <c r="C28"/>
      <c r="X28" s="11"/>
      <c r="Y28" s="1"/>
      <c r="Z28" s="1"/>
      <c r="AA28"/>
      <c r="AB28"/>
      <c r="AC28"/>
      <c r="AD28"/>
      <c r="AE28"/>
      <c r="AF28"/>
      <c r="AG28"/>
      <c r="AH28"/>
      <c r="AI28" s="1"/>
      <c r="AJ28" s="1"/>
      <c r="AK28" s="1"/>
      <c r="AL28" s="1"/>
      <c r="AM28" s="1"/>
      <c r="AO28" s="1"/>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row>
    <row r="29" spans="1:526" s="7" customFormat="1" x14ac:dyDescent="0.25">
      <c r="E29" s="6"/>
      <c r="F29" s="6"/>
      <c r="G29" s="6"/>
      <c r="H29" s="6"/>
      <c r="I29" s="6"/>
      <c r="J29" s="6"/>
      <c r="K29" s="6"/>
      <c r="L29" s="6"/>
      <c r="P29" s="6"/>
      <c r="Q29" s="6"/>
      <c r="R29" s="6"/>
      <c r="S29" s="6"/>
      <c r="T29" s="6"/>
      <c r="U29" s="6"/>
      <c r="Z29" s="1"/>
      <c r="AA29"/>
      <c r="AB29"/>
      <c r="AC29"/>
      <c r="AD29"/>
      <c r="AE29"/>
      <c r="AF29"/>
      <c r="AG29"/>
      <c r="AH29"/>
      <c r="AI29" s="6"/>
      <c r="AJ29" s="6"/>
      <c r="AK29" s="6"/>
      <c r="AL29" s="6"/>
      <c r="AM29" s="6"/>
      <c r="AO29" s="1"/>
      <c r="AP29"/>
      <c r="AQ29"/>
      <c r="AR29"/>
      <c r="AS29"/>
      <c r="AT29"/>
      <c r="AU29"/>
      <c r="AV29"/>
      <c r="AW29"/>
      <c r="BE29"/>
      <c r="BF29"/>
      <c r="BG29"/>
      <c r="BH29"/>
      <c r="BI29"/>
      <c r="BJ29"/>
      <c r="BK29"/>
      <c r="BL29"/>
      <c r="BM29"/>
      <c r="BN29"/>
    </row>
    <row r="30" spans="1:526" x14ac:dyDescent="0.25">
      <c r="C30"/>
      <c r="D30" s="7"/>
      <c r="M30" s="7"/>
      <c r="N30" s="7"/>
      <c r="P30" s="6"/>
      <c r="Q30" s="6"/>
      <c r="R30" s="6"/>
      <c r="S30" s="6"/>
      <c r="V30" s="7"/>
      <c r="W30" s="7"/>
      <c r="X30"/>
      <c r="Y30"/>
      <c r="Z30" s="1"/>
      <c r="AA30"/>
      <c r="AB30"/>
      <c r="AC30"/>
      <c r="AD30"/>
      <c r="AE30"/>
      <c r="AF30"/>
      <c r="AG30"/>
      <c r="AI30" s="1"/>
      <c r="AO30" s="1"/>
      <c r="AS30"/>
      <c r="AT30"/>
      <c r="AU30"/>
      <c r="AV30"/>
      <c r="AW30"/>
      <c r="AX30"/>
      <c r="AY30"/>
      <c r="AZ30"/>
      <c r="BA30"/>
      <c r="BB30"/>
      <c r="BC30"/>
      <c r="BD30"/>
    </row>
    <row r="31" spans="1:526" x14ac:dyDescent="0.25">
      <c r="C31"/>
      <c r="D31" s="7"/>
      <c r="M31" s="7"/>
      <c r="N31" s="7"/>
      <c r="P31" s="6"/>
      <c r="Q31" s="6"/>
      <c r="R31" s="6"/>
      <c r="S31" s="6"/>
      <c r="V31" s="7"/>
      <c r="W31" s="7"/>
      <c r="X31"/>
      <c r="Y31"/>
      <c r="Z31" s="1"/>
      <c r="AA31"/>
      <c r="AB31"/>
      <c r="AC31"/>
      <c r="AD31"/>
      <c r="AE31"/>
      <c r="AF31"/>
      <c r="AG31"/>
      <c r="AI31" s="1"/>
      <c r="AO31" s="1"/>
      <c r="AS31"/>
      <c r="AT31"/>
      <c r="AU31"/>
      <c r="AV31"/>
      <c r="AW31"/>
      <c r="AX31"/>
      <c r="AY31"/>
      <c r="AZ31"/>
      <c r="BA31"/>
      <c r="BB31"/>
      <c r="BC31"/>
      <c r="BD31"/>
    </row>
    <row r="32" spans="1:526" x14ac:dyDescent="0.25">
      <c r="C32"/>
      <c r="D32" s="7"/>
      <c r="M32" s="7"/>
      <c r="N32" s="7"/>
      <c r="P32" s="6"/>
      <c r="Q32" s="6"/>
      <c r="R32" s="6"/>
      <c r="S32" s="6"/>
      <c r="V32" s="7"/>
      <c r="W32" s="7"/>
      <c r="X32"/>
      <c r="Y32"/>
      <c r="Z32" s="1"/>
      <c r="AA32"/>
      <c r="AB32"/>
      <c r="AC32"/>
      <c r="AD32"/>
      <c r="AE32"/>
      <c r="AF32"/>
      <c r="AG32"/>
      <c r="AI32" s="1"/>
      <c r="AS32"/>
      <c r="AT32"/>
      <c r="AU32"/>
      <c r="AV32"/>
      <c r="AW32"/>
      <c r="AX32"/>
      <c r="AY32"/>
      <c r="AZ32"/>
      <c r="BA32"/>
      <c r="BB32"/>
      <c r="BC32"/>
      <c r="BD32"/>
    </row>
    <row r="33" spans="1:66" x14ac:dyDescent="0.25">
      <c r="C33"/>
      <c r="D33" s="7"/>
      <c r="M33" s="7"/>
      <c r="N33" s="7"/>
      <c r="P33" s="6"/>
      <c r="Q33" s="6"/>
      <c r="R33" s="6"/>
      <c r="S33" s="6"/>
      <c r="V33" s="7"/>
      <c r="W33" s="7"/>
      <c r="X33"/>
      <c r="Y33"/>
      <c r="Z33" s="1"/>
      <c r="AA33"/>
      <c r="AB33"/>
      <c r="AC33"/>
      <c r="AD33"/>
      <c r="AE33"/>
      <c r="AF33"/>
      <c r="AG33"/>
      <c r="AI33" s="1"/>
      <c r="AS33"/>
      <c r="AT33"/>
      <c r="AU33"/>
      <c r="AV33"/>
      <c r="AW33"/>
      <c r="AX33"/>
      <c r="AY33"/>
      <c r="AZ33"/>
      <c r="BA33"/>
      <c r="BB33"/>
      <c r="BC33"/>
      <c r="BD33"/>
    </row>
    <row r="34" spans="1:66" x14ac:dyDescent="0.25">
      <c r="C34"/>
      <c r="D34" s="7"/>
      <c r="M34" s="7"/>
      <c r="N34" s="7"/>
      <c r="P34" s="6"/>
      <c r="Q34" s="6"/>
      <c r="R34" s="6"/>
      <c r="S34" s="6"/>
      <c r="V34" s="7"/>
      <c r="W34" s="7"/>
      <c r="X34"/>
      <c r="Y34"/>
      <c r="Z34" s="1"/>
      <c r="AA34"/>
      <c r="AB34"/>
      <c r="AC34"/>
      <c r="AD34"/>
      <c r="AE34"/>
      <c r="AF34"/>
      <c r="AG34"/>
      <c r="AI34" s="1"/>
      <c r="AS34"/>
      <c r="AT34"/>
      <c r="AU34"/>
      <c r="AV34"/>
      <c r="AW34"/>
      <c r="AX34"/>
      <c r="AY34"/>
      <c r="AZ34"/>
      <c r="BA34"/>
      <c r="BB34"/>
      <c r="BC34"/>
      <c r="BD34"/>
    </row>
    <row r="35" spans="1:66" x14ac:dyDescent="0.25">
      <c r="C35"/>
      <c r="D35" s="7"/>
      <c r="M35" s="7"/>
      <c r="N35" s="7"/>
      <c r="P35" s="6"/>
      <c r="Q35" s="6"/>
      <c r="R35" s="6"/>
      <c r="S35" s="6"/>
      <c r="V35" s="7"/>
      <c r="W35" s="7"/>
      <c r="X35"/>
      <c r="Y35"/>
      <c r="Z35" s="1"/>
      <c r="AA35"/>
      <c r="AB35"/>
      <c r="AC35"/>
      <c r="AD35"/>
      <c r="AE35"/>
      <c r="AF35"/>
      <c r="AG35"/>
      <c r="AI35" s="1"/>
      <c r="AS35"/>
      <c r="AT35"/>
      <c r="AU35"/>
      <c r="AV35"/>
      <c r="AW35"/>
      <c r="AX35"/>
      <c r="AY35"/>
      <c r="AZ35"/>
      <c r="BA35"/>
      <c r="BB35"/>
      <c r="BC35"/>
      <c r="BD35"/>
    </row>
    <row r="36" spans="1:66" x14ac:dyDescent="0.25">
      <c r="C36"/>
      <c r="D36" s="7"/>
      <c r="M36" s="7"/>
      <c r="N36" s="7"/>
      <c r="P36" s="6"/>
      <c r="Q36" s="6"/>
      <c r="R36" s="6"/>
      <c r="S36" s="6"/>
      <c r="V36" s="7"/>
      <c r="W36" s="7"/>
      <c r="X36"/>
      <c r="Y36"/>
      <c r="Z36" s="1"/>
      <c r="AA36"/>
      <c r="AB36"/>
      <c r="AC36"/>
      <c r="AD36"/>
      <c r="AE36"/>
      <c r="AF36"/>
      <c r="AG36"/>
      <c r="AI36" s="1"/>
      <c r="AS36"/>
      <c r="AT36"/>
      <c r="AU36"/>
      <c r="AV36"/>
      <c r="AW36"/>
      <c r="AX36"/>
      <c r="AY36"/>
      <c r="AZ36"/>
      <c r="BA36"/>
      <c r="BB36"/>
      <c r="BC36"/>
      <c r="BD36"/>
    </row>
    <row r="37" spans="1:66" x14ac:dyDescent="0.25">
      <c r="C37"/>
      <c r="D37" s="7"/>
      <c r="M37" s="7"/>
      <c r="N37" s="7"/>
      <c r="P37" s="6"/>
      <c r="Q37" s="6"/>
      <c r="R37" s="6"/>
      <c r="S37" s="6"/>
      <c r="V37" s="7"/>
      <c r="W37" s="7"/>
      <c r="X37"/>
      <c r="Y37"/>
      <c r="Z37" s="1"/>
      <c r="AA37"/>
      <c r="AB37"/>
      <c r="AC37"/>
      <c r="AD37"/>
      <c r="AE37"/>
      <c r="AF37"/>
      <c r="AG37"/>
      <c r="AI37" s="1"/>
      <c r="AS37"/>
      <c r="AT37"/>
      <c r="AU37"/>
      <c r="AV37"/>
      <c r="AW37"/>
      <c r="AX37"/>
      <c r="AY37"/>
      <c r="AZ37"/>
      <c r="BA37"/>
      <c r="BB37"/>
      <c r="BC37"/>
      <c r="BD37"/>
    </row>
    <row r="38" spans="1:66" x14ac:dyDescent="0.25">
      <c r="C38"/>
      <c r="D38" s="7"/>
      <c r="M38" s="7"/>
      <c r="N38" s="7"/>
      <c r="P38" s="6"/>
      <c r="Q38" s="6"/>
      <c r="R38" s="6"/>
      <c r="S38" s="6"/>
      <c r="V38" s="7"/>
      <c r="W38" s="7"/>
      <c r="X38"/>
      <c r="Y38"/>
      <c r="Z38" s="1"/>
      <c r="AB38"/>
      <c r="AH38" s="1"/>
      <c r="AI38" s="1"/>
      <c r="AS38"/>
      <c r="AT38"/>
      <c r="AU38"/>
      <c r="AV38"/>
      <c r="AW38"/>
      <c r="AX38"/>
      <c r="AY38"/>
      <c r="AZ38"/>
      <c r="BA38"/>
      <c r="BB38"/>
      <c r="BC38"/>
      <c r="BD38"/>
    </row>
    <row r="39" spans="1:66" x14ac:dyDescent="0.25">
      <c r="C39"/>
      <c r="D39" s="7"/>
      <c r="M39" s="7"/>
      <c r="N39" s="7"/>
      <c r="P39" s="6"/>
      <c r="Q39" s="6"/>
      <c r="R39" s="6"/>
      <c r="S39" s="6"/>
      <c r="V39" s="7"/>
      <c r="W39" s="7"/>
      <c r="X39"/>
      <c r="Y39"/>
      <c r="Z39" s="1"/>
      <c r="AB39"/>
      <c r="AH39" s="1"/>
      <c r="AI39" s="1"/>
      <c r="AS39"/>
      <c r="AT39"/>
      <c r="AU39"/>
      <c r="AV39"/>
      <c r="AW39"/>
      <c r="AX39"/>
      <c r="AY39"/>
      <c r="AZ39"/>
      <c r="BA39"/>
      <c r="BB39"/>
      <c r="BC39"/>
      <c r="BD39"/>
    </row>
    <row r="40" spans="1:66" x14ac:dyDescent="0.25">
      <c r="C40"/>
      <c r="D40" s="7"/>
      <c r="M40" s="7"/>
      <c r="N40" s="7"/>
      <c r="P40" s="6"/>
      <c r="Q40" s="6"/>
      <c r="R40" s="6"/>
      <c r="S40" s="6"/>
      <c r="V40" s="7"/>
      <c r="W40" s="7"/>
      <c r="X40"/>
      <c r="Y40"/>
      <c r="Z40" s="1"/>
      <c r="AB40"/>
      <c r="AH40" s="1"/>
      <c r="AI40" s="1"/>
      <c r="AS40"/>
      <c r="AT40"/>
      <c r="AU40"/>
      <c r="AV40"/>
      <c r="AW40"/>
      <c r="AX40"/>
      <c r="AY40"/>
      <c r="AZ40"/>
      <c r="BA40"/>
      <c r="BB40"/>
      <c r="BC40"/>
      <c r="BD40"/>
    </row>
    <row r="41" spans="1:66" x14ac:dyDescent="0.25">
      <c r="C41"/>
      <c r="D41" s="7"/>
      <c r="M41" s="7"/>
      <c r="N41" s="7"/>
      <c r="P41" s="6"/>
      <c r="Q41" s="6"/>
      <c r="R41" s="6"/>
      <c r="S41" s="6"/>
      <c r="V41" s="7"/>
      <c r="W41" s="7"/>
      <c r="X41"/>
      <c r="Y41"/>
      <c r="Z41" s="1"/>
      <c r="AB41"/>
      <c r="AH41" s="1"/>
      <c r="AI41" s="1"/>
      <c r="AS41"/>
      <c r="AT41"/>
      <c r="AU41"/>
      <c r="AV41"/>
      <c r="AW41"/>
      <c r="AX41"/>
      <c r="AY41"/>
      <c r="AZ41"/>
      <c r="BA41"/>
      <c r="BB41"/>
      <c r="BC41"/>
      <c r="BD41"/>
    </row>
    <row r="42" spans="1:66" x14ac:dyDescent="0.25">
      <c r="C42"/>
      <c r="D42" s="7"/>
      <c r="M42" s="7"/>
      <c r="N42" s="7"/>
      <c r="P42" s="6"/>
      <c r="Q42" s="6"/>
      <c r="R42" s="6"/>
      <c r="S42" s="6"/>
      <c r="V42" s="7"/>
      <c r="W42" s="7"/>
      <c r="X42"/>
      <c r="Y42"/>
      <c r="Z42" s="1"/>
      <c r="AB42"/>
      <c r="AH42" s="1"/>
      <c r="AI42" s="1"/>
      <c r="AS42"/>
      <c r="AT42"/>
      <c r="AU42"/>
      <c r="AV42"/>
      <c r="AW42"/>
      <c r="AX42"/>
      <c r="AY42"/>
      <c r="AZ42"/>
      <c r="BA42"/>
      <c r="BB42"/>
      <c r="BC42"/>
      <c r="BD42"/>
    </row>
    <row r="43" spans="1:66" x14ac:dyDescent="0.25">
      <c r="C43"/>
      <c r="D43" s="7"/>
      <c r="M43" s="7"/>
      <c r="N43" s="7"/>
      <c r="P43" s="6"/>
      <c r="Q43" s="6"/>
      <c r="R43" s="6"/>
      <c r="S43" s="6"/>
      <c r="V43" s="7"/>
      <c r="W43" s="7"/>
      <c r="X43"/>
      <c r="Y43"/>
      <c r="Z43" s="1"/>
      <c r="AB43"/>
      <c r="AH43" s="1"/>
      <c r="AI43" s="1"/>
      <c r="AS43"/>
      <c r="AT43"/>
      <c r="AU43"/>
      <c r="AV43"/>
      <c r="AW43"/>
      <c r="AX43"/>
      <c r="AY43"/>
      <c r="AZ43"/>
      <c r="BA43"/>
      <c r="BB43"/>
      <c r="BC43"/>
      <c r="BD43"/>
    </row>
    <row r="44" spans="1:66" ht="27" customHeight="1" x14ac:dyDescent="0.25">
      <c r="B44" s="358" t="s">
        <v>4795</v>
      </c>
      <c r="C44"/>
      <c r="D44" s="7"/>
      <c r="M44" s="7"/>
      <c r="N44" s="7"/>
      <c r="P44" s="6"/>
      <c r="Q44" s="6"/>
      <c r="R44" s="6"/>
      <c r="S44" s="6"/>
      <c r="V44" s="7"/>
      <c r="W44" s="7"/>
      <c r="X44"/>
      <c r="Y44"/>
      <c r="Z44" s="1"/>
      <c r="AB44"/>
      <c r="AH44" s="1"/>
      <c r="AI44" s="1"/>
      <c r="AS44"/>
      <c r="AT44"/>
      <c r="AU44"/>
      <c r="AV44"/>
      <c r="AW44"/>
      <c r="AX44"/>
      <c r="AY44"/>
      <c r="AZ44"/>
      <c r="BA44"/>
      <c r="BB44"/>
      <c r="BC44"/>
      <c r="BD44"/>
    </row>
    <row r="45" spans="1:66" x14ac:dyDescent="0.25">
      <c r="C45" s="333" t="s">
        <v>4169</v>
      </c>
      <c r="D45" s="560" t="s">
        <v>368</v>
      </c>
      <c r="E45" s="560"/>
      <c r="F45" s="560"/>
      <c r="G45" s="560"/>
      <c r="AB45"/>
      <c r="AC45"/>
      <c r="AH45" s="1"/>
      <c r="AI45" s="1"/>
      <c r="AS45"/>
      <c r="AT45"/>
      <c r="AU45"/>
      <c r="AV45"/>
      <c r="AW45"/>
      <c r="AX45"/>
      <c r="AY45"/>
      <c r="AZ45"/>
      <c r="BA45"/>
      <c r="BB45"/>
      <c r="BC45"/>
      <c r="BD45"/>
    </row>
    <row r="46" spans="1:66" ht="350.25" customHeight="1" thickBot="1" x14ac:dyDescent="0.3">
      <c r="I46" s="6" t="s">
        <v>4211</v>
      </c>
      <c r="AB46"/>
      <c r="AH46" s="1"/>
      <c r="AI46" s="1"/>
      <c r="AS46"/>
      <c r="AT46"/>
      <c r="AU46"/>
      <c r="AV46"/>
      <c r="AW46"/>
      <c r="AX46"/>
      <c r="AY46"/>
      <c r="AZ46"/>
      <c r="BA46"/>
      <c r="BB46"/>
      <c r="BC46"/>
      <c r="BD46"/>
    </row>
    <row r="47" spans="1:66" s="7" customFormat="1" ht="15.75" thickTop="1" x14ac:dyDescent="0.25">
      <c r="A47"/>
      <c r="B47" s="361" t="s">
        <v>74</v>
      </c>
      <c r="C47" s="361" t="s">
        <v>156</v>
      </c>
      <c r="D47" s="362" t="s">
        <v>136</v>
      </c>
      <c r="E47" s="362" t="s">
        <v>2351</v>
      </c>
      <c r="F47" s="362" t="s">
        <v>1279</v>
      </c>
      <c r="G47" s="362" t="s">
        <v>4186</v>
      </c>
      <c r="H47" s="6"/>
      <c r="I47" s="362" t="s">
        <v>4210</v>
      </c>
      <c r="J47" s="362" t="s">
        <v>4209</v>
      </c>
      <c r="K47" s="362" t="s">
        <v>4208</v>
      </c>
      <c r="L47" s="362" t="s">
        <v>1278</v>
      </c>
      <c r="P47" s="6"/>
      <c r="Q47" s="6"/>
      <c r="R47" s="6"/>
      <c r="S47" s="6"/>
      <c r="T47" s="6"/>
      <c r="X47" s="1"/>
      <c r="Y47" s="1"/>
      <c r="Z47" s="1"/>
      <c r="AB47"/>
      <c r="AC47"/>
      <c r="AD47"/>
      <c r="AE47"/>
      <c r="AF47"/>
      <c r="AG47"/>
      <c r="AH47"/>
      <c r="AI47"/>
      <c r="AJ47"/>
      <c r="AK47"/>
      <c r="AL47"/>
      <c r="AM47"/>
      <c r="AN47"/>
      <c r="AO47"/>
      <c r="AP47"/>
      <c r="AQ47"/>
      <c r="AR47"/>
      <c r="AS47"/>
      <c r="AT47"/>
      <c r="AU47"/>
      <c r="AV47"/>
      <c r="AW47"/>
      <c r="AX47"/>
      <c r="AY47"/>
      <c r="AZ47"/>
      <c r="BA47"/>
      <c r="BB47"/>
      <c r="BC47"/>
      <c r="BE47"/>
      <c r="BF47"/>
      <c r="BG47"/>
      <c r="BH47"/>
      <c r="BI47"/>
      <c r="BJ47"/>
      <c r="BK47"/>
      <c r="BL47"/>
      <c r="BM47"/>
      <c r="BN47"/>
    </row>
    <row r="48" spans="1:66" x14ac:dyDescent="0.25">
      <c r="B48" s="359">
        <v>43831</v>
      </c>
      <c r="C48">
        <f>YEAR(B48)</f>
        <v>2020</v>
      </c>
      <c r="D48" s="7">
        <f>MONTH(B48)</f>
        <v>1</v>
      </c>
      <c r="E48" s="49">
        <f>COUNTIFS(TU_DB[[Water Temperature (oF)]:[Water Temperature (oF)]],"&gt;="&amp;32,TU_DB[[Year]:[Year]],$C48,TU_DB[[Month No.]:[Month No.]],$D48,TU_DB[[Monitoring Site]:[Monitoring Site]],$D$45)</f>
        <v>0</v>
      </c>
      <c r="F48" s="347" t="str">
        <f>IF(E48&gt;0,AVERAGEIFS(TU_DB[[Water Temperature (oF)]:[Water Temperature (oF)]],TU_DB[[Year]:[Year]],$C48,TU_DB[[Month No.]:[Month No.]],$D48,TU_DB[[Monitoring Site]:[Monitoring Site]],$D$45),"")</f>
        <v/>
      </c>
      <c r="G48" s="347" t="str">
        <f>IF(E48&gt;0,_xlfn.MAXIFS(TU_DB[[Water Temperature (oF)]:[Water Temperature (oF)]],TU_DB[[Year]:[Year]],$C48,TU_DB[[Month No.]:[Month No.]],$D48,TU_DB[[Monitoring Site]:[Monitoring Site]],$D$45),"")</f>
        <v/>
      </c>
      <c r="I48" s="367">
        <f>Y$11</f>
        <v>67</v>
      </c>
      <c r="J48" s="367">
        <f t="shared" ref="J48:L48" si="5">Z$11</f>
        <v>4</v>
      </c>
      <c r="K48" s="367">
        <f t="shared" si="5"/>
        <v>5</v>
      </c>
      <c r="L48" s="367">
        <f t="shared" si="5"/>
        <v>24</v>
      </c>
      <c r="M48" s="7"/>
      <c r="N48" s="7"/>
      <c r="U48" s="7"/>
      <c r="V48" s="7"/>
      <c r="W48" s="7"/>
      <c r="X48"/>
      <c r="Y48"/>
      <c r="AB48"/>
      <c r="AC48"/>
      <c r="AD48"/>
      <c r="AE48"/>
      <c r="AF48"/>
      <c r="AG48"/>
      <c r="AJ48"/>
      <c r="AK48"/>
      <c r="AL48"/>
      <c r="AM48"/>
      <c r="AN48"/>
      <c r="AS48"/>
      <c r="AT48"/>
      <c r="AU48"/>
      <c r="AV48"/>
      <c r="AW48"/>
      <c r="AX48"/>
      <c r="AY48"/>
      <c r="AZ48"/>
      <c r="BA48"/>
      <c r="BB48"/>
      <c r="BC48"/>
      <c r="BD48"/>
    </row>
    <row r="49" spans="1:66" x14ac:dyDescent="0.25">
      <c r="B49" s="359">
        <v>43862</v>
      </c>
      <c r="C49">
        <f t="shared" ref="C49:C107" si="6">YEAR(B49)</f>
        <v>2020</v>
      </c>
      <c r="D49" s="7">
        <f t="shared" ref="D49:D107" si="7">MONTH(B49)</f>
        <v>2</v>
      </c>
      <c r="E49" s="49">
        <f>COUNTIFS(TU_DB[[Water Temperature (oF)]:[Water Temperature (oF)]],"&gt;="&amp;32,TU_DB[[Year]:[Year]],$C49,TU_DB[[Month No.]:[Month No.]],$D49,TU_DB[[Monitoring Site]:[Monitoring Site]],$D$45)</f>
        <v>0</v>
      </c>
      <c r="F49" s="347" t="str">
        <f>IF(E49&gt;0,AVERAGEIFS(TU_DB[[Water Temperature (oF)]:[Water Temperature (oF)]],TU_DB[[Year]:[Year]],$C49,TU_DB[[Month No.]:[Month No.]],$D49,TU_DB[[Monitoring Site]:[Monitoring Site]],$D$45),"")</f>
        <v/>
      </c>
      <c r="G49" s="347" t="str">
        <f>IF(E49&gt;0,_xlfn.MAXIFS(TU_DB[[Water Temperature (oF)]:[Water Temperature (oF)]],TU_DB[[Year]:[Year]],$C49,TU_DB[[Month No.]:[Month No.]],$D49,TU_DB[[Monitoring Site]:[Monitoring Site]],$D$45),"")</f>
        <v/>
      </c>
      <c r="I49" s="367">
        <f t="shared" ref="I49:I107" si="8">Y$11</f>
        <v>67</v>
      </c>
      <c r="J49" s="367">
        <f t="shared" ref="J49:J107" si="9">Z$11</f>
        <v>4</v>
      </c>
      <c r="K49" s="367">
        <f t="shared" ref="K49:K107" si="10">AA$11</f>
        <v>5</v>
      </c>
      <c r="L49" s="367">
        <f t="shared" ref="L49:L107" si="11">AB$11</f>
        <v>24</v>
      </c>
      <c r="M49" s="7"/>
      <c r="N49" s="7"/>
      <c r="T49" s="7"/>
      <c r="U49" s="7"/>
      <c r="V49" s="7"/>
      <c r="W49" s="7"/>
      <c r="X49"/>
      <c r="Y49"/>
      <c r="AB49"/>
      <c r="AC49"/>
      <c r="AD49"/>
      <c r="AE49"/>
      <c r="AF49"/>
      <c r="AG49"/>
      <c r="AJ49"/>
      <c r="AK49"/>
      <c r="AL49"/>
      <c r="AM49"/>
      <c r="AN49"/>
      <c r="AS49"/>
      <c r="AT49"/>
      <c r="AU49"/>
      <c r="AV49"/>
      <c r="AW49"/>
      <c r="AX49"/>
      <c r="AY49"/>
      <c r="AZ49"/>
      <c r="BA49"/>
      <c r="BB49"/>
      <c r="BC49"/>
      <c r="BD49"/>
    </row>
    <row r="50" spans="1:66" x14ac:dyDescent="0.25">
      <c r="B50" s="359">
        <v>43891</v>
      </c>
      <c r="C50">
        <f t="shared" si="6"/>
        <v>2020</v>
      </c>
      <c r="D50" s="7">
        <f t="shared" si="7"/>
        <v>3</v>
      </c>
      <c r="E50" s="49">
        <f>COUNTIFS(TU_DB[[Water Temperature (oF)]:[Water Temperature (oF)]],"&gt;="&amp;32,TU_DB[[Year]:[Year]],$C50,TU_DB[[Month No.]:[Month No.]],$D50,TU_DB[[Monitoring Site]:[Monitoring Site]],$D$45)</f>
        <v>4</v>
      </c>
      <c r="F50" s="347">
        <f>IF(E50&gt;0,AVERAGEIFS(TU_DB[[Water Temperature (oF)]:[Water Temperature (oF)]],TU_DB[[Year]:[Year]],$C50,TU_DB[[Month No.]:[Month No.]],$D50,TU_DB[[Monitoring Site]:[Monitoring Site]],$D$45),"")</f>
        <v>38.75</v>
      </c>
      <c r="G50" s="347">
        <f>IF(E50&gt;0,_xlfn.MAXIFS(TU_DB[[Water Temperature (oF)]:[Water Temperature (oF)]],TU_DB[[Year]:[Year]],$C50,TU_DB[[Month No.]:[Month No.]],$D50,TU_DB[[Monitoring Site]:[Monitoring Site]],$D$45),"")</f>
        <v>45</v>
      </c>
      <c r="I50" s="367">
        <f t="shared" si="8"/>
        <v>67</v>
      </c>
      <c r="J50" s="367">
        <f t="shared" si="9"/>
        <v>4</v>
      </c>
      <c r="K50" s="367">
        <f t="shared" si="10"/>
        <v>5</v>
      </c>
      <c r="L50" s="367">
        <f t="shared" si="11"/>
        <v>24</v>
      </c>
      <c r="M50" s="7"/>
      <c r="N50" s="7"/>
      <c r="T50" s="7"/>
      <c r="U50" s="7"/>
      <c r="V50" s="7"/>
      <c r="W50" s="7"/>
      <c r="X50"/>
      <c r="Y50"/>
      <c r="AB50"/>
      <c r="AC50"/>
      <c r="AD50"/>
      <c r="AE50"/>
      <c r="AF50"/>
      <c r="AG50"/>
      <c r="AJ50"/>
      <c r="AK50"/>
      <c r="AL50"/>
      <c r="AM50"/>
      <c r="AN50"/>
      <c r="AS50"/>
      <c r="AT50"/>
      <c r="AU50"/>
      <c r="AV50"/>
      <c r="AW50"/>
      <c r="AX50"/>
      <c r="AY50"/>
      <c r="AZ50"/>
      <c r="BA50"/>
      <c r="BB50"/>
      <c r="BC50"/>
      <c r="BD50"/>
    </row>
    <row r="51" spans="1:66" x14ac:dyDescent="0.25">
      <c r="B51" s="359">
        <v>43922</v>
      </c>
      <c r="C51">
        <f t="shared" si="6"/>
        <v>2020</v>
      </c>
      <c r="D51" s="7">
        <f t="shared" si="7"/>
        <v>4</v>
      </c>
      <c r="E51" s="49">
        <f>COUNTIFS(TU_DB[[Water Temperature (oF)]:[Water Temperature (oF)]],"&gt;="&amp;32,TU_DB[[Year]:[Year]],$C51,TU_DB[[Month No.]:[Month No.]],$D51,TU_DB[[Monitoring Site]:[Monitoring Site]],$D$45)</f>
        <v>4</v>
      </c>
      <c r="F51" s="347">
        <f>IF(E51&gt;0,AVERAGEIFS(TU_DB[[Water Temperature (oF)]:[Water Temperature (oF)]],TU_DB[[Year]:[Year]],$C51,TU_DB[[Month No.]:[Month No.]],$D51,TU_DB[[Monitoring Site]:[Monitoring Site]],$D$45),"")</f>
        <v>44.25</v>
      </c>
      <c r="G51" s="347">
        <f>IF(E51&gt;0,_xlfn.MAXIFS(TU_DB[[Water Temperature (oF)]:[Water Temperature (oF)]],TU_DB[[Year]:[Year]],$C51,TU_DB[[Month No.]:[Month No.]],$D51,TU_DB[[Monitoring Site]:[Monitoring Site]],$D$45),"")</f>
        <v>47</v>
      </c>
      <c r="I51" s="367">
        <f t="shared" si="8"/>
        <v>67</v>
      </c>
      <c r="J51" s="367">
        <f t="shared" si="9"/>
        <v>4</v>
      </c>
      <c r="K51" s="367">
        <f t="shared" si="10"/>
        <v>5</v>
      </c>
      <c r="L51" s="367">
        <f t="shared" si="11"/>
        <v>24</v>
      </c>
      <c r="M51" s="7"/>
      <c r="N51" s="7"/>
      <c r="T51" s="7"/>
      <c r="U51" s="7"/>
      <c r="V51" s="7"/>
      <c r="W51" s="7"/>
      <c r="X51"/>
      <c r="Y51"/>
      <c r="AB51"/>
      <c r="AC51"/>
      <c r="AD51"/>
      <c r="AE51"/>
      <c r="AF51"/>
      <c r="AG51"/>
      <c r="AJ51"/>
      <c r="AK51"/>
      <c r="AL51"/>
      <c r="AM51"/>
      <c r="AN51"/>
      <c r="AS51"/>
      <c r="AT51"/>
      <c r="AU51"/>
      <c r="AV51"/>
      <c r="AW51"/>
      <c r="AX51"/>
      <c r="AY51"/>
      <c r="AZ51"/>
      <c r="BA51"/>
      <c r="BB51"/>
      <c r="BC51"/>
      <c r="BD51"/>
    </row>
    <row r="52" spans="1:66" x14ac:dyDescent="0.25">
      <c r="B52" s="359">
        <v>43952</v>
      </c>
      <c r="C52">
        <f t="shared" si="6"/>
        <v>2020</v>
      </c>
      <c r="D52" s="7">
        <f t="shared" si="7"/>
        <v>5</v>
      </c>
      <c r="E52" s="49">
        <f>COUNTIFS(TU_DB[[Water Temperature (oF)]:[Water Temperature (oF)]],"&gt;="&amp;32,TU_DB[[Year]:[Year]],$C52,TU_DB[[Month No.]:[Month No.]],$D52,TU_DB[[Monitoring Site]:[Monitoring Site]],$D$45)</f>
        <v>1</v>
      </c>
      <c r="F52" s="347">
        <f>IF(E52&gt;0,AVERAGEIFS(TU_DB[[Water Temperature (oF)]:[Water Temperature (oF)]],TU_DB[[Year]:[Year]],$C52,TU_DB[[Month No.]:[Month No.]],$D52,TU_DB[[Monitoring Site]:[Monitoring Site]],$D$45),"")</f>
        <v>56</v>
      </c>
      <c r="G52" s="347">
        <f>IF(E52&gt;0,_xlfn.MAXIFS(TU_DB[[Water Temperature (oF)]:[Water Temperature (oF)]],TU_DB[[Year]:[Year]],$C52,TU_DB[[Month No.]:[Month No.]],$D52,TU_DB[[Monitoring Site]:[Monitoring Site]],$D$45),"")</f>
        <v>56</v>
      </c>
      <c r="I52" s="367">
        <f t="shared" si="8"/>
        <v>67</v>
      </c>
      <c r="J52" s="367">
        <f t="shared" si="9"/>
        <v>4</v>
      </c>
      <c r="K52" s="367">
        <f t="shared" si="10"/>
        <v>5</v>
      </c>
      <c r="L52" s="367">
        <f t="shared" si="11"/>
        <v>24</v>
      </c>
      <c r="M52" s="7"/>
      <c r="N52" s="7"/>
      <c r="T52" s="7"/>
      <c r="U52" s="7"/>
      <c r="V52" s="7"/>
      <c r="W52" s="7"/>
      <c r="X52"/>
      <c r="Y52"/>
      <c r="AB52"/>
      <c r="AC52"/>
      <c r="AD52"/>
      <c r="AE52"/>
      <c r="AF52"/>
      <c r="AG52"/>
      <c r="AJ52"/>
      <c r="AK52"/>
      <c r="AL52"/>
      <c r="AM52"/>
      <c r="AN52"/>
      <c r="AS52"/>
      <c r="AT52"/>
      <c r="AU52"/>
      <c r="AV52"/>
      <c r="AW52"/>
      <c r="AX52"/>
      <c r="AY52"/>
      <c r="AZ52"/>
      <c r="BA52"/>
      <c r="BB52"/>
      <c r="BC52"/>
      <c r="BD52"/>
    </row>
    <row r="53" spans="1:66" x14ac:dyDescent="0.25">
      <c r="B53" s="359">
        <v>43983</v>
      </c>
      <c r="C53">
        <f t="shared" si="6"/>
        <v>2020</v>
      </c>
      <c r="D53" s="7">
        <f t="shared" si="7"/>
        <v>6</v>
      </c>
      <c r="E53" s="49">
        <f>COUNTIFS(TU_DB[[Water Temperature (oF)]:[Water Temperature (oF)]],"&gt;="&amp;32,TU_DB[[Year]:[Year]],$C53,TU_DB[[Month No.]:[Month No.]],$D53,TU_DB[[Monitoring Site]:[Monitoring Site]],$D$45)</f>
        <v>0</v>
      </c>
      <c r="F53" s="347" t="str">
        <f>IF(E53&gt;0,AVERAGEIFS(TU_DB[[Water Temperature (oF)]:[Water Temperature (oF)]],TU_DB[[Year]:[Year]],$C53,TU_DB[[Month No.]:[Month No.]],$D53,TU_DB[[Monitoring Site]:[Monitoring Site]],$D$45),"")</f>
        <v/>
      </c>
      <c r="G53" s="347" t="str">
        <f>IF(E53&gt;0,_xlfn.MAXIFS(TU_DB[[Water Temperature (oF)]:[Water Temperature (oF)]],TU_DB[[Year]:[Year]],$C53,TU_DB[[Month No.]:[Month No.]],$D53,TU_DB[[Monitoring Site]:[Monitoring Site]],$D$45),"")</f>
        <v/>
      </c>
      <c r="H53" s="7"/>
      <c r="I53" s="367">
        <f t="shared" si="8"/>
        <v>67</v>
      </c>
      <c r="J53" s="367">
        <f t="shared" si="9"/>
        <v>4</v>
      </c>
      <c r="K53" s="367">
        <f t="shared" si="10"/>
        <v>5</v>
      </c>
      <c r="L53" s="367">
        <f t="shared" si="11"/>
        <v>24</v>
      </c>
      <c r="M53" s="7"/>
      <c r="N53" s="7"/>
      <c r="T53" s="7"/>
      <c r="U53" s="7"/>
      <c r="V53" s="7"/>
      <c r="W53" s="7"/>
      <c r="X53"/>
      <c r="Y53"/>
      <c r="AB53"/>
      <c r="AC53"/>
      <c r="AD53"/>
      <c r="AE53"/>
      <c r="AF53"/>
      <c r="AG53"/>
      <c r="AJ53"/>
      <c r="AK53"/>
      <c r="AL53"/>
      <c r="AM53"/>
      <c r="AN53"/>
      <c r="AS53"/>
      <c r="AT53"/>
      <c r="AU53"/>
      <c r="AV53"/>
      <c r="AW53"/>
      <c r="AX53"/>
      <c r="AY53"/>
      <c r="AZ53"/>
      <c r="BA53"/>
      <c r="BB53"/>
      <c r="BC53"/>
      <c r="BD53"/>
    </row>
    <row r="54" spans="1:66" x14ac:dyDescent="0.25">
      <c r="B54" s="359">
        <v>44013</v>
      </c>
      <c r="C54">
        <f t="shared" si="6"/>
        <v>2020</v>
      </c>
      <c r="D54" s="7">
        <f t="shared" si="7"/>
        <v>7</v>
      </c>
      <c r="E54" s="49">
        <f>COUNTIFS(TU_DB[[Water Temperature (oF)]:[Water Temperature (oF)]],"&gt;="&amp;32,TU_DB[[Year]:[Year]],$C54,TU_DB[[Month No.]:[Month No.]],$D54,TU_DB[[Monitoring Site]:[Monitoring Site]],$D$45)</f>
        <v>0</v>
      </c>
      <c r="F54" s="347" t="str">
        <f>IF(E54&gt;0,AVERAGEIFS(TU_DB[[Water Temperature (oF)]:[Water Temperature (oF)]],TU_DB[[Year]:[Year]],$C54,TU_DB[[Month No.]:[Month No.]],$D54,TU_DB[[Monitoring Site]:[Monitoring Site]],$D$45),"")</f>
        <v/>
      </c>
      <c r="G54" s="347" t="str">
        <f>IF(E54&gt;0,_xlfn.MAXIFS(TU_DB[[Water Temperature (oF)]:[Water Temperature (oF)]],TU_DB[[Year]:[Year]],$C54,TU_DB[[Month No.]:[Month No.]],$D54,TU_DB[[Monitoring Site]:[Monitoring Site]],$D$45),"")</f>
        <v/>
      </c>
      <c r="H54" s="7"/>
      <c r="I54" s="367">
        <f t="shared" si="8"/>
        <v>67</v>
      </c>
      <c r="J54" s="367">
        <f t="shared" si="9"/>
        <v>4</v>
      </c>
      <c r="K54" s="367">
        <f t="shared" si="10"/>
        <v>5</v>
      </c>
      <c r="L54" s="367">
        <f t="shared" si="11"/>
        <v>24</v>
      </c>
      <c r="M54" s="7"/>
      <c r="N54" s="7"/>
      <c r="T54" s="7"/>
      <c r="U54" s="7"/>
      <c r="V54" s="7"/>
      <c r="W54" s="7"/>
      <c r="X54"/>
      <c r="Y54"/>
      <c r="AB54"/>
      <c r="AC54"/>
      <c r="AD54"/>
      <c r="AE54"/>
      <c r="AF54"/>
      <c r="AG54"/>
      <c r="AJ54"/>
      <c r="AK54"/>
      <c r="AL54"/>
      <c r="AM54"/>
      <c r="AN54"/>
      <c r="AS54"/>
      <c r="AT54"/>
      <c r="AU54"/>
      <c r="AV54"/>
      <c r="AW54"/>
      <c r="AX54"/>
      <c r="AY54"/>
      <c r="AZ54"/>
      <c r="BA54"/>
      <c r="BB54"/>
      <c r="BC54"/>
      <c r="BD54"/>
    </row>
    <row r="55" spans="1:66" x14ac:dyDescent="0.25">
      <c r="B55" s="359">
        <v>44044</v>
      </c>
      <c r="C55">
        <f t="shared" si="6"/>
        <v>2020</v>
      </c>
      <c r="D55" s="7">
        <f t="shared" si="7"/>
        <v>8</v>
      </c>
      <c r="E55" s="49">
        <f>COUNTIFS(TU_DB[[Water Temperature (oF)]:[Water Temperature (oF)]],"&gt;="&amp;32,TU_DB[[Year]:[Year]],$C55,TU_DB[[Month No.]:[Month No.]],$D55,TU_DB[[Monitoring Site]:[Monitoring Site]],$D$45)</f>
        <v>1</v>
      </c>
      <c r="F55" s="347">
        <f>IF(E55&gt;0,AVERAGEIFS(TU_DB[[Water Temperature (oF)]:[Water Temperature (oF)]],TU_DB[[Year]:[Year]],$C55,TU_DB[[Month No.]:[Month No.]],$D55,TU_DB[[Monitoring Site]:[Monitoring Site]],$D$45),"")</f>
        <v>63</v>
      </c>
      <c r="G55" s="347">
        <f>IF(E55&gt;0,_xlfn.MAXIFS(TU_DB[[Water Temperature (oF)]:[Water Temperature (oF)]],TU_DB[[Year]:[Year]],$C55,TU_DB[[Month No.]:[Month No.]],$D55,TU_DB[[Monitoring Site]:[Monitoring Site]],$D$45),"")</f>
        <v>63</v>
      </c>
      <c r="H55" s="7"/>
      <c r="I55" s="367">
        <f t="shared" si="8"/>
        <v>67</v>
      </c>
      <c r="J55" s="367">
        <f t="shared" si="9"/>
        <v>4</v>
      </c>
      <c r="K55" s="367">
        <f t="shared" si="10"/>
        <v>5</v>
      </c>
      <c r="L55" s="367">
        <f t="shared" si="11"/>
        <v>24</v>
      </c>
      <c r="M55" s="7"/>
      <c r="N55" s="7"/>
      <c r="T55" s="7"/>
      <c r="U55" s="7"/>
      <c r="V55" s="7"/>
      <c r="W55" s="7"/>
      <c r="X55"/>
      <c r="Y55"/>
      <c r="AB55"/>
      <c r="AC55"/>
      <c r="AD55"/>
      <c r="AE55"/>
      <c r="AF55"/>
      <c r="AG55"/>
      <c r="AJ55"/>
      <c r="AK55"/>
      <c r="AL55"/>
      <c r="AM55"/>
      <c r="AN55"/>
      <c r="AS55"/>
      <c r="AT55"/>
      <c r="AU55"/>
      <c r="AV55"/>
      <c r="AW55"/>
      <c r="AX55"/>
      <c r="AY55"/>
      <c r="AZ55"/>
      <c r="BA55"/>
      <c r="BB55"/>
      <c r="BC55"/>
      <c r="BD55"/>
    </row>
    <row r="56" spans="1:66" x14ac:dyDescent="0.25">
      <c r="B56" s="359">
        <v>44075</v>
      </c>
      <c r="C56">
        <f t="shared" si="6"/>
        <v>2020</v>
      </c>
      <c r="D56" s="7">
        <f t="shared" si="7"/>
        <v>9</v>
      </c>
      <c r="E56" s="49">
        <f>COUNTIFS(TU_DB[[Water Temperature (oF)]:[Water Temperature (oF)]],"&gt;="&amp;32,TU_DB[[Year]:[Year]],$C56,TU_DB[[Month No.]:[Month No.]],$D56,TU_DB[[Monitoring Site]:[Monitoring Site]],$D$45)</f>
        <v>1</v>
      </c>
      <c r="F56" s="347">
        <f>IF(E56&gt;0,AVERAGEIFS(TU_DB[[Water Temperature (oF)]:[Water Temperature (oF)]],TU_DB[[Year]:[Year]],$C56,TU_DB[[Month No.]:[Month No.]],$D56,TU_DB[[Monitoring Site]:[Monitoring Site]],$D$45),"")</f>
        <v>54</v>
      </c>
      <c r="G56" s="347">
        <f>IF(E56&gt;0,_xlfn.MAXIFS(TU_DB[[Water Temperature (oF)]:[Water Temperature (oF)]],TU_DB[[Year]:[Year]],$C56,TU_DB[[Month No.]:[Month No.]],$D56,TU_DB[[Monitoring Site]:[Monitoring Site]],$D$45),"")</f>
        <v>54</v>
      </c>
      <c r="H56" s="7"/>
      <c r="I56" s="367">
        <f t="shared" si="8"/>
        <v>67</v>
      </c>
      <c r="J56" s="367">
        <f t="shared" si="9"/>
        <v>4</v>
      </c>
      <c r="K56" s="367">
        <f t="shared" si="10"/>
        <v>5</v>
      </c>
      <c r="L56" s="367">
        <f t="shared" si="11"/>
        <v>24</v>
      </c>
      <c r="M56" s="7"/>
      <c r="N56" s="7"/>
      <c r="T56" s="7"/>
      <c r="U56" s="7"/>
      <c r="V56" s="7"/>
      <c r="W56" s="7"/>
      <c r="X56"/>
      <c r="Y56"/>
      <c r="AB56"/>
      <c r="AC56"/>
      <c r="AD56"/>
      <c r="AE56"/>
      <c r="AF56"/>
      <c r="AG56"/>
      <c r="AJ56"/>
      <c r="AK56"/>
      <c r="AL56"/>
      <c r="AM56"/>
      <c r="AN56"/>
      <c r="AS56"/>
      <c r="AT56"/>
      <c r="AU56"/>
      <c r="AV56"/>
      <c r="AW56"/>
      <c r="AX56"/>
      <c r="AY56"/>
      <c r="AZ56"/>
      <c r="BA56"/>
      <c r="BB56"/>
      <c r="BC56"/>
      <c r="BD56"/>
    </row>
    <row r="57" spans="1:66" x14ac:dyDescent="0.25">
      <c r="B57" s="359">
        <v>44105</v>
      </c>
      <c r="C57">
        <f t="shared" si="6"/>
        <v>2020</v>
      </c>
      <c r="D57" s="7">
        <f t="shared" si="7"/>
        <v>10</v>
      </c>
      <c r="E57" s="49">
        <f>COUNTIFS(TU_DB[[Water Temperature (oF)]:[Water Temperature (oF)]],"&gt;="&amp;32,TU_DB[[Year]:[Year]],$C57,TU_DB[[Month No.]:[Month No.]],$D57,TU_DB[[Monitoring Site]:[Monitoring Site]],$D$45)</f>
        <v>1</v>
      </c>
      <c r="F57" s="347">
        <f>IF(E57&gt;0,AVERAGEIFS(TU_DB[[Water Temperature (oF)]:[Water Temperature (oF)]],TU_DB[[Year]:[Year]],$C57,TU_DB[[Month No.]:[Month No.]],$D57,TU_DB[[Monitoring Site]:[Monitoring Site]],$D$45),"")</f>
        <v>47</v>
      </c>
      <c r="G57" s="347">
        <f>IF(E57&gt;0,_xlfn.MAXIFS(TU_DB[[Water Temperature (oF)]:[Water Temperature (oF)]],TU_DB[[Year]:[Year]],$C57,TU_DB[[Month No.]:[Month No.]],$D57,TU_DB[[Monitoring Site]:[Monitoring Site]],$D$45),"")</f>
        <v>47</v>
      </c>
      <c r="H57" s="7"/>
      <c r="I57" s="367">
        <f t="shared" si="8"/>
        <v>67</v>
      </c>
      <c r="J57" s="367">
        <f t="shared" si="9"/>
        <v>4</v>
      </c>
      <c r="K57" s="367">
        <f t="shared" si="10"/>
        <v>5</v>
      </c>
      <c r="L57" s="367">
        <f t="shared" si="11"/>
        <v>24</v>
      </c>
      <c r="M57" s="7"/>
      <c r="N57" s="7"/>
      <c r="T57" s="7"/>
      <c r="U57" s="7"/>
      <c r="V57" s="7"/>
      <c r="W57" s="7"/>
      <c r="X57"/>
      <c r="Y57"/>
      <c r="AB57"/>
      <c r="AC57"/>
      <c r="AD57"/>
      <c r="AE57"/>
      <c r="AF57"/>
      <c r="AG57"/>
      <c r="AJ57"/>
      <c r="AK57"/>
      <c r="AL57"/>
      <c r="AM57"/>
      <c r="AN57"/>
      <c r="AS57"/>
      <c r="AT57"/>
      <c r="AU57"/>
      <c r="AV57"/>
      <c r="AW57"/>
      <c r="AX57"/>
      <c r="AY57"/>
      <c r="AZ57"/>
      <c r="BA57"/>
      <c r="BB57"/>
      <c r="BC57"/>
      <c r="BD57"/>
    </row>
    <row r="58" spans="1:66" x14ac:dyDescent="0.25">
      <c r="B58" s="359">
        <v>44136</v>
      </c>
      <c r="C58">
        <f t="shared" si="6"/>
        <v>2020</v>
      </c>
      <c r="D58" s="7">
        <f t="shared" si="7"/>
        <v>11</v>
      </c>
      <c r="E58" s="49">
        <f>COUNTIFS(TU_DB[[Water Temperature (oF)]:[Water Temperature (oF)]],"&gt;="&amp;32,TU_DB[[Year]:[Year]],$C58,TU_DB[[Month No.]:[Month No.]],$D58,TU_DB[[Monitoring Site]:[Monitoring Site]],$D$45)</f>
        <v>0</v>
      </c>
      <c r="F58" s="347" t="str">
        <f>IF(E58&gt;0,AVERAGEIFS(TU_DB[[Water Temperature (oF)]:[Water Temperature (oF)]],TU_DB[[Year]:[Year]],$C58,TU_DB[[Month No.]:[Month No.]],$D58,TU_DB[[Monitoring Site]:[Monitoring Site]],$D$45),"")</f>
        <v/>
      </c>
      <c r="G58" s="347" t="str">
        <f>IF(E58&gt;0,_xlfn.MAXIFS(TU_DB[[Water Temperature (oF)]:[Water Temperature (oF)]],TU_DB[[Year]:[Year]],$C58,TU_DB[[Month No.]:[Month No.]],$D58,TU_DB[[Monitoring Site]:[Monitoring Site]],$D$45),"")</f>
        <v/>
      </c>
      <c r="H58" s="7"/>
      <c r="I58" s="367">
        <f t="shared" si="8"/>
        <v>67</v>
      </c>
      <c r="J58" s="367">
        <f t="shared" si="9"/>
        <v>4</v>
      </c>
      <c r="K58" s="367">
        <f t="shared" si="10"/>
        <v>5</v>
      </c>
      <c r="L58" s="367">
        <f t="shared" si="11"/>
        <v>24</v>
      </c>
      <c r="M58" s="7"/>
      <c r="N58" s="7"/>
      <c r="T58" s="7"/>
      <c r="U58" s="7"/>
      <c r="V58" s="7"/>
      <c r="W58" s="7"/>
      <c r="X58"/>
      <c r="Y58"/>
      <c r="AB58"/>
      <c r="AC58"/>
      <c r="AD58"/>
      <c r="AE58"/>
      <c r="AF58"/>
      <c r="AG58"/>
      <c r="AJ58"/>
      <c r="AK58"/>
      <c r="AL58"/>
      <c r="AM58"/>
      <c r="AN58"/>
      <c r="AS58"/>
      <c r="AT58"/>
      <c r="AU58"/>
      <c r="AV58"/>
      <c r="AW58"/>
      <c r="AX58"/>
      <c r="AY58"/>
      <c r="AZ58"/>
      <c r="BA58"/>
      <c r="BB58"/>
      <c r="BC58"/>
      <c r="BD58"/>
    </row>
    <row r="59" spans="1:66" x14ac:dyDescent="0.25">
      <c r="B59" s="359">
        <v>44166</v>
      </c>
      <c r="C59">
        <f t="shared" si="6"/>
        <v>2020</v>
      </c>
      <c r="D59" s="7">
        <f t="shared" si="7"/>
        <v>12</v>
      </c>
      <c r="E59" s="49">
        <f>COUNTIFS(TU_DB[[Water Temperature (oF)]:[Water Temperature (oF)]],"&gt;="&amp;32,TU_DB[[Year]:[Year]],$C59,TU_DB[[Month No.]:[Month No.]],$D59,TU_DB[[Monitoring Site]:[Monitoring Site]],$D$45)</f>
        <v>0</v>
      </c>
      <c r="F59" s="347" t="str">
        <f>IF(E59&gt;0,AVERAGEIFS(TU_DB[[Water Temperature (oF)]:[Water Temperature (oF)]],TU_DB[[Year]:[Year]],$C59,TU_DB[[Month No.]:[Month No.]],$D59,TU_DB[[Monitoring Site]:[Monitoring Site]],$D$45),"")</f>
        <v/>
      </c>
      <c r="G59" s="347" t="str">
        <f>IF(E59&gt;0,_xlfn.MAXIFS(TU_DB[[Water Temperature (oF)]:[Water Temperature (oF)]],TU_DB[[Year]:[Year]],$C59,TU_DB[[Month No.]:[Month No.]],$D59,TU_DB[[Monitoring Site]:[Monitoring Site]],$D$45),"")</f>
        <v/>
      </c>
      <c r="H59" s="7"/>
      <c r="I59" s="367">
        <f t="shared" si="8"/>
        <v>67</v>
      </c>
      <c r="J59" s="367">
        <f t="shared" si="9"/>
        <v>4</v>
      </c>
      <c r="K59" s="367">
        <f t="shared" si="10"/>
        <v>5</v>
      </c>
      <c r="L59" s="367">
        <f t="shared" si="11"/>
        <v>24</v>
      </c>
      <c r="M59" s="7"/>
      <c r="N59" s="7"/>
      <c r="T59" s="7"/>
      <c r="U59" s="7"/>
      <c r="V59" s="7"/>
      <c r="W59" s="7"/>
      <c r="X59"/>
      <c r="Y59"/>
      <c r="AB59"/>
      <c r="AC59"/>
      <c r="AD59"/>
      <c r="AE59"/>
      <c r="AF59"/>
      <c r="AG59"/>
      <c r="AJ59"/>
      <c r="AK59"/>
      <c r="AL59"/>
      <c r="AM59"/>
      <c r="AN59"/>
      <c r="AS59"/>
      <c r="AT59"/>
      <c r="AU59"/>
      <c r="AV59"/>
      <c r="AW59"/>
      <c r="AX59"/>
      <c r="AY59"/>
      <c r="AZ59"/>
      <c r="BA59"/>
      <c r="BB59"/>
      <c r="BC59"/>
      <c r="BD59"/>
    </row>
    <row r="60" spans="1:66" x14ac:dyDescent="0.25">
      <c r="B60" s="359">
        <v>44197</v>
      </c>
      <c r="C60">
        <f t="shared" si="6"/>
        <v>2021</v>
      </c>
      <c r="D60" s="7">
        <f t="shared" si="7"/>
        <v>1</v>
      </c>
      <c r="E60" s="49">
        <f>COUNTIFS(TU_DB[[Water Temperature (oF)]:[Water Temperature (oF)]],"&gt;="&amp;32,TU_DB[[Year]:[Year]],$C60,TU_DB[[Month No.]:[Month No.]],$D60,TU_DB[[Monitoring Site]:[Monitoring Site]],$D$45)</f>
        <v>0</v>
      </c>
      <c r="F60" s="347" t="str">
        <f>IF(E60&gt;0,AVERAGEIFS(TU_DB[[Water Temperature (oF)]:[Water Temperature (oF)]],TU_DB[[Year]:[Year]],$C60,TU_DB[[Month No.]:[Month No.]],$D60,TU_DB[[Monitoring Site]:[Monitoring Site]],$D$45),"")</f>
        <v/>
      </c>
      <c r="G60" s="347" t="str">
        <f>IF(E60&gt;0,_xlfn.MAXIFS(TU_DB[[Water Temperature (oF)]:[Water Temperature (oF)]],TU_DB[[Year]:[Year]],$C60,TU_DB[[Month No.]:[Month No.]],$D60,TU_DB[[Monitoring Site]:[Monitoring Site]],$D$45),"")</f>
        <v/>
      </c>
      <c r="H60" s="7"/>
      <c r="I60" s="367">
        <f t="shared" si="8"/>
        <v>67</v>
      </c>
      <c r="J60" s="367">
        <f t="shared" si="9"/>
        <v>4</v>
      </c>
      <c r="K60" s="367">
        <f t="shared" si="10"/>
        <v>5</v>
      </c>
      <c r="L60" s="367">
        <f t="shared" si="11"/>
        <v>24</v>
      </c>
      <c r="M60" s="7"/>
      <c r="N60" s="7"/>
      <c r="T60" s="7"/>
      <c r="U60" s="7"/>
      <c r="V60" s="7"/>
      <c r="W60" s="7"/>
      <c r="X60"/>
      <c r="Y60"/>
      <c r="AB60"/>
      <c r="AC60"/>
      <c r="AD60"/>
      <c r="AE60"/>
      <c r="AF60"/>
      <c r="AG60"/>
      <c r="AJ60"/>
      <c r="AK60"/>
      <c r="AL60"/>
      <c r="AM60"/>
      <c r="AN60"/>
      <c r="AS60"/>
      <c r="AT60"/>
      <c r="AU60"/>
      <c r="AV60"/>
      <c r="AW60"/>
      <c r="AX60"/>
      <c r="AY60"/>
      <c r="AZ60"/>
      <c r="BA60"/>
      <c r="BB60"/>
      <c r="BC60"/>
      <c r="BD60"/>
    </row>
    <row r="61" spans="1:66" s="7" customFormat="1" x14ac:dyDescent="0.25">
      <c r="A61"/>
      <c r="B61" s="359">
        <v>44228</v>
      </c>
      <c r="C61">
        <f t="shared" si="6"/>
        <v>2021</v>
      </c>
      <c r="D61" s="7">
        <f t="shared" si="7"/>
        <v>2</v>
      </c>
      <c r="E61" s="49">
        <f>COUNTIFS(TU_DB[[Water Temperature (oF)]:[Water Temperature (oF)]],"&gt;="&amp;32,TU_DB[[Year]:[Year]],$C61,TU_DB[[Month No.]:[Month No.]],$D61,TU_DB[[Monitoring Site]:[Monitoring Site]],$D$45)</f>
        <v>0</v>
      </c>
      <c r="F61" s="347" t="str">
        <f>IF(E61&gt;0,AVERAGEIFS(TU_DB[[Water Temperature (oF)]:[Water Temperature (oF)]],TU_DB[[Year]:[Year]],$C61,TU_DB[[Month No.]:[Month No.]],$D61,TU_DB[[Monitoring Site]:[Monitoring Site]],$D$45),"")</f>
        <v/>
      </c>
      <c r="G61" s="347" t="str">
        <f>IF(E61&gt;0,_xlfn.MAXIFS(TU_DB[[Water Temperature (oF)]:[Water Temperature (oF)]],TU_DB[[Year]:[Year]],$C61,TU_DB[[Month No.]:[Month No.]],$D61,TU_DB[[Monitoring Site]:[Monitoring Site]],$D$45),"")</f>
        <v/>
      </c>
      <c r="I61" s="367">
        <f t="shared" si="8"/>
        <v>67</v>
      </c>
      <c r="J61" s="367">
        <f t="shared" si="9"/>
        <v>4</v>
      </c>
      <c r="K61" s="367">
        <f t="shared" si="10"/>
        <v>5</v>
      </c>
      <c r="L61" s="367">
        <f t="shared" si="11"/>
        <v>24</v>
      </c>
      <c r="X61"/>
      <c r="Y61"/>
      <c r="Z61"/>
      <c r="AB61"/>
      <c r="AC61"/>
      <c r="AD61"/>
      <c r="AE61"/>
      <c r="AF61"/>
      <c r="AG61"/>
      <c r="AH61"/>
      <c r="AI61"/>
      <c r="AJ61"/>
      <c r="AK61"/>
      <c r="AL61"/>
      <c r="AM61"/>
      <c r="AN61"/>
      <c r="AO61"/>
      <c r="AP61"/>
      <c r="AQ61"/>
      <c r="AR61"/>
      <c r="AS61"/>
      <c r="AT61"/>
      <c r="AU61"/>
      <c r="AV61"/>
      <c r="AW61"/>
      <c r="AX61"/>
      <c r="AY61"/>
      <c r="AZ61"/>
      <c r="BA61"/>
      <c r="BB61"/>
      <c r="BC61"/>
      <c r="BE61"/>
      <c r="BF61"/>
      <c r="BG61"/>
      <c r="BH61"/>
      <c r="BI61"/>
      <c r="BJ61"/>
      <c r="BK61"/>
      <c r="BL61"/>
      <c r="BM61"/>
      <c r="BN61"/>
    </row>
    <row r="62" spans="1:66" x14ac:dyDescent="0.25">
      <c r="B62" s="359">
        <v>44256</v>
      </c>
      <c r="C62">
        <f t="shared" si="6"/>
        <v>2021</v>
      </c>
      <c r="D62" s="7">
        <f t="shared" si="7"/>
        <v>3</v>
      </c>
      <c r="E62" s="49">
        <f>COUNTIFS(TU_DB[[Water Temperature (oF)]:[Water Temperature (oF)]],"&gt;="&amp;32,TU_DB[[Year]:[Year]],$C62,TU_DB[[Month No.]:[Month No.]],$D62,TU_DB[[Monitoring Site]:[Monitoring Site]],$D$45)</f>
        <v>1</v>
      </c>
      <c r="F62" s="347">
        <f>IF(E62&gt;0,AVERAGEIFS(TU_DB[[Water Temperature (oF)]:[Water Temperature (oF)]],TU_DB[[Year]:[Year]],$C62,TU_DB[[Month No.]:[Month No.]],$D62,TU_DB[[Monitoring Site]:[Monitoring Site]],$D$45),"")</f>
        <v>43</v>
      </c>
      <c r="G62" s="347">
        <f>IF(E62&gt;0,_xlfn.MAXIFS(TU_DB[[Water Temperature (oF)]:[Water Temperature (oF)]],TU_DB[[Year]:[Year]],$C62,TU_DB[[Month No.]:[Month No.]],$D62,TU_DB[[Monitoring Site]:[Monitoring Site]],$D$45),"")</f>
        <v>43</v>
      </c>
      <c r="H62" s="7"/>
      <c r="I62" s="367">
        <f t="shared" si="8"/>
        <v>67</v>
      </c>
      <c r="J62" s="367">
        <f t="shared" si="9"/>
        <v>4</v>
      </c>
      <c r="K62" s="367">
        <f t="shared" si="10"/>
        <v>5</v>
      </c>
      <c r="L62" s="367">
        <f t="shared" si="11"/>
        <v>24</v>
      </c>
      <c r="M62" s="7"/>
      <c r="N62" s="7"/>
      <c r="T62" s="7"/>
      <c r="U62" s="7"/>
      <c r="V62" s="7"/>
      <c r="W62" s="7"/>
      <c r="X62"/>
      <c r="Y62"/>
      <c r="AB62"/>
      <c r="AC62"/>
      <c r="AD62"/>
      <c r="AE62"/>
      <c r="AF62"/>
      <c r="AG62"/>
      <c r="AJ62"/>
      <c r="AK62"/>
      <c r="AL62"/>
      <c r="AM62"/>
      <c r="AN62"/>
      <c r="AS62"/>
      <c r="AT62"/>
      <c r="AU62"/>
      <c r="AV62"/>
      <c r="AW62"/>
      <c r="AX62"/>
      <c r="AY62"/>
      <c r="AZ62"/>
      <c r="BA62"/>
      <c r="BB62"/>
      <c r="BC62"/>
      <c r="BD62"/>
    </row>
    <row r="63" spans="1:66" x14ac:dyDescent="0.25">
      <c r="B63" s="359">
        <v>44287</v>
      </c>
      <c r="C63">
        <f t="shared" si="6"/>
        <v>2021</v>
      </c>
      <c r="D63" s="7">
        <f t="shared" si="7"/>
        <v>4</v>
      </c>
      <c r="E63" s="49">
        <f>COUNTIFS(TU_DB[[Water Temperature (oF)]:[Water Temperature (oF)]],"&gt;="&amp;32,TU_DB[[Year]:[Year]],$C63,TU_DB[[Month No.]:[Month No.]],$D63,TU_DB[[Monitoring Site]:[Monitoring Site]],$D$45)</f>
        <v>2</v>
      </c>
      <c r="F63" s="347">
        <f>IF(E63&gt;0,AVERAGEIFS(TU_DB[[Water Temperature (oF)]:[Water Temperature (oF)]],TU_DB[[Year]:[Year]],$C63,TU_DB[[Month No.]:[Month No.]],$D63,TU_DB[[Monitoring Site]:[Monitoring Site]],$D$45),"")</f>
        <v>43.5</v>
      </c>
      <c r="G63" s="347">
        <f>IF(E63&gt;0,_xlfn.MAXIFS(TU_DB[[Water Temperature (oF)]:[Water Temperature (oF)]],TU_DB[[Year]:[Year]],$C63,TU_DB[[Month No.]:[Month No.]],$D63,TU_DB[[Monitoring Site]:[Monitoring Site]],$D$45),"")</f>
        <v>44</v>
      </c>
      <c r="H63" s="7"/>
      <c r="I63" s="367">
        <f t="shared" si="8"/>
        <v>67</v>
      </c>
      <c r="J63" s="367">
        <f t="shared" si="9"/>
        <v>4</v>
      </c>
      <c r="K63" s="367">
        <f t="shared" si="10"/>
        <v>5</v>
      </c>
      <c r="L63" s="367">
        <f t="shared" si="11"/>
        <v>24</v>
      </c>
      <c r="M63" s="7"/>
      <c r="N63" s="7"/>
      <c r="T63" s="7"/>
      <c r="U63" s="7"/>
      <c r="V63" s="7"/>
      <c r="W63" s="7"/>
      <c r="X63"/>
      <c r="Y63"/>
      <c r="AA63"/>
      <c r="AB63"/>
      <c r="AC63"/>
      <c r="AD63"/>
      <c r="AE63"/>
      <c r="AF63"/>
      <c r="AG63"/>
      <c r="AJ63"/>
      <c r="AK63"/>
      <c r="AL63"/>
      <c r="AM63"/>
      <c r="AN63"/>
      <c r="AS63"/>
      <c r="AT63"/>
      <c r="AU63"/>
      <c r="AV63"/>
      <c r="AW63"/>
      <c r="AX63"/>
      <c r="AY63"/>
      <c r="AZ63"/>
      <c r="BA63"/>
      <c r="BB63"/>
      <c r="BC63"/>
      <c r="BD63"/>
    </row>
    <row r="64" spans="1:66" x14ac:dyDescent="0.25">
      <c r="B64" s="359">
        <v>44317</v>
      </c>
      <c r="C64">
        <f t="shared" si="6"/>
        <v>2021</v>
      </c>
      <c r="D64" s="7">
        <f t="shared" si="7"/>
        <v>5</v>
      </c>
      <c r="E64" s="49">
        <f>COUNTIFS(TU_DB[[Water Temperature (oF)]:[Water Temperature (oF)]],"&gt;="&amp;32,TU_DB[[Year]:[Year]],$C64,TU_DB[[Month No.]:[Month No.]],$D64,TU_DB[[Monitoring Site]:[Monitoring Site]],$D$45)</f>
        <v>2</v>
      </c>
      <c r="F64" s="347">
        <f>IF(E64&gt;0,AVERAGEIFS(TU_DB[[Water Temperature (oF)]:[Water Temperature (oF)]],TU_DB[[Year]:[Year]],$C64,TU_DB[[Month No.]:[Month No.]],$D64,TU_DB[[Monitoring Site]:[Monitoring Site]],$D$45),"")</f>
        <v>57.5</v>
      </c>
      <c r="G64" s="347">
        <f>IF(E64&gt;0,_xlfn.MAXIFS(TU_DB[[Water Temperature (oF)]:[Water Temperature (oF)]],TU_DB[[Year]:[Year]],$C64,TU_DB[[Month No.]:[Month No.]],$D64,TU_DB[[Monitoring Site]:[Monitoring Site]],$D$45),"")</f>
        <v>61</v>
      </c>
      <c r="H64" s="7"/>
      <c r="I64" s="367">
        <f t="shared" si="8"/>
        <v>67</v>
      </c>
      <c r="J64" s="367">
        <f t="shared" si="9"/>
        <v>4</v>
      </c>
      <c r="K64" s="367">
        <f t="shared" si="10"/>
        <v>5</v>
      </c>
      <c r="L64" s="367">
        <f t="shared" si="11"/>
        <v>24</v>
      </c>
      <c r="M64" s="7"/>
      <c r="N64" s="7"/>
      <c r="T64" s="7"/>
      <c r="U64" s="7"/>
      <c r="V64" s="7"/>
      <c r="W64" s="7"/>
      <c r="X64"/>
      <c r="Y64"/>
      <c r="AA64"/>
      <c r="AB64"/>
      <c r="AC64"/>
      <c r="AD64"/>
      <c r="AE64"/>
      <c r="AF64"/>
      <c r="AG64"/>
      <c r="AJ64"/>
      <c r="AK64"/>
      <c r="AL64"/>
      <c r="AM64"/>
      <c r="AN64"/>
      <c r="AS64"/>
      <c r="AT64"/>
      <c r="AU64"/>
      <c r="AV64"/>
      <c r="AW64"/>
      <c r="AX64"/>
      <c r="AY64"/>
      <c r="AZ64"/>
      <c r="BA64"/>
      <c r="BB64"/>
      <c r="BC64"/>
      <c r="BD64"/>
    </row>
    <row r="65" spans="2:56" x14ac:dyDescent="0.25">
      <c r="B65" s="359">
        <v>44348</v>
      </c>
      <c r="C65">
        <f t="shared" si="6"/>
        <v>2021</v>
      </c>
      <c r="D65" s="7">
        <f t="shared" si="7"/>
        <v>6</v>
      </c>
      <c r="E65" s="49">
        <f>COUNTIFS(TU_DB[[Water Temperature (oF)]:[Water Temperature (oF)]],"&gt;="&amp;32,TU_DB[[Year]:[Year]],$C65,TU_DB[[Month No.]:[Month No.]],$D65,TU_DB[[Monitoring Site]:[Monitoring Site]],$D$45)</f>
        <v>0</v>
      </c>
      <c r="F65" s="347" t="str">
        <f>IF(E65&gt;0,AVERAGEIFS(TU_DB[[Water Temperature (oF)]:[Water Temperature (oF)]],TU_DB[[Year]:[Year]],$C65,TU_DB[[Month No.]:[Month No.]],$D65,TU_DB[[Monitoring Site]:[Monitoring Site]],$D$45),"")</f>
        <v/>
      </c>
      <c r="G65" s="347" t="str">
        <f>IF(E65&gt;0,_xlfn.MAXIFS(TU_DB[[Water Temperature (oF)]:[Water Temperature (oF)]],TU_DB[[Year]:[Year]],$C65,TU_DB[[Month No.]:[Month No.]],$D65,TU_DB[[Monitoring Site]:[Monitoring Site]],$D$45),"")</f>
        <v/>
      </c>
      <c r="H65" s="7"/>
      <c r="I65" s="367">
        <f t="shared" si="8"/>
        <v>67</v>
      </c>
      <c r="J65" s="367">
        <f t="shared" si="9"/>
        <v>4</v>
      </c>
      <c r="K65" s="367">
        <f t="shared" si="10"/>
        <v>5</v>
      </c>
      <c r="L65" s="367">
        <f t="shared" si="11"/>
        <v>24</v>
      </c>
      <c r="M65" s="7"/>
      <c r="N65" s="7"/>
      <c r="T65" s="7"/>
      <c r="U65" s="7"/>
      <c r="V65" s="7"/>
      <c r="W65" s="7"/>
      <c r="X65"/>
      <c r="Y65"/>
      <c r="AA65"/>
      <c r="AB65"/>
      <c r="AC65"/>
      <c r="AD65"/>
      <c r="AE65"/>
      <c r="AF65"/>
      <c r="AG65"/>
      <c r="AJ65"/>
      <c r="AK65"/>
      <c r="AL65"/>
      <c r="AM65"/>
      <c r="AN65"/>
      <c r="AS65"/>
      <c r="AT65"/>
      <c r="AU65"/>
      <c r="AV65"/>
      <c r="AW65"/>
      <c r="AX65"/>
      <c r="AY65"/>
      <c r="AZ65"/>
      <c r="BA65"/>
      <c r="BB65"/>
      <c r="BC65"/>
      <c r="BD65"/>
    </row>
    <row r="66" spans="2:56" x14ac:dyDescent="0.25">
      <c r="B66" s="359">
        <v>44378</v>
      </c>
      <c r="C66">
        <f t="shared" si="6"/>
        <v>2021</v>
      </c>
      <c r="D66" s="7">
        <f t="shared" si="7"/>
        <v>7</v>
      </c>
      <c r="E66" s="49">
        <f>COUNTIFS(TU_DB[[Water Temperature (oF)]:[Water Temperature (oF)]],"&gt;="&amp;32,TU_DB[[Year]:[Year]],$C66,TU_DB[[Month No.]:[Month No.]],$D66,TU_DB[[Monitoring Site]:[Monitoring Site]],$D$45)</f>
        <v>1</v>
      </c>
      <c r="F66" s="347">
        <f>IF(E66&gt;0,AVERAGEIFS(TU_DB[[Water Temperature (oF)]:[Water Temperature (oF)]],TU_DB[[Year]:[Year]],$C66,TU_DB[[Month No.]:[Month No.]],$D66,TU_DB[[Monitoring Site]:[Monitoring Site]],$D$45),"")</f>
        <v>60</v>
      </c>
      <c r="G66" s="347">
        <f>IF(E66&gt;0,_xlfn.MAXIFS(TU_DB[[Water Temperature (oF)]:[Water Temperature (oF)]],TU_DB[[Year]:[Year]],$C66,TU_DB[[Month No.]:[Month No.]],$D66,TU_DB[[Monitoring Site]:[Monitoring Site]],$D$45),"")</f>
        <v>60</v>
      </c>
      <c r="H66" s="7"/>
      <c r="I66" s="367">
        <f t="shared" si="8"/>
        <v>67</v>
      </c>
      <c r="J66" s="367">
        <f t="shared" si="9"/>
        <v>4</v>
      </c>
      <c r="K66" s="367">
        <f t="shared" si="10"/>
        <v>5</v>
      </c>
      <c r="L66" s="367">
        <f t="shared" si="11"/>
        <v>24</v>
      </c>
      <c r="M66" s="7"/>
      <c r="N66" s="7"/>
      <c r="T66" s="7"/>
      <c r="U66" s="7"/>
      <c r="V66" s="7"/>
      <c r="W66" s="7"/>
      <c r="X66"/>
      <c r="Y66"/>
      <c r="AA66"/>
      <c r="AB66"/>
      <c r="AC66"/>
      <c r="AD66"/>
      <c r="AE66"/>
      <c r="AF66"/>
      <c r="AG66"/>
      <c r="AJ66"/>
      <c r="AK66"/>
      <c r="AL66"/>
      <c r="AM66"/>
      <c r="AN66"/>
      <c r="AS66"/>
      <c r="AT66"/>
      <c r="AU66"/>
      <c r="AV66"/>
      <c r="AW66"/>
      <c r="AX66"/>
      <c r="AY66"/>
      <c r="AZ66"/>
      <c r="BA66"/>
      <c r="BB66"/>
      <c r="BC66"/>
      <c r="BD66"/>
    </row>
    <row r="67" spans="2:56" x14ac:dyDescent="0.25">
      <c r="B67" s="359">
        <v>44409</v>
      </c>
      <c r="C67">
        <f t="shared" si="6"/>
        <v>2021</v>
      </c>
      <c r="D67" s="7">
        <f t="shared" si="7"/>
        <v>8</v>
      </c>
      <c r="E67" s="49">
        <f>COUNTIFS(TU_DB[[Water Temperature (oF)]:[Water Temperature (oF)]],"&gt;="&amp;32,TU_DB[[Year]:[Year]],$C67,TU_DB[[Month No.]:[Month No.]],$D67,TU_DB[[Monitoring Site]:[Monitoring Site]],$D$45)</f>
        <v>0</v>
      </c>
      <c r="F67" s="347" t="str">
        <f>IF(E67&gt;0,AVERAGEIFS(TU_DB[[Water Temperature (oF)]:[Water Temperature (oF)]],TU_DB[[Year]:[Year]],$C67,TU_DB[[Month No.]:[Month No.]],$D67,TU_DB[[Monitoring Site]:[Monitoring Site]],$D$45),"")</f>
        <v/>
      </c>
      <c r="G67" s="347" t="str">
        <f>IF(E67&gt;0,_xlfn.MAXIFS(TU_DB[[Water Temperature (oF)]:[Water Temperature (oF)]],TU_DB[[Year]:[Year]],$C67,TU_DB[[Month No.]:[Month No.]],$D67,TU_DB[[Monitoring Site]:[Monitoring Site]],$D$45),"")</f>
        <v/>
      </c>
      <c r="H67" s="7"/>
      <c r="I67" s="367">
        <f t="shared" si="8"/>
        <v>67</v>
      </c>
      <c r="J67" s="367">
        <f t="shared" si="9"/>
        <v>4</v>
      </c>
      <c r="K67" s="367">
        <f t="shared" si="10"/>
        <v>5</v>
      </c>
      <c r="L67" s="367">
        <f t="shared" si="11"/>
        <v>24</v>
      </c>
      <c r="M67" s="7"/>
      <c r="N67" s="7"/>
      <c r="T67" s="7"/>
      <c r="U67" s="7"/>
      <c r="V67" s="7"/>
      <c r="W67" s="7"/>
      <c r="X67"/>
      <c r="Y67"/>
      <c r="AA67"/>
      <c r="AB67"/>
      <c r="AC67"/>
      <c r="AD67"/>
      <c r="AE67"/>
      <c r="AF67"/>
      <c r="AG67"/>
      <c r="AJ67"/>
      <c r="AK67"/>
      <c r="AL67"/>
      <c r="AM67"/>
      <c r="AN67"/>
      <c r="AS67"/>
      <c r="AT67"/>
      <c r="AU67"/>
      <c r="AV67"/>
      <c r="AW67"/>
      <c r="AX67"/>
      <c r="AY67"/>
      <c r="AZ67"/>
      <c r="BA67"/>
      <c r="BB67"/>
      <c r="BC67"/>
      <c r="BD67"/>
    </row>
    <row r="68" spans="2:56" x14ac:dyDescent="0.25">
      <c r="B68" s="359">
        <v>44440</v>
      </c>
      <c r="C68">
        <f t="shared" si="6"/>
        <v>2021</v>
      </c>
      <c r="D68" s="7">
        <f t="shared" si="7"/>
        <v>9</v>
      </c>
      <c r="E68" s="49">
        <f>COUNTIFS(TU_DB[[Water Temperature (oF)]:[Water Temperature (oF)]],"&gt;="&amp;32,TU_DB[[Year]:[Year]],$C68,TU_DB[[Month No.]:[Month No.]],$D68,TU_DB[[Monitoring Site]:[Monitoring Site]],$D$45)</f>
        <v>0</v>
      </c>
      <c r="F68" s="347" t="str">
        <f>IF(E68&gt;0,AVERAGEIFS(TU_DB[[Water Temperature (oF)]:[Water Temperature (oF)]],TU_DB[[Year]:[Year]],$C68,TU_DB[[Month No.]:[Month No.]],$D68,TU_DB[[Monitoring Site]:[Monitoring Site]],$D$45),"")</f>
        <v/>
      </c>
      <c r="G68" s="347" t="str">
        <f>IF(E68&gt;0,_xlfn.MAXIFS(TU_DB[[Water Temperature (oF)]:[Water Temperature (oF)]],TU_DB[[Year]:[Year]],$C68,TU_DB[[Month No.]:[Month No.]],$D68,TU_DB[[Monitoring Site]:[Monitoring Site]],$D$45),"")</f>
        <v/>
      </c>
      <c r="H68" s="7"/>
      <c r="I68" s="367">
        <f t="shared" si="8"/>
        <v>67</v>
      </c>
      <c r="J68" s="367">
        <f t="shared" si="9"/>
        <v>4</v>
      </c>
      <c r="K68" s="367">
        <f t="shared" si="10"/>
        <v>5</v>
      </c>
      <c r="L68" s="367">
        <f t="shared" si="11"/>
        <v>24</v>
      </c>
      <c r="M68" s="7"/>
      <c r="N68" s="7"/>
      <c r="T68" s="7"/>
      <c r="U68" s="7"/>
      <c r="V68" s="7"/>
      <c r="W68" s="7"/>
      <c r="X68"/>
      <c r="Y68"/>
      <c r="AA68"/>
      <c r="AB68"/>
      <c r="AC68"/>
      <c r="AD68"/>
      <c r="AE68"/>
      <c r="AF68"/>
      <c r="AG68"/>
      <c r="AJ68"/>
      <c r="AK68"/>
      <c r="AL68"/>
      <c r="AM68"/>
      <c r="AN68"/>
      <c r="AS68"/>
      <c r="AT68"/>
      <c r="AU68"/>
      <c r="AV68"/>
      <c r="AW68"/>
      <c r="AX68"/>
      <c r="AY68"/>
      <c r="AZ68"/>
      <c r="BA68"/>
      <c r="BB68"/>
      <c r="BC68"/>
      <c r="BD68"/>
    </row>
    <row r="69" spans="2:56" x14ac:dyDescent="0.25">
      <c r="B69" s="359">
        <v>44470</v>
      </c>
      <c r="C69">
        <f t="shared" si="6"/>
        <v>2021</v>
      </c>
      <c r="D69" s="7">
        <f t="shared" si="7"/>
        <v>10</v>
      </c>
      <c r="E69" s="49">
        <f>COUNTIFS(TU_DB[[Water Temperature (oF)]:[Water Temperature (oF)]],"&gt;="&amp;32,TU_DB[[Year]:[Year]],$C69,TU_DB[[Month No.]:[Month No.]],$D69,TU_DB[[Monitoring Site]:[Monitoring Site]],$D$45)</f>
        <v>0</v>
      </c>
      <c r="F69" s="347" t="str">
        <f>IF(E69&gt;0,AVERAGEIFS(TU_DB[[Water Temperature (oF)]:[Water Temperature (oF)]],TU_DB[[Year]:[Year]],$C69,TU_DB[[Month No.]:[Month No.]],$D69,TU_DB[[Monitoring Site]:[Monitoring Site]],$D$45),"")</f>
        <v/>
      </c>
      <c r="G69" s="347" t="str">
        <f>IF(E69&gt;0,_xlfn.MAXIFS(TU_DB[[Water Temperature (oF)]:[Water Temperature (oF)]],TU_DB[[Year]:[Year]],$C69,TU_DB[[Month No.]:[Month No.]],$D69,TU_DB[[Monitoring Site]:[Monitoring Site]],$D$45),"")</f>
        <v/>
      </c>
      <c r="H69" s="7"/>
      <c r="I69" s="367">
        <f t="shared" si="8"/>
        <v>67</v>
      </c>
      <c r="J69" s="367">
        <f t="shared" si="9"/>
        <v>4</v>
      </c>
      <c r="K69" s="367">
        <f t="shared" si="10"/>
        <v>5</v>
      </c>
      <c r="L69" s="367">
        <f t="shared" si="11"/>
        <v>24</v>
      </c>
      <c r="M69" s="7"/>
      <c r="N69" s="7"/>
      <c r="T69" s="7"/>
      <c r="U69" s="7"/>
      <c r="V69" s="7"/>
      <c r="W69" s="7"/>
      <c r="X69"/>
      <c r="Y69"/>
      <c r="AA69"/>
      <c r="AB69"/>
      <c r="AC69"/>
      <c r="AD69"/>
      <c r="AE69"/>
      <c r="AF69"/>
      <c r="AG69"/>
      <c r="AJ69"/>
      <c r="AK69"/>
      <c r="AL69"/>
      <c r="AM69"/>
      <c r="AN69"/>
      <c r="AS69"/>
      <c r="AT69"/>
      <c r="AU69"/>
      <c r="AV69"/>
      <c r="AW69"/>
      <c r="AX69"/>
      <c r="AY69"/>
      <c r="AZ69"/>
      <c r="BA69"/>
      <c r="BB69"/>
      <c r="BC69"/>
      <c r="BD69"/>
    </row>
    <row r="70" spans="2:56" x14ac:dyDescent="0.25">
      <c r="B70" s="359">
        <v>44501</v>
      </c>
      <c r="C70">
        <f t="shared" si="6"/>
        <v>2021</v>
      </c>
      <c r="D70" s="7">
        <f t="shared" si="7"/>
        <v>11</v>
      </c>
      <c r="E70" s="49">
        <f>COUNTIFS(TU_DB[[Water Temperature (oF)]:[Water Temperature (oF)]],"&gt;="&amp;32,TU_DB[[Year]:[Year]],$C70,TU_DB[[Month No.]:[Month No.]],$D70,TU_DB[[Monitoring Site]:[Monitoring Site]],$D$45)</f>
        <v>0</v>
      </c>
      <c r="F70" s="347" t="str">
        <f>IF(E70&gt;0,AVERAGEIFS(TU_DB[[Water Temperature (oF)]:[Water Temperature (oF)]],TU_DB[[Year]:[Year]],$C70,TU_DB[[Month No.]:[Month No.]],$D70,TU_DB[[Monitoring Site]:[Monitoring Site]],$D$45),"")</f>
        <v/>
      </c>
      <c r="G70" s="347" t="str">
        <f>IF(E70&gt;0,_xlfn.MAXIFS(TU_DB[[Water Temperature (oF)]:[Water Temperature (oF)]],TU_DB[[Year]:[Year]],$C70,TU_DB[[Month No.]:[Month No.]],$D70,TU_DB[[Monitoring Site]:[Monitoring Site]],$D$45),"")</f>
        <v/>
      </c>
      <c r="H70" s="7"/>
      <c r="I70" s="367">
        <f t="shared" si="8"/>
        <v>67</v>
      </c>
      <c r="J70" s="367">
        <f t="shared" si="9"/>
        <v>4</v>
      </c>
      <c r="K70" s="367">
        <f t="shared" si="10"/>
        <v>5</v>
      </c>
      <c r="L70" s="367">
        <f t="shared" si="11"/>
        <v>24</v>
      </c>
      <c r="M70" s="7"/>
      <c r="N70" s="7"/>
      <c r="T70" s="7"/>
      <c r="U70" s="7"/>
      <c r="V70" s="7"/>
      <c r="W70" s="7"/>
      <c r="X70"/>
      <c r="Y70"/>
      <c r="AA70"/>
      <c r="AB70"/>
      <c r="AC70"/>
      <c r="AD70"/>
      <c r="AE70"/>
      <c r="AF70"/>
      <c r="AG70"/>
      <c r="AJ70"/>
      <c r="AK70"/>
      <c r="AL70"/>
      <c r="AM70"/>
      <c r="AN70"/>
      <c r="AS70"/>
      <c r="AT70"/>
      <c r="AU70"/>
      <c r="AV70"/>
      <c r="AW70"/>
      <c r="AX70"/>
      <c r="AY70"/>
      <c r="AZ70"/>
      <c r="BA70"/>
      <c r="BB70"/>
      <c r="BC70"/>
      <c r="BD70"/>
    </row>
    <row r="71" spans="2:56" x14ac:dyDescent="0.25">
      <c r="B71" s="359">
        <v>44531</v>
      </c>
      <c r="C71">
        <f t="shared" si="6"/>
        <v>2021</v>
      </c>
      <c r="D71" s="7">
        <f t="shared" si="7"/>
        <v>12</v>
      </c>
      <c r="E71" s="49">
        <f>COUNTIFS(TU_DB[[Water Temperature (oF)]:[Water Temperature (oF)]],"&gt;="&amp;32,TU_DB[[Year]:[Year]],$C71,TU_DB[[Month No.]:[Month No.]],$D71,TU_DB[[Monitoring Site]:[Monitoring Site]],$D$45)</f>
        <v>0</v>
      </c>
      <c r="F71" s="347" t="str">
        <f>IF(E71&gt;0,AVERAGEIFS(TU_DB[[Water Temperature (oF)]:[Water Temperature (oF)]],TU_DB[[Year]:[Year]],$C71,TU_DB[[Month No.]:[Month No.]],$D71,TU_DB[[Monitoring Site]:[Monitoring Site]],$D$45),"")</f>
        <v/>
      </c>
      <c r="G71" s="347" t="str">
        <f>IF(E71&gt;0,_xlfn.MAXIFS(TU_DB[[Water Temperature (oF)]:[Water Temperature (oF)]],TU_DB[[Year]:[Year]],$C71,TU_DB[[Month No.]:[Month No.]],$D71,TU_DB[[Monitoring Site]:[Monitoring Site]],$D$45),"")</f>
        <v/>
      </c>
      <c r="H71" s="7"/>
      <c r="I71" s="367">
        <f t="shared" si="8"/>
        <v>67</v>
      </c>
      <c r="J71" s="367">
        <f t="shared" si="9"/>
        <v>4</v>
      </c>
      <c r="K71" s="367">
        <f t="shared" si="10"/>
        <v>5</v>
      </c>
      <c r="L71" s="367">
        <f t="shared" si="11"/>
        <v>24</v>
      </c>
      <c r="M71" s="7"/>
      <c r="N71" s="7"/>
      <c r="T71" s="7"/>
      <c r="U71" s="7"/>
      <c r="V71" s="7"/>
      <c r="W71" s="7"/>
      <c r="X71"/>
      <c r="Y71"/>
      <c r="AA71"/>
      <c r="AB71"/>
      <c r="AC71"/>
      <c r="AD71"/>
      <c r="AE71"/>
      <c r="AF71"/>
      <c r="AG71"/>
      <c r="AJ71"/>
      <c r="AK71"/>
      <c r="AL71"/>
      <c r="AM71"/>
      <c r="AN71"/>
      <c r="AS71"/>
      <c r="AT71"/>
      <c r="AU71"/>
      <c r="AV71"/>
      <c r="AW71"/>
      <c r="AX71"/>
      <c r="AY71"/>
      <c r="AZ71"/>
      <c r="BA71"/>
      <c r="BB71"/>
      <c r="BC71"/>
      <c r="BD71"/>
    </row>
    <row r="72" spans="2:56" x14ac:dyDescent="0.25">
      <c r="B72" s="359">
        <v>44562</v>
      </c>
      <c r="C72">
        <f t="shared" si="6"/>
        <v>2022</v>
      </c>
      <c r="D72" s="7">
        <f t="shared" si="7"/>
        <v>1</v>
      </c>
      <c r="E72" s="49">
        <f>COUNTIFS(TU_DB[[Water Temperature (oF)]:[Water Temperature (oF)]],"&gt;="&amp;32,TU_DB[[Year]:[Year]],$C72,TU_DB[[Month No.]:[Month No.]],$D72,TU_DB[[Monitoring Site]:[Monitoring Site]],$D$45)</f>
        <v>0</v>
      </c>
      <c r="F72" s="347" t="str">
        <f>IF(E72&gt;0,AVERAGEIFS(TU_DB[[Water Temperature (oF)]:[Water Temperature (oF)]],TU_DB[[Year]:[Year]],$C72,TU_DB[[Month No.]:[Month No.]],$D72,TU_DB[[Monitoring Site]:[Monitoring Site]],$D$45),"")</f>
        <v/>
      </c>
      <c r="G72" s="347" t="str">
        <f>IF(E72&gt;0,_xlfn.MAXIFS(TU_DB[[Water Temperature (oF)]:[Water Temperature (oF)]],TU_DB[[Year]:[Year]],$C72,TU_DB[[Month No.]:[Month No.]],$D72,TU_DB[[Monitoring Site]:[Monitoring Site]],$D$45),"")</f>
        <v/>
      </c>
      <c r="H72" s="7"/>
      <c r="I72" s="367">
        <f t="shared" si="8"/>
        <v>67</v>
      </c>
      <c r="J72" s="367">
        <f t="shared" si="9"/>
        <v>4</v>
      </c>
      <c r="K72" s="367">
        <f t="shared" si="10"/>
        <v>5</v>
      </c>
      <c r="L72" s="367">
        <f t="shared" si="11"/>
        <v>24</v>
      </c>
      <c r="M72" s="7"/>
      <c r="N72" s="7"/>
      <c r="T72" s="7"/>
      <c r="U72" s="7"/>
      <c r="V72" s="7"/>
      <c r="W72" s="7"/>
      <c r="X72"/>
      <c r="Y72"/>
      <c r="AA72"/>
      <c r="AB72"/>
      <c r="AC72"/>
      <c r="AD72"/>
      <c r="AE72"/>
      <c r="AF72"/>
      <c r="AG72"/>
      <c r="AJ72"/>
      <c r="AK72"/>
      <c r="AL72"/>
      <c r="AM72"/>
      <c r="AN72"/>
      <c r="AS72"/>
      <c r="AT72"/>
      <c r="AU72"/>
      <c r="AV72"/>
      <c r="AW72"/>
      <c r="AX72"/>
      <c r="AY72"/>
      <c r="AZ72"/>
      <c r="BA72"/>
      <c r="BB72"/>
      <c r="BC72"/>
      <c r="BD72"/>
    </row>
    <row r="73" spans="2:56" x14ac:dyDescent="0.25">
      <c r="B73" s="359">
        <v>44593</v>
      </c>
      <c r="C73">
        <f t="shared" si="6"/>
        <v>2022</v>
      </c>
      <c r="D73" s="7">
        <f t="shared" si="7"/>
        <v>2</v>
      </c>
      <c r="E73" s="49">
        <f>COUNTIFS(TU_DB[[Water Temperature (oF)]:[Water Temperature (oF)]],"&gt;="&amp;32,TU_DB[[Year]:[Year]],$C73,TU_DB[[Month No.]:[Month No.]],$D73,TU_DB[[Monitoring Site]:[Monitoring Site]],$D$45)</f>
        <v>0</v>
      </c>
      <c r="F73" s="347" t="str">
        <f>IF(E73&gt;0,AVERAGEIFS(TU_DB[[Water Temperature (oF)]:[Water Temperature (oF)]],TU_DB[[Year]:[Year]],$C73,TU_DB[[Month No.]:[Month No.]],$D73,TU_DB[[Monitoring Site]:[Monitoring Site]],$D$45),"")</f>
        <v/>
      </c>
      <c r="G73" s="347" t="str">
        <f>IF(E73&gt;0,_xlfn.MAXIFS(TU_DB[[Water Temperature (oF)]:[Water Temperature (oF)]],TU_DB[[Year]:[Year]],$C73,TU_DB[[Month No.]:[Month No.]],$D73,TU_DB[[Monitoring Site]:[Monitoring Site]],$D$45),"")</f>
        <v/>
      </c>
      <c r="H73" s="7"/>
      <c r="I73" s="367">
        <f t="shared" si="8"/>
        <v>67</v>
      </c>
      <c r="J73" s="367">
        <f t="shared" si="9"/>
        <v>4</v>
      </c>
      <c r="K73" s="367">
        <f t="shared" si="10"/>
        <v>5</v>
      </c>
      <c r="L73" s="367">
        <f t="shared" si="11"/>
        <v>24</v>
      </c>
      <c r="M73" s="7"/>
      <c r="N73" s="7"/>
      <c r="T73" s="7"/>
      <c r="U73" s="7"/>
      <c r="V73" s="7"/>
      <c r="W73" s="7"/>
      <c r="X73"/>
      <c r="Y73"/>
      <c r="AA73"/>
      <c r="AB73"/>
      <c r="AC73"/>
      <c r="AD73"/>
      <c r="AE73"/>
      <c r="AF73"/>
      <c r="AG73"/>
      <c r="AJ73"/>
      <c r="AK73"/>
      <c r="AL73"/>
      <c r="AM73"/>
      <c r="AN73"/>
      <c r="AS73"/>
      <c r="AT73"/>
      <c r="AU73"/>
      <c r="AV73"/>
      <c r="AW73"/>
      <c r="AX73"/>
      <c r="AY73"/>
      <c r="AZ73"/>
      <c r="BA73"/>
      <c r="BB73"/>
      <c r="BC73"/>
      <c r="BD73"/>
    </row>
    <row r="74" spans="2:56" x14ac:dyDescent="0.25">
      <c r="B74" s="359">
        <v>44621</v>
      </c>
      <c r="C74">
        <f t="shared" si="6"/>
        <v>2022</v>
      </c>
      <c r="D74" s="7">
        <f t="shared" si="7"/>
        <v>3</v>
      </c>
      <c r="E74" s="49">
        <f>COUNTIFS(TU_DB[[Water Temperature (oF)]:[Water Temperature (oF)]],"&gt;="&amp;32,TU_DB[[Year]:[Year]],$C74,TU_DB[[Month No.]:[Month No.]],$D74,TU_DB[[Monitoring Site]:[Monitoring Site]],$D$45)</f>
        <v>0</v>
      </c>
      <c r="F74" s="347" t="str">
        <f>IF(E74&gt;0,AVERAGEIFS(TU_DB[[Water Temperature (oF)]:[Water Temperature (oF)]],TU_DB[[Year]:[Year]],$C74,TU_DB[[Month No.]:[Month No.]],$D74,TU_DB[[Monitoring Site]:[Monitoring Site]],$D$45),"")</f>
        <v/>
      </c>
      <c r="G74" s="347" t="str">
        <f>IF(E74&gt;0,_xlfn.MAXIFS(TU_DB[[Water Temperature (oF)]:[Water Temperature (oF)]],TU_DB[[Year]:[Year]],$C74,TU_DB[[Month No.]:[Month No.]],$D74,TU_DB[[Monitoring Site]:[Monitoring Site]],$D$45),"")</f>
        <v/>
      </c>
      <c r="H74" s="7"/>
      <c r="I74" s="367">
        <f t="shared" si="8"/>
        <v>67</v>
      </c>
      <c r="J74" s="367">
        <f t="shared" si="9"/>
        <v>4</v>
      </c>
      <c r="K74" s="367">
        <f t="shared" si="10"/>
        <v>5</v>
      </c>
      <c r="L74" s="367">
        <f t="shared" si="11"/>
        <v>24</v>
      </c>
      <c r="M74" s="7"/>
      <c r="N74" s="7"/>
      <c r="T74" s="7"/>
      <c r="U74" s="7"/>
      <c r="V74" s="7"/>
      <c r="W74" s="7"/>
      <c r="X74"/>
      <c r="Y74"/>
      <c r="AA74"/>
      <c r="AB74"/>
      <c r="AC74"/>
      <c r="AD74"/>
      <c r="AE74"/>
      <c r="AF74"/>
      <c r="AG74"/>
      <c r="AJ74"/>
      <c r="AK74"/>
      <c r="AL74"/>
      <c r="AM74"/>
      <c r="AN74"/>
      <c r="AS74"/>
      <c r="AT74"/>
      <c r="AU74"/>
      <c r="AV74"/>
      <c r="AW74"/>
      <c r="AX74"/>
      <c r="AY74"/>
      <c r="AZ74"/>
      <c r="BA74"/>
      <c r="BB74"/>
      <c r="BC74"/>
      <c r="BD74"/>
    </row>
    <row r="75" spans="2:56" x14ac:dyDescent="0.25">
      <c r="B75" s="359">
        <v>44652</v>
      </c>
      <c r="C75">
        <f t="shared" si="6"/>
        <v>2022</v>
      </c>
      <c r="D75" s="7">
        <f t="shared" si="7"/>
        <v>4</v>
      </c>
      <c r="E75" s="49">
        <f>COUNTIFS(TU_DB[[Water Temperature (oF)]:[Water Temperature (oF)]],"&gt;="&amp;32,TU_DB[[Year]:[Year]],$C75,TU_DB[[Month No.]:[Month No.]],$D75,TU_DB[[Monitoring Site]:[Monitoring Site]],$D$45)</f>
        <v>0</v>
      </c>
      <c r="F75" s="347" t="str">
        <f>IF(E75&gt;0,AVERAGEIFS(TU_DB[[Water Temperature (oF)]:[Water Temperature (oF)]],TU_DB[[Year]:[Year]],$C75,TU_DB[[Month No.]:[Month No.]],$D75,TU_DB[[Monitoring Site]:[Monitoring Site]],$D$45),"")</f>
        <v/>
      </c>
      <c r="G75" s="347" t="str">
        <f>IF(E75&gt;0,_xlfn.MAXIFS(TU_DB[[Water Temperature (oF)]:[Water Temperature (oF)]],TU_DB[[Year]:[Year]],$C75,TU_DB[[Month No.]:[Month No.]],$D75,TU_DB[[Monitoring Site]:[Monitoring Site]],$D$45),"")</f>
        <v/>
      </c>
      <c r="H75" s="7"/>
      <c r="I75" s="367">
        <f t="shared" si="8"/>
        <v>67</v>
      </c>
      <c r="J75" s="367">
        <f t="shared" si="9"/>
        <v>4</v>
      </c>
      <c r="K75" s="367">
        <f t="shared" si="10"/>
        <v>5</v>
      </c>
      <c r="L75" s="367">
        <f t="shared" si="11"/>
        <v>24</v>
      </c>
      <c r="M75" s="7"/>
      <c r="N75" s="7"/>
      <c r="T75" s="7"/>
      <c r="U75" s="7"/>
      <c r="V75" s="7"/>
      <c r="W75" s="7"/>
      <c r="X75"/>
      <c r="Y75"/>
      <c r="AA75"/>
      <c r="AB75"/>
      <c r="AC75"/>
      <c r="AD75"/>
      <c r="AE75"/>
      <c r="AF75"/>
      <c r="AG75"/>
      <c r="AJ75"/>
      <c r="AK75"/>
      <c r="AL75"/>
      <c r="AM75"/>
      <c r="AN75"/>
      <c r="AS75"/>
      <c r="AT75"/>
      <c r="AU75"/>
      <c r="AV75"/>
      <c r="AW75"/>
      <c r="AX75"/>
      <c r="AY75"/>
      <c r="AZ75"/>
      <c r="BA75"/>
      <c r="BB75"/>
      <c r="BC75"/>
      <c r="BD75"/>
    </row>
    <row r="76" spans="2:56" x14ac:dyDescent="0.25">
      <c r="B76" s="359">
        <v>44682</v>
      </c>
      <c r="C76">
        <f t="shared" si="6"/>
        <v>2022</v>
      </c>
      <c r="D76" s="7">
        <f t="shared" si="7"/>
        <v>5</v>
      </c>
      <c r="E76" s="49">
        <f>COUNTIFS(TU_DB[[Water Temperature (oF)]:[Water Temperature (oF)]],"&gt;="&amp;32,TU_DB[[Year]:[Year]],$C76,TU_DB[[Month No.]:[Month No.]],$D76,TU_DB[[Monitoring Site]:[Monitoring Site]],$D$45)</f>
        <v>0</v>
      </c>
      <c r="F76" s="347" t="str">
        <f>IF(E76&gt;0,AVERAGEIFS(TU_DB[[Water Temperature (oF)]:[Water Temperature (oF)]],TU_DB[[Year]:[Year]],$C76,TU_DB[[Month No.]:[Month No.]],$D76,TU_DB[[Monitoring Site]:[Monitoring Site]],$D$45),"")</f>
        <v/>
      </c>
      <c r="G76" s="347" t="str">
        <f>IF(E76&gt;0,_xlfn.MAXIFS(TU_DB[[Water Temperature (oF)]:[Water Temperature (oF)]],TU_DB[[Year]:[Year]],$C76,TU_DB[[Month No.]:[Month No.]],$D76,TU_DB[[Monitoring Site]:[Monitoring Site]],$D$45),"")</f>
        <v/>
      </c>
      <c r="H76" s="7"/>
      <c r="I76" s="367">
        <f t="shared" si="8"/>
        <v>67</v>
      </c>
      <c r="J76" s="367">
        <f t="shared" si="9"/>
        <v>4</v>
      </c>
      <c r="K76" s="367">
        <f t="shared" si="10"/>
        <v>5</v>
      </c>
      <c r="L76" s="367">
        <f t="shared" si="11"/>
        <v>24</v>
      </c>
      <c r="M76" s="7"/>
      <c r="N76" s="7"/>
      <c r="T76" s="7"/>
      <c r="U76" s="7"/>
      <c r="V76" s="7"/>
      <c r="W76" s="7"/>
      <c r="X76"/>
      <c r="Y76"/>
      <c r="AA76"/>
      <c r="AB76"/>
      <c r="AC76"/>
      <c r="AD76"/>
      <c r="AE76"/>
      <c r="AF76"/>
      <c r="AG76"/>
      <c r="AJ76"/>
      <c r="AK76"/>
      <c r="AL76"/>
      <c r="AM76"/>
      <c r="AN76"/>
      <c r="AS76"/>
      <c r="AT76"/>
      <c r="AU76"/>
      <c r="AV76"/>
      <c r="AW76"/>
      <c r="AX76"/>
      <c r="AY76"/>
      <c r="AZ76"/>
      <c r="BA76"/>
      <c r="BB76"/>
      <c r="BC76"/>
      <c r="BD76"/>
    </row>
    <row r="77" spans="2:56" ht="16.5" customHeight="1" x14ac:dyDescent="0.25">
      <c r="B77" s="359">
        <v>44713</v>
      </c>
      <c r="C77">
        <f t="shared" si="6"/>
        <v>2022</v>
      </c>
      <c r="D77" s="7">
        <f t="shared" si="7"/>
        <v>6</v>
      </c>
      <c r="E77" s="49">
        <f>COUNTIFS(TU_DB[[Water Temperature (oF)]:[Water Temperature (oF)]],"&gt;="&amp;32,TU_DB[[Year]:[Year]],$C77,TU_DB[[Month No.]:[Month No.]],$D77,TU_DB[[Monitoring Site]:[Monitoring Site]],$D$45)</f>
        <v>1</v>
      </c>
      <c r="F77" s="347">
        <f>IF(E77&gt;0,AVERAGEIFS(TU_DB[[Water Temperature (oF)]:[Water Temperature (oF)]],TU_DB[[Year]:[Year]],$C77,TU_DB[[Month No.]:[Month No.]],$D77,TU_DB[[Monitoring Site]:[Monitoring Site]],$D$45),"")</f>
        <v>65</v>
      </c>
      <c r="G77" s="347">
        <f>IF(E77&gt;0,_xlfn.MAXIFS(TU_DB[[Water Temperature (oF)]:[Water Temperature (oF)]],TU_DB[[Year]:[Year]],$C77,TU_DB[[Month No.]:[Month No.]],$D77,TU_DB[[Monitoring Site]:[Monitoring Site]],$D$45),"")</f>
        <v>65</v>
      </c>
      <c r="H77" s="7"/>
      <c r="I77" s="367">
        <f t="shared" si="8"/>
        <v>67</v>
      </c>
      <c r="J77" s="367">
        <f t="shared" si="9"/>
        <v>4</v>
      </c>
      <c r="K77" s="367">
        <f t="shared" si="10"/>
        <v>5</v>
      </c>
      <c r="L77" s="367">
        <f t="shared" si="11"/>
        <v>24</v>
      </c>
      <c r="M77" s="7"/>
      <c r="N77" s="7"/>
      <c r="T77" s="7"/>
      <c r="U77" s="7"/>
      <c r="V77" s="7"/>
      <c r="W77" s="7"/>
      <c r="X77"/>
      <c r="Y77"/>
      <c r="AA77"/>
      <c r="AB77"/>
      <c r="AC77"/>
      <c r="AD77"/>
      <c r="AE77"/>
      <c r="AF77"/>
      <c r="AG77"/>
      <c r="AJ77"/>
      <c r="AK77"/>
      <c r="AL77"/>
      <c r="AM77"/>
      <c r="AN77"/>
      <c r="AS77"/>
      <c r="AT77"/>
      <c r="AU77"/>
      <c r="AV77"/>
      <c r="AW77"/>
      <c r="AX77"/>
      <c r="AY77"/>
      <c r="AZ77"/>
      <c r="BA77"/>
      <c r="BB77"/>
      <c r="BC77"/>
      <c r="BD77"/>
    </row>
    <row r="78" spans="2:56" x14ac:dyDescent="0.25">
      <c r="B78" s="359">
        <v>44743</v>
      </c>
      <c r="C78">
        <f t="shared" si="6"/>
        <v>2022</v>
      </c>
      <c r="D78" s="7">
        <f t="shared" si="7"/>
        <v>7</v>
      </c>
      <c r="E78" s="49">
        <f>COUNTIFS(TU_DB[[Water Temperature (oF)]:[Water Temperature (oF)]],"&gt;="&amp;32,TU_DB[[Year]:[Year]],$C78,TU_DB[[Month No.]:[Month No.]],$D78,TU_DB[[Monitoring Site]:[Monitoring Site]],$D$45)</f>
        <v>0</v>
      </c>
      <c r="F78" s="347" t="str">
        <f>IF(E78&gt;0,AVERAGEIFS(TU_DB[[Water Temperature (oF)]:[Water Temperature (oF)]],TU_DB[[Year]:[Year]],$C78,TU_DB[[Month No.]:[Month No.]],$D78,TU_DB[[Monitoring Site]:[Monitoring Site]],$D$45),"")</f>
        <v/>
      </c>
      <c r="G78" s="347" t="str">
        <f>IF(E78&gt;0,_xlfn.MAXIFS(TU_DB[[Water Temperature (oF)]:[Water Temperature (oF)]],TU_DB[[Year]:[Year]],$C78,TU_DB[[Month No.]:[Month No.]],$D78,TU_DB[[Monitoring Site]:[Monitoring Site]],$D$45),"")</f>
        <v/>
      </c>
      <c r="H78" s="7"/>
      <c r="I78" s="367">
        <f t="shared" si="8"/>
        <v>67</v>
      </c>
      <c r="J78" s="367">
        <f t="shared" si="9"/>
        <v>4</v>
      </c>
      <c r="K78" s="367">
        <f t="shared" si="10"/>
        <v>5</v>
      </c>
      <c r="L78" s="367">
        <f t="shared" si="11"/>
        <v>24</v>
      </c>
      <c r="M78" s="7"/>
      <c r="N78" s="7"/>
      <c r="T78" s="7"/>
      <c r="U78" s="7"/>
      <c r="V78" s="7"/>
      <c r="W78" s="7"/>
      <c r="X78"/>
      <c r="Y78"/>
      <c r="AA78"/>
      <c r="AB78"/>
      <c r="AC78"/>
      <c r="AD78"/>
      <c r="AE78"/>
      <c r="AF78"/>
      <c r="AG78"/>
      <c r="AJ78"/>
      <c r="AK78"/>
      <c r="AL78"/>
      <c r="AM78"/>
      <c r="AN78"/>
      <c r="AS78"/>
      <c r="AT78"/>
      <c r="AU78"/>
      <c r="AV78"/>
      <c r="AW78"/>
      <c r="AX78"/>
      <c r="AY78"/>
      <c r="AZ78"/>
      <c r="BA78"/>
      <c r="BB78"/>
      <c r="BC78"/>
      <c r="BD78"/>
    </row>
    <row r="79" spans="2:56" x14ac:dyDescent="0.25">
      <c r="B79" s="359">
        <v>44774</v>
      </c>
      <c r="C79">
        <f t="shared" si="6"/>
        <v>2022</v>
      </c>
      <c r="D79" s="7">
        <f t="shared" si="7"/>
        <v>8</v>
      </c>
      <c r="E79" s="49">
        <f>COUNTIFS(TU_DB[[Water Temperature (oF)]:[Water Temperature (oF)]],"&gt;="&amp;32,TU_DB[[Year]:[Year]],$C79,TU_DB[[Month No.]:[Month No.]],$D79,TU_DB[[Monitoring Site]:[Monitoring Site]],$D$45)</f>
        <v>1</v>
      </c>
      <c r="F79" s="347">
        <f>IF(E79&gt;0,AVERAGEIFS(TU_DB[[Water Temperature (oF)]:[Water Temperature (oF)]],TU_DB[[Year]:[Year]],$C79,TU_DB[[Month No.]:[Month No.]],$D79,TU_DB[[Monitoring Site]:[Monitoring Site]],$D$45),"")</f>
        <v>61</v>
      </c>
      <c r="G79" s="347">
        <f>IF(E79&gt;0,_xlfn.MAXIFS(TU_DB[[Water Temperature (oF)]:[Water Temperature (oF)]],TU_DB[[Year]:[Year]],$C79,TU_DB[[Month No.]:[Month No.]],$D79,TU_DB[[Monitoring Site]:[Monitoring Site]],$D$45),"")</f>
        <v>61</v>
      </c>
      <c r="H79" s="7"/>
      <c r="I79" s="367">
        <f t="shared" si="8"/>
        <v>67</v>
      </c>
      <c r="J79" s="367">
        <f t="shared" si="9"/>
        <v>4</v>
      </c>
      <c r="K79" s="367">
        <f t="shared" si="10"/>
        <v>5</v>
      </c>
      <c r="L79" s="367">
        <f t="shared" si="11"/>
        <v>24</v>
      </c>
      <c r="M79" s="7"/>
      <c r="N79" s="7"/>
      <c r="T79" s="7"/>
      <c r="U79" s="7"/>
      <c r="V79" s="7"/>
      <c r="W79" s="7"/>
      <c r="X79"/>
      <c r="Y79"/>
      <c r="AA79"/>
      <c r="AB79"/>
      <c r="AC79"/>
      <c r="AD79"/>
      <c r="AE79"/>
      <c r="AF79"/>
      <c r="AG79"/>
      <c r="AJ79"/>
      <c r="AK79"/>
      <c r="AL79"/>
      <c r="AM79"/>
      <c r="AN79"/>
      <c r="AS79"/>
      <c r="AT79"/>
      <c r="AU79"/>
      <c r="AV79"/>
      <c r="AW79"/>
      <c r="AX79"/>
      <c r="AY79"/>
      <c r="AZ79"/>
      <c r="BA79"/>
      <c r="BB79"/>
      <c r="BC79"/>
      <c r="BD79"/>
    </row>
    <row r="80" spans="2:56" x14ac:dyDescent="0.25">
      <c r="B80" s="359">
        <v>44805</v>
      </c>
      <c r="C80">
        <f t="shared" si="6"/>
        <v>2022</v>
      </c>
      <c r="D80" s="7">
        <f t="shared" si="7"/>
        <v>9</v>
      </c>
      <c r="E80" s="49">
        <f>COUNTIFS(TU_DB[[Water Temperature (oF)]:[Water Temperature (oF)]],"&gt;="&amp;32,TU_DB[[Year]:[Year]],$C80,TU_DB[[Month No.]:[Month No.]],$D80,TU_DB[[Monitoring Site]:[Monitoring Site]],$D$45)</f>
        <v>0</v>
      </c>
      <c r="F80" s="347" t="str">
        <f>IF(E80&gt;0,AVERAGEIFS(TU_DB[[Water Temperature (oF)]:[Water Temperature (oF)]],TU_DB[[Year]:[Year]],$C80,TU_DB[[Month No.]:[Month No.]],$D80,TU_DB[[Monitoring Site]:[Monitoring Site]],$D$45),"")</f>
        <v/>
      </c>
      <c r="G80" s="347" t="str">
        <f>IF(E80&gt;0,_xlfn.MAXIFS(TU_DB[[Water Temperature (oF)]:[Water Temperature (oF)]],TU_DB[[Year]:[Year]],$C80,TU_DB[[Month No.]:[Month No.]],$D80,TU_DB[[Monitoring Site]:[Monitoring Site]],$D$45),"")</f>
        <v/>
      </c>
      <c r="H80" s="7"/>
      <c r="I80" s="367">
        <f t="shared" si="8"/>
        <v>67</v>
      </c>
      <c r="J80" s="367">
        <f t="shared" si="9"/>
        <v>4</v>
      </c>
      <c r="K80" s="367">
        <f t="shared" si="10"/>
        <v>5</v>
      </c>
      <c r="L80" s="367">
        <f t="shared" si="11"/>
        <v>24</v>
      </c>
      <c r="M80" s="7"/>
      <c r="N80" s="7"/>
      <c r="T80" s="7"/>
      <c r="U80" s="7"/>
      <c r="V80" s="7"/>
      <c r="W80" s="7"/>
      <c r="X80"/>
      <c r="Y80"/>
      <c r="AA80"/>
      <c r="AB80"/>
      <c r="AC80"/>
      <c r="AD80"/>
      <c r="AE80"/>
      <c r="AF80"/>
      <c r="AG80"/>
      <c r="AJ80"/>
      <c r="AK80"/>
      <c r="AL80"/>
      <c r="AM80"/>
      <c r="AN80"/>
      <c r="AS80"/>
      <c r="AT80"/>
      <c r="AU80"/>
      <c r="AV80"/>
      <c r="AW80"/>
      <c r="AX80"/>
      <c r="AY80"/>
      <c r="AZ80"/>
      <c r="BA80"/>
      <c r="BB80"/>
      <c r="BC80"/>
      <c r="BD80"/>
    </row>
    <row r="81" spans="2:56" x14ac:dyDescent="0.25">
      <c r="B81" s="359">
        <v>44835</v>
      </c>
      <c r="C81">
        <f t="shared" si="6"/>
        <v>2022</v>
      </c>
      <c r="D81" s="7">
        <f t="shared" si="7"/>
        <v>10</v>
      </c>
      <c r="E81" s="49">
        <f>COUNTIFS(TU_DB[[Water Temperature (oF)]:[Water Temperature (oF)]],"&gt;="&amp;32,TU_DB[[Year]:[Year]],$C81,TU_DB[[Month No.]:[Month No.]],$D81,TU_DB[[Monitoring Site]:[Monitoring Site]],$D$45)</f>
        <v>1</v>
      </c>
      <c r="F81" s="347">
        <f>IF(E81&gt;0,AVERAGEIFS(TU_DB[[Water Temperature (oF)]:[Water Temperature (oF)]],TU_DB[[Year]:[Year]],$C81,TU_DB[[Month No.]:[Month No.]],$D81,TU_DB[[Monitoring Site]:[Monitoring Site]],$D$45),"")</f>
        <v>48</v>
      </c>
      <c r="G81" s="347">
        <f>IF(E81&gt;0,_xlfn.MAXIFS(TU_DB[[Water Temperature (oF)]:[Water Temperature (oF)]],TU_DB[[Year]:[Year]],$C81,TU_DB[[Month No.]:[Month No.]],$D81,TU_DB[[Monitoring Site]:[Monitoring Site]],$D$45),"")</f>
        <v>48</v>
      </c>
      <c r="H81" s="7"/>
      <c r="I81" s="367">
        <f t="shared" si="8"/>
        <v>67</v>
      </c>
      <c r="J81" s="367">
        <f t="shared" si="9"/>
        <v>4</v>
      </c>
      <c r="K81" s="367">
        <f t="shared" si="10"/>
        <v>5</v>
      </c>
      <c r="L81" s="367">
        <f t="shared" si="11"/>
        <v>24</v>
      </c>
      <c r="M81" s="7"/>
      <c r="N81" s="7"/>
      <c r="T81" s="7"/>
      <c r="U81" s="7"/>
      <c r="V81" s="7"/>
      <c r="W81" s="7"/>
      <c r="X81"/>
      <c r="Y81"/>
      <c r="AA81"/>
      <c r="AB81"/>
      <c r="AC81"/>
      <c r="AD81"/>
      <c r="AE81"/>
      <c r="AF81"/>
      <c r="AG81"/>
      <c r="AJ81"/>
      <c r="AK81"/>
      <c r="AL81"/>
      <c r="AM81"/>
      <c r="AN81"/>
      <c r="AS81"/>
      <c r="AT81"/>
      <c r="AU81"/>
      <c r="AV81"/>
      <c r="AW81"/>
      <c r="AX81"/>
      <c r="AY81"/>
      <c r="AZ81"/>
      <c r="BA81"/>
      <c r="BB81"/>
      <c r="BC81"/>
      <c r="BD81"/>
    </row>
    <row r="82" spans="2:56" x14ac:dyDescent="0.25">
      <c r="B82" s="359">
        <v>44866</v>
      </c>
      <c r="C82">
        <f t="shared" si="6"/>
        <v>2022</v>
      </c>
      <c r="D82" s="7">
        <f t="shared" si="7"/>
        <v>11</v>
      </c>
      <c r="E82" s="49">
        <f>COUNTIFS(TU_DB[[Water Temperature (oF)]:[Water Temperature (oF)]],"&gt;="&amp;32,TU_DB[[Year]:[Year]],$C82,TU_DB[[Month No.]:[Month No.]],$D82,TU_DB[[Monitoring Site]:[Monitoring Site]],$D$45)</f>
        <v>0</v>
      </c>
      <c r="F82" s="347" t="str">
        <f>IF(E82&gt;0,AVERAGEIFS(TU_DB[[Water Temperature (oF)]:[Water Temperature (oF)]],TU_DB[[Year]:[Year]],$C82,TU_DB[[Month No.]:[Month No.]],$D82,TU_DB[[Monitoring Site]:[Monitoring Site]],$D$45),"")</f>
        <v/>
      </c>
      <c r="G82" s="347" t="str">
        <f>IF(E82&gt;0,_xlfn.MAXIFS(TU_DB[[Water Temperature (oF)]:[Water Temperature (oF)]],TU_DB[[Year]:[Year]],$C82,TU_DB[[Month No.]:[Month No.]],$D82,TU_DB[[Monitoring Site]:[Monitoring Site]],$D$45),"")</f>
        <v/>
      </c>
      <c r="H82" s="7"/>
      <c r="I82" s="367">
        <f t="shared" si="8"/>
        <v>67</v>
      </c>
      <c r="J82" s="367">
        <f t="shared" si="9"/>
        <v>4</v>
      </c>
      <c r="K82" s="367">
        <f t="shared" si="10"/>
        <v>5</v>
      </c>
      <c r="L82" s="367">
        <f t="shared" si="11"/>
        <v>24</v>
      </c>
      <c r="M82" s="7"/>
      <c r="N82" s="7"/>
      <c r="T82" s="7"/>
      <c r="U82" s="7"/>
      <c r="V82" s="7"/>
      <c r="W82" s="7"/>
      <c r="X82"/>
      <c r="Y82"/>
      <c r="AA82"/>
      <c r="AB82"/>
      <c r="AC82"/>
      <c r="AD82"/>
      <c r="AE82"/>
      <c r="AF82"/>
      <c r="AG82"/>
      <c r="AJ82"/>
      <c r="AK82"/>
      <c r="AL82"/>
      <c r="AM82"/>
      <c r="AN82"/>
      <c r="AS82"/>
      <c r="AT82"/>
      <c r="AU82"/>
      <c r="AV82"/>
      <c r="AW82"/>
      <c r="AX82"/>
      <c r="AY82"/>
      <c r="AZ82"/>
      <c r="BA82"/>
      <c r="BB82"/>
      <c r="BC82"/>
      <c r="BD82"/>
    </row>
    <row r="83" spans="2:56" x14ac:dyDescent="0.25">
      <c r="B83" s="359">
        <v>44896</v>
      </c>
      <c r="C83">
        <f t="shared" si="6"/>
        <v>2022</v>
      </c>
      <c r="D83" s="7">
        <f t="shared" si="7"/>
        <v>12</v>
      </c>
      <c r="E83" s="49">
        <f>COUNTIFS(TU_DB[[Water Temperature (oF)]:[Water Temperature (oF)]],"&gt;="&amp;32,TU_DB[[Year]:[Year]],$C83,TU_DB[[Month No.]:[Month No.]],$D83,TU_DB[[Monitoring Site]:[Monitoring Site]],$D$45)</f>
        <v>0</v>
      </c>
      <c r="F83" s="347" t="str">
        <f>IF(E83&gt;0,AVERAGEIFS(TU_DB[[Water Temperature (oF)]:[Water Temperature (oF)]],TU_DB[[Year]:[Year]],$C83,TU_DB[[Month No.]:[Month No.]],$D83,TU_DB[[Monitoring Site]:[Monitoring Site]],$D$45),"")</f>
        <v/>
      </c>
      <c r="G83" s="347" t="str">
        <f>IF(E83&gt;0,_xlfn.MAXIFS(TU_DB[[Water Temperature (oF)]:[Water Temperature (oF)]],TU_DB[[Year]:[Year]],$C83,TU_DB[[Month No.]:[Month No.]],$D83,TU_DB[[Monitoring Site]:[Monitoring Site]],$D$45),"")</f>
        <v/>
      </c>
      <c r="H83" s="7"/>
      <c r="I83" s="367">
        <f t="shared" si="8"/>
        <v>67</v>
      </c>
      <c r="J83" s="367">
        <f t="shared" si="9"/>
        <v>4</v>
      </c>
      <c r="K83" s="367">
        <f t="shared" si="10"/>
        <v>5</v>
      </c>
      <c r="L83" s="367">
        <f t="shared" si="11"/>
        <v>24</v>
      </c>
      <c r="M83" s="7"/>
      <c r="N83" s="7"/>
      <c r="T83" s="7"/>
      <c r="U83" s="7"/>
      <c r="V83" s="7"/>
      <c r="W83" s="7"/>
      <c r="X83"/>
      <c r="Y83"/>
      <c r="AA83"/>
      <c r="AB83"/>
      <c r="AC83"/>
      <c r="AD83"/>
      <c r="AE83"/>
      <c r="AF83"/>
      <c r="AG83"/>
      <c r="AJ83"/>
      <c r="AK83"/>
      <c r="AL83"/>
      <c r="AM83"/>
      <c r="AN83"/>
      <c r="AS83"/>
      <c r="AT83"/>
      <c r="AU83"/>
      <c r="AV83"/>
      <c r="AW83"/>
      <c r="AX83"/>
      <c r="AY83"/>
      <c r="AZ83"/>
      <c r="BA83"/>
      <c r="BB83"/>
      <c r="BC83"/>
      <c r="BD83"/>
    </row>
    <row r="84" spans="2:56" x14ac:dyDescent="0.25">
      <c r="B84" s="359">
        <v>44927</v>
      </c>
      <c r="C84">
        <f t="shared" si="6"/>
        <v>2023</v>
      </c>
      <c r="D84" s="7">
        <f t="shared" si="7"/>
        <v>1</v>
      </c>
      <c r="E84" s="49">
        <f>COUNTIFS(TU_DB[[Water Temperature (oF)]:[Water Temperature (oF)]],"&gt;="&amp;32,TU_DB[[Year]:[Year]],$C84,TU_DB[[Month No.]:[Month No.]],$D84,TU_DB[[Monitoring Site]:[Monitoring Site]],$D$45)</f>
        <v>0</v>
      </c>
      <c r="F84" s="347" t="str">
        <f>IF(E84&gt;0,AVERAGEIFS(TU_DB[[Water Temperature (oF)]:[Water Temperature (oF)]],TU_DB[[Year]:[Year]],$C84,TU_DB[[Month No.]:[Month No.]],$D84,TU_DB[[Monitoring Site]:[Monitoring Site]],$D$45),"")</f>
        <v/>
      </c>
      <c r="G84" s="347" t="str">
        <f>IF(E84&gt;0,_xlfn.MAXIFS(TU_DB[[Water Temperature (oF)]:[Water Temperature (oF)]],TU_DB[[Year]:[Year]],$C84,TU_DB[[Month No.]:[Month No.]],$D84,TU_DB[[Monitoring Site]:[Monitoring Site]],$D$45),"")</f>
        <v/>
      </c>
      <c r="H84" s="7"/>
      <c r="I84" s="367">
        <f t="shared" si="8"/>
        <v>67</v>
      </c>
      <c r="J84" s="367">
        <f t="shared" si="9"/>
        <v>4</v>
      </c>
      <c r="K84" s="367">
        <f t="shared" si="10"/>
        <v>5</v>
      </c>
      <c r="L84" s="367">
        <f t="shared" si="11"/>
        <v>24</v>
      </c>
      <c r="M84" s="7"/>
      <c r="N84" s="7"/>
      <c r="U84" s="7"/>
      <c r="V84" s="7"/>
      <c r="W84" s="7"/>
      <c r="X84"/>
      <c r="Y84"/>
      <c r="AA84"/>
      <c r="AB84"/>
      <c r="AC84"/>
      <c r="AD84"/>
      <c r="AE84"/>
      <c r="AF84"/>
      <c r="AG84"/>
      <c r="AJ84"/>
      <c r="AK84"/>
      <c r="AL84"/>
      <c r="AM84"/>
      <c r="AN84"/>
      <c r="AS84"/>
      <c r="AT84"/>
      <c r="AU84"/>
      <c r="AV84"/>
      <c r="AW84"/>
      <c r="AX84"/>
      <c r="AY84"/>
      <c r="AZ84"/>
      <c r="BA84"/>
      <c r="BB84"/>
      <c r="BC84"/>
      <c r="BD84"/>
    </row>
    <row r="85" spans="2:56" x14ac:dyDescent="0.25">
      <c r="B85" s="359">
        <v>44958</v>
      </c>
      <c r="C85">
        <f t="shared" si="6"/>
        <v>2023</v>
      </c>
      <c r="D85" s="7">
        <f t="shared" si="7"/>
        <v>2</v>
      </c>
      <c r="E85" s="49">
        <f>COUNTIFS(TU_DB[[Water Temperature (oF)]:[Water Temperature (oF)]],"&gt;="&amp;32,TU_DB[[Year]:[Year]],$C85,TU_DB[[Month No.]:[Month No.]],$D85,TU_DB[[Monitoring Site]:[Monitoring Site]],$D$45)</f>
        <v>0</v>
      </c>
      <c r="F85" s="347" t="str">
        <f>IF(E85&gt;0,AVERAGEIFS(TU_DB[[Water Temperature (oF)]:[Water Temperature (oF)]],TU_DB[[Year]:[Year]],$C85,TU_DB[[Month No.]:[Month No.]],$D85,TU_DB[[Monitoring Site]:[Monitoring Site]],$D$45),"")</f>
        <v/>
      </c>
      <c r="G85" s="347" t="str">
        <f>IF(E85&gt;0,_xlfn.MAXIFS(TU_DB[[Water Temperature (oF)]:[Water Temperature (oF)]],TU_DB[[Year]:[Year]],$C85,TU_DB[[Month No.]:[Month No.]],$D85,TU_DB[[Monitoring Site]:[Monitoring Site]],$D$45),"")</f>
        <v/>
      </c>
      <c r="H85" s="7"/>
      <c r="I85" s="367">
        <f t="shared" si="8"/>
        <v>67</v>
      </c>
      <c r="J85" s="367">
        <f t="shared" si="9"/>
        <v>4</v>
      </c>
      <c r="K85" s="367">
        <f t="shared" si="10"/>
        <v>5</v>
      </c>
      <c r="L85" s="367">
        <f t="shared" si="11"/>
        <v>24</v>
      </c>
      <c r="M85" s="7"/>
      <c r="N85" s="7"/>
      <c r="T85" s="7"/>
      <c r="U85" s="7"/>
      <c r="V85" s="7"/>
      <c r="W85" s="7"/>
      <c r="X85"/>
      <c r="Y85"/>
      <c r="AA85"/>
      <c r="AB85"/>
      <c r="AC85"/>
      <c r="AD85"/>
      <c r="AE85"/>
      <c r="AF85"/>
      <c r="AG85"/>
      <c r="AJ85"/>
      <c r="AK85"/>
      <c r="AL85"/>
      <c r="AM85"/>
      <c r="AN85"/>
      <c r="AS85"/>
      <c r="AT85"/>
      <c r="AU85"/>
      <c r="AV85"/>
      <c r="AW85"/>
      <c r="AX85"/>
      <c r="AY85"/>
      <c r="AZ85"/>
      <c r="BA85"/>
      <c r="BB85"/>
      <c r="BC85"/>
      <c r="BD85"/>
    </row>
    <row r="86" spans="2:56" x14ac:dyDescent="0.25">
      <c r="B86" s="359">
        <v>44986</v>
      </c>
      <c r="C86">
        <f t="shared" si="6"/>
        <v>2023</v>
      </c>
      <c r="D86" s="7">
        <f t="shared" si="7"/>
        <v>3</v>
      </c>
      <c r="E86" s="49">
        <f>COUNTIFS(TU_DB[[Water Temperature (oF)]:[Water Temperature (oF)]],"&gt;="&amp;32,TU_DB[[Year]:[Year]],$C86,TU_DB[[Month No.]:[Month No.]],$D86,TU_DB[[Monitoring Site]:[Monitoring Site]],$D$45)</f>
        <v>0</v>
      </c>
      <c r="F86" s="347" t="str">
        <f>IF(E86&gt;0,AVERAGEIFS(TU_DB[[Water Temperature (oF)]:[Water Temperature (oF)]],TU_DB[[Year]:[Year]],$C86,TU_DB[[Month No.]:[Month No.]],$D86,TU_DB[[Monitoring Site]:[Monitoring Site]],$D$45),"")</f>
        <v/>
      </c>
      <c r="G86" s="347" t="str">
        <f>IF(E86&gt;0,_xlfn.MAXIFS(TU_DB[[Water Temperature (oF)]:[Water Temperature (oF)]],TU_DB[[Year]:[Year]],$C86,TU_DB[[Month No.]:[Month No.]],$D86,TU_DB[[Monitoring Site]:[Monitoring Site]],$D$45),"")</f>
        <v/>
      </c>
      <c r="H86" s="7"/>
      <c r="I86" s="367">
        <f t="shared" si="8"/>
        <v>67</v>
      </c>
      <c r="J86" s="367">
        <f t="shared" si="9"/>
        <v>4</v>
      </c>
      <c r="K86" s="367">
        <f t="shared" si="10"/>
        <v>5</v>
      </c>
      <c r="L86" s="367">
        <f t="shared" si="11"/>
        <v>24</v>
      </c>
      <c r="M86" s="7"/>
      <c r="N86" s="7"/>
      <c r="T86" s="7"/>
      <c r="U86" s="7"/>
      <c r="V86" s="7"/>
      <c r="W86" s="7"/>
      <c r="X86"/>
      <c r="Y86"/>
      <c r="AA86"/>
      <c r="AB86"/>
      <c r="AC86"/>
      <c r="AD86"/>
      <c r="AE86"/>
      <c r="AF86"/>
      <c r="AG86"/>
      <c r="AJ86"/>
      <c r="AK86"/>
      <c r="AL86"/>
      <c r="AM86"/>
      <c r="AN86"/>
      <c r="AS86"/>
      <c r="AT86"/>
      <c r="AU86"/>
      <c r="AV86"/>
      <c r="AW86"/>
      <c r="AX86"/>
      <c r="AY86"/>
      <c r="AZ86"/>
      <c r="BA86"/>
      <c r="BB86"/>
      <c r="BC86"/>
      <c r="BD86"/>
    </row>
    <row r="87" spans="2:56" x14ac:dyDescent="0.25">
      <c r="B87" s="359">
        <v>45017</v>
      </c>
      <c r="C87">
        <f t="shared" si="6"/>
        <v>2023</v>
      </c>
      <c r="D87" s="7">
        <f t="shared" si="7"/>
        <v>4</v>
      </c>
      <c r="E87" s="49">
        <f>COUNTIFS(TU_DB[[Water Temperature (oF)]:[Water Temperature (oF)]],"&gt;="&amp;32,TU_DB[[Year]:[Year]],$C87,TU_DB[[Month No.]:[Month No.]],$D87,TU_DB[[Monitoring Site]:[Monitoring Site]],$D$45)</f>
        <v>0</v>
      </c>
      <c r="F87" s="347" t="str">
        <f>IF(E87&gt;0,AVERAGEIFS(TU_DB[[Water Temperature (oF)]:[Water Temperature (oF)]],TU_DB[[Year]:[Year]],$C87,TU_DB[[Month No.]:[Month No.]],$D87,TU_DB[[Monitoring Site]:[Monitoring Site]],$D$45),"")</f>
        <v/>
      </c>
      <c r="G87" s="347" t="str">
        <f>IF(E87&gt;0,_xlfn.MAXIFS(TU_DB[[Water Temperature (oF)]:[Water Temperature (oF)]],TU_DB[[Year]:[Year]],$C87,TU_DB[[Month No.]:[Month No.]],$D87,TU_DB[[Monitoring Site]:[Monitoring Site]],$D$45),"")</f>
        <v/>
      </c>
      <c r="H87" s="7"/>
      <c r="I87" s="367">
        <f t="shared" si="8"/>
        <v>67</v>
      </c>
      <c r="J87" s="367">
        <f t="shared" si="9"/>
        <v>4</v>
      </c>
      <c r="K87" s="367">
        <f t="shared" si="10"/>
        <v>5</v>
      </c>
      <c r="L87" s="367">
        <f t="shared" si="11"/>
        <v>24</v>
      </c>
      <c r="M87" s="7"/>
      <c r="N87" s="7"/>
      <c r="T87" s="7"/>
      <c r="U87" s="7"/>
      <c r="V87" s="7"/>
      <c r="W87" s="7"/>
      <c r="X87"/>
      <c r="Y87"/>
      <c r="AA87"/>
      <c r="AB87"/>
      <c r="AC87"/>
      <c r="AD87"/>
      <c r="AE87"/>
      <c r="AF87"/>
      <c r="AG87"/>
      <c r="AJ87"/>
      <c r="AK87"/>
      <c r="AL87"/>
      <c r="AM87"/>
      <c r="AN87"/>
      <c r="AS87"/>
      <c r="AT87"/>
      <c r="AU87"/>
      <c r="AV87"/>
      <c r="AW87"/>
      <c r="AX87"/>
      <c r="AY87"/>
      <c r="AZ87"/>
      <c r="BA87"/>
      <c r="BB87"/>
      <c r="BC87"/>
      <c r="BD87"/>
    </row>
    <row r="88" spans="2:56" x14ac:dyDescent="0.25">
      <c r="B88" s="359">
        <v>45047</v>
      </c>
      <c r="C88">
        <f t="shared" si="6"/>
        <v>2023</v>
      </c>
      <c r="D88" s="7">
        <f t="shared" si="7"/>
        <v>5</v>
      </c>
      <c r="E88" s="49">
        <f>COUNTIFS(TU_DB[[Water Temperature (oF)]:[Water Temperature (oF)]],"&gt;="&amp;32,TU_DB[[Year]:[Year]],$C88,TU_DB[[Month No.]:[Month No.]],$D88,TU_DB[[Monitoring Site]:[Monitoring Site]],$D$45)</f>
        <v>1</v>
      </c>
      <c r="F88" s="347">
        <f>IF(E88&gt;0,AVERAGEIFS(TU_DB[[Water Temperature (oF)]:[Water Temperature (oF)]],TU_DB[[Year]:[Year]],$C88,TU_DB[[Month No.]:[Month No.]],$D88,TU_DB[[Monitoring Site]:[Monitoring Site]],$D$45),"")</f>
        <v>58</v>
      </c>
      <c r="G88" s="347">
        <f>IF(E88&gt;0,_xlfn.MAXIFS(TU_DB[[Water Temperature (oF)]:[Water Temperature (oF)]],TU_DB[[Year]:[Year]],$C88,TU_DB[[Month No.]:[Month No.]],$D88,TU_DB[[Monitoring Site]:[Monitoring Site]],$D$45),"")</f>
        <v>58</v>
      </c>
      <c r="H88" s="7"/>
      <c r="I88" s="367">
        <f t="shared" si="8"/>
        <v>67</v>
      </c>
      <c r="J88" s="367">
        <f t="shared" si="9"/>
        <v>4</v>
      </c>
      <c r="K88" s="367">
        <f t="shared" si="10"/>
        <v>5</v>
      </c>
      <c r="L88" s="367">
        <f t="shared" si="11"/>
        <v>24</v>
      </c>
      <c r="M88" s="7"/>
      <c r="N88" s="7"/>
      <c r="T88" s="7"/>
      <c r="U88" s="7"/>
      <c r="V88" s="7"/>
      <c r="W88" s="7"/>
      <c r="X88"/>
      <c r="Y88"/>
      <c r="AA88"/>
      <c r="AB88"/>
      <c r="AC88"/>
      <c r="AD88"/>
      <c r="AE88"/>
      <c r="AF88"/>
      <c r="AG88"/>
      <c r="AJ88"/>
      <c r="AK88"/>
      <c r="AL88"/>
      <c r="AM88"/>
      <c r="AN88"/>
      <c r="AS88"/>
      <c r="AT88"/>
      <c r="AU88"/>
      <c r="AV88"/>
      <c r="AW88"/>
      <c r="AX88"/>
      <c r="AY88"/>
      <c r="AZ88"/>
      <c r="BA88"/>
      <c r="BB88"/>
      <c r="BC88"/>
      <c r="BD88"/>
    </row>
    <row r="89" spans="2:56" x14ac:dyDescent="0.25">
      <c r="B89" s="359">
        <v>45078</v>
      </c>
      <c r="C89">
        <f t="shared" si="6"/>
        <v>2023</v>
      </c>
      <c r="D89" s="7">
        <f t="shared" si="7"/>
        <v>6</v>
      </c>
      <c r="E89" s="49">
        <f>COUNTIFS(TU_DB[[Water Temperature (oF)]:[Water Temperature (oF)]],"&gt;="&amp;32,TU_DB[[Year]:[Year]],$C89,TU_DB[[Month No.]:[Month No.]],$D89,TU_DB[[Monitoring Site]:[Monitoring Site]],$D$45)</f>
        <v>0</v>
      </c>
      <c r="F89" s="347" t="str">
        <f>IF(E89&gt;0,AVERAGEIFS(TU_DB[[Water Temperature (oF)]:[Water Temperature (oF)]],TU_DB[[Year]:[Year]],$C89,TU_DB[[Month No.]:[Month No.]],$D89,TU_DB[[Monitoring Site]:[Monitoring Site]],$D$45),"")</f>
        <v/>
      </c>
      <c r="G89" s="347" t="str">
        <f>IF(E89&gt;0,_xlfn.MAXIFS(TU_DB[[Water Temperature (oF)]:[Water Temperature (oF)]],TU_DB[[Year]:[Year]],$C89,TU_DB[[Month No.]:[Month No.]],$D89,TU_DB[[Monitoring Site]:[Monitoring Site]],$D$45),"")</f>
        <v/>
      </c>
      <c r="H89" s="7"/>
      <c r="I89" s="367">
        <f t="shared" si="8"/>
        <v>67</v>
      </c>
      <c r="J89" s="367">
        <f t="shared" si="9"/>
        <v>4</v>
      </c>
      <c r="K89" s="367">
        <f t="shared" si="10"/>
        <v>5</v>
      </c>
      <c r="L89" s="367">
        <f t="shared" si="11"/>
        <v>24</v>
      </c>
      <c r="M89" s="7"/>
      <c r="N89" s="7"/>
      <c r="T89" s="7"/>
      <c r="U89" s="7"/>
      <c r="V89" s="7"/>
      <c r="W89" s="7"/>
      <c r="X89"/>
      <c r="Y89"/>
      <c r="AA89"/>
      <c r="AB89"/>
      <c r="AC89"/>
      <c r="AD89"/>
      <c r="AE89"/>
      <c r="AF89"/>
      <c r="AG89"/>
      <c r="AJ89"/>
      <c r="AK89"/>
      <c r="AL89"/>
      <c r="AM89"/>
      <c r="AN89"/>
      <c r="AS89"/>
      <c r="AT89"/>
      <c r="AU89"/>
      <c r="AV89"/>
      <c r="AW89"/>
      <c r="AX89"/>
      <c r="AY89"/>
      <c r="AZ89"/>
      <c r="BA89"/>
      <c r="BB89"/>
      <c r="BC89"/>
      <c r="BD89"/>
    </row>
    <row r="90" spans="2:56" x14ac:dyDescent="0.25">
      <c r="B90" s="359">
        <v>45108</v>
      </c>
      <c r="C90">
        <f t="shared" si="6"/>
        <v>2023</v>
      </c>
      <c r="D90" s="7">
        <f t="shared" si="7"/>
        <v>7</v>
      </c>
      <c r="E90" s="49">
        <f>COUNTIFS(TU_DB[[Water Temperature (oF)]:[Water Temperature (oF)]],"&gt;="&amp;32,TU_DB[[Year]:[Year]],$C90,TU_DB[[Month No.]:[Month No.]],$D90,TU_DB[[Monitoring Site]:[Monitoring Site]],$D$45)</f>
        <v>0</v>
      </c>
      <c r="F90" s="347" t="str">
        <f>IF(E90&gt;0,AVERAGEIFS(TU_DB[[Water Temperature (oF)]:[Water Temperature (oF)]],TU_DB[[Year]:[Year]],$C90,TU_DB[[Month No.]:[Month No.]],$D90,TU_DB[[Monitoring Site]:[Monitoring Site]],$D$45),"")</f>
        <v/>
      </c>
      <c r="G90" s="347" t="str">
        <f>IF(E90&gt;0,_xlfn.MAXIFS(TU_DB[[Water Temperature (oF)]:[Water Temperature (oF)]],TU_DB[[Year]:[Year]],$C90,TU_DB[[Month No.]:[Month No.]],$D90,TU_DB[[Monitoring Site]:[Monitoring Site]],$D$45),"")</f>
        <v/>
      </c>
      <c r="H90" s="7"/>
      <c r="I90" s="367">
        <f t="shared" si="8"/>
        <v>67</v>
      </c>
      <c r="J90" s="367">
        <f t="shared" si="9"/>
        <v>4</v>
      </c>
      <c r="K90" s="367">
        <f t="shared" si="10"/>
        <v>5</v>
      </c>
      <c r="L90" s="367">
        <f t="shared" si="11"/>
        <v>24</v>
      </c>
      <c r="M90" s="7"/>
      <c r="N90" s="7"/>
      <c r="T90" s="7"/>
      <c r="U90" s="7"/>
      <c r="V90" s="7"/>
      <c r="W90" s="7"/>
      <c r="X90"/>
      <c r="Y90"/>
      <c r="AA90"/>
      <c r="AB90"/>
      <c r="AC90"/>
      <c r="AD90"/>
      <c r="AE90"/>
      <c r="AF90"/>
      <c r="AG90"/>
      <c r="AJ90"/>
      <c r="AK90"/>
      <c r="AL90"/>
      <c r="AM90"/>
      <c r="AN90"/>
      <c r="AS90"/>
      <c r="AT90"/>
      <c r="AU90"/>
      <c r="AV90"/>
      <c r="AW90"/>
      <c r="AX90"/>
      <c r="AY90"/>
      <c r="AZ90"/>
      <c r="BA90"/>
      <c r="BB90"/>
      <c r="BC90"/>
      <c r="BD90"/>
    </row>
    <row r="91" spans="2:56" x14ac:dyDescent="0.25">
      <c r="B91" s="359">
        <v>45139</v>
      </c>
      <c r="C91">
        <f t="shared" si="6"/>
        <v>2023</v>
      </c>
      <c r="D91" s="7">
        <f t="shared" si="7"/>
        <v>8</v>
      </c>
      <c r="E91" s="49">
        <f>COUNTIFS(TU_DB[[Water Temperature (oF)]:[Water Temperature (oF)]],"&gt;="&amp;32,TU_DB[[Year]:[Year]],$C91,TU_DB[[Month No.]:[Month No.]],$D91,TU_DB[[Monitoring Site]:[Monitoring Site]],$D$45)</f>
        <v>0</v>
      </c>
      <c r="F91" s="347" t="str">
        <f>IF(E91&gt;0,AVERAGEIFS(TU_DB[[Water Temperature (oF)]:[Water Temperature (oF)]],TU_DB[[Year]:[Year]],$C91,TU_DB[[Month No.]:[Month No.]],$D91,TU_DB[[Monitoring Site]:[Monitoring Site]],$D$45),"")</f>
        <v/>
      </c>
      <c r="G91" s="347" t="str">
        <f>IF(E91&gt;0,_xlfn.MAXIFS(TU_DB[[Water Temperature (oF)]:[Water Temperature (oF)]],TU_DB[[Year]:[Year]],$C91,TU_DB[[Month No.]:[Month No.]],$D91,TU_DB[[Monitoring Site]:[Monitoring Site]],$D$45),"")</f>
        <v/>
      </c>
      <c r="H91" s="7"/>
      <c r="I91" s="367">
        <f t="shared" si="8"/>
        <v>67</v>
      </c>
      <c r="J91" s="367">
        <f t="shared" si="9"/>
        <v>4</v>
      </c>
      <c r="K91" s="367">
        <f t="shared" si="10"/>
        <v>5</v>
      </c>
      <c r="L91" s="367">
        <f t="shared" si="11"/>
        <v>24</v>
      </c>
      <c r="M91" s="7"/>
      <c r="N91" s="7"/>
      <c r="T91" s="7"/>
      <c r="U91" s="7"/>
      <c r="V91" s="7"/>
      <c r="W91" s="7"/>
      <c r="X91"/>
      <c r="Y91"/>
      <c r="AA91"/>
      <c r="AB91"/>
      <c r="AC91"/>
      <c r="AD91"/>
      <c r="AE91"/>
      <c r="AF91"/>
      <c r="AG91"/>
      <c r="AJ91"/>
      <c r="AK91"/>
      <c r="AL91"/>
      <c r="AM91"/>
      <c r="AN91"/>
      <c r="AS91"/>
      <c r="AT91"/>
      <c r="AU91"/>
      <c r="AV91"/>
      <c r="AW91"/>
      <c r="AX91"/>
      <c r="AY91"/>
      <c r="AZ91"/>
      <c r="BA91"/>
      <c r="BB91"/>
      <c r="BC91"/>
      <c r="BD91"/>
    </row>
    <row r="92" spans="2:56" x14ac:dyDescent="0.25">
      <c r="B92" s="359">
        <v>45170</v>
      </c>
      <c r="C92">
        <f t="shared" si="6"/>
        <v>2023</v>
      </c>
      <c r="D92" s="7">
        <f t="shared" si="7"/>
        <v>9</v>
      </c>
      <c r="E92" s="49">
        <f>COUNTIFS(TU_DB[[Water Temperature (oF)]:[Water Temperature (oF)]],"&gt;="&amp;32,TU_DB[[Year]:[Year]],$C92,TU_DB[[Month No.]:[Month No.]],$D92,TU_DB[[Monitoring Site]:[Monitoring Site]],$D$45)</f>
        <v>0</v>
      </c>
      <c r="F92" s="347" t="str">
        <f>IF(E92&gt;0,AVERAGEIFS(TU_DB[[Water Temperature (oF)]:[Water Temperature (oF)]],TU_DB[[Year]:[Year]],$C92,TU_DB[[Month No.]:[Month No.]],$D92,TU_DB[[Monitoring Site]:[Monitoring Site]],$D$45),"")</f>
        <v/>
      </c>
      <c r="G92" s="347" t="str">
        <f>IF(E92&gt;0,_xlfn.MAXIFS(TU_DB[[Water Temperature (oF)]:[Water Temperature (oF)]],TU_DB[[Year]:[Year]],$C92,TU_DB[[Month No.]:[Month No.]],$D92,TU_DB[[Monitoring Site]:[Monitoring Site]],$D$45),"")</f>
        <v/>
      </c>
      <c r="H92" s="7"/>
      <c r="I92" s="367">
        <f t="shared" si="8"/>
        <v>67</v>
      </c>
      <c r="J92" s="367">
        <f t="shared" si="9"/>
        <v>4</v>
      </c>
      <c r="K92" s="367">
        <f t="shared" si="10"/>
        <v>5</v>
      </c>
      <c r="L92" s="367">
        <f t="shared" si="11"/>
        <v>24</v>
      </c>
      <c r="M92" s="7"/>
      <c r="N92" s="7"/>
      <c r="T92" s="7"/>
      <c r="U92" s="7"/>
      <c r="V92" s="7"/>
      <c r="W92" s="7"/>
      <c r="X92"/>
      <c r="Y92"/>
      <c r="AA92"/>
      <c r="AB92"/>
      <c r="AC92"/>
      <c r="AD92"/>
      <c r="AE92"/>
      <c r="AF92"/>
      <c r="AG92"/>
      <c r="AJ92"/>
      <c r="AK92"/>
      <c r="AL92"/>
      <c r="AM92"/>
      <c r="AN92"/>
      <c r="AS92"/>
      <c r="AT92"/>
      <c r="AU92"/>
      <c r="AV92"/>
      <c r="AW92"/>
      <c r="AX92"/>
      <c r="AY92"/>
      <c r="AZ92"/>
      <c r="BA92"/>
      <c r="BB92"/>
      <c r="BC92"/>
      <c r="BD92"/>
    </row>
    <row r="93" spans="2:56" x14ac:dyDescent="0.25">
      <c r="B93" s="359">
        <v>45200</v>
      </c>
      <c r="C93">
        <f t="shared" si="6"/>
        <v>2023</v>
      </c>
      <c r="D93" s="7">
        <f t="shared" si="7"/>
        <v>10</v>
      </c>
      <c r="E93" s="49">
        <f>COUNTIFS(TU_DB[[Water Temperature (oF)]:[Water Temperature (oF)]],"&gt;="&amp;32,TU_DB[[Year]:[Year]],$C93,TU_DB[[Month No.]:[Month No.]],$D93,TU_DB[[Monitoring Site]:[Monitoring Site]],$D$45)</f>
        <v>0</v>
      </c>
      <c r="F93" s="347" t="str">
        <f>IF(E93&gt;0,AVERAGEIFS(TU_DB[[Water Temperature (oF)]:[Water Temperature (oF)]],TU_DB[[Year]:[Year]],$C93,TU_DB[[Month No.]:[Month No.]],$D93,TU_DB[[Monitoring Site]:[Monitoring Site]],$D$45),"")</f>
        <v/>
      </c>
      <c r="G93" s="347" t="str">
        <f>IF(E93&gt;0,_xlfn.MAXIFS(TU_DB[[Water Temperature (oF)]:[Water Temperature (oF)]],TU_DB[[Year]:[Year]],$C93,TU_DB[[Month No.]:[Month No.]],$D93,TU_DB[[Monitoring Site]:[Monitoring Site]],$D$45),"")</f>
        <v/>
      </c>
      <c r="H93" s="7"/>
      <c r="I93" s="367">
        <f t="shared" si="8"/>
        <v>67</v>
      </c>
      <c r="J93" s="367">
        <f t="shared" si="9"/>
        <v>4</v>
      </c>
      <c r="K93" s="367">
        <f t="shared" si="10"/>
        <v>5</v>
      </c>
      <c r="L93" s="367">
        <f t="shared" si="11"/>
        <v>24</v>
      </c>
      <c r="M93" s="7"/>
      <c r="N93" s="7"/>
      <c r="T93" s="7"/>
      <c r="U93" s="7"/>
      <c r="V93" s="7"/>
      <c r="W93" s="7"/>
      <c r="X93"/>
      <c r="Y93"/>
      <c r="AA93"/>
      <c r="AB93"/>
      <c r="AC93"/>
      <c r="AD93"/>
      <c r="AE93"/>
      <c r="AF93"/>
      <c r="AG93"/>
      <c r="AJ93"/>
      <c r="AK93"/>
      <c r="AL93"/>
      <c r="AM93"/>
      <c r="AN93"/>
      <c r="AS93"/>
      <c r="AT93"/>
      <c r="AU93"/>
      <c r="AV93"/>
      <c r="AW93"/>
      <c r="AX93"/>
      <c r="AY93"/>
      <c r="AZ93"/>
      <c r="BA93"/>
      <c r="BB93"/>
      <c r="BC93"/>
      <c r="BD93"/>
    </row>
    <row r="94" spans="2:56" x14ac:dyDescent="0.25">
      <c r="B94" s="359">
        <v>45231</v>
      </c>
      <c r="C94">
        <f t="shared" si="6"/>
        <v>2023</v>
      </c>
      <c r="D94" s="7">
        <f t="shared" si="7"/>
        <v>11</v>
      </c>
      <c r="E94" s="49">
        <f>COUNTIFS(TU_DB[[Water Temperature (oF)]:[Water Temperature (oF)]],"&gt;="&amp;32,TU_DB[[Year]:[Year]],$C94,TU_DB[[Month No.]:[Month No.]],$D94,TU_DB[[Monitoring Site]:[Monitoring Site]],$D$45)</f>
        <v>0</v>
      </c>
      <c r="F94" s="347" t="str">
        <f>IF(E94&gt;0,AVERAGEIFS(TU_DB[[Water Temperature (oF)]:[Water Temperature (oF)]],TU_DB[[Year]:[Year]],$C94,TU_DB[[Month No.]:[Month No.]],$D94,TU_DB[[Monitoring Site]:[Monitoring Site]],$D$45),"")</f>
        <v/>
      </c>
      <c r="G94" s="347" t="str">
        <f>IF(E94&gt;0,_xlfn.MAXIFS(TU_DB[[Water Temperature (oF)]:[Water Temperature (oF)]],TU_DB[[Year]:[Year]],$C94,TU_DB[[Month No.]:[Month No.]],$D94,TU_DB[[Monitoring Site]:[Monitoring Site]],$D$45),"")</f>
        <v/>
      </c>
      <c r="H94" s="7"/>
      <c r="I94" s="367">
        <f t="shared" si="8"/>
        <v>67</v>
      </c>
      <c r="J94" s="367">
        <f t="shared" si="9"/>
        <v>4</v>
      </c>
      <c r="K94" s="367">
        <f t="shared" si="10"/>
        <v>5</v>
      </c>
      <c r="L94" s="367">
        <f t="shared" si="11"/>
        <v>24</v>
      </c>
      <c r="M94" s="7"/>
      <c r="N94" s="7"/>
      <c r="T94" s="7"/>
      <c r="U94" s="7"/>
      <c r="V94" s="7"/>
      <c r="W94" s="7"/>
      <c r="X94"/>
      <c r="Y94"/>
      <c r="AA94"/>
      <c r="AB94"/>
      <c r="AC94"/>
      <c r="AD94"/>
      <c r="AE94"/>
      <c r="AF94"/>
      <c r="AG94"/>
      <c r="AJ94"/>
      <c r="AK94"/>
      <c r="AL94"/>
      <c r="AM94"/>
      <c r="AN94"/>
      <c r="AS94"/>
      <c r="AT94"/>
      <c r="AU94"/>
      <c r="AV94"/>
      <c r="AW94"/>
      <c r="AX94"/>
      <c r="AY94"/>
      <c r="AZ94"/>
      <c r="BA94"/>
      <c r="BB94"/>
      <c r="BC94"/>
      <c r="BD94"/>
    </row>
    <row r="95" spans="2:56" x14ac:dyDescent="0.25">
      <c r="B95" s="359">
        <v>45261</v>
      </c>
      <c r="C95">
        <f t="shared" si="6"/>
        <v>2023</v>
      </c>
      <c r="D95" s="7">
        <f t="shared" si="7"/>
        <v>12</v>
      </c>
      <c r="E95" s="49">
        <f>COUNTIFS(TU_DB[[Water Temperature (oF)]:[Water Temperature (oF)]],"&gt;="&amp;32,TU_DB[[Year]:[Year]],$C95,TU_DB[[Month No.]:[Month No.]],$D95,TU_DB[[Monitoring Site]:[Monitoring Site]],$D$45)</f>
        <v>0</v>
      </c>
      <c r="F95" s="347" t="str">
        <f>IF(E95&gt;0,AVERAGEIFS(TU_DB[[Water Temperature (oF)]:[Water Temperature (oF)]],TU_DB[[Year]:[Year]],$C95,TU_DB[[Month No.]:[Month No.]],$D95,TU_DB[[Monitoring Site]:[Monitoring Site]],$D$45),"")</f>
        <v/>
      </c>
      <c r="G95" s="347" t="str">
        <f>IF(E95&gt;0,_xlfn.MAXIFS(TU_DB[[Water Temperature (oF)]:[Water Temperature (oF)]],TU_DB[[Year]:[Year]],$C95,TU_DB[[Month No.]:[Month No.]],$D95,TU_DB[[Monitoring Site]:[Monitoring Site]],$D$45),"")</f>
        <v/>
      </c>
      <c r="H95" s="7"/>
      <c r="I95" s="367">
        <f t="shared" si="8"/>
        <v>67</v>
      </c>
      <c r="J95" s="367">
        <f t="shared" si="9"/>
        <v>4</v>
      </c>
      <c r="K95" s="367">
        <f t="shared" si="10"/>
        <v>5</v>
      </c>
      <c r="L95" s="367">
        <f t="shared" si="11"/>
        <v>24</v>
      </c>
      <c r="M95" s="7"/>
      <c r="N95" s="7"/>
      <c r="T95" s="7"/>
      <c r="U95" s="7"/>
      <c r="V95" s="7"/>
      <c r="W95" s="7"/>
      <c r="X95"/>
      <c r="Y95"/>
      <c r="AA95"/>
      <c r="AB95"/>
      <c r="AC95"/>
      <c r="AD95"/>
      <c r="AE95"/>
      <c r="AF95"/>
      <c r="AG95"/>
      <c r="AJ95"/>
      <c r="AK95"/>
      <c r="AL95"/>
      <c r="AM95"/>
      <c r="AN95"/>
      <c r="AS95"/>
      <c r="AT95"/>
      <c r="AU95"/>
      <c r="AV95"/>
      <c r="AW95"/>
      <c r="AX95"/>
      <c r="AY95"/>
      <c r="AZ95"/>
      <c r="BA95"/>
      <c r="BB95"/>
      <c r="BC95"/>
      <c r="BD95"/>
    </row>
    <row r="96" spans="2:56" x14ac:dyDescent="0.25">
      <c r="B96" s="359">
        <v>45292</v>
      </c>
      <c r="C96">
        <f t="shared" si="6"/>
        <v>2024</v>
      </c>
      <c r="D96" s="7">
        <f t="shared" si="7"/>
        <v>1</v>
      </c>
      <c r="E96" s="49">
        <f>COUNTIFS(TU_DB[[Water Temperature (oF)]:[Water Temperature (oF)]],"&gt;="&amp;32,TU_DB[[Year]:[Year]],$C96,TU_DB[[Month No.]:[Month No.]],$D96,TU_DB[[Monitoring Site]:[Monitoring Site]],$D$45)</f>
        <v>0</v>
      </c>
      <c r="F96" s="347" t="str">
        <f>IF(E96&gt;0,AVERAGEIFS(TU_DB[[Water Temperature (oF)]:[Water Temperature (oF)]],TU_DB[[Year]:[Year]],$C96,TU_DB[[Month No.]:[Month No.]],$D96,TU_DB[[Monitoring Site]:[Monitoring Site]],$D$45),"")</f>
        <v/>
      </c>
      <c r="G96" s="347" t="str">
        <f>IF(E96&gt;0,_xlfn.MAXIFS(TU_DB[[Water Temperature (oF)]:[Water Temperature (oF)]],TU_DB[[Year]:[Year]],$C96,TU_DB[[Month No.]:[Month No.]],$D96,TU_DB[[Monitoring Site]:[Monitoring Site]],$D$45),"")</f>
        <v/>
      </c>
      <c r="H96" s="7"/>
      <c r="I96" s="367">
        <f t="shared" si="8"/>
        <v>67</v>
      </c>
      <c r="J96" s="367">
        <f t="shared" si="9"/>
        <v>4</v>
      </c>
      <c r="K96" s="367">
        <f t="shared" si="10"/>
        <v>5</v>
      </c>
      <c r="L96" s="367">
        <f t="shared" si="11"/>
        <v>24</v>
      </c>
      <c r="M96" s="7"/>
      <c r="N96" s="7"/>
      <c r="T96" s="7"/>
      <c r="U96" s="7"/>
      <c r="V96" s="7"/>
      <c r="W96" s="7"/>
      <c r="X96"/>
      <c r="Y96"/>
      <c r="AA96"/>
      <c r="AB96"/>
      <c r="AC96"/>
      <c r="AD96"/>
      <c r="AE96"/>
      <c r="AF96"/>
      <c r="AG96"/>
      <c r="AJ96"/>
      <c r="AK96"/>
      <c r="AL96"/>
      <c r="AM96"/>
      <c r="AN96"/>
      <c r="AS96"/>
      <c r="AT96"/>
      <c r="AU96"/>
      <c r="AV96"/>
      <c r="AW96"/>
      <c r="AX96"/>
      <c r="AY96"/>
      <c r="AZ96"/>
      <c r="BA96"/>
      <c r="BB96"/>
      <c r="BC96"/>
      <c r="BD96"/>
    </row>
    <row r="97" spans="2:56" x14ac:dyDescent="0.25">
      <c r="B97" s="359">
        <v>45323</v>
      </c>
      <c r="C97">
        <f t="shared" si="6"/>
        <v>2024</v>
      </c>
      <c r="D97" s="7">
        <f t="shared" si="7"/>
        <v>2</v>
      </c>
      <c r="E97" s="49">
        <f>COUNTIFS(TU_DB[[Water Temperature (oF)]:[Water Temperature (oF)]],"&gt;="&amp;32,TU_DB[[Year]:[Year]],$C97,TU_DB[[Month No.]:[Month No.]],$D97,TU_DB[[Monitoring Site]:[Monitoring Site]],$D$45)</f>
        <v>0</v>
      </c>
      <c r="F97" s="347" t="str">
        <f>IF(E97&gt;0,AVERAGEIFS(TU_DB[[Water Temperature (oF)]:[Water Temperature (oF)]],TU_DB[[Year]:[Year]],$C97,TU_DB[[Month No.]:[Month No.]],$D97,TU_DB[[Monitoring Site]:[Monitoring Site]],$D$45),"")</f>
        <v/>
      </c>
      <c r="G97" s="347" t="str">
        <f>IF(E97&gt;0,_xlfn.MAXIFS(TU_DB[[Water Temperature (oF)]:[Water Temperature (oF)]],TU_DB[[Year]:[Year]],$C97,TU_DB[[Month No.]:[Month No.]],$D97,TU_DB[[Monitoring Site]:[Monitoring Site]],$D$45),"")</f>
        <v/>
      </c>
      <c r="H97" s="7"/>
      <c r="I97" s="367">
        <f t="shared" si="8"/>
        <v>67</v>
      </c>
      <c r="J97" s="367">
        <f t="shared" si="9"/>
        <v>4</v>
      </c>
      <c r="K97" s="367">
        <f t="shared" si="10"/>
        <v>5</v>
      </c>
      <c r="L97" s="367">
        <f t="shared" si="11"/>
        <v>24</v>
      </c>
      <c r="M97" s="7"/>
      <c r="N97" s="7"/>
      <c r="T97" s="7"/>
      <c r="U97" s="7"/>
      <c r="V97" s="7"/>
      <c r="W97" s="7"/>
      <c r="X97"/>
      <c r="Y97"/>
      <c r="AA97"/>
      <c r="AB97"/>
      <c r="AC97"/>
      <c r="AD97"/>
      <c r="AE97"/>
      <c r="AF97"/>
      <c r="AG97"/>
      <c r="AJ97"/>
      <c r="AK97"/>
      <c r="AL97"/>
      <c r="AM97"/>
      <c r="AN97"/>
      <c r="AS97"/>
      <c r="AT97"/>
      <c r="AU97"/>
      <c r="AV97"/>
      <c r="AW97"/>
      <c r="AX97"/>
      <c r="AY97"/>
      <c r="AZ97"/>
      <c r="BA97"/>
      <c r="BB97"/>
      <c r="BC97"/>
      <c r="BD97"/>
    </row>
    <row r="98" spans="2:56" x14ac:dyDescent="0.25">
      <c r="B98" s="359">
        <v>45352</v>
      </c>
      <c r="C98">
        <f t="shared" si="6"/>
        <v>2024</v>
      </c>
      <c r="D98" s="7">
        <f t="shared" si="7"/>
        <v>3</v>
      </c>
      <c r="E98" s="49">
        <f>COUNTIFS(TU_DB[[Water Temperature (oF)]:[Water Temperature (oF)]],"&gt;="&amp;32,TU_DB[[Year]:[Year]],$C98,TU_DB[[Month No.]:[Month No.]],$D98,TU_DB[[Monitoring Site]:[Monitoring Site]],$D$45)</f>
        <v>0</v>
      </c>
      <c r="F98" s="347" t="str">
        <f>IF(E98&gt;0,AVERAGEIFS(TU_DB[[Water Temperature (oF)]:[Water Temperature (oF)]],TU_DB[[Year]:[Year]],$C98,TU_DB[[Month No.]:[Month No.]],$D98,TU_DB[[Monitoring Site]:[Monitoring Site]],$D$45),"")</f>
        <v/>
      </c>
      <c r="G98" s="347" t="str">
        <f>IF(E98&gt;0,_xlfn.MAXIFS(TU_DB[[Water Temperature (oF)]:[Water Temperature (oF)]],TU_DB[[Year]:[Year]],$C98,TU_DB[[Month No.]:[Month No.]],$D98,TU_DB[[Monitoring Site]:[Monitoring Site]],$D$45),"")</f>
        <v/>
      </c>
      <c r="H98" s="7"/>
      <c r="I98" s="367">
        <f t="shared" si="8"/>
        <v>67</v>
      </c>
      <c r="J98" s="367">
        <f t="shared" si="9"/>
        <v>4</v>
      </c>
      <c r="K98" s="367">
        <f t="shared" si="10"/>
        <v>5</v>
      </c>
      <c r="L98" s="367">
        <f t="shared" si="11"/>
        <v>24</v>
      </c>
      <c r="M98" s="7"/>
      <c r="N98" s="7"/>
      <c r="T98" s="7"/>
      <c r="U98" s="7"/>
      <c r="V98" s="7"/>
      <c r="W98" s="7"/>
      <c r="X98"/>
      <c r="Y98"/>
      <c r="AA98"/>
      <c r="AB98"/>
      <c r="AC98"/>
      <c r="AD98"/>
      <c r="AE98"/>
      <c r="AF98"/>
      <c r="AG98"/>
      <c r="AJ98"/>
      <c r="AK98"/>
      <c r="AL98"/>
      <c r="AM98"/>
      <c r="AN98"/>
      <c r="AS98"/>
      <c r="AT98"/>
      <c r="AU98"/>
      <c r="AV98"/>
      <c r="AW98"/>
      <c r="AX98"/>
      <c r="AY98"/>
      <c r="AZ98"/>
      <c r="BA98"/>
      <c r="BB98"/>
      <c r="BC98"/>
      <c r="BD98"/>
    </row>
    <row r="99" spans="2:56" x14ac:dyDescent="0.25">
      <c r="B99" s="359">
        <v>45383</v>
      </c>
      <c r="C99">
        <f t="shared" si="6"/>
        <v>2024</v>
      </c>
      <c r="D99" s="7">
        <f t="shared" si="7"/>
        <v>4</v>
      </c>
      <c r="E99" s="49">
        <f>COUNTIFS(TU_DB[[Water Temperature (oF)]:[Water Temperature (oF)]],"&gt;="&amp;32,TU_DB[[Year]:[Year]],$C99,TU_DB[[Month No.]:[Month No.]],$D99,TU_DB[[Monitoring Site]:[Monitoring Site]],$D$45)</f>
        <v>0</v>
      </c>
      <c r="F99" s="347" t="str">
        <f>IF(E99&gt;0,AVERAGEIFS(TU_DB[[Water Temperature (oF)]:[Water Temperature (oF)]],TU_DB[[Year]:[Year]],$C99,TU_DB[[Month No.]:[Month No.]],$D99,TU_DB[[Monitoring Site]:[Monitoring Site]],$D$45),"")</f>
        <v/>
      </c>
      <c r="G99" s="347" t="str">
        <f>IF(E99&gt;0,_xlfn.MAXIFS(TU_DB[[Water Temperature (oF)]:[Water Temperature (oF)]],TU_DB[[Year]:[Year]],$C99,TU_DB[[Month No.]:[Month No.]],$D99,TU_DB[[Monitoring Site]:[Monitoring Site]],$D$45),"")</f>
        <v/>
      </c>
      <c r="H99" s="7"/>
      <c r="I99" s="367">
        <f t="shared" si="8"/>
        <v>67</v>
      </c>
      <c r="J99" s="367">
        <f t="shared" si="9"/>
        <v>4</v>
      </c>
      <c r="K99" s="367">
        <f t="shared" si="10"/>
        <v>5</v>
      </c>
      <c r="L99" s="367">
        <f t="shared" si="11"/>
        <v>24</v>
      </c>
      <c r="M99" s="7"/>
      <c r="N99" s="7"/>
      <c r="U99" s="7"/>
      <c r="V99" s="7"/>
      <c r="W99" s="7"/>
      <c r="X99"/>
      <c r="Y99"/>
      <c r="AA99"/>
      <c r="AB99"/>
      <c r="AC99"/>
      <c r="AD99"/>
      <c r="AE99"/>
      <c r="AF99"/>
      <c r="AG99"/>
      <c r="AJ99"/>
      <c r="AK99"/>
      <c r="AL99"/>
      <c r="AM99"/>
      <c r="AN99"/>
      <c r="AS99"/>
      <c r="AT99"/>
      <c r="AU99"/>
      <c r="AV99"/>
      <c r="AW99"/>
      <c r="AX99"/>
      <c r="AY99"/>
      <c r="AZ99"/>
      <c r="BA99"/>
      <c r="BB99"/>
      <c r="BC99"/>
      <c r="BD99"/>
    </row>
    <row r="100" spans="2:56" x14ac:dyDescent="0.25">
      <c r="B100" s="359">
        <v>45413</v>
      </c>
      <c r="C100">
        <f t="shared" si="6"/>
        <v>2024</v>
      </c>
      <c r="D100" s="7">
        <f t="shared" si="7"/>
        <v>5</v>
      </c>
      <c r="E100" s="49">
        <f>COUNTIFS(TU_DB[[Water Temperature (oF)]:[Water Temperature (oF)]],"&gt;="&amp;32,TU_DB[[Year]:[Year]],$C100,TU_DB[[Month No.]:[Month No.]],$D100,TU_DB[[Monitoring Site]:[Monitoring Site]],$D$45)</f>
        <v>1</v>
      </c>
      <c r="F100" s="347">
        <f>IF(E100&gt;0,AVERAGEIFS(TU_DB[[Water Temperature (oF)]:[Water Temperature (oF)]],TU_DB[[Year]:[Year]],$C100,TU_DB[[Month No.]:[Month No.]],$D100,TU_DB[[Monitoring Site]:[Monitoring Site]],$D$45),"")</f>
        <v>59</v>
      </c>
      <c r="G100" s="347">
        <f>IF(E100&gt;0,_xlfn.MAXIFS(TU_DB[[Water Temperature (oF)]:[Water Temperature (oF)]],TU_DB[[Year]:[Year]],$C100,TU_DB[[Month No.]:[Month No.]],$D100,TU_DB[[Monitoring Site]:[Monitoring Site]],$D$45),"")</f>
        <v>59</v>
      </c>
      <c r="H100" s="7"/>
      <c r="I100" s="367">
        <f t="shared" si="8"/>
        <v>67</v>
      </c>
      <c r="J100" s="367">
        <f t="shared" si="9"/>
        <v>4</v>
      </c>
      <c r="K100" s="367">
        <f t="shared" si="10"/>
        <v>5</v>
      </c>
      <c r="L100" s="367">
        <f t="shared" si="11"/>
        <v>24</v>
      </c>
      <c r="M100" s="7"/>
      <c r="N100" s="7"/>
      <c r="U100" s="7"/>
      <c r="V100" s="7"/>
      <c r="W100" s="7"/>
      <c r="X100"/>
      <c r="Y100"/>
      <c r="AA100"/>
      <c r="AB100"/>
      <c r="AC100"/>
      <c r="AD100"/>
      <c r="AE100"/>
      <c r="AF100"/>
      <c r="AG100"/>
      <c r="AJ100"/>
      <c r="AK100"/>
      <c r="AL100"/>
      <c r="AM100"/>
      <c r="AN100"/>
      <c r="AS100"/>
      <c r="AT100"/>
      <c r="AU100"/>
      <c r="AV100"/>
      <c r="AW100"/>
      <c r="AX100"/>
      <c r="AY100"/>
      <c r="AZ100"/>
      <c r="BA100"/>
      <c r="BB100"/>
      <c r="BC100"/>
      <c r="BD100"/>
    </row>
    <row r="101" spans="2:56" x14ac:dyDescent="0.25">
      <c r="B101" s="359">
        <v>45444</v>
      </c>
      <c r="C101">
        <f t="shared" si="6"/>
        <v>2024</v>
      </c>
      <c r="D101" s="7">
        <f t="shared" si="7"/>
        <v>6</v>
      </c>
      <c r="E101" s="49">
        <f>COUNTIFS(TU_DB[[Water Temperature (oF)]:[Water Temperature (oF)]],"&gt;="&amp;32,TU_DB[[Year]:[Year]],$C101,TU_DB[[Month No.]:[Month No.]],$D101,TU_DB[[Monitoring Site]:[Monitoring Site]],$D$45)</f>
        <v>2</v>
      </c>
      <c r="F101" s="347">
        <f>IF(E101&gt;0,AVERAGEIFS(TU_DB[[Water Temperature (oF)]:[Water Temperature (oF)]],TU_DB[[Year]:[Year]],$C101,TU_DB[[Month No.]:[Month No.]],$D101,TU_DB[[Monitoring Site]:[Monitoring Site]],$D$45),"")</f>
        <v>59.5</v>
      </c>
      <c r="G101" s="347">
        <f>IF(E101&gt;0,_xlfn.MAXIFS(TU_DB[[Water Temperature (oF)]:[Water Temperature (oF)]],TU_DB[[Year]:[Year]],$C101,TU_DB[[Month No.]:[Month No.]],$D101,TU_DB[[Monitoring Site]:[Monitoring Site]],$D$45),"")</f>
        <v>60</v>
      </c>
      <c r="H101" s="7"/>
      <c r="I101" s="367">
        <f t="shared" si="8"/>
        <v>67</v>
      </c>
      <c r="J101" s="367">
        <f t="shared" si="9"/>
        <v>4</v>
      </c>
      <c r="K101" s="367">
        <f t="shared" si="10"/>
        <v>5</v>
      </c>
      <c r="L101" s="367">
        <f t="shared" si="11"/>
        <v>24</v>
      </c>
      <c r="M101" s="7"/>
      <c r="N101" s="7"/>
      <c r="U101" s="7"/>
      <c r="V101" s="7"/>
      <c r="W101" s="7"/>
      <c r="X101"/>
      <c r="Y101"/>
      <c r="AA101"/>
      <c r="AB101"/>
      <c r="AC101"/>
      <c r="AD101"/>
      <c r="AE101"/>
      <c r="AF101"/>
      <c r="AG101"/>
      <c r="AJ101"/>
      <c r="AK101"/>
      <c r="AL101"/>
      <c r="AM101"/>
      <c r="AN101"/>
      <c r="AS101"/>
      <c r="AT101"/>
      <c r="AU101"/>
      <c r="AV101"/>
      <c r="AW101"/>
      <c r="AX101"/>
      <c r="AY101"/>
      <c r="AZ101"/>
      <c r="BA101"/>
      <c r="BB101"/>
      <c r="BC101"/>
      <c r="BD101"/>
    </row>
    <row r="102" spans="2:56" x14ac:dyDescent="0.25">
      <c r="B102" s="359">
        <v>45474</v>
      </c>
      <c r="C102">
        <f t="shared" si="6"/>
        <v>2024</v>
      </c>
      <c r="D102" s="7">
        <f t="shared" si="7"/>
        <v>7</v>
      </c>
      <c r="E102" s="49">
        <f>COUNTIFS(TU_DB[[Water Temperature (oF)]:[Water Temperature (oF)]],"&gt;="&amp;32,TU_DB[[Year]:[Year]],$C102,TU_DB[[Month No.]:[Month No.]],$D102,TU_DB[[Monitoring Site]:[Monitoring Site]],$D$45)</f>
        <v>1</v>
      </c>
      <c r="F102" s="347">
        <f>IF(E102&gt;0,AVERAGEIFS(TU_DB[[Water Temperature (oF)]:[Water Temperature (oF)]],TU_DB[[Year]:[Year]],$C102,TU_DB[[Month No.]:[Month No.]],$D102,TU_DB[[Monitoring Site]:[Monitoring Site]],$D$45),"")</f>
        <v>60</v>
      </c>
      <c r="G102" s="347">
        <f>IF(E102&gt;0,_xlfn.MAXIFS(TU_DB[[Water Temperature (oF)]:[Water Temperature (oF)]],TU_DB[[Year]:[Year]],$C102,TU_DB[[Month No.]:[Month No.]],$D102,TU_DB[[Monitoring Site]:[Monitoring Site]],$D$45),"")</f>
        <v>60</v>
      </c>
      <c r="H102" s="7"/>
      <c r="I102" s="367">
        <f t="shared" si="8"/>
        <v>67</v>
      </c>
      <c r="J102" s="367">
        <f t="shared" si="9"/>
        <v>4</v>
      </c>
      <c r="K102" s="367">
        <f t="shared" si="10"/>
        <v>5</v>
      </c>
      <c r="L102" s="367">
        <f t="shared" si="11"/>
        <v>24</v>
      </c>
      <c r="M102" s="7"/>
      <c r="N102" s="7"/>
      <c r="U102" s="7"/>
      <c r="V102" s="7"/>
      <c r="W102" s="7"/>
      <c r="X102"/>
      <c r="Y102"/>
      <c r="AA102"/>
      <c r="AB102"/>
      <c r="AC102"/>
      <c r="AD102"/>
      <c r="AE102"/>
      <c r="AF102"/>
      <c r="AG102"/>
      <c r="AJ102"/>
      <c r="AK102"/>
      <c r="AL102"/>
      <c r="AM102"/>
      <c r="AN102"/>
      <c r="AS102"/>
      <c r="AT102"/>
      <c r="AU102"/>
      <c r="AV102"/>
      <c r="AW102"/>
      <c r="AX102"/>
      <c r="AY102"/>
      <c r="AZ102"/>
      <c r="BA102"/>
      <c r="BB102"/>
      <c r="BC102"/>
      <c r="BD102"/>
    </row>
    <row r="103" spans="2:56" x14ac:dyDescent="0.25">
      <c r="B103" s="359">
        <v>45505</v>
      </c>
      <c r="C103">
        <f t="shared" si="6"/>
        <v>2024</v>
      </c>
      <c r="D103" s="7">
        <f t="shared" si="7"/>
        <v>8</v>
      </c>
      <c r="E103" s="49">
        <f>COUNTIFS(TU_DB[[Water Temperature (oF)]:[Water Temperature (oF)]],"&gt;="&amp;32,TU_DB[[Year]:[Year]],$C103,TU_DB[[Month No.]:[Month No.]],$D103,TU_DB[[Monitoring Site]:[Monitoring Site]],$D$45)</f>
        <v>0</v>
      </c>
      <c r="F103" s="347" t="str">
        <f>IF(E103&gt;0,AVERAGEIFS(TU_DB[[Water Temperature (oF)]:[Water Temperature (oF)]],TU_DB[[Year]:[Year]],$C103,TU_DB[[Month No.]:[Month No.]],$D103,TU_DB[[Monitoring Site]:[Monitoring Site]],$D$45),"")</f>
        <v/>
      </c>
      <c r="G103" s="347" t="str">
        <f>IF(E103&gt;0,_xlfn.MAXIFS(TU_DB[[Water Temperature (oF)]:[Water Temperature (oF)]],TU_DB[[Year]:[Year]],$C103,TU_DB[[Month No.]:[Month No.]],$D103,TU_DB[[Monitoring Site]:[Monitoring Site]],$D$45),"")</f>
        <v/>
      </c>
      <c r="H103" s="7"/>
      <c r="I103" s="367">
        <f t="shared" si="8"/>
        <v>67</v>
      </c>
      <c r="J103" s="367">
        <f t="shared" si="9"/>
        <v>4</v>
      </c>
      <c r="K103" s="367">
        <f t="shared" si="10"/>
        <v>5</v>
      </c>
      <c r="L103" s="367">
        <f t="shared" si="11"/>
        <v>24</v>
      </c>
      <c r="M103" s="7"/>
      <c r="N103" s="7"/>
      <c r="U103" s="7"/>
      <c r="V103" s="7"/>
      <c r="W103" s="7"/>
      <c r="X103"/>
      <c r="Y103"/>
      <c r="AA103"/>
      <c r="AB103"/>
      <c r="AC103"/>
      <c r="AD103"/>
      <c r="AE103"/>
      <c r="AF103"/>
      <c r="AG103"/>
      <c r="AJ103"/>
      <c r="AK103"/>
      <c r="AL103"/>
      <c r="AM103"/>
      <c r="AN103"/>
      <c r="AS103"/>
      <c r="AT103"/>
      <c r="AU103"/>
      <c r="AV103"/>
      <c r="AW103"/>
      <c r="AX103"/>
      <c r="AY103"/>
      <c r="AZ103"/>
      <c r="BA103"/>
      <c r="BB103"/>
      <c r="BC103"/>
      <c r="BD103"/>
    </row>
    <row r="104" spans="2:56" x14ac:dyDescent="0.25">
      <c r="B104" s="359">
        <v>45536</v>
      </c>
      <c r="C104">
        <f t="shared" si="6"/>
        <v>2024</v>
      </c>
      <c r="D104" s="7">
        <f t="shared" si="7"/>
        <v>9</v>
      </c>
      <c r="E104" s="49">
        <f>COUNTIFS(TU_DB[[Water Temperature (oF)]:[Water Temperature (oF)]],"&gt;="&amp;32,TU_DB[[Year]:[Year]],$C104,TU_DB[[Month No.]:[Month No.]],$D104,TU_DB[[Monitoring Site]:[Monitoring Site]],$D$45)</f>
        <v>0</v>
      </c>
      <c r="F104" s="347" t="str">
        <f>IF(E104&gt;0,AVERAGEIFS(TU_DB[[Water Temperature (oF)]:[Water Temperature (oF)]],TU_DB[[Year]:[Year]],$C104,TU_DB[[Month No.]:[Month No.]],$D104,TU_DB[[Monitoring Site]:[Monitoring Site]],$D$45),"")</f>
        <v/>
      </c>
      <c r="G104" s="347" t="str">
        <f>IF(E104&gt;0,_xlfn.MAXIFS(TU_DB[[Water Temperature (oF)]:[Water Temperature (oF)]],TU_DB[[Year]:[Year]],$C104,TU_DB[[Month No.]:[Month No.]],$D104,TU_DB[[Monitoring Site]:[Monitoring Site]],$D$45),"")</f>
        <v/>
      </c>
      <c r="H104" s="7"/>
      <c r="I104" s="367">
        <f t="shared" si="8"/>
        <v>67</v>
      </c>
      <c r="J104" s="367">
        <f t="shared" si="9"/>
        <v>4</v>
      </c>
      <c r="K104" s="367">
        <f t="shared" si="10"/>
        <v>5</v>
      </c>
      <c r="L104" s="367">
        <f t="shared" si="11"/>
        <v>24</v>
      </c>
      <c r="M104" s="7"/>
      <c r="N104" s="7"/>
      <c r="U104" s="7"/>
      <c r="V104" s="7"/>
      <c r="W104" s="7"/>
      <c r="X104"/>
      <c r="Y104"/>
      <c r="AA104"/>
      <c r="AB104"/>
      <c r="AC104"/>
      <c r="AD104"/>
      <c r="AE104"/>
      <c r="AF104"/>
      <c r="AG104"/>
      <c r="AJ104"/>
      <c r="AK104"/>
      <c r="AL104"/>
      <c r="AM104"/>
      <c r="AN104"/>
      <c r="AS104"/>
      <c r="AT104"/>
      <c r="AU104"/>
      <c r="AV104"/>
      <c r="AW104"/>
      <c r="AX104"/>
      <c r="AY104"/>
      <c r="AZ104"/>
      <c r="BA104"/>
      <c r="BB104"/>
      <c r="BC104"/>
      <c r="BD104"/>
    </row>
    <row r="105" spans="2:56" x14ac:dyDescent="0.25">
      <c r="B105" s="359">
        <v>45566</v>
      </c>
      <c r="C105">
        <f t="shared" si="6"/>
        <v>2024</v>
      </c>
      <c r="D105" s="7">
        <f t="shared" si="7"/>
        <v>10</v>
      </c>
      <c r="E105" s="49">
        <f>COUNTIFS(TU_DB[[Water Temperature (oF)]:[Water Temperature (oF)]],"&gt;="&amp;32,TU_DB[[Year]:[Year]],$C105,TU_DB[[Month No.]:[Month No.]],$D105,TU_DB[[Monitoring Site]:[Monitoring Site]],$D$45)</f>
        <v>1</v>
      </c>
      <c r="F105" s="347">
        <f>IF(E105&gt;0,AVERAGEIFS(TU_DB[[Water Temperature (oF)]:[Water Temperature (oF)]],TU_DB[[Year]:[Year]],$C105,TU_DB[[Month No.]:[Month No.]],$D105,TU_DB[[Monitoring Site]:[Monitoring Site]],$D$45),"")</f>
        <v>50</v>
      </c>
      <c r="G105" s="347">
        <f>IF(E105&gt;0,_xlfn.MAXIFS(TU_DB[[Water Temperature (oF)]:[Water Temperature (oF)]],TU_DB[[Year]:[Year]],$C105,TU_DB[[Month No.]:[Month No.]],$D105,TU_DB[[Monitoring Site]:[Monitoring Site]],$D$45),"")</f>
        <v>50</v>
      </c>
      <c r="H105" s="7"/>
      <c r="I105" s="367">
        <f t="shared" si="8"/>
        <v>67</v>
      </c>
      <c r="J105" s="367">
        <f t="shared" si="9"/>
        <v>4</v>
      </c>
      <c r="K105" s="367">
        <f t="shared" si="10"/>
        <v>5</v>
      </c>
      <c r="L105" s="367">
        <f t="shared" si="11"/>
        <v>24</v>
      </c>
      <c r="M105" s="7"/>
      <c r="N105" s="7"/>
      <c r="U105" s="7"/>
      <c r="V105" s="7"/>
      <c r="W105" s="7"/>
      <c r="X105"/>
      <c r="Y105"/>
      <c r="AA105"/>
      <c r="AB105"/>
      <c r="AC105"/>
      <c r="AD105"/>
      <c r="AE105"/>
      <c r="AF105"/>
      <c r="AG105"/>
      <c r="AJ105"/>
      <c r="AK105"/>
      <c r="AL105"/>
      <c r="AM105"/>
      <c r="AN105"/>
      <c r="AS105"/>
      <c r="AT105"/>
      <c r="AU105"/>
      <c r="AV105"/>
      <c r="AW105"/>
      <c r="AX105"/>
      <c r="AY105"/>
      <c r="AZ105"/>
      <c r="BA105"/>
      <c r="BB105"/>
      <c r="BC105"/>
      <c r="BD105"/>
    </row>
    <row r="106" spans="2:56" x14ac:dyDescent="0.25">
      <c r="B106" s="359">
        <v>45597</v>
      </c>
      <c r="C106">
        <f t="shared" si="6"/>
        <v>2024</v>
      </c>
      <c r="D106" s="7">
        <f t="shared" si="7"/>
        <v>11</v>
      </c>
      <c r="E106" s="49">
        <f>COUNTIFS(TU_DB[[Water Temperature (oF)]:[Water Temperature (oF)]],"&gt;="&amp;32,TU_DB[[Year]:[Year]],$C106,TU_DB[[Month No.]:[Month No.]],$D106,TU_DB[[Monitoring Site]:[Monitoring Site]],$D$45)</f>
        <v>0</v>
      </c>
      <c r="F106" s="347" t="str">
        <f>IF(E106&gt;0,AVERAGEIFS(TU_DB[[Water Temperature (oF)]:[Water Temperature (oF)]],TU_DB[[Year]:[Year]],$C106,TU_DB[[Month No.]:[Month No.]],$D106,TU_DB[[Monitoring Site]:[Monitoring Site]],$D$45),"")</f>
        <v/>
      </c>
      <c r="G106" s="347" t="str">
        <f>IF(E106&gt;0,_xlfn.MAXIFS(TU_DB[[Water Temperature (oF)]:[Water Temperature (oF)]],TU_DB[[Year]:[Year]],$C106,TU_DB[[Month No.]:[Month No.]],$D106,TU_DB[[Monitoring Site]:[Monitoring Site]],$D$45),"")</f>
        <v/>
      </c>
      <c r="H106" s="7"/>
      <c r="I106" s="367">
        <f t="shared" si="8"/>
        <v>67</v>
      </c>
      <c r="J106" s="367">
        <f t="shared" si="9"/>
        <v>4</v>
      </c>
      <c r="K106" s="367">
        <f t="shared" si="10"/>
        <v>5</v>
      </c>
      <c r="L106" s="367">
        <f t="shared" si="11"/>
        <v>24</v>
      </c>
      <c r="M106" s="7"/>
      <c r="N106" s="7"/>
      <c r="U106" s="7"/>
      <c r="V106" s="7"/>
      <c r="W106" s="7"/>
      <c r="X106"/>
      <c r="Y106"/>
      <c r="AA106"/>
      <c r="AB106"/>
      <c r="AC106"/>
      <c r="AD106"/>
      <c r="AE106"/>
      <c r="AF106"/>
      <c r="AG106"/>
      <c r="AJ106"/>
      <c r="AK106"/>
      <c r="AL106"/>
      <c r="AM106"/>
      <c r="AN106"/>
      <c r="AS106"/>
      <c r="AT106"/>
      <c r="AU106"/>
      <c r="AV106"/>
      <c r="AW106"/>
      <c r="AX106"/>
      <c r="AY106"/>
      <c r="AZ106"/>
      <c r="BA106"/>
      <c r="BB106"/>
      <c r="BC106"/>
      <c r="BD106"/>
    </row>
    <row r="107" spans="2:56" x14ac:dyDescent="0.25">
      <c r="B107" s="359">
        <v>45627</v>
      </c>
      <c r="C107">
        <f t="shared" si="6"/>
        <v>2024</v>
      </c>
      <c r="D107" s="7">
        <f t="shared" si="7"/>
        <v>12</v>
      </c>
      <c r="E107" s="49">
        <f>COUNTIFS(TU_DB[[Water Temperature (oF)]:[Water Temperature (oF)]],"&gt;="&amp;32,TU_DB[[Year]:[Year]],$C107,TU_DB[[Month No.]:[Month No.]],$D107,TU_DB[[Monitoring Site]:[Monitoring Site]],$D$45)</f>
        <v>0</v>
      </c>
      <c r="F107" s="347" t="str">
        <f>IF(E107&gt;0,AVERAGEIFS(TU_DB[[Water Temperature (oF)]:[Water Temperature (oF)]],TU_DB[[Year]:[Year]],$C107,TU_DB[[Month No.]:[Month No.]],$D107,TU_DB[[Monitoring Site]:[Monitoring Site]],$D$45),"")</f>
        <v/>
      </c>
      <c r="G107" s="347" t="str">
        <f>IF(E107&gt;0,_xlfn.MAXIFS(TU_DB[[Water Temperature (oF)]:[Water Temperature (oF)]],TU_DB[[Year]:[Year]],$C107,TU_DB[[Month No.]:[Month No.]],$D107,TU_DB[[Monitoring Site]:[Monitoring Site]],$D$45),"")</f>
        <v/>
      </c>
      <c r="H107" s="7"/>
      <c r="I107" s="367">
        <f t="shared" si="8"/>
        <v>67</v>
      </c>
      <c r="J107" s="367">
        <f t="shared" si="9"/>
        <v>4</v>
      </c>
      <c r="K107" s="367">
        <f t="shared" si="10"/>
        <v>5</v>
      </c>
      <c r="L107" s="367">
        <f t="shared" si="11"/>
        <v>24</v>
      </c>
      <c r="M107" s="7"/>
      <c r="N107" s="7"/>
      <c r="U107" s="7"/>
      <c r="V107" s="7"/>
      <c r="W107" s="7"/>
      <c r="X107"/>
      <c r="Y107"/>
      <c r="AA107"/>
      <c r="AB107"/>
      <c r="AC107"/>
      <c r="AD107"/>
      <c r="AE107"/>
      <c r="AF107"/>
      <c r="AG107"/>
      <c r="AJ107"/>
      <c r="AK107"/>
      <c r="AL107"/>
      <c r="AM107"/>
      <c r="AN107"/>
      <c r="AS107"/>
      <c r="AT107"/>
      <c r="AU107"/>
      <c r="AV107"/>
      <c r="AW107"/>
      <c r="AX107"/>
      <c r="AY107"/>
      <c r="AZ107"/>
      <c r="BA107"/>
      <c r="BB107"/>
      <c r="BC107"/>
      <c r="BD107"/>
    </row>
    <row r="108" spans="2:56" x14ac:dyDescent="0.25">
      <c r="C108"/>
      <c r="D108" s="7"/>
      <c r="E108" s="7"/>
      <c r="F108" s="7"/>
      <c r="G108" s="7"/>
      <c r="H108" s="7"/>
      <c r="I108" s="7"/>
      <c r="J108" s="7"/>
      <c r="K108" s="7"/>
      <c r="M108" s="7"/>
      <c r="N108" s="7"/>
      <c r="U108" s="7"/>
      <c r="V108" s="7"/>
      <c r="W108" s="7"/>
      <c r="X108"/>
      <c r="Y108"/>
      <c r="AA108"/>
      <c r="AB108"/>
      <c r="AC108"/>
      <c r="AD108"/>
      <c r="AE108"/>
      <c r="AF108"/>
      <c r="AG108"/>
      <c r="AJ108"/>
      <c r="AK108"/>
      <c r="AL108"/>
      <c r="AM108"/>
      <c r="AN108"/>
      <c r="AS108"/>
      <c r="AT108"/>
      <c r="AU108"/>
      <c r="AV108"/>
      <c r="AW108"/>
      <c r="AX108"/>
      <c r="AY108"/>
      <c r="AZ108"/>
      <c r="BA108"/>
      <c r="BB108"/>
      <c r="BC108"/>
      <c r="BD108"/>
    </row>
    <row r="109" spans="2:56" x14ac:dyDescent="0.25">
      <c r="C109"/>
      <c r="D109" s="7"/>
      <c r="E109" s="7"/>
      <c r="F109" s="7"/>
      <c r="G109" s="7"/>
      <c r="H109" s="7"/>
      <c r="I109" s="7"/>
      <c r="J109" s="7"/>
      <c r="K109" s="7"/>
      <c r="M109" s="7"/>
      <c r="N109" s="7"/>
      <c r="U109" s="7"/>
      <c r="V109" s="7"/>
      <c r="W109" s="7"/>
      <c r="X109"/>
      <c r="Y109"/>
      <c r="AA109"/>
      <c r="AB109"/>
      <c r="AC109"/>
      <c r="AD109"/>
      <c r="AE109"/>
      <c r="AF109"/>
      <c r="AG109"/>
      <c r="AJ109"/>
      <c r="AK109"/>
      <c r="AL109"/>
      <c r="AM109"/>
      <c r="AN109"/>
      <c r="AS109"/>
      <c r="AT109"/>
      <c r="AU109"/>
      <c r="AV109"/>
      <c r="AW109"/>
      <c r="AX109"/>
      <c r="AY109"/>
      <c r="AZ109"/>
      <c r="BA109"/>
      <c r="BB109"/>
      <c r="BC109"/>
      <c r="BD109"/>
    </row>
    <row r="110" spans="2:56" x14ac:dyDescent="0.25">
      <c r="C110"/>
      <c r="D110" s="7"/>
      <c r="E110" s="7"/>
      <c r="F110" s="7"/>
      <c r="G110" s="7"/>
      <c r="H110" s="7"/>
      <c r="I110" s="7"/>
      <c r="J110" s="7"/>
      <c r="K110" s="7"/>
      <c r="M110" s="7"/>
      <c r="N110" s="7"/>
      <c r="U110" s="7"/>
      <c r="V110" s="7"/>
      <c r="W110" s="7"/>
      <c r="X110"/>
      <c r="Y110"/>
      <c r="AA110"/>
      <c r="AB110"/>
      <c r="AC110"/>
      <c r="AD110"/>
      <c r="AE110"/>
      <c r="AF110"/>
      <c r="AG110"/>
      <c r="AJ110"/>
      <c r="AK110"/>
      <c r="AL110"/>
      <c r="AM110"/>
      <c r="AN110"/>
      <c r="AS110"/>
      <c r="AT110"/>
      <c r="AU110"/>
      <c r="AV110"/>
      <c r="AW110"/>
      <c r="AX110"/>
      <c r="AY110"/>
      <c r="AZ110"/>
      <c r="BA110"/>
      <c r="BB110"/>
      <c r="BC110"/>
      <c r="BD110"/>
    </row>
    <row r="111" spans="2:56" x14ac:dyDescent="0.25">
      <c r="C111"/>
      <c r="D111" s="7"/>
      <c r="E111" s="7"/>
      <c r="F111" s="7"/>
      <c r="G111" s="7"/>
      <c r="H111" s="7"/>
      <c r="I111" s="7"/>
      <c r="J111" s="7"/>
      <c r="K111" s="7"/>
      <c r="M111" s="7"/>
      <c r="N111" s="7"/>
      <c r="U111" s="7"/>
      <c r="V111" s="7"/>
      <c r="W111" s="7"/>
      <c r="X111"/>
      <c r="Y111"/>
      <c r="AA111"/>
      <c r="AB111"/>
      <c r="AC111"/>
      <c r="AD111"/>
      <c r="AE111"/>
      <c r="AF111"/>
      <c r="AG111"/>
      <c r="AJ111"/>
      <c r="AK111"/>
      <c r="AL111"/>
      <c r="AM111"/>
      <c r="AN111"/>
      <c r="AS111"/>
      <c r="AT111"/>
      <c r="AU111"/>
      <c r="AV111"/>
      <c r="AW111"/>
      <c r="AX111"/>
      <c r="AY111"/>
      <c r="AZ111"/>
      <c r="BA111"/>
      <c r="BB111"/>
      <c r="BC111"/>
      <c r="BD111"/>
    </row>
    <row r="112" spans="2:56" x14ac:dyDescent="0.25">
      <c r="C112"/>
      <c r="D112" s="7"/>
      <c r="E112" s="7"/>
      <c r="F112" s="7"/>
      <c r="G112" s="7"/>
      <c r="H112" s="7"/>
      <c r="I112" s="7"/>
      <c r="J112" s="7"/>
      <c r="K112" s="7"/>
      <c r="M112" s="7"/>
      <c r="N112" s="7"/>
      <c r="U112" s="7"/>
      <c r="V112" s="7"/>
      <c r="W112" s="7"/>
      <c r="X112"/>
      <c r="Y112"/>
      <c r="AA112"/>
      <c r="AB112"/>
      <c r="AC112"/>
      <c r="AD112"/>
      <c r="AE112"/>
      <c r="AF112"/>
      <c r="AG112"/>
      <c r="AJ112"/>
      <c r="AK112"/>
      <c r="AL112"/>
      <c r="AM112"/>
      <c r="AN112"/>
      <c r="AS112"/>
      <c r="AT112"/>
      <c r="AU112"/>
      <c r="AV112"/>
      <c r="AW112"/>
      <c r="AX112"/>
      <c r="AY112"/>
      <c r="AZ112"/>
      <c r="BA112"/>
      <c r="BB112"/>
      <c r="BC112"/>
      <c r="BD112"/>
    </row>
    <row r="113" spans="3:56" x14ac:dyDescent="0.25">
      <c r="C113"/>
      <c r="D113" s="7"/>
      <c r="E113" s="7"/>
      <c r="F113" s="7"/>
      <c r="G113" s="7"/>
      <c r="H113" s="7"/>
      <c r="I113" s="7"/>
      <c r="J113" s="7"/>
      <c r="K113" s="7"/>
      <c r="M113" s="7"/>
      <c r="N113" s="7"/>
      <c r="U113" s="7"/>
      <c r="V113" s="7"/>
      <c r="W113" s="7"/>
      <c r="X113"/>
      <c r="Y113"/>
      <c r="AA113"/>
      <c r="AB113"/>
      <c r="AC113"/>
      <c r="AD113"/>
      <c r="AE113"/>
      <c r="AF113"/>
      <c r="AG113"/>
      <c r="AJ113"/>
      <c r="AK113"/>
      <c r="AL113"/>
      <c r="AM113"/>
      <c r="AN113"/>
      <c r="AS113"/>
      <c r="AT113"/>
      <c r="AU113"/>
      <c r="AV113"/>
      <c r="AW113"/>
      <c r="AX113"/>
      <c r="AY113"/>
      <c r="AZ113"/>
      <c r="BA113"/>
      <c r="BB113"/>
      <c r="BC113"/>
      <c r="BD113"/>
    </row>
    <row r="114" spans="3:56" x14ac:dyDescent="0.25">
      <c r="C114"/>
      <c r="D114" s="7"/>
      <c r="E114" s="7"/>
      <c r="F114" s="7"/>
      <c r="G114" s="7"/>
      <c r="H114" s="7"/>
      <c r="I114" s="7"/>
      <c r="J114" s="7"/>
      <c r="K114" s="7"/>
      <c r="M114" s="7"/>
      <c r="N114" s="7"/>
      <c r="U114" s="7"/>
      <c r="V114" s="7"/>
      <c r="W114" s="7"/>
      <c r="X114"/>
      <c r="Y114"/>
      <c r="AA114"/>
      <c r="AB114"/>
      <c r="AC114"/>
      <c r="AD114"/>
      <c r="AE114"/>
      <c r="AF114"/>
      <c r="AG114"/>
      <c r="AJ114"/>
      <c r="AK114"/>
      <c r="AL114"/>
      <c r="AM114"/>
      <c r="AN114"/>
      <c r="AS114"/>
      <c r="AT114"/>
      <c r="AU114"/>
      <c r="AV114"/>
      <c r="AW114"/>
      <c r="AX114"/>
      <c r="AY114"/>
      <c r="AZ114"/>
      <c r="BA114"/>
      <c r="BB114"/>
      <c r="BC114"/>
      <c r="BD114"/>
    </row>
    <row r="115" spans="3:56" x14ac:dyDescent="0.25">
      <c r="C115"/>
      <c r="D115" s="7"/>
      <c r="E115" s="7"/>
      <c r="F115" s="7"/>
      <c r="G115" s="7"/>
      <c r="H115" s="7"/>
      <c r="I115" s="7"/>
      <c r="J115" s="7"/>
      <c r="K115" s="7"/>
      <c r="M115" s="7"/>
      <c r="N115" s="7"/>
      <c r="U115" s="7"/>
      <c r="V115" s="7"/>
      <c r="W115" s="7"/>
      <c r="X115"/>
      <c r="Y115"/>
      <c r="AA115"/>
      <c r="AB115"/>
      <c r="AC115"/>
      <c r="AD115"/>
      <c r="AE115"/>
      <c r="AF115"/>
      <c r="AG115"/>
      <c r="AJ115"/>
      <c r="AK115"/>
      <c r="AL115"/>
      <c r="AM115"/>
      <c r="AN115"/>
      <c r="AS115"/>
      <c r="AT115"/>
      <c r="AU115"/>
      <c r="AV115"/>
      <c r="AW115"/>
      <c r="AX115"/>
      <c r="AY115"/>
      <c r="AZ115"/>
      <c r="BA115"/>
      <c r="BB115"/>
      <c r="BC115"/>
      <c r="BD115"/>
    </row>
    <row r="116" spans="3:56" x14ac:dyDescent="0.25">
      <c r="C116"/>
      <c r="D116" s="7"/>
      <c r="E116" s="7"/>
      <c r="F116" s="7"/>
      <c r="G116" s="7"/>
      <c r="H116" s="7"/>
      <c r="I116" s="7"/>
      <c r="J116" s="7"/>
      <c r="K116" s="7"/>
      <c r="M116" s="7"/>
      <c r="N116" s="7"/>
      <c r="U116" s="7"/>
      <c r="V116" s="7"/>
      <c r="W116" s="7"/>
      <c r="X116"/>
      <c r="Y116"/>
      <c r="AA116"/>
      <c r="AB116"/>
      <c r="AC116"/>
      <c r="AD116"/>
      <c r="AE116"/>
      <c r="AF116"/>
      <c r="AG116"/>
      <c r="AJ116"/>
      <c r="AK116"/>
      <c r="AL116"/>
      <c r="AM116"/>
      <c r="AN116"/>
      <c r="AS116"/>
      <c r="AT116"/>
      <c r="AU116"/>
      <c r="AV116"/>
      <c r="AW116"/>
      <c r="AX116"/>
      <c r="AY116"/>
      <c r="AZ116"/>
      <c r="BA116"/>
      <c r="BB116"/>
      <c r="BC116"/>
      <c r="BD116"/>
    </row>
    <row r="117" spans="3:56" x14ac:dyDescent="0.25">
      <c r="C117"/>
      <c r="D117" s="7"/>
      <c r="E117" s="7"/>
      <c r="F117" s="7"/>
      <c r="G117" s="7"/>
      <c r="H117" s="7"/>
      <c r="I117" s="7"/>
      <c r="J117" s="7"/>
      <c r="K117" s="7"/>
      <c r="M117" s="7"/>
      <c r="N117" s="7"/>
      <c r="U117" s="7"/>
      <c r="V117" s="7"/>
      <c r="W117" s="7"/>
      <c r="X117"/>
      <c r="Y117"/>
      <c r="AA117"/>
      <c r="AB117"/>
      <c r="AC117"/>
      <c r="AD117"/>
      <c r="AE117"/>
      <c r="AF117"/>
      <c r="AG117"/>
      <c r="AJ117"/>
      <c r="AK117"/>
      <c r="AL117"/>
      <c r="AM117"/>
      <c r="AN117"/>
      <c r="AS117"/>
      <c r="AT117"/>
      <c r="AU117"/>
      <c r="AV117"/>
      <c r="AW117"/>
      <c r="AX117"/>
      <c r="AY117"/>
      <c r="AZ117"/>
      <c r="BA117"/>
      <c r="BB117"/>
      <c r="BC117"/>
      <c r="BD117"/>
    </row>
    <row r="118" spans="3:56" x14ac:dyDescent="0.25">
      <c r="C118"/>
      <c r="D118" s="7"/>
      <c r="E118" s="7"/>
      <c r="F118" s="7"/>
      <c r="G118" s="7"/>
      <c r="H118" s="7"/>
      <c r="I118" s="7"/>
      <c r="J118" s="7"/>
      <c r="K118" s="7"/>
      <c r="M118" s="7"/>
      <c r="N118" s="7"/>
      <c r="U118" s="7"/>
      <c r="V118" s="7"/>
      <c r="W118" s="7"/>
      <c r="X118"/>
      <c r="Y118"/>
      <c r="AA118"/>
      <c r="AB118"/>
      <c r="AC118"/>
      <c r="AD118"/>
      <c r="AE118"/>
      <c r="AF118"/>
      <c r="AG118"/>
      <c r="AJ118"/>
      <c r="AK118"/>
      <c r="AL118"/>
      <c r="AM118"/>
      <c r="AN118"/>
      <c r="AS118"/>
      <c r="AT118"/>
      <c r="AU118"/>
      <c r="AV118"/>
      <c r="AW118"/>
      <c r="AX118"/>
      <c r="AY118"/>
      <c r="AZ118"/>
      <c r="BA118"/>
      <c r="BB118"/>
      <c r="BC118"/>
      <c r="BD118"/>
    </row>
    <row r="119" spans="3:56" x14ac:dyDescent="0.25">
      <c r="C119"/>
      <c r="D119" s="7"/>
      <c r="E119" s="7"/>
      <c r="F119" s="7"/>
      <c r="G119" s="7"/>
      <c r="H119" s="7"/>
      <c r="I119" s="7"/>
      <c r="J119" s="7"/>
      <c r="K119" s="7"/>
      <c r="M119" s="7"/>
      <c r="N119" s="7"/>
      <c r="U119" s="7"/>
      <c r="V119" s="7"/>
      <c r="W119" s="7"/>
      <c r="X119"/>
      <c r="Y119"/>
      <c r="AA119"/>
      <c r="AB119"/>
      <c r="AC119"/>
      <c r="AD119"/>
      <c r="AE119"/>
      <c r="AF119"/>
      <c r="AG119"/>
      <c r="AJ119"/>
      <c r="AK119"/>
      <c r="AL119"/>
      <c r="AM119"/>
      <c r="AN119"/>
      <c r="AS119"/>
      <c r="AT119"/>
      <c r="AU119"/>
      <c r="AV119"/>
      <c r="AW119"/>
      <c r="AX119"/>
      <c r="AY119"/>
      <c r="AZ119"/>
      <c r="BA119"/>
      <c r="BB119"/>
      <c r="BC119"/>
      <c r="BD119"/>
    </row>
    <row r="120" spans="3:56" x14ac:dyDescent="0.25">
      <c r="C120"/>
      <c r="D120" s="7"/>
      <c r="E120" s="7"/>
      <c r="F120" s="7"/>
      <c r="G120" s="7"/>
      <c r="H120" s="7"/>
      <c r="I120" s="7"/>
      <c r="J120" s="7"/>
      <c r="K120" s="7"/>
      <c r="M120" s="7"/>
      <c r="N120" s="7"/>
      <c r="U120" s="7"/>
      <c r="V120" s="7"/>
      <c r="W120" s="7"/>
      <c r="X120"/>
      <c r="Y120"/>
      <c r="AA120"/>
      <c r="AB120"/>
      <c r="AC120"/>
      <c r="AD120"/>
      <c r="AE120"/>
      <c r="AF120"/>
      <c r="AG120"/>
      <c r="AJ120"/>
      <c r="AK120"/>
      <c r="AL120"/>
      <c r="AM120"/>
      <c r="AN120"/>
      <c r="AS120"/>
      <c r="AT120"/>
      <c r="AU120"/>
      <c r="AV120"/>
      <c r="AW120"/>
      <c r="AX120"/>
      <c r="AY120"/>
      <c r="AZ120"/>
      <c r="BA120"/>
      <c r="BB120"/>
      <c r="BC120"/>
      <c r="BD120"/>
    </row>
    <row r="121" spans="3:56" x14ac:dyDescent="0.25">
      <c r="C121"/>
      <c r="D121" s="7"/>
      <c r="E121" s="7"/>
      <c r="F121" s="7"/>
      <c r="G121" s="7"/>
      <c r="H121" s="7"/>
      <c r="I121" s="7"/>
      <c r="J121" s="7"/>
      <c r="K121" s="7"/>
      <c r="M121" s="7"/>
      <c r="N121" s="7"/>
      <c r="U121" s="7"/>
      <c r="V121" s="7"/>
      <c r="W121" s="7"/>
      <c r="X121"/>
      <c r="Y121"/>
      <c r="AA121"/>
      <c r="AB121"/>
      <c r="AC121"/>
      <c r="AD121"/>
      <c r="AE121"/>
      <c r="AF121"/>
      <c r="AG121"/>
      <c r="AJ121"/>
      <c r="AK121"/>
      <c r="AL121"/>
      <c r="AM121"/>
      <c r="AN121"/>
      <c r="AS121"/>
      <c r="AT121"/>
      <c r="AU121"/>
      <c r="AV121"/>
      <c r="AW121"/>
      <c r="AX121"/>
      <c r="AY121"/>
      <c r="AZ121"/>
      <c r="BA121"/>
      <c r="BB121"/>
      <c r="BC121"/>
      <c r="BD121"/>
    </row>
    <row r="122" spans="3:56" x14ac:dyDescent="0.25">
      <c r="C122"/>
      <c r="D122" s="7"/>
      <c r="E122" s="7"/>
      <c r="F122" s="7"/>
      <c r="G122" s="7"/>
      <c r="H122" s="7"/>
      <c r="I122" s="7"/>
      <c r="J122" s="7"/>
      <c r="K122" s="7"/>
      <c r="M122" s="7"/>
      <c r="N122" s="7"/>
      <c r="U122" s="7"/>
      <c r="V122" s="7"/>
      <c r="W122" s="7"/>
      <c r="X122"/>
      <c r="Y122"/>
      <c r="AA122"/>
      <c r="AB122"/>
      <c r="AC122"/>
      <c r="AD122"/>
      <c r="AE122"/>
      <c r="AF122"/>
      <c r="AG122"/>
      <c r="AJ122"/>
      <c r="AK122"/>
      <c r="AL122"/>
      <c r="AM122"/>
      <c r="AN122"/>
      <c r="AS122"/>
      <c r="AT122"/>
      <c r="AU122"/>
      <c r="AV122"/>
      <c r="AW122"/>
      <c r="AX122"/>
      <c r="AY122"/>
      <c r="AZ122"/>
      <c r="BA122"/>
      <c r="BB122"/>
      <c r="BC122"/>
      <c r="BD122"/>
    </row>
    <row r="123" spans="3:56" x14ac:dyDescent="0.25">
      <c r="C123"/>
      <c r="D123" s="7"/>
      <c r="E123" s="7"/>
      <c r="F123" s="7"/>
      <c r="G123" s="7"/>
      <c r="H123" s="7"/>
      <c r="I123" s="7"/>
      <c r="J123" s="7"/>
      <c r="K123" s="7"/>
      <c r="M123" s="7"/>
      <c r="N123" s="7"/>
      <c r="U123" s="7"/>
      <c r="V123" s="7"/>
      <c r="W123" s="7"/>
      <c r="X123"/>
      <c r="Y123"/>
      <c r="AA123"/>
      <c r="AB123"/>
      <c r="AC123"/>
      <c r="AD123"/>
      <c r="AE123"/>
      <c r="AF123"/>
      <c r="AG123"/>
      <c r="AJ123"/>
      <c r="AK123"/>
      <c r="AL123"/>
      <c r="AM123"/>
      <c r="AN123"/>
      <c r="AS123"/>
      <c r="AT123"/>
      <c r="AU123"/>
      <c r="AV123"/>
      <c r="AW123"/>
      <c r="AX123"/>
      <c r="AY123"/>
      <c r="AZ123"/>
      <c r="BA123"/>
      <c r="BB123"/>
      <c r="BC123"/>
      <c r="BD123"/>
    </row>
    <row r="124" spans="3:56" x14ac:dyDescent="0.25">
      <c r="C124"/>
      <c r="D124" s="7"/>
      <c r="E124" s="7"/>
      <c r="F124" s="7"/>
      <c r="G124" s="7"/>
      <c r="H124" s="7"/>
      <c r="I124" s="7"/>
      <c r="J124" s="7"/>
      <c r="K124" s="7"/>
      <c r="M124" s="7"/>
      <c r="N124" s="7"/>
      <c r="U124" s="7"/>
      <c r="V124" s="7"/>
      <c r="W124" s="7"/>
      <c r="X124"/>
      <c r="Y124"/>
      <c r="AA124"/>
      <c r="AB124"/>
      <c r="AC124"/>
      <c r="AD124"/>
      <c r="AE124"/>
      <c r="AF124"/>
      <c r="AG124"/>
      <c r="AJ124"/>
      <c r="AK124"/>
      <c r="AL124"/>
      <c r="AM124"/>
      <c r="AN124"/>
      <c r="AS124"/>
      <c r="AT124"/>
      <c r="AU124"/>
      <c r="AV124"/>
      <c r="AW124"/>
      <c r="AX124"/>
      <c r="AY124"/>
      <c r="AZ124"/>
      <c r="BA124"/>
      <c r="BB124"/>
      <c r="BC124"/>
      <c r="BD124"/>
    </row>
    <row r="125" spans="3:56" x14ac:dyDescent="0.25">
      <c r="C125"/>
      <c r="D125" s="7"/>
      <c r="E125" s="7"/>
      <c r="F125" s="7"/>
      <c r="G125" s="7"/>
      <c r="H125" s="7"/>
      <c r="I125" s="7"/>
      <c r="J125" s="7"/>
      <c r="K125" s="7"/>
      <c r="M125" s="7"/>
      <c r="N125" s="7"/>
      <c r="U125" s="7"/>
      <c r="V125" s="7"/>
      <c r="W125" s="7"/>
      <c r="X125"/>
      <c r="Y125"/>
      <c r="AA125"/>
      <c r="AB125"/>
      <c r="AC125"/>
      <c r="AD125"/>
      <c r="AE125"/>
      <c r="AF125"/>
      <c r="AG125"/>
      <c r="AJ125"/>
      <c r="AK125"/>
      <c r="AL125"/>
      <c r="AM125"/>
      <c r="AN125"/>
      <c r="AS125"/>
      <c r="AT125"/>
      <c r="AU125"/>
      <c r="AV125"/>
      <c r="AW125"/>
      <c r="AX125"/>
      <c r="AY125"/>
      <c r="AZ125"/>
      <c r="BA125"/>
      <c r="BB125"/>
      <c r="BC125"/>
      <c r="BD125"/>
    </row>
    <row r="126" spans="3:56" x14ac:dyDescent="0.25">
      <c r="C126"/>
      <c r="D126" s="7"/>
      <c r="E126" s="7"/>
      <c r="F126" s="7"/>
      <c r="G126" s="7"/>
      <c r="H126" s="7"/>
      <c r="I126" s="7"/>
      <c r="J126" s="7"/>
      <c r="K126" s="7"/>
      <c r="M126" s="7"/>
      <c r="N126" s="7"/>
      <c r="U126" s="7"/>
      <c r="V126" s="7"/>
      <c r="W126" s="7"/>
      <c r="X126"/>
      <c r="Y126"/>
      <c r="AA126"/>
      <c r="AB126"/>
      <c r="AC126"/>
      <c r="AD126"/>
      <c r="AE126"/>
      <c r="AF126"/>
      <c r="AG126"/>
      <c r="AJ126"/>
      <c r="AK126"/>
      <c r="AL126"/>
      <c r="AM126"/>
      <c r="AN126"/>
      <c r="AS126"/>
      <c r="AT126"/>
      <c r="AU126"/>
      <c r="AV126"/>
      <c r="AW126"/>
      <c r="AX126"/>
      <c r="AY126"/>
      <c r="AZ126"/>
      <c r="BA126"/>
      <c r="BB126"/>
      <c r="BC126"/>
      <c r="BD126"/>
    </row>
    <row r="127" spans="3:56" x14ac:dyDescent="0.25">
      <c r="C127"/>
      <c r="D127" s="7"/>
      <c r="E127" s="7"/>
      <c r="F127" s="7"/>
      <c r="G127" s="7"/>
      <c r="H127" s="7"/>
      <c r="I127" s="7"/>
      <c r="J127" s="7"/>
      <c r="K127" s="7"/>
      <c r="M127" s="7"/>
      <c r="N127" s="7"/>
      <c r="U127" s="7"/>
      <c r="V127" s="7"/>
      <c r="W127" s="7"/>
      <c r="X127"/>
      <c r="Y127"/>
      <c r="AA127"/>
      <c r="AB127"/>
      <c r="AC127"/>
      <c r="AD127"/>
      <c r="AE127"/>
      <c r="AF127"/>
      <c r="AG127"/>
      <c r="AJ127"/>
      <c r="AK127"/>
      <c r="AL127"/>
      <c r="AM127"/>
      <c r="AN127"/>
      <c r="AS127"/>
      <c r="AT127"/>
      <c r="AU127"/>
      <c r="AV127"/>
      <c r="AW127"/>
      <c r="AX127"/>
      <c r="AY127"/>
      <c r="AZ127"/>
      <c r="BA127"/>
      <c r="BB127"/>
      <c r="BC127"/>
      <c r="BD127"/>
    </row>
    <row r="128" spans="3:56" x14ac:dyDescent="0.25">
      <c r="C128"/>
      <c r="D128" s="7"/>
      <c r="E128" s="7"/>
      <c r="F128" s="7"/>
      <c r="G128" s="7"/>
      <c r="H128" s="7"/>
      <c r="I128" s="7"/>
      <c r="J128" s="7"/>
      <c r="K128" s="7"/>
      <c r="M128" s="7"/>
      <c r="N128" s="7"/>
      <c r="U128" s="7"/>
      <c r="V128" s="7"/>
      <c r="W128" s="7"/>
      <c r="X128"/>
      <c r="Y128"/>
      <c r="AA128"/>
      <c r="AB128"/>
      <c r="AC128"/>
      <c r="AD128"/>
      <c r="AE128"/>
      <c r="AF128"/>
      <c r="AG128"/>
      <c r="AJ128"/>
      <c r="AK128"/>
      <c r="AL128"/>
      <c r="AM128"/>
      <c r="AN128"/>
      <c r="AS128"/>
      <c r="AT128"/>
      <c r="AU128"/>
      <c r="AV128"/>
      <c r="AW128"/>
      <c r="AX128"/>
      <c r="AY128"/>
      <c r="AZ128"/>
      <c r="BA128"/>
      <c r="BB128"/>
      <c r="BC128"/>
      <c r="BD128"/>
    </row>
    <row r="129" spans="3:56" x14ac:dyDescent="0.25">
      <c r="C129"/>
      <c r="D129" s="7"/>
      <c r="E129" s="7"/>
      <c r="F129" s="7"/>
      <c r="G129" s="7"/>
      <c r="H129" s="7"/>
      <c r="I129" s="7"/>
      <c r="J129" s="7"/>
      <c r="K129" s="7"/>
      <c r="M129" s="7"/>
      <c r="N129" s="7"/>
      <c r="U129" s="7"/>
      <c r="V129" s="7"/>
      <c r="W129" s="7"/>
      <c r="X129"/>
      <c r="Y129"/>
      <c r="AA129"/>
      <c r="AB129"/>
      <c r="AC129"/>
      <c r="AD129"/>
      <c r="AE129"/>
      <c r="AF129"/>
      <c r="AG129"/>
      <c r="AJ129"/>
      <c r="AK129"/>
      <c r="AL129"/>
      <c r="AM129"/>
      <c r="AN129"/>
      <c r="AS129"/>
      <c r="AT129"/>
      <c r="AU129"/>
      <c r="AV129"/>
      <c r="AW129"/>
      <c r="AX129"/>
      <c r="AY129"/>
      <c r="AZ129"/>
      <c r="BA129"/>
      <c r="BB129"/>
      <c r="BC129"/>
      <c r="BD129"/>
    </row>
    <row r="130" spans="3:56" x14ac:dyDescent="0.25">
      <c r="C130"/>
      <c r="D130" s="7"/>
      <c r="E130" s="7"/>
      <c r="F130" s="7"/>
      <c r="G130" s="7"/>
      <c r="H130" s="7"/>
      <c r="I130" s="7"/>
      <c r="J130" s="7"/>
      <c r="K130" s="7"/>
      <c r="M130" s="7"/>
      <c r="N130" s="7"/>
      <c r="U130" s="7"/>
      <c r="V130" s="7"/>
      <c r="W130" s="7"/>
      <c r="X130"/>
      <c r="Y130"/>
      <c r="AA130"/>
      <c r="AB130"/>
      <c r="AC130"/>
      <c r="AD130"/>
      <c r="AE130"/>
      <c r="AF130"/>
      <c r="AG130"/>
      <c r="AJ130"/>
      <c r="AK130"/>
      <c r="AL130"/>
      <c r="AM130"/>
      <c r="AN130"/>
      <c r="AS130"/>
      <c r="AT130"/>
      <c r="AU130"/>
      <c r="AV130"/>
      <c r="AW130"/>
      <c r="AX130"/>
      <c r="AY130"/>
      <c r="AZ130"/>
      <c r="BA130"/>
      <c r="BB130"/>
      <c r="BC130"/>
      <c r="BD130"/>
    </row>
    <row r="131" spans="3:56" x14ac:dyDescent="0.25">
      <c r="C131"/>
      <c r="D131" s="7"/>
      <c r="E131" s="7"/>
      <c r="F131" s="7"/>
      <c r="G131" s="7"/>
      <c r="H131" s="7"/>
      <c r="I131" s="7"/>
      <c r="J131" s="7"/>
      <c r="K131" s="7"/>
      <c r="M131" s="7"/>
      <c r="N131" s="7"/>
      <c r="U131" s="7"/>
      <c r="V131" s="7"/>
      <c r="W131" s="7"/>
      <c r="X131"/>
      <c r="Y131"/>
      <c r="AA131"/>
      <c r="AB131"/>
      <c r="AC131"/>
      <c r="AD131"/>
      <c r="AE131"/>
      <c r="AF131"/>
      <c r="AG131"/>
      <c r="AJ131"/>
      <c r="AK131"/>
      <c r="AL131"/>
      <c r="AM131"/>
      <c r="AN131"/>
      <c r="AS131"/>
      <c r="AT131"/>
      <c r="AU131"/>
      <c r="AV131"/>
      <c r="AW131"/>
      <c r="AX131"/>
      <c r="AY131"/>
      <c r="AZ131"/>
      <c r="BA131"/>
      <c r="BB131"/>
      <c r="BC131"/>
      <c r="BD131"/>
    </row>
    <row r="132" spans="3:56" x14ac:dyDescent="0.25">
      <c r="C132"/>
      <c r="D132" s="7"/>
      <c r="E132" s="7"/>
      <c r="F132" s="7"/>
      <c r="G132" s="7"/>
      <c r="H132" s="7"/>
      <c r="I132" s="7"/>
      <c r="J132" s="7"/>
      <c r="K132" s="7"/>
      <c r="M132" s="7"/>
      <c r="N132" s="7"/>
      <c r="U132" s="7"/>
      <c r="V132" s="7"/>
      <c r="W132" s="7"/>
      <c r="X132"/>
      <c r="Y132"/>
      <c r="AA132"/>
      <c r="AB132"/>
      <c r="AC132"/>
      <c r="AD132"/>
      <c r="AE132"/>
      <c r="AF132"/>
      <c r="AG132"/>
      <c r="AJ132"/>
      <c r="AK132"/>
      <c r="AL132"/>
      <c r="AM132"/>
      <c r="AN132"/>
      <c r="AS132"/>
      <c r="AT132"/>
      <c r="AU132"/>
      <c r="AV132"/>
      <c r="AW132"/>
      <c r="AX132"/>
      <c r="AY132"/>
      <c r="AZ132"/>
      <c r="BA132"/>
      <c r="BB132"/>
      <c r="BC132"/>
      <c r="BD132"/>
    </row>
    <row r="133" spans="3:56" x14ac:dyDescent="0.25">
      <c r="C133"/>
      <c r="D133" s="7"/>
      <c r="E133" s="7"/>
      <c r="F133" s="7"/>
      <c r="G133" s="7"/>
      <c r="H133" s="7"/>
      <c r="I133" s="7"/>
      <c r="J133" s="7"/>
      <c r="K133" s="7"/>
      <c r="M133" s="7"/>
      <c r="N133" s="7"/>
      <c r="U133" s="7"/>
      <c r="V133" s="7"/>
      <c r="W133" s="7"/>
      <c r="X133"/>
      <c r="Y133"/>
      <c r="AA133"/>
      <c r="AB133"/>
      <c r="AC133"/>
      <c r="AD133"/>
      <c r="AE133"/>
      <c r="AF133"/>
      <c r="AG133"/>
      <c r="AJ133"/>
      <c r="AK133"/>
      <c r="AL133"/>
      <c r="AM133"/>
      <c r="AN133"/>
      <c r="AS133"/>
      <c r="AT133"/>
      <c r="AU133"/>
      <c r="AV133"/>
      <c r="AW133"/>
      <c r="AX133"/>
      <c r="AY133"/>
      <c r="AZ133"/>
      <c r="BA133"/>
      <c r="BB133"/>
      <c r="BC133"/>
      <c r="BD133"/>
    </row>
    <row r="134" spans="3:56" x14ac:dyDescent="0.25">
      <c r="C134"/>
      <c r="D134" s="7"/>
      <c r="E134" s="7"/>
      <c r="F134" s="7"/>
      <c r="G134" s="7"/>
      <c r="H134" s="7"/>
      <c r="I134" s="7"/>
      <c r="J134" s="7"/>
      <c r="K134" s="7"/>
      <c r="M134" s="7"/>
      <c r="N134" s="7"/>
      <c r="U134" s="7"/>
      <c r="V134" s="7"/>
      <c r="W134" s="7"/>
      <c r="X134"/>
      <c r="Y134"/>
      <c r="AA134"/>
      <c r="AB134"/>
      <c r="AC134"/>
      <c r="AD134"/>
      <c r="AE134"/>
      <c r="AF134"/>
      <c r="AG134"/>
      <c r="AJ134"/>
      <c r="AK134"/>
      <c r="AL134"/>
      <c r="AM134"/>
      <c r="AN134"/>
      <c r="AS134"/>
      <c r="AT134"/>
      <c r="AU134"/>
      <c r="AV134"/>
      <c r="AW134"/>
      <c r="AX134"/>
      <c r="AY134"/>
      <c r="AZ134"/>
      <c r="BA134"/>
      <c r="BB134"/>
      <c r="BC134"/>
      <c r="BD134"/>
    </row>
    <row r="135" spans="3:56" x14ac:dyDescent="0.25">
      <c r="C135"/>
      <c r="D135" s="7"/>
      <c r="E135" s="7"/>
      <c r="F135" s="7"/>
      <c r="G135" s="7"/>
      <c r="H135" s="7"/>
      <c r="I135" s="7"/>
      <c r="J135" s="7"/>
      <c r="K135" s="7"/>
      <c r="M135" s="7"/>
      <c r="N135" s="7"/>
      <c r="U135" s="7"/>
      <c r="V135" s="7"/>
      <c r="W135" s="7"/>
      <c r="X135"/>
      <c r="Y135"/>
      <c r="AA135"/>
      <c r="AB135"/>
      <c r="AC135"/>
      <c r="AD135"/>
      <c r="AE135"/>
      <c r="AF135"/>
      <c r="AG135"/>
      <c r="AJ135"/>
      <c r="AK135"/>
      <c r="AL135"/>
      <c r="AM135"/>
      <c r="AN135"/>
      <c r="AS135"/>
      <c r="AT135"/>
      <c r="AU135"/>
      <c r="AV135"/>
      <c r="AW135"/>
      <c r="AX135"/>
      <c r="AY135"/>
      <c r="AZ135"/>
      <c r="BA135"/>
      <c r="BB135"/>
      <c r="BC135"/>
      <c r="BD135"/>
    </row>
    <row r="136" spans="3:56" x14ac:dyDescent="0.25">
      <c r="C136"/>
      <c r="D136" s="7"/>
      <c r="E136" s="7"/>
      <c r="F136" s="7"/>
      <c r="G136" s="7"/>
      <c r="H136" s="7"/>
      <c r="I136" s="7"/>
      <c r="J136" s="7"/>
      <c r="K136" s="7"/>
      <c r="M136" s="7"/>
      <c r="N136" s="7"/>
      <c r="U136" s="7"/>
      <c r="V136" s="7"/>
      <c r="W136" s="7"/>
      <c r="X136"/>
      <c r="Y136"/>
      <c r="AA136"/>
      <c r="AB136"/>
      <c r="AC136"/>
      <c r="AD136"/>
      <c r="AE136"/>
      <c r="AF136"/>
      <c r="AG136"/>
      <c r="AJ136"/>
      <c r="AK136"/>
      <c r="AL136"/>
      <c r="AM136"/>
      <c r="AN136"/>
      <c r="AS136"/>
      <c r="AT136"/>
      <c r="AU136"/>
      <c r="AV136"/>
      <c r="AW136"/>
      <c r="AX136"/>
      <c r="AY136"/>
      <c r="AZ136"/>
      <c r="BA136"/>
      <c r="BB136"/>
      <c r="BC136"/>
      <c r="BD136"/>
    </row>
    <row r="137" spans="3:56" x14ac:dyDescent="0.25">
      <c r="C137"/>
      <c r="D137" s="7"/>
      <c r="E137" s="7"/>
      <c r="F137" s="7"/>
      <c r="G137" s="7"/>
      <c r="H137" s="7"/>
      <c r="I137" s="7"/>
      <c r="J137" s="7"/>
      <c r="K137" s="7"/>
      <c r="M137" s="7"/>
      <c r="N137" s="7"/>
      <c r="U137" s="7"/>
      <c r="V137" s="7"/>
      <c r="W137" s="7"/>
      <c r="X137"/>
      <c r="Y137"/>
      <c r="AA137"/>
      <c r="AB137"/>
      <c r="AC137"/>
      <c r="AD137"/>
      <c r="AE137"/>
      <c r="AF137"/>
      <c r="AG137"/>
      <c r="AJ137"/>
      <c r="AK137"/>
      <c r="AL137"/>
      <c r="AM137"/>
      <c r="AN137"/>
      <c r="AS137"/>
      <c r="AT137"/>
      <c r="AU137"/>
      <c r="AV137"/>
      <c r="AW137"/>
      <c r="AX137"/>
      <c r="AY137"/>
      <c r="AZ137"/>
      <c r="BA137"/>
      <c r="BB137"/>
      <c r="BC137"/>
      <c r="BD137"/>
    </row>
    <row r="138" spans="3:56" x14ac:dyDescent="0.25">
      <c r="C138"/>
      <c r="D138" s="7"/>
      <c r="E138" s="7"/>
      <c r="F138" s="7"/>
      <c r="G138" s="7"/>
      <c r="H138" s="7"/>
      <c r="I138" s="7"/>
      <c r="J138" s="7"/>
      <c r="K138" s="7"/>
      <c r="M138" s="7"/>
      <c r="N138" s="7"/>
      <c r="U138" s="7"/>
      <c r="V138" s="7"/>
      <c r="W138" s="7"/>
      <c r="X138"/>
      <c r="Y138"/>
      <c r="AA138"/>
      <c r="AB138"/>
      <c r="AC138"/>
      <c r="AD138"/>
      <c r="AE138"/>
      <c r="AF138"/>
      <c r="AG138"/>
      <c r="AJ138"/>
      <c r="AK138"/>
      <c r="AL138"/>
      <c r="AM138"/>
      <c r="AN138"/>
      <c r="AS138"/>
      <c r="AT138"/>
      <c r="AU138"/>
      <c r="AV138"/>
      <c r="AW138"/>
      <c r="AX138"/>
      <c r="AY138"/>
      <c r="AZ138"/>
      <c r="BA138"/>
      <c r="BB138"/>
      <c r="BC138"/>
      <c r="BD138"/>
    </row>
    <row r="139" spans="3:56" x14ac:dyDescent="0.25">
      <c r="C139"/>
      <c r="D139" s="7"/>
      <c r="E139" s="7"/>
      <c r="F139" s="7"/>
      <c r="G139" s="7"/>
      <c r="H139" s="7"/>
      <c r="I139" s="7"/>
      <c r="J139" s="7"/>
      <c r="K139" s="7"/>
      <c r="M139" s="7"/>
      <c r="N139" s="7"/>
      <c r="U139" s="7"/>
      <c r="V139" s="7"/>
      <c r="W139" s="7"/>
      <c r="X139"/>
      <c r="Y139"/>
      <c r="AA139"/>
      <c r="AB139"/>
      <c r="AC139"/>
      <c r="AD139"/>
      <c r="AE139"/>
      <c r="AF139"/>
      <c r="AG139"/>
      <c r="AJ139"/>
      <c r="AK139"/>
      <c r="AL139"/>
      <c r="AM139"/>
      <c r="AN139"/>
      <c r="AS139"/>
      <c r="AT139"/>
      <c r="AU139"/>
      <c r="AV139"/>
      <c r="AW139"/>
      <c r="AX139"/>
      <c r="AY139"/>
      <c r="AZ139"/>
      <c r="BA139"/>
      <c r="BB139"/>
      <c r="BC139"/>
      <c r="BD139"/>
    </row>
    <row r="140" spans="3:56" x14ac:dyDescent="0.25">
      <c r="C140"/>
      <c r="D140" s="7"/>
      <c r="E140" s="7"/>
      <c r="F140" s="7"/>
      <c r="G140" s="7"/>
      <c r="H140" s="7"/>
      <c r="I140" s="7"/>
      <c r="J140" s="7"/>
      <c r="K140" s="7"/>
      <c r="M140" s="7"/>
      <c r="N140" s="7"/>
      <c r="U140" s="7"/>
      <c r="V140" s="7"/>
      <c r="W140" s="7"/>
      <c r="X140"/>
      <c r="Y140"/>
      <c r="AA140"/>
      <c r="AB140"/>
      <c r="AC140"/>
      <c r="AD140"/>
      <c r="AE140"/>
      <c r="AF140"/>
      <c r="AG140"/>
      <c r="AJ140"/>
      <c r="AK140"/>
      <c r="AL140"/>
      <c r="AM140"/>
      <c r="AN140"/>
      <c r="AS140"/>
      <c r="AT140"/>
      <c r="AU140"/>
      <c r="AV140"/>
      <c r="AW140"/>
      <c r="AX140"/>
      <c r="AY140"/>
      <c r="AZ140"/>
      <c r="BA140"/>
      <c r="BB140"/>
      <c r="BC140"/>
      <c r="BD140"/>
    </row>
    <row r="141" spans="3:56" x14ac:dyDescent="0.25">
      <c r="C141"/>
      <c r="D141" s="7"/>
      <c r="E141" s="7"/>
      <c r="F141" s="7"/>
      <c r="G141" s="7"/>
      <c r="H141" s="7"/>
      <c r="I141" s="7"/>
      <c r="J141" s="7"/>
      <c r="K141" s="7"/>
      <c r="M141" s="7"/>
      <c r="N141" s="7"/>
      <c r="U141" s="7"/>
      <c r="V141" s="7"/>
      <c r="W141" s="7"/>
      <c r="X141"/>
      <c r="Y141"/>
      <c r="AA141"/>
      <c r="AB141"/>
      <c r="AC141"/>
      <c r="AD141"/>
      <c r="AE141"/>
      <c r="AF141"/>
      <c r="AG141"/>
      <c r="AJ141"/>
      <c r="AK141"/>
      <c r="AL141"/>
      <c r="AM141"/>
      <c r="AN141"/>
      <c r="AS141"/>
      <c r="AT141"/>
      <c r="AU141"/>
      <c r="AV141"/>
      <c r="AW141"/>
      <c r="AX141"/>
      <c r="AY141"/>
      <c r="AZ141"/>
      <c r="BA141"/>
      <c r="BB141"/>
      <c r="BC141"/>
      <c r="BD141"/>
    </row>
    <row r="142" spans="3:56" x14ac:dyDescent="0.25">
      <c r="C142"/>
      <c r="D142" s="7"/>
      <c r="E142" s="7"/>
      <c r="F142" s="7"/>
      <c r="G142" s="7"/>
      <c r="H142" s="7"/>
      <c r="I142" s="7"/>
      <c r="J142" s="7"/>
      <c r="K142" s="7"/>
      <c r="M142" s="7"/>
      <c r="N142" s="7"/>
      <c r="U142" s="7"/>
      <c r="V142" s="7"/>
      <c r="W142" s="7"/>
      <c r="X142"/>
      <c r="Y142"/>
      <c r="AA142"/>
      <c r="AB142"/>
      <c r="AC142"/>
      <c r="AD142"/>
      <c r="AE142"/>
      <c r="AF142"/>
      <c r="AG142"/>
      <c r="AJ142"/>
      <c r="AK142"/>
      <c r="AL142"/>
      <c r="AM142"/>
      <c r="AN142"/>
      <c r="AS142"/>
      <c r="AT142"/>
      <c r="AU142"/>
      <c r="AV142"/>
      <c r="AW142"/>
      <c r="AX142"/>
      <c r="AY142"/>
      <c r="AZ142"/>
      <c r="BA142"/>
      <c r="BB142"/>
      <c r="BC142"/>
      <c r="BD142"/>
    </row>
    <row r="143" spans="3:56" x14ac:dyDescent="0.25">
      <c r="C143"/>
      <c r="D143" s="7"/>
      <c r="E143" s="7"/>
      <c r="F143" s="7"/>
      <c r="G143" s="7"/>
      <c r="H143" s="7"/>
      <c r="I143" s="7"/>
      <c r="J143" s="7"/>
      <c r="K143" s="7"/>
      <c r="M143" s="7"/>
      <c r="N143" s="7"/>
      <c r="U143" s="7"/>
      <c r="V143" s="7"/>
      <c r="W143" s="7"/>
      <c r="X143"/>
      <c r="Y143"/>
      <c r="AA143"/>
      <c r="AB143"/>
      <c r="AC143"/>
      <c r="AD143"/>
      <c r="AE143"/>
      <c r="AF143"/>
      <c r="AG143"/>
      <c r="AJ143"/>
      <c r="AK143"/>
      <c r="AL143"/>
      <c r="AM143"/>
      <c r="AN143"/>
      <c r="AS143"/>
      <c r="AT143"/>
      <c r="AU143"/>
      <c r="AV143"/>
      <c r="AW143"/>
      <c r="AX143"/>
      <c r="AY143"/>
      <c r="AZ143"/>
      <c r="BA143"/>
      <c r="BB143"/>
      <c r="BC143"/>
      <c r="BD143"/>
    </row>
    <row r="144" spans="3:56" x14ac:dyDescent="0.25">
      <c r="C144"/>
      <c r="D144" s="7"/>
      <c r="E144" s="7"/>
      <c r="F144" s="7"/>
      <c r="G144" s="7"/>
      <c r="H144" s="7"/>
      <c r="I144" s="7"/>
      <c r="J144" s="7"/>
      <c r="K144" s="7"/>
      <c r="M144" s="7"/>
      <c r="N144" s="7"/>
      <c r="U144" s="7"/>
      <c r="V144" s="7"/>
      <c r="W144" s="7"/>
      <c r="X144"/>
      <c r="Y144"/>
      <c r="AA144"/>
      <c r="AB144"/>
      <c r="AC144"/>
      <c r="AD144"/>
      <c r="AE144"/>
      <c r="AF144"/>
      <c r="AG144"/>
      <c r="AJ144"/>
      <c r="AK144"/>
      <c r="AL144"/>
      <c r="AM144"/>
      <c r="AN144"/>
      <c r="AS144"/>
      <c r="AT144"/>
      <c r="AU144"/>
      <c r="AV144"/>
      <c r="AW144"/>
      <c r="AX144"/>
      <c r="AY144"/>
      <c r="AZ144"/>
      <c r="BA144"/>
      <c r="BB144"/>
      <c r="BC144"/>
      <c r="BD144"/>
    </row>
    <row r="145" spans="3:56" x14ac:dyDescent="0.25">
      <c r="C145"/>
      <c r="D145" s="7"/>
      <c r="E145" s="7"/>
      <c r="F145" s="7"/>
      <c r="G145" s="7"/>
      <c r="H145" s="7"/>
      <c r="I145" s="7"/>
      <c r="J145" s="7"/>
      <c r="K145" s="7"/>
      <c r="M145" s="7"/>
      <c r="N145" s="7"/>
      <c r="U145" s="7"/>
      <c r="V145" s="7"/>
      <c r="W145" s="7"/>
      <c r="X145"/>
      <c r="Y145"/>
      <c r="AA145"/>
      <c r="AB145"/>
      <c r="AC145"/>
      <c r="AD145"/>
      <c r="AE145"/>
      <c r="AF145"/>
      <c r="AG145"/>
      <c r="AJ145"/>
      <c r="AK145"/>
      <c r="AL145"/>
      <c r="AM145"/>
      <c r="AN145"/>
      <c r="AS145"/>
      <c r="AT145"/>
      <c r="AU145"/>
      <c r="AV145"/>
      <c r="AW145"/>
      <c r="AX145"/>
      <c r="AY145"/>
      <c r="AZ145"/>
      <c r="BA145"/>
      <c r="BB145"/>
      <c r="BC145"/>
      <c r="BD145"/>
    </row>
    <row r="146" spans="3:56" x14ac:dyDescent="0.25">
      <c r="C146"/>
      <c r="D146" s="7"/>
      <c r="E146" s="7"/>
      <c r="F146" s="7"/>
      <c r="G146" s="7"/>
      <c r="H146" s="7"/>
      <c r="I146" s="7"/>
      <c r="J146" s="7"/>
      <c r="K146" s="7"/>
      <c r="M146" s="7"/>
      <c r="N146" s="7"/>
      <c r="U146" s="7"/>
      <c r="V146" s="7"/>
      <c r="W146" s="7"/>
      <c r="X146"/>
      <c r="Y146"/>
      <c r="AA146"/>
      <c r="AB146"/>
      <c r="AC146"/>
      <c r="AD146"/>
      <c r="AE146"/>
      <c r="AF146"/>
      <c r="AG146"/>
      <c r="AJ146"/>
      <c r="AK146"/>
      <c r="AL146"/>
      <c r="AM146"/>
      <c r="AN146"/>
      <c r="AS146"/>
      <c r="AT146"/>
      <c r="AU146"/>
      <c r="AV146"/>
      <c r="AW146"/>
      <c r="AX146"/>
      <c r="AY146"/>
      <c r="AZ146"/>
      <c r="BA146"/>
      <c r="BB146"/>
      <c r="BC146"/>
      <c r="BD146"/>
    </row>
    <row r="147" spans="3:56" x14ac:dyDescent="0.25">
      <c r="C147"/>
      <c r="D147" s="7"/>
      <c r="E147" s="7"/>
      <c r="F147" s="7"/>
      <c r="G147" s="7"/>
      <c r="H147" s="7"/>
      <c r="I147" s="7"/>
      <c r="J147" s="7"/>
      <c r="K147" s="7"/>
      <c r="M147" s="7"/>
      <c r="N147" s="7"/>
      <c r="U147" s="7"/>
      <c r="V147" s="7"/>
      <c r="W147" s="7"/>
      <c r="X147"/>
      <c r="Y147"/>
      <c r="AA147"/>
      <c r="AB147"/>
      <c r="AC147"/>
      <c r="AD147"/>
      <c r="AE147"/>
      <c r="AF147"/>
      <c r="AG147"/>
      <c r="AJ147"/>
      <c r="AK147"/>
      <c r="AL147"/>
      <c r="AM147"/>
      <c r="AN147"/>
      <c r="AS147"/>
      <c r="AT147"/>
      <c r="AU147"/>
      <c r="AV147"/>
      <c r="AW147"/>
      <c r="AX147"/>
      <c r="AY147"/>
      <c r="AZ147"/>
      <c r="BA147"/>
      <c r="BB147"/>
      <c r="BC147"/>
      <c r="BD147"/>
    </row>
    <row r="148" spans="3:56" x14ac:dyDescent="0.25">
      <c r="C148"/>
      <c r="D148" s="7"/>
      <c r="E148" s="7"/>
      <c r="F148" s="7"/>
      <c r="G148" s="7"/>
      <c r="H148" s="7"/>
      <c r="I148" s="7"/>
      <c r="J148" s="7"/>
      <c r="K148" s="7"/>
      <c r="M148" s="7"/>
      <c r="N148" s="7"/>
      <c r="U148" s="7"/>
      <c r="V148" s="7"/>
      <c r="W148" s="7"/>
      <c r="X148"/>
      <c r="Y148"/>
      <c r="AA148"/>
      <c r="AB148"/>
      <c r="AC148"/>
      <c r="AD148"/>
      <c r="AE148"/>
      <c r="AF148"/>
      <c r="AG148"/>
      <c r="AJ148"/>
      <c r="AK148"/>
      <c r="AL148"/>
      <c r="AM148"/>
      <c r="AN148"/>
      <c r="AS148"/>
      <c r="AT148"/>
      <c r="AU148"/>
      <c r="AV148"/>
      <c r="AW148"/>
      <c r="AX148"/>
      <c r="AY148"/>
      <c r="AZ148"/>
      <c r="BA148"/>
      <c r="BB148"/>
      <c r="BC148"/>
      <c r="BD148"/>
    </row>
    <row r="149" spans="3:56" x14ac:dyDescent="0.25">
      <c r="C149"/>
      <c r="D149" s="7"/>
      <c r="E149" s="7"/>
      <c r="F149" s="7"/>
      <c r="G149" s="7"/>
      <c r="H149" s="7"/>
      <c r="I149" s="7"/>
      <c r="J149" s="7"/>
      <c r="K149" s="7"/>
      <c r="M149" s="7"/>
      <c r="N149" s="7"/>
      <c r="U149" s="7"/>
      <c r="V149" s="7"/>
      <c r="W149" s="7"/>
      <c r="X149"/>
      <c r="Y149"/>
      <c r="AA149"/>
      <c r="AB149"/>
      <c r="AC149"/>
      <c r="AD149"/>
      <c r="AE149"/>
      <c r="AF149"/>
      <c r="AG149"/>
      <c r="AJ149"/>
      <c r="AK149"/>
      <c r="AL149"/>
      <c r="AM149"/>
      <c r="AN149"/>
      <c r="AS149"/>
      <c r="AT149"/>
      <c r="AU149"/>
      <c r="AV149"/>
      <c r="AW149"/>
      <c r="AX149"/>
      <c r="AY149"/>
      <c r="AZ149"/>
      <c r="BA149"/>
      <c r="BB149"/>
      <c r="BC149"/>
      <c r="BD149"/>
    </row>
    <row r="150" spans="3:56" x14ac:dyDescent="0.25">
      <c r="C150"/>
      <c r="D150" s="7"/>
      <c r="E150" s="7"/>
      <c r="F150" s="7"/>
      <c r="G150" s="7"/>
      <c r="H150" s="7"/>
      <c r="I150" s="7"/>
      <c r="J150" s="7"/>
      <c r="K150" s="7"/>
      <c r="M150" s="7"/>
      <c r="N150" s="7"/>
      <c r="U150" s="7"/>
      <c r="V150" s="7"/>
      <c r="W150" s="7"/>
      <c r="X150"/>
      <c r="Y150"/>
      <c r="AA150"/>
      <c r="AB150"/>
      <c r="AC150"/>
      <c r="AD150"/>
      <c r="AE150"/>
      <c r="AF150"/>
      <c r="AG150"/>
      <c r="AJ150"/>
      <c r="AK150"/>
      <c r="AL150"/>
      <c r="AM150"/>
      <c r="AN150"/>
      <c r="AS150"/>
      <c r="AT150"/>
      <c r="AU150"/>
      <c r="AV150"/>
      <c r="AW150"/>
      <c r="AX150"/>
      <c r="AY150"/>
      <c r="AZ150"/>
      <c r="BA150"/>
      <c r="BB150"/>
      <c r="BC150"/>
      <c r="BD150"/>
    </row>
    <row r="151" spans="3:56" x14ac:dyDescent="0.25">
      <c r="C151"/>
      <c r="D151" s="7"/>
      <c r="E151" s="7"/>
      <c r="F151" s="7"/>
      <c r="G151" s="7"/>
      <c r="H151" s="7"/>
      <c r="I151" s="7"/>
      <c r="J151" s="7"/>
      <c r="K151" s="7"/>
      <c r="M151" s="7"/>
      <c r="N151" s="7"/>
      <c r="U151" s="7"/>
      <c r="V151" s="7"/>
      <c r="W151" s="7"/>
      <c r="X151"/>
      <c r="Y151"/>
      <c r="AA151"/>
      <c r="AB151"/>
      <c r="AC151"/>
      <c r="AD151"/>
      <c r="AE151"/>
      <c r="AF151"/>
      <c r="AG151"/>
      <c r="AJ151"/>
      <c r="AK151"/>
      <c r="AL151"/>
      <c r="AM151"/>
      <c r="AN151"/>
      <c r="AS151"/>
      <c r="AT151"/>
      <c r="AU151"/>
      <c r="AV151"/>
      <c r="AW151"/>
      <c r="AX151"/>
      <c r="AY151"/>
      <c r="AZ151"/>
      <c r="BA151"/>
      <c r="BB151"/>
      <c r="BC151"/>
      <c r="BD151"/>
    </row>
    <row r="152" spans="3:56" x14ac:dyDescent="0.25">
      <c r="C152"/>
      <c r="D152" s="7"/>
      <c r="E152" s="7"/>
      <c r="F152" s="7"/>
      <c r="G152" s="7"/>
      <c r="H152" s="7"/>
      <c r="I152" s="7"/>
      <c r="J152" s="7"/>
      <c r="K152" s="7"/>
      <c r="M152" s="7"/>
      <c r="N152" s="7"/>
      <c r="U152" s="7"/>
      <c r="V152" s="7"/>
      <c r="W152" s="7"/>
      <c r="X152"/>
      <c r="Y152"/>
      <c r="AA152"/>
      <c r="AB152"/>
      <c r="AC152"/>
      <c r="AD152"/>
      <c r="AE152"/>
      <c r="AF152"/>
      <c r="AG152"/>
      <c r="AJ152"/>
      <c r="AK152"/>
      <c r="AL152"/>
      <c r="AM152"/>
      <c r="AN152"/>
      <c r="AS152"/>
      <c r="AT152"/>
      <c r="AU152"/>
      <c r="AV152"/>
      <c r="AW152"/>
      <c r="AX152"/>
      <c r="AY152"/>
      <c r="AZ152"/>
      <c r="BA152"/>
      <c r="BB152"/>
      <c r="BC152"/>
      <c r="BD152"/>
    </row>
    <row r="153" spans="3:56" x14ac:dyDescent="0.25">
      <c r="C153"/>
      <c r="D153" s="7"/>
      <c r="E153" s="7"/>
      <c r="F153" s="7"/>
      <c r="G153" s="7"/>
      <c r="H153" s="7"/>
      <c r="I153" s="7"/>
      <c r="J153" s="7"/>
      <c r="K153" s="7"/>
      <c r="M153" s="7"/>
      <c r="N153" s="7"/>
      <c r="U153" s="7"/>
      <c r="V153" s="7"/>
      <c r="W153" s="7"/>
      <c r="X153"/>
      <c r="Y153"/>
      <c r="AA153"/>
      <c r="AB153"/>
      <c r="AC153"/>
      <c r="AD153"/>
      <c r="AE153"/>
      <c r="AF153"/>
      <c r="AG153"/>
      <c r="AJ153"/>
      <c r="AK153"/>
      <c r="AL153"/>
      <c r="AM153"/>
      <c r="AN153"/>
      <c r="AS153"/>
      <c r="AT153"/>
      <c r="AU153"/>
      <c r="AV153"/>
      <c r="AW153"/>
      <c r="AX153"/>
      <c r="AY153"/>
      <c r="AZ153"/>
      <c r="BA153"/>
      <c r="BB153"/>
      <c r="BC153"/>
      <c r="BD153"/>
    </row>
    <row r="154" spans="3:56" x14ac:dyDescent="0.25">
      <c r="C154"/>
      <c r="D154" s="7"/>
      <c r="E154" s="7"/>
      <c r="F154" s="7"/>
      <c r="G154" s="7"/>
      <c r="H154" s="7"/>
      <c r="I154" s="7"/>
      <c r="J154" s="7"/>
      <c r="K154" s="7"/>
      <c r="M154" s="7"/>
      <c r="N154" s="7"/>
      <c r="U154" s="7"/>
      <c r="V154" s="7"/>
      <c r="W154" s="7"/>
      <c r="X154"/>
      <c r="Y154"/>
      <c r="AA154"/>
      <c r="AB154"/>
      <c r="AC154"/>
      <c r="AD154"/>
      <c r="AE154"/>
      <c r="AF154"/>
      <c r="AG154"/>
      <c r="AJ154"/>
      <c r="AK154"/>
      <c r="AL154"/>
      <c r="AM154"/>
      <c r="AN154"/>
      <c r="AS154"/>
      <c r="AT154"/>
      <c r="AU154"/>
      <c r="AV154"/>
      <c r="AW154"/>
      <c r="AX154"/>
      <c r="AY154"/>
      <c r="AZ154"/>
      <c r="BA154"/>
      <c r="BB154"/>
      <c r="BC154"/>
      <c r="BD154"/>
    </row>
    <row r="155" spans="3:56" x14ac:dyDescent="0.25">
      <c r="C155"/>
      <c r="D155" s="7"/>
      <c r="E155" s="7"/>
      <c r="F155" s="7"/>
      <c r="G155" s="7"/>
      <c r="H155" s="7"/>
      <c r="I155" s="7"/>
      <c r="J155" s="7"/>
      <c r="K155" s="7"/>
      <c r="M155" s="7"/>
      <c r="N155" s="7"/>
      <c r="U155" s="7"/>
      <c r="V155" s="7"/>
      <c r="W155" s="7"/>
      <c r="X155"/>
      <c r="Y155"/>
      <c r="AA155"/>
      <c r="AB155"/>
      <c r="AC155"/>
      <c r="AD155"/>
      <c r="AE155"/>
      <c r="AF155"/>
      <c r="AG155"/>
      <c r="AJ155"/>
      <c r="AK155"/>
      <c r="AL155"/>
      <c r="AM155"/>
      <c r="AN155"/>
      <c r="AS155"/>
      <c r="AT155"/>
      <c r="AU155"/>
      <c r="AV155"/>
      <c r="AW155"/>
      <c r="AX155"/>
      <c r="AY155"/>
      <c r="AZ155"/>
      <c r="BA155"/>
      <c r="BB155"/>
      <c r="BC155"/>
      <c r="BD155"/>
    </row>
    <row r="156" spans="3:56" x14ac:dyDescent="0.25">
      <c r="C156"/>
      <c r="D156" s="7"/>
      <c r="E156" s="7"/>
      <c r="F156" s="7"/>
      <c r="G156" s="7"/>
      <c r="H156" s="7"/>
      <c r="I156" s="7"/>
      <c r="J156" s="7"/>
      <c r="K156" s="7"/>
      <c r="M156" s="7"/>
      <c r="N156" s="7"/>
      <c r="U156" s="7"/>
      <c r="V156" s="7"/>
      <c r="W156" s="7"/>
      <c r="X156"/>
      <c r="Y156"/>
      <c r="AA156"/>
      <c r="AB156"/>
      <c r="AC156"/>
      <c r="AD156"/>
      <c r="AE156"/>
      <c r="AF156"/>
      <c r="AG156"/>
      <c r="AJ156"/>
      <c r="AK156"/>
      <c r="AL156"/>
      <c r="AM156"/>
      <c r="AN156"/>
      <c r="AS156"/>
      <c r="AT156"/>
      <c r="AU156"/>
      <c r="AV156"/>
      <c r="AW156"/>
      <c r="AX156"/>
      <c r="AY156"/>
      <c r="AZ156"/>
      <c r="BA156"/>
      <c r="BB156"/>
      <c r="BC156"/>
      <c r="BD156"/>
    </row>
    <row r="157" spans="3:56" x14ac:dyDescent="0.25">
      <c r="C157"/>
      <c r="D157" s="7"/>
      <c r="E157" s="7"/>
      <c r="F157" s="7"/>
      <c r="G157" s="7"/>
      <c r="H157" s="7"/>
      <c r="I157" s="7"/>
      <c r="J157" s="7"/>
      <c r="K157" s="7"/>
      <c r="M157" s="7"/>
      <c r="N157" s="7"/>
      <c r="U157" s="7"/>
      <c r="V157" s="7"/>
      <c r="W157" s="7"/>
      <c r="X157"/>
      <c r="Y157"/>
      <c r="AA157"/>
      <c r="AB157"/>
      <c r="AC157"/>
      <c r="AD157"/>
      <c r="AE157"/>
      <c r="AF157"/>
      <c r="AG157"/>
      <c r="AJ157"/>
      <c r="AK157"/>
      <c r="AL157"/>
      <c r="AM157"/>
      <c r="AN157"/>
      <c r="AS157"/>
      <c r="AT157"/>
      <c r="AU157"/>
      <c r="AV157"/>
      <c r="AW157"/>
      <c r="AX157"/>
      <c r="AY157"/>
      <c r="AZ157"/>
      <c r="BA157"/>
      <c r="BB157"/>
      <c r="BC157"/>
      <c r="BD157"/>
    </row>
    <row r="158" spans="3:56" x14ac:dyDescent="0.25">
      <c r="C158"/>
      <c r="D158" s="7"/>
      <c r="E158" s="7"/>
      <c r="F158" s="7"/>
      <c r="G158" s="7"/>
      <c r="H158" s="7"/>
      <c r="I158" s="7"/>
      <c r="J158" s="7"/>
      <c r="K158" s="7"/>
      <c r="M158" s="7"/>
      <c r="N158" s="7"/>
      <c r="U158" s="7"/>
      <c r="V158" s="7"/>
      <c r="W158" s="7"/>
      <c r="X158"/>
      <c r="Y158"/>
      <c r="AA158"/>
      <c r="AB158"/>
      <c r="AC158"/>
      <c r="AD158"/>
      <c r="AE158"/>
      <c r="AF158"/>
      <c r="AG158"/>
      <c r="AJ158"/>
      <c r="AK158"/>
      <c r="AL158"/>
      <c r="AM158"/>
      <c r="AN158"/>
      <c r="AS158"/>
      <c r="AT158"/>
      <c r="AU158"/>
      <c r="AV158"/>
      <c r="AW158"/>
      <c r="AX158"/>
      <c r="AY158"/>
      <c r="AZ158"/>
      <c r="BA158"/>
      <c r="BB158"/>
      <c r="BC158"/>
      <c r="BD158"/>
    </row>
    <row r="159" spans="3:56" x14ac:dyDescent="0.25">
      <c r="C159"/>
      <c r="D159" s="7"/>
      <c r="E159" s="7"/>
      <c r="F159" s="7"/>
      <c r="G159" s="7"/>
      <c r="H159" s="7"/>
      <c r="I159" s="7"/>
      <c r="J159" s="7"/>
      <c r="K159" s="7"/>
      <c r="M159" s="7"/>
      <c r="N159" s="7"/>
      <c r="U159" s="7"/>
      <c r="V159" s="7"/>
      <c r="W159" s="7"/>
      <c r="X159"/>
      <c r="Y159"/>
      <c r="AA159"/>
      <c r="AB159"/>
      <c r="AC159"/>
      <c r="AD159"/>
      <c r="AE159"/>
      <c r="AF159"/>
      <c r="AG159"/>
      <c r="AJ159"/>
      <c r="AK159"/>
      <c r="AL159"/>
      <c r="AM159"/>
      <c r="AN159"/>
      <c r="AS159"/>
      <c r="AT159"/>
      <c r="AU159"/>
      <c r="AV159"/>
      <c r="AW159"/>
      <c r="AX159"/>
      <c r="AY159"/>
      <c r="AZ159"/>
      <c r="BA159"/>
      <c r="BB159"/>
      <c r="BC159"/>
      <c r="BD159"/>
    </row>
    <row r="160" spans="3:56" x14ac:dyDescent="0.25">
      <c r="C160"/>
      <c r="D160" s="7"/>
      <c r="E160" s="7"/>
      <c r="F160" s="7"/>
      <c r="G160" s="7"/>
      <c r="H160" s="7"/>
      <c r="I160" s="7"/>
      <c r="J160" s="7"/>
      <c r="K160" s="7"/>
      <c r="M160" s="7"/>
      <c r="N160" s="7"/>
      <c r="U160" s="7"/>
      <c r="V160" s="7"/>
      <c r="W160" s="7"/>
      <c r="X160"/>
      <c r="Y160"/>
      <c r="AA160"/>
      <c r="AB160"/>
      <c r="AC160"/>
      <c r="AD160"/>
      <c r="AE160"/>
      <c r="AF160"/>
      <c r="AG160"/>
      <c r="AJ160"/>
      <c r="AK160"/>
      <c r="AL160"/>
      <c r="AM160"/>
      <c r="AN160"/>
      <c r="AS160"/>
      <c r="AT160"/>
      <c r="AU160"/>
      <c r="AV160"/>
      <c r="AW160"/>
      <c r="AX160"/>
      <c r="AY160"/>
      <c r="AZ160"/>
      <c r="BA160"/>
      <c r="BB160"/>
      <c r="BC160"/>
      <c r="BD160"/>
    </row>
    <row r="161" spans="3:56" x14ac:dyDescent="0.25">
      <c r="C161"/>
      <c r="D161" s="7"/>
      <c r="E161" s="7"/>
      <c r="F161" s="7"/>
      <c r="G161" s="7"/>
      <c r="H161" s="7"/>
      <c r="I161" s="7"/>
      <c r="J161" s="7"/>
      <c r="K161" s="7"/>
      <c r="M161" s="7"/>
      <c r="N161" s="7"/>
      <c r="U161" s="7"/>
      <c r="V161" s="7"/>
      <c r="W161" s="7"/>
      <c r="X161"/>
      <c r="Y161"/>
      <c r="AA161"/>
      <c r="AB161"/>
      <c r="AC161"/>
      <c r="AD161"/>
      <c r="AE161"/>
      <c r="AF161"/>
      <c r="AG161"/>
      <c r="AJ161"/>
      <c r="AK161"/>
      <c r="AL161"/>
      <c r="AM161"/>
      <c r="AN161"/>
      <c r="AS161"/>
      <c r="AT161"/>
      <c r="AU161"/>
      <c r="AV161"/>
      <c r="AW161"/>
      <c r="AX161"/>
      <c r="AY161"/>
      <c r="AZ161"/>
      <c r="BA161"/>
      <c r="BB161"/>
      <c r="BC161"/>
      <c r="BD161"/>
    </row>
    <row r="162" spans="3:56" x14ac:dyDescent="0.25">
      <c r="C162"/>
      <c r="D162" s="7"/>
      <c r="E162" s="7"/>
      <c r="F162" s="7"/>
      <c r="G162" s="7"/>
      <c r="H162" s="7"/>
      <c r="I162" s="7"/>
      <c r="J162" s="7"/>
      <c r="K162" s="7"/>
      <c r="M162" s="7"/>
      <c r="N162" s="7"/>
      <c r="U162" s="7"/>
      <c r="V162" s="7"/>
      <c r="W162" s="7"/>
      <c r="X162"/>
      <c r="Y162"/>
      <c r="AA162"/>
      <c r="AB162"/>
      <c r="AC162"/>
      <c r="AD162"/>
      <c r="AE162"/>
      <c r="AF162"/>
      <c r="AG162"/>
      <c r="AJ162"/>
      <c r="AK162"/>
      <c r="AL162"/>
      <c r="AM162"/>
      <c r="AN162"/>
      <c r="AS162"/>
      <c r="AT162"/>
      <c r="AU162"/>
      <c r="AV162"/>
      <c r="AW162"/>
      <c r="AX162"/>
      <c r="AY162"/>
      <c r="AZ162"/>
      <c r="BA162"/>
      <c r="BB162"/>
      <c r="BC162"/>
      <c r="BD162"/>
    </row>
    <row r="163" spans="3:56" x14ac:dyDescent="0.25">
      <c r="C163"/>
      <c r="D163" s="7"/>
      <c r="E163" s="7"/>
      <c r="F163" s="7"/>
      <c r="G163" s="7"/>
      <c r="H163" s="7"/>
      <c r="I163" s="7"/>
      <c r="J163" s="7"/>
      <c r="K163" s="7"/>
      <c r="M163" s="7"/>
      <c r="N163" s="7"/>
      <c r="U163" s="7"/>
      <c r="V163" s="7"/>
      <c r="W163" s="7"/>
      <c r="X163"/>
      <c r="Y163"/>
      <c r="AA163"/>
      <c r="AB163"/>
      <c r="AC163"/>
      <c r="AD163"/>
      <c r="AE163"/>
      <c r="AF163"/>
      <c r="AG163"/>
      <c r="AJ163"/>
      <c r="AK163"/>
      <c r="AL163"/>
      <c r="AM163"/>
      <c r="AN163"/>
      <c r="AS163"/>
      <c r="AT163"/>
      <c r="AU163"/>
      <c r="AV163"/>
      <c r="AW163"/>
      <c r="AX163"/>
      <c r="AY163"/>
      <c r="AZ163"/>
      <c r="BA163"/>
      <c r="BB163"/>
      <c r="BC163"/>
      <c r="BD163"/>
    </row>
    <row r="164" spans="3:56" x14ac:dyDescent="0.25">
      <c r="C164"/>
      <c r="D164" s="7"/>
      <c r="E164" s="7"/>
      <c r="F164" s="7"/>
      <c r="G164" s="7"/>
      <c r="H164" s="7"/>
      <c r="I164" s="7"/>
      <c r="J164" s="7"/>
      <c r="K164" s="7"/>
      <c r="M164" s="7"/>
      <c r="N164" s="7"/>
      <c r="U164" s="7"/>
      <c r="V164" s="7"/>
      <c r="W164" s="7"/>
      <c r="X164"/>
      <c r="Y164"/>
      <c r="AA164"/>
      <c r="AB164"/>
      <c r="AC164"/>
      <c r="AD164"/>
      <c r="AE164"/>
      <c r="AF164"/>
      <c r="AG164"/>
      <c r="AJ164"/>
      <c r="AK164"/>
      <c r="AL164"/>
      <c r="AM164"/>
      <c r="AN164"/>
      <c r="AS164"/>
      <c r="AT164"/>
      <c r="AU164"/>
      <c r="AV164"/>
      <c r="AW164"/>
      <c r="AX164"/>
      <c r="AY164"/>
      <c r="AZ164"/>
      <c r="BA164"/>
      <c r="BB164"/>
      <c r="BC164"/>
      <c r="BD164"/>
    </row>
    <row r="165" spans="3:56" x14ac:dyDescent="0.25">
      <c r="C165"/>
      <c r="D165" s="7"/>
      <c r="E165" s="7"/>
      <c r="F165" s="7"/>
      <c r="G165" s="7"/>
      <c r="H165" s="7"/>
      <c r="I165" s="7"/>
      <c r="J165" s="7"/>
      <c r="K165" s="7"/>
      <c r="M165" s="7"/>
      <c r="N165" s="7"/>
      <c r="U165" s="7"/>
      <c r="V165" s="7"/>
      <c r="W165" s="7"/>
      <c r="X165"/>
      <c r="Y165"/>
      <c r="AA165"/>
      <c r="AB165"/>
      <c r="AC165"/>
      <c r="AD165"/>
      <c r="AE165"/>
      <c r="AF165"/>
      <c r="AG165"/>
      <c r="AJ165"/>
      <c r="AK165"/>
      <c r="AL165"/>
      <c r="AM165"/>
      <c r="AN165"/>
      <c r="AS165"/>
      <c r="AT165"/>
      <c r="AU165"/>
      <c r="AV165"/>
      <c r="AW165"/>
      <c r="AX165"/>
      <c r="AY165"/>
      <c r="AZ165"/>
      <c r="BA165"/>
      <c r="BB165"/>
      <c r="BC165"/>
      <c r="BD165"/>
    </row>
    <row r="166" spans="3:56" x14ac:dyDescent="0.25">
      <c r="C166"/>
      <c r="D166" s="7"/>
      <c r="E166" s="7"/>
      <c r="F166" s="7"/>
      <c r="G166" s="7"/>
      <c r="H166" s="7"/>
      <c r="I166" s="7"/>
      <c r="J166" s="7"/>
      <c r="K166" s="7"/>
      <c r="M166" s="7"/>
      <c r="N166" s="7"/>
      <c r="U166" s="7"/>
      <c r="V166" s="7"/>
      <c r="W166" s="7"/>
      <c r="X166"/>
      <c r="Y166"/>
      <c r="AA166"/>
      <c r="AB166"/>
      <c r="AC166"/>
      <c r="AD166"/>
      <c r="AE166"/>
      <c r="AF166"/>
      <c r="AG166"/>
      <c r="AJ166"/>
      <c r="AK166"/>
      <c r="AL166"/>
      <c r="AM166"/>
      <c r="AN166"/>
      <c r="AS166"/>
      <c r="AT166"/>
      <c r="AU166"/>
      <c r="AV166"/>
      <c r="AW166"/>
      <c r="AX166"/>
      <c r="AY166"/>
      <c r="AZ166"/>
      <c r="BA166"/>
      <c r="BB166"/>
      <c r="BC166"/>
      <c r="BD166"/>
    </row>
    <row r="167" spans="3:56" x14ac:dyDescent="0.25">
      <c r="C167"/>
      <c r="D167" s="7"/>
      <c r="E167" s="7"/>
      <c r="F167" s="7"/>
      <c r="G167" s="7"/>
      <c r="H167" s="7"/>
      <c r="I167" s="7"/>
      <c r="J167" s="7"/>
      <c r="K167" s="7"/>
      <c r="M167" s="7"/>
      <c r="N167" s="7"/>
      <c r="V167" s="7"/>
      <c r="W167" s="7"/>
      <c r="X167"/>
      <c r="Y167"/>
      <c r="AA167"/>
      <c r="AB167"/>
      <c r="AC167"/>
      <c r="AD167"/>
      <c r="AE167"/>
      <c r="AF167"/>
      <c r="AG167"/>
      <c r="AJ167"/>
      <c r="AK167"/>
      <c r="AL167"/>
      <c r="AM167"/>
      <c r="AN167"/>
      <c r="AS167"/>
      <c r="AT167"/>
      <c r="AU167"/>
      <c r="AV167"/>
      <c r="AW167"/>
      <c r="AX167"/>
      <c r="AY167"/>
      <c r="AZ167"/>
      <c r="BA167"/>
      <c r="BB167"/>
      <c r="BC167"/>
      <c r="BD167"/>
    </row>
    <row r="168" spans="3:56" x14ac:dyDescent="0.25">
      <c r="C168"/>
      <c r="D168" s="7"/>
      <c r="E168" s="7"/>
      <c r="F168" s="7"/>
      <c r="G168" s="7"/>
      <c r="H168" s="7"/>
      <c r="I168" s="7"/>
      <c r="J168" s="7"/>
      <c r="K168" s="7"/>
      <c r="M168" s="7"/>
      <c r="N168" s="7"/>
      <c r="V168" s="7"/>
      <c r="W168" s="7"/>
      <c r="X168"/>
      <c r="Y168"/>
      <c r="AA168"/>
      <c r="AB168"/>
      <c r="AC168"/>
      <c r="AD168"/>
      <c r="AE168"/>
      <c r="AF168"/>
      <c r="AG168"/>
      <c r="AJ168"/>
      <c r="AK168"/>
      <c r="AL168"/>
      <c r="AM168"/>
      <c r="AN168"/>
      <c r="AS168"/>
      <c r="AT168"/>
      <c r="AU168"/>
      <c r="AV168"/>
      <c r="AW168"/>
      <c r="AX168"/>
      <c r="AY168"/>
      <c r="AZ168"/>
      <c r="BA168"/>
      <c r="BB168"/>
      <c r="BC168"/>
      <c r="BD168"/>
    </row>
    <row r="169" spans="3:56" x14ac:dyDescent="0.25">
      <c r="C169"/>
      <c r="D169" s="7"/>
      <c r="E169" s="7"/>
      <c r="F169" s="7"/>
      <c r="G169" s="7"/>
      <c r="H169" s="7"/>
      <c r="I169" s="7"/>
      <c r="J169" s="7"/>
      <c r="K169" s="7"/>
      <c r="M169" s="7"/>
      <c r="N169" s="7"/>
      <c r="V169" s="7"/>
      <c r="W169" s="7"/>
      <c r="X169"/>
      <c r="Y169"/>
      <c r="AA169"/>
      <c r="AB169"/>
      <c r="AC169"/>
      <c r="AD169"/>
      <c r="AE169"/>
      <c r="AF169"/>
      <c r="AG169"/>
      <c r="AJ169"/>
      <c r="AK169"/>
      <c r="AL169"/>
      <c r="AM169"/>
      <c r="AN169"/>
      <c r="AS169"/>
      <c r="AT169"/>
      <c r="AU169"/>
      <c r="AV169"/>
      <c r="AW169"/>
      <c r="AX169"/>
      <c r="AY169"/>
      <c r="AZ169"/>
      <c r="BA169"/>
      <c r="BB169"/>
      <c r="BC169"/>
      <c r="BD169"/>
    </row>
    <row r="170" spans="3:56" x14ac:dyDescent="0.25">
      <c r="C170"/>
      <c r="D170" s="7"/>
      <c r="E170" s="7"/>
      <c r="F170" s="7"/>
      <c r="G170" s="7"/>
      <c r="H170" s="7"/>
      <c r="I170" s="7"/>
      <c r="J170" s="7"/>
      <c r="K170" s="7"/>
      <c r="M170" s="7"/>
      <c r="N170" s="7"/>
      <c r="V170" s="7"/>
      <c r="W170" s="7"/>
      <c r="X170"/>
      <c r="Y170"/>
      <c r="AA170"/>
      <c r="AB170"/>
      <c r="AC170"/>
      <c r="AD170"/>
      <c r="AE170"/>
      <c r="AF170"/>
      <c r="AG170"/>
      <c r="AJ170"/>
      <c r="AK170"/>
      <c r="AL170"/>
      <c r="AM170"/>
      <c r="AN170"/>
      <c r="AS170"/>
      <c r="AT170"/>
      <c r="AU170"/>
      <c r="AV170"/>
      <c r="AW170"/>
      <c r="AX170"/>
      <c r="AY170"/>
      <c r="AZ170"/>
      <c r="BA170"/>
      <c r="BB170"/>
      <c r="BC170"/>
      <c r="BD170"/>
    </row>
    <row r="171" spans="3:56" x14ac:dyDescent="0.25">
      <c r="C171"/>
      <c r="D171" s="7"/>
      <c r="E171" s="7"/>
      <c r="F171" s="7"/>
      <c r="G171" s="7"/>
      <c r="H171" s="7"/>
      <c r="I171" s="7"/>
      <c r="J171" s="7"/>
      <c r="K171" s="7"/>
      <c r="M171" s="7"/>
      <c r="N171" s="7"/>
      <c r="V171" s="7"/>
      <c r="W171" s="7"/>
      <c r="X171"/>
      <c r="Y171"/>
      <c r="AA171"/>
      <c r="AB171"/>
      <c r="AC171"/>
      <c r="AD171"/>
      <c r="AE171"/>
      <c r="AF171"/>
      <c r="AG171"/>
      <c r="AJ171"/>
      <c r="AK171"/>
      <c r="AL171"/>
      <c r="AM171"/>
      <c r="AN171"/>
      <c r="AS171"/>
      <c r="AT171"/>
      <c r="AU171"/>
      <c r="AV171"/>
      <c r="AW171"/>
      <c r="AX171"/>
      <c r="AY171"/>
      <c r="AZ171"/>
      <c r="BA171"/>
      <c r="BB171"/>
      <c r="BC171"/>
      <c r="BD171"/>
    </row>
    <row r="172" spans="3:56" x14ac:dyDescent="0.25">
      <c r="C172"/>
      <c r="D172" s="7"/>
      <c r="E172" s="7"/>
      <c r="F172" s="7"/>
      <c r="G172" s="7"/>
      <c r="H172" s="7"/>
      <c r="I172" s="7"/>
      <c r="J172" s="7"/>
      <c r="K172" s="7"/>
      <c r="M172" s="7"/>
      <c r="N172" s="7"/>
      <c r="V172" s="7"/>
      <c r="W172" s="7"/>
      <c r="X172"/>
      <c r="Y172"/>
      <c r="AA172"/>
      <c r="AB172"/>
      <c r="AC172"/>
      <c r="AD172"/>
      <c r="AE172"/>
      <c r="AF172"/>
      <c r="AG172"/>
      <c r="AJ172"/>
      <c r="AK172"/>
      <c r="AL172"/>
      <c r="AM172"/>
      <c r="AN172"/>
      <c r="AS172"/>
      <c r="AT172"/>
      <c r="AU172"/>
      <c r="AV172"/>
      <c r="AW172"/>
      <c r="AX172"/>
      <c r="AY172"/>
      <c r="AZ172"/>
      <c r="BA172"/>
      <c r="BB172"/>
      <c r="BC172"/>
      <c r="BD172"/>
    </row>
    <row r="173" spans="3:56" x14ac:dyDescent="0.25">
      <c r="C173"/>
      <c r="D173" s="7"/>
      <c r="E173" s="7"/>
      <c r="F173" s="7"/>
      <c r="G173" s="7"/>
      <c r="H173" s="7"/>
      <c r="I173" s="7"/>
      <c r="J173" s="7"/>
      <c r="K173" s="7"/>
      <c r="M173" s="7"/>
      <c r="N173" s="7"/>
      <c r="V173" s="7"/>
      <c r="W173" s="7"/>
      <c r="X173"/>
      <c r="Y173"/>
      <c r="AA173"/>
      <c r="AB173"/>
      <c r="AC173"/>
      <c r="AD173"/>
      <c r="AE173"/>
      <c r="AF173"/>
      <c r="AG173"/>
      <c r="AJ173"/>
      <c r="AK173"/>
      <c r="AL173"/>
      <c r="AM173"/>
      <c r="AN173"/>
      <c r="AS173"/>
      <c r="AT173"/>
      <c r="AU173"/>
      <c r="AV173"/>
      <c r="AW173"/>
      <c r="AX173"/>
      <c r="AY173"/>
      <c r="AZ173"/>
      <c r="BA173"/>
      <c r="BB173"/>
      <c r="BC173"/>
      <c r="BD173"/>
    </row>
    <row r="174" spans="3:56" x14ac:dyDescent="0.25">
      <c r="C174"/>
      <c r="D174" s="7"/>
      <c r="E174" s="7"/>
      <c r="F174" s="7"/>
      <c r="G174" s="7"/>
      <c r="H174" s="7"/>
      <c r="I174" s="7"/>
      <c r="J174" s="7"/>
      <c r="K174" s="7"/>
      <c r="M174" s="7"/>
      <c r="N174" s="7"/>
      <c r="V174" s="7"/>
      <c r="W174" s="7"/>
      <c r="X174"/>
      <c r="Y174"/>
      <c r="AA174"/>
      <c r="AB174"/>
      <c r="AC174"/>
      <c r="AD174"/>
      <c r="AE174"/>
      <c r="AF174"/>
      <c r="AG174"/>
      <c r="AJ174"/>
      <c r="AK174"/>
      <c r="AL174"/>
      <c r="AM174"/>
      <c r="AN174"/>
      <c r="AS174"/>
      <c r="AT174"/>
      <c r="AU174"/>
      <c r="AV174"/>
      <c r="AW174"/>
      <c r="AX174"/>
      <c r="AY174"/>
      <c r="AZ174"/>
      <c r="BA174"/>
      <c r="BB174"/>
      <c r="BC174"/>
      <c r="BD174"/>
    </row>
    <row r="175" spans="3:56" x14ac:dyDescent="0.25">
      <c r="C175"/>
      <c r="D175" s="7"/>
      <c r="E175" s="7"/>
      <c r="F175" s="7"/>
      <c r="G175" s="7"/>
      <c r="H175" s="7"/>
      <c r="I175" s="7"/>
      <c r="J175" s="7"/>
      <c r="K175" s="7"/>
      <c r="M175" s="7"/>
      <c r="N175" s="7"/>
      <c r="V175" s="7"/>
      <c r="W175" s="7"/>
      <c r="X175"/>
      <c r="Y175"/>
      <c r="AA175"/>
      <c r="AB175"/>
      <c r="AC175"/>
      <c r="AD175"/>
      <c r="AE175"/>
      <c r="AF175"/>
      <c r="AG175"/>
      <c r="AJ175"/>
      <c r="AK175"/>
      <c r="AL175"/>
      <c r="AM175"/>
      <c r="AN175"/>
      <c r="AS175"/>
      <c r="AT175"/>
      <c r="AU175"/>
      <c r="AV175"/>
      <c r="AW175"/>
      <c r="AX175"/>
      <c r="AY175"/>
      <c r="AZ175"/>
      <c r="BA175"/>
      <c r="BB175"/>
      <c r="BC175"/>
      <c r="BD175"/>
    </row>
    <row r="176" spans="3:56" x14ac:dyDescent="0.25">
      <c r="C176"/>
      <c r="D176" s="7"/>
      <c r="E176" s="7"/>
      <c r="F176" s="7"/>
      <c r="G176" s="7"/>
      <c r="H176" s="7"/>
      <c r="I176" s="7"/>
      <c r="J176" s="7"/>
      <c r="K176" s="7"/>
      <c r="M176" s="7"/>
      <c r="N176" s="7"/>
      <c r="V176" s="7"/>
      <c r="W176" s="7"/>
      <c r="X176"/>
      <c r="Y176"/>
      <c r="AA176"/>
      <c r="AB176"/>
      <c r="AC176"/>
      <c r="AD176"/>
      <c r="AE176"/>
      <c r="AF176"/>
      <c r="AG176"/>
      <c r="AJ176"/>
      <c r="AK176"/>
      <c r="AL176"/>
      <c r="AM176"/>
      <c r="AN176"/>
      <c r="AS176"/>
      <c r="AT176"/>
      <c r="AU176"/>
      <c r="AV176"/>
      <c r="AW176"/>
      <c r="AX176"/>
      <c r="AY176"/>
      <c r="AZ176"/>
      <c r="BA176"/>
      <c r="BB176"/>
      <c r="BC176"/>
      <c r="BD176"/>
    </row>
    <row r="177" spans="3:56" x14ac:dyDescent="0.25">
      <c r="C177"/>
      <c r="D177" s="7"/>
      <c r="E177" s="7"/>
      <c r="F177" s="7"/>
      <c r="G177" s="7"/>
      <c r="H177" s="7"/>
      <c r="I177" s="7"/>
      <c r="J177" s="7"/>
      <c r="K177" s="7"/>
      <c r="M177" s="7"/>
      <c r="N177" s="7"/>
      <c r="V177" s="7"/>
      <c r="W177" s="7"/>
      <c r="X177"/>
      <c r="Y177"/>
      <c r="AA177"/>
      <c r="AB177"/>
      <c r="AC177"/>
      <c r="AD177"/>
      <c r="AE177"/>
      <c r="AF177"/>
      <c r="AG177"/>
      <c r="AJ177"/>
      <c r="AK177"/>
      <c r="AL177"/>
      <c r="AM177"/>
      <c r="AN177"/>
      <c r="AS177"/>
      <c r="AT177"/>
      <c r="AU177"/>
      <c r="AV177"/>
      <c r="AW177"/>
      <c r="AX177"/>
      <c r="AY177"/>
      <c r="AZ177"/>
      <c r="BA177"/>
      <c r="BB177"/>
      <c r="BC177"/>
      <c r="BD177"/>
    </row>
    <row r="178" spans="3:56" x14ac:dyDescent="0.25">
      <c r="C178"/>
      <c r="D178" s="7"/>
      <c r="E178" s="7"/>
      <c r="F178" s="7"/>
      <c r="G178" s="7"/>
      <c r="H178" s="7"/>
      <c r="I178" s="7"/>
      <c r="J178" s="7"/>
      <c r="K178" s="7"/>
      <c r="M178" s="7"/>
      <c r="N178" s="7"/>
      <c r="V178" s="7"/>
      <c r="W178" s="7"/>
      <c r="X178"/>
      <c r="Y178"/>
      <c r="AA178"/>
      <c r="AB178"/>
      <c r="AC178"/>
      <c r="AD178"/>
      <c r="AE178"/>
      <c r="AF178"/>
      <c r="AG178"/>
      <c r="AJ178"/>
      <c r="AK178"/>
      <c r="AL178"/>
      <c r="AM178"/>
      <c r="AN178"/>
      <c r="AS178"/>
      <c r="AT178"/>
      <c r="AU178"/>
      <c r="AV178"/>
      <c r="AW178"/>
      <c r="AX178"/>
      <c r="AY178"/>
      <c r="AZ178"/>
      <c r="BA178"/>
      <c r="BB178"/>
      <c r="BC178"/>
      <c r="BD178"/>
    </row>
    <row r="179" spans="3:56" x14ac:dyDescent="0.25">
      <c r="C179"/>
      <c r="D179" s="7"/>
      <c r="E179" s="7"/>
      <c r="F179" s="7"/>
      <c r="G179" s="7"/>
      <c r="H179" s="7"/>
      <c r="I179" s="7"/>
      <c r="J179" s="7"/>
      <c r="K179" s="7"/>
      <c r="M179" s="7"/>
      <c r="N179" s="7"/>
      <c r="V179" s="7"/>
      <c r="W179" s="7"/>
      <c r="X179"/>
      <c r="Y179"/>
      <c r="AA179"/>
      <c r="AB179"/>
      <c r="AC179"/>
      <c r="AD179"/>
      <c r="AE179"/>
      <c r="AF179"/>
      <c r="AG179"/>
      <c r="AJ179"/>
      <c r="AK179"/>
      <c r="AL179"/>
      <c r="AM179"/>
      <c r="AN179"/>
      <c r="AS179"/>
      <c r="AT179"/>
      <c r="AU179"/>
      <c r="AV179"/>
      <c r="AW179"/>
      <c r="AX179"/>
      <c r="AY179"/>
      <c r="AZ179"/>
      <c r="BA179"/>
      <c r="BB179"/>
      <c r="BC179"/>
      <c r="BD179"/>
    </row>
    <row r="180" spans="3:56" x14ac:dyDescent="0.25">
      <c r="C180"/>
      <c r="D180" s="7"/>
      <c r="E180" s="7"/>
      <c r="F180" s="7"/>
      <c r="G180" s="7"/>
      <c r="H180" s="7"/>
      <c r="I180" s="7"/>
      <c r="J180" s="7"/>
      <c r="K180" s="7"/>
      <c r="M180" s="7"/>
      <c r="N180" s="7"/>
      <c r="V180" s="7"/>
      <c r="W180" s="7"/>
      <c r="X180"/>
      <c r="Y180"/>
      <c r="AA180"/>
      <c r="AB180"/>
      <c r="AC180"/>
      <c r="AD180"/>
      <c r="AE180"/>
      <c r="AF180"/>
      <c r="AG180"/>
      <c r="AJ180"/>
      <c r="AK180"/>
      <c r="AL180"/>
      <c r="AM180"/>
      <c r="AN180"/>
      <c r="AS180"/>
      <c r="AT180"/>
      <c r="AU180"/>
      <c r="AV180"/>
      <c r="AW180"/>
      <c r="AX180"/>
      <c r="AY180"/>
      <c r="AZ180"/>
      <c r="BA180"/>
      <c r="BB180"/>
      <c r="BC180"/>
      <c r="BD180"/>
    </row>
    <row r="181" spans="3:56" x14ac:dyDescent="0.25">
      <c r="C181"/>
      <c r="D181" s="7"/>
      <c r="E181" s="7"/>
      <c r="F181" s="7"/>
      <c r="G181" s="7"/>
      <c r="H181" s="7"/>
      <c r="I181" s="7"/>
      <c r="J181" s="7"/>
      <c r="K181" s="7"/>
      <c r="M181" s="7"/>
      <c r="N181" s="7"/>
      <c r="V181" s="7"/>
      <c r="W181" s="7"/>
      <c r="X181"/>
      <c r="Y181"/>
      <c r="AA181"/>
      <c r="AB181"/>
      <c r="AC181"/>
      <c r="AD181"/>
      <c r="AE181"/>
      <c r="AF181"/>
      <c r="AG181"/>
      <c r="AJ181"/>
      <c r="AK181"/>
      <c r="AL181"/>
      <c r="AM181"/>
      <c r="AN181"/>
      <c r="AS181"/>
      <c r="AT181"/>
      <c r="AU181"/>
      <c r="AV181"/>
      <c r="AW181"/>
      <c r="AX181"/>
      <c r="AY181"/>
      <c r="AZ181"/>
      <c r="BA181"/>
      <c r="BB181"/>
      <c r="BC181"/>
      <c r="BD181"/>
    </row>
    <row r="182" spans="3:56" x14ac:dyDescent="0.25">
      <c r="C182"/>
      <c r="D182" s="7"/>
      <c r="E182" s="7"/>
      <c r="F182" s="7"/>
      <c r="G182" s="7"/>
      <c r="H182" s="7"/>
      <c r="I182" s="7"/>
      <c r="J182" s="7"/>
      <c r="K182" s="7"/>
      <c r="M182" s="7"/>
      <c r="N182" s="7"/>
      <c r="V182" s="7"/>
      <c r="W182" s="7"/>
      <c r="X182"/>
      <c r="Y182"/>
      <c r="AA182"/>
      <c r="AB182"/>
      <c r="AC182"/>
      <c r="AD182"/>
      <c r="AE182"/>
      <c r="AF182"/>
      <c r="AG182"/>
      <c r="AJ182"/>
      <c r="AK182"/>
      <c r="AL182"/>
      <c r="AM182"/>
      <c r="AN182"/>
      <c r="AS182"/>
      <c r="AT182"/>
      <c r="AU182"/>
      <c r="AV182"/>
      <c r="AW182"/>
      <c r="AX182"/>
      <c r="AY182"/>
      <c r="AZ182"/>
      <c r="BA182"/>
      <c r="BB182"/>
      <c r="BC182"/>
      <c r="BD182"/>
    </row>
    <row r="183" spans="3:56" x14ac:dyDescent="0.25">
      <c r="C183"/>
      <c r="D183" s="7"/>
      <c r="E183" s="7"/>
      <c r="F183" s="7"/>
      <c r="G183" s="7"/>
      <c r="H183" s="7"/>
      <c r="I183" s="7"/>
      <c r="J183" s="7"/>
      <c r="K183" s="7"/>
      <c r="M183" s="7"/>
      <c r="N183" s="7"/>
      <c r="V183" s="7"/>
      <c r="W183" s="7"/>
      <c r="X183"/>
      <c r="Y183"/>
      <c r="AA183"/>
      <c r="AB183"/>
      <c r="AC183"/>
      <c r="AD183"/>
      <c r="AE183"/>
      <c r="AF183"/>
      <c r="AG183"/>
      <c r="AJ183"/>
      <c r="AK183"/>
      <c r="AL183"/>
      <c r="AM183"/>
      <c r="AN183"/>
      <c r="AS183"/>
      <c r="AT183"/>
      <c r="AU183"/>
      <c r="AV183"/>
      <c r="AW183"/>
      <c r="AX183"/>
      <c r="AY183"/>
      <c r="AZ183"/>
      <c r="BA183"/>
      <c r="BB183"/>
      <c r="BC183"/>
      <c r="BD183"/>
    </row>
    <row r="184" spans="3:56" x14ac:dyDescent="0.25">
      <c r="C184"/>
      <c r="D184" s="7"/>
      <c r="E184" s="7"/>
      <c r="F184" s="7"/>
      <c r="G184" s="7"/>
      <c r="H184" s="7"/>
      <c r="I184" s="7"/>
      <c r="J184" s="7"/>
      <c r="K184" s="7"/>
      <c r="M184" s="7"/>
      <c r="N184" s="7"/>
      <c r="V184" s="7"/>
      <c r="W184" s="7"/>
      <c r="X184"/>
      <c r="Y184"/>
      <c r="AA184"/>
      <c r="AB184"/>
      <c r="AC184"/>
      <c r="AD184"/>
      <c r="AE184"/>
      <c r="AF184"/>
      <c r="AG184"/>
      <c r="AJ184"/>
      <c r="AK184"/>
      <c r="AL184"/>
      <c r="AM184"/>
      <c r="AN184"/>
      <c r="AS184"/>
      <c r="AT184"/>
      <c r="AU184"/>
      <c r="AV184"/>
      <c r="AW184"/>
      <c r="AX184"/>
      <c r="AY184"/>
      <c r="AZ184"/>
      <c r="BA184"/>
      <c r="BB184"/>
      <c r="BC184"/>
      <c r="BD184"/>
    </row>
    <row r="185" spans="3:56" x14ac:dyDescent="0.25">
      <c r="C185"/>
      <c r="D185" s="7"/>
      <c r="E185" s="7"/>
      <c r="F185" s="7"/>
      <c r="G185" s="7"/>
      <c r="H185" s="7"/>
      <c r="I185" s="7"/>
      <c r="J185" s="7"/>
      <c r="K185" s="7"/>
      <c r="M185" s="7"/>
      <c r="N185" s="7"/>
      <c r="V185" s="7"/>
      <c r="W185" s="7"/>
      <c r="X185"/>
      <c r="Y185"/>
      <c r="AA185"/>
      <c r="AB185"/>
      <c r="AC185"/>
      <c r="AD185"/>
      <c r="AE185"/>
      <c r="AF185"/>
      <c r="AG185"/>
      <c r="AJ185"/>
      <c r="AK185"/>
      <c r="AL185"/>
      <c r="AM185"/>
      <c r="AN185"/>
      <c r="AS185"/>
      <c r="AT185"/>
      <c r="AU185"/>
      <c r="AV185"/>
      <c r="AW185"/>
      <c r="AX185"/>
      <c r="AY185"/>
      <c r="AZ185"/>
      <c r="BA185"/>
      <c r="BB185"/>
      <c r="BC185"/>
      <c r="BD185"/>
    </row>
    <row r="186" spans="3:56" x14ac:dyDescent="0.25">
      <c r="C186"/>
      <c r="D186" s="7"/>
      <c r="E186" s="7"/>
      <c r="F186" s="7"/>
      <c r="G186" s="7"/>
      <c r="H186" s="7"/>
      <c r="I186" s="7"/>
      <c r="J186" s="7"/>
      <c r="K186" s="7"/>
      <c r="M186" s="7"/>
      <c r="N186" s="7"/>
      <c r="V186" s="7"/>
      <c r="W186" s="7"/>
      <c r="X186"/>
      <c r="Y186"/>
      <c r="AA186"/>
      <c r="AB186"/>
      <c r="AC186"/>
      <c r="AD186"/>
      <c r="AE186"/>
      <c r="AF186"/>
      <c r="AG186"/>
      <c r="AJ186"/>
      <c r="AK186"/>
      <c r="AL186"/>
      <c r="AM186"/>
      <c r="AN186"/>
      <c r="AS186"/>
      <c r="AT186"/>
      <c r="AU186"/>
      <c r="AV186"/>
      <c r="AW186"/>
      <c r="AX186"/>
      <c r="AY186"/>
      <c r="AZ186"/>
      <c r="BA186"/>
      <c r="BB186"/>
      <c r="BC186"/>
      <c r="BD186"/>
    </row>
    <row r="187" spans="3:56" x14ac:dyDescent="0.25">
      <c r="C187"/>
      <c r="D187" s="7"/>
      <c r="E187" s="7"/>
      <c r="F187" s="7"/>
      <c r="G187" s="7"/>
      <c r="H187" s="7"/>
      <c r="I187" s="7"/>
      <c r="J187" s="7"/>
      <c r="K187" s="7"/>
      <c r="M187" s="7"/>
      <c r="N187" s="7"/>
      <c r="V187" s="7"/>
      <c r="W187" s="7"/>
      <c r="X187"/>
      <c r="Y187"/>
      <c r="AA187"/>
      <c r="AB187"/>
      <c r="AC187"/>
      <c r="AD187"/>
      <c r="AE187"/>
      <c r="AF187"/>
      <c r="AG187"/>
      <c r="AJ187"/>
      <c r="AK187"/>
      <c r="AL187"/>
      <c r="AM187"/>
      <c r="AN187"/>
      <c r="AS187"/>
      <c r="AT187"/>
      <c r="AU187"/>
      <c r="AV187"/>
      <c r="AW187"/>
      <c r="AX187"/>
      <c r="AY187"/>
      <c r="AZ187"/>
      <c r="BA187"/>
      <c r="BB187"/>
      <c r="BC187"/>
      <c r="BD187"/>
    </row>
    <row r="188" spans="3:56" x14ac:dyDescent="0.25">
      <c r="C188"/>
      <c r="D188" s="7"/>
      <c r="E188" s="7"/>
      <c r="F188" s="7"/>
      <c r="G188" s="7"/>
      <c r="H188" s="7"/>
      <c r="I188" s="7"/>
      <c r="J188" s="7"/>
      <c r="K188" s="7"/>
      <c r="M188" s="7"/>
      <c r="N188" s="7"/>
      <c r="V188" s="7"/>
      <c r="W188" s="7"/>
      <c r="X188"/>
      <c r="Y188"/>
      <c r="AA188"/>
      <c r="AB188"/>
      <c r="AC188"/>
      <c r="AD188"/>
      <c r="AE188"/>
      <c r="AF188"/>
      <c r="AG188"/>
      <c r="AJ188"/>
      <c r="AK188"/>
      <c r="AL188"/>
      <c r="AM188"/>
      <c r="AN188"/>
      <c r="AS188"/>
      <c r="AT188"/>
      <c r="AU188"/>
      <c r="AV188"/>
      <c r="AW188"/>
      <c r="AX188"/>
      <c r="AY188"/>
      <c r="AZ188"/>
      <c r="BA188"/>
      <c r="BB188"/>
      <c r="BC188"/>
      <c r="BD188"/>
    </row>
    <row r="189" spans="3:56" x14ac:dyDescent="0.25">
      <c r="C189"/>
      <c r="D189" s="7"/>
      <c r="E189" s="7"/>
      <c r="F189" s="7"/>
      <c r="G189" s="7"/>
      <c r="H189" s="7"/>
      <c r="I189" s="7"/>
      <c r="J189" s="7"/>
      <c r="K189" s="7"/>
      <c r="M189" s="7"/>
      <c r="N189" s="7"/>
      <c r="V189" s="7"/>
      <c r="W189" s="7"/>
      <c r="X189"/>
      <c r="Y189"/>
      <c r="AA189"/>
      <c r="AB189"/>
      <c r="AC189"/>
      <c r="AD189"/>
      <c r="AE189"/>
      <c r="AF189"/>
      <c r="AG189"/>
      <c r="AJ189"/>
      <c r="AK189"/>
      <c r="AL189"/>
      <c r="AM189"/>
      <c r="AN189"/>
      <c r="AS189"/>
      <c r="AT189"/>
      <c r="AU189"/>
      <c r="AV189"/>
      <c r="AW189"/>
      <c r="AX189"/>
      <c r="AY189"/>
      <c r="AZ189"/>
      <c r="BA189"/>
      <c r="BB189"/>
      <c r="BC189"/>
      <c r="BD189"/>
    </row>
    <row r="190" spans="3:56" x14ac:dyDescent="0.25">
      <c r="C190"/>
      <c r="D190" s="7"/>
      <c r="E190" s="7"/>
      <c r="F190" s="7"/>
      <c r="G190" s="7"/>
      <c r="H190" s="7"/>
      <c r="I190" s="7"/>
      <c r="J190" s="7"/>
      <c r="K190" s="7"/>
      <c r="M190" s="7"/>
      <c r="N190" s="7"/>
      <c r="V190" s="7"/>
      <c r="W190" s="7"/>
      <c r="X190"/>
      <c r="Y190"/>
      <c r="AA190"/>
      <c r="AB190"/>
      <c r="AC190"/>
      <c r="AD190"/>
      <c r="AE190"/>
      <c r="AF190"/>
      <c r="AG190"/>
      <c r="AJ190"/>
      <c r="AK190"/>
      <c r="AL190"/>
      <c r="AM190"/>
      <c r="AN190"/>
      <c r="AS190"/>
      <c r="AT190"/>
      <c r="AU190"/>
      <c r="AV190"/>
      <c r="AW190"/>
      <c r="AX190"/>
      <c r="AY190"/>
      <c r="AZ190"/>
      <c r="BA190"/>
      <c r="BB190"/>
      <c r="BC190"/>
      <c r="BD190"/>
    </row>
    <row r="191" spans="3:56" x14ac:dyDescent="0.25">
      <c r="C191"/>
      <c r="D191" s="7"/>
      <c r="E191" s="7"/>
      <c r="F191" s="7"/>
      <c r="G191" s="7"/>
      <c r="H191" s="7"/>
      <c r="I191" s="7"/>
      <c r="J191" s="7"/>
      <c r="K191" s="7"/>
      <c r="M191" s="7"/>
      <c r="N191" s="7"/>
      <c r="V191" s="7"/>
      <c r="W191" s="7"/>
      <c r="X191"/>
      <c r="Y191"/>
      <c r="AA191"/>
      <c r="AB191"/>
      <c r="AC191"/>
      <c r="AD191"/>
      <c r="AE191"/>
      <c r="AF191"/>
      <c r="AG191"/>
      <c r="AJ191"/>
      <c r="AK191"/>
      <c r="AL191"/>
      <c r="AM191"/>
      <c r="AN191"/>
      <c r="AS191"/>
      <c r="AT191"/>
      <c r="AU191"/>
      <c r="AV191"/>
      <c r="AW191"/>
      <c r="AX191"/>
      <c r="AY191"/>
      <c r="AZ191"/>
      <c r="BA191"/>
      <c r="BB191"/>
      <c r="BC191"/>
      <c r="BD191"/>
    </row>
    <row r="192" spans="3:56" x14ac:dyDescent="0.25">
      <c r="C192"/>
      <c r="D192" s="7"/>
      <c r="E192" s="7"/>
      <c r="F192" s="7"/>
      <c r="G192" s="7"/>
      <c r="H192" s="7"/>
      <c r="I192" s="7"/>
      <c r="J192" s="7"/>
      <c r="K192" s="7"/>
      <c r="M192" s="7"/>
      <c r="N192" s="7"/>
      <c r="V192" s="7"/>
      <c r="W192" s="7"/>
      <c r="X192"/>
      <c r="Y192"/>
      <c r="AA192"/>
      <c r="AB192"/>
      <c r="AC192"/>
      <c r="AD192"/>
      <c r="AE192"/>
      <c r="AF192"/>
      <c r="AG192"/>
      <c r="AJ192"/>
      <c r="AK192"/>
      <c r="AL192"/>
      <c r="AM192"/>
      <c r="AN192"/>
      <c r="AS192"/>
      <c r="AT192"/>
      <c r="AU192"/>
      <c r="AV192"/>
      <c r="AW192"/>
      <c r="AX192"/>
      <c r="AY192"/>
      <c r="AZ192"/>
      <c r="BA192"/>
      <c r="BB192"/>
      <c r="BC192"/>
      <c r="BD192"/>
    </row>
    <row r="193" spans="3:56" x14ac:dyDescent="0.25">
      <c r="C193"/>
      <c r="D193" s="7"/>
      <c r="E193" s="7"/>
      <c r="F193" s="7"/>
      <c r="G193" s="7"/>
      <c r="H193" s="7"/>
      <c r="I193" s="7"/>
      <c r="J193" s="7"/>
      <c r="K193" s="7"/>
      <c r="M193" s="7"/>
      <c r="N193" s="7"/>
      <c r="V193" s="7"/>
      <c r="W193" s="7"/>
      <c r="X193"/>
      <c r="Y193"/>
      <c r="AA193"/>
      <c r="AB193"/>
      <c r="AC193"/>
      <c r="AD193"/>
      <c r="AE193"/>
      <c r="AF193"/>
      <c r="AG193"/>
      <c r="AJ193"/>
      <c r="AK193"/>
      <c r="AL193"/>
      <c r="AM193"/>
      <c r="AN193"/>
      <c r="AS193"/>
      <c r="AT193"/>
      <c r="AU193"/>
      <c r="AV193"/>
      <c r="AW193"/>
      <c r="AX193"/>
      <c r="AY193"/>
      <c r="AZ193"/>
      <c r="BA193"/>
      <c r="BB193"/>
      <c r="BC193"/>
      <c r="BD193"/>
    </row>
    <row r="194" spans="3:56" x14ac:dyDescent="0.25">
      <c r="C194"/>
      <c r="D194" s="7"/>
      <c r="E194" s="7"/>
      <c r="F194" s="7"/>
      <c r="G194" s="7"/>
      <c r="H194" s="7"/>
      <c r="I194" s="7"/>
      <c r="J194" s="7"/>
      <c r="K194" s="7"/>
      <c r="M194" s="7"/>
      <c r="N194" s="7"/>
      <c r="V194" s="7"/>
      <c r="W194" s="7"/>
      <c r="X194"/>
      <c r="Y194"/>
      <c r="AA194"/>
      <c r="AB194"/>
      <c r="AC194"/>
      <c r="AD194"/>
      <c r="AE194"/>
      <c r="AF194"/>
      <c r="AG194"/>
      <c r="AJ194"/>
      <c r="AK194"/>
      <c r="AL194"/>
      <c r="AM194"/>
      <c r="AN194"/>
      <c r="AS194"/>
      <c r="AT194"/>
      <c r="AU194"/>
      <c r="AV194"/>
      <c r="AW194"/>
      <c r="AX194"/>
      <c r="AY194"/>
      <c r="AZ194"/>
      <c r="BA194"/>
      <c r="BB194"/>
      <c r="BC194"/>
      <c r="BD194"/>
    </row>
    <row r="195" spans="3:56" x14ac:dyDescent="0.25">
      <c r="C195"/>
      <c r="D195" s="7"/>
      <c r="E195" s="7"/>
      <c r="F195" s="7"/>
      <c r="G195" s="7"/>
      <c r="H195" s="7"/>
      <c r="I195" s="7"/>
      <c r="J195" s="7"/>
      <c r="K195" s="7"/>
      <c r="M195" s="7"/>
      <c r="N195" s="7"/>
      <c r="R195" s="6"/>
      <c r="S195" s="6"/>
      <c r="V195" s="7"/>
      <c r="W195" s="7"/>
      <c r="X195"/>
      <c r="Y195"/>
      <c r="AA195"/>
      <c r="AB195"/>
      <c r="AC195"/>
      <c r="AD195"/>
      <c r="AE195"/>
      <c r="AF195"/>
      <c r="AG195"/>
      <c r="AJ195"/>
      <c r="AK195"/>
      <c r="AL195"/>
      <c r="AM195"/>
      <c r="AN195"/>
      <c r="AS195"/>
      <c r="AT195"/>
      <c r="AU195"/>
      <c r="AV195"/>
      <c r="AW195"/>
      <c r="AX195"/>
      <c r="AY195"/>
      <c r="AZ195"/>
      <c r="BA195"/>
      <c r="BB195"/>
      <c r="BC195"/>
      <c r="BD195"/>
    </row>
    <row r="196" spans="3:56" x14ac:dyDescent="0.25">
      <c r="C196"/>
      <c r="D196" s="7"/>
      <c r="E196" s="7"/>
      <c r="F196" s="7"/>
      <c r="G196" s="7"/>
      <c r="H196" s="7"/>
      <c r="I196" s="7"/>
      <c r="J196" s="7"/>
      <c r="K196" s="7"/>
      <c r="M196" s="7"/>
      <c r="N196" s="7"/>
      <c r="R196" s="6"/>
      <c r="S196" s="6"/>
      <c r="V196" s="7"/>
      <c r="W196" s="7"/>
      <c r="X196"/>
      <c r="Y196"/>
      <c r="AA196"/>
      <c r="AB196"/>
      <c r="AC196"/>
      <c r="AD196"/>
      <c r="AE196"/>
      <c r="AF196"/>
      <c r="AG196"/>
      <c r="AJ196"/>
      <c r="AK196"/>
      <c r="AL196"/>
      <c r="AM196"/>
      <c r="AN196"/>
      <c r="AS196"/>
      <c r="AT196"/>
      <c r="AU196"/>
      <c r="AV196"/>
      <c r="AW196"/>
      <c r="AX196"/>
      <c r="AY196"/>
      <c r="AZ196"/>
      <c r="BA196"/>
      <c r="BB196"/>
      <c r="BC196"/>
      <c r="BD196"/>
    </row>
    <row r="197" spans="3:56" x14ac:dyDescent="0.25">
      <c r="C197"/>
      <c r="D197" s="7"/>
      <c r="E197" s="7"/>
      <c r="F197" s="7"/>
      <c r="G197" s="7"/>
      <c r="H197" s="7"/>
      <c r="I197" s="7"/>
      <c r="J197" s="7"/>
      <c r="K197" s="7"/>
      <c r="M197" s="7"/>
      <c r="N197" s="7"/>
      <c r="R197" s="6"/>
      <c r="S197" s="6"/>
      <c r="V197" s="7"/>
      <c r="W197" s="7"/>
      <c r="X197"/>
      <c r="Y197"/>
      <c r="AA197"/>
      <c r="AB197"/>
      <c r="AC197"/>
      <c r="AD197"/>
      <c r="AE197"/>
      <c r="AF197"/>
      <c r="AG197"/>
      <c r="AJ197"/>
      <c r="AK197"/>
      <c r="AL197"/>
      <c r="AM197"/>
      <c r="AN197"/>
      <c r="AS197"/>
      <c r="AT197"/>
      <c r="AU197"/>
      <c r="AV197"/>
      <c r="AW197"/>
      <c r="AX197"/>
      <c r="AY197"/>
      <c r="AZ197"/>
      <c r="BA197"/>
      <c r="BB197"/>
      <c r="BC197"/>
      <c r="BD197"/>
    </row>
    <row r="198" spans="3:56" x14ac:dyDescent="0.25">
      <c r="C198"/>
      <c r="D198" s="7"/>
      <c r="E198" s="7"/>
      <c r="F198" s="7"/>
      <c r="G198" s="7"/>
      <c r="H198" s="7"/>
      <c r="I198" s="7"/>
      <c r="J198" s="7"/>
      <c r="K198" s="7"/>
      <c r="M198" s="7"/>
      <c r="N198" s="7"/>
      <c r="R198" s="6"/>
      <c r="S198" s="6"/>
      <c r="V198" s="7"/>
      <c r="W198" s="7"/>
      <c r="X198"/>
      <c r="Y198"/>
      <c r="AA198"/>
      <c r="AB198"/>
      <c r="AC198"/>
      <c r="AD198"/>
      <c r="AE198"/>
      <c r="AF198"/>
      <c r="AG198"/>
      <c r="AJ198"/>
      <c r="AK198"/>
      <c r="AL198"/>
      <c r="AM198"/>
      <c r="AN198"/>
      <c r="AS198"/>
      <c r="AT198"/>
      <c r="AU198"/>
      <c r="AV198"/>
      <c r="AW198"/>
      <c r="AX198"/>
      <c r="AY198"/>
      <c r="AZ198"/>
      <c r="BA198"/>
      <c r="BB198"/>
      <c r="BC198"/>
      <c r="BD198"/>
    </row>
    <row r="199" spans="3:56" x14ac:dyDescent="0.25">
      <c r="C199"/>
      <c r="D199" s="7"/>
      <c r="E199" s="7"/>
      <c r="F199" s="7"/>
      <c r="G199" s="7"/>
      <c r="H199" s="7"/>
      <c r="I199" s="7"/>
      <c r="J199" s="7"/>
      <c r="K199" s="7"/>
      <c r="M199" s="7"/>
      <c r="N199" s="7"/>
      <c r="R199" s="6"/>
      <c r="S199" s="6"/>
      <c r="V199" s="7"/>
      <c r="W199" s="7"/>
      <c r="X199"/>
      <c r="Y199"/>
      <c r="AA199"/>
      <c r="AB199"/>
      <c r="AC199"/>
      <c r="AD199"/>
      <c r="AE199"/>
      <c r="AF199"/>
      <c r="AG199"/>
      <c r="AJ199"/>
      <c r="AK199"/>
      <c r="AL199"/>
      <c r="AM199"/>
      <c r="AN199"/>
      <c r="AS199"/>
      <c r="AT199"/>
      <c r="AU199"/>
      <c r="AV199"/>
      <c r="AW199"/>
      <c r="AX199"/>
      <c r="AY199"/>
      <c r="AZ199"/>
      <c r="BA199"/>
      <c r="BB199"/>
      <c r="BC199"/>
      <c r="BD199"/>
    </row>
    <row r="200" spans="3:56" x14ac:dyDescent="0.25">
      <c r="C200"/>
      <c r="D200" s="7"/>
      <c r="E200" s="7"/>
      <c r="F200" s="7"/>
      <c r="G200" s="7"/>
      <c r="H200" s="7"/>
      <c r="I200" s="7"/>
      <c r="J200" s="7"/>
      <c r="K200" s="7"/>
      <c r="M200" s="7"/>
      <c r="N200" s="7"/>
      <c r="R200" s="6"/>
      <c r="S200" s="6"/>
      <c r="V200" s="7"/>
      <c r="W200" s="7"/>
      <c r="X200"/>
      <c r="Y200"/>
      <c r="AA200"/>
      <c r="AB200"/>
      <c r="AC200"/>
      <c r="AD200"/>
      <c r="AE200"/>
      <c r="AF200"/>
      <c r="AG200"/>
      <c r="AJ200"/>
      <c r="AK200"/>
      <c r="AL200"/>
      <c r="AM200"/>
      <c r="AN200"/>
      <c r="AS200"/>
      <c r="AT200"/>
      <c r="AU200"/>
      <c r="AV200"/>
      <c r="AW200"/>
      <c r="AX200"/>
      <c r="AY200"/>
      <c r="AZ200"/>
      <c r="BA200"/>
      <c r="BB200"/>
      <c r="BC200"/>
      <c r="BD200"/>
    </row>
    <row r="201" spans="3:56" x14ac:dyDescent="0.25">
      <c r="C201"/>
      <c r="D201" s="7"/>
      <c r="E201" s="7"/>
      <c r="F201" s="7"/>
      <c r="G201" s="7"/>
      <c r="H201" s="7"/>
      <c r="I201" s="7"/>
      <c r="J201" s="7"/>
      <c r="K201" s="7"/>
      <c r="M201" s="7"/>
      <c r="N201" s="7"/>
      <c r="R201" s="6"/>
      <c r="S201" s="6"/>
      <c r="V201" s="7"/>
      <c r="W201" s="7"/>
      <c r="X201"/>
      <c r="Y201"/>
      <c r="AA201"/>
      <c r="AB201"/>
      <c r="AC201"/>
      <c r="AD201"/>
      <c r="AE201"/>
      <c r="AF201"/>
      <c r="AG201"/>
      <c r="AJ201"/>
      <c r="AK201"/>
      <c r="AL201"/>
      <c r="AM201"/>
      <c r="AN201"/>
      <c r="AS201"/>
      <c r="AT201"/>
      <c r="AU201"/>
      <c r="AV201"/>
      <c r="AW201"/>
      <c r="AX201"/>
      <c r="AY201"/>
      <c r="AZ201"/>
      <c r="BA201"/>
      <c r="BB201"/>
      <c r="BC201"/>
      <c r="BD201"/>
    </row>
    <row r="202" spans="3:56" x14ac:dyDescent="0.25">
      <c r="C202"/>
      <c r="D202" s="7"/>
      <c r="E202" s="7"/>
      <c r="F202" s="7"/>
      <c r="G202" s="7"/>
      <c r="H202" s="7"/>
      <c r="I202" s="7"/>
      <c r="J202" s="7"/>
      <c r="K202" s="7"/>
      <c r="M202" s="7"/>
      <c r="N202" s="7"/>
      <c r="R202" s="6"/>
      <c r="S202" s="6"/>
      <c r="V202" s="7"/>
      <c r="W202" s="7"/>
      <c r="X202"/>
      <c r="Y202"/>
      <c r="AA202"/>
      <c r="AB202"/>
      <c r="AC202"/>
      <c r="AD202"/>
      <c r="AE202"/>
      <c r="AF202"/>
      <c r="AG202"/>
      <c r="AJ202"/>
      <c r="AK202"/>
      <c r="AL202"/>
      <c r="AM202"/>
      <c r="AN202"/>
      <c r="AS202"/>
      <c r="AT202"/>
      <c r="AU202"/>
      <c r="AV202"/>
      <c r="AW202"/>
      <c r="AX202"/>
      <c r="AY202"/>
      <c r="AZ202"/>
      <c r="BA202"/>
      <c r="BB202"/>
      <c r="BC202"/>
      <c r="BD202"/>
    </row>
    <row r="203" spans="3:56" x14ac:dyDescent="0.25">
      <c r="C203"/>
      <c r="D203" s="7"/>
      <c r="E203" s="7"/>
      <c r="F203" s="7"/>
      <c r="G203" s="7"/>
      <c r="H203" s="7"/>
      <c r="I203" s="7"/>
      <c r="J203" s="7"/>
      <c r="K203" s="7"/>
      <c r="M203" s="7"/>
      <c r="N203" s="7"/>
      <c r="R203" s="6"/>
      <c r="S203" s="6"/>
      <c r="V203" s="7"/>
      <c r="W203" s="7"/>
      <c r="X203"/>
      <c r="Y203"/>
      <c r="AA203"/>
      <c r="AB203"/>
      <c r="AC203"/>
      <c r="AD203"/>
      <c r="AE203"/>
      <c r="AF203"/>
      <c r="AG203"/>
      <c r="AJ203"/>
      <c r="AK203"/>
      <c r="AL203"/>
      <c r="AM203"/>
      <c r="AN203"/>
      <c r="AS203"/>
      <c r="AT203"/>
      <c r="AU203"/>
      <c r="AV203"/>
      <c r="AW203"/>
      <c r="AX203"/>
      <c r="AY203"/>
      <c r="AZ203"/>
      <c r="BA203"/>
      <c r="BB203"/>
      <c r="BC203"/>
      <c r="BD203"/>
    </row>
    <row r="204" spans="3:56" x14ac:dyDescent="0.25">
      <c r="C204"/>
      <c r="D204" s="7"/>
      <c r="E204" s="7"/>
      <c r="F204" s="7"/>
      <c r="G204" s="7"/>
      <c r="H204" s="7"/>
      <c r="I204" s="7"/>
      <c r="J204" s="7"/>
      <c r="K204" s="7"/>
      <c r="M204" s="7"/>
      <c r="N204" s="7"/>
      <c r="R204" s="6"/>
      <c r="S204" s="6"/>
      <c r="V204" s="7"/>
      <c r="W204" s="7"/>
      <c r="X204"/>
      <c r="Y204"/>
      <c r="AA204"/>
      <c r="AB204"/>
      <c r="AC204"/>
      <c r="AD204"/>
      <c r="AE204"/>
      <c r="AF204"/>
      <c r="AG204"/>
      <c r="AJ204"/>
      <c r="AK204"/>
      <c r="AL204"/>
      <c r="AM204"/>
      <c r="AN204"/>
      <c r="AS204"/>
      <c r="AT204"/>
      <c r="AU204"/>
      <c r="AV204"/>
      <c r="AW204"/>
      <c r="AX204"/>
      <c r="AY204"/>
      <c r="AZ204"/>
      <c r="BA204"/>
      <c r="BB204"/>
      <c r="BC204"/>
      <c r="BD204"/>
    </row>
    <row r="205" spans="3:56" x14ac:dyDescent="0.25">
      <c r="C205"/>
      <c r="D205" s="7"/>
      <c r="E205" s="7"/>
      <c r="F205" s="7"/>
      <c r="G205" s="7"/>
      <c r="H205" s="7"/>
      <c r="I205" s="7"/>
      <c r="J205" s="7"/>
      <c r="K205" s="7"/>
      <c r="M205" s="7"/>
      <c r="N205" s="7"/>
      <c r="R205" s="6"/>
      <c r="S205" s="6"/>
      <c r="V205" s="7"/>
      <c r="W205" s="7"/>
      <c r="X205"/>
      <c r="Y205"/>
      <c r="AA205"/>
      <c r="AB205"/>
      <c r="AC205"/>
      <c r="AD205"/>
      <c r="AE205"/>
      <c r="AF205"/>
      <c r="AG205"/>
      <c r="AJ205"/>
      <c r="AK205"/>
      <c r="AL205"/>
      <c r="AM205"/>
      <c r="AN205"/>
      <c r="AS205"/>
      <c r="AT205"/>
      <c r="AU205"/>
      <c r="AV205"/>
      <c r="AW205"/>
      <c r="AX205"/>
      <c r="AY205"/>
      <c r="AZ205"/>
      <c r="BA205"/>
      <c r="BB205"/>
      <c r="BC205"/>
      <c r="BD205"/>
    </row>
    <row r="206" spans="3:56" x14ac:dyDescent="0.25">
      <c r="C206"/>
      <c r="D206" s="7"/>
      <c r="E206" s="7"/>
      <c r="F206" s="7"/>
      <c r="G206" s="7"/>
      <c r="H206" s="7"/>
      <c r="I206" s="7"/>
      <c r="J206" s="7"/>
      <c r="K206" s="7"/>
      <c r="M206" s="7"/>
      <c r="N206" s="7"/>
      <c r="R206" s="6"/>
      <c r="S206" s="6"/>
      <c r="V206" s="7"/>
      <c r="W206" s="7"/>
      <c r="X206"/>
      <c r="Y206"/>
      <c r="AA206"/>
      <c r="AB206"/>
      <c r="AC206"/>
      <c r="AD206"/>
      <c r="AE206"/>
      <c r="AF206"/>
      <c r="AG206"/>
      <c r="AJ206"/>
      <c r="AK206"/>
      <c r="AL206"/>
      <c r="AM206"/>
      <c r="AN206"/>
      <c r="AS206"/>
      <c r="AT206"/>
      <c r="AU206"/>
      <c r="AV206"/>
      <c r="AW206"/>
      <c r="AX206"/>
      <c r="AY206"/>
      <c r="AZ206"/>
      <c r="BA206"/>
      <c r="BB206"/>
      <c r="BC206"/>
      <c r="BD206"/>
    </row>
    <row r="207" spans="3:56" x14ac:dyDescent="0.25">
      <c r="C207"/>
      <c r="D207" s="7"/>
      <c r="E207" s="7"/>
      <c r="F207" s="7"/>
      <c r="G207" s="7"/>
      <c r="H207" s="7"/>
      <c r="I207" s="7"/>
      <c r="J207" s="7"/>
      <c r="K207" s="7"/>
      <c r="M207" s="7"/>
      <c r="N207" s="7"/>
      <c r="R207" s="6"/>
      <c r="S207" s="6"/>
      <c r="V207" s="7"/>
      <c r="W207" s="7"/>
      <c r="X207"/>
      <c r="Y207"/>
      <c r="AA207"/>
      <c r="AB207"/>
      <c r="AC207"/>
      <c r="AD207"/>
      <c r="AE207"/>
      <c r="AF207"/>
      <c r="AG207"/>
      <c r="AJ207"/>
      <c r="AK207"/>
      <c r="AL207"/>
      <c r="AM207"/>
      <c r="AN207"/>
      <c r="AS207"/>
      <c r="AT207"/>
      <c r="AU207"/>
      <c r="AV207"/>
      <c r="AW207"/>
      <c r="AX207"/>
      <c r="AY207"/>
      <c r="AZ207"/>
      <c r="BA207"/>
      <c r="BB207"/>
      <c r="BC207"/>
      <c r="BD207"/>
    </row>
    <row r="208" spans="3:56" x14ac:dyDescent="0.25">
      <c r="C208"/>
      <c r="D208" s="7"/>
      <c r="E208" s="7"/>
      <c r="F208" s="7"/>
      <c r="G208" s="7"/>
      <c r="H208" s="7"/>
      <c r="I208" s="7"/>
      <c r="J208" s="7"/>
      <c r="K208" s="7"/>
      <c r="M208" s="7"/>
      <c r="N208" s="7"/>
      <c r="R208" s="6"/>
      <c r="S208" s="6"/>
      <c r="V208" s="7"/>
      <c r="W208" s="7"/>
      <c r="X208"/>
      <c r="Y208"/>
      <c r="AA208"/>
      <c r="AB208"/>
      <c r="AC208"/>
      <c r="AD208"/>
      <c r="AE208"/>
      <c r="AF208"/>
      <c r="AG208"/>
      <c r="AJ208"/>
      <c r="AK208"/>
      <c r="AL208"/>
      <c r="AM208"/>
      <c r="AN208"/>
      <c r="AS208"/>
      <c r="AT208"/>
      <c r="AU208"/>
      <c r="AV208"/>
      <c r="AW208"/>
      <c r="AX208"/>
      <c r="AY208"/>
      <c r="AZ208"/>
      <c r="BA208"/>
      <c r="BB208"/>
      <c r="BC208"/>
      <c r="BD208"/>
    </row>
    <row r="209" spans="3:56" x14ac:dyDescent="0.25">
      <c r="C209"/>
      <c r="D209" s="7"/>
      <c r="E209" s="7"/>
      <c r="F209" s="7"/>
      <c r="G209" s="7"/>
      <c r="H209" s="7"/>
      <c r="I209" s="7"/>
      <c r="J209" s="7"/>
      <c r="K209" s="7"/>
      <c r="M209" s="7"/>
      <c r="N209" s="7"/>
      <c r="R209" s="6"/>
      <c r="S209" s="6"/>
      <c r="V209" s="7"/>
      <c r="W209" s="7"/>
      <c r="X209"/>
      <c r="Y209"/>
      <c r="AA209"/>
      <c r="AB209"/>
      <c r="AC209"/>
      <c r="AD209"/>
      <c r="AE209"/>
      <c r="AF209"/>
      <c r="AG209"/>
      <c r="AJ209"/>
      <c r="AK209"/>
      <c r="AL209"/>
      <c r="AM209"/>
      <c r="AN209"/>
      <c r="AS209"/>
      <c r="AT209"/>
      <c r="AU209"/>
      <c r="AV209"/>
      <c r="AW209"/>
      <c r="AX209"/>
      <c r="AY209"/>
      <c r="AZ209"/>
      <c r="BA209"/>
      <c r="BB209"/>
      <c r="BC209"/>
      <c r="BD209"/>
    </row>
    <row r="210" spans="3:56" x14ac:dyDescent="0.25">
      <c r="C210"/>
      <c r="D210" s="7"/>
      <c r="E210" s="7"/>
      <c r="F210" s="7"/>
      <c r="G210" s="7"/>
      <c r="H210" s="7"/>
      <c r="I210" s="7"/>
      <c r="J210" s="7"/>
      <c r="K210" s="7"/>
      <c r="M210" s="7"/>
      <c r="N210" s="7"/>
      <c r="R210" s="6"/>
      <c r="S210" s="6"/>
      <c r="V210" s="7"/>
      <c r="W210" s="7"/>
      <c r="X210"/>
      <c r="Y210"/>
      <c r="AA210"/>
      <c r="AB210"/>
      <c r="AC210"/>
      <c r="AD210"/>
      <c r="AE210"/>
      <c r="AF210"/>
      <c r="AG210"/>
      <c r="AJ210"/>
      <c r="AK210"/>
      <c r="AL210"/>
      <c r="AM210"/>
      <c r="AN210"/>
      <c r="AS210"/>
      <c r="AT210"/>
      <c r="AU210"/>
      <c r="AV210"/>
      <c r="AW210"/>
      <c r="AX210"/>
      <c r="AY210"/>
      <c r="AZ210"/>
      <c r="BA210"/>
      <c r="BB210"/>
      <c r="BC210"/>
      <c r="BD210"/>
    </row>
    <row r="211" spans="3:56" x14ac:dyDescent="0.25">
      <c r="C211"/>
      <c r="D211" s="7"/>
      <c r="E211" s="7"/>
      <c r="F211" s="7"/>
      <c r="G211" s="7"/>
      <c r="H211" s="7"/>
      <c r="I211" s="7"/>
      <c r="J211" s="7"/>
      <c r="K211" s="7"/>
      <c r="M211" s="7"/>
      <c r="N211" s="7"/>
      <c r="R211" s="6"/>
      <c r="S211" s="6"/>
      <c r="V211" s="7"/>
      <c r="W211" s="7"/>
      <c r="X211"/>
      <c r="Y211"/>
      <c r="AA211"/>
      <c r="AB211"/>
      <c r="AC211"/>
      <c r="AD211"/>
      <c r="AE211"/>
      <c r="AF211"/>
      <c r="AG211"/>
      <c r="AJ211"/>
      <c r="AK211"/>
      <c r="AL211"/>
      <c r="AM211"/>
      <c r="AN211"/>
      <c r="AS211"/>
      <c r="AT211"/>
      <c r="AU211"/>
      <c r="AV211"/>
      <c r="AW211"/>
      <c r="AX211"/>
      <c r="AY211"/>
      <c r="AZ211"/>
      <c r="BA211"/>
      <c r="BB211"/>
      <c r="BC211"/>
      <c r="BD211"/>
    </row>
    <row r="212" spans="3:56" x14ac:dyDescent="0.25">
      <c r="C212"/>
      <c r="D212" s="7"/>
      <c r="E212" s="7"/>
      <c r="F212" s="7"/>
      <c r="G212" s="7"/>
      <c r="H212" s="7"/>
      <c r="I212" s="7"/>
      <c r="J212" s="7"/>
      <c r="K212" s="7"/>
      <c r="M212" s="7"/>
      <c r="N212" s="7"/>
      <c r="R212" s="6"/>
      <c r="S212" s="6"/>
      <c r="V212" s="7"/>
      <c r="W212" s="7"/>
      <c r="X212"/>
      <c r="Y212"/>
      <c r="AA212"/>
      <c r="AB212"/>
      <c r="AC212"/>
      <c r="AD212"/>
      <c r="AE212"/>
      <c r="AF212"/>
      <c r="AG212"/>
      <c r="AJ212"/>
      <c r="AK212"/>
      <c r="AL212"/>
      <c r="AM212"/>
      <c r="AN212"/>
      <c r="AS212"/>
      <c r="AT212"/>
      <c r="AU212"/>
      <c r="AV212"/>
      <c r="AW212"/>
      <c r="AX212"/>
      <c r="AY212"/>
      <c r="AZ212"/>
      <c r="BA212"/>
      <c r="BB212"/>
      <c r="BC212"/>
      <c r="BD212"/>
    </row>
    <row r="213" spans="3:56" x14ac:dyDescent="0.25">
      <c r="C213"/>
      <c r="D213" s="7"/>
      <c r="E213" s="7"/>
      <c r="F213" s="7"/>
      <c r="G213" s="7"/>
      <c r="H213" s="7"/>
      <c r="I213" s="7"/>
      <c r="J213" s="7"/>
      <c r="K213" s="7"/>
      <c r="M213" s="7"/>
      <c r="N213" s="7"/>
      <c r="R213" s="6"/>
      <c r="S213" s="6"/>
      <c r="V213" s="7"/>
      <c r="W213" s="7"/>
      <c r="X213"/>
      <c r="Y213"/>
      <c r="AA213"/>
      <c r="AB213"/>
      <c r="AC213"/>
      <c r="AD213"/>
      <c r="AE213"/>
      <c r="AF213"/>
      <c r="AG213"/>
      <c r="AJ213"/>
      <c r="AK213"/>
      <c r="AL213"/>
      <c r="AM213"/>
      <c r="AN213"/>
      <c r="AS213"/>
      <c r="AT213"/>
      <c r="AU213"/>
      <c r="AV213"/>
      <c r="AW213"/>
      <c r="AX213"/>
      <c r="AY213"/>
      <c r="AZ213"/>
      <c r="BA213"/>
      <c r="BB213"/>
      <c r="BC213"/>
      <c r="BD213"/>
    </row>
    <row r="214" spans="3:56" x14ac:dyDescent="0.25">
      <c r="C214"/>
      <c r="D214" s="7"/>
      <c r="E214" s="7"/>
      <c r="F214" s="7"/>
      <c r="G214" s="7"/>
      <c r="H214" s="7"/>
      <c r="I214" s="7"/>
      <c r="J214" s="7"/>
      <c r="K214" s="7"/>
      <c r="M214" s="7"/>
      <c r="N214" s="7"/>
      <c r="R214" s="6"/>
      <c r="S214" s="6"/>
      <c r="V214" s="7"/>
      <c r="W214" s="7"/>
      <c r="X214"/>
      <c r="Y214"/>
      <c r="AA214"/>
      <c r="AB214"/>
      <c r="AC214"/>
      <c r="AD214"/>
      <c r="AE214"/>
      <c r="AF214"/>
      <c r="AG214"/>
      <c r="AJ214"/>
      <c r="AK214"/>
      <c r="AL214"/>
      <c r="AM214"/>
      <c r="AN214"/>
      <c r="AS214"/>
      <c r="AT214"/>
      <c r="AU214"/>
      <c r="AV214"/>
      <c r="AW214"/>
      <c r="AX214"/>
      <c r="AY214"/>
      <c r="AZ214"/>
      <c r="BA214"/>
      <c r="BB214"/>
      <c r="BC214"/>
      <c r="BD214"/>
    </row>
    <row r="215" spans="3:56" x14ac:dyDescent="0.25">
      <c r="C215"/>
      <c r="D215" s="7"/>
      <c r="E215" s="7"/>
      <c r="F215" s="7"/>
      <c r="G215" s="7"/>
      <c r="H215" s="7"/>
      <c r="I215" s="7"/>
      <c r="J215" s="7"/>
      <c r="K215" s="7"/>
      <c r="M215" s="7"/>
      <c r="N215" s="7"/>
      <c r="R215" s="6"/>
      <c r="S215" s="6"/>
      <c r="V215" s="7"/>
      <c r="W215" s="7"/>
      <c r="X215"/>
      <c r="Y215"/>
      <c r="AA215"/>
      <c r="AB215"/>
      <c r="AC215"/>
      <c r="AD215"/>
      <c r="AE215"/>
      <c r="AF215"/>
      <c r="AG215"/>
      <c r="AJ215"/>
      <c r="AK215"/>
      <c r="AL215"/>
      <c r="AM215"/>
      <c r="AN215"/>
      <c r="AS215"/>
      <c r="AT215"/>
      <c r="AU215"/>
      <c r="AV215"/>
      <c r="AW215"/>
      <c r="AX215"/>
      <c r="AY215"/>
      <c r="AZ215"/>
      <c r="BA215"/>
      <c r="BB215"/>
      <c r="BC215"/>
      <c r="BD215"/>
    </row>
    <row r="216" spans="3:56" x14ac:dyDescent="0.25">
      <c r="C216"/>
      <c r="D216" s="7"/>
      <c r="E216" s="7"/>
      <c r="F216" s="7"/>
      <c r="G216" s="7"/>
      <c r="H216" s="7"/>
      <c r="I216" s="7"/>
      <c r="J216" s="7"/>
      <c r="K216" s="7"/>
      <c r="M216" s="7"/>
      <c r="N216" s="7"/>
      <c r="R216" s="6"/>
      <c r="S216" s="6"/>
      <c r="V216" s="7"/>
      <c r="W216" s="7"/>
      <c r="X216"/>
      <c r="Y216"/>
      <c r="AA216"/>
      <c r="AB216"/>
      <c r="AC216"/>
      <c r="AD216"/>
      <c r="AE216"/>
      <c r="AF216"/>
      <c r="AG216"/>
      <c r="AJ216"/>
      <c r="AK216"/>
      <c r="AL216"/>
      <c r="AM216"/>
      <c r="AN216"/>
      <c r="AS216"/>
      <c r="AT216"/>
      <c r="AU216"/>
      <c r="AV216"/>
      <c r="AW216"/>
      <c r="AX216"/>
      <c r="AY216"/>
      <c r="AZ216"/>
      <c r="BA216"/>
      <c r="BB216"/>
      <c r="BC216"/>
      <c r="BD216"/>
    </row>
    <row r="217" spans="3:56" x14ac:dyDescent="0.25">
      <c r="C217"/>
      <c r="D217" s="7"/>
      <c r="E217" s="7"/>
      <c r="F217" s="7"/>
      <c r="G217" s="7"/>
      <c r="H217" s="7"/>
      <c r="I217" s="7"/>
      <c r="J217" s="7"/>
      <c r="K217" s="7"/>
      <c r="M217" s="7"/>
      <c r="N217" s="7"/>
      <c r="R217" s="6"/>
      <c r="S217" s="6"/>
      <c r="V217" s="7"/>
      <c r="W217" s="7"/>
      <c r="X217"/>
      <c r="Y217"/>
      <c r="AA217"/>
      <c r="AB217"/>
      <c r="AC217"/>
      <c r="AD217"/>
      <c r="AE217"/>
      <c r="AF217"/>
      <c r="AG217"/>
      <c r="AJ217"/>
      <c r="AK217"/>
      <c r="AL217"/>
      <c r="AM217"/>
      <c r="AN217"/>
      <c r="AS217"/>
      <c r="AT217"/>
      <c r="AU217"/>
      <c r="AV217"/>
      <c r="AW217"/>
      <c r="AX217"/>
      <c r="AY217"/>
      <c r="AZ217"/>
      <c r="BA217"/>
      <c r="BB217"/>
      <c r="BC217"/>
      <c r="BD217"/>
    </row>
    <row r="218" spans="3:56" x14ac:dyDescent="0.25">
      <c r="C218"/>
      <c r="D218" s="7"/>
      <c r="E218" s="7"/>
      <c r="F218" s="7"/>
      <c r="G218" s="7"/>
      <c r="H218" s="7"/>
      <c r="I218" s="7"/>
      <c r="J218" s="7"/>
      <c r="K218" s="7"/>
      <c r="M218" s="7"/>
      <c r="N218" s="7"/>
      <c r="R218" s="6"/>
      <c r="S218" s="6"/>
      <c r="V218" s="7"/>
      <c r="W218" s="7"/>
      <c r="X218"/>
      <c r="Y218"/>
      <c r="AA218"/>
      <c r="AB218"/>
      <c r="AC218"/>
      <c r="AD218"/>
      <c r="AE218"/>
      <c r="AF218"/>
      <c r="AG218"/>
      <c r="AJ218"/>
      <c r="AK218"/>
      <c r="AL218"/>
      <c r="AM218"/>
      <c r="AN218"/>
      <c r="AS218"/>
      <c r="AT218"/>
      <c r="AU218"/>
      <c r="AV218"/>
      <c r="AW218"/>
      <c r="AX218"/>
      <c r="AY218"/>
      <c r="AZ218"/>
      <c r="BA218"/>
      <c r="BB218"/>
      <c r="BC218"/>
      <c r="BD218"/>
    </row>
    <row r="219" spans="3:56" x14ac:dyDescent="0.25">
      <c r="C219"/>
      <c r="D219" s="7"/>
      <c r="E219" s="7"/>
      <c r="F219" s="7"/>
      <c r="G219" s="7"/>
      <c r="H219" s="7"/>
      <c r="I219" s="7"/>
      <c r="J219" s="7"/>
      <c r="K219" s="7"/>
      <c r="M219" s="7"/>
      <c r="N219" s="7"/>
      <c r="R219" s="6"/>
      <c r="S219" s="6"/>
      <c r="V219" s="7"/>
      <c r="W219" s="7"/>
      <c r="X219"/>
      <c r="Y219"/>
      <c r="AA219"/>
      <c r="AB219"/>
      <c r="AC219"/>
      <c r="AD219"/>
      <c r="AE219"/>
      <c r="AF219"/>
      <c r="AG219"/>
      <c r="AJ219"/>
      <c r="AK219"/>
      <c r="AL219"/>
      <c r="AM219"/>
      <c r="AN219"/>
      <c r="AS219"/>
      <c r="AT219"/>
      <c r="AU219"/>
      <c r="AV219"/>
      <c r="AW219"/>
      <c r="AX219"/>
      <c r="AY219"/>
      <c r="AZ219"/>
      <c r="BA219"/>
      <c r="BB219"/>
      <c r="BC219"/>
      <c r="BD219"/>
    </row>
    <row r="220" spans="3:56" x14ac:dyDescent="0.25">
      <c r="C220"/>
      <c r="D220" s="7"/>
      <c r="E220" s="7"/>
      <c r="F220" s="7"/>
      <c r="G220" s="7"/>
      <c r="H220" s="7"/>
      <c r="I220" s="7"/>
      <c r="J220" s="7"/>
      <c r="K220" s="7"/>
      <c r="M220" s="7"/>
      <c r="N220" s="7"/>
      <c r="R220" s="6"/>
      <c r="S220" s="6"/>
      <c r="V220" s="7"/>
      <c r="W220" s="7"/>
      <c r="X220"/>
      <c r="Y220"/>
      <c r="AA220"/>
      <c r="AB220"/>
      <c r="AC220"/>
      <c r="AD220"/>
      <c r="AE220"/>
      <c r="AF220"/>
      <c r="AG220"/>
      <c r="AJ220"/>
      <c r="AK220"/>
      <c r="AL220"/>
      <c r="AM220"/>
      <c r="AN220"/>
      <c r="AS220"/>
      <c r="AT220"/>
      <c r="AU220"/>
      <c r="AV220"/>
      <c r="AW220"/>
      <c r="AX220"/>
      <c r="AY220"/>
      <c r="AZ220"/>
      <c r="BA220"/>
      <c r="BB220"/>
      <c r="BC220"/>
      <c r="BD220"/>
    </row>
    <row r="221" spans="3:56" x14ac:dyDescent="0.25">
      <c r="C221"/>
      <c r="D221" s="7"/>
      <c r="E221" s="7"/>
      <c r="F221" s="7"/>
      <c r="G221" s="7"/>
      <c r="H221" s="7"/>
      <c r="I221" s="7"/>
      <c r="J221" s="7"/>
      <c r="K221" s="7"/>
      <c r="M221" s="7"/>
      <c r="N221" s="7"/>
      <c r="R221" s="6"/>
      <c r="S221" s="6"/>
      <c r="V221" s="7"/>
      <c r="W221" s="7"/>
      <c r="X221"/>
      <c r="Y221"/>
      <c r="AA221"/>
      <c r="AB221"/>
      <c r="AC221"/>
      <c r="AD221"/>
      <c r="AE221"/>
      <c r="AF221"/>
      <c r="AG221"/>
      <c r="AJ221"/>
      <c r="AK221"/>
      <c r="AL221"/>
      <c r="AM221"/>
      <c r="AN221"/>
      <c r="AS221"/>
      <c r="AT221"/>
      <c r="AU221"/>
      <c r="AV221"/>
      <c r="AW221"/>
      <c r="AX221"/>
      <c r="AY221"/>
      <c r="AZ221"/>
      <c r="BA221"/>
      <c r="BB221"/>
      <c r="BC221"/>
      <c r="BD221"/>
    </row>
    <row r="222" spans="3:56" x14ac:dyDescent="0.25">
      <c r="C222"/>
      <c r="D222" s="7"/>
      <c r="E222" s="7"/>
      <c r="F222" s="7"/>
      <c r="G222" s="7"/>
      <c r="H222" s="7"/>
      <c r="I222" s="7"/>
      <c r="J222" s="7"/>
      <c r="K222" s="7"/>
      <c r="M222" s="7"/>
      <c r="N222" s="7"/>
      <c r="R222" s="6"/>
      <c r="S222" s="6"/>
      <c r="V222" s="7"/>
      <c r="W222" s="7"/>
      <c r="X222"/>
      <c r="Y222"/>
      <c r="AA222"/>
      <c r="AB222"/>
      <c r="AC222"/>
      <c r="AD222"/>
      <c r="AE222"/>
      <c r="AF222"/>
      <c r="AG222"/>
      <c r="AJ222"/>
      <c r="AK222"/>
      <c r="AL222"/>
      <c r="AM222"/>
      <c r="AN222"/>
      <c r="AS222"/>
      <c r="AT222"/>
      <c r="AU222"/>
      <c r="AV222"/>
      <c r="AW222"/>
      <c r="AX222"/>
      <c r="AY222"/>
      <c r="AZ222"/>
      <c r="BA222"/>
      <c r="BB222"/>
      <c r="BC222"/>
      <c r="BD222"/>
    </row>
    <row r="223" spans="3:56" x14ac:dyDescent="0.25">
      <c r="C223"/>
      <c r="D223" s="7"/>
      <c r="E223" s="7"/>
      <c r="F223" s="7"/>
      <c r="G223" s="7"/>
      <c r="H223" s="7"/>
      <c r="I223" s="7"/>
      <c r="J223" s="7"/>
      <c r="K223" s="7"/>
      <c r="M223" s="7"/>
      <c r="N223" s="7"/>
      <c r="R223" s="6"/>
      <c r="S223" s="6"/>
      <c r="V223" s="7"/>
      <c r="W223" s="7"/>
      <c r="X223"/>
      <c r="Y223"/>
      <c r="AA223"/>
      <c r="AB223"/>
      <c r="AC223"/>
      <c r="AD223"/>
      <c r="AE223"/>
      <c r="AF223"/>
      <c r="AG223"/>
      <c r="AJ223"/>
      <c r="AK223"/>
      <c r="AL223"/>
      <c r="AM223"/>
      <c r="AN223"/>
      <c r="AS223"/>
      <c r="AT223"/>
      <c r="AU223"/>
      <c r="AV223"/>
      <c r="AW223"/>
      <c r="AX223"/>
      <c r="AY223"/>
      <c r="AZ223"/>
      <c r="BA223"/>
      <c r="BB223"/>
      <c r="BC223"/>
      <c r="BD223"/>
    </row>
    <row r="224" spans="3:56" x14ac:dyDescent="0.25">
      <c r="C224"/>
      <c r="D224" s="7"/>
      <c r="E224" s="7"/>
      <c r="F224" s="7"/>
      <c r="G224" s="7"/>
      <c r="H224" s="7"/>
      <c r="I224" s="7"/>
      <c r="J224" s="7"/>
      <c r="K224" s="7"/>
      <c r="M224" s="7"/>
      <c r="N224" s="7"/>
      <c r="R224" s="6"/>
      <c r="S224" s="6"/>
      <c r="V224" s="7"/>
      <c r="W224" s="7"/>
      <c r="X224"/>
      <c r="Y224"/>
      <c r="AA224"/>
      <c r="AB224"/>
      <c r="AC224"/>
      <c r="AD224"/>
      <c r="AE224"/>
      <c r="AF224"/>
      <c r="AG224"/>
      <c r="AJ224"/>
      <c r="AK224"/>
      <c r="AL224"/>
      <c r="AM224"/>
      <c r="AN224"/>
      <c r="AS224"/>
      <c r="AT224"/>
      <c r="AU224"/>
      <c r="AV224"/>
      <c r="AW224"/>
      <c r="AX224"/>
      <c r="AY224"/>
      <c r="AZ224"/>
      <c r="BA224"/>
      <c r="BB224"/>
      <c r="BC224"/>
      <c r="BD224"/>
    </row>
    <row r="225" spans="3:56" x14ac:dyDescent="0.25">
      <c r="C225"/>
      <c r="D225" s="7"/>
      <c r="E225" s="7"/>
      <c r="F225" s="7"/>
      <c r="G225" s="7"/>
      <c r="H225" s="7"/>
      <c r="I225" s="7"/>
      <c r="J225" s="7"/>
      <c r="K225" s="7"/>
      <c r="M225" s="7"/>
      <c r="N225" s="7"/>
      <c r="R225" s="6"/>
      <c r="S225" s="6"/>
      <c r="V225" s="7"/>
      <c r="W225" s="7"/>
      <c r="X225"/>
      <c r="Y225"/>
      <c r="AA225"/>
      <c r="AB225"/>
      <c r="AC225"/>
      <c r="AD225"/>
      <c r="AE225"/>
      <c r="AF225"/>
      <c r="AG225"/>
      <c r="AJ225"/>
      <c r="AK225"/>
      <c r="AL225"/>
      <c r="AM225"/>
      <c r="AN225"/>
      <c r="AS225"/>
      <c r="AT225"/>
      <c r="AU225"/>
      <c r="AV225"/>
      <c r="AW225"/>
      <c r="AX225"/>
      <c r="AY225"/>
      <c r="AZ225"/>
      <c r="BA225"/>
      <c r="BB225"/>
      <c r="BC225"/>
      <c r="BD225"/>
    </row>
    <row r="226" spans="3:56" x14ac:dyDescent="0.25">
      <c r="C226"/>
      <c r="D226" s="7"/>
      <c r="E226" s="7"/>
      <c r="F226" s="7"/>
      <c r="G226" s="7"/>
      <c r="H226" s="7"/>
      <c r="I226" s="7"/>
      <c r="J226" s="7"/>
      <c r="K226" s="7"/>
      <c r="M226" s="7"/>
      <c r="N226" s="7"/>
      <c r="R226" s="6"/>
      <c r="S226" s="6"/>
      <c r="V226" s="7"/>
      <c r="W226" s="7"/>
      <c r="X226"/>
      <c r="Y226"/>
      <c r="AA226"/>
      <c r="AB226"/>
      <c r="AC226"/>
      <c r="AD226"/>
      <c r="AE226"/>
      <c r="AF226"/>
      <c r="AG226"/>
      <c r="AJ226"/>
      <c r="AK226"/>
      <c r="AL226"/>
      <c r="AM226"/>
      <c r="AN226"/>
      <c r="AS226"/>
      <c r="AT226"/>
      <c r="AU226"/>
      <c r="AV226"/>
      <c r="AW226"/>
      <c r="AX226"/>
      <c r="AY226"/>
      <c r="AZ226"/>
      <c r="BA226"/>
      <c r="BB226"/>
      <c r="BC226"/>
      <c r="BD226"/>
    </row>
    <row r="227" spans="3:56" x14ac:dyDescent="0.25">
      <c r="C227"/>
      <c r="D227" s="7"/>
      <c r="E227" s="7"/>
      <c r="F227" s="7"/>
      <c r="G227" s="7"/>
      <c r="H227" s="7"/>
      <c r="I227" s="7"/>
      <c r="J227" s="7"/>
      <c r="K227" s="7"/>
      <c r="M227" s="7"/>
      <c r="N227" s="7"/>
      <c r="R227" s="6"/>
      <c r="S227" s="6"/>
      <c r="V227" s="7"/>
      <c r="W227" s="7"/>
      <c r="X227"/>
      <c r="Y227"/>
      <c r="AA227"/>
      <c r="AB227"/>
      <c r="AC227"/>
      <c r="AD227"/>
      <c r="AE227"/>
      <c r="AF227"/>
      <c r="AG227"/>
      <c r="AJ227"/>
      <c r="AK227"/>
      <c r="AL227"/>
      <c r="AM227"/>
      <c r="AN227"/>
      <c r="AS227"/>
      <c r="AT227"/>
      <c r="AU227"/>
      <c r="AV227"/>
      <c r="AW227"/>
      <c r="AX227"/>
      <c r="AY227"/>
      <c r="AZ227"/>
      <c r="BA227"/>
      <c r="BB227"/>
      <c r="BC227"/>
      <c r="BD227"/>
    </row>
    <row r="228" spans="3:56" x14ac:dyDescent="0.25">
      <c r="C228"/>
      <c r="D228" s="7"/>
      <c r="E228" s="7"/>
      <c r="F228" s="7"/>
      <c r="G228" s="7"/>
      <c r="H228" s="7"/>
      <c r="I228" s="7"/>
      <c r="J228" s="7"/>
      <c r="K228" s="7"/>
      <c r="M228" s="7"/>
      <c r="N228" s="7"/>
      <c r="R228" s="6"/>
      <c r="S228" s="6"/>
      <c r="V228" s="7"/>
      <c r="W228" s="7"/>
      <c r="X228"/>
      <c r="Y228"/>
      <c r="AA228"/>
      <c r="AB228"/>
      <c r="AC228"/>
      <c r="AD228"/>
      <c r="AE228"/>
      <c r="AF228"/>
      <c r="AG228"/>
      <c r="AJ228"/>
      <c r="AK228"/>
      <c r="AL228"/>
      <c r="AM228"/>
      <c r="AN228"/>
      <c r="AS228"/>
      <c r="AT228"/>
      <c r="AU228"/>
      <c r="AV228"/>
      <c r="AW228"/>
      <c r="AX228"/>
      <c r="AY228"/>
      <c r="AZ228"/>
      <c r="BA228"/>
      <c r="BB228"/>
      <c r="BC228"/>
      <c r="BD228"/>
    </row>
    <row r="229" spans="3:56" x14ac:dyDescent="0.25">
      <c r="C229"/>
      <c r="D229" s="7"/>
      <c r="E229" s="7"/>
      <c r="F229" s="7"/>
      <c r="G229" s="7"/>
      <c r="H229" s="7"/>
      <c r="I229" s="7"/>
      <c r="J229" s="7"/>
      <c r="K229" s="7"/>
      <c r="M229" s="7"/>
      <c r="N229" s="7"/>
      <c r="R229" s="6"/>
      <c r="S229" s="6"/>
      <c r="V229" s="7"/>
      <c r="W229" s="7"/>
      <c r="X229"/>
      <c r="Y229"/>
      <c r="AA229"/>
      <c r="AB229"/>
      <c r="AC229"/>
      <c r="AD229"/>
      <c r="AE229"/>
      <c r="AF229"/>
      <c r="AG229"/>
      <c r="AJ229"/>
      <c r="AK229"/>
      <c r="AL229"/>
      <c r="AM229"/>
      <c r="AN229"/>
      <c r="AS229"/>
      <c r="AT229"/>
      <c r="AU229"/>
      <c r="AV229"/>
      <c r="AW229"/>
      <c r="AX229"/>
      <c r="AY229"/>
      <c r="AZ229"/>
      <c r="BA229"/>
      <c r="BB229"/>
      <c r="BC229"/>
      <c r="BD229"/>
    </row>
    <row r="230" spans="3:56" x14ac:dyDescent="0.25">
      <c r="C230"/>
      <c r="D230" s="7"/>
      <c r="E230" s="7"/>
      <c r="F230" s="7"/>
      <c r="G230" s="7"/>
      <c r="H230" s="7"/>
      <c r="I230" s="7"/>
      <c r="J230" s="7"/>
      <c r="K230" s="7"/>
      <c r="M230" s="7"/>
      <c r="N230" s="7"/>
      <c r="R230" s="6"/>
      <c r="S230" s="6"/>
      <c r="V230" s="7"/>
      <c r="W230" s="7"/>
      <c r="X230"/>
      <c r="Y230"/>
      <c r="AA230"/>
      <c r="AB230"/>
      <c r="AC230"/>
      <c r="AD230"/>
      <c r="AE230"/>
      <c r="AF230"/>
      <c r="AG230"/>
      <c r="AJ230"/>
      <c r="AK230"/>
      <c r="AL230"/>
      <c r="AM230"/>
      <c r="AN230"/>
      <c r="AS230"/>
      <c r="AT230"/>
      <c r="AU230"/>
      <c r="AV230"/>
      <c r="AW230"/>
      <c r="AX230"/>
      <c r="AY230"/>
      <c r="AZ230"/>
      <c r="BA230"/>
      <c r="BB230"/>
      <c r="BC230"/>
      <c r="BD230"/>
    </row>
    <row r="231" spans="3:56" x14ac:dyDescent="0.25">
      <c r="C231"/>
      <c r="D231" s="7"/>
      <c r="E231" s="7"/>
      <c r="F231" s="7"/>
      <c r="G231" s="7"/>
      <c r="H231" s="7"/>
      <c r="I231" s="7"/>
      <c r="J231" s="7"/>
      <c r="K231" s="7"/>
      <c r="M231" s="7"/>
      <c r="N231" s="7"/>
      <c r="R231" s="6"/>
      <c r="S231" s="6"/>
      <c r="V231" s="7"/>
      <c r="W231" s="7"/>
      <c r="X231"/>
      <c r="Y231"/>
      <c r="AA231"/>
      <c r="AB231"/>
      <c r="AC231"/>
      <c r="AD231"/>
      <c r="AE231"/>
      <c r="AF231"/>
      <c r="AG231"/>
      <c r="AJ231"/>
      <c r="AK231"/>
      <c r="AL231"/>
      <c r="AM231"/>
      <c r="AN231"/>
      <c r="AS231"/>
      <c r="AT231"/>
      <c r="AU231"/>
      <c r="AV231"/>
      <c r="AW231"/>
      <c r="AX231"/>
      <c r="AY231"/>
      <c r="AZ231"/>
      <c r="BA231"/>
      <c r="BB231"/>
      <c r="BC231"/>
      <c r="BD231"/>
    </row>
    <row r="232" spans="3:56" x14ac:dyDescent="0.25">
      <c r="C232"/>
      <c r="D232" s="7"/>
      <c r="E232" s="7"/>
      <c r="F232" s="7"/>
      <c r="G232" s="7"/>
      <c r="H232" s="7"/>
      <c r="I232" s="7"/>
      <c r="J232" s="7"/>
      <c r="K232" s="7"/>
      <c r="M232" s="7"/>
      <c r="N232" s="7"/>
      <c r="R232" s="6"/>
      <c r="S232" s="6"/>
      <c r="V232" s="7"/>
      <c r="W232" s="7"/>
      <c r="X232"/>
      <c r="Y232"/>
      <c r="AA232"/>
      <c r="AB232"/>
      <c r="AC232"/>
      <c r="AD232"/>
      <c r="AE232"/>
      <c r="AF232"/>
      <c r="AG232"/>
      <c r="AJ232"/>
      <c r="AK232"/>
      <c r="AL232"/>
      <c r="AM232"/>
      <c r="AN232"/>
      <c r="AS232"/>
      <c r="AT232"/>
      <c r="AU232"/>
      <c r="AV232"/>
      <c r="AW232"/>
      <c r="AX232"/>
      <c r="AY232"/>
      <c r="AZ232"/>
      <c r="BA232"/>
      <c r="BB232"/>
      <c r="BC232"/>
      <c r="BD232"/>
    </row>
    <row r="233" spans="3:56" x14ac:dyDescent="0.25">
      <c r="C233"/>
      <c r="D233" s="7"/>
      <c r="E233" s="7"/>
      <c r="F233" s="7"/>
      <c r="G233" s="7"/>
      <c r="H233" s="7"/>
      <c r="I233" s="7"/>
      <c r="J233" s="7"/>
      <c r="K233" s="7"/>
      <c r="M233" s="7"/>
      <c r="N233" s="7"/>
      <c r="R233" s="6"/>
      <c r="S233" s="6"/>
      <c r="V233" s="7"/>
      <c r="W233" s="7"/>
      <c r="X233"/>
      <c r="Y233"/>
      <c r="AA233"/>
      <c r="AB233"/>
      <c r="AC233"/>
      <c r="AD233"/>
      <c r="AE233"/>
      <c r="AF233"/>
      <c r="AG233"/>
      <c r="AJ233"/>
      <c r="AK233"/>
      <c r="AL233"/>
      <c r="AM233"/>
      <c r="AN233"/>
      <c r="AS233"/>
      <c r="AT233"/>
      <c r="AU233"/>
      <c r="AV233"/>
      <c r="AW233"/>
      <c r="AX233"/>
      <c r="AY233"/>
      <c r="AZ233"/>
      <c r="BA233"/>
      <c r="BB233"/>
      <c r="BC233"/>
      <c r="BD233"/>
    </row>
    <row r="234" spans="3:56" x14ac:dyDescent="0.25">
      <c r="C234"/>
      <c r="D234" s="7"/>
      <c r="E234" s="7"/>
      <c r="F234" s="7"/>
      <c r="G234" s="7"/>
      <c r="H234" s="7"/>
      <c r="I234" s="7"/>
      <c r="J234" s="7"/>
      <c r="K234" s="7"/>
      <c r="M234" s="7"/>
      <c r="N234" s="7"/>
      <c r="R234" s="6"/>
      <c r="S234" s="6"/>
      <c r="V234" s="7"/>
      <c r="W234" s="7"/>
      <c r="X234"/>
      <c r="Y234"/>
      <c r="AA234"/>
      <c r="AB234"/>
      <c r="AC234"/>
      <c r="AD234"/>
      <c r="AE234"/>
      <c r="AF234"/>
      <c r="AG234"/>
      <c r="AJ234"/>
      <c r="AK234"/>
      <c r="AL234"/>
      <c r="AM234"/>
      <c r="AN234"/>
      <c r="AS234"/>
      <c r="AT234"/>
      <c r="AU234"/>
      <c r="AV234"/>
      <c r="AW234"/>
      <c r="AX234"/>
      <c r="AY234"/>
      <c r="AZ234"/>
      <c r="BA234"/>
      <c r="BB234"/>
      <c r="BC234"/>
      <c r="BD234"/>
    </row>
    <row r="235" spans="3:56" x14ac:dyDescent="0.25">
      <c r="C235"/>
      <c r="D235" s="7"/>
      <c r="E235" s="7"/>
      <c r="F235" s="7"/>
      <c r="G235" s="7"/>
      <c r="H235" s="7"/>
      <c r="I235" s="7"/>
      <c r="J235" s="7"/>
      <c r="K235" s="7"/>
      <c r="M235" s="7"/>
      <c r="N235" s="7"/>
      <c r="R235" s="6"/>
      <c r="S235" s="6"/>
      <c r="V235" s="7"/>
      <c r="W235" s="7"/>
      <c r="X235"/>
      <c r="Y235"/>
      <c r="AA235"/>
      <c r="AB235"/>
      <c r="AC235"/>
      <c r="AD235"/>
      <c r="AE235"/>
      <c r="AF235"/>
      <c r="AG235"/>
      <c r="AJ235"/>
      <c r="AK235"/>
      <c r="AL235"/>
      <c r="AM235"/>
      <c r="AN235"/>
      <c r="AS235"/>
      <c r="AT235"/>
      <c r="AU235"/>
      <c r="AV235"/>
      <c r="AW235"/>
      <c r="AX235"/>
      <c r="AY235"/>
      <c r="AZ235"/>
      <c r="BA235"/>
      <c r="BB235"/>
      <c r="BC235"/>
      <c r="BD235"/>
    </row>
    <row r="236" spans="3:56" x14ac:dyDescent="0.25">
      <c r="C236"/>
      <c r="D236" s="7"/>
      <c r="E236" s="7"/>
      <c r="F236" s="7"/>
      <c r="G236" s="7"/>
      <c r="H236" s="7"/>
      <c r="I236" s="7"/>
      <c r="J236" s="7"/>
      <c r="K236" s="7"/>
      <c r="M236" s="7"/>
      <c r="N236" s="7"/>
      <c r="R236" s="6"/>
      <c r="S236" s="6"/>
      <c r="V236" s="7"/>
      <c r="W236" s="7"/>
      <c r="X236"/>
      <c r="Y236"/>
      <c r="AA236"/>
      <c r="AB236"/>
      <c r="AC236"/>
      <c r="AD236"/>
      <c r="AE236"/>
      <c r="AF236"/>
      <c r="AG236"/>
      <c r="AJ236"/>
      <c r="AK236"/>
      <c r="AL236"/>
      <c r="AM236"/>
      <c r="AN236"/>
      <c r="AS236"/>
      <c r="AT236"/>
      <c r="AU236"/>
      <c r="AV236"/>
      <c r="AW236"/>
      <c r="AX236"/>
      <c r="AY236"/>
      <c r="AZ236"/>
      <c r="BA236"/>
      <c r="BB236"/>
      <c r="BC236"/>
      <c r="BD236"/>
    </row>
    <row r="237" spans="3:56" x14ac:dyDescent="0.25">
      <c r="C237"/>
      <c r="D237" s="7"/>
      <c r="E237" s="7"/>
      <c r="F237" s="7"/>
      <c r="G237" s="7"/>
      <c r="H237" s="7"/>
      <c r="I237" s="7"/>
      <c r="J237" s="7"/>
      <c r="K237" s="7"/>
      <c r="M237" s="7"/>
      <c r="N237" s="7"/>
      <c r="R237" s="6"/>
      <c r="S237" s="6"/>
      <c r="V237" s="7"/>
      <c r="W237" s="7"/>
      <c r="X237"/>
      <c r="Y237"/>
      <c r="AA237"/>
      <c r="AB237"/>
      <c r="AC237"/>
      <c r="AD237"/>
      <c r="AE237"/>
      <c r="AF237"/>
      <c r="AG237"/>
      <c r="AJ237"/>
      <c r="AK237"/>
      <c r="AL237"/>
      <c r="AM237"/>
      <c r="AN237"/>
      <c r="AS237"/>
      <c r="AT237"/>
      <c r="AU237"/>
      <c r="AV237"/>
      <c r="AW237"/>
      <c r="AX237"/>
      <c r="AY237"/>
      <c r="AZ237"/>
      <c r="BA237"/>
      <c r="BB237"/>
      <c r="BC237"/>
      <c r="BD237"/>
    </row>
    <row r="238" spans="3:56" x14ac:dyDescent="0.25">
      <c r="C238"/>
      <c r="D238" s="7"/>
      <c r="E238" s="7"/>
      <c r="F238" s="7"/>
      <c r="G238" s="7"/>
      <c r="H238" s="7"/>
      <c r="I238" s="7"/>
      <c r="J238" s="7"/>
      <c r="K238" s="7"/>
      <c r="M238" s="7"/>
      <c r="N238" s="7"/>
      <c r="R238" s="6"/>
      <c r="S238" s="6"/>
      <c r="V238" s="7"/>
      <c r="W238" s="7"/>
      <c r="X238"/>
      <c r="Y238"/>
      <c r="AA238"/>
      <c r="AB238"/>
      <c r="AC238"/>
      <c r="AD238"/>
      <c r="AE238"/>
      <c r="AF238"/>
      <c r="AG238"/>
      <c r="AJ238"/>
      <c r="AK238"/>
      <c r="AL238"/>
      <c r="AM238"/>
      <c r="AN238"/>
      <c r="AS238"/>
      <c r="AT238"/>
      <c r="AU238"/>
      <c r="AV238"/>
      <c r="AW238"/>
      <c r="AX238"/>
      <c r="AY238"/>
      <c r="AZ238"/>
      <c r="BA238"/>
      <c r="BB238"/>
      <c r="BC238"/>
      <c r="BD238"/>
    </row>
    <row r="239" spans="3:56" x14ac:dyDescent="0.25">
      <c r="C239"/>
      <c r="D239" s="7"/>
      <c r="E239" s="7"/>
      <c r="F239" s="7"/>
      <c r="G239" s="7"/>
      <c r="H239" s="7"/>
      <c r="I239" s="7"/>
      <c r="J239" s="7"/>
      <c r="K239" s="7"/>
      <c r="M239" s="7"/>
      <c r="N239" s="7"/>
      <c r="R239" s="6"/>
      <c r="S239" s="6"/>
      <c r="V239" s="7"/>
      <c r="W239" s="7"/>
      <c r="X239"/>
      <c r="Y239"/>
      <c r="AA239"/>
      <c r="AB239"/>
      <c r="AC239"/>
      <c r="AD239"/>
      <c r="AE239"/>
      <c r="AF239"/>
      <c r="AG239"/>
      <c r="AJ239"/>
      <c r="AK239"/>
      <c r="AL239"/>
      <c r="AM239"/>
      <c r="AN239"/>
      <c r="AS239"/>
      <c r="AT239"/>
      <c r="AU239"/>
      <c r="AV239"/>
      <c r="AW239"/>
      <c r="AX239"/>
      <c r="AY239"/>
      <c r="AZ239"/>
      <c r="BA239"/>
      <c r="BB239"/>
      <c r="BC239"/>
      <c r="BD239"/>
    </row>
    <row r="240" spans="3:56" x14ac:dyDescent="0.25">
      <c r="C240"/>
      <c r="D240" s="7"/>
      <c r="E240" s="7"/>
      <c r="F240" s="7"/>
      <c r="G240" s="7"/>
      <c r="H240" s="7"/>
      <c r="I240" s="7"/>
      <c r="J240" s="7"/>
      <c r="K240" s="7"/>
      <c r="M240" s="7"/>
      <c r="N240" s="7"/>
      <c r="R240" s="6"/>
      <c r="S240" s="6"/>
      <c r="V240" s="7"/>
      <c r="W240" s="7"/>
      <c r="X240"/>
      <c r="Y240"/>
      <c r="AA240"/>
      <c r="AB240"/>
      <c r="AC240"/>
      <c r="AD240"/>
      <c r="AE240"/>
      <c r="AF240"/>
      <c r="AG240"/>
      <c r="AJ240"/>
      <c r="AK240"/>
      <c r="AL240"/>
      <c r="AM240"/>
      <c r="AN240"/>
      <c r="AS240"/>
      <c r="AT240"/>
      <c r="AU240"/>
      <c r="AV240"/>
      <c r="AW240"/>
      <c r="AX240"/>
      <c r="AY240"/>
      <c r="AZ240"/>
      <c r="BA240"/>
      <c r="BB240"/>
      <c r="BC240"/>
      <c r="BD240"/>
    </row>
    <row r="241" spans="3:56" x14ac:dyDescent="0.25">
      <c r="C241"/>
      <c r="D241" s="7"/>
      <c r="E241" s="7"/>
      <c r="F241" s="7"/>
      <c r="G241" s="7"/>
      <c r="H241" s="7"/>
      <c r="I241" s="7"/>
      <c r="J241" s="7"/>
      <c r="K241" s="7"/>
      <c r="M241" s="7"/>
      <c r="N241" s="7"/>
      <c r="R241" s="6"/>
      <c r="S241" s="6"/>
      <c r="V241" s="7"/>
      <c r="W241" s="7"/>
      <c r="X241"/>
      <c r="Y241"/>
      <c r="AA241"/>
      <c r="AB241"/>
      <c r="AC241"/>
      <c r="AD241"/>
      <c r="AE241"/>
      <c r="AF241"/>
      <c r="AG241"/>
      <c r="AJ241"/>
      <c r="AK241"/>
      <c r="AL241"/>
      <c r="AM241"/>
      <c r="AN241"/>
      <c r="AS241"/>
      <c r="AT241"/>
      <c r="AU241"/>
      <c r="AV241"/>
      <c r="AW241"/>
      <c r="AX241"/>
      <c r="AY241"/>
      <c r="AZ241"/>
      <c r="BA241"/>
      <c r="BB241"/>
      <c r="BC241"/>
      <c r="BD241"/>
    </row>
    <row r="242" spans="3:56" x14ac:dyDescent="0.25">
      <c r="C242"/>
      <c r="D242" s="7"/>
      <c r="E242" s="7"/>
      <c r="F242" s="7"/>
      <c r="G242" s="7"/>
      <c r="H242" s="7"/>
      <c r="I242" s="7"/>
      <c r="J242" s="7"/>
      <c r="K242" s="7"/>
      <c r="M242" s="7"/>
      <c r="N242" s="7"/>
      <c r="R242" s="6"/>
      <c r="S242" s="6"/>
      <c r="V242" s="7"/>
      <c r="W242" s="7"/>
      <c r="X242"/>
      <c r="Y242"/>
      <c r="AA242"/>
      <c r="AB242"/>
      <c r="AC242"/>
      <c r="AD242"/>
      <c r="AE242"/>
      <c r="AF242"/>
      <c r="AG242"/>
      <c r="AJ242"/>
      <c r="AK242"/>
      <c r="AL242"/>
      <c r="AM242"/>
      <c r="AN242"/>
      <c r="AS242"/>
      <c r="AT242"/>
      <c r="AU242"/>
      <c r="AV242"/>
      <c r="AW242"/>
      <c r="AX242"/>
      <c r="AY242"/>
      <c r="AZ242"/>
      <c r="BA242"/>
      <c r="BB242"/>
      <c r="BC242"/>
      <c r="BD242"/>
    </row>
    <row r="243" spans="3:56" x14ac:dyDescent="0.25">
      <c r="C243"/>
      <c r="D243" s="7"/>
      <c r="E243" s="7"/>
      <c r="F243" s="7"/>
      <c r="G243" s="7"/>
      <c r="H243" s="7"/>
      <c r="I243" s="7"/>
      <c r="J243" s="7"/>
      <c r="K243" s="7"/>
      <c r="M243" s="7"/>
      <c r="N243" s="7"/>
      <c r="R243" s="6"/>
      <c r="S243" s="6"/>
      <c r="V243" s="7"/>
      <c r="W243" s="7"/>
      <c r="X243"/>
      <c r="Y243"/>
      <c r="AA243"/>
      <c r="AB243"/>
      <c r="AC243"/>
      <c r="AD243"/>
      <c r="AE243"/>
      <c r="AF243"/>
      <c r="AG243"/>
      <c r="AJ243"/>
      <c r="AK243"/>
      <c r="AL243"/>
      <c r="AM243"/>
      <c r="AN243"/>
      <c r="AS243"/>
      <c r="AT243"/>
      <c r="AU243"/>
      <c r="AV243"/>
      <c r="AW243"/>
      <c r="AX243"/>
      <c r="AY243"/>
      <c r="AZ243"/>
      <c r="BA243"/>
      <c r="BB243"/>
      <c r="BC243"/>
      <c r="BD243"/>
    </row>
    <row r="244" spans="3:56" x14ac:dyDescent="0.25">
      <c r="C244"/>
      <c r="D244" s="7"/>
      <c r="E244" s="7"/>
      <c r="F244" s="7"/>
      <c r="G244" s="7"/>
      <c r="H244" s="7"/>
      <c r="I244" s="7"/>
      <c r="J244" s="7"/>
      <c r="K244" s="7"/>
      <c r="M244" s="7"/>
      <c r="N244" s="7"/>
      <c r="R244" s="6"/>
      <c r="S244" s="6"/>
      <c r="V244" s="7"/>
      <c r="W244" s="7"/>
      <c r="X244"/>
      <c r="Y244"/>
      <c r="AA244"/>
      <c r="AB244"/>
      <c r="AC244"/>
      <c r="AD244"/>
      <c r="AE244"/>
      <c r="AF244"/>
      <c r="AG244"/>
      <c r="AJ244"/>
      <c r="AK244"/>
      <c r="AL244"/>
      <c r="AM244"/>
      <c r="AN244"/>
      <c r="AS244"/>
      <c r="AT244"/>
      <c r="AU244"/>
      <c r="AV244"/>
      <c r="AW244"/>
      <c r="AX244"/>
      <c r="AY244"/>
      <c r="AZ244"/>
      <c r="BA244"/>
      <c r="BB244"/>
      <c r="BC244"/>
      <c r="BD244"/>
    </row>
    <row r="245" spans="3:56" x14ac:dyDescent="0.25">
      <c r="C245"/>
      <c r="D245" s="7"/>
      <c r="E245" s="7"/>
      <c r="F245" s="7"/>
      <c r="G245" s="7"/>
      <c r="H245" s="7"/>
      <c r="I245" s="7"/>
      <c r="J245" s="7"/>
      <c r="K245" s="7"/>
      <c r="M245" s="7"/>
      <c r="N245" s="7"/>
      <c r="R245" s="6"/>
      <c r="S245" s="6"/>
      <c r="V245" s="7"/>
      <c r="W245" s="7"/>
      <c r="X245"/>
      <c r="Y245"/>
      <c r="AA245"/>
      <c r="AB245"/>
      <c r="AC245"/>
      <c r="AD245"/>
      <c r="AE245"/>
      <c r="AF245"/>
      <c r="AG245"/>
      <c r="AJ245"/>
      <c r="AK245"/>
      <c r="AL245"/>
      <c r="AM245"/>
      <c r="AN245"/>
      <c r="AS245"/>
      <c r="AT245"/>
      <c r="AU245"/>
      <c r="AV245"/>
      <c r="AW245"/>
      <c r="AX245"/>
      <c r="AY245"/>
      <c r="AZ245"/>
      <c r="BA245"/>
      <c r="BB245"/>
      <c r="BC245"/>
      <c r="BD245"/>
    </row>
    <row r="246" spans="3:56" x14ac:dyDescent="0.25">
      <c r="C246"/>
      <c r="D246" s="7"/>
      <c r="E246" s="7"/>
      <c r="F246" s="7"/>
      <c r="G246" s="7"/>
      <c r="H246" s="7"/>
      <c r="I246" s="7"/>
      <c r="J246" s="7"/>
      <c r="K246" s="7"/>
      <c r="M246" s="7"/>
      <c r="N246" s="7"/>
      <c r="R246" s="6"/>
      <c r="S246" s="6"/>
      <c r="V246" s="7"/>
      <c r="W246" s="7"/>
      <c r="X246"/>
      <c r="Y246"/>
      <c r="AA246"/>
      <c r="AB246"/>
      <c r="AC246"/>
      <c r="AD246"/>
      <c r="AE246"/>
      <c r="AF246"/>
      <c r="AG246"/>
      <c r="AJ246"/>
      <c r="AK246"/>
      <c r="AL246"/>
      <c r="AM246"/>
      <c r="AN246"/>
      <c r="AS246"/>
      <c r="AT246"/>
      <c r="AU246"/>
      <c r="AV246"/>
      <c r="AW246"/>
      <c r="AX246"/>
      <c r="AY246"/>
      <c r="AZ246"/>
      <c r="BA246"/>
      <c r="BB246"/>
      <c r="BC246"/>
      <c r="BD246"/>
    </row>
    <row r="247" spans="3:56" x14ac:dyDescent="0.25">
      <c r="C247"/>
      <c r="D247" s="7"/>
      <c r="E247" s="7"/>
      <c r="F247" s="7"/>
      <c r="G247" s="7"/>
      <c r="H247" s="7"/>
      <c r="I247" s="7"/>
      <c r="J247" s="7"/>
      <c r="K247" s="7"/>
      <c r="M247" s="7"/>
      <c r="N247" s="7"/>
      <c r="R247" s="6"/>
      <c r="S247" s="6"/>
      <c r="V247" s="7"/>
      <c r="W247" s="7"/>
      <c r="X247"/>
      <c r="Y247"/>
      <c r="AA247"/>
      <c r="AB247"/>
      <c r="AC247"/>
      <c r="AD247"/>
      <c r="AE247"/>
      <c r="AF247"/>
      <c r="AG247"/>
      <c r="AJ247"/>
      <c r="AK247"/>
      <c r="AL247"/>
      <c r="AM247"/>
      <c r="AN247"/>
      <c r="AS247"/>
      <c r="AT247"/>
      <c r="AU247"/>
      <c r="AV247"/>
      <c r="AW247"/>
      <c r="AX247"/>
      <c r="AY247"/>
      <c r="AZ247"/>
      <c r="BA247"/>
      <c r="BB247"/>
      <c r="BC247"/>
      <c r="BD247"/>
    </row>
    <row r="248" spans="3:56" x14ac:dyDescent="0.25">
      <c r="C248"/>
      <c r="D248" s="7"/>
      <c r="E248" s="7"/>
      <c r="F248" s="7"/>
      <c r="G248" s="7"/>
      <c r="H248" s="7"/>
      <c r="I248" s="7"/>
      <c r="J248" s="7"/>
      <c r="K248" s="7"/>
      <c r="M248" s="7"/>
      <c r="O248" s="6"/>
      <c r="P248" s="6"/>
      <c r="Q248" s="6"/>
      <c r="R248" s="6"/>
      <c r="S248" s="6"/>
      <c r="V248" s="7"/>
      <c r="W248" s="7"/>
      <c r="Z248" s="1"/>
      <c r="AB248"/>
      <c r="AC248"/>
      <c r="AD248"/>
      <c r="AE248"/>
      <c r="AF248"/>
      <c r="AG248"/>
      <c r="AJ248"/>
      <c r="AK248"/>
      <c r="AL248"/>
      <c r="AM248"/>
      <c r="AN248"/>
      <c r="AS248"/>
      <c r="AT248"/>
      <c r="AU248"/>
      <c r="AV248"/>
      <c r="AW248"/>
      <c r="AX248"/>
      <c r="AY248"/>
      <c r="AZ248"/>
      <c r="BA248"/>
      <c r="BB248"/>
      <c r="BC248"/>
      <c r="BD248"/>
    </row>
    <row r="249" spans="3:56" x14ac:dyDescent="0.25">
      <c r="C249"/>
      <c r="D249" s="7"/>
      <c r="E249" s="7"/>
      <c r="F249" s="7"/>
      <c r="G249" s="7"/>
      <c r="H249" s="7"/>
      <c r="I249" s="7"/>
      <c r="J249" s="7"/>
      <c r="K249" s="7"/>
      <c r="M249" s="7"/>
      <c r="O249" s="6"/>
      <c r="P249" s="6"/>
      <c r="Q249" s="6"/>
      <c r="R249" s="6"/>
      <c r="S249" s="6"/>
      <c r="V249" s="7"/>
      <c r="W249" s="7"/>
      <c r="Z249" s="1"/>
      <c r="AB249"/>
      <c r="AC249"/>
      <c r="AD249"/>
      <c r="AE249"/>
      <c r="AF249"/>
      <c r="AG249"/>
      <c r="AJ249"/>
      <c r="AK249"/>
      <c r="AL249"/>
      <c r="AM249"/>
      <c r="AN249"/>
      <c r="AS249"/>
      <c r="AT249"/>
      <c r="AU249"/>
      <c r="AV249"/>
      <c r="AW249"/>
      <c r="AX249"/>
      <c r="AY249"/>
      <c r="AZ249"/>
      <c r="BA249"/>
      <c r="BB249"/>
      <c r="BC249"/>
      <c r="BD249"/>
    </row>
    <row r="250" spans="3:56" x14ac:dyDescent="0.25">
      <c r="C250"/>
      <c r="D250" s="7"/>
      <c r="E250" s="7"/>
      <c r="F250" s="7"/>
      <c r="G250" s="7"/>
      <c r="H250" s="7"/>
      <c r="I250" s="7"/>
      <c r="J250" s="7"/>
      <c r="K250" s="7"/>
      <c r="M250" s="7"/>
      <c r="O250" s="6"/>
      <c r="P250" s="6"/>
      <c r="Q250" s="6"/>
      <c r="R250" s="6"/>
      <c r="S250" s="6"/>
      <c r="V250" s="7"/>
      <c r="W250" s="7"/>
      <c r="Z250" s="1"/>
      <c r="AB250"/>
      <c r="AC250"/>
      <c r="AD250"/>
      <c r="AE250"/>
      <c r="AF250"/>
      <c r="AG250"/>
      <c r="AJ250"/>
      <c r="AK250"/>
      <c r="AL250"/>
      <c r="AM250"/>
      <c r="AN250"/>
      <c r="AS250"/>
      <c r="AT250"/>
      <c r="AU250"/>
      <c r="AV250"/>
      <c r="AW250"/>
      <c r="AX250"/>
      <c r="AY250"/>
      <c r="AZ250"/>
      <c r="BA250"/>
      <c r="BB250"/>
      <c r="BC250"/>
      <c r="BD250"/>
    </row>
    <row r="251" spans="3:56" x14ac:dyDescent="0.25">
      <c r="C251"/>
      <c r="D251" s="7"/>
      <c r="E251" s="7"/>
      <c r="F251" s="7"/>
      <c r="G251" s="7"/>
      <c r="H251" s="7"/>
      <c r="I251" s="7"/>
      <c r="J251" s="7"/>
      <c r="K251" s="7"/>
      <c r="M251" s="7"/>
      <c r="O251" s="6"/>
      <c r="P251" s="6"/>
      <c r="Q251" s="6"/>
      <c r="R251" s="6"/>
      <c r="S251" s="6"/>
      <c r="V251" s="7"/>
      <c r="W251" s="7"/>
      <c r="Z251" s="1"/>
      <c r="AB251"/>
      <c r="AC251"/>
      <c r="AD251"/>
      <c r="AE251"/>
      <c r="AF251"/>
      <c r="AG251"/>
      <c r="AJ251"/>
      <c r="AK251"/>
      <c r="AL251"/>
      <c r="AM251"/>
      <c r="AN251"/>
      <c r="AS251"/>
      <c r="AT251"/>
      <c r="AU251"/>
      <c r="AV251"/>
      <c r="AW251"/>
      <c r="AX251"/>
      <c r="AY251"/>
      <c r="AZ251"/>
      <c r="BA251"/>
      <c r="BB251"/>
      <c r="BC251"/>
      <c r="BD251"/>
    </row>
    <row r="252" spans="3:56" x14ac:dyDescent="0.25">
      <c r="C252"/>
      <c r="D252" s="7"/>
      <c r="E252" s="7"/>
      <c r="F252" s="7"/>
      <c r="G252" s="7"/>
      <c r="H252" s="7"/>
      <c r="I252" s="7"/>
      <c r="J252" s="7"/>
      <c r="K252" s="7"/>
      <c r="M252" s="7"/>
      <c r="O252" s="6"/>
      <c r="P252" s="6"/>
      <c r="Q252" s="6"/>
      <c r="R252" s="6"/>
      <c r="S252" s="6"/>
      <c r="V252" s="7"/>
      <c r="W252" s="7"/>
      <c r="Z252" s="1"/>
      <c r="AB252"/>
      <c r="AC252"/>
      <c r="AD252"/>
      <c r="AE252"/>
      <c r="AF252"/>
      <c r="AG252"/>
      <c r="AJ252"/>
      <c r="AK252"/>
      <c r="AL252"/>
      <c r="AM252"/>
      <c r="AN252"/>
      <c r="AS252"/>
      <c r="AT252"/>
      <c r="AU252"/>
      <c r="AV252"/>
      <c r="AW252"/>
      <c r="AX252"/>
      <c r="AY252"/>
      <c r="AZ252"/>
      <c r="BA252"/>
      <c r="BB252"/>
      <c r="BC252"/>
      <c r="BD252"/>
    </row>
    <row r="253" spans="3:56" x14ac:dyDescent="0.25">
      <c r="C253"/>
      <c r="D253" s="7"/>
      <c r="E253" s="7"/>
      <c r="F253" s="7"/>
      <c r="G253" s="7"/>
      <c r="H253" s="7"/>
      <c r="I253" s="7"/>
      <c r="J253" s="7"/>
      <c r="K253" s="7"/>
      <c r="M253" s="7"/>
      <c r="O253" s="6"/>
      <c r="P253" s="6"/>
      <c r="Q253" s="6"/>
      <c r="R253" s="6"/>
      <c r="S253" s="6"/>
      <c r="V253" s="7"/>
      <c r="W253" s="7"/>
      <c r="Z253" s="1"/>
      <c r="AB253"/>
      <c r="AC253"/>
      <c r="AD253"/>
      <c r="AE253"/>
      <c r="AF253"/>
      <c r="AG253"/>
      <c r="AJ253"/>
      <c r="AK253"/>
      <c r="AL253"/>
      <c r="AM253"/>
      <c r="AN253"/>
      <c r="AS253"/>
      <c r="AT253"/>
      <c r="AU253"/>
      <c r="AV253"/>
      <c r="AW253"/>
      <c r="AX253"/>
      <c r="AY253"/>
      <c r="AZ253"/>
      <c r="BA253"/>
      <c r="BB253"/>
      <c r="BC253"/>
      <c r="BD253"/>
    </row>
    <row r="254" spans="3:56" x14ac:dyDescent="0.25">
      <c r="C254"/>
      <c r="D254" s="7"/>
      <c r="E254" s="7"/>
      <c r="F254" s="7"/>
      <c r="G254" s="7"/>
      <c r="H254" s="7"/>
      <c r="I254" s="7"/>
      <c r="J254" s="7"/>
      <c r="K254" s="7"/>
      <c r="M254" s="7"/>
      <c r="O254" s="6"/>
      <c r="P254" s="6"/>
      <c r="Q254" s="6"/>
      <c r="R254" s="6"/>
      <c r="S254" s="6"/>
      <c r="V254" s="7"/>
      <c r="W254" s="7"/>
      <c r="Z254" s="1"/>
      <c r="AB254"/>
      <c r="AC254"/>
      <c r="AD254"/>
      <c r="AE254"/>
      <c r="AF254"/>
      <c r="AG254"/>
      <c r="AJ254"/>
      <c r="AK254"/>
      <c r="AL254"/>
      <c r="AM254"/>
      <c r="AN254"/>
      <c r="AS254"/>
      <c r="AT254"/>
      <c r="AU254"/>
      <c r="AV254"/>
      <c r="AW254"/>
      <c r="AX254"/>
      <c r="AY254"/>
      <c r="AZ254"/>
      <c r="BA254"/>
      <c r="BB254"/>
      <c r="BC254"/>
      <c r="BD254"/>
    </row>
    <row r="255" spans="3:56" x14ac:dyDescent="0.25">
      <c r="C255"/>
      <c r="D255" s="7"/>
      <c r="E255" s="7"/>
      <c r="F255" s="7"/>
      <c r="G255" s="7"/>
      <c r="H255" s="7"/>
      <c r="I255" s="7"/>
      <c r="J255" s="7"/>
      <c r="K255" s="7"/>
      <c r="M255" s="7"/>
      <c r="O255" s="6"/>
      <c r="P255" s="6"/>
      <c r="Q255" s="6"/>
      <c r="R255" s="6"/>
      <c r="S255" s="6"/>
      <c r="V255" s="7"/>
      <c r="W255" s="7"/>
      <c r="Z255" s="1"/>
      <c r="AB255"/>
      <c r="AC255"/>
      <c r="AD255"/>
      <c r="AE255"/>
      <c r="AF255"/>
      <c r="AG255"/>
      <c r="AJ255"/>
      <c r="AK255"/>
      <c r="AL255"/>
      <c r="AM255"/>
      <c r="AN255"/>
      <c r="AS255"/>
      <c r="AT255"/>
      <c r="AU255"/>
      <c r="AV255"/>
      <c r="AW255"/>
      <c r="AX255"/>
      <c r="AY255"/>
      <c r="AZ255"/>
      <c r="BA255"/>
      <c r="BB255"/>
      <c r="BC255"/>
      <c r="BD255"/>
    </row>
    <row r="256" spans="3:56" x14ac:dyDescent="0.25">
      <c r="C256"/>
      <c r="D256" s="7"/>
      <c r="E256" s="7"/>
      <c r="F256" s="7"/>
      <c r="G256" s="7"/>
      <c r="H256" s="7"/>
      <c r="I256" s="7"/>
      <c r="J256" s="7"/>
      <c r="K256" s="7"/>
      <c r="M256" s="7"/>
      <c r="O256" s="6"/>
      <c r="P256" s="6"/>
      <c r="Q256" s="6"/>
      <c r="R256" s="6"/>
      <c r="S256" s="6"/>
      <c r="V256" s="7"/>
      <c r="W256" s="7"/>
      <c r="Z256" s="1"/>
      <c r="AB256"/>
      <c r="AC256"/>
      <c r="AD256"/>
      <c r="AE256"/>
      <c r="AF256"/>
      <c r="AG256"/>
      <c r="AJ256"/>
      <c r="AK256"/>
      <c r="AL256"/>
      <c r="AM256"/>
      <c r="AN256"/>
      <c r="AS256"/>
      <c r="AT256"/>
      <c r="AU256"/>
      <c r="AV256"/>
      <c r="AW256"/>
      <c r="AX256"/>
      <c r="AY256"/>
      <c r="AZ256"/>
      <c r="BA256"/>
      <c r="BB256"/>
      <c r="BC256"/>
      <c r="BD256"/>
    </row>
    <row r="257" spans="3:56" x14ac:dyDescent="0.25">
      <c r="C257"/>
      <c r="D257" s="7"/>
      <c r="E257" s="7"/>
      <c r="F257" s="7"/>
      <c r="G257" s="7"/>
      <c r="H257" s="7"/>
      <c r="I257" s="7"/>
      <c r="J257" s="7"/>
      <c r="K257" s="7"/>
      <c r="M257" s="7"/>
      <c r="O257" s="6"/>
      <c r="P257" s="6"/>
      <c r="Q257" s="6"/>
      <c r="R257" s="6"/>
      <c r="S257" s="6"/>
      <c r="V257" s="7"/>
      <c r="W257" s="7"/>
      <c r="Z257" s="1"/>
      <c r="AB257"/>
      <c r="AC257"/>
      <c r="AD257"/>
      <c r="AE257"/>
      <c r="AF257"/>
      <c r="AG257"/>
      <c r="AJ257"/>
      <c r="AK257"/>
      <c r="AL257"/>
      <c r="AM257"/>
      <c r="AN257"/>
      <c r="AS257"/>
      <c r="AT257"/>
      <c r="AU257"/>
      <c r="AV257"/>
      <c r="AW257"/>
      <c r="AX257"/>
      <c r="AY257"/>
      <c r="AZ257"/>
      <c r="BA257"/>
      <c r="BB257"/>
      <c r="BC257"/>
      <c r="BD257"/>
    </row>
    <row r="258" spans="3:56" x14ac:dyDescent="0.25">
      <c r="C258"/>
      <c r="D258" s="7"/>
      <c r="E258" s="7"/>
      <c r="F258" s="7"/>
      <c r="G258" s="7"/>
      <c r="H258" s="7"/>
      <c r="I258" s="7"/>
      <c r="J258" s="7"/>
      <c r="K258" s="7"/>
      <c r="M258" s="7"/>
      <c r="O258" s="6"/>
      <c r="P258" s="6"/>
      <c r="Q258" s="6"/>
      <c r="R258" s="6"/>
      <c r="S258" s="6"/>
      <c r="V258" s="7"/>
      <c r="W258" s="7"/>
      <c r="Z258" s="1"/>
      <c r="AB258"/>
      <c r="AC258"/>
      <c r="AD258"/>
      <c r="AE258"/>
      <c r="AF258"/>
      <c r="AG258"/>
      <c r="AJ258"/>
      <c r="AK258"/>
      <c r="AL258"/>
      <c r="AM258"/>
      <c r="AN258"/>
      <c r="AS258"/>
      <c r="AT258"/>
      <c r="AU258"/>
      <c r="AV258"/>
      <c r="AW258"/>
      <c r="AX258"/>
      <c r="AY258"/>
      <c r="AZ258"/>
      <c r="BA258"/>
      <c r="BB258"/>
      <c r="BC258"/>
      <c r="BD258"/>
    </row>
    <row r="259" spans="3:56" x14ac:dyDescent="0.25">
      <c r="C259"/>
      <c r="D259" s="7"/>
      <c r="E259" s="7"/>
      <c r="F259" s="7"/>
      <c r="G259" s="7"/>
      <c r="H259" s="7"/>
      <c r="I259" s="7"/>
      <c r="J259" s="7"/>
      <c r="K259" s="7"/>
      <c r="M259" s="7"/>
      <c r="O259" s="6"/>
      <c r="P259" s="6"/>
      <c r="Q259" s="6"/>
      <c r="R259" s="6"/>
      <c r="S259" s="6"/>
      <c r="V259" s="7"/>
      <c r="W259" s="7"/>
      <c r="Z259" s="1"/>
      <c r="AB259"/>
      <c r="AC259"/>
      <c r="AD259"/>
      <c r="AE259"/>
      <c r="AF259"/>
      <c r="AG259"/>
      <c r="AJ259"/>
      <c r="AK259"/>
      <c r="AL259"/>
      <c r="AM259"/>
      <c r="AN259"/>
      <c r="AS259"/>
      <c r="AT259"/>
      <c r="AU259"/>
      <c r="AV259"/>
      <c r="AW259"/>
      <c r="AX259"/>
      <c r="AY259"/>
      <c r="AZ259"/>
      <c r="BA259"/>
      <c r="BB259"/>
      <c r="BC259"/>
      <c r="BD259"/>
    </row>
    <row r="260" spans="3:56" x14ac:dyDescent="0.25">
      <c r="C260"/>
      <c r="D260" s="7"/>
      <c r="E260" s="7"/>
      <c r="F260" s="7"/>
      <c r="G260" s="7"/>
      <c r="H260" s="7"/>
      <c r="I260" s="7"/>
      <c r="J260" s="7"/>
      <c r="K260" s="7"/>
      <c r="M260" s="7"/>
      <c r="O260" s="6"/>
      <c r="P260" s="6"/>
      <c r="Q260" s="6"/>
      <c r="R260" s="6"/>
      <c r="S260" s="6"/>
      <c r="V260" s="7"/>
      <c r="W260" s="7"/>
      <c r="Z260" s="1"/>
      <c r="AB260"/>
      <c r="AC260"/>
      <c r="AD260"/>
      <c r="AE260"/>
      <c r="AF260"/>
      <c r="AG260"/>
      <c r="AJ260"/>
      <c r="AK260"/>
      <c r="AL260"/>
      <c r="AM260"/>
      <c r="AN260"/>
      <c r="AS260"/>
      <c r="AT260"/>
      <c r="AU260"/>
      <c r="AV260"/>
      <c r="AW260"/>
      <c r="AX260"/>
      <c r="AY260"/>
      <c r="AZ260"/>
      <c r="BA260"/>
      <c r="BB260"/>
      <c r="BC260"/>
      <c r="BD260"/>
    </row>
    <row r="261" spans="3:56" x14ac:dyDescent="0.25">
      <c r="C261"/>
      <c r="D261" s="7"/>
      <c r="E261" s="7"/>
      <c r="F261" s="7"/>
      <c r="G261" s="7"/>
      <c r="H261" s="7"/>
      <c r="I261" s="7"/>
      <c r="J261" s="7"/>
      <c r="K261" s="7"/>
      <c r="M261" s="7"/>
      <c r="O261" s="6"/>
      <c r="P261" s="6"/>
      <c r="Q261" s="6"/>
      <c r="R261" s="6"/>
      <c r="S261" s="6"/>
      <c r="V261" s="7"/>
      <c r="W261" s="7"/>
      <c r="Z261" s="1"/>
      <c r="AB261"/>
      <c r="AC261"/>
      <c r="AD261"/>
      <c r="AE261"/>
      <c r="AF261"/>
      <c r="AG261"/>
      <c r="AJ261"/>
      <c r="AK261"/>
      <c r="AL261"/>
      <c r="AM261"/>
      <c r="AN261"/>
      <c r="AS261"/>
      <c r="AT261"/>
      <c r="AU261"/>
      <c r="AV261"/>
      <c r="AW261"/>
      <c r="AX261"/>
      <c r="AY261"/>
      <c r="AZ261"/>
      <c r="BA261"/>
      <c r="BB261"/>
      <c r="BC261"/>
      <c r="BD261"/>
    </row>
    <row r="262" spans="3:56" x14ac:dyDescent="0.25">
      <c r="C262"/>
      <c r="D262" s="7"/>
      <c r="E262" s="7"/>
      <c r="F262" s="7"/>
      <c r="G262" s="7"/>
      <c r="H262" s="7"/>
      <c r="I262" s="7"/>
      <c r="J262" s="7"/>
      <c r="K262" s="7"/>
      <c r="M262" s="7"/>
      <c r="O262" s="6"/>
      <c r="P262" s="6"/>
      <c r="Q262" s="6"/>
      <c r="R262" s="6"/>
      <c r="S262" s="6"/>
      <c r="V262" s="7"/>
      <c r="W262" s="7"/>
      <c r="Z262" s="1"/>
      <c r="AB262"/>
      <c r="AC262"/>
      <c r="AD262"/>
      <c r="AE262"/>
      <c r="AF262"/>
      <c r="AG262"/>
      <c r="AJ262"/>
      <c r="AK262"/>
      <c r="AL262"/>
      <c r="AM262"/>
      <c r="AN262"/>
      <c r="AS262"/>
      <c r="AT262"/>
      <c r="AU262"/>
      <c r="AV262"/>
      <c r="AW262"/>
      <c r="AX262"/>
      <c r="AY262"/>
      <c r="AZ262"/>
      <c r="BA262"/>
      <c r="BB262"/>
      <c r="BC262"/>
      <c r="BD262"/>
    </row>
    <row r="263" spans="3:56" x14ac:dyDescent="0.25">
      <c r="C263"/>
      <c r="D263" s="7"/>
      <c r="E263" s="7"/>
      <c r="F263" s="7"/>
      <c r="G263" s="7"/>
      <c r="H263" s="7"/>
      <c r="I263" s="7"/>
      <c r="J263" s="7"/>
      <c r="K263" s="7"/>
      <c r="M263" s="7"/>
      <c r="O263" s="6"/>
      <c r="P263" s="6"/>
      <c r="Q263" s="6"/>
      <c r="R263" s="6"/>
      <c r="S263" s="6"/>
      <c r="V263" s="7"/>
      <c r="W263" s="7"/>
      <c r="Z263" s="1"/>
      <c r="AB263"/>
      <c r="AC263"/>
      <c r="AD263"/>
      <c r="AE263"/>
      <c r="AF263"/>
      <c r="AG263"/>
      <c r="AJ263"/>
      <c r="AK263"/>
      <c r="AL263"/>
      <c r="AM263"/>
      <c r="AN263"/>
      <c r="AS263"/>
      <c r="AT263"/>
      <c r="AU263"/>
      <c r="AV263"/>
      <c r="AW263"/>
      <c r="AX263"/>
      <c r="AY263"/>
      <c r="AZ263"/>
      <c r="BA263"/>
      <c r="BB263"/>
      <c r="BC263"/>
      <c r="BD263"/>
    </row>
    <row r="264" spans="3:56" x14ac:dyDescent="0.25">
      <c r="C264"/>
      <c r="D264" s="7"/>
      <c r="E264" s="7"/>
      <c r="F264" s="7"/>
      <c r="G264" s="7"/>
      <c r="H264" s="7"/>
      <c r="I264" s="7"/>
      <c r="J264" s="7"/>
      <c r="K264" s="7"/>
      <c r="M264" s="7"/>
      <c r="O264" s="6"/>
      <c r="P264" s="6"/>
      <c r="Q264" s="6"/>
      <c r="R264" s="6"/>
      <c r="S264" s="6"/>
      <c r="V264" s="7"/>
      <c r="W264" s="7"/>
      <c r="Z264" s="1"/>
      <c r="AB264"/>
      <c r="AC264"/>
      <c r="AD264"/>
      <c r="AE264"/>
      <c r="AF264"/>
      <c r="AG264"/>
      <c r="AJ264"/>
      <c r="AK264"/>
      <c r="AL264"/>
      <c r="AM264"/>
      <c r="AN264"/>
      <c r="AS264"/>
      <c r="AT264"/>
      <c r="AU264"/>
      <c r="AV264"/>
      <c r="AW264"/>
      <c r="AX264"/>
      <c r="AY264"/>
      <c r="AZ264"/>
      <c r="BA264"/>
      <c r="BB264"/>
      <c r="BC264"/>
      <c r="BD264"/>
    </row>
    <row r="265" spans="3:56" x14ac:dyDescent="0.25">
      <c r="C265"/>
      <c r="D265" s="7"/>
      <c r="E265" s="7"/>
      <c r="F265" s="7"/>
      <c r="G265" s="7"/>
      <c r="H265" s="7"/>
      <c r="I265" s="7"/>
      <c r="J265" s="7"/>
      <c r="K265" s="7"/>
      <c r="M265" s="7"/>
      <c r="O265" s="6"/>
      <c r="P265" s="6"/>
      <c r="Q265" s="6"/>
      <c r="R265" s="6"/>
      <c r="S265" s="6"/>
      <c r="V265" s="7"/>
      <c r="W265" s="7"/>
      <c r="Z265" s="1"/>
      <c r="AB265"/>
      <c r="AC265"/>
      <c r="AD265"/>
      <c r="AE265"/>
      <c r="AF265"/>
      <c r="AG265"/>
      <c r="AJ265"/>
      <c r="AK265"/>
      <c r="AL265"/>
      <c r="AM265"/>
      <c r="AN265"/>
      <c r="AS265"/>
      <c r="AT265"/>
      <c r="AU265"/>
      <c r="AV265"/>
      <c r="AW265"/>
      <c r="AX265"/>
      <c r="AY265"/>
      <c r="AZ265"/>
      <c r="BA265"/>
      <c r="BB265"/>
      <c r="BC265"/>
      <c r="BD265"/>
    </row>
    <row r="266" spans="3:56" x14ac:dyDescent="0.25">
      <c r="C266"/>
      <c r="D266" s="7"/>
      <c r="E266" s="7"/>
      <c r="F266" s="7"/>
      <c r="G266" s="7"/>
      <c r="H266" s="7"/>
      <c r="I266" s="7"/>
      <c r="J266" s="7"/>
      <c r="K266" s="7"/>
      <c r="M266" s="7"/>
      <c r="O266" s="6"/>
      <c r="P266" s="6"/>
      <c r="Q266" s="6"/>
      <c r="R266" s="6"/>
      <c r="S266" s="6"/>
      <c r="V266" s="7"/>
      <c r="W266" s="7"/>
      <c r="Z266" s="1"/>
      <c r="AB266"/>
      <c r="AC266"/>
      <c r="AD266"/>
      <c r="AE266"/>
      <c r="AF266"/>
      <c r="AG266"/>
      <c r="AJ266"/>
      <c r="AK266"/>
      <c r="AL266"/>
      <c r="AM266"/>
      <c r="AN266"/>
      <c r="AS266"/>
      <c r="AT266"/>
      <c r="AU266"/>
      <c r="AV266"/>
      <c r="AW266"/>
      <c r="AX266"/>
      <c r="AY266"/>
      <c r="AZ266"/>
      <c r="BA266"/>
      <c r="BB266"/>
      <c r="BC266"/>
      <c r="BD266"/>
    </row>
    <row r="267" spans="3:56" x14ac:dyDescent="0.25">
      <c r="C267"/>
      <c r="D267" s="7"/>
      <c r="E267" s="7"/>
      <c r="F267" s="7"/>
      <c r="G267" s="7"/>
      <c r="H267" s="7"/>
      <c r="I267" s="7"/>
      <c r="J267" s="7"/>
      <c r="K267" s="7"/>
      <c r="M267" s="7"/>
      <c r="O267" s="6"/>
      <c r="P267" s="6"/>
      <c r="Q267" s="6"/>
      <c r="R267" s="6"/>
      <c r="S267" s="6"/>
      <c r="V267" s="7"/>
      <c r="W267" s="7"/>
      <c r="Z267" s="1"/>
      <c r="AB267"/>
      <c r="AC267"/>
      <c r="AD267"/>
      <c r="AE267"/>
      <c r="AF267"/>
      <c r="AG267"/>
      <c r="AJ267"/>
      <c r="AK267"/>
      <c r="AL267"/>
      <c r="AM267"/>
      <c r="AN267"/>
      <c r="AS267"/>
      <c r="AT267"/>
      <c r="AU267"/>
      <c r="AV267"/>
      <c r="AW267"/>
      <c r="AX267"/>
      <c r="AY267"/>
      <c r="AZ267"/>
      <c r="BA267"/>
      <c r="BB267"/>
      <c r="BC267"/>
      <c r="BD267"/>
    </row>
    <row r="268" spans="3:56" x14ac:dyDescent="0.25">
      <c r="C268"/>
      <c r="D268" s="7"/>
      <c r="E268" s="7"/>
      <c r="F268" s="7"/>
      <c r="G268" s="7"/>
      <c r="H268" s="7"/>
      <c r="I268" s="7"/>
      <c r="J268" s="7"/>
      <c r="K268" s="7"/>
      <c r="M268" s="7"/>
      <c r="O268" s="6"/>
      <c r="P268" s="6"/>
      <c r="Q268" s="6"/>
      <c r="R268" s="6"/>
      <c r="S268" s="6"/>
      <c r="V268" s="7"/>
      <c r="W268" s="7"/>
      <c r="Z268" s="1"/>
      <c r="AB268"/>
      <c r="AC268"/>
      <c r="AD268"/>
      <c r="AE268"/>
      <c r="AF268"/>
      <c r="AG268"/>
      <c r="AJ268"/>
      <c r="AK268"/>
      <c r="AL268"/>
      <c r="AM268"/>
      <c r="AN268"/>
      <c r="AS268"/>
      <c r="AT268"/>
      <c r="AU268"/>
      <c r="AV268"/>
      <c r="AW268"/>
      <c r="AX268"/>
      <c r="AY268"/>
      <c r="AZ268"/>
      <c r="BA268"/>
      <c r="BB268"/>
      <c r="BC268"/>
      <c r="BD268"/>
    </row>
    <row r="269" spans="3:56" x14ac:dyDescent="0.25">
      <c r="C269"/>
      <c r="D269" s="7"/>
      <c r="E269" s="7"/>
      <c r="F269" s="7"/>
      <c r="G269" s="7"/>
      <c r="H269" s="7"/>
      <c r="I269" s="7"/>
      <c r="J269" s="7"/>
      <c r="K269" s="7"/>
      <c r="M269" s="7"/>
      <c r="O269" s="6"/>
      <c r="P269" s="6"/>
      <c r="Q269" s="6"/>
      <c r="R269" s="6"/>
      <c r="S269" s="6"/>
      <c r="V269" s="7"/>
      <c r="W269" s="7"/>
      <c r="Z269" s="1"/>
      <c r="AB269"/>
      <c r="AC269"/>
      <c r="AD269"/>
      <c r="AE269"/>
      <c r="AF269"/>
      <c r="AG269"/>
      <c r="AJ269"/>
      <c r="AK269"/>
      <c r="AL269"/>
      <c r="AM269"/>
      <c r="AN269"/>
      <c r="AS269"/>
      <c r="AT269"/>
      <c r="AU269"/>
      <c r="AV269"/>
      <c r="AW269"/>
      <c r="AX269"/>
      <c r="AY269"/>
      <c r="AZ269"/>
      <c r="BA269"/>
      <c r="BB269"/>
      <c r="BC269"/>
      <c r="BD269"/>
    </row>
    <row r="270" spans="3:56" x14ac:dyDescent="0.25">
      <c r="C270"/>
      <c r="D270" s="7"/>
      <c r="E270" s="7"/>
      <c r="F270" s="7"/>
      <c r="G270" s="7"/>
      <c r="H270" s="7"/>
      <c r="I270" s="7"/>
      <c r="J270" s="7"/>
      <c r="K270" s="7"/>
      <c r="M270" s="7"/>
      <c r="O270" s="6"/>
      <c r="P270" s="6"/>
      <c r="Q270" s="6"/>
      <c r="R270" s="6"/>
      <c r="S270" s="6"/>
      <c r="V270" s="7"/>
      <c r="W270" s="7"/>
      <c r="Z270" s="1"/>
      <c r="AB270"/>
      <c r="AC270"/>
      <c r="AD270"/>
      <c r="AE270"/>
      <c r="AF270"/>
      <c r="AG270"/>
      <c r="AJ270"/>
      <c r="AK270"/>
      <c r="AL270"/>
      <c r="AM270"/>
      <c r="AN270"/>
      <c r="AS270"/>
      <c r="AT270"/>
      <c r="AU270"/>
      <c r="AV270"/>
      <c r="AW270"/>
      <c r="AX270"/>
      <c r="AY270"/>
      <c r="AZ270"/>
      <c r="BA270"/>
      <c r="BB270"/>
      <c r="BC270"/>
      <c r="BD270"/>
    </row>
    <row r="271" spans="3:56" x14ac:dyDescent="0.25">
      <c r="C271"/>
      <c r="D271" s="7"/>
      <c r="E271" s="7"/>
      <c r="F271" s="7"/>
      <c r="G271" s="7"/>
      <c r="H271" s="7"/>
      <c r="I271" s="7"/>
      <c r="J271" s="7"/>
      <c r="K271" s="7"/>
      <c r="M271" s="7"/>
      <c r="O271" s="6"/>
      <c r="P271" s="6"/>
      <c r="Q271" s="6"/>
      <c r="R271" s="6"/>
      <c r="S271" s="6"/>
      <c r="V271" s="7"/>
      <c r="W271" s="7"/>
      <c r="Z271" s="1"/>
      <c r="AB271"/>
      <c r="AC271"/>
      <c r="AD271"/>
      <c r="AE271"/>
      <c r="AF271"/>
      <c r="AG271"/>
      <c r="AJ271"/>
      <c r="AK271"/>
      <c r="AL271"/>
      <c r="AM271"/>
      <c r="AN271"/>
      <c r="AS271"/>
      <c r="AT271"/>
      <c r="AU271"/>
      <c r="AV271"/>
      <c r="AW271"/>
      <c r="AX271"/>
      <c r="AY271"/>
      <c r="AZ271"/>
      <c r="BA271"/>
      <c r="BB271"/>
      <c r="BC271"/>
      <c r="BD271"/>
    </row>
    <row r="272" spans="3:56" x14ac:dyDescent="0.25">
      <c r="C272"/>
      <c r="D272" s="7"/>
      <c r="E272" s="7"/>
      <c r="F272" s="7"/>
      <c r="G272" s="7"/>
      <c r="H272" s="7"/>
      <c r="I272" s="7"/>
      <c r="J272" s="7"/>
      <c r="K272" s="7"/>
      <c r="M272" s="7"/>
      <c r="O272" s="6"/>
      <c r="P272" s="6"/>
      <c r="Q272" s="6"/>
      <c r="R272" s="6"/>
      <c r="S272" s="6"/>
      <c r="V272" s="7"/>
      <c r="W272" s="7"/>
      <c r="Z272" s="1"/>
      <c r="AB272"/>
      <c r="AC272"/>
      <c r="AD272"/>
      <c r="AE272"/>
      <c r="AF272"/>
      <c r="AG272"/>
      <c r="AJ272"/>
      <c r="AK272"/>
      <c r="AL272"/>
      <c r="AM272"/>
      <c r="AN272"/>
      <c r="AS272"/>
      <c r="AT272"/>
      <c r="AU272"/>
      <c r="AV272"/>
      <c r="AW272"/>
      <c r="AX272"/>
      <c r="AY272"/>
      <c r="AZ272"/>
      <c r="BA272"/>
      <c r="BB272"/>
      <c r="BC272"/>
      <c r="BD272"/>
    </row>
    <row r="273" spans="3:56" x14ac:dyDescent="0.25">
      <c r="C273"/>
      <c r="D273" s="7"/>
      <c r="E273" s="7"/>
      <c r="F273" s="7"/>
      <c r="G273" s="7"/>
      <c r="H273" s="7"/>
      <c r="I273" s="7"/>
      <c r="J273" s="7"/>
      <c r="K273" s="7"/>
      <c r="M273" s="7"/>
      <c r="O273" s="6"/>
      <c r="P273" s="6"/>
      <c r="Q273" s="6"/>
      <c r="R273" s="6"/>
      <c r="S273" s="6"/>
      <c r="V273" s="7"/>
      <c r="W273" s="7"/>
      <c r="Z273" s="1"/>
      <c r="AB273"/>
      <c r="AC273"/>
      <c r="AD273"/>
      <c r="AE273"/>
      <c r="AF273"/>
      <c r="AG273"/>
      <c r="AJ273"/>
      <c r="AK273"/>
      <c r="AL273"/>
      <c r="AM273"/>
      <c r="AN273"/>
      <c r="AS273"/>
      <c r="AT273"/>
      <c r="AU273"/>
      <c r="AV273"/>
      <c r="AW273"/>
      <c r="AX273"/>
      <c r="AY273"/>
      <c r="AZ273"/>
      <c r="BA273"/>
      <c r="BB273"/>
      <c r="BC273"/>
      <c r="BD273"/>
    </row>
    <row r="274" spans="3:56" x14ac:dyDescent="0.25">
      <c r="C274"/>
      <c r="D274" s="7"/>
      <c r="E274" s="7"/>
      <c r="F274" s="7"/>
      <c r="G274" s="7"/>
      <c r="H274" s="7"/>
      <c r="I274" s="7"/>
      <c r="J274" s="7"/>
      <c r="K274" s="7"/>
      <c r="M274" s="7"/>
      <c r="O274" s="6"/>
      <c r="P274" s="6"/>
      <c r="Q274" s="6"/>
      <c r="R274" s="6"/>
      <c r="S274" s="6"/>
      <c r="V274" s="7"/>
      <c r="W274" s="7"/>
      <c r="Z274" s="1"/>
      <c r="AB274"/>
      <c r="AC274"/>
      <c r="AD274"/>
      <c r="AE274"/>
      <c r="AF274"/>
      <c r="AG274"/>
      <c r="AJ274"/>
      <c r="AK274"/>
      <c r="AL274"/>
      <c r="AM274"/>
      <c r="AN274"/>
      <c r="AS274"/>
      <c r="AT274"/>
      <c r="AU274"/>
      <c r="AV274"/>
      <c r="AW274"/>
      <c r="AX274"/>
      <c r="AY274"/>
      <c r="AZ274"/>
      <c r="BA274"/>
      <c r="BB274"/>
      <c r="BC274"/>
      <c r="BD274"/>
    </row>
    <row r="275" spans="3:56" x14ac:dyDescent="0.25">
      <c r="C275"/>
      <c r="D275" s="7"/>
      <c r="E275" s="7"/>
      <c r="F275" s="7"/>
      <c r="G275" s="7"/>
      <c r="H275" s="7"/>
      <c r="I275" s="7"/>
      <c r="J275" s="7"/>
      <c r="K275" s="7"/>
      <c r="M275" s="7"/>
      <c r="O275" s="6"/>
      <c r="P275" s="6"/>
      <c r="Q275" s="6"/>
      <c r="R275" s="6"/>
      <c r="S275" s="6"/>
      <c r="V275" s="7"/>
      <c r="W275" s="7"/>
      <c r="Z275" s="1"/>
      <c r="AB275"/>
      <c r="AC275"/>
      <c r="AD275"/>
      <c r="AE275"/>
      <c r="AF275"/>
      <c r="AG275"/>
      <c r="AJ275"/>
      <c r="AK275"/>
      <c r="AL275"/>
      <c r="AM275"/>
      <c r="AN275"/>
      <c r="AS275"/>
      <c r="AT275"/>
      <c r="AU275"/>
      <c r="AV275"/>
      <c r="AW275"/>
      <c r="AX275"/>
      <c r="AY275"/>
      <c r="AZ275"/>
      <c r="BA275"/>
      <c r="BB275"/>
      <c r="BC275"/>
      <c r="BD275"/>
    </row>
    <row r="276" spans="3:56" x14ac:dyDescent="0.25">
      <c r="C276"/>
      <c r="D276" s="7"/>
      <c r="E276" s="7"/>
      <c r="F276" s="7"/>
      <c r="G276" s="7"/>
      <c r="H276" s="7"/>
      <c r="I276" s="7"/>
      <c r="J276" s="7"/>
      <c r="K276" s="7"/>
      <c r="M276" s="7"/>
      <c r="O276" s="6"/>
      <c r="P276" s="6"/>
      <c r="Q276" s="6"/>
      <c r="R276" s="6"/>
      <c r="S276" s="6"/>
      <c r="V276" s="7"/>
      <c r="W276" s="7"/>
      <c r="Z276" s="1"/>
      <c r="AB276"/>
      <c r="AC276"/>
      <c r="AD276"/>
      <c r="AE276"/>
      <c r="AF276"/>
      <c r="AG276"/>
      <c r="AJ276"/>
      <c r="AK276"/>
      <c r="AL276"/>
      <c r="AM276"/>
      <c r="AN276"/>
      <c r="AS276"/>
      <c r="AT276"/>
      <c r="AU276"/>
      <c r="AV276"/>
      <c r="AW276"/>
      <c r="AX276"/>
      <c r="AY276"/>
      <c r="AZ276"/>
      <c r="BA276"/>
      <c r="BB276"/>
      <c r="BC276"/>
      <c r="BD276"/>
    </row>
    <row r="277" spans="3:56" x14ac:dyDescent="0.25">
      <c r="C277"/>
      <c r="D277" s="7"/>
      <c r="E277" s="7"/>
      <c r="F277" s="7"/>
      <c r="G277" s="7"/>
      <c r="H277" s="7"/>
      <c r="I277" s="7"/>
      <c r="J277" s="7"/>
      <c r="K277" s="7"/>
      <c r="M277" s="7"/>
      <c r="O277" s="6"/>
      <c r="P277" s="6"/>
      <c r="Q277" s="6"/>
      <c r="R277" s="6"/>
      <c r="S277" s="6"/>
      <c r="V277" s="7"/>
      <c r="W277" s="7"/>
      <c r="Z277" s="1"/>
      <c r="AB277"/>
      <c r="AC277"/>
      <c r="AD277"/>
      <c r="AE277"/>
      <c r="AF277"/>
      <c r="AG277"/>
      <c r="AJ277"/>
      <c r="AK277"/>
      <c r="AL277"/>
      <c r="AM277"/>
      <c r="AN277"/>
      <c r="AS277"/>
      <c r="AT277"/>
      <c r="AU277"/>
      <c r="AV277"/>
      <c r="AW277"/>
      <c r="AX277"/>
      <c r="AY277"/>
      <c r="AZ277"/>
      <c r="BA277"/>
      <c r="BB277"/>
      <c r="BC277"/>
      <c r="BD277"/>
    </row>
    <row r="278" spans="3:56" x14ac:dyDescent="0.25">
      <c r="C278"/>
      <c r="D278" s="7"/>
      <c r="E278" s="7"/>
      <c r="F278" s="7"/>
      <c r="G278" s="7"/>
      <c r="H278" s="7"/>
      <c r="I278" s="7"/>
      <c r="J278" s="7"/>
      <c r="K278" s="7"/>
      <c r="M278" s="7"/>
      <c r="O278" s="6"/>
      <c r="P278" s="6"/>
      <c r="Q278" s="6"/>
      <c r="R278" s="6"/>
      <c r="S278" s="6"/>
      <c r="V278" s="7"/>
      <c r="W278" s="7"/>
      <c r="Z278" s="1"/>
      <c r="AB278"/>
      <c r="AC278"/>
      <c r="AD278"/>
      <c r="AE278"/>
      <c r="AF278"/>
      <c r="AG278"/>
      <c r="AJ278"/>
      <c r="AK278"/>
      <c r="AL278"/>
      <c r="AM278"/>
      <c r="AN278"/>
      <c r="AS278"/>
      <c r="AT278"/>
      <c r="AU278"/>
      <c r="AV278"/>
      <c r="AW278"/>
      <c r="AX278"/>
      <c r="AY278"/>
      <c r="AZ278"/>
      <c r="BA278"/>
      <c r="BB278"/>
      <c r="BC278"/>
      <c r="BD278"/>
    </row>
    <row r="279" spans="3:56" x14ac:dyDescent="0.25">
      <c r="C279"/>
      <c r="D279" s="7"/>
      <c r="E279" s="7"/>
      <c r="F279" s="7"/>
      <c r="G279" s="7"/>
      <c r="H279" s="7"/>
      <c r="I279" s="7"/>
      <c r="J279" s="7"/>
      <c r="K279" s="7"/>
      <c r="M279" s="7"/>
      <c r="O279" s="6"/>
      <c r="P279" s="6"/>
      <c r="Q279" s="6"/>
      <c r="R279" s="6"/>
      <c r="S279" s="6"/>
      <c r="V279" s="7"/>
      <c r="W279" s="7"/>
      <c r="Z279" s="1"/>
      <c r="AB279"/>
      <c r="AC279"/>
      <c r="AD279"/>
      <c r="AE279"/>
      <c r="AF279"/>
      <c r="AG279"/>
      <c r="AJ279"/>
      <c r="AK279"/>
      <c r="AL279"/>
      <c r="AM279"/>
      <c r="AN279"/>
      <c r="AS279"/>
      <c r="AT279"/>
      <c r="AU279"/>
      <c r="AV279"/>
      <c r="AW279"/>
      <c r="AX279"/>
      <c r="AY279"/>
      <c r="AZ279"/>
      <c r="BA279"/>
      <c r="BB279"/>
      <c r="BC279"/>
      <c r="BD279"/>
    </row>
    <row r="280" spans="3:56" x14ac:dyDescent="0.25">
      <c r="C280"/>
      <c r="D280" s="7"/>
      <c r="E280" s="7"/>
      <c r="F280" s="7"/>
      <c r="G280" s="7"/>
      <c r="H280" s="7"/>
      <c r="I280" s="7"/>
      <c r="J280" s="7"/>
      <c r="K280" s="7"/>
      <c r="M280" s="7"/>
      <c r="O280" s="6"/>
      <c r="P280" s="6"/>
      <c r="Q280" s="6"/>
      <c r="R280" s="6"/>
      <c r="S280" s="6"/>
      <c r="V280" s="7"/>
      <c r="W280" s="7"/>
      <c r="Z280" s="1"/>
      <c r="AB280"/>
      <c r="AC280"/>
      <c r="AD280"/>
      <c r="AE280"/>
      <c r="AF280"/>
      <c r="AG280"/>
      <c r="AJ280"/>
      <c r="AK280"/>
      <c r="AL280"/>
      <c r="AM280"/>
      <c r="AN280"/>
      <c r="AS280"/>
      <c r="AT280"/>
      <c r="AU280"/>
      <c r="AV280"/>
      <c r="AW280"/>
      <c r="AX280"/>
      <c r="AY280"/>
      <c r="AZ280"/>
      <c r="BA280"/>
      <c r="BB280"/>
      <c r="BC280"/>
      <c r="BD280"/>
    </row>
    <row r="281" spans="3:56" x14ac:dyDescent="0.25">
      <c r="C281"/>
      <c r="D281" s="7"/>
      <c r="E281" s="7"/>
      <c r="F281" s="7"/>
      <c r="G281" s="7"/>
      <c r="H281" s="7"/>
      <c r="I281" s="7"/>
      <c r="J281" s="7"/>
      <c r="K281" s="7"/>
      <c r="M281" s="7"/>
      <c r="O281" s="6"/>
      <c r="P281" s="6"/>
      <c r="Q281" s="6"/>
      <c r="R281" s="6"/>
      <c r="S281" s="6"/>
      <c r="V281" s="7"/>
      <c r="W281" s="7"/>
      <c r="Z281" s="1"/>
      <c r="AB281"/>
      <c r="AC281"/>
      <c r="AD281"/>
      <c r="AE281"/>
      <c r="AF281"/>
      <c r="AG281"/>
      <c r="AJ281"/>
      <c r="AK281"/>
      <c r="AL281"/>
      <c r="AM281"/>
      <c r="AN281"/>
      <c r="AS281"/>
      <c r="AT281"/>
      <c r="AU281"/>
      <c r="AV281"/>
      <c r="AW281"/>
      <c r="AX281"/>
      <c r="AY281"/>
      <c r="AZ281"/>
      <c r="BA281"/>
      <c r="BB281"/>
      <c r="BC281"/>
      <c r="BD281"/>
    </row>
    <row r="282" spans="3:56" x14ac:dyDescent="0.25">
      <c r="C282"/>
      <c r="D282" s="7"/>
      <c r="E282" s="7"/>
      <c r="F282" s="7"/>
      <c r="G282" s="7"/>
      <c r="H282" s="7"/>
      <c r="I282" s="7"/>
      <c r="J282" s="7"/>
      <c r="K282" s="7"/>
      <c r="M282" s="7"/>
      <c r="O282" s="6"/>
      <c r="P282" s="6"/>
      <c r="Q282" s="6"/>
      <c r="R282" s="6"/>
      <c r="S282" s="6"/>
      <c r="V282" s="7"/>
      <c r="W282" s="7"/>
      <c r="Z282" s="1"/>
      <c r="AB282"/>
      <c r="AC282"/>
      <c r="AD282"/>
      <c r="AE282"/>
      <c r="AF282"/>
      <c r="AG282"/>
      <c r="AJ282"/>
      <c r="AK282"/>
      <c r="AL282"/>
      <c r="AM282"/>
      <c r="AN282"/>
      <c r="AS282"/>
      <c r="AT282"/>
      <c r="AU282"/>
      <c r="AV282"/>
      <c r="AW282"/>
      <c r="AX282"/>
      <c r="AY282"/>
      <c r="AZ282"/>
      <c r="BA282"/>
      <c r="BB282"/>
      <c r="BC282"/>
      <c r="BD282"/>
    </row>
    <row r="283" spans="3:56" x14ac:dyDescent="0.25">
      <c r="C283"/>
      <c r="D283" s="7"/>
      <c r="E283" s="7"/>
      <c r="F283" s="7"/>
      <c r="G283" s="7"/>
      <c r="H283" s="7"/>
      <c r="I283" s="7"/>
      <c r="J283" s="7"/>
      <c r="K283" s="7"/>
      <c r="M283" s="7"/>
      <c r="O283" s="6"/>
      <c r="P283" s="6"/>
      <c r="Q283" s="6"/>
      <c r="R283" s="6"/>
      <c r="S283" s="6"/>
      <c r="V283" s="7"/>
      <c r="W283" s="7"/>
      <c r="Z283" s="1"/>
      <c r="AB283"/>
      <c r="AC283"/>
      <c r="AD283"/>
      <c r="AE283"/>
      <c r="AF283"/>
      <c r="AG283"/>
      <c r="AJ283"/>
      <c r="AK283"/>
      <c r="AL283"/>
      <c r="AM283"/>
      <c r="AN283"/>
      <c r="AS283"/>
      <c r="AT283"/>
      <c r="AU283"/>
      <c r="AV283"/>
      <c r="AW283"/>
      <c r="AX283"/>
      <c r="AY283"/>
      <c r="AZ283"/>
      <c r="BA283"/>
      <c r="BB283"/>
      <c r="BC283"/>
      <c r="BD283"/>
    </row>
    <row r="284" spans="3:56" x14ac:dyDescent="0.25">
      <c r="C284"/>
      <c r="D284" s="7"/>
      <c r="E284" s="7"/>
      <c r="F284" s="7"/>
      <c r="G284" s="7"/>
      <c r="H284" s="7"/>
      <c r="I284" s="7"/>
      <c r="J284" s="7"/>
      <c r="K284" s="7"/>
      <c r="M284" s="7"/>
      <c r="O284" s="6"/>
      <c r="P284" s="6"/>
      <c r="Q284" s="6"/>
      <c r="R284" s="6"/>
      <c r="S284" s="6"/>
      <c r="V284" s="7"/>
      <c r="W284" s="7"/>
      <c r="Z284" s="1"/>
      <c r="AB284"/>
      <c r="AC284"/>
      <c r="AD284"/>
      <c r="AE284"/>
      <c r="AF284"/>
      <c r="AG284"/>
      <c r="AJ284"/>
      <c r="AK284"/>
      <c r="AL284"/>
      <c r="AM284"/>
      <c r="AN284"/>
      <c r="AS284"/>
      <c r="AT284"/>
      <c r="AU284"/>
      <c r="AV284"/>
      <c r="AW284"/>
      <c r="AX284"/>
      <c r="AY284"/>
      <c r="AZ284"/>
      <c r="BA284"/>
      <c r="BB284"/>
      <c r="BC284"/>
      <c r="BD284"/>
    </row>
    <row r="285" spans="3:56" x14ac:dyDescent="0.25">
      <c r="C285"/>
      <c r="D285" s="7"/>
      <c r="E285" s="7"/>
      <c r="F285" s="7"/>
      <c r="G285" s="7"/>
      <c r="H285" s="7"/>
      <c r="I285" s="7"/>
      <c r="J285" s="7"/>
      <c r="K285" s="7"/>
      <c r="M285" s="7"/>
      <c r="O285" s="6"/>
      <c r="P285" s="6"/>
      <c r="Q285" s="6"/>
      <c r="R285" s="6"/>
      <c r="S285" s="6"/>
      <c r="V285" s="7"/>
      <c r="W285" s="7"/>
      <c r="Z285" s="1"/>
      <c r="AB285"/>
      <c r="AC285"/>
      <c r="AD285"/>
      <c r="AE285"/>
      <c r="AF285"/>
      <c r="AG285"/>
      <c r="AJ285"/>
      <c r="AK285"/>
      <c r="AL285"/>
      <c r="AM285"/>
      <c r="AN285"/>
      <c r="AS285"/>
      <c r="AT285"/>
      <c r="AU285"/>
      <c r="AV285"/>
      <c r="AW285"/>
      <c r="AX285"/>
      <c r="AY285"/>
      <c r="AZ285"/>
      <c r="BA285"/>
      <c r="BB285"/>
      <c r="BC285"/>
      <c r="BD285"/>
    </row>
    <row r="286" spans="3:56" x14ac:dyDescent="0.25">
      <c r="C286"/>
      <c r="D286" s="7"/>
      <c r="E286" s="7"/>
      <c r="F286" s="7"/>
      <c r="G286" s="7"/>
      <c r="H286" s="7"/>
      <c r="I286" s="7"/>
      <c r="J286" s="7"/>
      <c r="K286" s="7"/>
      <c r="M286" s="7"/>
      <c r="O286" s="6"/>
      <c r="P286" s="6"/>
      <c r="Q286" s="6"/>
      <c r="R286" s="6"/>
      <c r="S286" s="6"/>
      <c r="V286" s="7"/>
      <c r="W286" s="7"/>
      <c r="Z286" s="1"/>
      <c r="AB286"/>
      <c r="AC286"/>
      <c r="AD286"/>
      <c r="AE286"/>
      <c r="AF286"/>
      <c r="AG286"/>
      <c r="AJ286"/>
      <c r="AK286"/>
      <c r="AL286"/>
      <c r="AM286"/>
      <c r="AN286"/>
      <c r="AS286"/>
      <c r="AT286"/>
      <c r="AU286"/>
      <c r="AV286"/>
      <c r="AW286"/>
      <c r="AX286"/>
      <c r="AY286"/>
      <c r="AZ286"/>
      <c r="BA286"/>
      <c r="BB286"/>
      <c r="BC286"/>
      <c r="BD286"/>
    </row>
    <row r="287" spans="3:56" x14ac:dyDescent="0.25">
      <c r="C287"/>
      <c r="D287" s="7"/>
      <c r="E287" s="7"/>
      <c r="F287" s="7"/>
      <c r="G287" s="7"/>
      <c r="H287" s="7"/>
      <c r="I287" s="7"/>
      <c r="J287" s="7"/>
      <c r="K287" s="7"/>
      <c r="M287" s="7"/>
      <c r="O287" s="6"/>
      <c r="P287" s="6"/>
      <c r="Q287" s="6"/>
      <c r="R287" s="6"/>
      <c r="S287" s="6"/>
      <c r="V287" s="7"/>
      <c r="W287" s="7"/>
      <c r="Z287" s="1"/>
      <c r="AB287"/>
      <c r="AC287"/>
      <c r="AD287"/>
      <c r="AE287"/>
      <c r="AF287"/>
      <c r="AG287"/>
      <c r="AJ287"/>
      <c r="AK287"/>
      <c r="AL287"/>
      <c r="AM287"/>
      <c r="AN287"/>
      <c r="AS287"/>
      <c r="AT287"/>
      <c r="AU287"/>
      <c r="AV287"/>
      <c r="AW287"/>
      <c r="AX287"/>
      <c r="AY287"/>
      <c r="AZ287"/>
      <c r="BA287"/>
      <c r="BB287"/>
      <c r="BC287"/>
      <c r="BD287"/>
    </row>
    <row r="288" spans="3:56" x14ac:dyDescent="0.25">
      <c r="C288"/>
      <c r="D288" s="7"/>
      <c r="E288" s="7"/>
      <c r="F288" s="7"/>
      <c r="G288" s="7"/>
      <c r="H288" s="7"/>
      <c r="I288" s="7"/>
      <c r="J288" s="7"/>
      <c r="K288" s="7"/>
      <c r="M288" s="7"/>
      <c r="O288" s="6"/>
      <c r="P288" s="6"/>
      <c r="Q288" s="6"/>
      <c r="R288" s="6"/>
      <c r="S288" s="6"/>
      <c r="V288" s="7"/>
      <c r="W288" s="7"/>
      <c r="Z288" s="1"/>
      <c r="AB288"/>
      <c r="AC288"/>
      <c r="AD288"/>
      <c r="AE288"/>
      <c r="AF288"/>
      <c r="AG288"/>
      <c r="AJ288"/>
      <c r="AK288"/>
      <c r="AL288"/>
      <c r="AM288"/>
      <c r="AN288"/>
      <c r="AS288"/>
      <c r="AT288"/>
      <c r="AU288"/>
      <c r="AV288"/>
      <c r="AW288"/>
      <c r="AX288"/>
      <c r="AY288"/>
      <c r="AZ288"/>
      <c r="BA288"/>
      <c r="BB288"/>
      <c r="BC288"/>
      <c r="BD288"/>
    </row>
    <row r="289" spans="3:56" x14ac:dyDescent="0.25">
      <c r="C289"/>
      <c r="D289" s="7"/>
      <c r="E289" s="7"/>
      <c r="F289" s="7"/>
      <c r="G289" s="7"/>
      <c r="H289" s="7"/>
      <c r="I289" s="7"/>
      <c r="J289" s="7"/>
      <c r="K289" s="7"/>
      <c r="M289" s="7"/>
      <c r="O289" s="6"/>
      <c r="P289" s="6"/>
      <c r="Q289" s="6"/>
      <c r="R289" s="6"/>
      <c r="S289" s="6"/>
      <c r="V289" s="7"/>
      <c r="W289" s="7"/>
      <c r="Z289" s="1"/>
      <c r="AB289"/>
      <c r="AC289"/>
      <c r="AD289"/>
      <c r="AE289"/>
      <c r="AF289"/>
      <c r="AG289"/>
      <c r="AJ289"/>
      <c r="AK289"/>
      <c r="AL289"/>
      <c r="AM289"/>
      <c r="AN289"/>
      <c r="AS289"/>
      <c r="AT289"/>
      <c r="AU289"/>
      <c r="AV289"/>
      <c r="AW289"/>
      <c r="AX289"/>
      <c r="AY289"/>
      <c r="AZ289"/>
      <c r="BA289"/>
      <c r="BB289"/>
      <c r="BC289"/>
      <c r="BD289"/>
    </row>
    <row r="290" spans="3:56" x14ac:dyDescent="0.25">
      <c r="C290"/>
      <c r="D290" s="7"/>
      <c r="E290" s="7"/>
      <c r="F290" s="7"/>
      <c r="G290" s="7"/>
      <c r="H290" s="7"/>
      <c r="I290" s="7"/>
      <c r="J290" s="7"/>
      <c r="K290" s="7"/>
      <c r="M290" s="7"/>
      <c r="O290" s="6"/>
      <c r="P290" s="6"/>
      <c r="Q290" s="6"/>
      <c r="R290" s="6"/>
      <c r="S290" s="6"/>
      <c r="V290" s="7"/>
      <c r="W290" s="7"/>
      <c r="Z290" s="1"/>
      <c r="AB290"/>
      <c r="AC290"/>
      <c r="AD290"/>
      <c r="AE290"/>
      <c r="AF290"/>
      <c r="AG290"/>
      <c r="AJ290"/>
      <c r="AK290"/>
      <c r="AL290"/>
      <c r="AM290"/>
      <c r="AN290"/>
      <c r="AS290"/>
      <c r="AT290"/>
      <c r="AU290"/>
      <c r="AV290"/>
      <c r="AW290"/>
      <c r="AX290"/>
      <c r="AY290"/>
      <c r="AZ290"/>
      <c r="BA290"/>
      <c r="BB290"/>
      <c r="BC290"/>
      <c r="BD290"/>
    </row>
    <row r="291" spans="3:56" x14ac:dyDescent="0.25">
      <c r="C291"/>
      <c r="D291" s="7"/>
      <c r="E291" s="7"/>
      <c r="F291" s="7"/>
      <c r="G291" s="7"/>
      <c r="H291" s="7"/>
      <c r="I291" s="7"/>
      <c r="J291" s="7"/>
      <c r="K291" s="7"/>
      <c r="M291" s="7"/>
      <c r="O291" s="6"/>
      <c r="P291" s="6"/>
      <c r="Q291" s="6"/>
      <c r="R291" s="6"/>
      <c r="S291" s="6"/>
      <c r="V291" s="7"/>
      <c r="W291" s="7"/>
      <c r="Z291" s="1"/>
      <c r="AB291"/>
      <c r="AC291"/>
      <c r="AD291"/>
      <c r="AE291"/>
      <c r="AF291"/>
      <c r="AG291"/>
      <c r="AJ291"/>
      <c r="AK291"/>
      <c r="AL291"/>
      <c r="AM291"/>
      <c r="AN291"/>
      <c r="AS291"/>
      <c r="AT291"/>
      <c r="AU291"/>
      <c r="AV291"/>
      <c r="AW291"/>
      <c r="AX291"/>
      <c r="AY291"/>
      <c r="AZ291"/>
      <c r="BA291"/>
      <c r="BB291"/>
      <c r="BC291"/>
      <c r="BD291"/>
    </row>
    <row r="292" spans="3:56" x14ac:dyDescent="0.25">
      <c r="C292"/>
      <c r="D292" s="7"/>
      <c r="E292" s="7"/>
      <c r="F292" s="7"/>
      <c r="G292" s="7"/>
      <c r="H292" s="7"/>
      <c r="I292" s="7"/>
      <c r="J292" s="7"/>
      <c r="K292" s="7"/>
      <c r="M292" s="7"/>
      <c r="O292" s="6"/>
      <c r="P292" s="6"/>
      <c r="Q292" s="6"/>
      <c r="R292" s="6"/>
      <c r="S292" s="6"/>
      <c r="V292" s="7"/>
      <c r="W292" s="7"/>
      <c r="Z292" s="1"/>
      <c r="AB292"/>
      <c r="AC292"/>
      <c r="AD292"/>
      <c r="AE292"/>
      <c r="AF292"/>
      <c r="AG292"/>
      <c r="AJ292"/>
      <c r="AK292"/>
      <c r="AL292"/>
      <c r="AM292"/>
      <c r="AN292"/>
      <c r="AS292"/>
      <c r="AT292"/>
      <c r="AU292"/>
      <c r="AV292"/>
      <c r="AW292"/>
      <c r="AX292"/>
      <c r="AY292"/>
      <c r="AZ292"/>
      <c r="BA292"/>
      <c r="BB292"/>
      <c r="BC292"/>
      <c r="BD292"/>
    </row>
    <row r="293" spans="3:56" x14ac:dyDescent="0.25">
      <c r="C293"/>
      <c r="D293" s="7"/>
      <c r="E293" s="7"/>
      <c r="F293" s="7"/>
      <c r="G293" s="7"/>
      <c r="H293" s="7"/>
      <c r="I293" s="7"/>
      <c r="J293" s="7"/>
      <c r="K293" s="7"/>
      <c r="M293" s="7"/>
      <c r="O293" s="6"/>
      <c r="P293" s="6"/>
      <c r="Q293" s="6"/>
      <c r="R293" s="6"/>
      <c r="S293" s="6"/>
      <c r="V293" s="7"/>
      <c r="W293" s="7"/>
      <c r="Z293" s="1"/>
      <c r="AB293"/>
      <c r="AC293"/>
      <c r="AD293"/>
      <c r="AE293"/>
      <c r="AF293"/>
      <c r="AG293"/>
      <c r="AJ293"/>
      <c r="AK293"/>
      <c r="AL293"/>
      <c r="AM293"/>
      <c r="AN293"/>
      <c r="AS293"/>
      <c r="AT293"/>
      <c r="AU293"/>
      <c r="AV293"/>
      <c r="AW293"/>
      <c r="AX293"/>
      <c r="AY293"/>
      <c r="AZ293"/>
      <c r="BA293"/>
      <c r="BB293"/>
      <c r="BC293"/>
      <c r="BD293"/>
    </row>
    <row r="294" spans="3:56" x14ac:dyDescent="0.25">
      <c r="C294"/>
      <c r="D294" s="7"/>
      <c r="E294" s="7"/>
      <c r="F294" s="7"/>
      <c r="G294" s="7"/>
      <c r="H294" s="7"/>
      <c r="I294" s="7"/>
      <c r="J294" s="7"/>
      <c r="K294" s="7"/>
      <c r="M294" s="7"/>
      <c r="O294" s="6"/>
      <c r="P294" s="6"/>
      <c r="Q294" s="6"/>
      <c r="R294" s="6"/>
      <c r="S294" s="6"/>
      <c r="V294" s="7"/>
      <c r="W294" s="7"/>
      <c r="Z294" s="1"/>
      <c r="AB294"/>
      <c r="AC294"/>
      <c r="AD294"/>
      <c r="AE294"/>
      <c r="AF294"/>
      <c r="AG294"/>
      <c r="AJ294"/>
      <c r="AK294"/>
      <c r="AL294"/>
      <c r="AM294"/>
      <c r="AN294"/>
      <c r="AS294"/>
      <c r="AT294"/>
      <c r="AU294"/>
      <c r="AV294"/>
      <c r="AW294"/>
      <c r="AX294"/>
      <c r="AY294"/>
      <c r="AZ294"/>
      <c r="BA294"/>
      <c r="BB294"/>
      <c r="BC294"/>
      <c r="BD294"/>
    </row>
    <row r="295" spans="3:56" x14ac:dyDescent="0.25">
      <c r="C295"/>
      <c r="D295" s="7"/>
      <c r="E295" s="7"/>
      <c r="F295" s="7"/>
      <c r="G295" s="7"/>
      <c r="H295" s="7"/>
      <c r="I295" s="7"/>
      <c r="J295" s="7"/>
      <c r="K295" s="7"/>
      <c r="M295" s="7"/>
      <c r="O295" s="6"/>
      <c r="P295" s="6"/>
      <c r="Q295" s="6"/>
      <c r="R295" s="6"/>
      <c r="S295" s="6"/>
      <c r="V295" s="7"/>
      <c r="W295" s="7"/>
      <c r="Z295" s="1"/>
      <c r="AB295"/>
      <c r="AC295"/>
      <c r="AD295"/>
      <c r="AE295"/>
      <c r="AF295"/>
      <c r="AG295"/>
      <c r="AJ295"/>
      <c r="AK295"/>
      <c r="AL295"/>
      <c r="AM295"/>
      <c r="AN295"/>
      <c r="AS295"/>
      <c r="AT295"/>
      <c r="AU295"/>
      <c r="AV295"/>
      <c r="AW295"/>
      <c r="AX295"/>
      <c r="AY295"/>
      <c r="AZ295"/>
      <c r="BA295"/>
      <c r="BB295"/>
      <c r="BC295"/>
      <c r="BD295"/>
    </row>
    <row r="296" spans="3:56" x14ac:dyDescent="0.25">
      <c r="C296"/>
      <c r="D296" s="7"/>
      <c r="E296" s="7"/>
      <c r="F296" s="7"/>
      <c r="G296" s="7"/>
      <c r="H296" s="7"/>
      <c r="I296" s="7"/>
      <c r="J296" s="7"/>
      <c r="K296" s="7"/>
      <c r="M296" s="7"/>
      <c r="O296" s="6"/>
      <c r="P296" s="6"/>
      <c r="Q296" s="6"/>
      <c r="R296" s="6"/>
      <c r="S296" s="6"/>
      <c r="V296" s="7"/>
      <c r="W296" s="7"/>
      <c r="Z296" s="1"/>
      <c r="AB296"/>
      <c r="AC296"/>
      <c r="AD296"/>
      <c r="AE296"/>
      <c r="AF296"/>
      <c r="AG296"/>
      <c r="AJ296"/>
      <c r="AK296"/>
      <c r="AL296"/>
      <c r="AM296"/>
      <c r="AN296"/>
      <c r="AS296"/>
      <c r="AT296"/>
      <c r="AU296"/>
      <c r="AV296"/>
      <c r="AW296"/>
      <c r="AX296"/>
      <c r="AY296"/>
      <c r="AZ296"/>
      <c r="BA296"/>
      <c r="BB296"/>
      <c r="BC296"/>
      <c r="BD296"/>
    </row>
    <row r="297" spans="3:56" x14ac:dyDescent="0.25">
      <c r="C297"/>
      <c r="D297" s="7"/>
      <c r="E297" s="7"/>
      <c r="F297" s="7"/>
      <c r="G297" s="7"/>
      <c r="H297" s="7"/>
      <c r="I297" s="7"/>
      <c r="J297" s="7"/>
      <c r="K297" s="7"/>
      <c r="M297" s="7"/>
      <c r="O297" s="6"/>
      <c r="P297" s="6"/>
      <c r="Q297" s="6"/>
      <c r="R297" s="6"/>
      <c r="S297" s="6"/>
      <c r="V297" s="7"/>
      <c r="W297" s="7"/>
      <c r="Z297" s="1"/>
      <c r="AB297"/>
      <c r="AC297"/>
      <c r="AD297"/>
      <c r="AE297"/>
      <c r="AF297"/>
      <c r="AG297"/>
      <c r="AJ297"/>
      <c r="AK297"/>
      <c r="AL297"/>
      <c r="AM297"/>
      <c r="AN297"/>
      <c r="AS297"/>
      <c r="AT297"/>
      <c r="AU297"/>
      <c r="AV297"/>
      <c r="AW297"/>
      <c r="AX297"/>
      <c r="AY297"/>
      <c r="AZ297"/>
      <c r="BA297"/>
      <c r="BB297"/>
      <c r="BC297"/>
      <c r="BD297"/>
    </row>
    <row r="298" spans="3:56" x14ac:dyDescent="0.25">
      <c r="C298"/>
      <c r="D298" s="7"/>
      <c r="E298" s="7"/>
      <c r="F298" s="7"/>
      <c r="G298" s="7"/>
      <c r="H298" s="7"/>
      <c r="I298" s="7"/>
      <c r="J298" s="7"/>
      <c r="K298" s="7"/>
      <c r="M298" s="7"/>
      <c r="O298" s="6"/>
      <c r="P298" s="6"/>
      <c r="Q298" s="6"/>
      <c r="R298" s="6"/>
      <c r="S298" s="6"/>
      <c r="V298" s="7"/>
      <c r="W298" s="7"/>
      <c r="Z298" s="1"/>
      <c r="AB298"/>
      <c r="AC298"/>
      <c r="AD298"/>
      <c r="AE298"/>
      <c r="AF298"/>
      <c r="AG298"/>
      <c r="AJ298"/>
      <c r="AK298"/>
      <c r="AL298"/>
      <c r="AM298"/>
      <c r="AN298"/>
      <c r="AS298"/>
      <c r="AT298"/>
      <c r="AU298"/>
      <c r="AV298"/>
      <c r="AW298"/>
      <c r="AX298"/>
      <c r="AY298"/>
      <c r="AZ298"/>
      <c r="BA298"/>
      <c r="BB298"/>
      <c r="BC298"/>
      <c r="BD298"/>
    </row>
    <row r="299" spans="3:56" x14ac:dyDescent="0.25">
      <c r="C299"/>
      <c r="D299" s="7"/>
      <c r="E299" s="7"/>
      <c r="F299" s="7"/>
      <c r="G299" s="7"/>
      <c r="H299" s="7"/>
      <c r="I299" s="7"/>
      <c r="J299" s="7"/>
      <c r="K299" s="7"/>
      <c r="M299" s="7"/>
      <c r="O299" s="6"/>
      <c r="P299" s="6"/>
      <c r="Q299" s="6"/>
      <c r="R299" s="6"/>
      <c r="S299" s="6"/>
      <c r="V299" s="7"/>
      <c r="W299" s="7"/>
      <c r="Z299" s="1"/>
      <c r="AB299"/>
      <c r="AC299"/>
      <c r="AD299"/>
      <c r="AE299"/>
      <c r="AF299"/>
      <c r="AG299"/>
      <c r="AJ299"/>
      <c r="AK299"/>
      <c r="AL299"/>
      <c r="AM299"/>
      <c r="AN299"/>
      <c r="AS299"/>
      <c r="AT299"/>
      <c r="AU299"/>
      <c r="AV299"/>
      <c r="AW299"/>
      <c r="AX299"/>
      <c r="AY299"/>
      <c r="AZ299"/>
      <c r="BA299"/>
      <c r="BB299"/>
      <c r="BC299"/>
      <c r="BD299"/>
    </row>
    <row r="300" spans="3:56" x14ac:dyDescent="0.25">
      <c r="C300"/>
      <c r="D300" s="7"/>
      <c r="E300" s="7"/>
      <c r="F300" s="7"/>
      <c r="G300" s="7"/>
      <c r="H300" s="7"/>
      <c r="I300" s="7"/>
      <c r="J300" s="7"/>
      <c r="K300" s="7"/>
      <c r="M300" s="7"/>
      <c r="O300" s="6"/>
      <c r="P300" s="6"/>
      <c r="Q300" s="6"/>
      <c r="R300" s="6"/>
      <c r="S300" s="6"/>
      <c r="V300" s="7"/>
      <c r="W300" s="7"/>
      <c r="Z300" s="1"/>
      <c r="AB300"/>
      <c r="AC300"/>
      <c r="AD300"/>
      <c r="AE300"/>
      <c r="AF300"/>
      <c r="AG300"/>
      <c r="AJ300"/>
      <c r="AK300"/>
      <c r="AL300"/>
      <c r="AM300"/>
      <c r="AN300"/>
      <c r="AS300"/>
      <c r="AT300"/>
      <c r="AU300"/>
      <c r="AV300"/>
      <c r="AW300"/>
      <c r="AX300"/>
      <c r="AY300"/>
      <c r="AZ300"/>
      <c r="BA300"/>
      <c r="BB300"/>
      <c r="BC300"/>
      <c r="BD300"/>
    </row>
    <row r="301" spans="3:56" x14ac:dyDescent="0.25">
      <c r="C301"/>
      <c r="D301" s="7"/>
      <c r="E301" s="7"/>
      <c r="F301" s="7"/>
      <c r="G301" s="7"/>
      <c r="H301" s="7"/>
      <c r="I301" s="7"/>
      <c r="J301" s="7"/>
      <c r="K301" s="7"/>
      <c r="M301" s="7"/>
      <c r="O301" s="6"/>
      <c r="P301" s="6"/>
      <c r="Q301" s="6"/>
      <c r="R301" s="6"/>
      <c r="S301" s="6"/>
      <c r="V301" s="7"/>
      <c r="W301" s="7"/>
      <c r="Z301" s="1"/>
      <c r="AB301"/>
      <c r="AC301"/>
      <c r="AD301"/>
      <c r="AE301"/>
      <c r="AF301"/>
      <c r="AG301"/>
      <c r="AJ301"/>
      <c r="AK301"/>
      <c r="AL301"/>
      <c r="AM301"/>
      <c r="AN301"/>
      <c r="AS301"/>
      <c r="AT301"/>
      <c r="AU301"/>
      <c r="AV301"/>
      <c r="AW301"/>
      <c r="AX301"/>
      <c r="AY301"/>
      <c r="AZ301"/>
      <c r="BA301"/>
      <c r="BB301"/>
      <c r="BC301"/>
      <c r="BD301"/>
    </row>
    <row r="302" spans="3:56" x14ac:dyDescent="0.25">
      <c r="C302"/>
      <c r="D302" s="7"/>
      <c r="E302" s="7"/>
      <c r="F302" s="7"/>
      <c r="G302" s="7"/>
      <c r="H302" s="7"/>
      <c r="I302" s="7"/>
      <c r="J302" s="7"/>
      <c r="K302" s="7"/>
      <c r="M302" s="7"/>
      <c r="O302" s="6"/>
      <c r="P302" s="6"/>
      <c r="Q302" s="6"/>
      <c r="R302" s="6"/>
      <c r="S302" s="6"/>
      <c r="V302" s="7"/>
      <c r="W302" s="7"/>
      <c r="Z302" s="1"/>
      <c r="AB302"/>
      <c r="AC302"/>
      <c r="AD302"/>
      <c r="AE302"/>
      <c r="AF302"/>
      <c r="AG302"/>
      <c r="AJ302"/>
      <c r="AK302"/>
      <c r="AL302"/>
      <c r="AM302"/>
      <c r="AN302"/>
      <c r="AS302"/>
      <c r="AT302"/>
      <c r="AU302"/>
      <c r="AV302"/>
      <c r="AW302"/>
      <c r="AX302"/>
      <c r="AY302"/>
      <c r="AZ302"/>
      <c r="BA302"/>
      <c r="BB302"/>
      <c r="BC302"/>
      <c r="BD302"/>
    </row>
    <row r="303" spans="3:56" x14ac:dyDescent="0.25">
      <c r="C303"/>
      <c r="D303" s="7"/>
      <c r="E303" s="7"/>
      <c r="F303" s="7"/>
      <c r="G303" s="7"/>
      <c r="H303" s="7"/>
      <c r="I303" s="7"/>
      <c r="J303" s="7"/>
      <c r="K303" s="7"/>
      <c r="M303" s="7"/>
      <c r="O303" s="6"/>
      <c r="P303" s="6"/>
      <c r="Q303" s="6"/>
      <c r="R303" s="6"/>
      <c r="S303" s="6"/>
      <c r="V303" s="7"/>
      <c r="W303" s="7"/>
      <c r="Z303" s="1"/>
      <c r="AB303"/>
      <c r="AC303"/>
      <c r="AD303"/>
      <c r="AE303"/>
      <c r="AF303"/>
      <c r="AG303"/>
      <c r="AJ303"/>
      <c r="AK303"/>
      <c r="AL303"/>
      <c r="AM303"/>
      <c r="AN303"/>
      <c r="AS303"/>
      <c r="AT303"/>
      <c r="AU303"/>
      <c r="AV303"/>
      <c r="AW303"/>
      <c r="AX303"/>
      <c r="AY303"/>
      <c r="AZ303"/>
      <c r="BA303"/>
      <c r="BB303"/>
      <c r="BC303"/>
      <c r="BD303"/>
    </row>
    <row r="304" spans="3:56" x14ac:dyDescent="0.25">
      <c r="C304"/>
      <c r="D304" s="7"/>
      <c r="E304" s="7"/>
      <c r="F304" s="7"/>
      <c r="G304" s="7"/>
      <c r="H304" s="7"/>
      <c r="I304" s="7"/>
      <c r="J304" s="7"/>
      <c r="K304" s="7"/>
      <c r="M304" s="7"/>
      <c r="O304" s="6"/>
      <c r="P304" s="6"/>
      <c r="Q304" s="6"/>
      <c r="R304" s="6"/>
      <c r="S304" s="6"/>
      <c r="V304" s="7"/>
      <c r="W304" s="7"/>
      <c r="Z304" s="1"/>
      <c r="AB304"/>
      <c r="AC304"/>
      <c r="AD304"/>
      <c r="AE304"/>
      <c r="AF304"/>
      <c r="AG304"/>
      <c r="AJ304"/>
      <c r="AK304"/>
      <c r="AL304"/>
      <c r="AM304"/>
      <c r="AN304"/>
      <c r="AS304"/>
      <c r="AT304"/>
      <c r="AU304"/>
      <c r="AV304"/>
      <c r="AW304"/>
      <c r="AX304"/>
      <c r="AY304"/>
      <c r="AZ304"/>
      <c r="BA304"/>
      <c r="BB304"/>
      <c r="BC304"/>
      <c r="BD304"/>
    </row>
    <row r="305" spans="3:56" x14ac:dyDescent="0.25">
      <c r="C305"/>
      <c r="D305" s="7"/>
      <c r="E305" s="7"/>
      <c r="F305" s="7"/>
      <c r="G305" s="7"/>
      <c r="H305" s="7"/>
      <c r="I305" s="7"/>
      <c r="J305" s="7"/>
      <c r="K305" s="7"/>
      <c r="M305" s="7"/>
      <c r="O305" s="6"/>
      <c r="P305" s="6"/>
      <c r="Q305" s="6"/>
      <c r="R305" s="6"/>
      <c r="S305" s="6"/>
      <c r="V305" s="7"/>
      <c r="W305" s="7"/>
      <c r="Z305" s="1"/>
      <c r="AB305"/>
      <c r="AC305"/>
      <c r="AD305"/>
      <c r="AE305"/>
      <c r="AF305"/>
      <c r="AG305"/>
      <c r="AJ305"/>
      <c r="AK305"/>
      <c r="AL305"/>
      <c r="AM305"/>
      <c r="AN305"/>
      <c r="AS305"/>
      <c r="AT305"/>
      <c r="AU305"/>
      <c r="AV305"/>
      <c r="AW305"/>
      <c r="AX305"/>
      <c r="AY305"/>
      <c r="AZ305"/>
      <c r="BA305"/>
      <c r="BB305"/>
      <c r="BC305"/>
      <c r="BD305"/>
    </row>
    <row r="306" spans="3:56" x14ac:dyDescent="0.25">
      <c r="C306"/>
      <c r="D306" s="7"/>
      <c r="E306" s="7"/>
      <c r="F306" s="7"/>
      <c r="G306" s="7"/>
      <c r="H306" s="7"/>
      <c r="I306" s="7"/>
      <c r="J306" s="7"/>
      <c r="K306" s="7"/>
      <c r="M306" s="7"/>
      <c r="O306" s="6"/>
      <c r="P306" s="6"/>
      <c r="Q306" s="6"/>
      <c r="R306" s="6"/>
      <c r="S306" s="6"/>
      <c r="V306" s="7"/>
      <c r="W306" s="7"/>
      <c r="Z306" s="1"/>
      <c r="AB306"/>
      <c r="AC306"/>
      <c r="AD306"/>
      <c r="AE306"/>
      <c r="AF306"/>
      <c r="AG306"/>
      <c r="AJ306"/>
      <c r="AK306"/>
      <c r="AL306"/>
      <c r="AM306"/>
      <c r="AN306"/>
      <c r="AS306"/>
      <c r="AT306"/>
      <c r="AU306"/>
      <c r="AV306"/>
      <c r="AW306"/>
      <c r="AX306"/>
      <c r="AY306"/>
      <c r="AZ306"/>
      <c r="BA306"/>
      <c r="BB306"/>
      <c r="BC306"/>
      <c r="BD306"/>
    </row>
    <row r="307" spans="3:56" x14ac:dyDescent="0.25">
      <c r="C307"/>
      <c r="D307" s="7"/>
      <c r="E307" s="7"/>
      <c r="F307" s="7"/>
      <c r="G307" s="7"/>
      <c r="H307" s="7"/>
      <c r="I307" s="7"/>
      <c r="J307" s="7"/>
      <c r="K307" s="7"/>
      <c r="M307" s="7"/>
      <c r="O307" s="6"/>
      <c r="P307" s="6"/>
      <c r="Q307" s="6"/>
      <c r="R307" s="6"/>
      <c r="S307" s="6"/>
      <c r="V307" s="7"/>
      <c r="W307" s="7"/>
      <c r="Z307" s="1"/>
      <c r="AB307"/>
      <c r="AC307"/>
      <c r="AD307"/>
      <c r="AE307"/>
      <c r="AF307"/>
      <c r="AG307"/>
      <c r="AJ307"/>
      <c r="AK307"/>
      <c r="AL307"/>
      <c r="AM307"/>
      <c r="AN307"/>
      <c r="AS307"/>
      <c r="AT307"/>
      <c r="AU307"/>
      <c r="AV307"/>
      <c r="AW307"/>
      <c r="AX307"/>
      <c r="AY307"/>
      <c r="AZ307"/>
      <c r="BA307"/>
      <c r="BB307"/>
      <c r="BC307"/>
      <c r="BD307"/>
    </row>
    <row r="308" spans="3:56" x14ac:dyDescent="0.25">
      <c r="C308"/>
      <c r="D308" s="7"/>
      <c r="E308" s="7"/>
      <c r="F308" s="7"/>
      <c r="G308" s="7"/>
      <c r="H308" s="7"/>
      <c r="I308" s="7"/>
      <c r="J308" s="7"/>
      <c r="K308" s="7"/>
      <c r="M308" s="7"/>
      <c r="O308" s="6"/>
      <c r="P308" s="6"/>
      <c r="Q308" s="6"/>
      <c r="R308" s="6"/>
      <c r="S308" s="6"/>
      <c r="V308" s="7"/>
      <c r="W308" s="7"/>
      <c r="Z308" s="1"/>
      <c r="AB308"/>
      <c r="AC308"/>
      <c r="AD308"/>
      <c r="AE308"/>
      <c r="AF308"/>
      <c r="AG308"/>
      <c r="AJ308"/>
      <c r="AK308"/>
      <c r="AL308"/>
      <c r="AM308"/>
      <c r="AN308"/>
      <c r="AS308"/>
      <c r="AT308"/>
      <c r="AU308"/>
      <c r="AV308"/>
      <c r="AW308"/>
      <c r="AX308"/>
      <c r="AY308"/>
      <c r="AZ308"/>
      <c r="BA308"/>
      <c r="BB308"/>
      <c r="BC308"/>
      <c r="BD308"/>
    </row>
    <row r="309" spans="3:56" x14ac:dyDescent="0.25">
      <c r="C309"/>
      <c r="D309" s="7"/>
      <c r="E309" s="7"/>
      <c r="F309" s="7"/>
      <c r="G309" s="7"/>
      <c r="H309" s="7"/>
      <c r="I309" s="7"/>
      <c r="J309" s="7"/>
      <c r="K309" s="7"/>
      <c r="M309" s="7"/>
      <c r="O309" s="6"/>
      <c r="P309" s="6"/>
      <c r="Q309" s="6"/>
      <c r="R309" s="6"/>
      <c r="S309" s="6"/>
      <c r="V309" s="7"/>
      <c r="W309" s="7"/>
      <c r="Z309" s="1"/>
      <c r="AB309"/>
      <c r="AC309"/>
      <c r="AD309"/>
      <c r="AE309"/>
      <c r="AF309"/>
      <c r="AG309"/>
      <c r="AJ309"/>
      <c r="AK309"/>
      <c r="AL309"/>
      <c r="AM309"/>
      <c r="AN309"/>
      <c r="AS309"/>
      <c r="AT309"/>
      <c r="AU309"/>
      <c r="AV309"/>
      <c r="AW309"/>
      <c r="AX309"/>
      <c r="AY309"/>
      <c r="AZ309"/>
      <c r="BA309"/>
      <c r="BB309"/>
      <c r="BC309"/>
      <c r="BD309"/>
    </row>
    <row r="310" spans="3:56" x14ac:dyDescent="0.25">
      <c r="C310"/>
      <c r="D310" s="7"/>
      <c r="E310" s="7"/>
      <c r="F310" s="7"/>
      <c r="G310" s="7"/>
      <c r="H310" s="7"/>
      <c r="I310" s="7"/>
      <c r="J310" s="7"/>
      <c r="K310" s="7"/>
      <c r="M310" s="7"/>
      <c r="O310" s="6"/>
      <c r="P310" s="6"/>
      <c r="Q310" s="6"/>
      <c r="R310" s="6"/>
      <c r="S310" s="6"/>
      <c r="V310" s="7"/>
      <c r="W310" s="7"/>
      <c r="Z310" s="1"/>
      <c r="AB310"/>
      <c r="AC310"/>
      <c r="AD310"/>
      <c r="AE310"/>
      <c r="AF310"/>
      <c r="AG310"/>
      <c r="AJ310"/>
      <c r="AK310"/>
      <c r="AL310"/>
      <c r="AM310"/>
      <c r="AN310"/>
      <c r="AS310"/>
      <c r="AT310"/>
      <c r="AU310"/>
      <c r="AV310"/>
      <c r="AW310"/>
      <c r="AX310"/>
      <c r="AY310"/>
      <c r="AZ310"/>
      <c r="BA310"/>
      <c r="BB310"/>
      <c r="BC310"/>
      <c r="BD310"/>
    </row>
    <row r="311" spans="3:56" x14ac:dyDescent="0.25">
      <c r="C311"/>
      <c r="D311" s="7"/>
      <c r="E311" s="7"/>
      <c r="F311" s="7"/>
      <c r="G311" s="7"/>
      <c r="H311" s="7"/>
      <c r="I311" s="7"/>
      <c r="J311" s="7"/>
      <c r="K311" s="7"/>
      <c r="M311" s="7"/>
      <c r="O311" s="6"/>
      <c r="P311" s="6"/>
      <c r="Q311" s="6"/>
      <c r="R311" s="6"/>
      <c r="S311" s="6"/>
      <c r="V311" s="7"/>
      <c r="W311" s="7"/>
      <c r="Z311" s="1"/>
      <c r="AB311"/>
      <c r="AC311"/>
      <c r="AD311"/>
      <c r="AE311"/>
      <c r="AF311"/>
      <c r="AG311"/>
      <c r="AJ311"/>
      <c r="AK311"/>
      <c r="AL311"/>
      <c r="AM311"/>
      <c r="AN311"/>
      <c r="AS311"/>
      <c r="AT311"/>
      <c r="AU311"/>
      <c r="AV311"/>
      <c r="AW311"/>
      <c r="AX311"/>
      <c r="AY311"/>
      <c r="AZ311"/>
      <c r="BA311"/>
      <c r="BB311"/>
      <c r="BC311"/>
      <c r="BD311"/>
    </row>
    <row r="312" spans="3:56" x14ac:dyDescent="0.25">
      <c r="C312"/>
      <c r="D312" s="7"/>
      <c r="E312" s="7"/>
      <c r="F312" s="7"/>
      <c r="G312" s="7"/>
      <c r="H312" s="7"/>
      <c r="I312" s="7"/>
      <c r="J312" s="7"/>
      <c r="K312" s="7"/>
      <c r="M312" s="7"/>
      <c r="O312" s="6"/>
      <c r="P312" s="6"/>
      <c r="Q312" s="6"/>
      <c r="R312" s="6"/>
      <c r="S312" s="6"/>
      <c r="V312" s="7"/>
      <c r="W312" s="7"/>
      <c r="Z312" s="1"/>
      <c r="AB312"/>
      <c r="AC312"/>
      <c r="AD312"/>
      <c r="AE312"/>
      <c r="AF312"/>
      <c r="AG312"/>
      <c r="AJ312"/>
      <c r="AK312"/>
      <c r="AL312"/>
      <c r="AM312"/>
      <c r="AN312"/>
      <c r="AS312"/>
      <c r="AT312"/>
      <c r="AU312"/>
      <c r="AV312"/>
      <c r="AW312"/>
      <c r="AX312"/>
      <c r="AY312"/>
      <c r="AZ312"/>
      <c r="BA312"/>
      <c r="BB312"/>
      <c r="BC312"/>
      <c r="BD312"/>
    </row>
    <row r="313" spans="3:56" x14ac:dyDescent="0.25">
      <c r="C313"/>
      <c r="D313" s="7"/>
      <c r="E313" s="7"/>
      <c r="F313" s="7"/>
      <c r="G313" s="7"/>
      <c r="H313" s="7"/>
      <c r="I313" s="7"/>
      <c r="J313" s="7"/>
      <c r="K313" s="7"/>
      <c r="M313" s="7"/>
      <c r="O313" s="6"/>
      <c r="P313" s="6"/>
      <c r="Q313" s="6"/>
      <c r="R313" s="6"/>
      <c r="S313" s="6"/>
      <c r="V313" s="7"/>
      <c r="W313" s="7"/>
      <c r="Z313" s="1"/>
      <c r="AB313"/>
      <c r="AC313"/>
      <c r="AD313"/>
      <c r="AE313"/>
      <c r="AF313"/>
      <c r="AG313"/>
      <c r="AJ313"/>
      <c r="AK313"/>
      <c r="AL313"/>
      <c r="AM313"/>
      <c r="AN313"/>
      <c r="AS313"/>
      <c r="AT313"/>
      <c r="AU313"/>
      <c r="AV313"/>
      <c r="AW313"/>
      <c r="AX313"/>
      <c r="AY313"/>
      <c r="AZ313"/>
      <c r="BA313"/>
      <c r="BB313"/>
      <c r="BC313"/>
      <c r="BD313"/>
    </row>
    <row r="314" spans="3:56" x14ac:dyDescent="0.25">
      <c r="C314"/>
      <c r="D314" s="7"/>
      <c r="E314" s="7"/>
      <c r="F314" s="7"/>
      <c r="G314" s="7"/>
      <c r="H314" s="7"/>
      <c r="I314" s="7"/>
      <c r="J314" s="7"/>
      <c r="K314" s="7"/>
      <c r="M314" s="7"/>
      <c r="O314" s="6"/>
      <c r="P314" s="6"/>
      <c r="Q314" s="6"/>
      <c r="R314" s="6"/>
      <c r="S314" s="6"/>
      <c r="V314" s="7"/>
      <c r="W314" s="7"/>
      <c r="Z314" s="1"/>
      <c r="AB314"/>
      <c r="AC314"/>
      <c r="AD314"/>
      <c r="AE314"/>
      <c r="AF314"/>
      <c r="AG314"/>
      <c r="AJ314"/>
      <c r="AK314"/>
      <c r="AL314"/>
      <c r="AM314"/>
      <c r="AN314"/>
      <c r="AS314"/>
      <c r="AT314"/>
      <c r="AU314"/>
      <c r="AV314"/>
      <c r="AW314"/>
      <c r="AX314"/>
      <c r="AY314"/>
      <c r="AZ314"/>
      <c r="BA314"/>
      <c r="BB314"/>
      <c r="BC314"/>
      <c r="BD314"/>
    </row>
    <row r="315" spans="3:56" x14ac:dyDescent="0.25">
      <c r="C315"/>
      <c r="D315" s="7"/>
      <c r="E315" s="7"/>
      <c r="F315" s="7"/>
      <c r="G315" s="7"/>
      <c r="H315" s="7"/>
      <c r="I315" s="7"/>
      <c r="J315" s="7"/>
      <c r="K315" s="7"/>
      <c r="M315" s="7"/>
      <c r="O315" s="6"/>
      <c r="P315" s="6"/>
      <c r="Q315" s="6"/>
      <c r="R315" s="6"/>
      <c r="S315" s="6"/>
      <c r="V315" s="7"/>
      <c r="W315" s="7"/>
      <c r="Z315" s="1"/>
      <c r="AB315"/>
      <c r="AC315"/>
      <c r="AD315"/>
      <c r="AE315"/>
      <c r="AF315"/>
      <c r="AG315"/>
      <c r="AJ315"/>
      <c r="AK315"/>
      <c r="AL315"/>
      <c r="AM315"/>
      <c r="AN315"/>
      <c r="AS315"/>
      <c r="AT315"/>
      <c r="AU315"/>
      <c r="AV315"/>
      <c r="AW315"/>
      <c r="AX315"/>
      <c r="AY315"/>
      <c r="AZ315"/>
      <c r="BA315"/>
      <c r="BB315"/>
      <c r="BC315"/>
      <c r="BD315"/>
    </row>
    <row r="316" spans="3:56" x14ac:dyDescent="0.25">
      <c r="C316"/>
      <c r="D316" s="7"/>
      <c r="E316" s="7"/>
      <c r="F316" s="7"/>
      <c r="G316" s="7"/>
      <c r="H316" s="7"/>
      <c r="I316" s="7"/>
      <c r="J316" s="7"/>
      <c r="K316" s="7"/>
      <c r="M316" s="7"/>
      <c r="O316" s="6"/>
      <c r="P316" s="6"/>
      <c r="Q316" s="6"/>
      <c r="R316" s="6"/>
      <c r="S316" s="6"/>
      <c r="V316" s="7"/>
      <c r="W316" s="7"/>
      <c r="Z316" s="1"/>
      <c r="AB316"/>
      <c r="AC316"/>
      <c r="AD316"/>
      <c r="AE316"/>
      <c r="AF316"/>
      <c r="AG316"/>
      <c r="AJ316"/>
      <c r="AK316"/>
      <c r="AL316"/>
      <c r="AM316"/>
      <c r="AN316"/>
      <c r="AS316"/>
      <c r="AT316"/>
      <c r="AU316"/>
      <c r="AV316"/>
      <c r="AW316"/>
      <c r="AX316"/>
      <c r="AY316"/>
      <c r="AZ316"/>
      <c r="BA316"/>
      <c r="BB316"/>
      <c r="BC316"/>
      <c r="BD316"/>
    </row>
    <row r="317" spans="3:56" x14ac:dyDescent="0.25">
      <c r="C317"/>
      <c r="D317" s="7"/>
      <c r="E317" s="7"/>
      <c r="F317" s="7"/>
      <c r="G317" s="7"/>
      <c r="H317" s="7"/>
      <c r="I317" s="7"/>
      <c r="J317" s="7"/>
      <c r="K317" s="7"/>
      <c r="M317" s="7"/>
      <c r="O317" s="6"/>
      <c r="P317" s="6"/>
      <c r="Q317" s="6"/>
      <c r="R317" s="6"/>
      <c r="S317" s="6"/>
      <c r="V317" s="7"/>
      <c r="W317" s="7"/>
      <c r="Z317" s="1"/>
      <c r="AB317"/>
      <c r="AC317"/>
      <c r="AD317"/>
      <c r="AE317"/>
      <c r="AF317"/>
      <c r="AG317"/>
      <c r="AJ317"/>
      <c r="AK317"/>
      <c r="AL317"/>
      <c r="AM317"/>
      <c r="AN317"/>
      <c r="AS317"/>
      <c r="AT317"/>
      <c r="AU317"/>
      <c r="AV317"/>
      <c r="AW317"/>
      <c r="AX317"/>
      <c r="AY317"/>
      <c r="AZ317"/>
      <c r="BA317"/>
      <c r="BB317"/>
      <c r="BC317"/>
      <c r="BD317"/>
    </row>
    <row r="318" spans="3:56" x14ac:dyDescent="0.25">
      <c r="C318"/>
      <c r="D318" s="7"/>
      <c r="E318" s="7"/>
      <c r="F318" s="7"/>
      <c r="G318" s="7"/>
      <c r="H318" s="7"/>
      <c r="I318" s="7"/>
      <c r="J318" s="7"/>
      <c r="K318" s="7"/>
      <c r="M318" s="7"/>
      <c r="O318" s="6"/>
      <c r="P318" s="6"/>
      <c r="Q318" s="6"/>
      <c r="R318" s="6"/>
      <c r="S318" s="6"/>
      <c r="V318" s="7"/>
      <c r="W318" s="7"/>
      <c r="Z318" s="1"/>
      <c r="AB318"/>
      <c r="AC318"/>
      <c r="AD318"/>
      <c r="AE318"/>
      <c r="AF318"/>
      <c r="AG318"/>
      <c r="AJ318"/>
      <c r="AK318"/>
      <c r="AL318"/>
      <c r="AM318"/>
      <c r="AN318"/>
      <c r="AS318"/>
      <c r="AT318"/>
      <c r="AU318"/>
      <c r="AV318"/>
      <c r="AW318"/>
      <c r="AX318"/>
      <c r="AY318"/>
      <c r="AZ318"/>
      <c r="BA318"/>
      <c r="BB318"/>
      <c r="BC318"/>
      <c r="BD318"/>
    </row>
    <row r="319" spans="3:56" x14ac:dyDescent="0.25">
      <c r="C319"/>
      <c r="D319" s="7"/>
      <c r="E319" s="7"/>
      <c r="F319" s="7"/>
      <c r="G319" s="7"/>
      <c r="H319" s="7"/>
      <c r="I319" s="7"/>
      <c r="J319" s="7"/>
      <c r="K319" s="7"/>
      <c r="M319" s="7"/>
      <c r="O319" s="6"/>
      <c r="P319" s="6"/>
      <c r="Q319" s="6"/>
      <c r="R319" s="6"/>
      <c r="S319" s="6"/>
      <c r="V319" s="7"/>
      <c r="W319" s="7"/>
      <c r="Z319" s="1"/>
      <c r="AB319"/>
      <c r="AC319"/>
      <c r="AD319"/>
      <c r="AE319"/>
      <c r="AF319"/>
      <c r="AG319"/>
      <c r="AJ319"/>
      <c r="AK319"/>
      <c r="AL319"/>
      <c r="AM319"/>
      <c r="AN319"/>
      <c r="AS319"/>
      <c r="AT319"/>
      <c r="AU319"/>
      <c r="AV319"/>
      <c r="AW319"/>
      <c r="AX319"/>
      <c r="AY319"/>
      <c r="AZ319"/>
      <c r="BA319"/>
      <c r="BB319"/>
      <c r="BC319"/>
      <c r="BD319"/>
    </row>
    <row r="320" spans="3:56" x14ac:dyDescent="0.25">
      <c r="C320"/>
      <c r="D320" s="7"/>
      <c r="E320" s="7"/>
      <c r="F320" s="7"/>
      <c r="G320" s="7"/>
      <c r="H320" s="7"/>
      <c r="I320" s="7"/>
      <c r="J320" s="7"/>
      <c r="K320" s="7"/>
      <c r="M320" s="7"/>
      <c r="O320" s="6"/>
      <c r="P320" s="6"/>
      <c r="Q320" s="6"/>
      <c r="R320" s="6"/>
      <c r="S320" s="6"/>
      <c r="V320" s="7"/>
      <c r="W320" s="7"/>
      <c r="Z320" s="1"/>
      <c r="AB320"/>
      <c r="AC320"/>
      <c r="AD320"/>
      <c r="AE320"/>
      <c r="AF320"/>
      <c r="AG320"/>
      <c r="AJ320"/>
      <c r="AK320"/>
      <c r="AL320"/>
      <c r="AM320"/>
      <c r="AN320"/>
      <c r="AS320"/>
      <c r="AT320"/>
      <c r="AU320"/>
      <c r="AV320"/>
      <c r="AW320"/>
      <c r="AX320"/>
      <c r="AY320"/>
      <c r="AZ320"/>
      <c r="BA320"/>
      <c r="BB320"/>
      <c r="BC320"/>
      <c r="BD320"/>
    </row>
    <row r="321" spans="3:56" x14ac:dyDescent="0.25">
      <c r="C321"/>
      <c r="D321" s="7"/>
      <c r="E321" s="7"/>
      <c r="F321" s="7"/>
      <c r="G321" s="7"/>
      <c r="H321" s="7"/>
      <c r="I321" s="7"/>
      <c r="J321" s="7"/>
      <c r="K321" s="7"/>
      <c r="M321" s="7"/>
      <c r="O321" s="6"/>
      <c r="P321" s="6"/>
      <c r="Q321" s="6"/>
      <c r="R321" s="6"/>
      <c r="S321" s="6"/>
      <c r="V321" s="7"/>
      <c r="W321" s="7"/>
      <c r="Z321" s="1"/>
      <c r="AB321"/>
      <c r="AC321"/>
      <c r="AD321"/>
      <c r="AE321"/>
      <c r="AF321"/>
      <c r="AG321"/>
      <c r="AJ321"/>
      <c r="AK321"/>
      <c r="AL321"/>
      <c r="AM321"/>
      <c r="AN321"/>
      <c r="AS321"/>
      <c r="AT321"/>
      <c r="AU321"/>
      <c r="AV321"/>
      <c r="AW321"/>
      <c r="AX321"/>
      <c r="AY321"/>
      <c r="AZ321"/>
      <c r="BA321"/>
      <c r="BB321"/>
      <c r="BC321"/>
      <c r="BD321"/>
    </row>
    <row r="322" spans="3:56" x14ac:dyDescent="0.25">
      <c r="C322"/>
      <c r="D322" s="7"/>
      <c r="E322" s="7"/>
      <c r="F322" s="7"/>
      <c r="G322" s="7"/>
      <c r="H322" s="7"/>
      <c r="I322" s="7"/>
      <c r="J322" s="7"/>
      <c r="K322" s="7"/>
      <c r="M322" s="7"/>
      <c r="O322" s="6"/>
      <c r="P322" s="6"/>
      <c r="Q322" s="6"/>
      <c r="R322" s="6"/>
      <c r="S322" s="6"/>
      <c r="V322" s="7"/>
      <c r="W322" s="7"/>
      <c r="Z322" s="1"/>
      <c r="AB322"/>
      <c r="AC322"/>
      <c r="AD322"/>
      <c r="AE322"/>
      <c r="AF322"/>
      <c r="AG322"/>
      <c r="AJ322"/>
      <c r="AK322"/>
      <c r="AL322"/>
      <c r="AM322"/>
      <c r="AN322"/>
      <c r="AS322"/>
      <c r="AT322"/>
      <c r="AU322"/>
      <c r="AV322"/>
      <c r="AW322"/>
      <c r="AX322"/>
      <c r="AY322"/>
      <c r="AZ322"/>
      <c r="BA322"/>
      <c r="BB322"/>
      <c r="BC322"/>
      <c r="BD322"/>
    </row>
    <row r="323" spans="3:56" x14ac:dyDescent="0.25">
      <c r="C323"/>
      <c r="D323" s="7"/>
      <c r="E323" s="7"/>
      <c r="F323" s="7"/>
      <c r="G323" s="7"/>
      <c r="H323" s="7"/>
      <c r="I323" s="7"/>
      <c r="J323" s="7"/>
      <c r="K323" s="7"/>
      <c r="M323" s="7"/>
      <c r="O323" s="6"/>
      <c r="P323" s="6"/>
      <c r="Q323" s="6"/>
      <c r="R323" s="6"/>
      <c r="S323" s="6"/>
      <c r="V323" s="7"/>
      <c r="W323" s="7"/>
      <c r="Z323" s="1"/>
      <c r="AB323"/>
      <c r="AC323"/>
      <c r="AD323"/>
      <c r="AE323"/>
      <c r="AF323"/>
      <c r="AG323"/>
      <c r="AJ323"/>
      <c r="AK323"/>
      <c r="AL323"/>
      <c r="AM323"/>
      <c r="AN323"/>
      <c r="AS323"/>
      <c r="AT323"/>
      <c r="AU323"/>
      <c r="AV323"/>
      <c r="AW323"/>
      <c r="AX323"/>
      <c r="AY323"/>
      <c r="AZ323"/>
      <c r="BA323"/>
      <c r="BB323"/>
      <c r="BC323"/>
      <c r="BD323"/>
    </row>
    <row r="324" spans="3:56" x14ac:dyDescent="0.25">
      <c r="C324"/>
      <c r="D324" s="7"/>
      <c r="E324" s="7"/>
      <c r="F324" s="7"/>
      <c r="G324" s="7"/>
      <c r="H324" s="7"/>
      <c r="I324" s="7"/>
      <c r="J324" s="7"/>
      <c r="K324" s="7"/>
      <c r="M324" s="7"/>
      <c r="O324" s="6"/>
      <c r="P324" s="6"/>
      <c r="Q324" s="6"/>
      <c r="R324" s="6"/>
      <c r="S324" s="6"/>
      <c r="V324" s="7"/>
      <c r="W324" s="7"/>
      <c r="Z324" s="1"/>
      <c r="AB324"/>
      <c r="AC324"/>
      <c r="AD324"/>
      <c r="AE324"/>
      <c r="AF324"/>
      <c r="AG324"/>
      <c r="AJ324"/>
      <c r="AK324"/>
      <c r="AL324"/>
      <c r="AM324"/>
      <c r="AN324"/>
      <c r="AS324"/>
      <c r="AT324"/>
      <c r="AU324"/>
      <c r="AV324"/>
      <c r="AW324"/>
      <c r="AX324"/>
      <c r="AY324"/>
      <c r="AZ324"/>
      <c r="BA324"/>
      <c r="BB324"/>
      <c r="BC324"/>
      <c r="BD324"/>
    </row>
    <row r="325" spans="3:56" x14ac:dyDescent="0.25">
      <c r="C325"/>
      <c r="D325" s="7"/>
      <c r="E325" s="7"/>
      <c r="F325" s="7"/>
      <c r="G325" s="7"/>
      <c r="H325" s="7"/>
      <c r="I325" s="7"/>
      <c r="J325" s="7"/>
      <c r="K325" s="7"/>
      <c r="M325" s="7"/>
      <c r="O325" s="6"/>
      <c r="P325" s="6"/>
      <c r="Q325" s="6"/>
      <c r="R325" s="6"/>
      <c r="S325" s="6"/>
      <c r="V325" s="7"/>
      <c r="W325" s="7"/>
      <c r="Z325" s="1"/>
      <c r="AB325"/>
      <c r="AC325"/>
      <c r="AD325"/>
      <c r="AE325"/>
      <c r="AF325"/>
      <c r="AG325"/>
      <c r="AJ325"/>
      <c r="AK325"/>
      <c r="AL325"/>
      <c r="AM325"/>
      <c r="AN325"/>
      <c r="AS325"/>
      <c r="AT325"/>
      <c r="AU325"/>
      <c r="AV325"/>
      <c r="AW325"/>
      <c r="AX325"/>
      <c r="AY325"/>
      <c r="AZ325"/>
      <c r="BA325"/>
      <c r="BB325"/>
      <c r="BC325"/>
      <c r="BD325"/>
    </row>
    <row r="326" spans="3:56" x14ac:dyDescent="0.25">
      <c r="C326"/>
      <c r="D326" s="7"/>
      <c r="E326" s="7"/>
      <c r="F326" s="7"/>
      <c r="G326" s="7"/>
      <c r="H326" s="7"/>
      <c r="I326" s="7"/>
      <c r="J326" s="7"/>
      <c r="K326" s="7"/>
      <c r="M326" s="7"/>
      <c r="O326" s="6"/>
      <c r="P326" s="6"/>
      <c r="Q326" s="6"/>
      <c r="R326" s="6"/>
      <c r="S326" s="6"/>
      <c r="V326" s="7"/>
      <c r="W326" s="7"/>
      <c r="Z326" s="1"/>
      <c r="AB326"/>
      <c r="AC326"/>
      <c r="AD326"/>
      <c r="AE326"/>
      <c r="AF326"/>
      <c r="AG326"/>
      <c r="AJ326"/>
      <c r="AK326"/>
      <c r="AL326"/>
      <c r="AM326"/>
      <c r="AN326"/>
      <c r="AS326"/>
      <c r="AT326"/>
      <c r="AU326"/>
      <c r="AV326"/>
      <c r="AW326"/>
      <c r="AX326"/>
      <c r="AY326"/>
      <c r="AZ326"/>
      <c r="BA326"/>
      <c r="BB326"/>
      <c r="BC326"/>
      <c r="BD326"/>
    </row>
    <row r="327" spans="3:56" x14ac:dyDescent="0.25">
      <c r="C327"/>
      <c r="D327" s="7"/>
      <c r="E327" s="7"/>
      <c r="F327" s="7"/>
      <c r="G327" s="7"/>
      <c r="H327" s="7"/>
      <c r="I327" s="7"/>
      <c r="J327" s="7"/>
      <c r="K327" s="7"/>
      <c r="M327" s="7"/>
      <c r="O327" s="6"/>
      <c r="P327" s="6"/>
      <c r="Q327" s="6"/>
      <c r="R327" s="6"/>
      <c r="S327" s="6"/>
      <c r="V327" s="7"/>
      <c r="W327" s="7"/>
      <c r="Z327" s="1"/>
      <c r="AB327"/>
      <c r="AC327"/>
      <c r="AD327"/>
      <c r="AE327"/>
      <c r="AF327"/>
      <c r="AG327"/>
      <c r="AJ327"/>
      <c r="AK327"/>
      <c r="AL327"/>
      <c r="AM327"/>
      <c r="AN327"/>
      <c r="AS327"/>
      <c r="AT327"/>
      <c r="AU327"/>
      <c r="AV327"/>
      <c r="AW327"/>
      <c r="AX327"/>
      <c r="AY327"/>
      <c r="AZ327"/>
      <c r="BA327"/>
      <c r="BB327"/>
      <c r="BC327"/>
      <c r="BD327"/>
    </row>
    <row r="328" spans="3:56" x14ac:dyDescent="0.25">
      <c r="C328"/>
      <c r="D328" s="7"/>
      <c r="E328" s="7"/>
      <c r="F328" s="7"/>
      <c r="G328" s="7"/>
      <c r="H328" s="7"/>
      <c r="I328" s="7"/>
      <c r="J328" s="7"/>
      <c r="K328" s="7"/>
      <c r="M328" s="7"/>
      <c r="O328" s="6"/>
      <c r="P328" s="6"/>
      <c r="Q328" s="6"/>
      <c r="R328" s="6"/>
      <c r="S328" s="6"/>
      <c r="V328" s="7"/>
      <c r="W328" s="7"/>
      <c r="Z328" s="1"/>
      <c r="AB328"/>
      <c r="AC328"/>
      <c r="AD328"/>
      <c r="AE328"/>
      <c r="AF328"/>
      <c r="AG328"/>
      <c r="AJ328"/>
      <c r="AK328"/>
      <c r="AL328"/>
      <c r="AM328"/>
      <c r="AN328"/>
      <c r="AS328"/>
      <c r="AT328"/>
      <c r="AU328"/>
      <c r="AV328"/>
      <c r="AW328"/>
      <c r="AX328"/>
      <c r="AY328"/>
      <c r="AZ328"/>
      <c r="BA328"/>
      <c r="BB328"/>
      <c r="BC328"/>
      <c r="BD328"/>
    </row>
    <row r="329" spans="3:56" x14ac:dyDescent="0.25">
      <c r="C329"/>
      <c r="D329" s="7"/>
      <c r="E329" s="7"/>
      <c r="F329" s="7"/>
      <c r="G329" s="7"/>
      <c r="H329" s="7"/>
      <c r="I329" s="7"/>
      <c r="J329" s="7"/>
      <c r="K329" s="7"/>
      <c r="M329" s="7"/>
      <c r="O329" s="6"/>
      <c r="P329" s="6"/>
      <c r="Q329" s="6"/>
      <c r="R329" s="6"/>
      <c r="S329" s="6"/>
      <c r="V329" s="7"/>
      <c r="W329" s="7"/>
      <c r="Z329" s="1"/>
      <c r="AB329"/>
      <c r="AC329"/>
      <c r="AD329"/>
      <c r="AE329"/>
      <c r="AF329"/>
      <c r="AG329"/>
      <c r="AJ329"/>
      <c r="AK329"/>
      <c r="AL329"/>
      <c r="AM329"/>
      <c r="AN329"/>
      <c r="AS329"/>
      <c r="AT329"/>
      <c r="AU329"/>
      <c r="AV329"/>
      <c r="AW329"/>
      <c r="AX329"/>
      <c r="AY329"/>
      <c r="AZ329"/>
      <c r="BA329"/>
      <c r="BB329"/>
      <c r="BC329"/>
      <c r="BD329"/>
    </row>
    <row r="330" spans="3:56" x14ac:dyDescent="0.25">
      <c r="C330"/>
      <c r="D330" s="7"/>
      <c r="E330" s="7"/>
      <c r="F330" s="7"/>
      <c r="G330" s="7"/>
      <c r="H330" s="7"/>
      <c r="I330" s="7"/>
      <c r="J330" s="7"/>
      <c r="K330" s="7"/>
      <c r="M330" s="7"/>
      <c r="O330" s="6"/>
      <c r="P330" s="6"/>
      <c r="Q330" s="6"/>
      <c r="R330" s="6"/>
      <c r="S330" s="6"/>
      <c r="V330" s="7"/>
      <c r="W330" s="7"/>
      <c r="Z330" s="1"/>
      <c r="AB330"/>
      <c r="AC330"/>
      <c r="AD330"/>
      <c r="AE330"/>
      <c r="AF330"/>
      <c r="AG330"/>
      <c r="AJ330"/>
      <c r="AK330"/>
      <c r="AL330"/>
      <c r="AM330"/>
      <c r="AN330"/>
      <c r="AS330"/>
      <c r="AT330"/>
      <c r="AU330"/>
      <c r="AV330"/>
      <c r="AW330"/>
      <c r="AX330"/>
      <c r="AY330"/>
      <c r="AZ330"/>
      <c r="BA330"/>
      <c r="BB330"/>
      <c r="BC330"/>
      <c r="BD330"/>
    </row>
    <row r="331" spans="3:56" x14ac:dyDescent="0.25">
      <c r="C331"/>
      <c r="D331" s="7"/>
      <c r="E331" s="7"/>
      <c r="F331" s="7"/>
      <c r="G331" s="7"/>
      <c r="H331" s="7"/>
      <c r="I331" s="7"/>
      <c r="J331" s="7"/>
      <c r="K331" s="7"/>
      <c r="M331" s="7"/>
      <c r="O331" s="6"/>
      <c r="P331" s="6"/>
      <c r="Q331" s="6"/>
      <c r="R331" s="6"/>
      <c r="S331" s="6"/>
      <c r="V331" s="7"/>
      <c r="W331" s="7"/>
      <c r="Z331" s="1"/>
      <c r="AB331"/>
      <c r="AC331"/>
      <c r="AD331"/>
      <c r="AE331"/>
      <c r="AF331"/>
      <c r="AG331"/>
      <c r="AJ331"/>
      <c r="AK331"/>
      <c r="AL331"/>
      <c r="AM331"/>
      <c r="AN331"/>
      <c r="AS331"/>
      <c r="AT331"/>
      <c r="AU331"/>
      <c r="AV331"/>
      <c r="AW331"/>
      <c r="AX331"/>
      <c r="AY331"/>
      <c r="AZ331"/>
      <c r="BA331"/>
      <c r="BB331"/>
      <c r="BC331"/>
      <c r="BD331"/>
    </row>
    <row r="332" spans="3:56" x14ac:dyDescent="0.25">
      <c r="C332"/>
      <c r="D332" s="7"/>
      <c r="E332" s="7"/>
      <c r="F332" s="7"/>
      <c r="G332" s="7"/>
      <c r="H332" s="7"/>
      <c r="I332" s="7"/>
      <c r="J332" s="7"/>
      <c r="K332" s="7"/>
      <c r="M332" s="7"/>
      <c r="O332" s="6"/>
      <c r="P332" s="6"/>
      <c r="Q332" s="6"/>
      <c r="R332" s="6"/>
      <c r="S332" s="6"/>
      <c r="V332" s="7"/>
      <c r="W332" s="7"/>
      <c r="Z332" s="1"/>
      <c r="AB332"/>
      <c r="AC332"/>
      <c r="AD332"/>
      <c r="AE332"/>
      <c r="AF332"/>
      <c r="AG332"/>
      <c r="AJ332"/>
      <c r="AK332"/>
      <c r="AL332"/>
      <c r="AM332"/>
      <c r="AN332"/>
      <c r="AS332"/>
      <c r="AT332"/>
      <c r="AU332"/>
      <c r="AV332"/>
      <c r="AW332"/>
      <c r="AX332"/>
      <c r="AY332"/>
      <c r="AZ332"/>
      <c r="BA332"/>
      <c r="BB332"/>
      <c r="BC332"/>
      <c r="BD332"/>
    </row>
    <row r="333" spans="3:56" x14ac:dyDescent="0.25">
      <c r="C333"/>
      <c r="D333" s="7"/>
      <c r="E333" s="7"/>
      <c r="F333" s="7"/>
      <c r="G333" s="7"/>
      <c r="H333" s="7"/>
      <c r="I333" s="7"/>
      <c r="J333" s="7"/>
      <c r="K333" s="7"/>
      <c r="M333" s="7"/>
      <c r="O333" s="6"/>
      <c r="P333" s="6"/>
      <c r="Q333" s="6"/>
      <c r="R333" s="6"/>
      <c r="S333" s="6"/>
      <c r="V333" s="7"/>
      <c r="W333" s="7"/>
      <c r="Z333" s="1"/>
      <c r="AB333"/>
      <c r="AC333"/>
      <c r="AD333"/>
      <c r="AE333"/>
      <c r="AF333"/>
      <c r="AG333"/>
      <c r="AJ333"/>
      <c r="AK333"/>
      <c r="AL333"/>
      <c r="AM333"/>
      <c r="AN333"/>
      <c r="AS333"/>
      <c r="AT333"/>
      <c r="AU333"/>
      <c r="AV333"/>
      <c r="AW333"/>
      <c r="AX333"/>
      <c r="AY333"/>
      <c r="AZ333"/>
      <c r="BA333"/>
      <c r="BB333"/>
      <c r="BC333"/>
      <c r="BD333"/>
    </row>
    <row r="334" spans="3:56" x14ac:dyDescent="0.25">
      <c r="C334"/>
      <c r="D334" s="7"/>
      <c r="E334" s="7"/>
      <c r="F334" s="7"/>
      <c r="G334" s="7"/>
      <c r="H334" s="7"/>
      <c r="I334" s="7"/>
      <c r="J334" s="7"/>
      <c r="K334" s="7"/>
      <c r="M334" s="7"/>
      <c r="O334" s="6"/>
      <c r="P334" s="6"/>
      <c r="Q334" s="6"/>
      <c r="R334" s="6"/>
      <c r="S334" s="6"/>
      <c r="V334" s="7"/>
      <c r="W334" s="7"/>
      <c r="Z334" s="1"/>
      <c r="AB334"/>
      <c r="AC334"/>
      <c r="AD334"/>
      <c r="AE334"/>
      <c r="AF334"/>
      <c r="AG334"/>
      <c r="AJ334"/>
      <c r="AK334"/>
      <c r="AL334"/>
      <c r="AM334"/>
      <c r="AN334"/>
      <c r="AS334"/>
      <c r="AT334"/>
      <c r="AU334"/>
      <c r="AV334"/>
      <c r="AW334"/>
      <c r="AX334"/>
      <c r="AY334"/>
      <c r="AZ334"/>
      <c r="BA334"/>
      <c r="BB334"/>
      <c r="BC334"/>
      <c r="BD334"/>
    </row>
    <row r="335" spans="3:56" x14ac:dyDescent="0.25">
      <c r="C335"/>
      <c r="D335" s="7"/>
      <c r="E335" s="7"/>
      <c r="F335" s="7"/>
      <c r="G335" s="7"/>
      <c r="H335" s="7"/>
      <c r="I335" s="7"/>
      <c r="J335" s="7"/>
      <c r="K335" s="7"/>
      <c r="M335" s="7"/>
      <c r="O335" s="6"/>
      <c r="P335" s="6"/>
      <c r="Q335" s="6"/>
      <c r="R335" s="6"/>
      <c r="S335" s="6"/>
      <c r="V335" s="7"/>
      <c r="W335" s="7"/>
      <c r="Z335" s="1"/>
      <c r="AB335"/>
      <c r="AC335"/>
      <c r="AD335"/>
      <c r="AE335"/>
      <c r="AF335"/>
      <c r="AG335"/>
      <c r="AJ335"/>
      <c r="AK335"/>
      <c r="AL335"/>
      <c r="AM335"/>
      <c r="AN335"/>
      <c r="AS335"/>
      <c r="AT335"/>
      <c r="AU335"/>
      <c r="AV335"/>
      <c r="AW335"/>
      <c r="AX335"/>
      <c r="AY335"/>
      <c r="AZ335"/>
      <c r="BA335"/>
      <c r="BB335"/>
      <c r="BC335"/>
      <c r="BD335"/>
    </row>
    <row r="336" spans="3:56" x14ac:dyDescent="0.25">
      <c r="C336"/>
      <c r="D336" s="7"/>
      <c r="E336" s="7"/>
      <c r="F336" s="7"/>
      <c r="G336" s="7"/>
      <c r="H336" s="7"/>
      <c r="I336" s="7"/>
      <c r="J336" s="7"/>
      <c r="K336" s="7"/>
      <c r="M336" s="7"/>
      <c r="O336" s="6"/>
      <c r="P336" s="6"/>
      <c r="Q336" s="6"/>
      <c r="R336" s="6"/>
      <c r="S336" s="6"/>
      <c r="V336" s="7"/>
      <c r="W336" s="7"/>
      <c r="Z336" s="1"/>
      <c r="AB336"/>
      <c r="AC336"/>
      <c r="AD336"/>
      <c r="AE336"/>
      <c r="AF336"/>
      <c r="AG336"/>
      <c r="AJ336"/>
      <c r="AK336"/>
      <c r="AL336"/>
      <c r="AM336"/>
      <c r="AN336"/>
      <c r="AS336"/>
      <c r="AT336"/>
      <c r="AU336"/>
      <c r="AV336"/>
      <c r="AW336"/>
      <c r="AX336"/>
      <c r="AY336"/>
      <c r="AZ336"/>
      <c r="BA336"/>
      <c r="BB336"/>
      <c r="BC336"/>
      <c r="BD336"/>
    </row>
    <row r="337" spans="3:56" x14ac:dyDescent="0.25">
      <c r="C337"/>
      <c r="D337" s="7"/>
      <c r="E337" s="7"/>
      <c r="F337" s="7"/>
      <c r="G337" s="7"/>
      <c r="H337" s="7"/>
      <c r="I337" s="7"/>
      <c r="J337" s="7"/>
      <c r="K337" s="7"/>
      <c r="M337" s="7"/>
      <c r="O337" s="6"/>
      <c r="P337" s="6"/>
      <c r="Q337" s="6"/>
      <c r="R337" s="6"/>
      <c r="S337" s="6"/>
      <c r="V337" s="7"/>
      <c r="W337" s="7"/>
      <c r="Z337" s="1"/>
      <c r="AB337"/>
      <c r="AC337"/>
      <c r="AD337"/>
      <c r="AE337"/>
      <c r="AF337"/>
      <c r="AG337"/>
      <c r="AJ337"/>
      <c r="AK337"/>
      <c r="AL337"/>
      <c r="AM337"/>
      <c r="AN337"/>
      <c r="AS337"/>
      <c r="AT337"/>
      <c r="AU337"/>
      <c r="AV337"/>
      <c r="AW337"/>
      <c r="AX337"/>
      <c r="AY337"/>
      <c r="AZ337"/>
      <c r="BA337"/>
      <c r="BB337"/>
      <c r="BC337"/>
      <c r="BD337"/>
    </row>
    <row r="338" spans="3:56" x14ac:dyDescent="0.25">
      <c r="C338"/>
      <c r="D338" s="7"/>
      <c r="E338" s="7"/>
      <c r="F338" s="7"/>
      <c r="G338" s="7"/>
      <c r="H338" s="7"/>
      <c r="I338" s="7"/>
      <c r="J338" s="7"/>
      <c r="K338" s="7"/>
      <c r="M338" s="7"/>
      <c r="O338" s="6"/>
      <c r="P338" s="6"/>
      <c r="Q338" s="6"/>
      <c r="R338" s="6"/>
      <c r="S338" s="6"/>
      <c r="V338" s="7"/>
      <c r="W338" s="7"/>
      <c r="Z338" s="1"/>
      <c r="AB338"/>
      <c r="AC338"/>
      <c r="AD338"/>
      <c r="AE338"/>
      <c r="AF338"/>
      <c r="AG338"/>
      <c r="AJ338"/>
      <c r="AK338"/>
      <c r="AL338"/>
      <c r="AM338"/>
      <c r="AN338"/>
      <c r="AS338"/>
      <c r="AT338"/>
      <c r="AU338"/>
      <c r="AV338"/>
      <c r="AW338"/>
      <c r="AX338"/>
      <c r="AY338"/>
      <c r="AZ338"/>
      <c r="BA338"/>
      <c r="BB338"/>
      <c r="BC338"/>
      <c r="BD338"/>
    </row>
    <row r="339" spans="3:56" x14ac:dyDescent="0.25">
      <c r="C339"/>
      <c r="D339" s="7"/>
      <c r="E339" s="7"/>
      <c r="F339" s="7"/>
      <c r="G339" s="7"/>
      <c r="H339" s="7"/>
      <c r="I339" s="7"/>
      <c r="J339" s="7"/>
      <c r="K339" s="7"/>
      <c r="M339" s="7"/>
      <c r="O339" s="6"/>
      <c r="P339" s="6"/>
      <c r="Q339" s="6"/>
      <c r="R339" s="6"/>
      <c r="S339" s="6"/>
      <c r="V339" s="7"/>
      <c r="W339" s="7"/>
      <c r="Z339" s="1"/>
      <c r="AB339"/>
      <c r="AC339"/>
      <c r="AD339"/>
      <c r="AE339"/>
      <c r="AF339"/>
      <c r="AG339"/>
      <c r="AJ339"/>
      <c r="AK339"/>
      <c r="AL339"/>
      <c r="AM339"/>
      <c r="AN339"/>
      <c r="AS339"/>
      <c r="AT339"/>
      <c r="AU339"/>
      <c r="AV339"/>
      <c r="AW339"/>
      <c r="AX339"/>
      <c r="AY339"/>
      <c r="AZ339"/>
      <c r="BA339"/>
      <c r="BB339"/>
      <c r="BC339"/>
      <c r="BD339"/>
    </row>
    <row r="340" spans="3:56" x14ac:dyDescent="0.25">
      <c r="C340"/>
      <c r="D340" s="7"/>
      <c r="E340" s="7"/>
      <c r="F340" s="7"/>
      <c r="G340" s="7"/>
      <c r="H340" s="7"/>
      <c r="I340" s="7"/>
      <c r="J340" s="7"/>
      <c r="K340" s="7"/>
      <c r="M340" s="7"/>
      <c r="O340" s="6"/>
      <c r="P340" s="6"/>
      <c r="Q340" s="6"/>
      <c r="R340" s="6"/>
      <c r="S340" s="6"/>
      <c r="V340" s="7"/>
      <c r="W340" s="7"/>
      <c r="Z340" s="1"/>
      <c r="AB340"/>
      <c r="AC340"/>
      <c r="AD340"/>
      <c r="AE340"/>
      <c r="AF340"/>
      <c r="AG340"/>
      <c r="AJ340"/>
      <c r="AK340"/>
      <c r="AL340"/>
      <c r="AM340"/>
      <c r="AN340"/>
      <c r="AS340"/>
      <c r="AT340"/>
      <c r="AU340"/>
      <c r="AV340"/>
      <c r="AW340"/>
      <c r="AX340"/>
      <c r="AY340"/>
      <c r="AZ340"/>
      <c r="BA340"/>
      <c r="BB340"/>
      <c r="BC340"/>
      <c r="BD340"/>
    </row>
    <row r="341" spans="3:56" x14ac:dyDescent="0.25">
      <c r="C341"/>
      <c r="D341" s="7"/>
      <c r="E341" s="7"/>
      <c r="F341" s="7"/>
      <c r="G341" s="7"/>
      <c r="H341" s="7"/>
      <c r="I341" s="7"/>
      <c r="J341" s="7"/>
      <c r="K341" s="7"/>
      <c r="M341" s="7"/>
      <c r="O341" s="6"/>
      <c r="P341" s="6"/>
      <c r="Q341" s="6"/>
      <c r="R341" s="6"/>
      <c r="S341" s="6"/>
      <c r="V341" s="7"/>
      <c r="W341" s="7"/>
      <c r="Z341" s="1"/>
      <c r="AB341"/>
      <c r="AC341"/>
      <c r="AD341"/>
      <c r="AE341"/>
      <c r="AF341"/>
      <c r="AG341"/>
      <c r="AJ341"/>
      <c r="AK341"/>
      <c r="AL341"/>
      <c r="AM341"/>
      <c r="AN341"/>
      <c r="AS341"/>
      <c r="AT341"/>
      <c r="AU341"/>
      <c r="AV341"/>
      <c r="AW341"/>
      <c r="AX341"/>
      <c r="AY341"/>
      <c r="AZ341"/>
      <c r="BA341"/>
      <c r="BB341"/>
      <c r="BC341"/>
      <c r="BD341"/>
    </row>
    <row r="342" spans="3:56" x14ac:dyDescent="0.25">
      <c r="C342"/>
      <c r="D342" s="7"/>
      <c r="E342" s="7"/>
      <c r="F342" s="7"/>
      <c r="G342" s="7"/>
      <c r="H342" s="7"/>
      <c r="I342" s="7"/>
      <c r="J342" s="7"/>
      <c r="K342" s="7"/>
      <c r="M342" s="7"/>
      <c r="O342" s="6"/>
      <c r="P342" s="6"/>
      <c r="Q342" s="6"/>
      <c r="R342" s="6"/>
      <c r="S342" s="6"/>
      <c r="V342" s="7"/>
      <c r="W342" s="7"/>
      <c r="Z342" s="1"/>
      <c r="AB342"/>
      <c r="AC342"/>
      <c r="AD342"/>
      <c r="AE342"/>
      <c r="AF342"/>
      <c r="AG342"/>
      <c r="AJ342"/>
      <c r="AK342"/>
      <c r="AL342"/>
      <c r="AM342"/>
      <c r="AN342"/>
      <c r="AS342"/>
      <c r="AT342"/>
      <c r="AU342"/>
      <c r="AV342"/>
      <c r="AW342"/>
      <c r="AX342"/>
      <c r="AY342"/>
      <c r="AZ342"/>
      <c r="BA342"/>
      <c r="BB342"/>
      <c r="BC342"/>
      <c r="BD342"/>
    </row>
    <row r="343" spans="3:56" x14ac:dyDescent="0.25">
      <c r="C343"/>
      <c r="D343" s="7"/>
      <c r="E343" s="7"/>
      <c r="F343" s="7"/>
      <c r="G343" s="7"/>
      <c r="H343" s="7"/>
      <c r="I343" s="7"/>
      <c r="J343" s="7"/>
      <c r="K343" s="7"/>
      <c r="M343" s="7"/>
      <c r="O343" s="6"/>
      <c r="P343" s="6"/>
      <c r="Q343" s="6"/>
      <c r="R343" s="6"/>
      <c r="S343" s="6"/>
      <c r="V343" s="7"/>
      <c r="W343" s="7"/>
      <c r="Z343" s="1"/>
      <c r="AB343"/>
      <c r="AC343"/>
      <c r="AD343"/>
      <c r="AE343"/>
      <c r="AF343"/>
      <c r="AG343"/>
      <c r="AJ343"/>
      <c r="AK343"/>
      <c r="AL343"/>
      <c r="AM343"/>
      <c r="AN343"/>
      <c r="AS343"/>
      <c r="AT343"/>
      <c r="AU343"/>
      <c r="AV343"/>
      <c r="AW343"/>
      <c r="AX343"/>
      <c r="AY343"/>
      <c r="AZ343"/>
      <c r="BA343"/>
      <c r="BB343"/>
      <c r="BC343"/>
      <c r="BD343"/>
    </row>
    <row r="344" spans="3:56" x14ac:dyDescent="0.25">
      <c r="C344"/>
      <c r="D344" s="7"/>
      <c r="E344" s="7"/>
      <c r="F344" s="7"/>
      <c r="G344" s="7"/>
      <c r="H344" s="7"/>
      <c r="I344" s="7"/>
      <c r="J344" s="7"/>
      <c r="K344" s="7"/>
      <c r="M344" s="7"/>
      <c r="O344" s="6"/>
      <c r="P344" s="6"/>
      <c r="Q344" s="6"/>
      <c r="R344" s="6"/>
      <c r="S344" s="6"/>
      <c r="V344" s="7"/>
      <c r="W344" s="7"/>
      <c r="Z344" s="1"/>
      <c r="AB344"/>
      <c r="AC344"/>
      <c r="AD344"/>
      <c r="AE344"/>
      <c r="AF344"/>
      <c r="AG344"/>
      <c r="AJ344"/>
      <c r="AK344"/>
      <c r="AL344"/>
      <c r="AM344"/>
      <c r="AN344"/>
      <c r="AS344"/>
      <c r="AT344"/>
      <c r="AU344"/>
      <c r="AV344"/>
      <c r="AW344"/>
      <c r="AX344"/>
      <c r="AY344"/>
      <c r="AZ344"/>
      <c r="BA344"/>
      <c r="BB344"/>
      <c r="BC344"/>
      <c r="BD344"/>
    </row>
    <row r="345" spans="3:56" x14ac:dyDescent="0.25">
      <c r="C345"/>
      <c r="D345" s="7"/>
      <c r="E345" s="7"/>
      <c r="F345" s="7"/>
      <c r="G345" s="7"/>
      <c r="H345" s="7"/>
      <c r="I345" s="7"/>
      <c r="J345" s="7"/>
      <c r="K345" s="7"/>
      <c r="M345" s="7"/>
      <c r="O345" s="6"/>
      <c r="P345" s="6"/>
      <c r="Q345" s="6"/>
      <c r="R345" s="6"/>
      <c r="S345" s="6"/>
      <c r="V345" s="7"/>
      <c r="W345" s="7"/>
      <c r="Z345" s="1"/>
      <c r="AB345"/>
      <c r="AC345"/>
      <c r="AD345"/>
      <c r="AE345"/>
      <c r="AF345"/>
      <c r="AG345"/>
      <c r="AJ345"/>
      <c r="AK345"/>
      <c r="AL345"/>
      <c r="AM345"/>
      <c r="AN345"/>
      <c r="AS345"/>
      <c r="AT345"/>
      <c r="AU345"/>
      <c r="AV345"/>
      <c r="AW345"/>
      <c r="AX345"/>
      <c r="AY345"/>
      <c r="AZ345"/>
      <c r="BA345"/>
      <c r="BB345"/>
      <c r="BC345"/>
      <c r="BD345"/>
    </row>
    <row r="346" spans="3:56" x14ac:dyDescent="0.25">
      <c r="C346"/>
      <c r="D346" s="7"/>
      <c r="E346" s="7"/>
      <c r="F346" s="7"/>
      <c r="G346" s="7"/>
      <c r="H346" s="7"/>
      <c r="I346" s="7"/>
      <c r="J346" s="7"/>
      <c r="K346" s="7"/>
      <c r="M346" s="7"/>
      <c r="O346" s="6"/>
      <c r="P346" s="6"/>
      <c r="Q346" s="6"/>
      <c r="R346" s="6"/>
      <c r="S346" s="6"/>
      <c r="V346" s="7"/>
      <c r="W346" s="7"/>
      <c r="Z346" s="1"/>
      <c r="AB346"/>
      <c r="AC346"/>
      <c r="AD346"/>
      <c r="AE346"/>
      <c r="AF346"/>
      <c r="AG346"/>
      <c r="AJ346"/>
      <c r="AK346"/>
      <c r="AL346"/>
      <c r="AM346"/>
      <c r="AN346"/>
      <c r="AS346"/>
      <c r="AT346"/>
      <c r="AU346"/>
      <c r="AV346"/>
      <c r="AW346"/>
      <c r="AX346"/>
      <c r="AY346"/>
      <c r="AZ346"/>
      <c r="BA346"/>
      <c r="BB346"/>
      <c r="BC346"/>
      <c r="BD346"/>
    </row>
    <row r="347" spans="3:56" x14ac:dyDescent="0.25">
      <c r="C347"/>
      <c r="D347" s="7"/>
      <c r="E347" s="7"/>
      <c r="F347" s="7"/>
      <c r="G347" s="7"/>
      <c r="H347" s="7"/>
      <c r="I347" s="7"/>
      <c r="J347" s="7"/>
      <c r="K347" s="7"/>
      <c r="M347" s="7"/>
      <c r="O347" s="6"/>
      <c r="P347" s="6"/>
      <c r="Q347" s="6"/>
      <c r="R347" s="6"/>
      <c r="S347" s="6"/>
      <c r="V347" s="7"/>
      <c r="W347" s="7"/>
      <c r="Z347" s="1"/>
      <c r="AB347"/>
      <c r="AC347"/>
      <c r="AD347"/>
      <c r="AE347"/>
      <c r="AF347"/>
      <c r="AG347"/>
      <c r="AJ347"/>
      <c r="AK347"/>
      <c r="AL347"/>
      <c r="AM347"/>
      <c r="AN347"/>
      <c r="AS347"/>
      <c r="AT347"/>
      <c r="AU347"/>
      <c r="AV347"/>
      <c r="AW347"/>
      <c r="AX347"/>
      <c r="AY347"/>
      <c r="AZ347"/>
      <c r="BA347"/>
      <c r="BB347"/>
      <c r="BC347"/>
      <c r="BD347"/>
    </row>
    <row r="348" spans="3:56" x14ac:dyDescent="0.25">
      <c r="C348"/>
      <c r="D348" s="7"/>
      <c r="E348" s="7"/>
      <c r="F348" s="7"/>
      <c r="G348" s="7"/>
      <c r="H348" s="7"/>
      <c r="I348" s="7"/>
      <c r="J348" s="7"/>
      <c r="K348" s="7"/>
      <c r="M348" s="7"/>
      <c r="O348" s="6"/>
      <c r="P348" s="6"/>
      <c r="Q348" s="6"/>
      <c r="R348" s="6"/>
      <c r="S348" s="6"/>
      <c r="V348" s="7"/>
      <c r="W348" s="7"/>
      <c r="Z348" s="1"/>
      <c r="AB348"/>
      <c r="AC348"/>
      <c r="AD348"/>
      <c r="AE348"/>
      <c r="AF348"/>
      <c r="AG348"/>
      <c r="AJ348"/>
      <c r="AK348"/>
      <c r="AL348"/>
      <c r="AM348"/>
      <c r="AN348"/>
      <c r="AS348"/>
      <c r="AT348"/>
      <c r="AU348"/>
      <c r="AV348"/>
      <c r="AW348"/>
      <c r="AX348"/>
      <c r="AY348"/>
      <c r="AZ348"/>
      <c r="BA348"/>
      <c r="BB348"/>
      <c r="BC348"/>
      <c r="BD348"/>
    </row>
    <row r="349" spans="3:56" x14ac:dyDescent="0.25">
      <c r="C349"/>
      <c r="D349" s="7"/>
      <c r="E349" s="7"/>
      <c r="F349" s="7"/>
      <c r="G349" s="7"/>
      <c r="H349" s="7"/>
      <c r="I349" s="7"/>
      <c r="J349" s="7"/>
      <c r="K349" s="7"/>
      <c r="M349" s="7"/>
      <c r="O349" s="6"/>
      <c r="P349" s="6"/>
      <c r="Q349" s="6"/>
      <c r="R349" s="6"/>
      <c r="S349" s="6"/>
      <c r="V349" s="7"/>
      <c r="W349" s="7"/>
      <c r="Z349" s="1"/>
      <c r="AB349"/>
      <c r="AC349"/>
      <c r="AD349"/>
      <c r="AE349"/>
      <c r="AF349"/>
      <c r="AG349"/>
      <c r="AJ349"/>
      <c r="AK349"/>
      <c r="AL349"/>
      <c r="AM349"/>
      <c r="AN349"/>
      <c r="AS349"/>
      <c r="AT349"/>
      <c r="AU349"/>
      <c r="AV349"/>
      <c r="AW349"/>
      <c r="AX349"/>
      <c r="AY349"/>
      <c r="AZ349"/>
      <c r="BA349"/>
      <c r="BB349"/>
      <c r="BC349"/>
      <c r="BD349"/>
    </row>
    <row r="350" spans="3:56" x14ac:dyDescent="0.25">
      <c r="C350"/>
      <c r="D350" s="7"/>
      <c r="E350" s="7"/>
      <c r="F350" s="7"/>
      <c r="G350" s="7"/>
      <c r="H350" s="7"/>
      <c r="I350" s="7"/>
      <c r="J350" s="7"/>
      <c r="K350" s="7"/>
      <c r="M350" s="7"/>
      <c r="O350" s="6"/>
      <c r="P350" s="6"/>
      <c r="Q350" s="6"/>
      <c r="R350" s="6"/>
      <c r="S350" s="6"/>
      <c r="V350" s="7"/>
      <c r="W350" s="7"/>
      <c r="Z350" s="1"/>
      <c r="AB350"/>
      <c r="AC350"/>
      <c r="AD350"/>
      <c r="AE350"/>
      <c r="AF350"/>
      <c r="AG350"/>
      <c r="AJ350"/>
      <c r="AK350"/>
      <c r="AL350"/>
      <c r="AM350"/>
      <c r="AN350"/>
      <c r="AS350"/>
      <c r="AT350"/>
      <c r="AU350"/>
      <c r="AV350"/>
      <c r="AW350"/>
      <c r="AX350"/>
      <c r="AY350"/>
      <c r="AZ350"/>
      <c r="BA350"/>
      <c r="BB350"/>
      <c r="BC350"/>
      <c r="BD350"/>
    </row>
    <row r="351" spans="3:56" x14ac:dyDescent="0.25">
      <c r="C351"/>
      <c r="D351" s="7"/>
      <c r="E351" s="7"/>
      <c r="F351" s="7"/>
      <c r="G351" s="7"/>
      <c r="H351" s="7"/>
      <c r="I351" s="7"/>
      <c r="J351" s="7"/>
      <c r="K351" s="7"/>
      <c r="M351" s="7"/>
      <c r="O351" s="6"/>
      <c r="P351" s="6"/>
      <c r="Q351" s="6"/>
      <c r="R351" s="6"/>
      <c r="S351" s="6"/>
      <c r="V351" s="7"/>
      <c r="W351" s="7"/>
      <c r="Z351" s="1"/>
      <c r="AB351"/>
      <c r="AC351"/>
      <c r="AD351"/>
      <c r="AE351"/>
      <c r="AF351"/>
      <c r="AG351"/>
      <c r="AJ351"/>
      <c r="AK351"/>
      <c r="AL351"/>
      <c r="AM351"/>
      <c r="AN351"/>
      <c r="AS351"/>
      <c r="AT351"/>
      <c r="AU351"/>
      <c r="AV351"/>
      <c r="AW351"/>
      <c r="AX351"/>
      <c r="AY351"/>
      <c r="AZ351"/>
      <c r="BA351"/>
      <c r="BB351"/>
      <c r="BC351"/>
      <c r="BD351"/>
    </row>
    <row r="352" spans="3:56" x14ac:dyDescent="0.25">
      <c r="C352"/>
      <c r="D352" s="7"/>
      <c r="E352" s="7"/>
      <c r="F352" s="7"/>
      <c r="G352" s="7"/>
      <c r="H352" s="7"/>
      <c r="I352" s="7"/>
      <c r="J352" s="7"/>
      <c r="K352" s="7"/>
      <c r="M352" s="7"/>
      <c r="O352" s="6"/>
      <c r="P352" s="6"/>
      <c r="Q352" s="6"/>
      <c r="R352" s="6"/>
      <c r="S352" s="6"/>
      <c r="V352" s="7"/>
      <c r="W352" s="7"/>
      <c r="Z352" s="1"/>
      <c r="AB352"/>
      <c r="AC352"/>
      <c r="AD352"/>
      <c r="AE352"/>
      <c r="AF352"/>
      <c r="AG352"/>
      <c r="AJ352"/>
      <c r="AK352"/>
      <c r="AL352"/>
      <c r="AM352"/>
      <c r="AN352"/>
      <c r="AS352"/>
      <c r="AT352"/>
      <c r="AU352"/>
      <c r="AV352"/>
      <c r="AW352"/>
      <c r="AX352"/>
      <c r="AY352"/>
      <c r="AZ352"/>
      <c r="BA352"/>
      <c r="BB352"/>
      <c r="BC352"/>
      <c r="BD352"/>
    </row>
    <row r="353" spans="3:56" x14ac:dyDescent="0.25">
      <c r="C353"/>
      <c r="D353" s="7"/>
      <c r="E353" s="7"/>
      <c r="F353" s="7"/>
      <c r="G353" s="7"/>
      <c r="H353" s="7"/>
      <c r="I353" s="7"/>
      <c r="J353" s="7"/>
      <c r="K353" s="7"/>
      <c r="M353" s="7"/>
      <c r="O353" s="6"/>
      <c r="P353" s="6"/>
      <c r="Q353" s="6"/>
      <c r="R353" s="6"/>
      <c r="S353" s="6"/>
      <c r="V353" s="7"/>
      <c r="W353" s="7"/>
      <c r="Z353" s="1"/>
      <c r="AB353"/>
      <c r="AC353"/>
      <c r="AD353"/>
      <c r="AE353"/>
      <c r="AF353"/>
      <c r="AG353"/>
      <c r="AJ353"/>
      <c r="AK353"/>
      <c r="AL353"/>
      <c r="AM353"/>
      <c r="AN353"/>
      <c r="AS353"/>
      <c r="AT353"/>
      <c r="AU353"/>
      <c r="AV353"/>
      <c r="AW353"/>
      <c r="AX353"/>
      <c r="AY353"/>
      <c r="AZ353"/>
      <c r="BA353"/>
      <c r="BB353"/>
      <c r="BC353"/>
      <c r="BD353"/>
    </row>
    <row r="354" spans="3:56" x14ac:dyDescent="0.25">
      <c r="C354"/>
      <c r="D354" s="7"/>
      <c r="E354" s="7"/>
      <c r="F354" s="7"/>
      <c r="G354" s="7"/>
      <c r="H354" s="7"/>
      <c r="I354" s="7"/>
      <c r="J354" s="7"/>
      <c r="K354" s="7"/>
      <c r="M354" s="7"/>
      <c r="O354" s="6"/>
      <c r="P354" s="6"/>
      <c r="Q354" s="6"/>
      <c r="R354" s="6"/>
      <c r="S354" s="6"/>
      <c r="V354" s="7"/>
      <c r="W354" s="7"/>
      <c r="Z354" s="1"/>
      <c r="AB354"/>
      <c r="AC354"/>
      <c r="AD354"/>
      <c r="AE354"/>
      <c r="AF354"/>
      <c r="AG354"/>
      <c r="AJ354"/>
      <c r="AK354"/>
      <c r="AL354"/>
      <c r="AM354"/>
      <c r="AN354"/>
      <c r="AS354"/>
      <c r="AT354"/>
      <c r="AU354"/>
      <c r="AV354"/>
      <c r="AW354"/>
      <c r="AX354"/>
      <c r="AY354"/>
      <c r="AZ354"/>
      <c r="BA354"/>
      <c r="BB354"/>
      <c r="BC354"/>
      <c r="BD354"/>
    </row>
    <row r="355" spans="3:56" x14ac:dyDescent="0.25">
      <c r="C355"/>
      <c r="D355" s="7"/>
      <c r="E355" s="7"/>
      <c r="F355" s="7"/>
      <c r="G355" s="7"/>
      <c r="H355" s="7"/>
      <c r="I355" s="7"/>
      <c r="J355" s="7"/>
      <c r="K355" s="7"/>
      <c r="M355" s="7"/>
      <c r="O355" s="6"/>
      <c r="P355" s="6"/>
      <c r="Q355" s="6"/>
      <c r="R355" s="6"/>
      <c r="S355" s="6"/>
      <c r="V355" s="7"/>
      <c r="W355" s="7"/>
      <c r="Z355" s="1"/>
      <c r="AB355"/>
      <c r="AC355"/>
      <c r="AD355"/>
      <c r="AE355"/>
      <c r="AF355"/>
      <c r="AG355"/>
      <c r="AJ355"/>
      <c r="AK355"/>
      <c r="AL355"/>
      <c r="AM355"/>
      <c r="AN355"/>
      <c r="AS355"/>
      <c r="AT355"/>
      <c r="AU355"/>
      <c r="AV355"/>
      <c r="AW355"/>
      <c r="AX355"/>
      <c r="AY355"/>
      <c r="AZ355"/>
      <c r="BA355"/>
      <c r="BB355"/>
      <c r="BC355"/>
      <c r="BD355"/>
    </row>
    <row r="356" spans="3:56" x14ac:dyDescent="0.25">
      <c r="C356"/>
      <c r="D356" s="7"/>
      <c r="E356" s="7"/>
      <c r="F356" s="7"/>
      <c r="G356" s="7"/>
      <c r="H356" s="7"/>
      <c r="I356" s="7"/>
      <c r="J356" s="7"/>
      <c r="K356" s="7"/>
      <c r="M356" s="7"/>
      <c r="O356" s="6"/>
      <c r="P356" s="6"/>
      <c r="Q356" s="6"/>
      <c r="R356" s="6"/>
      <c r="S356" s="6"/>
      <c r="V356" s="7"/>
      <c r="W356" s="7"/>
      <c r="Z356" s="1"/>
      <c r="AB356"/>
      <c r="AC356"/>
      <c r="AD356"/>
      <c r="AE356"/>
      <c r="AF356"/>
      <c r="AG356"/>
      <c r="AJ356"/>
      <c r="AK356"/>
      <c r="AL356"/>
      <c r="AM356"/>
      <c r="AN356"/>
      <c r="AS356"/>
      <c r="AT356"/>
      <c r="AU356"/>
      <c r="AV356"/>
      <c r="AW356"/>
      <c r="AX356"/>
      <c r="AY356"/>
      <c r="AZ356"/>
      <c r="BA356"/>
      <c r="BB356"/>
      <c r="BC356"/>
      <c r="BD356"/>
    </row>
    <row r="357" spans="3:56" x14ac:dyDescent="0.25">
      <c r="C357"/>
      <c r="D357" s="7"/>
      <c r="E357" s="7"/>
      <c r="F357" s="7"/>
      <c r="G357" s="7"/>
      <c r="H357" s="7"/>
      <c r="I357" s="7"/>
      <c r="J357" s="7"/>
      <c r="K357" s="7"/>
      <c r="M357" s="7"/>
      <c r="O357" s="6"/>
      <c r="P357" s="6"/>
      <c r="Q357" s="6"/>
      <c r="R357" s="6"/>
      <c r="S357" s="6"/>
      <c r="V357" s="7"/>
      <c r="W357" s="7"/>
      <c r="Z357" s="1"/>
      <c r="AB357"/>
      <c r="AC357"/>
      <c r="AD357"/>
      <c r="AE357"/>
      <c r="AF357"/>
      <c r="AG357"/>
      <c r="AJ357"/>
      <c r="AK357"/>
      <c r="AL357"/>
      <c r="AM357"/>
      <c r="AN357"/>
      <c r="AS357"/>
      <c r="AT357"/>
      <c r="AU357"/>
      <c r="AV357"/>
      <c r="AW357"/>
      <c r="AX357"/>
      <c r="AY357"/>
      <c r="AZ357"/>
      <c r="BA357"/>
      <c r="BB357"/>
      <c r="BC357"/>
      <c r="BD357"/>
    </row>
    <row r="358" spans="3:56" x14ac:dyDescent="0.25">
      <c r="C358"/>
      <c r="D358" s="7"/>
      <c r="E358" s="7"/>
      <c r="F358" s="7"/>
      <c r="G358" s="7"/>
      <c r="H358" s="7"/>
      <c r="I358" s="7"/>
      <c r="J358" s="7"/>
      <c r="K358" s="7"/>
      <c r="M358" s="7"/>
      <c r="O358" s="6"/>
      <c r="P358" s="6"/>
      <c r="Q358" s="6"/>
      <c r="R358" s="6"/>
      <c r="S358" s="6"/>
      <c r="V358" s="7"/>
      <c r="W358" s="7"/>
      <c r="Z358" s="1"/>
      <c r="AB358"/>
      <c r="AC358"/>
      <c r="AD358"/>
      <c r="AE358"/>
      <c r="AF358"/>
      <c r="AG358"/>
      <c r="AJ358"/>
      <c r="AK358"/>
      <c r="AL358"/>
      <c r="AM358"/>
      <c r="AN358"/>
      <c r="AS358"/>
      <c r="AT358"/>
      <c r="AU358"/>
      <c r="AV358"/>
      <c r="AW358"/>
      <c r="AX358"/>
      <c r="AY358"/>
      <c r="AZ358"/>
      <c r="BA358"/>
      <c r="BB358"/>
      <c r="BC358"/>
      <c r="BD358"/>
    </row>
    <row r="359" spans="3:56" x14ac:dyDescent="0.25">
      <c r="C359"/>
      <c r="D359" s="7"/>
      <c r="E359" s="7"/>
      <c r="F359" s="7"/>
      <c r="G359" s="7"/>
      <c r="H359" s="7"/>
      <c r="I359" s="7"/>
      <c r="J359" s="7"/>
      <c r="K359" s="7"/>
      <c r="M359" s="7"/>
      <c r="O359" s="6"/>
      <c r="P359" s="6"/>
      <c r="Q359" s="6"/>
      <c r="R359" s="6"/>
      <c r="S359" s="6"/>
      <c r="V359" s="7"/>
      <c r="W359" s="7"/>
      <c r="Z359" s="1"/>
      <c r="AB359"/>
      <c r="AC359"/>
      <c r="AD359"/>
      <c r="AE359"/>
      <c r="AF359"/>
      <c r="AG359"/>
      <c r="AJ359"/>
      <c r="AK359"/>
      <c r="AL359"/>
      <c r="AM359"/>
      <c r="AN359"/>
      <c r="AS359"/>
      <c r="AT359"/>
      <c r="AU359"/>
      <c r="AV359"/>
      <c r="AW359"/>
      <c r="AX359"/>
      <c r="AY359"/>
      <c r="AZ359"/>
      <c r="BA359"/>
      <c r="BB359"/>
      <c r="BC359"/>
      <c r="BD359"/>
    </row>
    <row r="360" spans="3:56" x14ac:dyDescent="0.25">
      <c r="C360"/>
      <c r="D360" s="7"/>
      <c r="E360" s="7"/>
      <c r="F360" s="7"/>
      <c r="G360" s="7"/>
      <c r="H360" s="7"/>
      <c r="I360" s="7"/>
      <c r="J360" s="7"/>
      <c r="K360" s="7"/>
      <c r="M360" s="7"/>
      <c r="O360" s="6"/>
      <c r="P360" s="6"/>
      <c r="Q360" s="6"/>
      <c r="R360" s="6"/>
      <c r="S360" s="6"/>
      <c r="V360" s="7"/>
      <c r="W360" s="7"/>
      <c r="Z360" s="1"/>
      <c r="AB360"/>
      <c r="AC360"/>
      <c r="AD360"/>
      <c r="AE360"/>
      <c r="AF360"/>
      <c r="AG360"/>
      <c r="AJ360"/>
      <c r="AK360"/>
      <c r="AL360"/>
      <c r="AM360"/>
      <c r="AN360"/>
      <c r="AS360"/>
      <c r="AT360"/>
      <c r="AU360"/>
      <c r="AV360"/>
      <c r="AW360"/>
      <c r="AX360"/>
      <c r="AY360"/>
      <c r="AZ360"/>
      <c r="BA360"/>
      <c r="BB360"/>
      <c r="BC360"/>
      <c r="BD360"/>
    </row>
    <row r="361" spans="3:56" x14ac:dyDescent="0.25">
      <c r="C361"/>
      <c r="D361" s="7"/>
      <c r="E361" s="7"/>
      <c r="F361" s="7"/>
      <c r="G361" s="7"/>
      <c r="H361" s="7"/>
      <c r="I361" s="7"/>
      <c r="J361" s="7"/>
      <c r="K361" s="7"/>
      <c r="M361" s="7"/>
      <c r="O361" s="6"/>
      <c r="P361" s="6"/>
      <c r="Q361" s="6"/>
      <c r="R361" s="6"/>
      <c r="S361" s="6"/>
      <c r="V361" s="7"/>
      <c r="W361" s="7"/>
      <c r="Z361" s="1"/>
      <c r="AB361"/>
      <c r="AC361"/>
      <c r="AD361"/>
      <c r="AE361"/>
      <c r="AF361"/>
      <c r="AG361"/>
      <c r="AJ361"/>
      <c r="AK361"/>
      <c r="AL361"/>
      <c r="AM361"/>
      <c r="AN361"/>
      <c r="AS361"/>
      <c r="AT361"/>
      <c r="AU361"/>
      <c r="AV361"/>
      <c r="AW361"/>
      <c r="AX361"/>
      <c r="AY361"/>
      <c r="AZ361"/>
      <c r="BA361"/>
      <c r="BB361"/>
      <c r="BC361"/>
      <c r="BD361"/>
    </row>
    <row r="362" spans="3:56" x14ac:dyDescent="0.25">
      <c r="C362"/>
      <c r="D362" s="7"/>
      <c r="E362" s="7"/>
      <c r="F362" s="7"/>
      <c r="G362" s="7"/>
      <c r="H362" s="7"/>
      <c r="I362" s="7"/>
      <c r="J362" s="7"/>
      <c r="K362" s="7"/>
      <c r="M362" s="7"/>
      <c r="O362" s="6"/>
      <c r="P362" s="6"/>
      <c r="Q362" s="6"/>
      <c r="R362" s="6"/>
      <c r="S362" s="6"/>
      <c r="V362" s="7"/>
      <c r="W362" s="7"/>
      <c r="Z362" s="1"/>
      <c r="AB362"/>
      <c r="AC362"/>
      <c r="AD362"/>
      <c r="AE362"/>
      <c r="AF362"/>
      <c r="AG362"/>
      <c r="AJ362"/>
      <c r="AK362"/>
      <c r="AL362"/>
      <c r="AM362"/>
      <c r="AN362"/>
      <c r="AS362"/>
      <c r="AT362"/>
      <c r="AU362"/>
      <c r="AV362"/>
      <c r="AW362"/>
      <c r="AX362"/>
      <c r="AY362"/>
      <c r="AZ362"/>
      <c r="BA362"/>
      <c r="BB362"/>
      <c r="BC362"/>
      <c r="BD362"/>
    </row>
    <row r="363" spans="3:56" x14ac:dyDescent="0.25">
      <c r="C363"/>
      <c r="D363" s="7"/>
      <c r="E363" s="7"/>
      <c r="F363" s="7"/>
      <c r="G363" s="7"/>
      <c r="H363" s="7"/>
      <c r="I363" s="7"/>
      <c r="J363" s="7"/>
      <c r="K363" s="7"/>
      <c r="M363" s="7"/>
      <c r="O363" s="6"/>
      <c r="P363" s="6"/>
      <c r="Q363" s="6"/>
      <c r="R363" s="6"/>
      <c r="S363" s="6"/>
      <c r="V363" s="7"/>
      <c r="W363" s="7"/>
      <c r="Z363" s="1"/>
      <c r="AB363"/>
      <c r="AC363"/>
      <c r="AD363"/>
      <c r="AE363"/>
      <c r="AF363"/>
      <c r="AG363"/>
      <c r="AJ363"/>
      <c r="AK363"/>
      <c r="AL363"/>
      <c r="AM363"/>
      <c r="AN363"/>
      <c r="AS363"/>
      <c r="AT363"/>
      <c r="AU363"/>
      <c r="AV363"/>
      <c r="AW363"/>
      <c r="AX363"/>
      <c r="AY363"/>
      <c r="AZ363"/>
      <c r="BA363"/>
      <c r="BB363"/>
      <c r="BC363"/>
      <c r="BD363"/>
    </row>
    <row r="364" spans="3:56" x14ac:dyDescent="0.25">
      <c r="C364"/>
      <c r="D364" s="7"/>
      <c r="E364" s="7"/>
      <c r="F364" s="7"/>
      <c r="G364" s="7"/>
      <c r="H364" s="7"/>
      <c r="I364" s="7"/>
      <c r="J364" s="7"/>
      <c r="K364" s="7"/>
      <c r="M364" s="7"/>
      <c r="O364" s="6"/>
      <c r="P364" s="6"/>
      <c r="Q364" s="6"/>
      <c r="R364" s="6"/>
      <c r="S364" s="6"/>
      <c r="V364" s="7"/>
      <c r="W364" s="7"/>
      <c r="Z364" s="1"/>
      <c r="AB364"/>
      <c r="AC364"/>
      <c r="AD364"/>
      <c r="AE364"/>
      <c r="AF364"/>
      <c r="AG364"/>
      <c r="AJ364"/>
      <c r="AK364"/>
      <c r="AL364"/>
      <c r="AM364"/>
      <c r="AN364"/>
      <c r="AS364"/>
      <c r="AT364"/>
      <c r="AU364"/>
      <c r="AV364"/>
      <c r="AW364"/>
      <c r="AX364"/>
      <c r="AY364"/>
      <c r="AZ364"/>
      <c r="BA364"/>
      <c r="BB364"/>
      <c r="BC364"/>
      <c r="BD364"/>
    </row>
    <row r="365" spans="3:56" x14ac:dyDescent="0.25">
      <c r="C365"/>
      <c r="D365" s="7"/>
      <c r="E365" s="7"/>
      <c r="F365" s="7"/>
      <c r="G365" s="7"/>
      <c r="H365" s="7"/>
      <c r="I365" s="7"/>
      <c r="J365" s="7"/>
      <c r="K365" s="7"/>
      <c r="M365" s="7"/>
      <c r="O365" s="6"/>
      <c r="P365" s="6"/>
      <c r="Q365" s="6"/>
      <c r="R365" s="6"/>
      <c r="S365" s="6"/>
      <c r="V365" s="7"/>
      <c r="W365" s="7"/>
      <c r="Z365" s="1"/>
      <c r="AB365"/>
      <c r="AC365"/>
      <c r="AD365"/>
      <c r="AE365"/>
      <c r="AF365"/>
      <c r="AG365"/>
      <c r="AJ365"/>
      <c r="AK365"/>
      <c r="AL365"/>
      <c r="AM365"/>
      <c r="AN365"/>
      <c r="AS365"/>
      <c r="AT365"/>
      <c r="AU365"/>
      <c r="AV365"/>
      <c r="AW365"/>
      <c r="AX365"/>
      <c r="AY365"/>
      <c r="AZ365"/>
      <c r="BA365"/>
      <c r="BB365"/>
      <c r="BC365"/>
      <c r="BD365"/>
    </row>
    <row r="366" spans="3:56" x14ac:dyDescent="0.25">
      <c r="C366"/>
      <c r="D366" s="7"/>
      <c r="E366" s="7"/>
      <c r="F366" s="7"/>
      <c r="G366" s="7"/>
      <c r="H366" s="7"/>
      <c r="I366" s="7"/>
      <c r="J366" s="7"/>
      <c r="K366" s="7"/>
      <c r="M366" s="7"/>
      <c r="O366" s="6"/>
      <c r="P366" s="6"/>
      <c r="Q366" s="6"/>
      <c r="R366" s="6"/>
      <c r="S366" s="6"/>
      <c r="V366" s="7"/>
      <c r="W366" s="7"/>
      <c r="Z366" s="1"/>
      <c r="AB366"/>
      <c r="AC366"/>
      <c r="AD366"/>
      <c r="AE366"/>
      <c r="AF366"/>
      <c r="AG366"/>
      <c r="AJ366"/>
      <c r="AK366"/>
      <c r="AL366"/>
      <c r="AM366"/>
      <c r="AN366"/>
      <c r="AS366"/>
      <c r="AT366"/>
      <c r="AU366"/>
      <c r="AV366"/>
      <c r="AW366"/>
      <c r="AX366"/>
      <c r="AY366"/>
      <c r="AZ366"/>
      <c r="BA366"/>
      <c r="BB366"/>
      <c r="BC366"/>
      <c r="BD366"/>
    </row>
    <row r="367" spans="3:56" x14ac:dyDescent="0.25">
      <c r="C367"/>
      <c r="D367" s="7"/>
      <c r="E367" s="7"/>
      <c r="F367" s="7"/>
      <c r="G367" s="7"/>
      <c r="H367" s="7"/>
      <c r="I367" s="7"/>
      <c r="J367" s="7"/>
      <c r="K367" s="7"/>
      <c r="M367" s="7"/>
      <c r="O367" s="6"/>
      <c r="P367" s="6"/>
      <c r="Q367" s="6"/>
      <c r="R367" s="6"/>
      <c r="S367" s="6"/>
      <c r="V367" s="7"/>
      <c r="W367" s="7"/>
      <c r="Z367" s="1"/>
      <c r="AB367"/>
      <c r="AC367"/>
      <c r="AD367"/>
      <c r="AE367"/>
      <c r="AF367"/>
      <c r="AG367"/>
      <c r="AJ367"/>
      <c r="AK367"/>
      <c r="AL367"/>
      <c r="AM367"/>
      <c r="AN367"/>
      <c r="AS367"/>
      <c r="AT367"/>
      <c r="AU367"/>
      <c r="AV367"/>
      <c r="AW367"/>
      <c r="AX367"/>
      <c r="AY367"/>
      <c r="AZ367"/>
      <c r="BA367"/>
      <c r="BB367"/>
      <c r="BC367"/>
      <c r="BD367"/>
    </row>
    <row r="368" spans="3:56" x14ac:dyDescent="0.25">
      <c r="C368"/>
      <c r="D368" s="7"/>
      <c r="E368" s="7"/>
      <c r="F368" s="7"/>
      <c r="G368" s="7"/>
      <c r="H368" s="7"/>
      <c r="I368" s="7"/>
      <c r="J368" s="7"/>
      <c r="K368" s="7"/>
      <c r="M368" s="7"/>
      <c r="O368" s="6"/>
      <c r="P368" s="6"/>
      <c r="Q368" s="6"/>
      <c r="R368" s="6"/>
      <c r="S368" s="6"/>
      <c r="V368" s="7"/>
      <c r="W368" s="7"/>
      <c r="Z368" s="1"/>
      <c r="AB368"/>
      <c r="AC368"/>
      <c r="AD368"/>
      <c r="AE368"/>
      <c r="AF368"/>
      <c r="AG368"/>
      <c r="AJ368"/>
      <c r="AK368"/>
      <c r="AL368"/>
      <c r="AM368"/>
      <c r="AN368"/>
      <c r="AS368"/>
      <c r="AT368"/>
      <c r="AU368"/>
      <c r="AV368"/>
      <c r="AW368"/>
      <c r="AX368"/>
      <c r="AY368"/>
      <c r="AZ368"/>
      <c r="BA368"/>
      <c r="BB368"/>
      <c r="BC368"/>
      <c r="BD368"/>
    </row>
    <row r="369" spans="3:56" x14ac:dyDescent="0.25">
      <c r="C369"/>
      <c r="D369" s="7"/>
      <c r="E369" s="7"/>
      <c r="F369" s="7"/>
      <c r="G369" s="7"/>
      <c r="H369" s="7"/>
      <c r="I369" s="7"/>
      <c r="J369" s="7"/>
      <c r="K369" s="7"/>
      <c r="M369" s="7"/>
      <c r="O369" s="6"/>
      <c r="P369" s="6"/>
      <c r="Q369" s="6"/>
      <c r="R369" s="6"/>
      <c r="S369" s="6"/>
      <c r="V369" s="7"/>
      <c r="W369" s="7"/>
      <c r="Z369" s="1"/>
      <c r="AB369"/>
      <c r="AC369"/>
      <c r="AD369"/>
      <c r="AE369"/>
      <c r="AF369"/>
      <c r="AG369"/>
      <c r="AJ369"/>
      <c r="AK369"/>
      <c r="AL369"/>
      <c r="AM369"/>
      <c r="AN369"/>
      <c r="AS369"/>
      <c r="AT369"/>
      <c r="AU369"/>
      <c r="AV369"/>
      <c r="AW369"/>
      <c r="AX369"/>
      <c r="AY369"/>
      <c r="AZ369"/>
      <c r="BA369"/>
      <c r="BB369"/>
      <c r="BC369"/>
      <c r="BD369"/>
    </row>
    <row r="370" spans="3:56" x14ac:dyDescent="0.25">
      <c r="C370"/>
      <c r="D370" s="7"/>
      <c r="E370" s="7"/>
      <c r="F370" s="7"/>
      <c r="G370" s="7"/>
      <c r="H370" s="7"/>
      <c r="I370" s="7"/>
      <c r="J370" s="7"/>
      <c r="K370" s="7"/>
      <c r="M370" s="7"/>
      <c r="O370" s="6"/>
      <c r="P370" s="6"/>
      <c r="Q370" s="6"/>
      <c r="R370" s="6"/>
      <c r="S370" s="6"/>
      <c r="V370" s="7"/>
      <c r="W370" s="7"/>
      <c r="Z370" s="1"/>
      <c r="AB370"/>
      <c r="AC370"/>
      <c r="AD370"/>
      <c r="AE370"/>
      <c r="AF370"/>
      <c r="AG370"/>
      <c r="AJ370"/>
      <c r="AK370"/>
      <c r="AL370"/>
      <c r="AM370"/>
      <c r="AN370"/>
      <c r="AS370"/>
      <c r="AT370"/>
      <c r="AU370"/>
      <c r="AV370"/>
      <c r="AW370"/>
      <c r="AX370"/>
      <c r="AY370"/>
      <c r="AZ370"/>
      <c r="BA370"/>
      <c r="BB370"/>
      <c r="BC370"/>
      <c r="BD370"/>
    </row>
    <row r="371" spans="3:56" x14ac:dyDescent="0.25">
      <c r="C371"/>
      <c r="D371" s="7"/>
      <c r="E371" s="7"/>
      <c r="F371" s="7"/>
      <c r="G371" s="7"/>
      <c r="H371" s="7"/>
      <c r="I371" s="7"/>
      <c r="J371" s="7"/>
      <c r="K371" s="7"/>
      <c r="M371" s="7"/>
      <c r="O371" s="6"/>
      <c r="P371" s="6"/>
      <c r="Q371" s="6"/>
      <c r="R371" s="6"/>
      <c r="S371" s="6"/>
      <c r="V371" s="7"/>
      <c r="W371" s="7"/>
      <c r="Z371" s="1"/>
      <c r="AB371"/>
      <c r="AC371"/>
      <c r="AD371"/>
      <c r="AE371"/>
      <c r="AF371"/>
      <c r="AG371"/>
      <c r="AJ371"/>
      <c r="AK371"/>
      <c r="AL371"/>
      <c r="AM371"/>
      <c r="AN371"/>
      <c r="AS371"/>
      <c r="AT371"/>
      <c r="AU371"/>
      <c r="AV371"/>
      <c r="AW371"/>
      <c r="AX371"/>
      <c r="AY371"/>
      <c r="AZ371"/>
      <c r="BA371"/>
      <c r="BB371"/>
      <c r="BC371"/>
      <c r="BD371"/>
    </row>
    <row r="372" spans="3:56" x14ac:dyDescent="0.25">
      <c r="C372"/>
      <c r="D372" s="7"/>
      <c r="E372" s="7"/>
      <c r="F372" s="7"/>
      <c r="G372" s="7"/>
      <c r="H372" s="7"/>
      <c r="I372" s="7"/>
      <c r="J372" s="7"/>
      <c r="K372" s="7"/>
      <c r="M372" s="7"/>
      <c r="O372" s="6"/>
      <c r="P372" s="6"/>
      <c r="Q372" s="6"/>
      <c r="R372" s="6"/>
      <c r="S372" s="6"/>
      <c r="V372" s="7"/>
      <c r="W372" s="7"/>
      <c r="Z372" s="1"/>
      <c r="AB372"/>
      <c r="AC372"/>
      <c r="AD372"/>
      <c r="AE372"/>
      <c r="AF372"/>
      <c r="AG372"/>
      <c r="AJ372"/>
      <c r="AK372"/>
      <c r="AL372"/>
      <c r="AM372"/>
      <c r="AN372"/>
      <c r="AS372"/>
      <c r="AT372"/>
      <c r="AU372"/>
      <c r="AV372"/>
      <c r="AW372"/>
      <c r="AX372"/>
      <c r="AY372"/>
      <c r="AZ372"/>
      <c r="BA372"/>
      <c r="BB372"/>
      <c r="BC372"/>
      <c r="BD372"/>
    </row>
    <row r="373" spans="3:56" x14ac:dyDescent="0.25">
      <c r="C373"/>
      <c r="D373" s="7"/>
      <c r="E373" s="7"/>
      <c r="F373" s="7"/>
      <c r="G373" s="7"/>
      <c r="H373" s="7"/>
      <c r="I373" s="7"/>
      <c r="J373" s="7"/>
      <c r="K373" s="7"/>
      <c r="M373" s="7"/>
      <c r="O373" s="6"/>
      <c r="P373" s="6"/>
      <c r="Q373" s="6"/>
      <c r="R373" s="6"/>
      <c r="S373" s="6"/>
      <c r="V373" s="7"/>
      <c r="W373" s="7"/>
      <c r="Z373" s="1"/>
      <c r="AB373"/>
      <c r="AC373"/>
      <c r="AD373"/>
      <c r="AE373"/>
      <c r="AF373"/>
      <c r="AG373"/>
      <c r="AJ373"/>
      <c r="AK373"/>
      <c r="AL373"/>
      <c r="AM373"/>
      <c r="AN373"/>
      <c r="AS373"/>
      <c r="AT373"/>
      <c r="AU373"/>
      <c r="AV373"/>
      <c r="AW373"/>
      <c r="AX373"/>
      <c r="AY373"/>
      <c r="AZ373"/>
      <c r="BA373"/>
      <c r="BB373"/>
      <c r="BC373"/>
      <c r="BD373"/>
    </row>
    <row r="374" spans="3:56" x14ac:dyDescent="0.25">
      <c r="C374"/>
      <c r="D374" s="7"/>
      <c r="E374" s="7"/>
      <c r="F374" s="7"/>
      <c r="G374" s="7"/>
      <c r="H374" s="7"/>
      <c r="I374" s="7"/>
      <c r="J374" s="7"/>
      <c r="K374" s="7"/>
      <c r="M374" s="7"/>
      <c r="O374" s="6"/>
      <c r="P374" s="6"/>
      <c r="Q374" s="6"/>
      <c r="R374" s="6"/>
      <c r="S374" s="6"/>
      <c r="V374" s="7"/>
      <c r="W374" s="7"/>
      <c r="Z374" s="1"/>
      <c r="AB374"/>
      <c r="AC374"/>
      <c r="AD374"/>
      <c r="AE374"/>
      <c r="AF374"/>
      <c r="AG374"/>
      <c r="AJ374"/>
      <c r="AK374"/>
      <c r="AL374"/>
      <c r="AM374"/>
      <c r="AN374"/>
      <c r="AS374"/>
      <c r="AT374"/>
      <c r="AU374"/>
      <c r="AV374"/>
      <c r="AW374"/>
      <c r="AX374"/>
      <c r="AY374"/>
      <c r="AZ374"/>
      <c r="BA374"/>
      <c r="BB374"/>
      <c r="BC374"/>
      <c r="BD374"/>
    </row>
    <row r="375" spans="3:56" x14ac:dyDescent="0.25">
      <c r="C375"/>
      <c r="D375" s="7"/>
      <c r="E375" s="7"/>
      <c r="F375" s="7"/>
      <c r="G375" s="7"/>
      <c r="H375" s="7"/>
      <c r="I375" s="7"/>
      <c r="J375" s="7"/>
      <c r="K375" s="7"/>
      <c r="M375" s="7"/>
      <c r="O375" s="6"/>
      <c r="P375" s="6"/>
      <c r="Q375" s="6"/>
      <c r="R375" s="6"/>
      <c r="S375" s="6"/>
      <c r="V375" s="7"/>
      <c r="W375" s="7"/>
      <c r="Z375" s="1"/>
      <c r="AB375"/>
      <c r="AC375"/>
      <c r="AD375"/>
      <c r="AE375"/>
      <c r="AF375"/>
      <c r="AG375"/>
      <c r="AJ375"/>
      <c r="AK375"/>
      <c r="AL375"/>
      <c r="AM375"/>
      <c r="AN375"/>
      <c r="AS375"/>
      <c r="AT375"/>
      <c r="AU375"/>
      <c r="AV375"/>
      <c r="AW375"/>
      <c r="AX375"/>
      <c r="AY375"/>
      <c r="AZ375"/>
      <c r="BA375"/>
      <c r="BB375"/>
      <c r="BC375"/>
      <c r="BD375"/>
    </row>
    <row r="376" spans="3:56" x14ac:dyDescent="0.25">
      <c r="C376"/>
      <c r="D376" s="7"/>
      <c r="E376" s="7"/>
      <c r="F376" s="7"/>
      <c r="G376" s="7"/>
      <c r="H376" s="7"/>
      <c r="I376" s="7"/>
      <c r="J376" s="7"/>
      <c r="K376" s="7"/>
      <c r="M376" s="7"/>
      <c r="O376" s="6"/>
      <c r="P376" s="6"/>
      <c r="Q376" s="6"/>
      <c r="R376" s="6"/>
      <c r="S376" s="6"/>
      <c r="V376" s="7"/>
      <c r="W376" s="7"/>
      <c r="Z376" s="1"/>
      <c r="AB376"/>
      <c r="AC376"/>
      <c r="AD376"/>
      <c r="AE376"/>
      <c r="AF376"/>
      <c r="AG376"/>
      <c r="AJ376"/>
      <c r="AK376"/>
      <c r="AL376"/>
      <c r="AM376"/>
      <c r="AN376"/>
      <c r="AS376"/>
      <c r="AT376"/>
      <c r="AU376"/>
      <c r="AV376"/>
      <c r="AW376"/>
      <c r="AX376"/>
      <c r="AY376"/>
      <c r="AZ376"/>
      <c r="BA376"/>
      <c r="BB376"/>
      <c r="BC376"/>
      <c r="BD376"/>
    </row>
    <row r="377" spans="3:56" x14ac:dyDescent="0.25">
      <c r="C377"/>
      <c r="D377" s="7"/>
      <c r="E377" s="7"/>
      <c r="F377" s="7"/>
      <c r="G377" s="7"/>
      <c r="H377" s="7"/>
      <c r="I377" s="7"/>
      <c r="J377" s="7"/>
      <c r="K377" s="7"/>
      <c r="M377" s="7"/>
      <c r="O377" s="6"/>
      <c r="P377" s="6"/>
      <c r="Q377" s="6"/>
      <c r="R377" s="6"/>
      <c r="S377" s="6"/>
      <c r="V377" s="7"/>
      <c r="W377" s="7"/>
      <c r="Z377" s="1"/>
      <c r="AB377"/>
      <c r="AC377"/>
      <c r="AD377"/>
      <c r="AE377"/>
      <c r="AF377"/>
      <c r="AG377"/>
      <c r="AJ377"/>
      <c r="AK377"/>
      <c r="AL377"/>
      <c r="AM377"/>
      <c r="AN377"/>
      <c r="AS377"/>
      <c r="AT377"/>
      <c r="AU377"/>
      <c r="AV377"/>
      <c r="AW377"/>
      <c r="AX377"/>
      <c r="AY377"/>
      <c r="AZ377"/>
      <c r="BA377"/>
      <c r="BB377"/>
      <c r="BC377"/>
      <c r="BD377"/>
    </row>
    <row r="378" spans="3:56" x14ac:dyDescent="0.25">
      <c r="C378"/>
      <c r="D378" s="7"/>
      <c r="E378" s="7"/>
      <c r="F378" s="7"/>
      <c r="G378" s="7"/>
      <c r="H378" s="7"/>
      <c r="I378" s="7"/>
      <c r="J378" s="7"/>
      <c r="K378" s="7"/>
      <c r="M378" s="7"/>
      <c r="O378" s="6"/>
      <c r="P378" s="6"/>
      <c r="Q378" s="6"/>
      <c r="R378" s="6"/>
      <c r="S378" s="6"/>
      <c r="V378" s="7"/>
      <c r="W378" s="7"/>
      <c r="Z378" s="1"/>
      <c r="AB378"/>
      <c r="AC378"/>
      <c r="AD378"/>
      <c r="AE378"/>
      <c r="AF378"/>
      <c r="AG378"/>
      <c r="AJ378"/>
      <c r="AK378"/>
      <c r="AL378"/>
      <c r="AM378"/>
      <c r="AN378"/>
      <c r="AS378"/>
      <c r="AT378"/>
      <c r="AU378"/>
      <c r="AV378"/>
      <c r="AW378"/>
      <c r="AX378"/>
      <c r="AY378"/>
      <c r="AZ378"/>
      <c r="BA378"/>
      <c r="BB378"/>
      <c r="BC378"/>
      <c r="BD378"/>
    </row>
    <row r="379" spans="3:56" x14ac:dyDescent="0.25">
      <c r="C379"/>
      <c r="D379" s="7"/>
      <c r="E379" s="7"/>
      <c r="F379" s="7"/>
      <c r="G379" s="7"/>
      <c r="H379" s="7"/>
      <c r="I379" s="7"/>
      <c r="J379" s="7"/>
      <c r="K379" s="7"/>
      <c r="M379" s="7"/>
      <c r="O379" s="6"/>
      <c r="P379" s="6"/>
      <c r="Q379" s="6"/>
      <c r="R379" s="6"/>
      <c r="S379" s="6"/>
      <c r="V379" s="7"/>
      <c r="W379" s="7"/>
      <c r="Z379" s="1"/>
      <c r="AB379"/>
      <c r="AC379"/>
      <c r="AD379"/>
      <c r="AE379"/>
      <c r="AF379"/>
      <c r="AG379"/>
      <c r="AJ379"/>
      <c r="AK379"/>
      <c r="AL379"/>
      <c r="AM379"/>
      <c r="AN379"/>
      <c r="AS379"/>
      <c r="AT379"/>
      <c r="AU379"/>
      <c r="AV379"/>
      <c r="AW379"/>
      <c r="AX379"/>
      <c r="AY379"/>
      <c r="AZ379"/>
      <c r="BA379"/>
      <c r="BB379"/>
      <c r="BC379"/>
      <c r="BD379"/>
    </row>
    <row r="380" spans="3:56" x14ac:dyDescent="0.25">
      <c r="C380"/>
      <c r="D380" s="7"/>
      <c r="E380" s="7"/>
      <c r="F380" s="7"/>
      <c r="G380" s="7"/>
      <c r="H380" s="7"/>
      <c r="I380" s="7"/>
      <c r="J380" s="7"/>
      <c r="K380" s="7"/>
      <c r="M380" s="7"/>
      <c r="O380" s="6"/>
      <c r="P380" s="6"/>
      <c r="Q380" s="6"/>
      <c r="R380" s="6"/>
      <c r="S380" s="6"/>
      <c r="V380" s="7"/>
      <c r="W380" s="7"/>
      <c r="Z380" s="1"/>
      <c r="AB380"/>
      <c r="AC380"/>
      <c r="AD380"/>
      <c r="AE380"/>
      <c r="AF380"/>
      <c r="AG380"/>
      <c r="AJ380"/>
      <c r="AK380"/>
      <c r="AL380"/>
      <c r="AM380"/>
      <c r="AN380"/>
      <c r="AS380"/>
      <c r="AT380"/>
      <c r="AU380"/>
      <c r="AV380"/>
      <c r="AW380"/>
      <c r="AX380"/>
      <c r="AY380"/>
      <c r="AZ380"/>
      <c r="BA380"/>
      <c r="BB380"/>
      <c r="BC380"/>
      <c r="BD380"/>
    </row>
    <row r="381" spans="3:56" x14ac:dyDescent="0.25">
      <c r="C381"/>
      <c r="D381" s="7"/>
      <c r="E381" s="7"/>
      <c r="F381" s="7"/>
      <c r="G381" s="7"/>
      <c r="H381" s="7"/>
      <c r="I381" s="7"/>
      <c r="J381" s="7"/>
      <c r="K381" s="7"/>
      <c r="M381" s="7"/>
      <c r="O381" s="6"/>
      <c r="P381" s="6"/>
      <c r="Q381" s="6"/>
      <c r="R381" s="6"/>
      <c r="S381" s="6"/>
      <c r="V381" s="7"/>
      <c r="W381" s="7"/>
      <c r="Z381" s="1"/>
      <c r="AB381"/>
      <c r="AC381"/>
      <c r="AD381"/>
      <c r="AE381"/>
      <c r="AF381"/>
      <c r="AG381"/>
      <c r="AJ381"/>
      <c r="AK381"/>
      <c r="AL381"/>
      <c r="AM381"/>
      <c r="AN381"/>
      <c r="AS381"/>
      <c r="AT381"/>
      <c r="AU381"/>
      <c r="AV381"/>
      <c r="AW381"/>
      <c r="AX381"/>
      <c r="AY381"/>
      <c r="AZ381"/>
      <c r="BA381"/>
      <c r="BB381"/>
      <c r="BC381"/>
      <c r="BD381"/>
    </row>
    <row r="382" spans="3:56" x14ac:dyDescent="0.25">
      <c r="C382"/>
      <c r="D382" s="7"/>
      <c r="E382" s="7"/>
      <c r="F382" s="7"/>
      <c r="G382" s="7"/>
      <c r="H382" s="7"/>
      <c r="I382" s="7"/>
      <c r="J382" s="7"/>
      <c r="K382" s="7"/>
      <c r="M382" s="7"/>
      <c r="O382" s="6"/>
      <c r="P382" s="6"/>
      <c r="Q382" s="6"/>
      <c r="R382" s="6"/>
      <c r="S382" s="6"/>
      <c r="V382" s="7"/>
      <c r="W382" s="7"/>
      <c r="Z382" s="1"/>
      <c r="AB382"/>
      <c r="AC382"/>
      <c r="AD382"/>
      <c r="AE382"/>
      <c r="AF382"/>
      <c r="AG382"/>
      <c r="AJ382"/>
      <c r="AK382"/>
      <c r="AL382"/>
      <c r="AM382"/>
      <c r="AN382"/>
      <c r="AS382"/>
      <c r="AT382"/>
      <c r="AU382"/>
      <c r="AV382"/>
      <c r="AW382"/>
      <c r="AX382"/>
      <c r="AY382"/>
      <c r="AZ382"/>
      <c r="BA382"/>
      <c r="BB382"/>
      <c r="BC382"/>
      <c r="BD382"/>
    </row>
    <row r="383" spans="3:56" x14ac:dyDescent="0.25">
      <c r="C383"/>
      <c r="D383" s="7"/>
      <c r="E383" s="7"/>
      <c r="F383" s="7"/>
      <c r="G383" s="7"/>
      <c r="H383" s="7"/>
      <c r="I383" s="7"/>
      <c r="J383" s="7"/>
      <c r="K383" s="7"/>
      <c r="M383" s="7"/>
      <c r="O383" s="6"/>
      <c r="P383" s="6"/>
      <c r="Q383" s="6"/>
      <c r="R383" s="6"/>
      <c r="S383" s="6"/>
      <c r="V383" s="7"/>
      <c r="W383" s="7"/>
      <c r="Z383" s="1"/>
      <c r="AB383"/>
      <c r="AC383"/>
      <c r="AD383"/>
      <c r="AE383"/>
      <c r="AF383"/>
      <c r="AG383"/>
      <c r="AJ383"/>
      <c r="AK383"/>
      <c r="AL383"/>
      <c r="AM383"/>
      <c r="AN383"/>
      <c r="AS383"/>
      <c r="AT383"/>
      <c r="AU383"/>
      <c r="AV383"/>
      <c r="AW383"/>
      <c r="AX383"/>
      <c r="AY383"/>
      <c r="AZ383"/>
      <c r="BA383"/>
      <c r="BB383"/>
      <c r="BC383"/>
      <c r="BD383"/>
    </row>
    <row r="384" spans="3:56" x14ac:dyDescent="0.25">
      <c r="C384"/>
      <c r="D384" s="7"/>
      <c r="E384" s="7"/>
      <c r="F384" s="7"/>
      <c r="G384" s="7"/>
      <c r="H384" s="7"/>
      <c r="I384" s="7"/>
      <c r="J384" s="7"/>
      <c r="K384" s="7"/>
      <c r="M384" s="7"/>
      <c r="O384" s="6"/>
      <c r="P384" s="6"/>
      <c r="Q384" s="6"/>
      <c r="R384" s="6"/>
      <c r="S384" s="6"/>
      <c r="V384" s="7"/>
      <c r="W384" s="7"/>
      <c r="Z384" s="1"/>
      <c r="AB384"/>
      <c r="AC384"/>
      <c r="AD384"/>
      <c r="AE384"/>
      <c r="AF384"/>
      <c r="AG384"/>
      <c r="AJ384"/>
      <c r="AK384"/>
      <c r="AL384"/>
      <c r="AM384"/>
      <c r="AN384"/>
      <c r="AS384"/>
      <c r="AT384"/>
      <c r="AU384"/>
      <c r="AV384"/>
      <c r="AW384"/>
      <c r="AX384"/>
      <c r="AY384"/>
      <c r="AZ384"/>
      <c r="BA384"/>
      <c r="BB384"/>
      <c r="BC384"/>
      <c r="BD384"/>
    </row>
    <row r="385" spans="3:56" x14ac:dyDescent="0.25">
      <c r="C385"/>
      <c r="D385" s="7"/>
      <c r="E385" s="7"/>
      <c r="F385" s="7"/>
      <c r="G385" s="7"/>
      <c r="H385" s="7"/>
      <c r="I385" s="7"/>
      <c r="J385" s="7"/>
      <c r="K385" s="7"/>
      <c r="M385" s="7"/>
      <c r="O385" s="6"/>
      <c r="P385" s="6"/>
      <c r="Q385" s="6"/>
      <c r="R385" s="6"/>
      <c r="S385" s="6"/>
      <c r="V385" s="7"/>
      <c r="W385" s="7"/>
      <c r="Z385" s="1"/>
      <c r="AB385"/>
      <c r="AC385"/>
      <c r="AD385"/>
      <c r="AE385"/>
      <c r="AF385"/>
      <c r="AG385"/>
      <c r="AJ385"/>
      <c r="AK385"/>
      <c r="AL385"/>
      <c r="AM385"/>
      <c r="AN385"/>
      <c r="AS385"/>
      <c r="AT385"/>
      <c r="AU385"/>
      <c r="AV385"/>
      <c r="AW385"/>
      <c r="AX385"/>
      <c r="AY385"/>
      <c r="AZ385"/>
      <c r="BA385"/>
      <c r="BB385"/>
      <c r="BC385"/>
      <c r="BD385"/>
    </row>
    <row r="386" spans="3:56" x14ac:dyDescent="0.25">
      <c r="C386"/>
      <c r="D386" s="7"/>
      <c r="E386" s="7"/>
      <c r="F386" s="7"/>
      <c r="G386" s="7"/>
      <c r="H386" s="7"/>
      <c r="I386" s="7"/>
      <c r="J386" s="7"/>
      <c r="K386" s="7"/>
      <c r="M386" s="7"/>
      <c r="O386" s="6"/>
      <c r="P386" s="6"/>
      <c r="Q386" s="6"/>
      <c r="R386" s="6"/>
      <c r="S386" s="6"/>
      <c r="V386" s="7"/>
      <c r="W386" s="7"/>
      <c r="Z386" s="1"/>
      <c r="AB386"/>
      <c r="AC386"/>
      <c r="AD386"/>
      <c r="AE386"/>
      <c r="AF386"/>
      <c r="AG386"/>
      <c r="AJ386"/>
      <c r="AK386"/>
      <c r="AL386"/>
      <c r="AM386"/>
      <c r="AN386"/>
      <c r="AS386"/>
      <c r="AT386"/>
      <c r="AU386"/>
      <c r="AV386"/>
      <c r="AW386"/>
      <c r="AX386"/>
      <c r="AY386"/>
      <c r="AZ386"/>
      <c r="BA386"/>
      <c r="BB386"/>
      <c r="BC386"/>
      <c r="BD386"/>
    </row>
    <row r="387" spans="3:56" x14ac:dyDescent="0.25">
      <c r="C387"/>
      <c r="D387" s="7"/>
      <c r="E387" s="7"/>
      <c r="F387" s="7"/>
      <c r="G387" s="7"/>
      <c r="H387" s="7"/>
      <c r="I387" s="7"/>
      <c r="J387" s="7"/>
      <c r="K387" s="7"/>
      <c r="M387" s="7"/>
      <c r="O387" s="6"/>
      <c r="P387" s="6"/>
      <c r="Q387" s="6"/>
      <c r="R387" s="6"/>
      <c r="S387" s="6"/>
      <c r="V387" s="7"/>
      <c r="W387" s="7"/>
      <c r="Z387" s="1"/>
      <c r="AB387"/>
      <c r="AC387"/>
      <c r="AD387"/>
      <c r="AE387"/>
      <c r="AF387"/>
      <c r="AG387"/>
      <c r="AJ387"/>
      <c r="AK387"/>
      <c r="AL387"/>
      <c r="AM387"/>
      <c r="AN387"/>
      <c r="AS387"/>
      <c r="AT387"/>
      <c r="AU387"/>
      <c r="AV387"/>
      <c r="AW387"/>
      <c r="AX387"/>
      <c r="AY387"/>
      <c r="AZ387"/>
      <c r="BA387"/>
      <c r="BB387"/>
      <c r="BC387"/>
      <c r="BD387"/>
    </row>
    <row r="388" spans="3:56" x14ac:dyDescent="0.25">
      <c r="C388"/>
      <c r="D388" s="7"/>
      <c r="E388" s="7"/>
      <c r="F388" s="7"/>
      <c r="G388" s="7"/>
      <c r="H388" s="7"/>
      <c r="I388" s="7"/>
      <c r="J388" s="7"/>
      <c r="K388" s="7"/>
      <c r="M388" s="7"/>
      <c r="O388" s="6"/>
      <c r="P388" s="6"/>
      <c r="Q388" s="6"/>
      <c r="R388" s="6"/>
      <c r="S388" s="6"/>
      <c r="V388" s="7"/>
      <c r="W388" s="7"/>
      <c r="Z388" s="1"/>
      <c r="AB388"/>
      <c r="AC388"/>
      <c r="AD388"/>
      <c r="AE388"/>
      <c r="AF388"/>
      <c r="AG388"/>
      <c r="AJ388"/>
      <c r="AK388"/>
      <c r="AL388"/>
      <c r="AM388"/>
      <c r="AN388"/>
      <c r="AS388"/>
      <c r="AT388"/>
      <c r="AU388"/>
      <c r="AV388"/>
      <c r="AW388"/>
      <c r="AX388"/>
      <c r="AY388"/>
      <c r="AZ388"/>
      <c r="BA388"/>
      <c r="BB388"/>
      <c r="BC388"/>
      <c r="BD388"/>
    </row>
    <row r="389" spans="3:56" x14ac:dyDescent="0.25">
      <c r="C389"/>
      <c r="D389" s="7"/>
      <c r="E389" s="7"/>
      <c r="F389" s="7"/>
      <c r="G389" s="7"/>
      <c r="H389" s="7"/>
      <c r="I389" s="7"/>
      <c r="J389" s="7"/>
      <c r="K389" s="7"/>
      <c r="M389" s="7"/>
      <c r="O389" s="6"/>
      <c r="P389" s="6"/>
      <c r="Q389" s="6"/>
      <c r="R389" s="6"/>
      <c r="S389" s="6"/>
      <c r="V389" s="7"/>
      <c r="W389" s="7"/>
      <c r="Z389" s="1"/>
      <c r="AB389"/>
      <c r="AC389"/>
      <c r="AD389"/>
      <c r="AE389"/>
      <c r="AF389"/>
      <c r="AG389"/>
      <c r="AJ389"/>
      <c r="AK389"/>
      <c r="AL389"/>
      <c r="AM389"/>
      <c r="AN389"/>
      <c r="AS389"/>
      <c r="AT389"/>
      <c r="AU389"/>
      <c r="AV389"/>
      <c r="AW389"/>
      <c r="AX389"/>
      <c r="AY389"/>
      <c r="AZ389"/>
      <c r="BA389"/>
      <c r="BB389"/>
      <c r="BC389"/>
      <c r="BD389"/>
    </row>
    <row r="390" spans="3:56" x14ac:dyDescent="0.25">
      <c r="C390"/>
      <c r="D390" s="7"/>
      <c r="E390" s="7"/>
      <c r="F390" s="7"/>
      <c r="G390" s="7"/>
      <c r="H390" s="7"/>
      <c r="I390" s="7"/>
      <c r="J390" s="7"/>
      <c r="K390" s="7"/>
      <c r="M390" s="7"/>
      <c r="O390" s="6"/>
      <c r="P390" s="6"/>
      <c r="Q390" s="6"/>
      <c r="R390" s="6"/>
      <c r="S390" s="6"/>
      <c r="V390" s="7"/>
      <c r="W390" s="7"/>
      <c r="Z390" s="1"/>
      <c r="AB390"/>
      <c r="AC390"/>
      <c r="AD390"/>
      <c r="AE390"/>
      <c r="AF390"/>
      <c r="AG390"/>
      <c r="AJ390"/>
      <c r="AK390"/>
      <c r="AL390"/>
      <c r="AM390"/>
      <c r="AN390"/>
      <c r="AS390"/>
      <c r="AT390"/>
      <c r="AU390"/>
      <c r="AV390"/>
      <c r="AW390"/>
      <c r="AX390"/>
      <c r="AY390"/>
      <c r="AZ390"/>
      <c r="BA390"/>
      <c r="BB390"/>
      <c r="BC390"/>
      <c r="BD390"/>
    </row>
    <row r="391" spans="3:56" x14ac:dyDescent="0.25">
      <c r="C391"/>
      <c r="D391" s="7"/>
      <c r="E391" s="7"/>
      <c r="F391" s="7"/>
      <c r="G391" s="7"/>
      <c r="H391" s="7"/>
      <c r="I391" s="7"/>
      <c r="J391" s="7"/>
      <c r="K391" s="7"/>
      <c r="M391" s="7"/>
      <c r="O391" s="6"/>
      <c r="P391" s="6"/>
      <c r="Q391" s="6"/>
      <c r="R391" s="6"/>
      <c r="S391" s="6"/>
      <c r="V391" s="7"/>
      <c r="W391" s="7"/>
      <c r="Z391" s="1"/>
      <c r="AB391"/>
      <c r="AC391"/>
      <c r="AD391"/>
      <c r="AE391"/>
      <c r="AF391"/>
      <c r="AG391"/>
      <c r="AJ391"/>
      <c r="AK391"/>
      <c r="AL391"/>
      <c r="AM391"/>
      <c r="AN391"/>
      <c r="AS391"/>
      <c r="AT391"/>
      <c r="AU391"/>
      <c r="AV391"/>
      <c r="AW391"/>
      <c r="AX391"/>
      <c r="AY391"/>
      <c r="AZ391"/>
      <c r="BA391"/>
      <c r="BB391"/>
      <c r="BC391"/>
      <c r="BD391"/>
    </row>
    <row r="392" spans="3:56" x14ac:dyDescent="0.25">
      <c r="C392"/>
      <c r="D392" s="7"/>
      <c r="E392" s="7"/>
      <c r="F392" s="7"/>
      <c r="G392" s="7"/>
      <c r="H392" s="7"/>
      <c r="I392" s="7"/>
      <c r="J392" s="7"/>
      <c r="K392" s="7"/>
      <c r="M392" s="7"/>
      <c r="O392" s="6"/>
      <c r="P392" s="6"/>
      <c r="Q392" s="6"/>
      <c r="R392" s="6"/>
      <c r="S392" s="6"/>
      <c r="V392" s="7"/>
      <c r="W392" s="7"/>
      <c r="Z392" s="1"/>
      <c r="AB392"/>
      <c r="AC392"/>
      <c r="AD392"/>
      <c r="AE392"/>
      <c r="AF392"/>
      <c r="AG392"/>
      <c r="AJ392"/>
      <c r="AK392"/>
      <c r="AL392"/>
      <c r="AM392"/>
      <c r="AN392"/>
      <c r="AS392"/>
      <c r="AT392"/>
      <c r="AU392"/>
      <c r="AV392"/>
      <c r="AW392"/>
      <c r="AX392"/>
      <c r="AY392"/>
      <c r="AZ392"/>
      <c r="BA392"/>
      <c r="BB392"/>
      <c r="BC392"/>
      <c r="BD392"/>
    </row>
    <row r="393" spans="3:56" x14ac:dyDescent="0.25">
      <c r="C393"/>
      <c r="D393" s="7"/>
      <c r="E393" s="7"/>
      <c r="F393" s="7"/>
      <c r="G393" s="7"/>
      <c r="H393" s="7"/>
      <c r="I393" s="7"/>
      <c r="J393" s="7"/>
      <c r="K393" s="7"/>
      <c r="M393" s="7"/>
      <c r="O393" s="6"/>
      <c r="P393" s="6"/>
      <c r="Q393" s="6"/>
      <c r="R393" s="6"/>
      <c r="S393" s="6"/>
      <c r="V393" s="7"/>
      <c r="W393" s="7"/>
      <c r="Z393" s="1"/>
      <c r="AB393"/>
      <c r="AC393"/>
      <c r="AD393"/>
      <c r="AE393"/>
      <c r="AF393"/>
      <c r="AG393"/>
      <c r="AJ393"/>
      <c r="AK393"/>
      <c r="AL393"/>
      <c r="AM393"/>
      <c r="AN393"/>
      <c r="AS393"/>
      <c r="AT393"/>
      <c r="AU393"/>
      <c r="AV393"/>
      <c r="AW393"/>
      <c r="AX393"/>
      <c r="AY393"/>
      <c r="AZ393"/>
      <c r="BA393"/>
      <c r="BB393"/>
      <c r="BC393"/>
      <c r="BD393"/>
    </row>
    <row r="394" spans="3:56" x14ac:dyDescent="0.25">
      <c r="C394"/>
      <c r="D394" s="7"/>
      <c r="E394" s="7"/>
      <c r="F394" s="7"/>
      <c r="G394" s="7"/>
      <c r="H394" s="7"/>
      <c r="I394" s="7"/>
      <c r="J394" s="7"/>
      <c r="K394" s="7"/>
      <c r="M394" s="7"/>
      <c r="O394" s="6"/>
      <c r="P394" s="6"/>
      <c r="Q394" s="6"/>
      <c r="R394" s="6"/>
      <c r="S394" s="6"/>
      <c r="V394" s="7"/>
      <c r="W394" s="7"/>
      <c r="Z394" s="1"/>
      <c r="AB394"/>
      <c r="AC394"/>
      <c r="AD394"/>
      <c r="AE394"/>
      <c r="AF394"/>
      <c r="AG394"/>
      <c r="AJ394"/>
      <c r="AK394"/>
      <c r="AL394"/>
      <c r="AM394"/>
      <c r="AN394"/>
      <c r="AS394"/>
      <c r="AT394"/>
      <c r="AU394"/>
      <c r="AV394"/>
      <c r="AW394"/>
      <c r="AX394"/>
      <c r="AY394"/>
      <c r="AZ394"/>
      <c r="BA394"/>
      <c r="BB394"/>
      <c r="BC394"/>
      <c r="BD394"/>
    </row>
    <row r="395" spans="3:56" x14ac:dyDescent="0.25">
      <c r="C395"/>
      <c r="D395" s="7"/>
      <c r="E395" s="7"/>
      <c r="F395" s="7"/>
      <c r="G395" s="7"/>
      <c r="H395" s="7"/>
      <c r="I395" s="7"/>
      <c r="J395" s="7"/>
      <c r="K395" s="7"/>
      <c r="M395" s="7"/>
      <c r="O395" s="6"/>
      <c r="P395" s="6"/>
      <c r="Q395" s="6"/>
      <c r="R395" s="6"/>
      <c r="S395" s="6"/>
      <c r="V395" s="7"/>
      <c r="W395" s="7"/>
      <c r="Z395" s="1"/>
      <c r="AB395"/>
      <c r="AC395"/>
      <c r="AD395"/>
      <c r="AE395"/>
      <c r="AF395"/>
      <c r="AG395"/>
      <c r="AJ395"/>
      <c r="AK395"/>
      <c r="AL395"/>
      <c r="AM395"/>
      <c r="AN395"/>
      <c r="AS395"/>
      <c r="AT395"/>
      <c r="AU395"/>
      <c r="AV395"/>
      <c r="AW395"/>
      <c r="AX395"/>
      <c r="AY395"/>
      <c r="AZ395"/>
      <c r="BA395"/>
      <c r="BB395"/>
      <c r="BC395"/>
      <c r="BD395"/>
    </row>
    <row r="396" spans="3:56" x14ac:dyDescent="0.25">
      <c r="C396"/>
      <c r="D396" s="7"/>
      <c r="E396" s="7"/>
      <c r="F396" s="7"/>
      <c r="G396" s="7"/>
      <c r="H396" s="7"/>
      <c r="I396" s="7"/>
      <c r="J396" s="7"/>
      <c r="K396" s="7"/>
      <c r="M396" s="7"/>
      <c r="O396" s="6"/>
      <c r="P396" s="6"/>
      <c r="Q396" s="6"/>
      <c r="R396" s="6"/>
      <c r="S396" s="6"/>
      <c r="V396" s="7"/>
      <c r="W396" s="7"/>
      <c r="Z396" s="1"/>
      <c r="AB396"/>
      <c r="AC396"/>
      <c r="AD396"/>
      <c r="AE396"/>
      <c r="AF396"/>
      <c r="AG396"/>
      <c r="AJ396"/>
      <c r="AK396"/>
      <c r="AL396"/>
      <c r="AM396"/>
      <c r="AN396"/>
      <c r="AS396"/>
      <c r="AT396"/>
      <c r="AU396"/>
      <c r="AV396"/>
      <c r="AW396"/>
      <c r="AX396"/>
      <c r="AY396"/>
      <c r="AZ396"/>
      <c r="BA396"/>
      <c r="BB396"/>
      <c r="BC396"/>
      <c r="BD396"/>
    </row>
    <row r="397" spans="3:56" x14ac:dyDescent="0.25">
      <c r="C397"/>
      <c r="D397" s="7"/>
      <c r="E397" s="7"/>
      <c r="F397" s="7"/>
      <c r="G397" s="7"/>
      <c r="H397" s="7"/>
      <c r="I397" s="7"/>
      <c r="J397" s="7"/>
      <c r="K397" s="7"/>
      <c r="M397" s="7"/>
      <c r="O397" s="6"/>
      <c r="P397" s="6"/>
      <c r="Q397" s="6"/>
      <c r="R397" s="6"/>
      <c r="S397" s="6"/>
      <c r="V397" s="7"/>
      <c r="W397" s="7"/>
      <c r="Z397" s="1"/>
      <c r="AB397"/>
      <c r="AC397"/>
      <c r="AD397"/>
      <c r="AE397"/>
      <c r="AF397"/>
      <c r="AG397"/>
      <c r="AJ397"/>
      <c r="AK397"/>
      <c r="AL397"/>
      <c r="AM397"/>
      <c r="AN397"/>
      <c r="AS397"/>
      <c r="AT397"/>
      <c r="AU397"/>
      <c r="AV397"/>
      <c r="AW397"/>
      <c r="AX397"/>
      <c r="AY397"/>
      <c r="AZ397"/>
      <c r="BA397"/>
      <c r="BB397"/>
      <c r="BC397"/>
      <c r="BD397"/>
    </row>
    <row r="398" spans="3:56" x14ac:dyDescent="0.25">
      <c r="C398"/>
      <c r="D398" s="7"/>
      <c r="E398" s="7"/>
      <c r="F398" s="7"/>
      <c r="G398" s="7"/>
      <c r="H398" s="7"/>
      <c r="I398" s="7"/>
      <c r="J398" s="7"/>
      <c r="K398" s="7"/>
      <c r="M398" s="7"/>
      <c r="O398" s="6"/>
      <c r="P398" s="6"/>
      <c r="Q398" s="6"/>
      <c r="R398" s="6"/>
      <c r="S398" s="6"/>
      <c r="V398" s="7"/>
      <c r="W398" s="7"/>
      <c r="Z398" s="1"/>
      <c r="AB398"/>
      <c r="AC398"/>
      <c r="AD398"/>
      <c r="AE398"/>
      <c r="AF398"/>
      <c r="AG398"/>
      <c r="AJ398"/>
      <c r="AK398"/>
      <c r="AL398"/>
      <c r="AM398"/>
      <c r="AN398"/>
      <c r="AS398"/>
      <c r="AT398"/>
      <c r="AU398"/>
      <c r="AV398"/>
      <c r="AW398"/>
      <c r="AX398"/>
      <c r="AY398"/>
      <c r="AZ398"/>
      <c r="BA398"/>
      <c r="BB398"/>
      <c r="BC398"/>
      <c r="BD398"/>
    </row>
    <row r="399" spans="3:56" x14ac:dyDescent="0.25">
      <c r="C399"/>
      <c r="D399" s="7"/>
      <c r="E399" s="7"/>
      <c r="F399" s="7"/>
      <c r="G399" s="7"/>
      <c r="H399" s="7"/>
      <c r="I399" s="7"/>
      <c r="J399" s="7"/>
      <c r="K399" s="7"/>
      <c r="M399" s="7"/>
      <c r="O399" s="6"/>
      <c r="P399" s="6"/>
      <c r="Q399" s="6"/>
      <c r="R399" s="6"/>
      <c r="S399" s="6"/>
      <c r="V399" s="7"/>
      <c r="W399" s="7"/>
      <c r="Z399" s="1"/>
      <c r="AB399"/>
      <c r="AC399"/>
      <c r="AD399"/>
      <c r="AE399"/>
      <c r="AF399"/>
      <c r="AG399"/>
      <c r="AJ399"/>
      <c r="AK399"/>
      <c r="AL399"/>
      <c r="AM399"/>
      <c r="AN399"/>
      <c r="AS399"/>
      <c r="AT399"/>
      <c r="AU399"/>
      <c r="AV399"/>
      <c r="AW399"/>
      <c r="AX399"/>
      <c r="AY399"/>
      <c r="AZ399"/>
      <c r="BA399"/>
      <c r="BB399"/>
      <c r="BC399"/>
      <c r="BD399"/>
    </row>
    <row r="400" spans="3:56" x14ac:dyDescent="0.25">
      <c r="C400"/>
      <c r="D400" s="7"/>
      <c r="E400" s="7"/>
      <c r="F400" s="7"/>
      <c r="G400" s="7"/>
      <c r="H400" s="7"/>
      <c r="I400" s="7"/>
      <c r="J400" s="7"/>
      <c r="K400" s="7"/>
      <c r="M400" s="7"/>
      <c r="O400" s="6"/>
      <c r="P400" s="6"/>
      <c r="Q400" s="6"/>
      <c r="R400" s="6"/>
      <c r="S400" s="6"/>
      <c r="V400" s="7"/>
      <c r="W400" s="7"/>
      <c r="Z400" s="1"/>
      <c r="AB400"/>
      <c r="AC400"/>
      <c r="AD400"/>
      <c r="AE400"/>
      <c r="AF400"/>
      <c r="AG400"/>
      <c r="AJ400"/>
      <c r="AK400"/>
      <c r="AL400"/>
      <c r="AM400"/>
      <c r="AN400"/>
      <c r="AS400"/>
      <c r="AT400"/>
      <c r="AU400"/>
      <c r="AV400"/>
      <c r="AW400"/>
      <c r="AX400"/>
      <c r="AY400"/>
      <c r="AZ400"/>
      <c r="BA400"/>
      <c r="BB400"/>
      <c r="BC400"/>
      <c r="BD400"/>
    </row>
    <row r="401" spans="3:56" x14ac:dyDescent="0.25">
      <c r="C401"/>
      <c r="D401" s="7"/>
      <c r="E401" s="7"/>
      <c r="F401" s="7"/>
      <c r="G401" s="7"/>
      <c r="H401" s="7"/>
      <c r="I401" s="7"/>
      <c r="J401" s="7"/>
      <c r="K401" s="7"/>
      <c r="M401" s="7"/>
      <c r="O401" s="6"/>
      <c r="P401" s="6"/>
      <c r="Q401" s="6"/>
      <c r="R401" s="6"/>
      <c r="S401" s="6"/>
      <c r="V401" s="7"/>
      <c r="W401" s="7"/>
      <c r="Z401" s="1"/>
      <c r="AB401"/>
      <c r="AC401"/>
      <c r="AD401"/>
      <c r="AE401"/>
      <c r="AF401"/>
      <c r="AG401"/>
      <c r="AJ401"/>
      <c r="AK401"/>
      <c r="AL401"/>
      <c r="AM401"/>
      <c r="AN401"/>
      <c r="AS401"/>
      <c r="AT401"/>
      <c r="AU401"/>
      <c r="AV401"/>
      <c r="AW401"/>
      <c r="AX401"/>
      <c r="AY401"/>
      <c r="AZ401"/>
      <c r="BA401"/>
      <c r="BB401"/>
      <c r="BC401"/>
      <c r="BD401"/>
    </row>
    <row r="402" spans="3:56" x14ac:dyDescent="0.25">
      <c r="C402"/>
      <c r="D402" s="7"/>
      <c r="E402" s="7"/>
      <c r="F402" s="7"/>
      <c r="G402" s="7"/>
      <c r="H402" s="7"/>
      <c r="I402" s="7"/>
      <c r="J402" s="7"/>
      <c r="K402" s="7"/>
      <c r="M402" s="7"/>
      <c r="O402" s="6"/>
      <c r="P402" s="6"/>
      <c r="Q402" s="6"/>
      <c r="R402" s="6"/>
      <c r="S402" s="6"/>
      <c r="V402" s="7"/>
      <c r="W402" s="7"/>
      <c r="Z402" s="1"/>
      <c r="AB402"/>
      <c r="AC402"/>
      <c r="AD402"/>
      <c r="AE402"/>
      <c r="AF402"/>
      <c r="AG402"/>
      <c r="AJ402"/>
      <c r="AK402"/>
      <c r="AL402"/>
      <c r="AM402"/>
      <c r="AN402"/>
      <c r="AS402"/>
      <c r="AT402"/>
      <c r="AU402"/>
      <c r="AV402"/>
      <c r="AW402"/>
      <c r="AX402"/>
      <c r="AY402"/>
      <c r="AZ402"/>
      <c r="BA402"/>
      <c r="BB402"/>
      <c r="BC402"/>
      <c r="BD402"/>
    </row>
    <row r="403" spans="3:56" x14ac:dyDescent="0.25">
      <c r="C403"/>
      <c r="D403" s="7"/>
      <c r="E403" s="7"/>
      <c r="F403" s="7"/>
      <c r="G403" s="7"/>
      <c r="H403" s="7"/>
      <c r="I403" s="7"/>
      <c r="J403" s="7"/>
      <c r="K403" s="7"/>
      <c r="M403" s="7"/>
      <c r="O403" s="6"/>
      <c r="P403" s="6"/>
      <c r="Q403" s="6"/>
      <c r="R403" s="6"/>
      <c r="S403" s="6"/>
      <c r="V403" s="7"/>
      <c r="W403" s="7"/>
      <c r="Z403" s="1"/>
      <c r="AB403"/>
      <c r="AC403"/>
      <c r="AD403"/>
      <c r="AE403"/>
      <c r="AF403"/>
      <c r="AG403"/>
      <c r="AJ403"/>
      <c r="AK403"/>
      <c r="AL403"/>
      <c r="AM403"/>
      <c r="AN403"/>
      <c r="AS403"/>
      <c r="AT403"/>
      <c r="AU403"/>
      <c r="AV403"/>
      <c r="AW403"/>
      <c r="AX403"/>
      <c r="AY403"/>
      <c r="AZ403"/>
      <c r="BA403"/>
      <c r="BB403"/>
      <c r="BC403"/>
      <c r="BD403"/>
    </row>
    <row r="404" spans="3:56" x14ac:dyDescent="0.25">
      <c r="C404"/>
      <c r="D404" s="7"/>
      <c r="E404" s="7"/>
      <c r="F404" s="7"/>
      <c r="G404" s="7"/>
      <c r="H404" s="7"/>
      <c r="I404" s="7"/>
      <c r="J404" s="7"/>
      <c r="K404" s="7"/>
      <c r="M404" s="7"/>
      <c r="O404" s="6"/>
      <c r="P404" s="6"/>
      <c r="Q404" s="6"/>
      <c r="R404" s="6"/>
      <c r="S404" s="6"/>
      <c r="V404" s="7"/>
      <c r="W404" s="7"/>
      <c r="Z404" s="1"/>
      <c r="AB404"/>
      <c r="AC404"/>
      <c r="AD404"/>
      <c r="AE404"/>
      <c r="AF404"/>
      <c r="AG404"/>
      <c r="AJ404"/>
      <c r="AK404"/>
      <c r="AL404"/>
      <c r="AM404"/>
      <c r="AN404"/>
      <c r="AS404"/>
      <c r="AT404"/>
      <c r="AU404"/>
      <c r="AV404"/>
      <c r="AW404"/>
      <c r="AX404"/>
      <c r="AY404"/>
      <c r="AZ404"/>
      <c r="BA404"/>
      <c r="BB404"/>
      <c r="BC404"/>
      <c r="BD404"/>
    </row>
    <row r="405" spans="3:56" x14ac:dyDescent="0.25">
      <c r="C405"/>
      <c r="D405" s="7"/>
      <c r="E405" s="7"/>
      <c r="F405" s="7"/>
      <c r="G405" s="7"/>
      <c r="H405" s="7"/>
      <c r="I405" s="7"/>
      <c r="J405" s="7"/>
      <c r="K405" s="7"/>
      <c r="M405" s="7"/>
      <c r="O405" s="6"/>
      <c r="P405" s="6"/>
      <c r="Q405" s="6"/>
      <c r="R405" s="6"/>
      <c r="S405" s="6"/>
      <c r="V405" s="7"/>
      <c r="W405" s="7"/>
      <c r="Z405" s="1"/>
      <c r="AB405"/>
      <c r="AC405"/>
      <c r="AD405"/>
      <c r="AE405"/>
      <c r="AF405"/>
      <c r="AG405"/>
      <c r="AJ405"/>
      <c r="AK405"/>
      <c r="AL405"/>
      <c r="AM405"/>
      <c r="AN405"/>
      <c r="AS405"/>
      <c r="AT405"/>
      <c r="AU405"/>
      <c r="AV405"/>
      <c r="AW405"/>
      <c r="AX405"/>
      <c r="AY405"/>
      <c r="AZ405"/>
      <c r="BA405"/>
      <c r="BB405"/>
      <c r="BC405"/>
      <c r="BD405"/>
    </row>
    <row r="406" spans="3:56" x14ac:dyDescent="0.25">
      <c r="C406"/>
      <c r="D406" s="7"/>
      <c r="E406" s="7"/>
      <c r="F406" s="7"/>
      <c r="G406" s="7"/>
      <c r="H406" s="7"/>
      <c r="I406" s="7"/>
      <c r="J406" s="7"/>
      <c r="K406" s="7"/>
      <c r="M406" s="7"/>
      <c r="O406" s="6"/>
      <c r="P406" s="6"/>
      <c r="Q406" s="6"/>
      <c r="R406" s="6"/>
      <c r="S406" s="6"/>
      <c r="V406" s="7"/>
      <c r="W406" s="7"/>
      <c r="Z406" s="1"/>
      <c r="AB406"/>
      <c r="AC406"/>
      <c r="AD406"/>
      <c r="AE406"/>
      <c r="AF406"/>
      <c r="AG406"/>
      <c r="AJ406"/>
      <c r="AK406"/>
      <c r="AL406"/>
      <c r="AM406"/>
      <c r="AN406"/>
      <c r="AS406"/>
      <c r="AT406"/>
      <c r="AU406"/>
      <c r="AV406"/>
      <c r="AW406"/>
      <c r="AX406"/>
      <c r="AY406"/>
      <c r="AZ406"/>
      <c r="BA406"/>
      <c r="BB406"/>
      <c r="BC406"/>
      <c r="BD406"/>
    </row>
    <row r="407" spans="3:56" x14ac:dyDescent="0.25">
      <c r="C407"/>
      <c r="D407" s="7"/>
      <c r="E407" s="7"/>
      <c r="F407" s="7"/>
      <c r="G407" s="7"/>
      <c r="H407" s="7"/>
      <c r="I407" s="7"/>
      <c r="J407" s="7"/>
      <c r="K407" s="7"/>
      <c r="M407" s="7"/>
      <c r="O407" s="6"/>
      <c r="P407" s="6"/>
      <c r="Q407" s="6"/>
      <c r="R407" s="6"/>
      <c r="S407" s="6"/>
      <c r="V407" s="7"/>
      <c r="W407" s="7"/>
      <c r="Z407" s="1"/>
      <c r="AB407"/>
      <c r="AC407"/>
      <c r="AD407"/>
      <c r="AE407"/>
      <c r="AF407"/>
      <c r="AG407"/>
      <c r="AJ407"/>
      <c r="AK407"/>
      <c r="AL407"/>
      <c r="AM407"/>
      <c r="AN407"/>
      <c r="AS407"/>
      <c r="AT407"/>
      <c r="AU407"/>
      <c r="AV407"/>
      <c r="AW407"/>
      <c r="AX407"/>
      <c r="AY407"/>
      <c r="AZ407"/>
      <c r="BA407"/>
      <c r="BB407"/>
      <c r="BC407"/>
      <c r="BD407"/>
    </row>
    <row r="408" spans="3:56" x14ac:dyDescent="0.25">
      <c r="C408"/>
      <c r="D408" s="7"/>
      <c r="E408" s="7"/>
      <c r="F408" s="7"/>
      <c r="G408" s="7"/>
      <c r="H408" s="7"/>
      <c r="I408" s="7"/>
      <c r="J408" s="7"/>
      <c r="K408" s="7"/>
      <c r="M408" s="7"/>
      <c r="O408" s="6"/>
      <c r="P408" s="6"/>
      <c r="Q408" s="6"/>
      <c r="R408" s="6"/>
      <c r="S408" s="6"/>
      <c r="V408" s="7"/>
      <c r="W408" s="7"/>
      <c r="Z408" s="1"/>
      <c r="AB408"/>
      <c r="AC408"/>
      <c r="AD408"/>
      <c r="AE408"/>
      <c r="AF408"/>
      <c r="AG408"/>
      <c r="AJ408"/>
      <c r="AK408"/>
      <c r="AL408"/>
      <c r="AM408"/>
      <c r="AN408"/>
      <c r="AS408"/>
      <c r="AT408"/>
      <c r="AU408"/>
      <c r="AV408"/>
      <c r="AW408"/>
      <c r="AX408"/>
      <c r="AY408"/>
      <c r="AZ408"/>
      <c r="BA408"/>
      <c r="BB408"/>
      <c r="BC408"/>
      <c r="BD408"/>
    </row>
    <row r="409" spans="3:56" x14ac:dyDescent="0.25">
      <c r="C409"/>
      <c r="D409" s="7"/>
      <c r="E409" s="7"/>
      <c r="F409" s="7"/>
      <c r="G409" s="7"/>
      <c r="H409" s="7"/>
      <c r="I409" s="7"/>
      <c r="J409" s="7"/>
      <c r="K409" s="7"/>
      <c r="M409" s="7"/>
      <c r="O409" s="6"/>
      <c r="P409" s="6"/>
      <c r="Q409" s="6"/>
      <c r="R409" s="6"/>
      <c r="S409" s="6"/>
      <c r="V409" s="7"/>
      <c r="W409" s="7"/>
      <c r="Z409" s="1"/>
      <c r="AB409"/>
      <c r="AC409"/>
      <c r="AD409"/>
      <c r="AE409"/>
      <c r="AF409"/>
      <c r="AG409"/>
      <c r="AJ409"/>
      <c r="AK409"/>
      <c r="AL409"/>
      <c r="AM409"/>
      <c r="AN409"/>
      <c r="AS409"/>
      <c r="AT409"/>
      <c r="AU409"/>
      <c r="AV409"/>
      <c r="AW409"/>
      <c r="AX409"/>
      <c r="AY409"/>
      <c r="AZ409"/>
      <c r="BA409"/>
      <c r="BB409"/>
      <c r="BC409"/>
      <c r="BD409"/>
    </row>
    <row r="410" spans="3:56" x14ac:dyDescent="0.25">
      <c r="C410"/>
      <c r="D410" s="7"/>
      <c r="E410" s="7"/>
      <c r="F410" s="7"/>
      <c r="G410" s="7"/>
      <c r="H410" s="7"/>
      <c r="I410" s="7"/>
      <c r="J410" s="7"/>
      <c r="K410" s="7"/>
      <c r="M410" s="7"/>
      <c r="O410" s="6"/>
      <c r="P410" s="6"/>
      <c r="Q410" s="6"/>
      <c r="R410" s="6"/>
      <c r="S410" s="6"/>
      <c r="V410" s="7"/>
      <c r="W410" s="7"/>
      <c r="Z410" s="1"/>
      <c r="AB410"/>
      <c r="AC410"/>
      <c r="AD410"/>
      <c r="AE410"/>
      <c r="AF410"/>
      <c r="AG410"/>
      <c r="AJ410"/>
      <c r="AK410"/>
      <c r="AL410"/>
      <c r="AM410"/>
      <c r="AN410"/>
      <c r="AS410"/>
      <c r="AT410"/>
      <c r="AU410"/>
      <c r="AV410"/>
      <c r="AW410"/>
      <c r="AX410"/>
      <c r="AY410"/>
      <c r="AZ410"/>
      <c r="BA410"/>
      <c r="BB410"/>
      <c r="BC410"/>
      <c r="BD410"/>
    </row>
    <row r="411" spans="3:56" x14ac:dyDescent="0.25">
      <c r="C411"/>
      <c r="D411" s="7"/>
      <c r="E411" s="7"/>
      <c r="F411" s="7"/>
      <c r="G411" s="7"/>
      <c r="H411" s="7"/>
      <c r="I411" s="7"/>
      <c r="J411" s="7"/>
      <c r="K411" s="7"/>
      <c r="M411" s="7"/>
      <c r="O411" s="6"/>
      <c r="P411" s="6"/>
      <c r="Q411" s="6"/>
      <c r="R411" s="6"/>
      <c r="S411" s="6"/>
      <c r="V411" s="7"/>
      <c r="W411" s="7"/>
      <c r="Z411" s="1"/>
      <c r="AB411"/>
      <c r="AC411"/>
      <c r="AD411"/>
      <c r="AE411"/>
      <c r="AF411"/>
      <c r="AG411"/>
      <c r="AJ411"/>
      <c r="AK411"/>
      <c r="AL411"/>
      <c r="AM411"/>
      <c r="AN411"/>
      <c r="AS411"/>
      <c r="AT411"/>
      <c r="AU411"/>
      <c r="AV411"/>
      <c r="AW411"/>
      <c r="AX411"/>
      <c r="AY411"/>
      <c r="AZ411"/>
      <c r="BA411"/>
      <c r="BB411"/>
      <c r="BC411"/>
      <c r="BD411"/>
    </row>
    <row r="412" spans="3:56" x14ac:dyDescent="0.25">
      <c r="C412"/>
      <c r="D412" s="7"/>
      <c r="E412" s="7"/>
      <c r="F412" s="7"/>
      <c r="G412" s="7"/>
      <c r="H412" s="7"/>
      <c r="I412" s="7"/>
      <c r="J412" s="7"/>
      <c r="K412" s="7"/>
      <c r="M412" s="7"/>
      <c r="O412" s="6"/>
      <c r="P412" s="6"/>
      <c r="Q412" s="6"/>
      <c r="R412" s="6"/>
      <c r="S412" s="6"/>
      <c r="V412" s="7"/>
      <c r="W412" s="7"/>
      <c r="Z412" s="1"/>
      <c r="AB412"/>
      <c r="AC412"/>
      <c r="AD412"/>
      <c r="AE412"/>
      <c r="AF412"/>
      <c r="AG412"/>
      <c r="AJ412"/>
      <c r="AK412"/>
      <c r="AL412"/>
      <c r="AM412"/>
      <c r="AN412"/>
      <c r="AS412"/>
      <c r="AT412"/>
      <c r="AU412"/>
      <c r="AV412"/>
      <c r="AW412"/>
      <c r="AX412"/>
      <c r="AY412"/>
      <c r="AZ412"/>
      <c r="BA412"/>
      <c r="BB412"/>
      <c r="BC412"/>
      <c r="BD412"/>
    </row>
    <row r="413" spans="3:56" x14ac:dyDescent="0.25">
      <c r="C413"/>
      <c r="D413" s="7"/>
      <c r="E413" s="7"/>
      <c r="F413" s="7"/>
      <c r="G413" s="7"/>
      <c r="H413" s="7"/>
      <c r="I413" s="7"/>
      <c r="J413" s="7"/>
      <c r="K413" s="7"/>
      <c r="M413" s="7"/>
      <c r="O413" s="6"/>
      <c r="P413" s="6"/>
      <c r="Q413" s="6"/>
      <c r="R413" s="6"/>
      <c r="S413" s="6"/>
      <c r="V413" s="7"/>
      <c r="W413" s="7"/>
      <c r="Z413" s="1"/>
      <c r="AB413"/>
      <c r="AC413"/>
      <c r="AD413"/>
      <c r="AE413"/>
      <c r="AF413"/>
      <c r="AG413"/>
      <c r="AJ413"/>
      <c r="AK413"/>
      <c r="AL413"/>
      <c r="AM413"/>
      <c r="AN413"/>
      <c r="AS413"/>
      <c r="AT413"/>
      <c r="AU413"/>
      <c r="AV413"/>
      <c r="AW413"/>
      <c r="AX413"/>
      <c r="AY413"/>
      <c r="AZ413"/>
      <c r="BA413"/>
      <c r="BB413"/>
      <c r="BC413"/>
      <c r="BD413"/>
    </row>
    <row r="414" spans="3:56" x14ac:dyDescent="0.25">
      <c r="C414"/>
      <c r="D414" s="7"/>
      <c r="E414" s="7"/>
      <c r="F414" s="7"/>
      <c r="G414" s="7"/>
      <c r="H414" s="7"/>
      <c r="I414" s="7"/>
      <c r="J414" s="7"/>
      <c r="K414" s="7"/>
      <c r="M414" s="7"/>
      <c r="O414" s="6"/>
      <c r="P414" s="6"/>
      <c r="Q414" s="6"/>
      <c r="R414" s="6"/>
      <c r="S414" s="6"/>
      <c r="V414" s="7"/>
      <c r="W414" s="7"/>
      <c r="Z414" s="1"/>
      <c r="AB414"/>
      <c r="AC414"/>
      <c r="AD414"/>
      <c r="AE414"/>
      <c r="AF414"/>
      <c r="AG414"/>
      <c r="AJ414"/>
      <c r="AK414"/>
      <c r="AL414"/>
      <c r="AM414"/>
      <c r="AN414"/>
      <c r="AS414"/>
      <c r="AT414"/>
      <c r="AU414"/>
      <c r="AV414"/>
      <c r="AW414"/>
      <c r="AX414"/>
      <c r="AY414"/>
      <c r="AZ414"/>
      <c r="BA414"/>
      <c r="BB414"/>
      <c r="BC414"/>
      <c r="BD414"/>
    </row>
    <row r="415" spans="3:56" x14ac:dyDescent="0.25">
      <c r="C415"/>
      <c r="D415" s="7"/>
      <c r="E415" s="7"/>
      <c r="F415" s="7"/>
      <c r="G415" s="7"/>
      <c r="H415" s="7"/>
      <c r="I415" s="7"/>
      <c r="J415" s="7"/>
      <c r="K415" s="7"/>
      <c r="M415" s="7"/>
      <c r="O415" s="6"/>
      <c r="P415" s="6"/>
      <c r="Q415" s="6"/>
      <c r="R415" s="6"/>
      <c r="S415" s="6"/>
      <c r="V415" s="7"/>
      <c r="W415" s="7"/>
      <c r="Z415" s="1"/>
      <c r="AB415"/>
      <c r="AC415"/>
      <c r="AD415"/>
      <c r="AE415"/>
      <c r="AF415"/>
      <c r="AG415"/>
      <c r="AJ415"/>
      <c r="AK415"/>
      <c r="AL415"/>
      <c r="AM415"/>
      <c r="AN415"/>
      <c r="AS415"/>
      <c r="AT415"/>
      <c r="AU415"/>
      <c r="AV415"/>
      <c r="AW415"/>
      <c r="AX415"/>
      <c r="AY415"/>
      <c r="AZ415"/>
      <c r="BA415"/>
      <c r="BB415"/>
      <c r="BC415"/>
      <c r="BD415"/>
    </row>
    <row r="416" spans="3:56" x14ac:dyDescent="0.25">
      <c r="C416"/>
      <c r="D416" s="7"/>
      <c r="E416" s="7"/>
      <c r="F416" s="7"/>
      <c r="G416" s="7"/>
      <c r="H416" s="7"/>
      <c r="I416" s="7"/>
      <c r="J416" s="7"/>
      <c r="K416" s="7"/>
      <c r="M416" s="7"/>
      <c r="O416" s="6"/>
      <c r="P416" s="6"/>
      <c r="Q416" s="6"/>
      <c r="R416" s="6"/>
      <c r="S416" s="6"/>
      <c r="V416" s="7"/>
      <c r="W416" s="7"/>
      <c r="Z416" s="1"/>
      <c r="AB416"/>
      <c r="AC416"/>
      <c r="AD416"/>
      <c r="AE416"/>
      <c r="AF416"/>
      <c r="AG416"/>
      <c r="AJ416"/>
      <c r="AK416"/>
      <c r="AL416"/>
      <c r="AM416"/>
      <c r="AN416"/>
      <c r="AS416"/>
      <c r="AT416"/>
      <c r="AU416"/>
      <c r="AV416"/>
      <c r="AW416"/>
      <c r="AX416"/>
      <c r="AY416"/>
      <c r="AZ416"/>
      <c r="BA416"/>
      <c r="BB416"/>
      <c r="BC416"/>
      <c r="BD416"/>
    </row>
    <row r="417" spans="3:56" x14ac:dyDescent="0.25">
      <c r="C417"/>
      <c r="D417" s="7"/>
      <c r="E417" s="7"/>
      <c r="F417" s="7"/>
      <c r="G417" s="7"/>
      <c r="H417" s="7"/>
      <c r="I417" s="7"/>
      <c r="J417" s="7"/>
      <c r="K417" s="7"/>
      <c r="M417" s="7"/>
      <c r="O417" s="6"/>
      <c r="P417" s="6"/>
      <c r="Q417" s="6"/>
      <c r="R417" s="6"/>
      <c r="S417" s="6"/>
      <c r="V417" s="7"/>
      <c r="W417" s="7"/>
      <c r="Z417" s="1"/>
      <c r="AB417"/>
      <c r="AC417"/>
      <c r="AD417"/>
      <c r="AE417"/>
      <c r="AF417"/>
      <c r="AG417"/>
      <c r="AJ417"/>
      <c r="AK417"/>
      <c r="AL417"/>
      <c r="AM417"/>
      <c r="AN417"/>
      <c r="AS417"/>
      <c r="AT417"/>
      <c r="AU417"/>
      <c r="AV417"/>
      <c r="AW417"/>
      <c r="AX417"/>
      <c r="AY417"/>
      <c r="AZ417"/>
      <c r="BA417"/>
      <c r="BB417"/>
      <c r="BC417"/>
      <c r="BD417"/>
    </row>
    <row r="418" spans="3:56" x14ac:dyDescent="0.25">
      <c r="C418"/>
      <c r="D418" s="7"/>
      <c r="E418" s="7"/>
      <c r="F418" s="7"/>
      <c r="G418" s="7"/>
      <c r="H418" s="7"/>
      <c r="I418" s="7"/>
      <c r="J418" s="7"/>
      <c r="K418" s="7"/>
      <c r="M418" s="7"/>
      <c r="O418" s="6"/>
      <c r="P418" s="6"/>
      <c r="Q418" s="6"/>
      <c r="R418" s="6"/>
      <c r="S418" s="6"/>
      <c r="V418" s="7"/>
      <c r="W418" s="7"/>
      <c r="Z418" s="1"/>
      <c r="AB418"/>
      <c r="AC418"/>
      <c r="AD418"/>
      <c r="AE418"/>
      <c r="AF418"/>
      <c r="AG418"/>
      <c r="AJ418"/>
      <c r="AK418"/>
      <c r="AL418"/>
      <c r="AM418"/>
      <c r="AN418"/>
      <c r="AS418"/>
      <c r="AT418"/>
      <c r="AU418"/>
      <c r="AV418"/>
      <c r="AW418"/>
      <c r="AX418"/>
      <c r="AY418"/>
      <c r="AZ418"/>
      <c r="BA418"/>
      <c r="BB418"/>
      <c r="BC418"/>
      <c r="BD418"/>
    </row>
    <row r="419" spans="3:56" x14ac:dyDescent="0.25">
      <c r="C419"/>
      <c r="D419" s="7"/>
      <c r="E419" s="7"/>
      <c r="F419" s="7"/>
      <c r="G419" s="7"/>
      <c r="H419" s="7"/>
      <c r="I419" s="7"/>
      <c r="J419" s="7"/>
      <c r="K419" s="7"/>
      <c r="M419" s="7"/>
      <c r="O419" s="6"/>
      <c r="P419" s="6"/>
      <c r="Q419" s="6"/>
      <c r="R419" s="6"/>
      <c r="S419" s="6"/>
      <c r="V419" s="7"/>
      <c r="W419" s="7"/>
      <c r="Z419" s="1"/>
      <c r="AB419"/>
      <c r="AC419"/>
      <c r="AD419"/>
      <c r="AE419"/>
      <c r="AF419"/>
      <c r="AG419"/>
      <c r="AJ419"/>
      <c r="AK419"/>
      <c r="AL419"/>
      <c r="AM419"/>
      <c r="AN419"/>
      <c r="AS419"/>
      <c r="AT419"/>
      <c r="AU419"/>
      <c r="AV419"/>
      <c r="AW419"/>
      <c r="AX419"/>
      <c r="AY419"/>
      <c r="AZ419"/>
      <c r="BA419"/>
      <c r="BB419"/>
      <c r="BC419"/>
      <c r="BD419"/>
    </row>
    <row r="420" spans="3:56" x14ac:dyDescent="0.25">
      <c r="C420"/>
      <c r="D420" s="7"/>
      <c r="E420" s="7"/>
      <c r="F420" s="7"/>
      <c r="G420" s="7"/>
      <c r="H420" s="7"/>
      <c r="I420" s="7"/>
      <c r="J420" s="7"/>
      <c r="K420" s="7"/>
      <c r="M420" s="7"/>
      <c r="O420" s="6"/>
      <c r="P420" s="6"/>
      <c r="Q420" s="6"/>
      <c r="R420" s="6"/>
      <c r="S420" s="6"/>
      <c r="V420" s="7"/>
      <c r="W420" s="7"/>
      <c r="Z420" s="1"/>
      <c r="AB420"/>
      <c r="AC420"/>
      <c r="AD420"/>
      <c r="AE420"/>
      <c r="AF420"/>
      <c r="AG420"/>
      <c r="AJ420"/>
      <c r="AK420"/>
      <c r="AL420"/>
      <c r="AM420"/>
      <c r="AN420"/>
      <c r="AS420"/>
      <c r="AT420"/>
      <c r="AU420"/>
      <c r="AV420"/>
      <c r="AW420"/>
      <c r="AX420"/>
      <c r="AY420"/>
      <c r="AZ420"/>
      <c r="BA420"/>
      <c r="BB420"/>
      <c r="BC420"/>
      <c r="BD420"/>
    </row>
    <row r="421" spans="3:56" x14ac:dyDescent="0.25">
      <c r="C421"/>
      <c r="D421" s="7"/>
      <c r="E421" s="7"/>
      <c r="F421" s="7"/>
      <c r="G421" s="7"/>
      <c r="H421" s="7"/>
      <c r="I421" s="7"/>
      <c r="J421" s="7"/>
      <c r="K421" s="7"/>
      <c r="M421" s="7"/>
      <c r="O421" s="6"/>
      <c r="P421" s="6"/>
      <c r="Q421" s="6"/>
      <c r="R421" s="6"/>
      <c r="S421" s="6"/>
      <c r="V421" s="7"/>
      <c r="W421" s="7"/>
      <c r="Z421" s="1"/>
      <c r="AB421"/>
      <c r="AC421"/>
      <c r="AD421"/>
      <c r="AE421"/>
      <c r="AF421"/>
      <c r="AG421"/>
      <c r="AJ421"/>
      <c r="AK421"/>
      <c r="AL421"/>
      <c r="AM421"/>
      <c r="AN421"/>
      <c r="AS421"/>
      <c r="AT421"/>
      <c r="AU421"/>
      <c r="AV421"/>
      <c r="AW421"/>
      <c r="AX421"/>
      <c r="AY421"/>
      <c r="AZ421"/>
      <c r="BA421"/>
      <c r="BB421"/>
      <c r="BC421"/>
      <c r="BD421"/>
    </row>
    <row r="422" spans="3:56" x14ac:dyDescent="0.25">
      <c r="C422"/>
      <c r="D422" s="7"/>
      <c r="E422" s="7"/>
      <c r="F422" s="7"/>
      <c r="G422" s="7"/>
      <c r="H422" s="7"/>
      <c r="I422" s="7"/>
      <c r="J422" s="7"/>
      <c r="K422" s="7"/>
      <c r="M422" s="7"/>
      <c r="O422" s="6"/>
      <c r="P422" s="6"/>
      <c r="Q422" s="6"/>
      <c r="R422" s="6"/>
      <c r="S422" s="6"/>
      <c r="V422" s="7"/>
      <c r="W422" s="7"/>
      <c r="Z422" s="1"/>
      <c r="AB422"/>
      <c r="AC422"/>
      <c r="AD422"/>
      <c r="AE422"/>
      <c r="AF422"/>
      <c r="AG422"/>
      <c r="AJ422"/>
      <c r="AK422"/>
      <c r="AL422"/>
      <c r="AM422"/>
      <c r="AN422"/>
      <c r="AS422"/>
      <c r="AT422"/>
      <c r="AU422"/>
      <c r="AV422"/>
      <c r="AW422"/>
      <c r="AX422"/>
      <c r="AY422"/>
      <c r="AZ422"/>
      <c r="BA422"/>
      <c r="BB422"/>
      <c r="BC422"/>
      <c r="BD422"/>
    </row>
    <row r="423" spans="3:56" x14ac:dyDescent="0.25">
      <c r="C423"/>
      <c r="D423" s="7"/>
      <c r="E423" s="7"/>
      <c r="F423" s="7"/>
      <c r="G423" s="7"/>
      <c r="H423" s="7"/>
      <c r="I423" s="7"/>
      <c r="J423" s="7"/>
      <c r="K423" s="7"/>
      <c r="M423" s="7"/>
      <c r="O423" s="6"/>
      <c r="P423" s="6"/>
      <c r="Q423" s="6"/>
      <c r="R423" s="6"/>
      <c r="S423" s="6"/>
      <c r="V423" s="7"/>
      <c r="W423" s="7"/>
      <c r="Z423" s="1"/>
      <c r="AB423"/>
      <c r="AC423"/>
      <c r="AD423"/>
      <c r="AE423"/>
      <c r="AF423"/>
      <c r="AG423"/>
      <c r="AJ423"/>
      <c r="AK423"/>
      <c r="AL423"/>
      <c r="AM423"/>
      <c r="AN423"/>
      <c r="AS423"/>
      <c r="AT423"/>
      <c r="AU423"/>
      <c r="AV423"/>
      <c r="AW423"/>
      <c r="AX423"/>
      <c r="AY423"/>
      <c r="AZ423"/>
      <c r="BA423"/>
      <c r="BB423"/>
      <c r="BC423"/>
      <c r="BD423"/>
    </row>
    <row r="424" spans="3:56" x14ac:dyDescent="0.25">
      <c r="C424"/>
      <c r="D424" s="7"/>
      <c r="E424" s="7"/>
      <c r="F424" s="7"/>
      <c r="G424" s="7"/>
      <c r="H424" s="7"/>
      <c r="I424" s="7"/>
      <c r="J424" s="7"/>
      <c r="K424" s="7"/>
      <c r="M424" s="7"/>
      <c r="O424" s="6"/>
      <c r="P424" s="6"/>
      <c r="Q424" s="6"/>
      <c r="R424" s="6"/>
      <c r="S424" s="6"/>
      <c r="V424" s="7"/>
      <c r="W424" s="7"/>
      <c r="Z424" s="1"/>
      <c r="AB424"/>
      <c r="AC424"/>
      <c r="AD424"/>
      <c r="AE424"/>
      <c r="AF424"/>
      <c r="AG424"/>
      <c r="AJ424"/>
      <c r="AK424"/>
      <c r="AL424"/>
      <c r="AM424"/>
      <c r="AN424"/>
      <c r="AS424"/>
      <c r="AT424"/>
      <c r="AU424"/>
      <c r="AV424"/>
      <c r="AW424"/>
      <c r="AX424"/>
      <c r="AY424"/>
      <c r="AZ424"/>
      <c r="BA424"/>
      <c r="BB424"/>
      <c r="BC424"/>
      <c r="BD424"/>
    </row>
    <row r="425" spans="3:56" x14ac:dyDescent="0.25">
      <c r="C425"/>
      <c r="D425" s="7"/>
      <c r="E425" s="7"/>
      <c r="F425" s="7"/>
      <c r="G425" s="7"/>
      <c r="H425" s="7"/>
      <c r="I425" s="7"/>
      <c r="J425" s="7"/>
      <c r="K425" s="7"/>
      <c r="M425" s="7"/>
      <c r="O425" s="6"/>
      <c r="P425" s="6"/>
      <c r="Q425" s="6"/>
      <c r="R425" s="6"/>
      <c r="S425" s="6"/>
      <c r="V425" s="7"/>
      <c r="W425" s="7"/>
      <c r="Z425" s="1"/>
      <c r="AB425"/>
      <c r="AC425"/>
      <c r="AD425"/>
      <c r="AE425"/>
      <c r="AF425"/>
      <c r="AG425"/>
      <c r="AJ425"/>
      <c r="AK425"/>
      <c r="AL425"/>
      <c r="AM425"/>
      <c r="AN425"/>
      <c r="AS425"/>
      <c r="AT425"/>
      <c r="AU425"/>
      <c r="AV425"/>
      <c r="AW425"/>
      <c r="AX425"/>
      <c r="AY425"/>
      <c r="AZ425"/>
      <c r="BA425"/>
      <c r="BB425"/>
      <c r="BC425"/>
      <c r="BD425"/>
    </row>
    <row r="426" spans="3:56" x14ac:dyDescent="0.25">
      <c r="C426"/>
      <c r="D426" s="7"/>
      <c r="E426" s="7"/>
      <c r="F426" s="7"/>
      <c r="G426" s="7"/>
      <c r="H426" s="7"/>
      <c r="I426" s="7"/>
      <c r="J426" s="7"/>
      <c r="K426" s="7"/>
      <c r="M426" s="7"/>
      <c r="O426" s="6"/>
      <c r="P426" s="6"/>
      <c r="Q426" s="6"/>
      <c r="R426" s="6"/>
      <c r="S426" s="6"/>
      <c r="V426" s="7"/>
      <c r="W426" s="7"/>
      <c r="Z426" s="1"/>
      <c r="AB426"/>
      <c r="AC426"/>
      <c r="AD426"/>
      <c r="AE426"/>
      <c r="AF426"/>
      <c r="AG426"/>
      <c r="AJ426"/>
      <c r="AK426"/>
      <c r="AL426"/>
      <c r="AM426"/>
      <c r="AN426"/>
      <c r="AS426"/>
      <c r="AT426"/>
      <c r="AU426"/>
      <c r="AV426"/>
      <c r="AW426"/>
      <c r="AX426"/>
      <c r="AY426"/>
      <c r="AZ426"/>
      <c r="BA426"/>
      <c r="BB426"/>
      <c r="BC426"/>
      <c r="BD426"/>
    </row>
    <row r="427" spans="3:56" x14ac:dyDescent="0.25">
      <c r="C427"/>
      <c r="D427" s="7"/>
      <c r="E427" s="7"/>
      <c r="F427" s="7"/>
      <c r="G427" s="7"/>
      <c r="H427" s="7"/>
      <c r="I427" s="7"/>
      <c r="J427" s="7"/>
      <c r="K427" s="7"/>
      <c r="M427" s="7"/>
      <c r="O427" s="6"/>
      <c r="P427" s="6"/>
      <c r="Q427" s="6"/>
      <c r="R427" s="6"/>
      <c r="S427" s="6"/>
      <c r="V427" s="7"/>
      <c r="W427" s="7"/>
      <c r="Z427" s="1"/>
      <c r="AB427"/>
      <c r="AC427"/>
      <c r="AD427"/>
      <c r="AE427"/>
      <c r="AF427"/>
      <c r="AG427"/>
      <c r="AJ427"/>
      <c r="AK427"/>
      <c r="AL427"/>
      <c r="AM427"/>
      <c r="AN427"/>
      <c r="AS427"/>
      <c r="AT427"/>
      <c r="AU427"/>
      <c r="AV427"/>
      <c r="AW427"/>
      <c r="AX427"/>
      <c r="AY427"/>
      <c r="AZ427"/>
      <c r="BA427"/>
      <c r="BB427"/>
      <c r="BC427"/>
      <c r="BD427"/>
    </row>
    <row r="428" spans="3:56" x14ac:dyDescent="0.25">
      <c r="C428"/>
      <c r="D428" s="7"/>
      <c r="E428" s="7"/>
      <c r="F428" s="7"/>
      <c r="G428" s="7"/>
      <c r="H428" s="7"/>
      <c r="I428" s="7"/>
      <c r="J428" s="7"/>
      <c r="K428" s="7"/>
      <c r="M428" s="7"/>
      <c r="O428" s="6"/>
      <c r="P428" s="6"/>
      <c r="Q428" s="6"/>
      <c r="R428" s="6"/>
      <c r="S428" s="6"/>
      <c r="V428" s="7"/>
      <c r="W428" s="7"/>
      <c r="Z428" s="1"/>
      <c r="AB428"/>
      <c r="AC428"/>
      <c r="AD428"/>
      <c r="AE428"/>
      <c r="AF428"/>
      <c r="AG428"/>
      <c r="AJ428"/>
      <c r="AK428"/>
      <c r="AL428"/>
      <c r="AM428"/>
      <c r="AN428"/>
      <c r="AS428"/>
      <c r="AT428"/>
      <c r="AU428"/>
      <c r="AV428"/>
      <c r="AW428"/>
      <c r="AX428"/>
      <c r="AY428"/>
      <c r="AZ428"/>
      <c r="BA428"/>
      <c r="BB428"/>
      <c r="BC428"/>
      <c r="BD428"/>
    </row>
    <row r="429" spans="3:56" x14ac:dyDescent="0.25">
      <c r="C429"/>
      <c r="D429" s="7"/>
      <c r="E429" s="7"/>
      <c r="F429" s="7"/>
      <c r="G429" s="7"/>
      <c r="H429" s="7"/>
      <c r="I429" s="7"/>
      <c r="J429" s="7"/>
      <c r="K429" s="7"/>
      <c r="M429" s="7"/>
      <c r="O429" s="6"/>
      <c r="P429" s="6"/>
      <c r="Q429" s="6"/>
      <c r="R429" s="6"/>
      <c r="S429" s="6"/>
      <c r="V429" s="7"/>
      <c r="W429" s="7"/>
      <c r="Z429" s="1"/>
      <c r="AB429"/>
      <c r="AC429"/>
      <c r="AD429"/>
      <c r="AE429"/>
      <c r="AF429"/>
      <c r="AG429"/>
      <c r="AJ429"/>
      <c r="AK429"/>
      <c r="AL429"/>
      <c r="AM429"/>
      <c r="AN429"/>
      <c r="AS429"/>
      <c r="AT429"/>
      <c r="AU429"/>
      <c r="AV429"/>
      <c r="AW429"/>
      <c r="AX429"/>
      <c r="AY429"/>
      <c r="AZ429"/>
      <c r="BA429"/>
      <c r="BB429"/>
      <c r="BC429"/>
      <c r="BD429"/>
    </row>
    <row r="430" spans="3:56" x14ac:dyDescent="0.25">
      <c r="C430"/>
      <c r="D430" s="7"/>
      <c r="E430" s="7"/>
      <c r="F430" s="7"/>
      <c r="G430" s="7"/>
      <c r="H430" s="7"/>
      <c r="I430" s="7"/>
      <c r="J430" s="7"/>
      <c r="K430" s="7"/>
      <c r="M430" s="7"/>
      <c r="O430" s="6"/>
      <c r="P430" s="6"/>
      <c r="Q430" s="6"/>
      <c r="R430" s="6"/>
      <c r="S430" s="6"/>
      <c r="V430" s="7"/>
      <c r="W430" s="7"/>
      <c r="Z430" s="1"/>
      <c r="AB430"/>
      <c r="AC430"/>
      <c r="AD430"/>
      <c r="AE430"/>
      <c r="AF430"/>
      <c r="AG430"/>
      <c r="AJ430"/>
      <c r="AK430"/>
      <c r="AL430"/>
      <c r="AM430"/>
      <c r="AN430"/>
      <c r="AS430"/>
      <c r="AT430"/>
      <c r="AU430"/>
      <c r="AV430"/>
      <c r="AW430"/>
      <c r="AX430"/>
      <c r="AY430"/>
      <c r="AZ430"/>
      <c r="BA430"/>
      <c r="BB430"/>
      <c r="BC430"/>
      <c r="BD430"/>
    </row>
    <row r="431" spans="3:56" x14ac:dyDescent="0.25">
      <c r="C431"/>
      <c r="D431" s="7"/>
      <c r="E431" s="7"/>
      <c r="F431" s="7"/>
      <c r="G431" s="7"/>
      <c r="H431" s="7"/>
      <c r="I431" s="7"/>
      <c r="J431" s="7"/>
      <c r="K431" s="7"/>
      <c r="M431" s="7"/>
      <c r="O431" s="6"/>
      <c r="P431" s="6"/>
      <c r="Q431" s="6"/>
      <c r="R431" s="6"/>
      <c r="S431" s="6"/>
      <c r="V431" s="7"/>
      <c r="W431" s="7"/>
      <c r="Z431" s="1"/>
      <c r="AB431"/>
      <c r="AC431"/>
      <c r="AD431"/>
      <c r="AE431"/>
      <c r="AF431"/>
      <c r="AG431"/>
      <c r="AJ431"/>
      <c r="AK431"/>
      <c r="AL431"/>
      <c r="AM431"/>
      <c r="AN431"/>
      <c r="AS431"/>
      <c r="AT431"/>
      <c r="AU431"/>
      <c r="AV431"/>
      <c r="AW431"/>
      <c r="AX431"/>
      <c r="AY431"/>
      <c r="AZ431"/>
      <c r="BA431"/>
      <c r="BB431"/>
      <c r="BC431"/>
      <c r="BD431"/>
    </row>
    <row r="432" spans="3:56" x14ac:dyDescent="0.25">
      <c r="C432"/>
      <c r="D432" s="7"/>
      <c r="E432" s="7"/>
      <c r="F432" s="7"/>
      <c r="G432" s="7"/>
      <c r="H432" s="7"/>
      <c r="I432" s="7"/>
      <c r="J432" s="7"/>
      <c r="K432" s="7"/>
      <c r="M432" s="7"/>
      <c r="O432" s="6"/>
      <c r="P432" s="6"/>
      <c r="Q432" s="6"/>
      <c r="R432" s="6"/>
      <c r="S432" s="6"/>
      <c r="V432" s="7"/>
      <c r="W432" s="7"/>
      <c r="Z432" s="1"/>
      <c r="AB432"/>
      <c r="AC432"/>
      <c r="AD432"/>
      <c r="AE432"/>
      <c r="AF432"/>
      <c r="AG432"/>
      <c r="AJ432"/>
      <c r="AK432"/>
      <c r="AL432"/>
      <c r="AM432"/>
      <c r="AN432"/>
      <c r="AS432"/>
      <c r="AT432"/>
      <c r="AU432"/>
      <c r="AV432"/>
      <c r="AW432"/>
      <c r="AX432"/>
      <c r="AY432"/>
      <c r="AZ432"/>
      <c r="BA432"/>
      <c r="BB432"/>
      <c r="BC432"/>
      <c r="BD432"/>
    </row>
    <row r="433" spans="3:56" x14ac:dyDescent="0.25">
      <c r="C433"/>
      <c r="D433" s="7"/>
      <c r="E433" s="7"/>
      <c r="F433" s="7"/>
      <c r="G433" s="7"/>
      <c r="H433" s="7"/>
      <c r="I433" s="7"/>
      <c r="J433" s="7"/>
      <c r="K433" s="7"/>
      <c r="M433" s="7"/>
      <c r="O433" s="6"/>
      <c r="P433" s="6"/>
      <c r="Q433" s="6"/>
      <c r="R433" s="6"/>
      <c r="S433" s="6"/>
      <c r="V433" s="7"/>
      <c r="W433" s="7"/>
      <c r="Z433" s="1"/>
      <c r="AB433"/>
      <c r="AC433"/>
      <c r="AD433"/>
      <c r="AE433"/>
      <c r="AF433"/>
      <c r="AG433"/>
      <c r="AJ433"/>
      <c r="AK433"/>
      <c r="AL433"/>
      <c r="AM433"/>
      <c r="AN433"/>
      <c r="AS433"/>
      <c r="AT433"/>
      <c r="AU433"/>
      <c r="AV433"/>
      <c r="AW433"/>
      <c r="AX433"/>
      <c r="AY433"/>
      <c r="AZ433"/>
      <c r="BA433"/>
      <c r="BB433"/>
      <c r="BC433"/>
      <c r="BD433"/>
    </row>
    <row r="434" spans="3:56" x14ac:dyDescent="0.25">
      <c r="C434"/>
      <c r="D434" s="7"/>
      <c r="E434" s="7"/>
      <c r="F434" s="7"/>
      <c r="G434" s="7"/>
      <c r="H434" s="7"/>
      <c r="I434" s="7"/>
      <c r="J434" s="7"/>
      <c r="K434" s="7"/>
      <c r="M434" s="7"/>
      <c r="O434" s="6"/>
      <c r="P434" s="6"/>
      <c r="Q434" s="6"/>
      <c r="R434" s="6"/>
      <c r="S434" s="6"/>
      <c r="V434" s="7"/>
      <c r="W434" s="7"/>
      <c r="Z434" s="1"/>
      <c r="AB434"/>
      <c r="AC434"/>
      <c r="AD434"/>
      <c r="AE434"/>
      <c r="AF434"/>
      <c r="AG434"/>
      <c r="AJ434"/>
      <c r="AK434"/>
      <c r="AL434"/>
      <c r="AM434"/>
      <c r="AN434"/>
      <c r="AS434"/>
      <c r="AT434"/>
      <c r="AU434"/>
      <c r="AV434"/>
      <c r="AW434"/>
      <c r="AX434"/>
      <c r="AY434"/>
      <c r="AZ434"/>
      <c r="BA434"/>
      <c r="BB434"/>
      <c r="BC434"/>
      <c r="BD434"/>
    </row>
    <row r="435" spans="3:56" x14ac:dyDescent="0.25">
      <c r="C435"/>
      <c r="D435" s="7"/>
      <c r="E435" s="7"/>
      <c r="F435" s="7"/>
      <c r="G435" s="7"/>
      <c r="H435" s="7"/>
      <c r="I435" s="7"/>
      <c r="J435" s="7"/>
      <c r="K435" s="7"/>
      <c r="M435" s="7"/>
      <c r="O435" s="6"/>
      <c r="P435" s="6"/>
      <c r="Q435" s="6"/>
      <c r="R435" s="6"/>
      <c r="S435" s="6"/>
      <c r="V435" s="7"/>
      <c r="W435" s="7"/>
      <c r="Z435" s="1"/>
      <c r="AB435"/>
      <c r="AC435"/>
      <c r="AD435"/>
      <c r="AE435"/>
      <c r="AF435"/>
      <c r="AG435"/>
      <c r="AJ435"/>
      <c r="AK435"/>
      <c r="AL435"/>
      <c r="AM435"/>
      <c r="AN435"/>
      <c r="AS435"/>
      <c r="AT435"/>
      <c r="AU435"/>
      <c r="AV435"/>
      <c r="AW435"/>
      <c r="AX435"/>
      <c r="AY435"/>
      <c r="AZ435"/>
      <c r="BA435"/>
      <c r="BB435"/>
      <c r="BC435"/>
      <c r="BD435"/>
    </row>
    <row r="436" spans="3:56" x14ac:dyDescent="0.25">
      <c r="C436"/>
      <c r="D436" s="7"/>
      <c r="E436" s="7"/>
      <c r="F436" s="7"/>
      <c r="G436" s="7"/>
      <c r="H436" s="7"/>
      <c r="I436" s="7"/>
      <c r="J436" s="7"/>
      <c r="K436" s="7"/>
      <c r="M436" s="7"/>
      <c r="O436" s="6"/>
      <c r="P436" s="6"/>
      <c r="Q436" s="6"/>
      <c r="R436" s="6"/>
      <c r="S436" s="6"/>
      <c r="V436" s="7"/>
      <c r="W436" s="7"/>
      <c r="Z436" s="1"/>
      <c r="AB436"/>
      <c r="AC436"/>
      <c r="AD436"/>
      <c r="AE436"/>
      <c r="AF436"/>
      <c r="AG436"/>
      <c r="AJ436"/>
      <c r="AK436"/>
      <c r="AL436"/>
      <c r="AM436"/>
      <c r="AN436"/>
      <c r="AS436"/>
      <c r="AT436"/>
      <c r="AU436"/>
      <c r="AV436"/>
      <c r="AW436"/>
      <c r="AX436"/>
      <c r="AY436"/>
      <c r="AZ436"/>
      <c r="BA436"/>
      <c r="BB436"/>
      <c r="BC436"/>
      <c r="BD436"/>
    </row>
    <row r="437" spans="3:56" x14ac:dyDescent="0.25">
      <c r="C437"/>
      <c r="D437" s="7"/>
      <c r="E437" s="7"/>
      <c r="F437" s="7"/>
      <c r="G437" s="7"/>
      <c r="H437" s="7"/>
      <c r="I437" s="7"/>
      <c r="J437" s="7"/>
      <c r="K437" s="7"/>
      <c r="M437" s="7"/>
      <c r="O437" s="6"/>
      <c r="P437" s="6"/>
      <c r="Q437" s="6"/>
      <c r="R437" s="6"/>
      <c r="S437" s="6"/>
      <c r="V437" s="7"/>
      <c r="W437" s="7"/>
      <c r="Z437" s="1"/>
      <c r="AB437"/>
      <c r="AC437"/>
      <c r="AD437"/>
      <c r="AE437"/>
      <c r="AF437"/>
      <c r="AG437"/>
      <c r="AJ437"/>
      <c r="AK437"/>
      <c r="AL437"/>
      <c r="AM437"/>
      <c r="AN437"/>
      <c r="AS437"/>
      <c r="AT437"/>
      <c r="AU437"/>
      <c r="AV437"/>
      <c r="AW437"/>
      <c r="AX437"/>
      <c r="AY437"/>
      <c r="AZ437"/>
      <c r="BA437"/>
      <c r="BB437"/>
      <c r="BC437"/>
      <c r="BD437"/>
    </row>
    <row r="438" spans="3:56" x14ac:dyDescent="0.25">
      <c r="C438"/>
      <c r="D438" s="7"/>
      <c r="E438" s="7"/>
      <c r="F438" s="7"/>
      <c r="G438" s="7"/>
      <c r="H438" s="7"/>
      <c r="I438" s="7"/>
      <c r="J438" s="7"/>
      <c r="K438" s="7"/>
      <c r="M438" s="7"/>
      <c r="O438" s="6"/>
      <c r="P438" s="6"/>
      <c r="Q438" s="6"/>
      <c r="R438" s="6"/>
      <c r="S438" s="6"/>
      <c r="V438" s="7"/>
      <c r="W438" s="7"/>
      <c r="Z438" s="1"/>
      <c r="AB438"/>
      <c r="AC438"/>
      <c r="AD438"/>
      <c r="AE438"/>
      <c r="AF438"/>
      <c r="AG438"/>
      <c r="AJ438"/>
      <c r="AK438"/>
      <c r="AL438"/>
      <c r="AM438"/>
      <c r="AN438"/>
      <c r="AS438"/>
      <c r="AT438"/>
      <c r="AU438"/>
      <c r="AV438"/>
      <c r="AW438"/>
      <c r="AX438"/>
      <c r="AY438"/>
      <c r="AZ438"/>
      <c r="BA438"/>
      <c r="BB438"/>
      <c r="BC438"/>
      <c r="BD438"/>
    </row>
    <row r="439" spans="3:56" x14ac:dyDescent="0.25">
      <c r="C439"/>
      <c r="D439" s="7"/>
      <c r="E439" s="7"/>
      <c r="F439" s="7"/>
      <c r="G439" s="7"/>
      <c r="H439" s="7"/>
      <c r="I439" s="7"/>
      <c r="J439" s="7"/>
      <c r="K439" s="7"/>
      <c r="M439" s="7"/>
      <c r="O439" s="6"/>
      <c r="P439" s="6"/>
      <c r="Q439" s="6"/>
      <c r="R439" s="6"/>
      <c r="S439" s="6"/>
      <c r="V439" s="7"/>
      <c r="W439" s="7"/>
      <c r="Z439" s="1"/>
      <c r="AB439"/>
      <c r="AC439"/>
      <c r="AD439"/>
      <c r="AE439"/>
      <c r="AF439"/>
      <c r="AG439"/>
      <c r="AJ439"/>
      <c r="AK439"/>
      <c r="AL439"/>
      <c r="AM439"/>
      <c r="AN439"/>
      <c r="AS439"/>
      <c r="AT439"/>
      <c r="AU439"/>
      <c r="AV439"/>
      <c r="AW439"/>
      <c r="AX439"/>
      <c r="AY439"/>
      <c r="AZ439"/>
      <c r="BA439"/>
      <c r="BB439"/>
      <c r="BC439"/>
      <c r="BD439"/>
    </row>
    <row r="440" spans="3:56" x14ac:dyDescent="0.25">
      <c r="C440"/>
      <c r="D440" s="7"/>
      <c r="E440" s="7"/>
      <c r="F440" s="7"/>
      <c r="G440" s="7"/>
      <c r="H440" s="7"/>
      <c r="I440" s="7"/>
      <c r="J440" s="7"/>
      <c r="K440" s="7"/>
      <c r="M440" s="7"/>
      <c r="O440" s="6"/>
      <c r="P440" s="6"/>
      <c r="Q440" s="6"/>
      <c r="R440" s="6"/>
      <c r="S440" s="6"/>
      <c r="V440" s="7"/>
      <c r="W440" s="7"/>
      <c r="Z440" s="1"/>
      <c r="AB440"/>
      <c r="AC440"/>
      <c r="AD440"/>
      <c r="AE440"/>
      <c r="AF440"/>
      <c r="AG440"/>
      <c r="AJ440"/>
      <c r="AK440"/>
      <c r="AL440"/>
      <c r="AM440"/>
      <c r="AN440"/>
      <c r="AS440"/>
      <c r="AT440"/>
      <c r="AU440"/>
      <c r="AV440"/>
      <c r="AW440"/>
      <c r="AX440"/>
      <c r="AY440"/>
      <c r="AZ440"/>
      <c r="BA440"/>
      <c r="BB440"/>
      <c r="BC440"/>
      <c r="BD440"/>
    </row>
    <row r="441" spans="3:56" x14ac:dyDescent="0.25">
      <c r="C441"/>
      <c r="D441" s="7"/>
      <c r="E441" s="7"/>
      <c r="F441" s="7"/>
      <c r="G441" s="7"/>
      <c r="H441" s="7"/>
      <c r="I441" s="7"/>
      <c r="J441" s="7"/>
      <c r="K441" s="7"/>
      <c r="M441" s="7"/>
      <c r="O441" s="6"/>
      <c r="P441" s="6"/>
      <c r="Q441" s="6"/>
      <c r="R441" s="6"/>
      <c r="S441" s="6"/>
      <c r="V441" s="7"/>
      <c r="W441" s="7"/>
      <c r="Z441" s="1"/>
      <c r="AB441"/>
      <c r="AC441"/>
      <c r="AD441"/>
      <c r="AE441"/>
      <c r="AF441"/>
      <c r="AG441"/>
      <c r="AJ441"/>
      <c r="AK441"/>
      <c r="AL441"/>
      <c r="AM441"/>
      <c r="AN441"/>
      <c r="AS441"/>
      <c r="AT441"/>
      <c r="AU441"/>
      <c r="AV441"/>
      <c r="AW441"/>
      <c r="AX441"/>
      <c r="AY441"/>
      <c r="AZ441"/>
      <c r="BA441"/>
      <c r="BB441"/>
      <c r="BC441"/>
      <c r="BD441"/>
    </row>
    <row r="442" spans="3:56" x14ac:dyDescent="0.25">
      <c r="C442"/>
      <c r="D442" s="7"/>
      <c r="E442" s="7"/>
      <c r="F442" s="7"/>
      <c r="G442" s="7"/>
      <c r="H442" s="7"/>
      <c r="I442" s="7"/>
      <c r="J442" s="7"/>
      <c r="K442" s="7"/>
      <c r="M442" s="7"/>
      <c r="O442" s="6"/>
      <c r="P442" s="6"/>
      <c r="Q442" s="6"/>
      <c r="R442" s="6"/>
      <c r="S442" s="6"/>
      <c r="V442" s="7"/>
      <c r="W442" s="7"/>
      <c r="Z442" s="1"/>
      <c r="AB442"/>
      <c r="AC442"/>
      <c r="AD442"/>
      <c r="AE442"/>
      <c r="AF442"/>
      <c r="AG442"/>
      <c r="AJ442"/>
      <c r="AK442"/>
      <c r="AL442"/>
      <c r="AM442"/>
      <c r="AN442"/>
      <c r="AS442"/>
      <c r="AT442"/>
      <c r="AU442"/>
      <c r="AV442"/>
      <c r="AW442"/>
      <c r="AX442"/>
      <c r="AY442"/>
      <c r="AZ442"/>
      <c r="BA442"/>
      <c r="BB442"/>
      <c r="BC442"/>
      <c r="BD442"/>
    </row>
    <row r="443" spans="3:56" x14ac:dyDescent="0.25">
      <c r="C443"/>
      <c r="D443" s="7"/>
      <c r="E443" s="7"/>
      <c r="F443" s="7"/>
      <c r="G443" s="7"/>
      <c r="H443" s="7"/>
      <c r="I443" s="7"/>
      <c r="J443" s="7"/>
      <c r="K443" s="7"/>
      <c r="M443" s="7"/>
      <c r="O443" s="6"/>
      <c r="P443" s="6"/>
      <c r="Q443" s="6"/>
      <c r="R443" s="6"/>
      <c r="S443" s="6"/>
      <c r="V443" s="7"/>
      <c r="W443" s="7"/>
      <c r="Z443" s="1"/>
      <c r="AB443"/>
      <c r="AC443"/>
      <c r="AD443"/>
      <c r="AE443"/>
      <c r="AF443"/>
      <c r="AG443"/>
      <c r="AJ443"/>
      <c r="AK443"/>
      <c r="AL443"/>
      <c r="AM443"/>
      <c r="AN443"/>
      <c r="AS443"/>
      <c r="AT443"/>
      <c r="AU443"/>
      <c r="AV443"/>
      <c r="AW443"/>
      <c r="AX443"/>
      <c r="AY443"/>
      <c r="AZ443"/>
      <c r="BA443"/>
      <c r="BB443"/>
      <c r="BC443"/>
      <c r="BD443"/>
    </row>
    <row r="444" spans="3:56" x14ac:dyDescent="0.25">
      <c r="C444"/>
      <c r="D444" s="7"/>
      <c r="E444" s="7"/>
      <c r="F444" s="7"/>
      <c r="G444" s="7"/>
      <c r="H444" s="7"/>
      <c r="I444" s="7"/>
      <c r="J444" s="7"/>
      <c r="K444" s="7"/>
      <c r="M444" s="7"/>
      <c r="O444" s="6"/>
      <c r="P444" s="6"/>
      <c r="Q444" s="6"/>
      <c r="R444" s="6"/>
      <c r="S444" s="6"/>
      <c r="V444" s="7"/>
      <c r="W444" s="7"/>
      <c r="Z444" s="1"/>
      <c r="AB444"/>
      <c r="AC444"/>
      <c r="AD444"/>
      <c r="AE444"/>
      <c r="AF444"/>
      <c r="AG444"/>
      <c r="AJ444"/>
      <c r="AK444"/>
      <c r="AL444"/>
      <c r="AM444"/>
      <c r="AN444"/>
      <c r="AS444"/>
      <c r="AT444"/>
      <c r="AU444"/>
      <c r="AV444"/>
      <c r="AW444"/>
      <c r="AX444"/>
      <c r="AY444"/>
      <c r="AZ444"/>
      <c r="BA444"/>
      <c r="BB444"/>
      <c r="BC444"/>
      <c r="BD444"/>
    </row>
    <row r="445" spans="3:56" x14ac:dyDescent="0.25">
      <c r="C445"/>
      <c r="D445" s="7"/>
      <c r="E445" s="7"/>
      <c r="F445" s="7"/>
      <c r="G445" s="7"/>
      <c r="H445" s="7"/>
      <c r="I445" s="7"/>
      <c r="J445" s="7"/>
      <c r="K445" s="7"/>
      <c r="M445" s="7"/>
      <c r="O445" s="6"/>
      <c r="P445" s="6"/>
      <c r="Q445" s="6"/>
      <c r="R445" s="6"/>
      <c r="S445" s="6"/>
      <c r="V445" s="7"/>
      <c r="W445" s="7"/>
      <c r="Z445" s="1"/>
      <c r="AB445"/>
      <c r="AC445"/>
      <c r="AD445"/>
      <c r="AE445"/>
      <c r="AF445"/>
      <c r="AG445"/>
      <c r="AJ445"/>
      <c r="AK445"/>
      <c r="AL445"/>
      <c r="AM445"/>
      <c r="AN445"/>
      <c r="AS445"/>
      <c r="AT445"/>
      <c r="AU445"/>
      <c r="AV445"/>
      <c r="AW445"/>
      <c r="AX445"/>
      <c r="AY445"/>
      <c r="AZ445"/>
      <c r="BA445"/>
      <c r="BB445"/>
      <c r="BC445"/>
      <c r="BD445"/>
    </row>
    <row r="446" spans="3:56" x14ac:dyDescent="0.25">
      <c r="C446"/>
      <c r="D446" s="7"/>
      <c r="E446" s="7"/>
      <c r="F446" s="7"/>
      <c r="G446" s="7"/>
      <c r="H446" s="7"/>
      <c r="I446" s="7"/>
      <c r="J446" s="7"/>
      <c r="K446" s="7"/>
      <c r="M446" s="7"/>
      <c r="O446" s="6"/>
      <c r="P446" s="6"/>
      <c r="Q446" s="6"/>
      <c r="R446" s="6"/>
      <c r="S446" s="6"/>
      <c r="V446" s="7"/>
      <c r="W446" s="7"/>
      <c r="Z446" s="1"/>
      <c r="AB446"/>
      <c r="AC446"/>
      <c r="AD446"/>
      <c r="AE446"/>
      <c r="AF446"/>
      <c r="AG446"/>
      <c r="AJ446"/>
      <c r="AK446"/>
      <c r="AL446"/>
      <c r="AM446"/>
      <c r="AN446"/>
      <c r="AS446"/>
      <c r="AT446"/>
      <c r="AU446"/>
      <c r="AV446"/>
      <c r="AW446"/>
      <c r="AX446"/>
      <c r="AY446"/>
      <c r="AZ446"/>
      <c r="BA446"/>
      <c r="BB446"/>
      <c r="BC446"/>
      <c r="BD446"/>
    </row>
    <row r="447" spans="3:56" x14ac:dyDescent="0.25">
      <c r="C447"/>
      <c r="D447" s="7"/>
      <c r="E447" s="7"/>
      <c r="F447" s="7"/>
      <c r="G447" s="7"/>
      <c r="H447" s="7"/>
      <c r="I447" s="7"/>
      <c r="J447" s="7"/>
      <c r="K447" s="7"/>
      <c r="M447" s="7"/>
      <c r="O447" s="6"/>
      <c r="P447" s="6"/>
      <c r="Q447" s="6"/>
      <c r="R447" s="6"/>
      <c r="S447" s="6"/>
      <c r="V447" s="7"/>
      <c r="W447" s="7"/>
      <c r="Z447" s="1"/>
      <c r="AB447"/>
      <c r="AC447"/>
      <c r="AD447"/>
      <c r="AE447"/>
      <c r="AF447"/>
      <c r="AG447"/>
      <c r="AJ447"/>
      <c r="AK447"/>
      <c r="AL447"/>
      <c r="AM447"/>
      <c r="AN447"/>
      <c r="AS447"/>
      <c r="AT447"/>
      <c r="AU447"/>
      <c r="AV447"/>
      <c r="AW447"/>
      <c r="AX447"/>
      <c r="AY447"/>
      <c r="AZ447"/>
      <c r="BA447"/>
      <c r="BB447"/>
      <c r="BC447"/>
      <c r="BD447"/>
    </row>
    <row r="448" spans="3:56" x14ac:dyDescent="0.25">
      <c r="C448"/>
      <c r="D448" s="7"/>
      <c r="E448" s="7"/>
      <c r="F448" s="7"/>
      <c r="G448" s="7"/>
      <c r="H448" s="7"/>
      <c r="I448" s="7"/>
      <c r="J448" s="7"/>
      <c r="K448" s="7"/>
      <c r="M448" s="7"/>
      <c r="O448" s="6"/>
      <c r="P448" s="6"/>
      <c r="Q448" s="6"/>
      <c r="R448" s="6"/>
      <c r="S448" s="6"/>
      <c r="V448" s="7"/>
      <c r="W448" s="7"/>
      <c r="Z448" s="1"/>
      <c r="AB448"/>
      <c r="AC448"/>
      <c r="AD448"/>
      <c r="AE448"/>
      <c r="AF448"/>
      <c r="AG448"/>
      <c r="AJ448"/>
      <c r="AK448"/>
      <c r="AL448"/>
      <c r="AM448"/>
      <c r="AN448"/>
      <c r="AS448"/>
      <c r="AT448"/>
      <c r="AU448"/>
      <c r="AV448"/>
      <c r="AW448"/>
      <c r="AX448"/>
      <c r="AY448"/>
      <c r="AZ448"/>
      <c r="BA448"/>
      <c r="BB448"/>
      <c r="BC448"/>
      <c r="BD448"/>
    </row>
    <row r="449" spans="3:56" x14ac:dyDescent="0.25">
      <c r="C449"/>
      <c r="D449" s="7"/>
      <c r="E449" s="7"/>
      <c r="F449" s="7"/>
      <c r="G449" s="7"/>
      <c r="H449" s="7"/>
      <c r="I449" s="7"/>
      <c r="J449" s="7"/>
      <c r="K449" s="7"/>
      <c r="M449" s="7"/>
      <c r="O449" s="6"/>
      <c r="P449" s="6"/>
      <c r="Q449" s="6"/>
      <c r="R449" s="6"/>
      <c r="S449" s="6"/>
      <c r="V449" s="7"/>
      <c r="W449" s="7"/>
      <c r="Z449" s="1"/>
      <c r="AB449"/>
      <c r="AC449"/>
      <c r="AD449"/>
      <c r="AE449"/>
      <c r="AF449"/>
      <c r="AG449"/>
      <c r="AJ449"/>
      <c r="AK449"/>
      <c r="AL449"/>
      <c r="AM449"/>
      <c r="AN449"/>
      <c r="AS449"/>
      <c r="AT449"/>
      <c r="AU449"/>
      <c r="AV449"/>
      <c r="AW449"/>
      <c r="AX449"/>
      <c r="AY449"/>
      <c r="AZ449"/>
      <c r="BA449"/>
      <c r="BB449"/>
      <c r="BC449"/>
      <c r="BD449"/>
    </row>
    <row r="450" spans="3:56" x14ac:dyDescent="0.25">
      <c r="C450"/>
      <c r="D450" s="7"/>
      <c r="E450" s="7"/>
      <c r="F450" s="7"/>
      <c r="G450" s="7"/>
      <c r="H450" s="7"/>
      <c r="I450" s="7"/>
      <c r="J450" s="7"/>
      <c r="K450" s="7"/>
      <c r="M450" s="7"/>
      <c r="O450" s="6"/>
      <c r="P450" s="6"/>
      <c r="Q450" s="6"/>
      <c r="R450" s="6"/>
      <c r="S450" s="6"/>
      <c r="V450" s="7"/>
      <c r="W450" s="7"/>
      <c r="Z450" s="1"/>
      <c r="AB450"/>
      <c r="AC450"/>
      <c r="AD450"/>
      <c r="AE450"/>
      <c r="AF450"/>
      <c r="AG450"/>
      <c r="AJ450"/>
      <c r="AK450"/>
      <c r="AL450"/>
      <c r="AM450"/>
      <c r="AN450"/>
      <c r="AS450"/>
      <c r="AT450"/>
      <c r="AU450"/>
      <c r="AV450"/>
      <c r="AW450"/>
      <c r="AX450"/>
      <c r="AY450"/>
      <c r="AZ450"/>
      <c r="BA450"/>
      <c r="BB450"/>
      <c r="BC450"/>
      <c r="BD450"/>
    </row>
    <row r="451" spans="3:56" x14ac:dyDescent="0.25">
      <c r="C451"/>
      <c r="D451" s="7"/>
      <c r="E451" s="7"/>
      <c r="F451" s="7"/>
      <c r="G451" s="7"/>
      <c r="H451" s="7"/>
      <c r="I451" s="7"/>
      <c r="J451" s="7"/>
      <c r="K451" s="7"/>
      <c r="M451" s="7"/>
      <c r="O451" s="6"/>
      <c r="P451" s="6"/>
      <c r="Q451" s="6"/>
      <c r="R451" s="6"/>
      <c r="S451" s="6"/>
      <c r="V451" s="7"/>
      <c r="W451" s="7"/>
      <c r="Z451" s="1"/>
      <c r="AB451"/>
      <c r="AC451"/>
      <c r="AD451"/>
      <c r="AE451"/>
      <c r="AF451"/>
      <c r="AG451"/>
      <c r="AJ451"/>
      <c r="AK451"/>
      <c r="AL451"/>
      <c r="AM451"/>
      <c r="AN451"/>
      <c r="AS451"/>
      <c r="AT451"/>
      <c r="AU451"/>
      <c r="AV451"/>
      <c r="AW451"/>
      <c r="AX451"/>
      <c r="AY451"/>
      <c r="AZ451"/>
      <c r="BA451"/>
      <c r="BB451"/>
      <c r="BC451"/>
      <c r="BD451"/>
    </row>
    <row r="452" spans="3:56" x14ac:dyDescent="0.25">
      <c r="C452"/>
      <c r="D452" s="7"/>
      <c r="E452" s="7"/>
      <c r="F452" s="7"/>
      <c r="G452" s="7"/>
      <c r="H452" s="7"/>
      <c r="I452" s="7"/>
      <c r="J452" s="7"/>
      <c r="K452" s="7"/>
      <c r="M452" s="7"/>
      <c r="O452" s="6"/>
      <c r="P452" s="6"/>
      <c r="Q452" s="6"/>
      <c r="R452" s="6"/>
      <c r="S452" s="6"/>
      <c r="V452" s="7"/>
      <c r="W452" s="7"/>
      <c r="Z452" s="1"/>
      <c r="AB452"/>
      <c r="AC452"/>
      <c r="AD452"/>
      <c r="AE452"/>
      <c r="AF452"/>
      <c r="AG452"/>
      <c r="AJ452"/>
      <c r="AK452"/>
      <c r="AL452"/>
      <c r="AM452"/>
      <c r="AN452"/>
      <c r="AS452"/>
      <c r="AT452"/>
      <c r="AU452"/>
      <c r="AV452"/>
      <c r="AW452"/>
      <c r="AX452"/>
      <c r="AY452"/>
      <c r="AZ452"/>
      <c r="BA452"/>
      <c r="BB452"/>
      <c r="BC452"/>
      <c r="BD452"/>
    </row>
    <row r="453" spans="3:56" x14ac:dyDescent="0.25">
      <c r="C453"/>
      <c r="D453" s="7"/>
      <c r="E453" s="7"/>
      <c r="F453" s="7"/>
      <c r="G453" s="7"/>
      <c r="H453" s="7"/>
      <c r="I453" s="7"/>
      <c r="J453" s="7"/>
      <c r="K453" s="7"/>
      <c r="M453" s="7"/>
      <c r="O453" s="6"/>
      <c r="P453" s="6"/>
      <c r="Q453" s="6"/>
      <c r="R453" s="6"/>
      <c r="S453" s="6"/>
      <c r="V453" s="7"/>
      <c r="W453" s="7"/>
      <c r="Z453" s="1"/>
      <c r="AB453"/>
      <c r="AC453"/>
      <c r="AD453"/>
      <c r="AE453"/>
      <c r="AF453"/>
      <c r="AG453"/>
      <c r="AJ453"/>
      <c r="AK453"/>
      <c r="AL453"/>
      <c r="AM453"/>
      <c r="AN453"/>
      <c r="AS453"/>
      <c r="AT453"/>
      <c r="AU453"/>
      <c r="AV453"/>
      <c r="AW453"/>
      <c r="AX453"/>
      <c r="AY453"/>
      <c r="AZ453"/>
      <c r="BA453"/>
      <c r="BB453"/>
      <c r="BC453"/>
      <c r="BD453"/>
    </row>
    <row r="454" spans="3:56" x14ac:dyDescent="0.25">
      <c r="C454"/>
      <c r="D454" s="7"/>
      <c r="E454" s="7"/>
      <c r="F454" s="7"/>
      <c r="G454" s="7"/>
      <c r="H454" s="7"/>
      <c r="I454" s="7"/>
      <c r="J454" s="7"/>
      <c r="K454" s="7"/>
      <c r="M454" s="7"/>
      <c r="O454" s="6"/>
      <c r="P454" s="6"/>
      <c r="Q454" s="6"/>
      <c r="R454" s="6"/>
      <c r="S454" s="6"/>
      <c r="V454" s="7"/>
      <c r="W454" s="7"/>
      <c r="Z454" s="1"/>
      <c r="AB454"/>
      <c r="AC454"/>
      <c r="AD454"/>
      <c r="AE454"/>
      <c r="AF454"/>
      <c r="AG454"/>
      <c r="AJ454"/>
      <c r="AK454"/>
      <c r="AL454"/>
      <c r="AM454"/>
      <c r="AN454"/>
      <c r="AS454"/>
      <c r="AT454"/>
      <c r="AU454"/>
      <c r="AV454"/>
      <c r="AW454"/>
      <c r="AX454"/>
      <c r="AY454"/>
      <c r="AZ454"/>
      <c r="BA454"/>
      <c r="BB454"/>
      <c r="BC454"/>
      <c r="BD454"/>
    </row>
    <row r="455" spans="3:56" x14ac:dyDescent="0.25">
      <c r="C455"/>
      <c r="D455" s="7"/>
      <c r="E455" s="7"/>
      <c r="F455" s="7"/>
      <c r="G455" s="7"/>
      <c r="H455" s="7"/>
      <c r="I455" s="7"/>
      <c r="J455" s="7"/>
      <c r="K455" s="7"/>
      <c r="M455" s="7"/>
      <c r="O455" s="6"/>
      <c r="P455" s="6"/>
      <c r="Q455" s="6"/>
      <c r="R455" s="6"/>
      <c r="S455" s="6"/>
      <c r="V455" s="7"/>
      <c r="W455" s="7"/>
      <c r="Z455" s="1"/>
      <c r="AB455"/>
      <c r="AC455"/>
      <c r="AD455"/>
      <c r="AE455"/>
      <c r="AF455"/>
      <c r="AG455"/>
      <c r="AJ455"/>
      <c r="AK455"/>
      <c r="AL455"/>
      <c r="AM455"/>
      <c r="AN455"/>
      <c r="AS455"/>
      <c r="AT455"/>
      <c r="AU455"/>
      <c r="AV455"/>
      <c r="AW455"/>
      <c r="AX455"/>
      <c r="AY455"/>
      <c r="AZ455"/>
      <c r="BA455"/>
      <c r="BB455"/>
      <c r="BC455"/>
      <c r="BD455"/>
    </row>
    <row r="456" spans="3:56" x14ac:dyDescent="0.25">
      <c r="C456"/>
      <c r="D456" s="7"/>
      <c r="E456" s="7"/>
      <c r="F456" s="7"/>
      <c r="G456" s="7"/>
      <c r="H456" s="7"/>
      <c r="I456" s="7"/>
      <c r="J456" s="7"/>
      <c r="K456" s="7"/>
      <c r="M456" s="7"/>
      <c r="O456" s="6"/>
      <c r="P456" s="6"/>
      <c r="Q456" s="6"/>
      <c r="R456" s="6"/>
      <c r="S456" s="6"/>
      <c r="V456" s="7"/>
      <c r="W456" s="7"/>
      <c r="Z456" s="1"/>
      <c r="AB456"/>
      <c r="AC456"/>
      <c r="AD456"/>
      <c r="AE456"/>
      <c r="AF456"/>
      <c r="AG456"/>
      <c r="AJ456"/>
      <c r="AK456"/>
      <c r="AL456"/>
      <c r="AM456"/>
      <c r="AN456"/>
      <c r="AS456"/>
      <c r="AT456"/>
      <c r="AU456"/>
      <c r="AV456"/>
      <c r="AW456"/>
      <c r="AX456"/>
      <c r="AY456"/>
      <c r="AZ456"/>
      <c r="BA456"/>
      <c r="BB456"/>
      <c r="BC456"/>
      <c r="BD456"/>
    </row>
    <row r="457" spans="3:56" x14ac:dyDescent="0.25">
      <c r="C457"/>
      <c r="D457" s="7"/>
      <c r="E457" s="7"/>
      <c r="F457" s="7"/>
      <c r="G457" s="7"/>
      <c r="H457" s="7"/>
      <c r="I457" s="7"/>
      <c r="J457" s="7"/>
      <c r="K457" s="7"/>
      <c r="M457" s="7"/>
      <c r="O457" s="6"/>
      <c r="P457" s="6"/>
      <c r="Q457" s="6"/>
      <c r="R457" s="6"/>
      <c r="S457" s="6"/>
      <c r="V457" s="7"/>
      <c r="W457" s="7"/>
      <c r="Z457" s="1"/>
      <c r="AB457"/>
      <c r="AC457"/>
      <c r="AD457"/>
      <c r="AE457"/>
      <c r="AF457"/>
      <c r="AG457"/>
      <c r="AJ457"/>
      <c r="AK457"/>
      <c r="AL457"/>
      <c r="AM457"/>
      <c r="AN457"/>
      <c r="AS457"/>
      <c r="AT457"/>
      <c r="AU457"/>
      <c r="AV457"/>
      <c r="AW457"/>
      <c r="AX457"/>
      <c r="AY457"/>
      <c r="AZ457"/>
      <c r="BA457"/>
      <c r="BB457"/>
      <c r="BC457"/>
      <c r="BD457"/>
    </row>
    <row r="458" spans="3:56" x14ac:dyDescent="0.25">
      <c r="C458"/>
      <c r="D458" s="7"/>
      <c r="E458" s="7"/>
      <c r="F458" s="7"/>
      <c r="G458" s="7"/>
      <c r="H458" s="7"/>
      <c r="I458" s="7"/>
      <c r="J458" s="7"/>
      <c r="K458" s="7"/>
      <c r="M458" s="7"/>
      <c r="O458" s="6"/>
      <c r="P458" s="6"/>
      <c r="Q458" s="6"/>
      <c r="R458" s="6"/>
      <c r="S458" s="6"/>
      <c r="V458" s="7"/>
      <c r="W458" s="7"/>
      <c r="Z458" s="1"/>
      <c r="AB458"/>
      <c r="AC458"/>
      <c r="AD458"/>
      <c r="AE458"/>
      <c r="AF458"/>
      <c r="AG458"/>
      <c r="AJ458"/>
      <c r="AK458"/>
      <c r="AL458"/>
      <c r="AM458"/>
      <c r="AN458"/>
      <c r="AS458"/>
      <c r="AT458"/>
      <c r="AU458"/>
      <c r="AV458"/>
      <c r="AW458"/>
      <c r="AX458"/>
      <c r="AY458"/>
      <c r="AZ458"/>
      <c r="BA458"/>
      <c r="BB458"/>
      <c r="BC458"/>
      <c r="BD458"/>
    </row>
    <row r="459" spans="3:56" x14ac:dyDescent="0.25">
      <c r="C459"/>
      <c r="D459" s="7"/>
      <c r="E459" s="7"/>
      <c r="F459" s="7"/>
      <c r="G459" s="7"/>
      <c r="H459" s="7"/>
      <c r="I459" s="7"/>
      <c r="J459" s="7"/>
      <c r="K459" s="7"/>
      <c r="M459" s="7"/>
      <c r="O459" s="6"/>
      <c r="P459" s="6"/>
      <c r="Q459" s="6"/>
      <c r="R459" s="6"/>
      <c r="S459" s="6"/>
      <c r="V459" s="7"/>
      <c r="W459" s="7"/>
      <c r="Z459" s="1"/>
      <c r="AB459"/>
      <c r="AC459"/>
      <c r="AD459"/>
      <c r="AE459"/>
      <c r="AF459"/>
      <c r="AG459"/>
      <c r="AJ459"/>
      <c r="AK459"/>
      <c r="AL459"/>
      <c r="AM459"/>
      <c r="AN459"/>
      <c r="AS459"/>
      <c r="AT459"/>
      <c r="AU459"/>
      <c r="AV459"/>
      <c r="AW459"/>
      <c r="AX459"/>
      <c r="AY459"/>
      <c r="AZ459"/>
      <c r="BA459"/>
      <c r="BB459"/>
      <c r="BC459"/>
      <c r="BD459"/>
    </row>
    <row r="460" spans="3:56" x14ac:dyDescent="0.25">
      <c r="C460"/>
      <c r="D460" s="7"/>
      <c r="E460" s="7"/>
      <c r="F460" s="7"/>
      <c r="G460" s="7"/>
      <c r="H460" s="7"/>
      <c r="I460" s="7"/>
      <c r="J460" s="7"/>
      <c r="K460" s="7"/>
      <c r="M460" s="7"/>
      <c r="O460" s="6"/>
      <c r="P460" s="6"/>
      <c r="Q460" s="6"/>
      <c r="R460" s="6"/>
      <c r="S460" s="6"/>
      <c r="V460" s="7"/>
      <c r="W460" s="7"/>
      <c r="Z460" s="1"/>
      <c r="AB460"/>
      <c r="AC460"/>
      <c r="AD460"/>
      <c r="AE460"/>
      <c r="AF460"/>
      <c r="AG460"/>
      <c r="AJ460"/>
      <c r="AK460"/>
      <c r="AL460"/>
      <c r="AM460"/>
      <c r="AN460"/>
      <c r="AS460"/>
      <c r="AT460"/>
      <c r="AU460"/>
      <c r="AV460"/>
      <c r="AW460"/>
      <c r="AX460"/>
      <c r="AY460"/>
      <c r="AZ460"/>
      <c r="BA460"/>
      <c r="BB460"/>
      <c r="BC460"/>
      <c r="BD460"/>
    </row>
    <row r="461" spans="3:56" x14ac:dyDescent="0.25">
      <c r="C461"/>
      <c r="D461" s="7"/>
      <c r="E461" s="7"/>
      <c r="F461" s="7"/>
      <c r="G461" s="7"/>
      <c r="H461" s="7"/>
      <c r="I461" s="7"/>
      <c r="J461" s="7"/>
      <c r="K461" s="7"/>
      <c r="M461" s="7"/>
      <c r="O461" s="6"/>
      <c r="P461" s="6"/>
      <c r="Q461" s="6"/>
      <c r="R461" s="6"/>
      <c r="S461" s="6"/>
      <c r="V461" s="7"/>
      <c r="W461" s="7"/>
      <c r="Z461" s="1"/>
      <c r="AB461"/>
      <c r="AC461"/>
      <c r="AD461"/>
      <c r="AE461"/>
      <c r="AF461"/>
      <c r="AG461"/>
      <c r="AJ461"/>
      <c r="AK461"/>
      <c r="AL461"/>
      <c r="AM461"/>
      <c r="AN461"/>
      <c r="AS461"/>
      <c r="AT461"/>
      <c r="AU461"/>
      <c r="AV461"/>
      <c r="AW461"/>
      <c r="AX461"/>
      <c r="AY461"/>
      <c r="AZ461"/>
      <c r="BA461"/>
      <c r="BB461"/>
      <c r="BC461"/>
      <c r="BD461"/>
    </row>
    <row r="462" spans="3:56" x14ac:dyDescent="0.25">
      <c r="C462"/>
      <c r="D462" s="7"/>
      <c r="E462" s="7"/>
      <c r="F462" s="7"/>
      <c r="G462" s="7"/>
      <c r="H462" s="7"/>
      <c r="I462" s="7"/>
      <c r="J462" s="7"/>
      <c r="K462" s="7"/>
      <c r="M462" s="7"/>
      <c r="O462" s="6"/>
      <c r="P462" s="6"/>
      <c r="Q462" s="6"/>
      <c r="R462" s="6"/>
      <c r="S462" s="6"/>
      <c r="V462" s="7"/>
      <c r="W462" s="7"/>
      <c r="Z462" s="1"/>
      <c r="AB462"/>
      <c r="AC462"/>
      <c r="AD462"/>
      <c r="AE462"/>
      <c r="AF462"/>
      <c r="AG462"/>
      <c r="AJ462"/>
      <c r="AK462"/>
      <c r="AL462"/>
      <c r="AM462"/>
      <c r="AN462"/>
      <c r="AS462"/>
      <c r="AT462"/>
      <c r="AU462"/>
      <c r="AV462"/>
      <c r="AW462"/>
      <c r="AX462"/>
      <c r="AY462"/>
      <c r="AZ462"/>
      <c r="BA462"/>
      <c r="BB462"/>
      <c r="BC462"/>
      <c r="BD462"/>
    </row>
    <row r="463" spans="3:56" x14ac:dyDescent="0.25">
      <c r="C463"/>
      <c r="D463" s="7"/>
      <c r="E463" s="7"/>
      <c r="F463" s="7"/>
      <c r="G463" s="7"/>
      <c r="H463" s="7"/>
      <c r="I463" s="7"/>
      <c r="J463" s="7"/>
      <c r="K463" s="7"/>
      <c r="M463" s="7"/>
      <c r="O463" s="6"/>
      <c r="P463" s="6"/>
      <c r="Q463" s="6"/>
      <c r="R463" s="6"/>
      <c r="S463" s="6"/>
      <c r="V463" s="7"/>
      <c r="W463" s="7"/>
      <c r="Z463" s="1"/>
      <c r="AB463"/>
      <c r="AC463"/>
      <c r="AD463"/>
      <c r="AE463"/>
      <c r="AF463"/>
      <c r="AG463"/>
      <c r="AJ463"/>
      <c r="AK463"/>
      <c r="AL463"/>
      <c r="AM463"/>
      <c r="AN463"/>
      <c r="AS463"/>
      <c r="AT463"/>
      <c r="AU463"/>
      <c r="AV463"/>
      <c r="AW463"/>
      <c r="AX463"/>
      <c r="AY463"/>
      <c r="AZ463"/>
      <c r="BA463"/>
      <c r="BB463"/>
      <c r="BC463"/>
      <c r="BD463"/>
    </row>
    <row r="464" spans="3:56" x14ac:dyDescent="0.25">
      <c r="C464"/>
      <c r="D464" s="7"/>
      <c r="E464" s="7"/>
      <c r="F464" s="7"/>
      <c r="G464" s="7"/>
      <c r="H464" s="7"/>
      <c r="I464" s="7"/>
      <c r="J464" s="7"/>
      <c r="K464" s="7"/>
      <c r="M464" s="7"/>
      <c r="O464" s="6"/>
      <c r="P464" s="6"/>
      <c r="Q464" s="6"/>
      <c r="R464" s="6"/>
      <c r="S464" s="6"/>
      <c r="V464" s="7"/>
      <c r="W464" s="7"/>
      <c r="Z464" s="1"/>
      <c r="AB464"/>
      <c r="AC464"/>
      <c r="AD464"/>
      <c r="AE464"/>
      <c r="AF464"/>
      <c r="AG464"/>
      <c r="AJ464"/>
      <c r="AK464"/>
      <c r="AL464"/>
      <c r="AM464"/>
      <c r="AN464"/>
      <c r="AS464"/>
      <c r="AT464"/>
      <c r="AU464"/>
      <c r="AV464"/>
      <c r="AW464"/>
      <c r="AX464"/>
      <c r="AY464"/>
      <c r="AZ464"/>
      <c r="BA464"/>
      <c r="BB464"/>
      <c r="BC464"/>
      <c r="BD464"/>
    </row>
    <row r="465" spans="3:56" x14ac:dyDescent="0.25">
      <c r="C465"/>
      <c r="D465" s="7"/>
      <c r="E465" s="7"/>
      <c r="F465" s="7"/>
      <c r="G465" s="7"/>
      <c r="H465" s="7"/>
      <c r="I465" s="7"/>
      <c r="J465" s="7"/>
      <c r="K465" s="7"/>
      <c r="M465" s="7"/>
      <c r="O465" s="6"/>
      <c r="P465" s="6"/>
      <c r="Q465" s="6"/>
      <c r="R465" s="6"/>
      <c r="S465" s="6"/>
      <c r="V465" s="7"/>
      <c r="W465" s="7"/>
      <c r="Z465" s="1"/>
      <c r="AB465"/>
      <c r="AC465"/>
      <c r="AD465"/>
      <c r="AE465"/>
      <c r="AF465"/>
      <c r="AG465"/>
      <c r="AJ465"/>
      <c r="AK465"/>
      <c r="AL465"/>
      <c r="AM465"/>
      <c r="AN465"/>
      <c r="AS465"/>
      <c r="AT465"/>
      <c r="AU465"/>
      <c r="AV465"/>
      <c r="AW465"/>
      <c r="AX465"/>
      <c r="AY465"/>
      <c r="AZ465"/>
      <c r="BA465"/>
      <c r="BB465"/>
      <c r="BC465"/>
      <c r="BD465"/>
    </row>
    <row r="466" spans="3:56" x14ac:dyDescent="0.25">
      <c r="C466"/>
      <c r="D466" s="7"/>
      <c r="E466" s="7"/>
      <c r="F466" s="7"/>
      <c r="G466" s="7"/>
      <c r="H466" s="7"/>
      <c r="I466" s="7"/>
      <c r="J466" s="7"/>
      <c r="K466" s="7"/>
      <c r="M466" s="7"/>
      <c r="O466" s="6"/>
      <c r="P466" s="6"/>
      <c r="Q466" s="6"/>
      <c r="R466" s="6"/>
      <c r="S466" s="6"/>
      <c r="V466" s="7"/>
      <c r="W466" s="7"/>
      <c r="Z466" s="1"/>
      <c r="AB466"/>
      <c r="AC466"/>
      <c r="AD466"/>
      <c r="AE466"/>
      <c r="AF466"/>
      <c r="AG466"/>
      <c r="AJ466"/>
      <c r="AK466"/>
      <c r="AL466"/>
      <c r="AM466"/>
      <c r="AN466"/>
      <c r="AS466"/>
      <c r="AT466"/>
      <c r="AU466"/>
      <c r="AV466"/>
      <c r="AW466"/>
      <c r="AX466"/>
      <c r="AY466"/>
      <c r="AZ466"/>
      <c r="BA466"/>
      <c r="BB466"/>
      <c r="BC466"/>
      <c r="BD466"/>
    </row>
    <row r="467" spans="3:56" x14ac:dyDescent="0.25">
      <c r="C467"/>
      <c r="D467" s="7"/>
      <c r="E467" s="7"/>
      <c r="F467" s="7"/>
      <c r="G467" s="7"/>
      <c r="H467" s="7"/>
      <c r="I467" s="7"/>
      <c r="J467" s="7"/>
      <c r="K467" s="7"/>
      <c r="M467" s="7"/>
      <c r="O467" s="6"/>
      <c r="P467" s="6"/>
      <c r="Q467" s="6"/>
      <c r="R467" s="6"/>
      <c r="S467" s="6"/>
      <c r="V467" s="7"/>
      <c r="W467" s="7"/>
      <c r="Z467" s="1"/>
      <c r="AB467"/>
      <c r="AC467"/>
      <c r="AD467"/>
      <c r="AE467"/>
      <c r="AF467"/>
      <c r="AG467"/>
      <c r="AJ467"/>
      <c r="AK467"/>
      <c r="AL467"/>
      <c r="AM467"/>
      <c r="AN467"/>
      <c r="AS467"/>
      <c r="AT467"/>
      <c r="AU467"/>
      <c r="AV467"/>
      <c r="AW467"/>
      <c r="AX467"/>
      <c r="AY467"/>
      <c r="AZ467"/>
      <c r="BA467"/>
      <c r="BB467"/>
      <c r="BC467"/>
      <c r="BD467"/>
    </row>
    <row r="468" spans="3:56" x14ac:dyDescent="0.25">
      <c r="C468"/>
      <c r="D468" s="7"/>
      <c r="E468" s="7"/>
      <c r="F468" s="7"/>
      <c r="G468" s="7"/>
      <c r="H468" s="7"/>
      <c r="I468" s="7"/>
      <c r="J468" s="7"/>
      <c r="K468" s="7"/>
      <c r="M468" s="7"/>
      <c r="O468" s="6"/>
      <c r="P468" s="6"/>
      <c r="Q468" s="6"/>
      <c r="R468" s="6"/>
      <c r="S468" s="6"/>
      <c r="V468" s="7"/>
      <c r="W468" s="7"/>
      <c r="Z468" s="1"/>
      <c r="AB468"/>
      <c r="AC468"/>
      <c r="AD468"/>
      <c r="AE468"/>
      <c r="AF468"/>
      <c r="AG468"/>
      <c r="AJ468"/>
      <c r="AK468"/>
      <c r="AL468"/>
      <c r="AM468"/>
      <c r="AN468"/>
      <c r="AS468"/>
      <c r="AT468"/>
      <c r="AU468"/>
      <c r="AV468"/>
      <c r="AW468"/>
      <c r="AX468"/>
      <c r="AY468"/>
      <c r="AZ468"/>
      <c r="BA468"/>
      <c r="BB468"/>
      <c r="BC468"/>
      <c r="BD468"/>
    </row>
    <row r="469" spans="3:56" x14ac:dyDescent="0.25">
      <c r="C469"/>
      <c r="D469" s="7"/>
      <c r="E469" s="7"/>
      <c r="F469" s="7"/>
      <c r="G469" s="7"/>
      <c r="H469" s="7"/>
      <c r="I469" s="7"/>
      <c r="J469" s="7"/>
      <c r="K469" s="7"/>
      <c r="M469" s="7"/>
      <c r="O469" s="6"/>
      <c r="P469" s="6"/>
      <c r="Q469" s="6"/>
      <c r="R469" s="6"/>
      <c r="S469" s="6"/>
      <c r="V469" s="7"/>
      <c r="W469" s="7"/>
      <c r="Z469" s="1"/>
      <c r="AB469"/>
      <c r="AC469"/>
      <c r="AD469"/>
      <c r="AE469"/>
      <c r="AF469"/>
      <c r="AG469"/>
      <c r="AJ469"/>
      <c r="AK469"/>
      <c r="AL469"/>
      <c r="AM469"/>
      <c r="AN469"/>
      <c r="AS469"/>
      <c r="AT469"/>
      <c r="AU469"/>
      <c r="AV469"/>
      <c r="AW469"/>
      <c r="AX469"/>
      <c r="AY469"/>
      <c r="AZ469"/>
      <c r="BA469"/>
      <c r="BB469"/>
      <c r="BC469"/>
      <c r="BD469"/>
    </row>
    <row r="470" spans="3:56" x14ac:dyDescent="0.25">
      <c r="C470"/>
      <c r="D470" s="7"/>
      <c r="E470" s="7"/>
      <c r="F470" s="7"/>
      <c r="G470" s="7"/>
      <c r="H470" s="7"/>
      <c r="I470" s="7"/>
      <c r="J470" s="7"/>
      <c r="K470" s="7"/>
      <c r="M470" s="7"/>
      <c r="O470" s="6"/>
      <c r="P470" s="6"/>
      <c r="Q470" s="6"/>
      <c r="R470" s="6"/>
      <c r="S470" s="6"/>
      <c r="V470" s="7"/>
      <c r="W470" s="7"/>
      <c r="Z470" s="1"/>
      <c r="AB470"/>
      <c r="AC470"/>
      <c r="AD470"/>
      <c r="AE470"/>
      <c r="AF470"/>
      <c r="AG470"/>
      <c r="AJ470"/>
      <c r="AK470"/>
      <c r="AL470"/>
      <c r="AM470"/>
      <c r="AN470"/>
      <c r="AS470"/>
      <c r="AT470"/>
      <c r="AU470"/>
      <c r="AV470"/>
      <c r="AW470"/>
      <c r="AX470"/>
      <c r="AY470"/>
      <c r="AZ470"/>
      <c r="BA470"/>
      <c r="BB470"/>
      <c r="BC470"/>
      <c r="BD470"/>
    </row>
    <row r="471" spans="3:56" x14ac:dyDescent="0.25">
      <c r="C471"/>
      <c r="D471" s="7"/>
      <c r="E471" s="7"/>
      <c r="F471" s="7"/>
      <c r="G471" s="7"/>
      <c r="H471" s="7"/>
      <c r="I471" s="7"/>
      <c r="J471" s="7"/>
      <c r="K471" s="7"/>
      <c r="M471" s="7"/>
      <c r="O471" s="6"/>
      <c r="P471" s="6"/>
      <c r="Q471" s="6"/>
      <c r="R471" s="6"/>
      <c r="S471" s="6"/>
      <c r="V471" s="7"/>
      <c r="W471" s="7"/>
      <c r="Z471" s="1"/>
      <c r="AB471"/>
      <c r="AC471"/>
      <c r="AD471"/>
      <c r="AE471"/>
      <c r="AF471"/>
      <c r="AG471"/>
      <c r="AJ471"/>
      <c r="AK471"/>
      <c r="AL471"/>
      <c r="AM471"/>
      <c r="AN471"/>
      <c r="AS471"/>
      <c r="AT471"/>
      <c r="AU471"/>
      <c r="AV471"/>
      <c r="AW471"/>
      <c r="AX471"/>
      <c r="AY471"/>
      <c r="AZ471"/>
      <c r="BA471"/>
      <c r="BB471"/>
      <c r="BC471"/>
      <c r="BD471"/>
    </row>
    <row r="472" spans="3:56" x14ac:dyDescent="0.25">
      <c r="C472"/>
      <c r="D472" s="7"/>
      <c r="E472" s="7"/>
      <c r="F472" s="7"/>
      <c r="G472" s="7"/>
      <c r="H472" s="7"/>
      <c r="I472" s="7"/>
      <c r="J472" s="7"/>
      <c r="K472" s="7"/>
      <c r="M472" s="7"/>
      <c r="O472" s="6"/>
      <c r="P472" s="6"/>
      <c r="Q472" s="6"/>
      <c r="R472" s="6"/>
      <c r="S472" s="6"/>
      <c r="V472" s="7"/>
      <c r="W472" s="7"/>
      <c r="Z472" s="1"/>
      <c r="AB472"/>
      <c r="AC472"/>
      <c r="AD472"/>
      <c r="AE472"/>
      <c r="AF472"/>
      <c r="AG472"/>
      <c r="AJ472"/>
      <c r="AK472"/>
      <c r="AL472"/>
      <c r="AM472"/>
      <c r="AN472"/>
      <c r="AS472"/>
      <c r="AT472"/>
      <c r="AU472"/>
      <c r="AV472"/>
      <c r="AW472"/>
      <c r="AX472"/>
      <c r="AY472"/>
      <c r="AZ472"/>
      <c r="BA472"/>
      <c r="BB472"/>
      <c r="BC472"/>
      <c r="BD472"/>
    </row>
    <row r="473" spans="3:56" x14ac:dyDescent="0.25">
      <c r="C473"/>
      <c r="D473" s="7"/>
      <c r="E473" s="7"/>
      <c r="F473" s="7"/>
      <c r="G473" s="7"/>
      <c r="H473" s="7"/>
      <c r="I473" s="7"/>
      <c r="J473" s="7"/>
      <c r="K473" s="7"/>
      <c r="M473" s="7"/>
      <c r="O473" s="6"/>
      <c r="P473" s="6"/>
      <c r="Q473" s="6"/>
      <c r="R473" s="6"/>
      <c r="S473" s="6"/>
      <c r="V473" s="7"/>
      <c r="W473" s="7"/>
      <c r="Z473" s="1"/>
      <c r="AB473"/>
      <c r="AC473"/>
      <c r="AD473"/>
      <c r="AE473"/>
      <c r="AF473"/>
      <c r="AG473"/>
      <c r="AJ473"/>
      <c r="AK473"/>
      <c r="AL473"/>
      <c r="AM473"/>
      <c r="AN473"/>
      <c r="AS473"/>
      <c r="AT473"/>
      <c r="AU473"/>
      <c r="AV473"/>
      <c r="AW473"/>
      <c r="AX473"/>
      <c r="AY473"/>
      <c r="AZ473"/>
      <c r="BA473"/>
      <c r="BB473"/>
      <c r="BC473"/>
      <c r="BD473"/>
    </row>
    <row r="474" spans="3:56" x14ac:dyDescent="0.25">
      <c r="C474"/>
      <c r="D474" s="7"/>
      <c r="E474" s="7"/>
      <c r="F474" s="7"/>
      <c r="G474" s="7"/>
      <c r="H474" s="7"/>
      <c r="I474" s="7"/>
      <c r="J474" s="7"/>
      <c r="K474" s="7"/>
      <c r="M474" s="7"/>
      <c r="O474" s="6"/>
      <c r="P474" s="6"/>
      <c r="Q474" s="6"/>
      <c r="R474" s="6"/>
      <c r="S474" s="6"/>
      <c r="V474" s="7"/>
      <c r="W474" s="7"/>
      <c r="Z474" s="1"/>
      <c r="AB474"/>
      <c r="AC474"/>
      <c r="AD474"/>
      <c r="AE474"/>
      <c r="AF474"/>
      <c r="AG474"/>
      <c r="AJ474"/>
      <c r="AK474"/>
      <c r="AL474"/>
      <c r="AM474"/>
      <c r="AN474"/>
      <c r="AS474"/>
      <c r="AT474"/>
      <c r="AU474"/>
      <c r="AV474"/>
      <c r="AW474"/>
      <c r="AX474"/>
      <c r="AY474"/>
      <c r="AZ474"/>
      <c r="BA474"/>
      <c r="BB474"/>
      <c r="BC474"/>
      <c r="BD474"/>
    </row>
    <row r="475" spans="3:56" x14ac:dyDescent="0.25">
      <c r="C475"/>
      <c r="D475" s="7"/>
      <c r="E475" s="7"/>
      <c r="F475" s="7"/>
      <c r="G475" s="7"/>
      <c r="H475" s="7"/>
      <c r="I475" s="7"/>
      <c r="J475" s="7"/>
      <c r="K475" s="7"/>
      <c r="M475" s="7"/>
      <c r="O475" s="6"/>
      <c r="P475" s="6"/>
      <c r="Q475" s="6"/>
      <c r="R475" s="6"/>
      <c r="S475" s="6"/>
      <c r="V475" s="7"/>
      <c r="W475" s="7"/>
      <c r="Z475" s="1"/>
      <c r="AB475"/>
      <c r="AC475"/>
      <c r="AD475"/>
      <c r="AE475"/>
      <c r="AF475"/>
      <c r="AG475"/>
      <c r="AJ475"/>
      <c r="AK475"/>
      <c r="AL475"/>
      <c r="AM475"/>
      <c r="AN475"/>
      <c r="AS475"/>
      <c r="AT475"/>
      <c r="AU475"/>
      <c r="AV475"/>
      <c r="AW475"/>
      <c r="AX475"/>
      <c r="AY475"/>
      <c r="AZ475"/>
      <c r="BA475"/>
      <c r="BB475"/>
      <c r="BC475"/>
      <c r="BD475"/>
    </row>
    <row r="476" spans="3:56" x14ac:dyDescent="0.25">
      <c r="C476"/>
      <c r="D476" s="7"/>
      <c r="E476" s="7"/>
      <c r="F476" s="7"/>
      <c r="G476" s="7"/>
      <c r="H476" s="7"/>
      <c r="I476" s="7"/>
      <c r="J476" s="7"/>
      <c r="K476" s="7"/>
      <c r="M476" s="7"/>
      <c r="O476" s="6"/>
      <c r="P476" s="6"/>
      <c r="Q476" s="6"/>
      <c r="R476" s="6"/>
      <c r="S476" s="6"/>
      <c r="V476" s="7"/>
      <c r="W476" s="7"/>
      <c r="Z476" s="1"/>
      <c r="AB476"/>
      <c r="AC476"/>
      <c r="AD476"/>
      <c r="AE476"/>
      <c r="AF476"/>
      <c r="AG476"/>
      <c r="AJ476"/>
      <c r="AK476"/>
      <c r="AL476"/>
      <c r="AM476"/>
      <c r="AN476"/>
      <c r="AS476"/>
      <c r="AT476"/>
      <c r="AU476"/>
      <c r="AV476"/>
      <c r="AW476"/>
      <c r="AX476"/>
      <c r="AY476"/>
      <c r="AZ476"/>
      <c r="BA476"/>
      <c r="BB476"/>
      <c r="BC476"/>
      <c r="BD476"/>
    </row>
    <row r="477" spans="3:56" x14ac:dyDescent="0.25">
      <c r="C477"/>
      <c r="D477" s="7"/>
      <c r="E477" s="7"/>
      <c r="F477" s="7"/>
      <c r="G477" s="7"/>
      <c r="H477" s="7"/>
      <c r="I477" s="7"/>
      <c r="J477" s="7"/>
      <c r="K477" s="7"/>
      <c r="M477" s="7"/>
      <c r="O477" s="6"/>
      <c r="P477" s="6"/>
      <c r="Q477" s="6"/>
      <c r="R477" s="6"/>
      <c r="S477" s="6"/>
      <c r="V477" s="7"/>
      <c r="W477" s="7"/>
      <c r="Z477" s="1"/>
      <c r="AB477"/>
      <c r="AC477"/>
      <c r="AD477"/>
      <c r="AE477"/>
      <c r="AF477"/>
      <c r="AG477"/>
      <c r="AJ477"/>
      <c r="AK477"/>
      <c r="AL477"/>
      <c r="AM477"/>
      <c r="AN477"/>
      <c r="AS477"/>
      <c r="AT477"/>
      <c r="AU477"/>
      <c r="AV477"/>
      <c r="AW477"/>
      <c r="AX477"/>
      <c r="AY477"/>
      <c r="AZ477"/>
      <c r="BA477"/>
      <c r="BB477"/>
      <c r="BC477"/>
      <c r="BD477"/>
    </row>
    <row r="478" spans="3:56" x14ac:dyDescent="0.25">
      <c r="C478"/>
      <c r="D478" s="7"/>
      <c r="E478" s="7"/>
      <c r="F478" s="7"/>
      <c r="G478" s="7"/>
      <c r="H478" s="7"/>
      <c r="I478" s="7"/>
      <c r="J478" s="7"/>
      <c r="K478" s="7"/>
      <c r="M478" s="7"/>
      <c r="O478" s="6"/>
      <c r="P478" s="6"/>
      <c r="Q478" s="6"/>
      <c r="R478" s="6"/>
      <c r="S478" s="6"/>
      <c r="V478" s="7"/>
      <c r="W478" s="7"/>
      <c r="Z478" s="1"/>
      <c r="AB478"/>
      <c r="AC478"/>
      <c r="AD478"/>
      <c r="AE478"/>
      <c r="AF478"/>
      <c r="AG478"/>
      <c r="AJ478"/>
      <c r="AK478"/>
      <c r="AL478"/>
      <c r="AM478"/>
      <c r="AN478"/>
      <c r="AS478"/>
      <c r="AT478"/>
      <c r="AU478"/>
      <c r="AV478"/>
      <c r="AW478"/>
      <c r="AX478"/>
      <c r="AY478"/>
      <c r="AZ478"/>
      <c r="BA478"/>
      <c r="BB478"/>
      <c r="BC478"/>
      <c r="BD478"/>
    </row>
    <row r="479" spans="3:56" x14ac:dyDescent="0.25">
      <c r="C479"/>
      <c r="D479" s="7"/>
      <c r="E479" s="7"/>
      <c r="F479" s="7"/>
      <c r="G479" s="7"/>
      <c r="H479" s="7"/>
      <c r="I479" s="7"/>
      <c r="J479" s="7"/>
      <c r="K479" s="7"/>
      <c r="M479" s="7"/>
      <c r="O479" s="6"/>
      <c r="P479" s="6"/>
      <c r="Q479" s="6"/>
      <c r="R479" s="6"/>
      <c r="S479" s="6"/>
      <c r="V479" s="7"/>
      <c r="W479" s="7"/>
      <c r="Z479" s="1"/>
      <c r="AB479"/>
      <c r="AC479"/>
      <c r="AD479"/>
      <c r="AE479"/>
      <c r="AF479"/>
      <c r="AG479"/>
      <c r="AJ479"/>
      <c r="AK479"/>
      <c r="AL479"/>
      <c r="AM479"/>
      <c r="AN479"/>
      <c r="AS479"/>
      <c r="AT479"/>
      <c r="AU479"/>
      <c r="AV479"/>
      <c r="AW479"/>
      <c r="AX479"/>
      <c r="AY479"/>
      <c r="AZ479"/>
      <c r="BA479"/>
      <c r="BB479"/>
      <c r="BC479"/>
      <c r="BD479"/>
    </row>
    <row r="480" spans="3:56" x14ac:dyDescent="0.25">
      <c r="C480"/>
      <c r="D480" s="7"/>
      <c r="E480" s="7"/>
      <c r="F480" s="7"/>
      <c r="G480" s="7"/>
      <c r="H480" s="7"/>
      <c r="I480" s="7"/>
      <c r="J480" s="7"/>
      <c r="K480" s="7"/>
      <c r="M480" s="7"/>
      <c r="O480" s="6"/>
      <c r="P480" s="6"/>
      <c r="Q480" s="6"/>
      <c r="R480" s="6"/>
      <c r="S480" s="6"/>
      <c r="V480" s="7"/>
      <c r="W480" s="7"/>
      <c r="Z480" s="1"/>
      <c r="AB480"/>
      <c r="AC480"/>
      <c r="AD480"/>
      <c r="AE480"/>
      <c r="AF480"/>
      <c r="AG480"/>
      <c r="AJ480"/>
      <c r="AK480"/>
      <c r="AL480"/>
      <c r="AM480"/>
      <c r="AN480"/>
      <c r="AS480"/>
      <c r="AT480"/>
      <c r="AU480"/>
      <c r="AV480"/>
      <c r="AW480"/>
      <c r="AX480"/>
      <c r="AY480"/>
      <c r="AZ480"/>
      <c r="BA480"/>
      <c r="BB480"/>
      <c r="BC480"/>
      <c r="BD480"/>
    </row>
    <row r="481" spans="3:56" x14ac:dyDescent="0.25">
      <c r="C481"/>
      <c r="D481" s="7"/>
      <c r="E481" s="7"/>
      <c r="F481" s="7"/>
      <c r="G481" s="7"/>
      <c r="H481" s="7"/>
      <c r="I481" s="7"/>
      <c r="J481" s="7"/>
      <c r="K481" s="7"/>
      <c r="M481" s="7"/>
      <c r="O481" s="6"/>
      <c r="P481" s="6"/>
      <c r="Q481" s="6"/>
      <c r="R481" s="6"/>
      <c r="S481" s="6"/>
      <c r="V481" s="7"/>
      <c r="W481" s="7"/>
      <c r="Z481" s="1"/>
      <c r="AB481"/>
      <c r="AC481"/>
      <c r="AD481"/>
      <c r="AE481"/>
      <c r="AF481"/>
      <c r="AG481"/>
      <c r="AJ481"/>
      <c r="AK481"/>
      <c r="AL481"/>
      <c r="AM481"/>
      <c r="AN481"/>
      <c r="AS481"/>
      <c r="AT481"/>
      <c r="AU481"/>
      <c r="AV481"/>
      <c r="AW481"/>
      <c r="AX481"/>
      <c r="AY481"/>
      <c r="AZ481"/>
      <c r="BA481"/>
      <c r="BB481"/>
      <c r="BC481"/>
      <c r="BD481"/>
    </row>
    <row r="482" spans="3:56" x14ac:dyDescent="0.25">
      <c r="C482"/>
      <c r="D482" s="7"/>
      <c r="E482" s="7"/>
      <c r="F482" s="7"/>
      <c r="G482" s="7"/>
      <c r="H482" s="7"/>
      <c r="I482" s="7"/>
      <c r="J482" s="7"/>
      <c r="K482" s="7"/>
      <c r="M482" s="7"/>
      <c r="O482" s="6"/>
      <c r="P482" s="6"/>
      <c r="Q482" s="6"/>
      <c r="R482" s="6"/>
      <c r="S482" s="6"/>
      <c r="V482" s="7"/>
      <c r="W482" s="7"/>
      <c r="Z482" s="1"/>
      <c r="AB482"/>
      <c r="AC482"/>
      <c r="AD482"/>
      <c r="AE482"/>
      <c r="AF482"/>
      <c r="AG482"/>
      <c r="AJ482"/>
      <c r="AK482"/>
      <c r="AL482"/>
      <c r="AM482"/>
      <c r="AN482"/>
      <c r="AS482"/>
      <c r="AT482"/>
      <c r="AU482"/>
      <c r="AV482"/>
      <c r="AW482"/>
      <c r="AX482"/>
      <c r="AY482"/>
      <c r="AZ482"/>
      <c r="BA482"/>
      <c r="BB482"/>
      <c r="BC482"/>
      <c r="BD482"/>
    </row>
    <row r="483" spans="3:56" x14ac:dyDescent="0.25">
      <c r="C483"/>
      <c r="D483" s="7"/>
      <c r="E483" s="7"/>
      <c r="F483" s="7"/>
      <c r="G483" s="7"/>
      <c r="H483" s="7"/>
      <c r="I483" s="7"/>
      <c r="J483" s="7"/>
      <c r="K483" s="7"/>
      <c r="M483" s="7"/>
      <c r="O483" s="6"/>
      <c r="P483" s="6"/>
      <c r="Q483" s="6"/>
      <c r="R483" s="6"/>
      <c r="S483" s="6"/>
      <c r="V483" s="7"/>
      <c r="W483" s="7"/>
      <c r="Z483" s="1"/>
      <c r="AB483"/>
      <c r="AC483"/>
      <c r="AD483"/>
      <c r="AE483"/>
      <c r="AF483"/>
      <c r="AG483"/>
      <c r="AJ483"/>
      <c r="AK483"/>
      <c r="AL483"/>
      <c r="AM483"/>
      <c r="AN483"/>
      <c r="AS483"/>
      <c r="AT483"/>
      <c r="AU483"/>
      <c r="AV483"/>
      <c r="AW483"/>
      <c r="AX483"/>
      <c r="AY483"/>
      <c r="AZ483"/>
      <c r="BA483"/>
      <c r="BB483"/>
      <c r="BC483"/>
      <c r="BD483"/>
    </row>
    <row r="484" spans="3:56" x14ac:dyDescent="0.25">
      <c r="C484"/>
      <c r="D484" s="7"/>
      <c r="E484" s="7"/>
      <c r="F484" s="7"/>
      <c r="G484" s="7"/>
      <c r="H484" s="7"/>
      <c r="I484" s="7"/>
      <c r="J484" s="7"/>
      <c r="K484" s="7"/>
      <c r="M484" s="7"/>
      <c r="O484" s="6"/>
      <c r="P484" s="6"/>
      <c r="Q484" s="6"/>
      <c r="R484" s="6"/>
      <c r="S484" s="6"/>
      <c r="V484" s="7"/>
      <c r="W484" s="7"/>
      <c r="Z484" s="1"/>
      <c r="AB484"/>
      <c r="AC484"/>
      <c r="AD484"/>
      <c r="AE484"/>
      <c r="AF484"/>
      <c r="AG484"/>
      <c r="AJ484"/>
      <c r="AK484"/>
      <c r="AL484"/>
      <c r="AM484"/>
      <c r="AN484"/>
      <c r="AS484"/>
      <c r="AT484"/>
      <c r="AU484"/>
      <c r="AV484"/>
      <c r="AW484"/>
      <c r="AX484"/>
      <c r="AY484"/>
      <c r="AZ484"/>
      <c r="BA484"/>
      <c r="BB484"/>
      <c r="BC484"/>
      <c r="BD484"/>
    </row>
    <row r="485" spans="3:56" x14ac:dyDescent="0.25">
      <c r="C485"/>
      <c r="D485" s="7"/>
      <c r="E485" s="7"/>
      <c r="F485" s="7"/>
      <c r="G485" s="7"/>
      <c r="H485" s="7"/>
      <c r="I485" s="7"/>
      <c r="J485" s="7"/>
      <c r="K485" s="7"/>
      <c r="M485" s="7"/>
      <c r="O485" s="6"/>
      <c r="P485" s="6"/>
      <c r="Q485" s="6"/>
      <c r="R485" s="6"/>
      <c r="S485" s="6"/>
      <c r="V485" s="7"/>
      <c r="W485" s="7"/>
      <c r="Z485" s="1"/>
      <c r="AB485"/>
      <c r="AC485"/>
      <c r="AD485"/>
      <c r="AE485"/>
      <c r="AF485"/>
      <c r="AG485"/>
      <c r="AJ485"/>
      <c r="AK485"/>
      <c r="AL485"/>
      <c r="AM485"/>
      <c r="AN485"/>
      <c r="AS485"/>
      <c r="AT485"/>
      <c r="AU485"/>
      <c r="AV485"/>
      <c r="AW485"/>
      <c r="AX485"/>
      <c r="AY485"/>
      <c r="AZ485"/>
      <c r="BA485"/>
      <c r="BB485"/>
      <c r="BC485"/>
      <c r="BD485"/>
    </row>
    <row r="486" spans="3:56" x14ac:dyDescent="0.25">
      <c r="C486"/>
      <c r="D486" s="7"/>
      <c r="E486" s="7"/>
      <c r="F486" s="7"/>
      <c r="G486" s="7"/>
      <c r="H486" s="7"/>
      <c r="I486" s="7"/>
      <c r="J486" s="7"/>
      <c r="K486" s="7"/>
      <c r="M486" s="7"/>
      <c r="O486" s="6"/>
      <c r="P486" s="6"/>
      <c r="Q486" s="6"/>
      <c r="R486" s="6"/>
      <c r="S486" s="6"/>
      <c r="V486" s="7"/>
      <c r="W486" s="7"/>
      <c r="Z486" s="1"/>
      <c r="AB486"/>
      <c r="AC486"/>
      <c r="AD486"/>
      <c r="AE486"/>
      <c r="AF486"/>
      <c r="AG486"/>
      <c r="AJ486"/>
      <c r="AK486"/>
      <c r="AL486"/>
      <c r="AM486"/>
      <c r="AN486"/>
      <c r="AS486"/>
      <c r="AT486"/>
      <c r="AU486"/>
      <c r="AV486"/>
      <c r="AW486"/>
      <c r="AX486"/>
      <c r="AY486"/>
      <c r="AZ486"/>
      <c r="BA486"/>
      <c r="BB486"/>
      <c r="BC486"/>
      <c r="BD486"/>
    </row>
    <row r="487" spans="3:56" x14ac:dyDescent="0.25">
      <c r="C487"/>
      <c r="D487" s="7"/>
      <c r="E487" s="7"/>
      <c r="F487" s="7"/>
      <c r="G487" s="7"/>
      <c r="H487" s="7"/>
      <c r="I487" s="7"/>
      <c r="J487" s="7"/>
      <c r="K487" s="7"/>
      <c r="M487" s="7"/>
      <c r="O487" s="6"/>
      <c r="P487" s="6"/>
      <c r="Q487" s="6"/>
      <c r="R487" s="6"/>
      <c r="S487" s="6"/>
      <c r="V487" s="7"/>
      <c r="W487" s="7"/>
      <c r="Z487" s="1"/>
      <c r="AB487"/>
      <c r="AC487"/>
      <c r="AD487"/>
      <c r="AE487"/>
      <c r="AF487"/>
      <c r="AG487"/>
      <c r="AJ487"/>
      <c r="AK487"/>
      <c r="AL487"/>
      <c r="AM487"/>
      <c r="AN487"/>
      <c r="AS487"/>
      <c r="AT487"/>
      <c r="AU487"/>
      <c r="AV487"/>
      <c r="AW487"/>
      <c r="AX487"/>
      <c r="AY487"/>
      <c r="AZ487"/>
      <c r="BA487"/>
      <c r="BB487"/>
      <c r="BC487"/>
      <c r="BD487"/>
    </row>
    <row r="488" spans="3:56" x14ac:dyDescent="0.25">
      <c r="C488"/>
      <c r="D488" s="7"/>
      <c r="E488" s="7"/>
      <c r="F488" s="7"/>
      <c r="G488" s="7"/>
      <c r="H488" s="7"/>
      <c r="I488" s="7"/>
      <c r="J488" s="7"/>
      <c r="K488" s="7"/>
      <c r="M488" s="7"/>
      <c r="O488" s="6"/>
      <c r="P488" s="6"/>
      <c r="Q488" s="6"/>
      <c r="R488" s="6"/>
      <c r="S488" s="6"/>
      <c r="V488" s="7"/>
      <c r="W488" s="7"/>
      <c r="Z488" s="1"/>
      <c r="AB488"/>
      <c r="AC488"/>
      <c r="AD488"/>
      <c r="AE488"/>
      <c r="AF488"/>
      <c r="AG488"/>
      <c r="AJ488"/>
      <c r="AK488"/>
      <c r="AL488"/>
      <c r="AM488"/>
      <c r="AN488"/>
      <c r="AS488"/>
      <c r="AT488"/>
      <c r="AU488"/>
      <c r="AV488"/>
      <c r="AW488"/>
      <c r="AX488"/>
      <c r="AY488"/>
      <c r="AZ488"/>
      <c r="BA488"/>
      <c r="BB488"/>
      <c r="BC488"/>
      <c r="BD488"/>
    </row>
    <row r="489" spans="3:56" x14ac:dyDescent="0.25">
      <c r="C489"/>
      <c r="D489" s="7"/>
      <c r="E489" s="7"/>
      <c r="F489" s="7"/>
      <c r="G489" s="7"/>
      <c r="H489" s="7"/>
      <c r="I489" s="7"/>
      <c r="J489" s="7"/>
      <c r="K489" s="7"/>
      <c r="M489" s="7"/>
      <c r="O489" s="6"/>
      <c r="P489" s="6"/>
      <c r="Q489" s="6"/>
      <c r="R489" s="6"/>
      <c r="S489" s="6"/>
      <c r="V489" s="7"/>
      <c r="W489" s="7"/>
      <c r="Z489" s="1"/>
      <c r="AB489"/>
      <c r="AC489"/>
      <c r="AD489"/>
      <c r="AE489"/>
      <c r="AF489"/>
      <c r="AG489"/>
      <c r="AJ489"/>
      <c r="AK489"/>
      <c r="AL489"/>
      <c r="AM489"/>
      <c r="AN489"/>
      <c r="AS489"/>
      <c r="AT489"/>
      <c r="AU489"/>
      <c r="AV489"/>
      <c r="AW489"/>
      <c r="AX489"/>
      <c r="AY489"/>
      <c r="AZ489"/>
      <c r="BA489"/>
      <c r="BB489"/>
      <c r="BC489"/>
      <c r="BD489"/>
    </row>
    <row r="490" spans="3:56" x14ac:dyDescent="0.25">
      <c r="C490"/>
      <c r="D490" s="7"/>
      <c r="E490" s="7"/>
      <c r="F490" s="7"/>
      <c r="G490" s="7"/>
      <c r="H490" s="7"/>
      <c r="I490" s="7"/>
      <c r="J490" s="7"/>
      <c r="K490" s="7"/>
      <c r="M490" s="7"/>
      <c r="O490" s="6"/>
      <c r="P490" s="6"/>
      <c r="Q490" s="6"/>
      <c r="R490" s="6"/>
      <c r="S490" s="6"/>
      <c r="V490" s="7"/>
      <c r="W490" s="7"/>
      <c r="Z490" s="1"/>
      <c r="AB490"/>
      <c r="AC490"/>
      <c r="AD490"/>
      <c r="AE490"/>
      <c r="AF490"/>
      <c r="AG490"/>
      <c r="AJ490"/>
      <c r="AK490"/>
      <c r="AL490"/>
      <c r="AM490"/>
      <c r="AN490"/>
      <c r="AS490"/>
      <c r="AT490"/>
      <c r="AU490"/>
      <c r="AV490"/>
      <c r="AW490"/>
      <c r="AX490"/>
      <c r="AY490"/>
      <c r="AZ490"/>
      <c r="BA490"/>
      <c r="BB490"/>
      <c r="BC490"/>
      <c r="BD490"/>
    </row>
    <row r="491" spans="3:56" x14ac:dyDescent="0.25">
      <c r="C491"/>
      <c r="D491" s="7"/>
      <c r="E491" s="7"/>
      <c r="F491" s="7"/>
      <c r="G491" s="7"/>
      <c r="H491" s="7"/>
      <c r="I491" s="7"/>
      <c r="J491" s="7"/>
      <c r="K491" s="7"/>
      <c r="M491" s="7"/>
      <c r="O491" s="6"/>
      <c r="P491" s="6"/>
      <c r="Q491" s="6"/>
      <c r="R491" s="6"/>
      <c r="S491" s="6"/>
      <c r="V491" s="7"/>
      <c r="W491" s="7"/>
      <c r="Z491" s="1"/>
      <c r="AB491"/>
      <c r="AC491"/>
      <c r="AD491"/>
      <c r="AE491"/>
      <c r="AF491"/>
      <c r="AG491"/>
      <c r="AJ491"/>
      <c r="AK491"/>
      <c r="AL491"/>
      <c r="AM491"/>
      <c r="AN491"/>
      <c r="AS491"/>
      <c r="AT491"/>
      <c r="AU491"/>
      <c r="AV491"/>
      <c r="AW491"/>
      <c r="AX491"/>
      <c r="AY491"/>
      <c r="AZ491"/>
      <c r="BA491"/>
      <c r="BB491"/>
      <c r="BC491"/>
      <c r="BD491"/>
    </row>
    <row r="492" spans="3:56" x14ac:dyDescent="0.25">
      <c r="C492"/>
      <c r="D492" s="7"/>
      <c r="E492" s="7"/>
      <c r="F492" s="7"/>
      <c r="G492" s="7"/>
      <c r="H492" s="7"/>
      <c r="I492" s="7"/>
      <c r="J492" s="7"/>
      <c r="K492" s="7"/>
      <c r="M492" s="7"/>
      <c r="O492" s="6"/>
      <c r="P492" s="6"/>
      <c r="Q492" s="6"/>
      <c r="R492" s="6"/>
      <c r="S492" s="6"/>
      <c r="V492" s="7"/>
      <c r="W492" s="7"/>
      <c r="Z492" s="1"/>
      <c r="AB492"/>
      <c r="AC492"/>
      <c r="AD492"/>
      <c r="AE492"/>
      <c r="AF492"/>
      <c r="AG492"/>
      <c r="AJ492"/>
      <c r="AK492"/>
      <c r="AL492"/>
      <c r="AM492"/>
      <c r="AN492"/>
      <c r="AS492"/>
      <c r="AT492"/>
      <c r="AU492"/>
      <c r="AV492"/>
      <c r="AW492"/>
      <c r="AX492"/>
      <c r="AY492"/>
      <c r="AZ492"/>
      <c r="BA492"/>
      <c r="BB492"/>
      <c r="BC492"/>
      <c r="BD492"/>
    </row>
    <row r="493" spans="3:56" x14ac:dyDescent="0.25">
      <c r="C493"/>
      <c r="D493" s="7"/>
      <c r="E493" s="7"/>
      <c r="F493" s="7"/>
      <c r="G493" s="7"/>
      <c r="H493" s="7"/>
      <c r="I493" s="7"/>
      <c r="J493" s="7"/>
      <c r="K493" s="7"/>
      <c r="M493" s="7"/>
      <c r="O493" s="6"/>
      <c r="P493" s="6"/>
      <c r="Q493" s="6"/>
      <c r="R493" s="6"/>
      <c r="S493" s="6"/>
      <c r="V493" s="7"/>
      <c r="W493" s="7"/>
      <c r="Z493" s="1"/>
      <c r="AB493"/>
      <c r="AC493"/>
      <c r="AD493"/>
      <c r="AE493"/>
      <c r="AF493"/>
      <c r="AG493"/>
      <c r="AJ493"/>
      <c r="AK493"/>
      <c r="AL493"/>
      <c r="AM493"/>
      <c r="AN493"/>
      <c r="AS493"/>
      <c r="AT493"/>
      <c r="AU493"/>
      <c r="AV493"/>
      <c r="AW493"/>
      <c r="AX493"/>
      <c r="AY493"/>
      <c r="AZ493"/>
      <c r="BA493"/>
      <c r="BB493"/>
      <c r="BC493"/>
      <c r="BD493"/>
    </row>
    <row r="494" spans="3:56" x14ac:dyDescent="0.25">
      <c r="C494"/>
      <c r="D494" s="7"/>
      <c r="E494" s="7"/>
      <c r="F494" s="7"/>
      <c r="G494" s="7"/>
      <c r="H494" s="7"/>
      <c r="I494" s="7"/>
      <c r="J494" s="7"/>
      <c r="K494" s="7"/>
      <c r="M494" s="7"/>
      <c r="O494" s="6"/>
      <c r="P494" s="6"/>
      <c r="Q494" s="6"/>
      <c r="R494" s="6"/>
      <c r="S494" s="6"/>
      <c r="V494" s="7"/>
      <c r="W494" s="7"/>
      <c r="Z494" s="1"/>
      <c r="AB494"/>
      <c r="AC494"/>
      <c r="AD494"/>
      <c r="AE494"/>
      <c r="AF494"/>
      <c r="AG494"/>
      <c r="AJ494"/>
      <c r="AK494"/>
      <c r="AL494"/>
      <c r="AM494"/>
      <c r="AN494"/>
      <c r="AS494"/>
      <c r="AT494"/>
      <c r="AU494"/>
      <c r="AV494"/>
      <c r="AW494"/>
      <c r="AX494"/>
      <c r="AY494"/>
      <c r="AZ494"/>
      <c r="BA494"/>
      <c r="BB494"/>
      <c r="BC494"/>
      <c r="BD494"/>
    </row>
    <row r="495" spans="3:56" x14ac:dyDescent="0.25">
      <c r="C495"/>
      <c r="D495" s="7"/>
      <c r="E495" s="7"/>
      <c r="F495" s="7"/>
      <c r="G495" s="7"/>
      <c r="H495" s="7"/>
      <c r="I495" s="7"/>
      <c r="J495" s="7"/>
      <c r="K495" s="7"/>
      <c r="M495" s="7"/>
      <c r="O495" s="6"/>
      <c r="P495" s="6"/>
      <c r="Q495" s="6"/>
      <c r="R495" s="6"/>
      <c r="S495" s="6"/>
      <c r="V495" s="7"/>
      <c r="W495" s="7"/>
      <c r="Z495" s="1"/>
      <c r="AB495"/>
      <c r="AC495"/>
      <c r="AD495"/>
      <c r="AE495"/>
      <c r="AF495"/>
      <c r="AG495"/>
      <c r="AJ495"/>
      <c r="AK495"/>
      <c r="AL495"/>
      <c r="AM495"/>
      <c r="AN495"/>
      <c r="AS495"/>
      <c r="AT495"/>
      <c r="AU495"/>
      <c r="AV495"/>
      <c r="AW495"/>
      <c r="AX495"/>
      <c r="AY495"/>
      <c r="AZ495"/>
      <c r="BA495"/>
      <c r="BB495"/>
      <c r="BC495"/>
      <c r="BD495"/>
    </row>
    <row r="496" spans="3:56" x14ac:dyDescent="0.25">
      <c r="C496"/>
      <c r="D496" s="7"/>
      <c r="E496" s="7"/>
      <c r="F496" s="7"/>
      <c r="G496" s="7"/>
      <c r="H496" s="7"/>
      <c r="I496" s="7"/>
      <c r="J496" s="7"/>
      <c r="K496" s="7"/>
      <c r="M496" s="7"/>
      <c r="O496" s="6"/>
      <c r="P496" s="6"/>
      <c r="Q496" s="6"/>
      <c r="R496" s="6"/>
      <c r="S496" s="6"/>
      <c r="V496" s="7"/>
      <c r="W496" s="7"/>
      <c r="Z496" s="1"/>
      <c r="AB496"/>
      <c r="AC496"/>
      <c r="AD496"/>
      <c r="AE496"/>
      <c r="AF496"/>
      <c r="AG496"/>
      <c r="AJ496"/>
      <c r="AK496"/>
      <c r="AL496"/>
      <c r="AM496"/>
      <c r="AN496"/>
      <c r="AS496"/>
      <c r="AT496"/>
      <c r="AU496"/>
      <c r="AV496"/>
      <c r="AW496"/>
      <c r="AX496"/>
      <c r="AY496"/>
      <c r="AZ496"/>
      <c r="BA496"/>
      <c r="BB496"/>
      <c r="BC496"/>
      <c r="BD496"/>
    </row>
    <row r="497" spans="3:56" x14ac:dyDescent="0.25">
      <c r="C497"/>
      <c r="D497" s="7"/>
      <c r="E497" s="7"/>
      <c r="F497" s="7"/>
      <c r="G497" s="7"/>
      <c r="H497" s="7"/>
      <c r="I497" s="7"/>
      <c r="J497" s="7"/>
      <c r="K497" s="7"/>
      <c r="M497" s="7"/>
      <c r="O497" s="6"/>
      <c r="P497" s="6"/>
      <c r="Q497" s="6"/>
      <c r="R497" s="6"/>
      <c r="S497" s="6"/>
      <c r="V497" s="7"/>
      <c r="W497" s="7"/>
      <c r="Z497" s="1"/>
      <c r="AB497"/>
      <c r="AC497"/>
      <c r="AD497"/>
      <c r="AE497"/>
      <c r="AF497"/>
      <c r="AG497"/>
      <c r="AJ497"/>
      <c r="AK497"/>
      <c r="AL497"/>
      <c r="AM497"/>
      <c r="AN497"/>
      <c r="AS497"/>
      <c r="AT497"/>
      <c r="AU497"/>
      <c r="AV497"/>
      <c r="AW497"/>
      <c r="AX497"/>
      <c r="AY497"/>
      <c r="AZ497"/>
      <c r="BA497"/>
      <c r="BB497"/>
      <c r="BC497"/>
      <c r="BD497"/>
    </row>
    <row r="498" spans="3:56" x14ac:dyDescent="0.25">
      <c r="C498"/>
      <c r="D498" s="7"/>
      <c r="E498" s="7"/>
      <c r="F498" s="7"/>
      <c r="G498" s="7"/>
      <c r="H498" s="7"/>
      <c r="I498" s="7"/>
      <c r="J498" s="7"/>
      <c r="K498" s="7"/>
      <c r="M498" s="7"/>
      <c r="O498" s="6"/>
      <c r="P498" s="6"/>
      <c r="Q498" s="6"/>
      <c r="R498" s="6"/>
      <c r="S498" s="6"/>
      <c r="V498" s="7"/>
      <c r="W498" s="7"/>
      <c r="Z498" s="1"/>
      <c r="AB498"/>
      <c r="AC498"/>
      <c r="AD498"/>
      <c r="AE498"/>
      <c r="AF498"/>
      <c r="AG498"/>
      <c r="AJ498"/>
      <c r="AK498"/>
      <c r="AL498"/>
      <c r="AM498"/>
      <c r="AN498"/>
      <c r="AS498"/>
      <c r="AT498"/>
      <c r="AU498"/>
      <c r="AV498"/>
      <c r="AW498"/>
      <c r="AX498"/>
      <c r="AY498"/>
      <c r="AZ498"/>
      <c r="BA498"/>
      <c r="BB498"/>
      <c r="BC498"/>
      <c r="BD498"/>
    </row>
    <row r="499" spans="3:56" x14ac:dyDescent="0.25">
      <c r="C499"/>
      <c r="D499" s="7"/>
      <c r="E499" s="7"/>
      <c r="F499" s="7"/>
      <c r="G499" s="7"/>
      <c r="H499" s="7"/>
      <c r="I499" s="7"/>
      <c r="J499" s="7"/>
      <c r="K499" s="7"/>
      <c r="M499" s="7"/>
      <c r="O499" s="6"/>
      <c r="P499" s="6"/>
      <c r="Q499" s="6"/>
      <c r="R499" s="6"/>
      <c r="S499" s="6"/>
      <c r="V499" s="7"/>
      <c r="W499" s="7"/>
      <c r="Z499" s="1"/>
      <c r="AB499"/>
      <c r="AC499"/>
      <c r="AD499"/>
      <c r="AE499"/>
      <c r="AF499"/>
      <c r="AG499"/>
      <c r="AJ499"/>
      <c r="AK499"/>
      <c r="AL499"/>
      <c r="AM499"/>
      <c r="AN499"/>
      <c r="AS499"/>
      <c r="AT499"/>
      <c r="AU499"/>
      <c r="AV499"/>
      <c r="AW499"/>
      <c r="AX499"/>
      <c r="AY499"/>
      <c r="AZ499"/>
      <c r="BA499"/>
      <c r="BB499"/>
      <c r="BC499"/>
      <c r="BD499"/>
    </row>
    <row r="500" spans="3:56" x14ac:dyDescent="0.25">
      <c r="C500"/>
      <c r="D500" s="7"/>
      <c r="E500" s="7"/>
      <c r="F500" s="7"/>
      <c r="G500" s="7"/>
      <c r="H500" s="7"/>
      <c r="I500" s="7"/>
      <c r="J500" s="7"/>
      <c r="K500" s="7"/>
      <c r="M500" s="7"/>
      <c r="O500" s="6"/>
      <c r="P500" s="6"/>
      <c r="Q500" s="6"/>
      <c r="R500" s="6"/>
      <c r="S500" s="6"/>
      <c r="V500" s="7"/>
      <c r="W500" s="7"/>
      <c r="Z500" s="1"/>
      <c r="AB500"/>
      <c r="AC500"/>
      <c r="AD500"/>
      <c r="AE500"/>
      <c r="AF500"/>
      <c r="AG500"/>
      <c r="AJ500"/>
      <c r="AK500"/>
      <c r="AL500"/>
      <c r="AM500"/>
      <c r="AN500"/>
      <c r="AS500"/>
      <c r="AT500"/>
      <c r="AU500"/>
      <c r="AV500"/>
      <c r="AW500"/>
      <c r="AX500"/>
      <c r="AY500"/>
      <c r="AZ500"/>
      <c r="BA500"/>
      <c r="BB500"/>
      <c r="BC500"/>
      <c r="BD500"/>
    </row>
    <row r="501" spans="3:56" x14ac:dyDescent="0.25">
      <c r="C501"/>
      <c r="D501" s="7"/>
      <c r="E501" s="7"/>
      <c r="F501" s="7"/>
      <c r="G501" s="7"/>
      <c r="H501" s="7"/>
      <c r="I501" s="7"/>
      <c r="J501" s="7"/>
      <c r="K501" s="7"/>
      <c r="M501" s="7"/>
      <c r="O501" s="6"/>
      <c r="P501" s="6"/>
      <c r="Q501" s="6"/>
      <c r="R501" s="6"/>
      <c r="S501" s="6"/>
      <c r="V501" s="7"/>
      <c r="W501" s="7"/>
      <c r="Z501" s="1"/>
      <c r="AB501"/>
      <c r="AC501"/>
      <c r="AD501"/>
      <c r="AE501"/>
      <c r="AF501"/>
      <c r="AG501"/>
      <c r="AJ501"/>
      <c r="AK501"/>
      <c r="AL501"/>
      <c r="AM501"/>
      <c r="AN501"/>
      <c r="AS501"/>
      <c r="AT501"/>
      <c r="AU501"/>
      <c r="AV501"/>
      <c r="AW501"/>
      <c r="AX501"/>
      <c r="AY501"/>
      <c r="AZ501"/>
      <c r="BA501"/>
      <c r="BB501"/>
      <c r="BC501"/>
      <c r="BD501"/>
    </row>
    <row r="502" spans="3:56" x14ac:dyDescent="0.25">
      <c r="C502"/>
      <c r="D502" s="7"/>
      <c r="E502" s="7"/>
      <c r="F502" s="7"/>
      <c r="G502" s="7"/>
      <c r="H502" s="7"/>
      <c r="I502" s="7"/>
      <c r="J502" s="7"/>
      <c r="K502" s="7"/>
      <c r="M502" s="7"/>
      <c r="O502" s="6"/>
      <c r="P502" s="6"/>
      <c r="Q502" s="6"/>
      <c r="R502" s="6"/>
      <c r="S502" s="6"/>
      <c r="V502" s="7"/>
      <c r="W502" s="7"/>
      <c r="Z502" s="1"/>
      <c r="AB502"/>
      <c r="AC502"/>
      <c r="AD502"/>
      <c r="AE502"/>
      <c r="AF502"/>
      <c r="AG502"/>
      <c r="AJ502"/>
      <c r="AK502"/>
      <c r="AL502"/>
      <c r="AM502"/>
      <c r="AN502"/>
      <c r="AS502"/>
      <c r="AT502"/>
      <c r="AU502"/>
      <c r="AV502"/>
      <c r="AW502"/>
      <c r="AX502"/>
      <c r="AY502"/>
      <c r="AZ502"/>
      <c r="BA502"/>
      <c r="BB502"/>
      <c r="BC502"/>
      <c r="BD502"/>
    </row>
    <row r="503" spans="3:56" x14ac:dyDescent="0.25">
      <c r="C503"/>
      <c r="D503" s="7"/>
      <c r="E503" s="7"/>
      <c r="F503" s="7"/>
      <c r="G503" s="7"/>
      <c r="H503" s="7"/>
      <c r="I503" s="7"/>
      <c r="J503" s="7"/>
      <c r="K503" s="7"/>
      <c r="M503" s="7"/>
      <c r="O503" s="6"/>
      <c r="P503" s="6"/>
      <c r="Q503" s="6"/>
      <c r="R503" s="6"/>
      <c r="S503" s="6"/>
      <c r="V503" s="7"/>
      <c r="W503" s="7"/>
      <c r="Z503" s="1"/>
      <c r="AB503"/>
      <c r="AC503"/>
      <c r="AD503"/>
      <c r="AE503"/>
      <c r="AF503"/>
      <c r="AG503"/>
      <c r="AJ503"/>
      <c r="AK503"/>
      <c r="AL503"/>
      <c r="AM503"/>
      <c r="AN503"/>
      <c r="AO503" s="17"/>
      <c r="AP503" s="17"/>
      <c r="AQ503" s="17"/>
      <c r="AR503" s="1"/>
      <c r="AS503" s="1"/>
      <c r="AT503" s="1"/>
      <c r="AU503"/>
      <c r="AV503"/>
      <c r="AW503"/>
      <c r="AX503"/>
      <c r="AY503"/>
      <c r="AZ503"/>
      <c r="BA503"/>
      <c r="BB503"/>
      <c r="BC503"/>
      <c r="BD503"/>
    </row>
    <row r="504" spans="3:56" x14ac:dyDescent="0.25">
      <c r="C504"/>
      <c r="D504" s="7"/>
      <c r="E504" s="7"/>
      <c r="F504" s="7"/>
      <c r="G504" s="7"/>
      <c r="H504" s="7"/>
      <c r="I504" s="7"/>
      <c r="J504" s="7"/>
      <c r="K504" s="7"/>
      <c r="M504" s="7"/>
      <c r="O504" s="6"/>
      <c r="P504" s="6"/>
      <c r="Q504" s="6"/>
      <c r="R504" s="6"/>
      <c r="S504" s="6"/>
      <c r="V504" s="7"/>
      <c r="W504" s="7"/>
      <c r="Z504" s="1"/>
      <c r="AB504"/>
      <c r="AC504"/>
      <c r="AD504"/>
      <c r="AE504"/>
      <c r="AF504"/>
      <c r="AG504"/>
      <c r="AJ504"/>
      <c r="AK504"/>
      <c r="AL504"/>
      <c r="AM504"/>
      <c r="AN504"/>
      <c r="AO504" s="17"/>
      <c r="AP504" s="17"/>
      <c r="AQ504" s="17"/>
      <c r="AR504" s="1"/>
      <c r="AS504" s="1"/>
      <c r="AT504" s="1"/>
      <c r="AU504"/>
      <c r="AV504"/>
      <c r="AW504"/>
      <c r="AX504"/>
      <c r="AY504"/>
      <c r="AZ504"/>
      <c r="BA504"/>
      <c r="BB504"/>
      <c r="BC504"/>
      <c r="BD504"/>
    </row>
    <row r="505" spans="3:56" x14ac:dyDescent="0.25">
      <c r="C505"/>
      <c r="D505" s="7"/>
      <c r="E505" s="7"/>
      <c r="F505" s="7"/>
      <c r="G505" s="7"/>
      <c r="H505" s="7"/>
      <c r="I505" s="7"/>
      <c r="J505" s="7"/>
      <c r="K505" s="7"/>
      <c r="M505" s="7"/>
      <c r="O505" s="6"/>
      <c r="P505" s="6"/>
      <c r="Q505" s="6"/>
      <c r="R505" s="6"/>
      <c r="S505" s="6"/>
      <c r="V505" s="7"/>
      <c r="W505" s="7"/>
      <c r="Z505" s="1"/>
      <c r="AB505"/>
      <c r="AC505"/>
      <c r="AD505"/>
      <c r="AE505"/>
      <c r="AF505"/>
      <c r="AG505"/>
      <c r="AJ505"/>
      <c r="AK505"/>
      <c r="AL505"/>
      <c r="AM505"/>
      <c r="AN505"/>
      <c r="AO505" s="17"/>
      <c r="AP505" s="17"/>
      <c r="AQ505" s="17"/>
      <c r="AR505" s="1"/>
      <c r="AS505" s="1"/>
      <c r="AT505" s="1"/>
      <c r="AU505"/>
      <c r="AV505"/>
      <c r="AW505"/>
      <c r="AX505"/>
      <c r="AY505"/>
      <c r="AZ505"/>
      <c r="BA505"/>
      <c r="BB505"/>
      <c r="BC505"/>
      <c r="BD505"/>
    </row>
    <row r="506" spans="3:56" x14ac:dyDescent="0.25">
      <c r="C506"/>
      <c r="D506" s="7"/>
      <c r="E506" s="7"/>
      <c r="F506" s="7"/>
      <c r="G506" s="7"/>
      <c r="H506" s="7"/>
      <c r="I506" s="7"/>
      <c r="J506" s="7"/>
      <c r="K506" s="7"/>
      <c r="M506" s="7"/>
      <c r="O506" s="6"/>
      <c r="P506" s="6"/>
      <c r="Q506" s="6"/>
      <c r="R506" s="6"/>
      <c r="S506" s="6"/>
      <c r="V506" s="7"/>
      <c r="W506" s="7"/>
      <c r="Z506" s="1"/>
      <c r="AB506"/>
      <c r="AC506"/>
      <c r="AD506"/>
      <c r="AE506"/>
      <c r="AF506"/>
      <c r="AG506"/>
      <c r="AJ506"/>
      <c r="AK506"/>
      <c r="AL506"/>
      <c r="AM506"/>
      <c r="AN506"/>
      <c r="AO506" s="1"/>
      <c r="AP506" s="1"/>
      <c r="AQ506" s="1"/>
      <c r="AS506"/>
      <c r="AT506"/>
      <c r="AU506"/>
      <c r="AV506"/>
      <c r="AW506"/>
      <c r="AX506"/>
      <c r="AY506"/>
      <c r="AZ506"/>
      <c r="BA506"/>
      <c r="BB506"/>
      <c r="BC506"/>
      <c r="BD506"/>
    </row>
    <row r="507" spans="3:56" x14ac:dyDescent="0.25">
      <c r="C507"/>
      <c r="D507" s="7"/>
      <c r="E507" s="7"/>
      <c r="F507" s="7"/>
      <c r="G507" s="7"/>
      <c r="H507" s="7"/>
      <c r="I507" s="7"/>
      <c r="J507" s="7"/>
      <c r="K507" s="7"/>
      <c r="M507" s="7"/>
      <c r="O507" s="6"/>
      <c r="P507" s="6"/>
      <c r="Q507" s="6"/>
      <c r="R507" s="6"/>
      <c r="S507" s="6"/>
      <c r="V507" s="7"/>
      <c r="W507" s="7"/>
      <c r="Z507" s="1"/>
      <c r="AB507"/>
      <c r="AC507"/>
      <c r="AD507"/>
      <c r="AE507"/>
      <c r="AF507"/>
      <c r="AG507"/>
      <c r="AJ507"/>
      <c r="AK507"/>
      <c r="AL507"/>
      <c r="AM507"/>
      <c r="AN507"/>
      <c r="AO507" s="1"/>
      <c r="AP507" s="1"/>
      <c r="AQ507" s="1"/>
      <c r="AS507"/>
      <c r="AT507"/>
      <c r="AU507"/>
      <c r="AV507"/>
      <c r="AW507"/>
      <c r="AX507"/>
      <c r="AY507"/>
      <c r="AZ507"/>
      <c r="BA507"/>
      <c r="BB507"/>
      <c r="BC507"/>
      <c r="BD507"/>
    </row>
    <row r="508" spans="3:56" x14ac:dyDescent="0.25">
      <c r="C508"/>
      <c r="D508" s="7"/>
      <c r="E508" s="7"/>
      <c r="F508" s="7"/>
      <c r="G508" s="7"/>
      <c r="H508" s="7"/>
      <c r="I508" s="7"/>
      <c r="J508" s="7"/>
      <c r="K508" s="7"/>
      <c r="M508" s="7"/>
      <c r="O508" s="6"/>
      <c r="P508" s="6"/>
      <c r="Q508" s="6"/>
      <c r="R508" s="6"/>
      <c r="S508" s="6"/>
      <c r="V508" s="7"/>
      <c r="W508" s="7"/>
      <c r="Z508" s="1"/>
      <c r="AB508"/>
      <c r="AC508"/>
      <c r="AD508"/>
      <c r="AE508"/>
      <c r="AF508"/>
      <c r="AG508"/>
      <c r="AJ508"/>
      <c r="AK508"/>
      <c r="AL508"/>
      <c r="AM508"/>
      <c r="AN508"/>
      <c r="AO508" s="1"/>
      <c r="AP508" s="1"/>
      <c r="AQ508" s="1"/>
      <c r="AS508"/>
      <c r="AT508"/>
      <c r="AU508"/>
      <c r="AV508"/>
      <c r="AW508"/>
      <c r="AX508"/>
      <c r="AY508"/>
      <c r="AZ508"/>
      <c r="BA508"/>
      <c r="BB508"/>
      <c r="BC508"/>
      <c r="BD508"/>
    </row>
    <row r="509" spans="3:56" x14ac:dyDescent="0.25">
      <c r="C509"/>
      <c r="D509" s="7"/>
      <c r="E509" s="7"/>
      <c r="F509" s="7"/>
      <c r="G509" s="7"/>
      <c r="H509" s="7"/>
      <c r="I509" s="7"/>
      <c r="J509" s="7"/>
      <c r="K509" s="7"/>
      <c r="M509" s="7"/>
      <c r="O509" s="6"/>
      <c r="P509" s="6"/>
      <c r="Q509" s="6"/>
      <c r="R509" s="6"/>
      <c r="S509" s="6"/>
      <c r="V509" s="7"/>
      <c r="W509" s="7"/>
      <c r="Z509" s="1"/>
      <c r="AB509"/>
      <c r="AC509"/>
      <c r="AD509"/>
      <c r="AE509"/>
      <c r="AF509"/>
      <c r="AG509"/>
      <c r="AJ509"/>
      <c r="AK509"/>
      <c r="AL509"/>
      <c r="AM509"/>
      <c r="AN509"/>
      <c r="AO509" s="1"/>
      <c r="AP509" s="1"/>
      <c r="AQ509" s="1"/>
      <c r="AS509"/>
      <c r="AT509"/>
      <c r="AU509"/>
      <c r="AV509"/>
      <c r="AW509"/>
      <c r="AX509"/>
      <c r="AY509"/>
      <c r="AZ509"/>
      <c r="BA509"/>
      <c r="BB509"/>
      <c r="BC509"/>
      <c r="BD509"/>
    </row>
    <row r="510" spans="3:56" x14ac:dyDescent="0.25">
      <c r="C510"/>
      <c r="D510" s="7"/>
      <c r="E510" s="7"/>
      <c r="F510" s="7"/>
      <c r="G510" s="7"/>
      <c r="H510" s="7"/>
      <c r="I510" s="7"/>
      <c r="J510" s="7"/>
      <c r="K510" s="7"/>
      <c r="M510" s="7"/>
      <c r="O510" s="6"/>
      <c r="P510" s="6"/>
      <c r="Q510" s="6"/>
      <c r="R510" s="6"/>
      <c r="S510" s="6"/>
      <c r="V510" s="7"/>
      <c r="W510" s="7"/>
      <c r="Z510" s="1"/>
      <c r="AB510"/>
      <c r="AC510"/>
      <c r="AD510"/>
      <c r="AE510"/>
      <c r="AF510"/>
      <c r="AG510"/>
      <c r="AJ510"/>
      <c r="AK510"/>
      <c r="AL510"/>
      <c r="AM510"/>
      <c r="AN510"/>
      <c r="AO510" s="1"/>
      <c r="AP510" s="1"/>
      <c r="AQ510" s="1"/>
      <c r="AS510"/>
      <c r="AT510"/>
      <c r="AU510"/>
      <c r="AV510"/>
      <c r="AW510"/>
      <c r="AX510"/>
      <c r="AY510"/>
      <c r="AZ510"/>
      <c r="BA510"/>
      <c r="BB510"/>
      <c r="BC510"/>
      <c r="BD510"/>
    </row>
    <row r="511" spans="3:56" x14ac:dyDescent="0.25">
      <c r="C511"/>
      <c r="D511" s="7"/>
      <c r="E511" s="7"/>
      <c r="F511" s="7"/>
      <c r="G511" s="7"/>
      <c r="H511" s="7"/>
      <c r="I511" s="7"/>
      <c r="J511" s="7"/>
      <c r="K511" s="7"/>
      <c r="M511" s="7"/>
      <c r="O511" s="6"/>
      <c r="P511" s="6"/>
      <c r="Q511" s="6"/>
      <c r="R511" s="6"/>
      <c r="S511" s="6"/>
      <c r="V511" s="7"/>
      <c r="W511" s="7"/>
      <c r="Z511" s="1"/>
      <c r="AB511"/>
      <c r="AC511"/>
      <c r="AD511"/>
      <c r="AE511"/>
      <c r="AF511"/>
      <c r="AG511"/>
      <c r="AJ511"/>
      <c r="AK511"/>
      <c r="AL511"/>
      <c r="AM511"/>
      <c r="AN511"/>
      <c r="AO511" s="1"/>
      <c r="AP511" s="1"/>
      <c r="AQ511" s="1"/>
      <c r="AS511"/>
      <c r="AT511"/>
      <c r="AU511"/>
      <c r="AV511"/>
      <c r="AW511"/>
      <c r="AX511"/>
      <c r="AY511"/>
      <c r="AZ511"/>
      <c r="BA511"/>
      <c r="BB511"/>
      <c r="BC511"/>
      <c r="BD511"/>
    </row>
    <row r="512" spans="3:56" x14ac:dyDescent="0.25">
      <c r="C512"/>
      <c r="D512" s="7"/>
      <c r="E512" s="7"/>
      <c r="F512" s="7"/>
      <c r="G512" s="7"/>
      <c r="H512" s="7"/>
      <c r="I512" s="7"/>
      <c r="J512" s="7"/>
      <c r="K512" s="7"/>
      <c r="M512" s="7"/>
      <c r="O512" s="6"/>
      <c r="P512" s="6"/>
      <c r="Q512" s="6"/>
      <c r="R512" s="6"/>
      <c r="S512" s="6"/>
      <c r="V512" s="7"/>
      <c r="W512" s="7"/>
      <c r="Z512" s="1"/>
      <c r="AB512"/>
      <c r="AC512"/>
      <c r="AD512"/>
      <c r="AE512"/>
      <c r="AF512"/>
      <c r="AG512"/>
      <c r="AJ512"/>
      <c r="AK512"/>
      <c r="AL512"/>
      <c r="AM512"/>
      <c r="AN512"/>
      <c r="AO512" s="1"/>
      <c r="AP512" s="1"/>
      <c r="AQ512" s="1"/>
      <c r="AS512"/>
      <c r="AT512"/>
      <c r="AU512"/>
      <c r="AV512"/>
      <c r="AW512"/>
      <c r="AX512"/>
      <c r="AY512"/>
      <c r="AZ512"/>
      <c r="BA512"/>
      <c r="BB512"/>
      <c r="BC512"/>
      <c r="BD512"/>
    </row>
    <row r="513" spans="3:56" x14ac:dyDescent="0.25">
      <c r="C513"/>
      <c r="D513" s="7"/>
      <c r="E513" s="7"/>
      <c r="F513" s="7"/>
      <c r="G513" s="7"/>
      <c r="H513" s="7"/>
      <c r="I513" s="7"/>
      <c r="J513" s="7"/>
      <c r="K513" s="7"/>
      <c r="M513" s="7"/>
      <c r="O513" s="6"/>
      <c r="P513" s="6"/>
      <c r="Q513" s="6"/>
      <c r="R513" s="6"/>
      <c r="S513" s="6"/>
      <c r="V513" s="7"/>
      <c r="W513" s="7"/>
      <c r="Z513" s="1"/>
      <c r="AB513"/>
      <c r="AC513"/>
      <c r="AD513"/>
      <c r="AE513"/>
      <c r="AF513"/>
      <c r="AG513"/>
      <c r="AJ513"/>
      <c r="AK513"/>
      <c r="AL513"/>
      <c r="AM513"/>
      <c r="AN513"/>
      <c r="AO513" s="1"/>
      <c r="AP513" s="1"/>
      <c r="AQ513" s="1"/>
      <c r="AS513"/>
      <c r="AT513"/>
      <c r="AU513"/>
      <c r="AV513"/>
      <c r="AW513"/>
      <c r="AX513"/>
      <c r="AY513"/>
      <c r="AZ513"/>
      <c r="BA513"/>
      <c r="BB513"/>
      <c r="BC513"/>
      <c r="BD513"/>
    </row>
    <row r="514" spans="3:56" x14ac:dyDescent="0.25">
      <c r="C514"/>
      <c r="D514" s="7"/>
      <c r="E514" s="7"/>
      <c r="F514" s="7"/>
      <c r="G514" s="7"/>
      <c r="H514" s="7"/>
      <c r="I514" s="7"/>
      <c r="J514" s="7"/>
      <c r="K514" s="7"/>
      <c r="M514" s="7"/>
      <c r="O514" s="6"/>
      <c r="P514" s="6"/>
      <c r="Q514" s="6"/>
      <c r="R514" s="6"/>
      <c r="S514" s="6"/>
      <c r="V514" s="7"/>
      <c r="W514" s="7"/>
      <c r="Z514" s="1"/>
      <c r="AB514"/>
      <c r="AC514"/>
      <c r="AD514"/>
      <c r="AE514"/>
      <c r="AF514"/>
      <c r="AG514"/>
      <c r="AJ514"/>
      <c r="AK514"/>
      <c r="AL514"/>
      <c r="AM514"/>
      <c r="AN514"/>
      <c r="AO514" s="1"/>
      <c r="AP514" s="1"/>
      <c r="AQ514" s="1"/>
      <c r="AS514"/>
      <c r="AT514"/>
      <c r="AU514"/>
      <c r="AV514"/>
      <c r="AW514"/>
      <c r="AX514"/>
      <c r="AY514"/>
      <c r="AZ514"/>
      <c r="BA514"/>
      <c r="BB514"/>
      <c r="BC514"/>
      <c r="BD514"/>
    </row>
    <row r="515" spans="3:56" x14ac:dyDescent="0.25">
      <c r="C515"/>
      <c r="D515" s="7"/>
      <c r="E515" s="7"/>
      <c r="F515" s="7"/>
      <c r="G515" s="7"/>
      <c r="H515" s="7"/>
      <c r="I515" s="7"/>
      <c r="J515" s="7"/>
      <c r="K515" s="7"/>
      <c r="M515" s="7"/>
      <c r="O515" s="6"/>
      <c r="P515" s="6"/>
      <c r="Q515" s="6"/>
      <c r="R515" s="6"/>
      <c r="S515" s="6"/>
      <c r="V515" s="7"/>
      <c r="W515" s="7"/>
      <c r="Z515" s="1"/>
      <c r="AB515"/>
      <c r="AC515"/>
      <c r="AD515"/>
      <c r="AE515"/>
      <c r="AF515"/>
      <c r="AG515"/>
      <c r="AJ515"/>
      <c r="AK515"/>
      <c r="AL515"/>
      <c r="AM515"/>
      <c r="AN515"/>
      <c r="AO515" s="1"/>
      <c r="AP515" s="1"/>
      <c r="AQ515" s="1"/>
      <c r="AS515"/>
      <c r="AT515"/>
      <c r="AU515"/>
      <c r="AV515"/>
      <c r="AW515"/>
      <c r="AX515"/>
      <c r="AY515"/>
      <c r="AZ515"/>
      <c r="BA515"/>
      <c r="BB515"/>
      <c r="BC515"/>
      <c r="BD515"/>
    </row>
    <row r="516" spans="3:56" x14ac:dyDescent="0.25">
      <c r="C516"/>
      <c r="D516" s="7"/>
      <c r="E516" s="7"/>
      <c r="F516" s="7"/>
      <c r="G516" s="7"/>
      <c r="H516" s="7"/>
      <c r="I516" s="7"/>
      <c r="J516" s="7"/>
      <c r="K516" s="7"/>
      <c r="M516" s="7"/>
      <c r="O516" s="6"/>
      <c r="P516" s="6"/>
      <c r="Q516" s="6"/>
      <c r="R516" s="6"/>
      <c r="S516" s="6"/>
      <c r="V516" s="7"/>
      <c r="W516" s="7"/>
      <c r="Z516" s="1"/>
      <c r="AB516"/>
      <c r="AC516"/>
      <c r="AD516"/>
      <c r="AE516"/>
      <c r="AF516"/>
      <c r="AG516"/>
      <c r="AJ516"/>
      <c r="AK516"/>
      <c r="AL516"/>
      <c r="AM516"/>
      <c r="AN516"/>
      <c r="AO516" s="1"/>
      <c r="AP516" s="1"/>
      <c r="AQ516" s="1"/>
      <c r="AS516"/>
      <c r="AT516"/>
      <c r="AU516"/>
      <c r="AV516"/>
      <c r="AW516"/>
      <c r="AX516"/>
      <c r="AY516"/>
      <c r="AZ516"/>
      <c r="BA516"/>
      <c r="BB516"/>
      <c r="BC516"/>
      <c r="BD516"/>
    </row>
    <row r="517" spans="3:56" x14ac:dyDescent="0.25">
      <c r="C517"/>
      <c r="D517" s="7"/>
      <c r="E517" s="7"/>
      <c r="F517" s="7"/>
      <c r="G517" s="7"/>
      <c r="H517" s="7"/>
      <c r="I517" s="7"/>
      <c r="J517" s="7"/>
      <c r="K517" s="7"/>
      <c r="M517" s="7"/>
      <c r="O517" s="6"/>
      <c r="P517" s="6"/>
      <c r="Q517" s="6"/>
      <c r="R517" s="6"/>
      <c r="S517" s="6"/>
      <c r="V517" s="7"/>
      <c r="W517" s="7"/>
      <c r="Z517" s="1"/>
      <c r="AB517"/>
      <c r="AC517"/>
      <c r="AD517"/>
      <c r="AE517"/>
      <c r="AF517"/>
      <c r="AG517"/>
      <c r="AJ517"/>
      <c r="AK517"/>
      <c r="AL517"/>
      <c r="AM517"/>
      <c r="AN517"/>
      <c r="AO517" s="1"/>
      <c r="AP517" s="1"/>
      <c r="AQ517" s="1"/>
      <c r="AS517"/>
      <c r="AT517"/>
      <c r="AU517"/>
      <c r="AV517"/>
      <c r="AW517"/>
      <c r="AX517"/>
      <c r="AY517"/>
      <c r="AZ517"/>
      <c r="BA517"/>
      <c r="BB517"/>
      <c r="BC517"/>
      <c r="BD517"/>
    </row>
    <row r="518" spans="3:56" x14ac:dyDescent="0.25">
      <c r="C518"/>
      <c r="D518" s="7"/>
      <c r="E518" s="7"/>
      <c r="F518" s="7"/>
      <c r="G518" s="7"/>
      <c r="H518" s="7"/>
      <c r="I518" s="7"/>
      <c r="J518" s="7"/>
      <c r="K518" s="7"/>
      <c r="M518" s="7"/>
      <c r="O518" s="6"/>
      <c r="P518" s="6"/>
      <c r="Q518" s="6"/>
      <c r="R518" s="6"/>
      <c r="S518" s="6"/>
      <c r="V518" s="7"/>
      <c r="W518" s="7"/>
      <c r="Z518" s="1"/>
      <c r="AC518"/>
      <c r="AD518"/>
      <c r="AE518"/>
      <c r="AF518"/>
      <c r="AG518"/>
      <c r="AI518" s="17"/>
      <c r="AJ518" s="17"/>
      <c r="AK518" s="17"/>
      <c r="AL518" s="17"/>
      <c r="AM518" s="17"/>
      <c r="AN518" s="17"/>
      <c r="AO518" s="1"/>
      <c r="AP518" s="1"/>
      <c r="AQ518" s="1"/>
      <c r="AS518"/>
      <c r="AT518"/>
      <c r="AU518"/>
      <c r="AV518"/>
      <c r="AW518"/>
      <c r="AX518"/>
      <c r="AY518"/>
      <c r="AZ518"/>
      <c r="BA518"/>
      <c r="BB518"/>
      <c r="BC518"/>
      <c r="BD518"/>
    </row>
    <row r="519" spans="3:56" x14ac:dyDescent="0.25">
      <c r="C519"/>
      <c r="D519" s="7"/>
      <c r="E519" s="7"/>
      <c r="F519" s="7"/>
      <c r="G519" s="7"/>
      <c r="H519" s="7"/>
      <c r="I519" s="7"/>
      <c r="J519" s="7"/>
      <c r="K519" s="7"/>
      <c r="M519" s="7"/>
      <c r="O519" s="6"/>
      <c r="P519" s="6"/>
      <c r="Q519" s="6"/>
      <c r="R519" s="6"/>
      <c r="S519" s="6"/>
      <c r="V519" s="7"/>
      <c r="W519" s="7"/>
      <c r="Z519" s="1"/>
      <c r="AC519"/>
      <c r="AD519"/>
      <c r="AE519"/>
      <c r="AF519"/>
      <c r="AG519"/>
      <c r="AI519" s="17"/>
      <c r="AJ519" s="17"/>
      <c r="AK519" s="17"/>
      <c r="AL519" s="17"/>
      <c r="AM519" s="17"/>
      <c r="AN519" s="17"/>
      <c r="AO519" s="1"/>
      <c r="AP519" s="1"/>
      <c r="AQ519" s="1"/>
      <c r="AS519"/>
      <c r="AT519"/>
      <c r="AU519"/>
      <c r="AV519"/>
      <c r="AW519"/>
      <c r="AX519"/>
      <c r="AY519"/>
      <c r="AZ519"/>
      <c r="BA519"/>
      <c r="BB519"/>
      <c r="BC519"/>
      <c r="BD519"/>
    </row>
    <row r="520" spans="3:56" x14ac:dyDescent="0.25">
      <c r="C520"/>
      <c r="D520" s="7"/>
      <c r="E520" s="7"/>
      <c r="F520" s="7"/>
      <c r="G520" s="7"/>
      <c r="H520" s="7"/>
      <c r="I520" s="7"/>
      <c r="J520" s="7"/>
      <c r="K520" s="7"/>
      <c r="M520" s="7"/>
      <c r="O520" s="6"/>
      <c r="P520" s="6"/>
      <c r="Q520" s="6"/>
      <c r="R520" s="6"/>
      <c r="S520" s="6"/>
      <c r="V520" s="7"/>
      <c r="W520" s="7"/>
      <c r="Z520" s="1"/>
      <c r="AC520"/>
      <c r="AD520"/>
      <c r="AE520"/>
      <c r="AF520"/>
      <c r="AG520"/>
      <c r="AI520" s="17"/>
      <c r="AJ520" s="17"/>
      <c r="AK520" s="17"/>
      <c r="AL520" s="17"/>
      <c r="AM520" s="17"/>
      <c r="AN520" s="17"/>
      <c r="AO520" s="1"/>
      <c r="AP520" s="1"/>
      <c r="AQ520" s="1"/>
      <c r="AS520"/>
      <c r="AT520"/>
      <c r="AU520"/>
      <c r="AV520"/>
      <c r="AW520"/>
      <c r="AX520"/>
      <c r="AY520"/>
      <c r="AZ520"/>
      <c r="BA520"/>
      <c r="BB520"/>
      <c r="BC520"/>
      <c r="BD520"/>
    </row>
    <row r="521" spans="3:56" x14ac:dyDescent="0.25">
      <c r="C521"/>
      <c r="D521" s="7"/>
      <c r="E521" s="7"/>
      <c r="F521" s="7"/>
      <c r="G521" s="7"/>
      <c r="H521" s="7"/>
      <c r="J521" s="7"/>
      <c r="O521" s="6"/>
      <c r="P521" s="6"/>
      <c r="Q521" s="6"/>
      <c r="R521" s="6"/>
      <c r="T521" s="7"/>
      <c r="AA521"/>
      <c r="AB521"/>
      <c r="AC521"/>
      <c r="AD521"/>
      <c r="AE521"/>
      <c r="AF521" s="17"/>
      <c r="AG521" s="17"/>
      <c r="AH521" s="17"/>
      <c r="AI521" s="17"/>
      <c r="AJ521" s="17"/>
      <c r="AK521" s="17"/>
      <c r="AL521" s="17"/>
      <c r="AM521" s="17"/>
      <c r="AN521" s="17"/>
      <c r="AO521" s="1"/>
      <c r="AP521" s="1"/>
      <c r="AQ521" s="1"/>
      <c r="AS521"/>
      <c r="AT521"/>
      <c r="AU521"/>
      <c r="AV521"/>
      <c r="AW521"/>
      <c r="AX521"/>
      <c r="AY521"/>
      <c r="AZ521"/>
      <c r="BA521"/>
      <c r="BB521"/>
      <c r="BC521"/>
      <c r="BD521"/>
    </row>
    <row r="522" spans="3:56" x14ac:dyDescent="0.25">
      <c r="C522"/>
      <c r="D522" s="7"/>
      <c r="E522" s="7"/>
      <c r="F522" s="7"/>
      <c r="G522" s="7"/>
      <c r="H522" s="7"/>
      <c r="J522" s="7"/>
      <c r="O522" s="6"/>
      <c r="P522" s="6"/>
      <c r="Q522" s="6"/>
      <c r="R522" s="6"/>
      <c r="T522" s="7"/>
      <c r="AA522"/>
      <c r="AB522"/>
      <c r="AC522"/>
      <c r="AD522"/>
      <c r="AE522"/>
      <c r="AF522" s="17"/>
      <c r="AG522" s="17"/>
      <c r="AH522" s="17"/>
      <c r="AI522" s="17"/>
      <c r="AJ522" s="17"/>
      <c r="AK522" s="17"/>
      <c r="AL522" s="17"/>
      <c r="AM522" s="17"/>
      <c r="AN522" s="17"/>
      <c r="AO522" s="1"/>
      <c r="AP522" s="1"/>
      <c r="AQ522" s="1"/>
      <c r="AS522"/>
      <c r="AT522"/>
      <c r="AU522"/>
      <c r="AV522"/>
      <c r="AW522"/>
      <c r="AX522"/>
      <c r="AY522"/>
      <c r="AZ522"/>
      <c r="BA522"/>
      <c r="BB522"/>
      <c r="BC522"/>
      <c r="BD522"/>
    </row>
    <row r="523" spans="3:56" x14ac:dyDescent="0.25">
      <c r="C523"/>
      <c r="D523" s="7"/>
      <c r="E523" s="7"/>
      <c r="F523" s="7"/>
      <c r="G523" s="7"/>
      <c r="H523" s="7"/>
      <c r="J523" s="7"/>
      <c r="O523" s="6"/>
      <c r="P523" s="6"/>
      <c r="Q523" s="6"/>
      <c r="R523" s="6"/>
      <c r="T523" s="7"/>
      <c r="AA523"/>
      <c r="AB523"/>
      <c r="AC523"/>
      <c r="AD523"/>
      <c r="AE523"/>
      <c r="AF523" s="17"/>
      <c r="AG523" s="17"/>
      <c r="AH523" s="17"/>
      <c r="AI523" s="17"/>
      <c r="AJ523" s="17"/>
      <c r="AK523" s="17"/>
      <c r="AL523" s="17"/>
      <c r="AM523" s="17"/>
      <c r="AN523" s="17"/>
      <c r="AO523" s="1"/>
      <c r="AP523" s="1"/>
      <c r="AQ523" s="1"/>
      <c r="AS523"/>
      <c r="AT523"/>
      <c r="AU523"/>
      <c r="AV523"/>
      <c r="AW523"/>
      <c r="AX523"/>
      <c r="AY523"/>
      <c r="AZ523"/>
      <c r="BA523"/>
      <c r="BB523"/>
      <c r="BC523"/>
      <c r="BD523"/>
    </row>
    <row r="524" spans="3:56" x14ac:dyDescent="0.25">
      <c r="C524"/>
      <c r="D524" s="7"/>
      <c r="E524" s="7"/>
      <c r="F524" s="7"/>
      <c r="G524" s="7"/>
      <c r="H524" s="7"/>
      <c r="J524" s="7"/>
      <c r="O524" s="6"/>
      <c r="P524" s="6"/>
      <c r="Q524" s="6"/>
      <c r="R524" s="6"/>
      <c r="T524" s="7"/>
      <c r="AA524"/>
      <c r="AB524"/>
      <c r="AC524"/>
      <c r="AD524"/>
      <c r="AE524"/>
      <c r="AF524" s="17"/>
      <c r="AG524" s="17"/>
      <c r="AH524" s="17"/>
      <c r="AI524" s="17"/>
      <c r="AJ524" s="17"/>
      <c r="AK524" s="17"/>
      <c r="AL524" s="17"/>
      <c r="AM524" s="17"/>
      <c r="AN524" s="17"/>
      <c r="AO524" s="1"/>
      <c r="AP524" s="1"/>
      <c r="AQ524" s="1"/>
      <c r="AS524"/>
      <c r="AT524"/>
      <c r="AU524"/>
      <c r="AV524"/>
      <c r="AW524"/>
      <c r="AX524"/>
      <c r="AY524"/>
      <c r="AZ524"/>
      <c r="BA524"/>
      <c r="BB524"/>
      <c r="BC524"/>
      <c r="BD524"/>
    </row>
    <row r="525" spans="3:56" x14ac:dyDescent="0.25">
      <c r="C525"/>
      <c r="D525" s="7"/>
      <c r="E525" s="7"/>
      <c r="F525" s="7"/>
      <c r="G525" s="7"/>
      <c r="H525" s="7"/>
      <c r="J525" s="7"/>
      <c r="O525" s="6"/>
      <c r="P525" s="6"/>
      <c r="Q525" s="6"/>
      <c r="R525" s="6"/>
      <c r="T525" s="7"/>
      <c r="AA525"/>
      <c r="AB525"/>
      <c r="AC525"/>
      <c r="AD525"/>
      <c r="AE525"/>
      <c r="AF525" s="17"/>
      <c r="AG525" s="17"/>
      <c r="AH525" s="17"/>
      <c r="AI525" s="17"/>
      <c r="AJ525" s="17"/>
      <c r="AK525" s="17"/>
      <c r="AL525" s="17"/>
      <c r="AM525" s="17"/>
      <c r="AN525" s="17"/>
      <c r="AO525" s="1"/>
      <c r="AP525" s="1"/>
      <c r="AQ525" s="1"/>
      <c r="AS525"/>
      <c r="AT525"/>
      <c r="AU525"/>
      <c r="AV525"/>
      <c r="AW525"/>
      <c r="AX525"/>
      <c r="AY525"/>
      <c r="AZ525"/>
      <c r="BA525"/>
      <c r="BB525"/>
      <c r="BC525"/>
      <c r="BD525"/>
    </row>
    <row r="526" spans="3:56" x14ac:dyDescent="0.25">
      <c r="C526"/>
      <c r="D526" s="7"/>
      <c r="E526" s="7"/>
      <c r="F526" s="7"/>
      <c r="G526" s="7"/>
      <c r="H526" s="7"/>
      <c r="J526" s="7"/>
      <c r="O526" s="6"/>
      <c r="P526" s="6"/>
      <c r="Q526" s="6"/>
      <c r="R526" s="6"/>
      <c r="T526" s="7"/>
      <c r="AA526"/>
      <c r="AB526"/>
      <c r="AC526"/>
      <c r="AD526"/>
      <c r="AE526"/>
      <c r="AF526" s="17"/>
      <c r="AG526" s="17"/>
      <c r="AH526" s="17"/>
      <c r="AI526" s="17"/>
      <c r="AJ526" s="17"/>
      <c r="AK526" s="17"/>
      <c r="AL526" s="17"/>
      <c r="AM526" s="17"/>
      <c r="AN526" s="17"/>
      <c r="AO526" s="1"/>
      <c r="AP526" s="1"/>
      <c r="AQ526" s="1"/>
      <c r="AS526"/>
      <c r="AT526"/>
      <c r="AU526"/>
      <c r="AV526"/>
      <c r="AW526"/>
      <c r="AX526"/>
      <c r="AY526"/>
      <c r="AZ526"/>
      <c r="BA526"/>
      <c r="BB526"/>
      <c r="BC526"/>
      <c r="BD526"/>
    </row>
    <row r="527" spans="3:56" x14ac:dyDescent="0.25">
      <c r="C527"/>
      <c r="D527" s="7"/>
      <c r="E527" s="7"/>
      <c r="F527" s="7"/>
      <c r="G527" s="7"/>
      <c r="H527" s="7"/>
      <c r="J527" s="7"/>
      <c r="O527" s="6"/>
      <c r="P527" s="6"/>
      <c r="Q527" s="6"/>
      <c r="R527" s="6"/>
      <c r="T527" s="7"/>
      <c r="AA527"/>
      <c r="AB527"/>
      <c r="AC527"/>
      <c r="AD527"/>
      <c r="AE527"/>
      <c r="AF527" s="17"/>
      <c r="AG527" s="17"/>
      <c r="AH527" s="17"/>
      <c r="AI527" s="17"/>
      <c r="AJ527" s="17"/>
      <c r="AK527" s="17"/>
      <c r="AL527" s="17"/>
      <c r="AM527" s="17"/>
      <c r="AN527" s="17"/>
      <c r="AO527" s="1"/>
      <c r="AP527" s="1"/>
      <c r="AQ527" s="1"/>
      <c r="AS527"/>
      <c r="AT527"/>
      <c r="AU527"/>
      <c r="AV527"/>
      <c r="AW527"/>
      <c r="AX527"/>
      <c r="AY527"/>
      <c r="AZ527"/>
      <c r="BA527"/>
      <c r="BB527"/>
      <c r="BC527"/>
      <c r="BD527"/>
    </row>
    <row r="528" spans="3:56" x14ac:dyDescent="0.25">
      <c r="C528"/>
      <c r="D528" s="7"/>
      <c r="E528" s="7"/>
      <c r="F528" s="7"/>
      <c r="G528" s="7"/>
      <c r="H528" s="7"/>
      <c r="J528" s="7"/>
      <c r="O528" s="6"/>
      <c r="P528" s="6"/>
      <c r="Q528" s="6"/>
      <c r="R528" s="6"/>
      <c r="T528" s="7"/>
      <c r="AA528"/>
      <c r="AB528"/>
      <c r="AC528"/>
      <c r="AD528"/>
      <c r="AE528"/>
      <c r="AF528" s="17"/>
      <c r="AG528" s="17"/>
      <c r="AH528" s="17"/>
      <c r="AI528" s="17"/>
      <c r="AJ528" s="17"/>
      <c r="AK528" s="17"/>
      <c r="AL528" s="17"/>
      <c r="AM528" s="17"/>
      <c r="AN528" s="17"/>
      <c r="AO528" s="1"/>
      <c r="AP528" s="1"/>
      <c r="AQ528" s="1"/>
      <c r="AS528"/>
      <c r="AT528"/>
      <c r="AU528"/>
      <c r="AV528"/>
      <c r="AW528"/>
      <c r="AX528"/>
      <c r="AY528"/>
      <c r="AZ528"/>
      <c r="BA528"/>
      <c r="BB528"/>
      <c r="BC528"/>
      <c r="BD528"/>
    </row>
    <row r="529" spans="3:56" x14ac:dyDescent="0.25">
      <c r="C529"/>
      <c r="D529" s="7"/>
      <c r="E529" s="7"/>
      <c r="F529" s="7"/>
      <c r="G529" s="7"/>
      <c r="H529" s="7"/>
      <c r="J529" s="7"/>
      <c r="O529" s="6"/>
      <c r="P529" s="6"/>
      <c r="Q529" s="6"/>
      <c r="R529" s="6"/>
      <c r="T529" s="7"/>
      <c r="AA529"/>
      <c r="AB529"/>
      <c r="AC529"/>
      <c r="AD529"/>
      <c r="AE529"/>
      <c r="AF529" s="17"/>
      <c r="AG529" s="17"/>
      <c r="AH529" s="17"/>
      <c r="AI529" s="17"/>
      <c r="AJ529" s="17"/>
      <c r="AK529" s="17"/>
      <c r="AL529" s="17"/>
      <c r="AM529" s="17"/>
      <c r="AN529" s="17"/>
      <c r="AO529" s="1"/>
      <c r="AP529" s="1"/>
      <c r="AQ529" s="1"/>
      <c r="AS529"/>
      <c r="AT529"/>
      <c r="AU529"/>
      <c r="AV529"/>
      <c r="AW529"/>
      <c r="AX529"/>
      <c r="AY529"/>
      <c r="AZ529"/>
      <c r="BA529"/>
      <c r="BB529"/>
      <c r="BC529"/>
      <c r="BD529"/>
    </row>
    <row r="530" spans="3:56" x14ac:dyDescent="0.25">
      <c r="C530"/>
      <c r="D530" s="7"/>
      <c r="E530" s="7"/>
      <c r="F530" s="7"/>
      <c r="G530" s="7"/>
      <c r="H530" s="7"/>
      <c r="J530" s="7"/>
      <c r="O530" s="6"/>
      <c r="P530" s="6"/>
      <c r="Q530" s="6"/>
      <c r="R530" s="6"/>
      <c r="T530" s="7"/>
      <c r="AA530"/>
      <c r="AB530"/>
      <c r="AC530"/>
      <c r="AD530"/>
      <c r="AE530"/>
      <c r="AF530" s="17"/>
      <c r="AG530" s="17"/>
      <c r="AH530" s="17"/>
      <c r="AI530" s="17"/>
      <c r="AJ530" s="17"/>
      <c r="AK530" s="17"/>
      <c r="AL530" s="17"/>
      <c r="AM530" s="17"/>
      <c r="AN530" s="17"/>
      <c r="AO530" s="1"/>
      <c r="AP530" s="1"/>
      <c r="AQ530" s="1"/>
      <c r="AS530"/>
      <c r="AT530"/>
      <c r="AU530"/>
      <c r="AV530"/>
      <c r="AW530"/>
      <c r="AX530"/>
      <c r="AY530"/>
      <c r="AZ530"/>
      <c r="BA530"/>
      <c r="BB530"/>
      <c r="BC530"/>
      <c r="BD530"/>
    </row>
    <row r="531" spans="3:56" x14ac:dyDescent="0.25">
      <c r="C531"/>
      <c r="D531" s="7"/>
      <c r="E531" s="7"/>
      <c r="F531" s="7"/>
      <c r="G531" s="7"/>
      <c r="H531" s="7"/>
      <c r="J531" s="7"/>
      <c r="O531" s="6"/>
      <c r="P531" s="6"/>
      <c r="Q531" s="6"/>
      <c r="R531" s="6"/>
      <c r="T531" s="7"/>
      <c r="AA531"/>
      <c r="AB531"/>
      <c r="AC531"/>
      <c r="AD531"/>
      <c r="AE531"/>
      <c r="AF531" s="17"/>
      <c r="AG531" s="17"/>
      <c r="AH531" s="17"/>
      <c r="AI531" s="17"/>
      <c r="AJ531" s="17"/>
      <c r="AK531" s="17"/>
      <c r="AL531" s="17"/>
      <c r="AM531" s="17"/>
      <c r="AN531" s="17"/>
      <c r="AO531" s="1"/>
      <c r="AP531" s="1"/>
      <c r="AQ531" s="1"/>
      <c r="AS531"/>
      <c r="AT531"/>
      <c r="AU531"/>
      <c r="AV531"/>
      <c r="AW531"/>
      <c r="AX531"/>
      <c r="AY531"/>
      <c r="AZ531"/>
      <c r="BA531"/>
      <c r="BB531"/>
      <c r="BC531"/>
      <c r="BD531"/>
    </row>
    <row r="532" spans="3:56" x14ac:dyDescent="0.25">
      <c r="C532"/>
      <c r="D532" s="7"/>
      <c r="E532" s="7"/>
      <c r="F532" s="7"/>
      <c r="G532" s="7"/>
      <c r="H532" s="7"/>
      <c r="J532" s="7"/>
      <c r="O532" s="6"/>
      <c r="P532" s="6"/>
      <c r="Q532" s="6"/>
      <c r="R532" s="6"/>
      <c r="T532" s="7"/>
      <c r="AA532"/>
      <c r="AB532"/>
      <c r="AC532"/>
      <c r="AD532"/>
      <c r="AE532"/>
      <c r="AF532" s="17"/>
      <c r="AG532" s="17"/>
      <c r="AH532" s="17"/>
      <c r="AI532" s="17"/>
      <c r="AJ532" s="17"/>
      <c r="AK532" s="17"/>
      <c r="AL532" s="17"/>
      <c r="AM532" s="17"/>
      <c r="AN532" s="17"/>
      <c r="AO532" s="1"/>
      <c r="AP532" s="1"/>
      <c r="AQ532" s="1"/>
      <c r="AS532"/>
      <c r="AT532"/>
      <c r="AU532"/>
      <c r="AV532"/>
      <c r="AW532"/>
      <c r="AX532"/>
      <c r="AY532"/>
      <c r="AZ532"/>
      <c r="BA532"/>
      <c r="BB532"/>
      <c r="BC532"/>
      <c r="BD532"/>
    </row>
    <row r="533" spans="3:56" x14ac:dyDescent="0.25">
      <c r="C533"/>
      <c r="D533" s="7"/>
      <c r="E533" s="7"/>
      <c r="F533" s="7"/>
      <c r="G533" s="7"/>
      <c r="H533" s="7"/>
      <c r="J533" s="7"/>
      <c r="O533" s="6"/>
      <c r="P533" s="6"/>
      <c r="Q533" s="6"/>
      <c r="R533" s="6"/>
      <c r="T533" s="7"/>
      <c r="AA533"/>
      <c r="AB533"/>
      <c r="AC533"/>
      <c r="AD533"/>
      <c r="AE533"/>
      <c r="AF533" s="17"/>
      <c r="AG533" s="17"/>
      <c r="AH533" s="17"/>
      <c r="AI533" s="17"/>
      <c r="AJ533" s="17"/>
      <c r="AK533" s="17"/>
      <c r="AL533" s="17"/>
      <c r="AM533" s="17"/>
      <c r="AN533" s="17"/>
      <c r="AO533" s="1"/>
      <c r="AP533" s="1"/>
      <c r="AQ533" s="1"/>
      <c r="AS533"/>
      <c r="AT533"/>
      <c r="AU533"/>
      <c r="AV533"/>
      <c r="AW533"/>
      <c r="AX533"/>
      <c r="AY533"/>
      <c r="AZ533"/>
      <c r="BA533"/>
      <c r="BB533"/>
      <c r="BC533"/>
      <c r="BD533"/>
    </row>
    <row r="534" spans="3:56" x14ac:dyDescent="0.25">
      <c r="C534"/>
      <c r="D534" s="7"/>
      <c r="E534" s="7"/>
      <c r="F534" s="7"/>
      <c r="G534" s="7"/>
      <c r="H534" s="7"/>
      <c r="J534" s="7"/>
      <c r="O534" s="6"/>
      <c r="P534" s="6"/>
      <c r="Q534" s="6"/>
      <c r="R534" s="6"/>
      <c r="T534" s="7"/>
      <c r="AA534"/>
      <c r="AB534"/>
      <c r="AC534"/>
      <c r="AD534"/>
      <c r="AE534"/>
      <c r="AF534" s="17"/>
      <c r="AG534" s="17"/>
      <c r="AH534" s="17"/>
      <c r="AI534" s="17"/>
      <c r="AJ534" s="17"/>
      <c r="AK534" s="17"/>
      <c r="AL534" s="17"/>
      <c r="AM534" s="17"/>
      <c r="AN534" s="17"/>
      <c r="AO534" s="1"/>
      <c r="AP534" s="1"/>
      <c r="AQ534" s="1"/>
      <c r="AS534"/>
      <c r="AT534"/>
      <c r="AU534"/>
      <c r="AV534"/>
      <c r="AW534"/>
      <c r="AX534"/>
      <c r="AY534"/>
      <c r="AZ534"/>
      <c r="BA534"/>
      <c r="BB534"/>
      <c r="BC534"/>
      <c r="BD534"/>
    </row>
    <row r="535" spans="3:56" x14ac:dyDescent="0.25">
      <c r="C535"/>
      <c r="D535" s="7"/>
      <c r="E535" s="7"/>
      <c r="F535" s="7"/>
      <c r="G535" s="7"/>
      <c r="H535" s="7"/>
      <c r="J535" s="7"/>
      <c r="O535" s="6"/>
      <c r="P535" s="6"/>
      <c r="Q535" s="6"/>
      <c r="R535" s="6"/>
      <c r="T535" s="7"/>
      <c r="AA535"/>
      <c r="AB535"/>
      <c r="AC535"/>
      <c r="AD535"/>
      <c r="AE535"/>
      <c r="AF535" s="17"/>
      <c r="AG535" s="17"/>
      <c r="AH535" s="17"/>
      <c r="AI535" s="17"/>
      <c r="AJ535" s="17"/>
      <c r="AK535" s="17"/>
      <c r="AL535" s="17"/>
      <c r="AM535" s="17"/>
      <c r="AN535" s="17"/>
      <c r="AO535" s="1"/>
      <c r="AP535" s="1"/>
      <c r="AQ535" s="1"/>
      <c r="AS535"/>
      <c r="AT535"/>
      <c r="AU535"/>
      <c r="AV535"/>
      <c r="AW535"/>
      <c r="AX535"/>
      <c r="AY535"/>
      <c r="AZ535"/>
      <c r="BA535"/>
      <c r="BB535"/>
      <c r="BC535"/>
      <c r="BD535"/>
    </row>
    <row r="536" spans="3:56" x14ac:dyDescent="0.25">
      <c r="C536"/>
      <c r="D536" s="7"/>
      <c r="E536" s="7"/>
      <c r="F536" s="7"/>
      <c r="G536" s="7"/>
      <c r="H536" s="7"/>
      <c r="J536" s="7"/>
      <c r="O536" s="6"/>
      <c r="P536" s="6"/>
      <c r="Q536" s="6"/>
      <c r="R536" s="6"/>
      <c r="T536" s="7"/>
      <c r="AA536"/>
      <c r="AB536"/>
      <c r="AC536"/>
      <c r="AD536"/>
      <c r="AE536"/>
      <c r="AF536" s="17"/>
      <c r="AG536" s="17"/>
      <c r="AH536" s="17"/>
      <c r="AI536" s="17"/>
      <c r="AJ536" s="17"/>
      <c r="AK536" s="17"/>
      <c r="AL536" s="17"/>
      <c r="AM536" s="17"/>
      <c r="AN536" s="17"/>
      <c r="AO536" s="1"/>
      <c r="AP536" s="1"/>
      <c r="AQ536" s="1"/>
      <c r="AS536"/>
      <c r="AT536"/>
      <c r="AU536"/>
      <c r="AV536"/>
      <c r="AW536"/>
      <c r="AX536"/>
      <c r="AY536"/>
      <c r="AZ536"/>
      <c r="BA536"/>
      <c r="BB536"/>
      <c r="BC536"/>
      <c r="BD536"/>
    </row>
    <row r="537" spans="3:56" x14ac:dyDescent="0.25">
      <c r="C537"/>
      <c r="D537" s="7"/>
      <c r="E537" s="7"/>
      <c r="F537" s="7"/>
      <c r="G537" s="7"/>
      <c r="H537" s="7"/>
      <c r="J537" s="7"/>
      <c r="O537" s="6"/>
      <c r="P537" s="6"/>
      <c r="Q537" s="6"/>
      <c r="R537" s="6"/>
      <c r="T537" s="7"/>
      <c r="AA537"/>
      <c r="AB537"/>
      <c r="AC537"/>
      <c r="AD537"/>
      <c r="AE537"/>
      <c r="AF537" s="17"/>
      <c r="AG537" s="17"/>
      <c r="AH537" s="17"/>
      <c r="AI537" s="17"/>
      <c r="AJ537" s="17"/>
      <c r="AK537" s="17"/>
      <c r="AL537" s="17"/>
      <c r="AM537" s="17"/>
      <c r="AN537" s="17"/>
      <c r="AO537" s="1"/>
      <c r="AP537" s="1"/>
      <c r="AQ537" s="1"/>
      <c r="AS537"/>
      <c r="AT537"/>
      <c r="AU537"/>
      <c r="AV537"/>
      <c r="AW537"/>
      <c r="AX537"/>
      <c r="AY537"/>
      <c r="AZ537"/>
      <c r="BA537"/>
      <c r="BB537"/>
      <c r="BC537"/>
      <c r="BD537"/>
    </row>
    <row r="538" spans="3:56" x14ac:dyDescent="0.25">
      <c r="C538"/>
      <c r="D538" s="7"/>
      <c r="E538" s="7"/>
      <c r="F538" s="7"/>
      <c r="G538" s="7"/>
      <c r="H538" s="7"/>
      <c r="J538" s="7"/>
      <c r="O538" s="6"/>
      <c r="P538" s="6"/>
      <c r="Q538" s="6"/>
      <c r="R538" s="6"/>
      <c r="T538" s="7"/>
      <c r="AA538"/>
      <c r="AB538"/>
      <c r="AC538"/>
      <c r="AD538"/>
      <c r="AE538"/>
      <c r="AF538" s="17"/>
      <c r="AG538" s="17"/>
      <c r="AH538" s="17"/>
      <c r="AI538" s="17"/>
      <c r="AJ538" s="17"/>
      <c r="AK538" s="17"/>
      <c r="AL538" s="17"/>
      <c r="AM538" s="17"/>
      <c r="AN538" s="17"/>
      <c r="AO538" s="1"/>
      <c r="AP538" s="1"/>
      <c r="AQ538" s="1"/>
      <c r="AS538"/>
      <c r="AT538"/>
      <c r="AU538"/>
      <c r="AV538"/>
      <c r="AW538"/>
      <c r="AX538"/>
      <c r="AY538"/>
      <c r="AZ538"/>
      <c r="BA538"/>
      <c r="BB538"/>
      <c r="BC538"/>
      <c r="BD538"/>
    </row>
    <row r="539" spans="3:56" x14ac:dyDescent="0.25">
      <c r="C539"/>
      <c r="D539" s="7"/>
      <c r="E539" s="7"/>
      <c r="F539" s="7"/>
      <c r="G539" s="7"/>
      <c r="H539" s="7"/>
      <c r="J539" s="7"/>
      <c r="O539" s="6"/>
      <c r="P539" s="6"/>
      <c r="Q539" s="6"/>
      <c r="R539" s="6"/>
      <c r="T539" s="7"/>
      <c r="AA539"/>
      <c r="AB539"/>
      <c r="AC539"/>
      <c r="AD539"/>
      <c r="AE539"/>
      <c r="AF539" s="17"/>
      <c r="AG539" s="17"/>
      <c r="AH539" s="17"/>
      <c r="AI539" s="17"/>
      <c r="AJ539" s="17"/>
      <c r="AK539" s="17"/>
      <c r="AL539" s="17"/>
      <c r="AM539" s="17"/>
      <c r="AN539" s="17"/>
      <c r="AO539" s="1"/>
      <c r="AP539" s="1"/>
      <c r="AQ539" s="1"/>
      <c r="AS539"/>
      <c r="AT539"/>
      <c r="AU539"/>
      <c r="AV539"/>
      <c r="AW539"/>
      <c r="AX539"/>
      <c r="AY539"/>
      <c r="AZ539"/>
      <c r="BA539"/>
      <c r="BB539"/>
      <c r="BC539"/>
      <c r="BD539"/>
    </row>
    <row r="540" spans="3:56" x14ac:dyDescent="0.25">
      <c r="C540"/>
      <c r="D540" s="7"/>
      <c r="E540" s="7"/>
      <c r="F540" s="7"/>
      <c r="G540" s="7"/>
      <c r="H540" s="7"/>
      <c r="J540" s="7"/>
      <c r="O540" s="6"/>
      <c r="P540" s="6"/>
      <c r="Q540" s="6"/>
      <c r="R540" s="6"/>
      <c r="T540" s="7"/>
      <c r="AA540"/>
      <c r="AB540"/>
      <c r="AC540"/>
      <c r="AD540"/>
      <c r="AE540"/>
      <c r="AF540" s="17"/>
      <c r="AG540" s="17"/>
      <c r="AH540" s="17"/>
      <c r="AI540" s="17"/>
      <c r="AJ540" s="17"/>
      <c r="AK540" s="17"/>
      <c r="AL540" s="17"/>
      <c r="AM540" s="17"/>
      <c r="AN540" s="17"/>
      <c r="AO540" s="1"/>
      <c r="AP540" s="1"/>
      <c r="AQ540" s="1"/>
      <c r="AS540"/>
      <c r="AT540"/>
      <c r="AU540"/>
      <c r="AV540"/>
      <c r="AW540"/>
      <c r="AX540"/>
      <c r="AY540"/>
      <c r="AZ540"/>
      <c r="BA540"/>
      <c r="BB540"/>
      <c r="BC540"/>
      <c r="BD540"/>
    </row>
    <row r="541" spans="3:56" x14ac:dyDescent="0.25">
      <c r="C541"/>
      <c r="D541" s="7"/>
      <c r="E541" s="7"/>
      <c r="F541" s="7"/>
      <c r="G541" s="7"/>
      <c r="H541" s="7"/>
      <c r="J541" s="7"/>
      <c r="O541" s="6"/>
      <c r="P541" s="6"/>
      <c r="Q541" s="6"/>
      <c r="R541" s="6"/>
      <c r="T541" s="7"/>
      <c r="AA541"/>
      <c r="AB541"/>
      <c r="AC541"/>
      <c r="AD541"/>
      <c r="AE541"/>
      <c r="AF541" s="17"/>
      <c r="AG541" s="17"/>
      <c r="AH541" s="17"/>
      <c r="AI541" s="17"/>
      <c r="AJ541" s="17"/>
      <c r="AK541" s="17"/>
      <c r="AL541" s="17"/>
      <c r="AM541" s="17"/>
      <c r="AN541" s="17"/>
      <c r="AO541" s="1"/>
      <c r="AP541" s="1"/>
      <c r="AQ541" s="1"/>
      <c r="AS541"/>
      <c r="AT541"/>
      <c r="AU541"/>
      <c r="AV541"/>
      <c r="AW541"/>
      <c r="AX541"/>
      <c r="AY541"/>
      <c r="AZ541"/>
      <c r="BA541"/>
      <c r="BB541"/>
      <c r="BC541"/>
      <c r="BD541"/>
    </row>
    <row r="542" spans="3:56" x14ac:dyDescent="0.25">
      <c r="C542"/>
      <c r="D542" s="7"/>
      <c r="E542" s="7"/>
      <c r="F542" s="7"/>
      <c r="G542" s="7"/>
      <c r="H542" s="7"/>
      <c r="J542" s="7"/>
      <c r="O542" s="6"/>
      <c r="P542" s="6"/>
      <c r="Q542" s="6"/>
      <c r="R542" s="6"/>
      <c r="T542" s="7"/>
      <c r="AA542"/>
      <c r="AB542"/>
      <c r="AC542"/>
      <c r="AD542"/>
      <c r="AE542"/>
      <c r="AF542" s="17"/>
      <c r="AG542" s="17"/>
      <c r="AH542" s="17"/>
      <c r="AI542" s="17"/>
      <c r="AJ542" s="17"/>
      <c r="AK542" s="17"/>
      <c r="AL542" s="17"/>
      <c r="AM542" s="17"/>
      <c r="AN542" s="17"/>
      <c r="AO542" s="1"/>
      <c r="AP542" s="1"/>
      <c r="AQ542" s="1"/>
      <c r="AS542"/>
      <c r="AT542"/>
      <c r="AU542"/>
      <c r="AV542"/>
      <c r="AW542"/>
      <c r="AX542"/>
      <c r="AY542"/>
      <c r="AZ542"/>
      <c r="BA542"/>
      <c r="BB542"/>
      <c r="BC542"/>
      <c r="BD542"/>
    </row>
    <row r="543" spans="3:56" x14ac:dyDescent="0.25">
      <c r="C543"/>
      <c r="D543" s="7"/>
      <c r="E543" s="7"/>
      <c r="F543" s="7"/>
      <c r="G543" s="7"/>
      <c r="H543" s="7"/>
      <c r="J543" s="7"/>
      <c r="O543" s="6"/>
      <c r="P543" s="6"/>
      <c r="Q543" s="6"/>
      <c r="R543" s="6"/>
      <c r="T543" s="7"/>
      <c r="AA543"/>
      <c r="AB543"/>
      <c r="AC543"/>
      <c r="AD543"/>
      <c r="AE543"/>
      <c r="AF543" s="17"/>
      <c r="AG543" s="17"/>
      <c r="AH543" s="17"/>
      <c r="AI543" s="17"/>
      <c r="AJ543" s="17"/>
      <c r="AK543" s="17"/>
      <c r="AL543" s="17"/>
      <c r="AM543" s="17"/>
      <c r="AN543" s="17"/>
      <c r="AO543" s="1"/>
      <c r="AP543" s="1"/>
      <c r="AQ543" s="1"/>
      <c r="AS543"/>
      <c r="AT543"/>
      <c r="AU543"/>
      <c r="AV543"/>
      <c r="AW543"/>
      <c r="AX543"/>
      <c r="AY543"/>
      <c r="AZ543"/>
      <c r="BA543"/>
      <c r="BB543"/>
      <c r="BC543"/>
      <c r="BD543"/>
    </row>
    <row r="544" spans="3:56" x14ac:dyDescent="0.25">
      <c r="C544"/>
      <c r="D544" s="7"/>
      <c r="E544" s="7"/>
      <c r="F544" s="7"/>
      <c r="G544" s="7"/>
      <c r="H544" s="7"/>
      <c r="J544" s="7"/>
      <c r="O544" s="6"/>
      <c r="P544" s="6"/>
      <c r="Q544" s="6"/>
      <c r="R544" s="6"/>
      <c r="T544" s="7"/>
      <c r="AA544"/>
      <c r="AB544"/>
      <c r="AC544"/>
      <c r="AD544"/>
      <c r="AE544"/>
      <c r="AF544" s="17"/>
      <c r="AG544" s="17"/>
      <c r="AH544" s="17"/>
      <c r="AI544" s="17"/>
      <c r="AJ544" s="17"/>
      <c r="AK544" s="17"/>
      <c r="AL544" s="17"/>
      <c r="AM544" s="17"/>
      <c r="AN544" s="17"/>
      <c r="AO544" s="1"/>
      <c r="AP544" s="1"/>
      <c r="AQ544" s="1"/>
      <c r="AS544"/>
      <c r="AT544"/>
      <c r="AU544"/>
      <c r="AV544"/>
      <c r="AW544"/>
      <c r="AX544"/>
      <c r="AY544"/>
      <c r="AZ544"/>
      <c r="BA544"/>
      <c r="BB544"/>
      <c r="BC544"/>
      <c r="BD544"/>
    </row>
    <row r="545" spans="3:56" x14ac:dyDescent="0.25">
      <c r="C545"/>
      <c r="D545" s="7"/>
      <c r="E545" s="7"/>
      <c r="F545" s="7"/>
      <c r="G545" s="7"/>
      <c r="H545" s="7"/>
      <c r="J545" s="7"/>
      <c r="O545" s="6"/>
      <c r="P545" s="6"/>
      <c r="Q545" s="6"/>
      <c r="R545" s="6"/>
      <c r="T545" s="7"/>
      <c r="AA545"/>
      <c r="AB545"/>
      <c r="AC545"/>
      <c r="AD545"/>
      <c r="AE545"/>
      <c r="AF545" s="17"/>
      <c r="AG545" s="17"/>
      <c r="AH545" s="17"/>
      <c r="AI545" s="17"/>
      <c r="AJ545" s="17"/>
      <c r="AK545" s="17"/>
      <c r="AL545" s="17"/>
      <c r="AM545" s="17"/>
      <c r="AN545" s="17"/>
      <c r="AO545" s="1"/>
      <c r="AP545" s="1"/>
      <c r="AQ545" s="1"/>
      <c r="AS545"/>
      <c r="AT545"/>
      <c r="AU545"/>
      <c r="AV545"/>
      <c r="AW545"/>
      <c r="AX545"/>
      <c r="AY545"/>
      <c r="AZ545"/>
      <c r="BA545"/>
      <c r="BB545"/>
      <c r="BC545"/>
      <c r="BD545"/>
    </row>
    <row r="546" spans="3:56" x14ac:dyDescent="0.25">
      <c r="C546"/>
      <c r="D546" s="7"/>
      <c r="E546" s="7"/>
      <c r="F546" s="7"/>
      <c r="G546" s="7"/>
      <c r="H546" s="7"/>
      <c r="J546" s="7"/>
      <c r="O546" s="6"/>
      <c r="P546" s="6"/>
      <c r="Q546" s="6"/>
      <c r="R546" s="6"/>
      <c r="T546" s="7"/>
      <c r="AA546"/>
      <c r="AB546"/>
      <c r="AC546"/>
      <c r="AD546"/>
      <c r="AE546"/>
      <c r="AF546" s="17"/>
      <c r="AG546" s="17"/>
      <c r="AH546" s="17"/>
      <c r="AI546" s="17"/>
      <c r="AJ546" s="17"/>
      <c r="AK546" s="17"/>
      <c r="AL546" s="17"/>
      <c r="AM546" s="17"/>
      <c r="AN546" s="17"/>
      <c r="AO546" s="1"/>
      <c r="AP546" s="1"/>
      <c r="AQ546" s="1"/>
      <c r="AS546"/>
      <c r="AT546"/>
      <c r="AU546"/>
      <c r="AV546"/>
      <c r="AW546"/>
      <c r="AX546"/>
      <c r="AY546"/>
      <c r="AZ546"/>
      <c r="BA546"/>
      <c r="BB546"/>
      <c r="BC546"/>
      <c r="BD546"/>
    </row>
    <row r="547" spans="3:56" x14ac:dyDescent="0.25">
      <c r="C547"/>
      <c r="D547" s="7"/>
      <c r="E547" s="7"/>
      <c r="F547" s="7"/>
      <c r="G547" s="7"/>
      <c r="H547" s="7"/>
      <c r="J547" s="7"/>
      <c r="O547" s="6"/>
      <c r="P547" s="6"/>
      <c r="Q547" s="6"/>
      <c r="R547" s="6"/>
      <c r="T547" s="7"/>
      <c r="AA547"/>
      <c r="AB547"/>
      <c r="AC547"/>
      <c r="AD547"/>
      <c r="AE547"/>
      <c r="AF547" s="17"/>
      <c r="AG547" s="17"/>
      <c r="AH547" s="17"/>
      <c r="AI547" s="17"/>
      <c r="AJ547" s="17"/>
      <c r="AK547" s="17"/>
      <c r="AL547" s="17"/>
      <c r="AM547" s="17"/>
      <c r="AN547" s="17"/>
      <c r="AO547" s="1"/>
      <c r="AP547" s="1"/>
      <c r="AQ547" s="1"/>
      <c r="AS547"/>
      <c r="AT547"/>
      <c r="AU547"/>
      <c r="AV547"/>
      <c r="AW547"/>
      <c r="AX547"/>
      <c r="AY547"/>
      <c r="AZ547"/>
      <c r="BA547"/>
      <c r="BB547"/>
      <c r="BC547"/>
      <c r="BD547"/>
    </row>
    <row r="548" spans="3:56" x14ac:dyDescent="0.25">
      <c r="C548"/>
      <c r="D548" s="7"/>
      <c r="E548" s="7"/>
      <c r="F548" s="7"/>
      <c r="G548" s="7"/>
      <c r="H548" s="7"/>
      <c r="J548" s="7"/>
      <c r="O548" s="6"/>
      <c r="P548" s="6"/>
      <c r="Q548" s="6"/>
      <c r="R548" s="6"/>
      <c r="T548" s="7"/>
      <c r="AA548"/>
      <c r="AB548"/>
      <c r="AC548"/>
      <c r="AD548"/>
      <c r="AE548"/>
      <c r="AF548" s="17"/>
      <c r="AG548" s="17"/>
      <c r="AH548" s="17"/>
      <c r="AI548" s="17"/>
      <c r="AJ548" s="17"/>
      <c r="AK548" s="17"/>
      <c r="AL548" s="17"/>
      <c r="AM548" s="17"/>
      <c r="AN548" s="17"/>
      <c r="AO548" s="1"/>
      <c r="AP548" s="1"/>
      <c r="AQ548" s="1"/>
      <c r="AS548"/>
      <c r="AT548"/>
      <c r="AU548"/>
      <c r="AV548"/>
      <c r="AW548"/>
      <c r="AX548"/>
      <c r="AY548"/>
      <c r="AZ548"/>
      <c r="BA548"/>
      <c r="BB548"/>
      <c r="BC548"/>
      <c r="BD548"/>
    </row>
    <row r="549" spans="3:56" x14ac:dyDescent="0.25">
      <c r="C549"/>
      <c r="D549" s="7"/>
      <c r="E549" s="7"/>
      <c r="F549" s="7"/>
      <c r="G549" s="7"/>
      <c r="H549" s="7"/>
      <c r="J549" s="7"/>
      <c r="O549" s="6"/>
      <c r="P549" s="6"/>
      <c r="Q549" s="6"/>
      <c r="R549" s="6"/>
      <c r="T549" s="7"/>
      <c r="AA549"/>
      <c r="AB549"/>
      <c r="AC549"/>
      <c r="AD549"/>
      <c r="AE549"/>
      <c r="AF549" s="17"/>
      <c r="AG549" s="17"/>
      <c r="AH549" s="17"/>
      <c r="AI549" s="17"/>
      <c r="AJ549" s="17"/>
      <c r="AK549" s="17"/>
      <c r="AL549" s="17"/>
      <c r="AM549" s="17"/>
      <c r="AN549" s="17"/>
      <c r="AO549" s="1"/>
      <c r="AP549" s="1"/>
      <c r="AQ549" s="1"/>
      <c r="AS549"/>
      <c r="AT549"/>
      <c r="AU549"/>
      <c r="AV549"/>
      <c r="AW549"/>
      <c r="AX549"/>
      <c r="AY549"/>
      <c r="AZ549"/>
      <c r="BA549"/>
      <c r="BB549"/>
      <c r="BC549"/>
      <c r="BD549"/>
    </row>
    <row r="550" spans="3:56" x14ac:dyDescent="0.25">
      <c r="C550"/>
      <c r="D550" s="7"/>
      <c r="E550" s="7"/>
      <c r="F550" s="7"/>
      <c r="G550" s="7"/>
      <c r="H550" s="7"/>
      <c r="J550" s="7"/>
      <c r="O550" s="6"/>
      <c r="P550" s="6"/>
      <c r="Q550" s="6"/>
      <c r="R550" s="6"/>
      <c r="T550" s="7"/>
      <c r="AA550"/>
      <c r="AB550"/>
      <c r="AC550"/>
      <c r="AD550"/>
      <c r="AE550"/>
      <c r="AF550" s="17"/>
      <c r="AG550" s="17"/>
      <c r="AH550" s="17"/>
      <c r="AI550" s="17"/>
      <c r="AJ550" s="17"/>
      <c r="AK550" s="17"/>
      <c r="AL550" s="17"/>
      <c r="AM550" s="17"/>
      <c r="AN550" s="17"/>
      <c r="AO550" s="1"/>
      <c r="AP550" s="1"/>
      <c r="AQ550" s="1"/>
      <c r="AS550"/>
      <c r="AT550"/>
      <c r="AU550"/>
      <c r="AV550"/>
      <c r="AW550"/>
      <c r="AX550"/>
      <c r="AY550"/>
      <c r="AZ550"/>
      <c r="BA550"/>
      <c r="BB550"/>
      <c r="BC550"/>
      <c r="BD550"/>
    </row>
    <row r="551" spans="3:56" x14ac:dyDescent="0.25">
      <c r="C551"/>
      <c r="D551" s="7"/>
      <c r="E551" s="7"/>
      <c r="F551" s="7"/>
      <c r="G551" s="7"/>
      <c r="H551" s="7"/>
      <c r="J551" s="7"/>
      <c r="O551" s="6"/>
      <c r="P551" s="6"/>
      <c r="Q551" s="6"/>
      <c r="R551" s="6"/>
      <c r="T551" s="7"/>
      <c r="AA551"/>
      <c r="AB551"/>
      <c r="AC551"/>
      <c r="AD551"/>
      <c r="AE551"/>
      <c r="AF551" s="17"/>
      <c r="AG551" s="17"/>
      <c r="AH551" s="17"/>
      <c r="AI551" s="17"/>
      <c r="AJ551" s="17"/>
      <c r="AK551" s="17"/>
      <c r="AL551" s="17"/>
      <c r="AM551" s="17"/>
      <c r="AN551" s="17"/>
      <c r="AO551" s="1"/>
      <c r="AP551" s="1"/>
      <c r="AQ551" s="1"/>
      <c r="AS551"/>
      <c r="AT551"/>
      <c r="AU551"/>
      <c r="AV551"/>
      <c r="AW551"/>
      <c r="AX551"/>
      <c r="AY551"/>
      <c r="AZ551"/>
      <c r="BA551"/>
      <c r="BB551"/>
      <c r="BC551"/>
      <c r="BD551"/>
    </row>
    <row r="552" spans="3:56" x14ac:dyDescent="0.25">
      <c r="C552"/>
      <c r="D552" s="7"/>
      <c r="E552" s="7"/>
      <c r="F552" s="7"/>
      <c r="G552" s="7"/>
      <c r="H552" s="7"/>
      <c r="J552" s="7"/>
      <c r="O552" s="6"/>
      <c r="P552" s="6"/>
      <c r="Q552" s="6"/>
      <c r="R552" s="6"/>
      <c r="T552" s="7"/>
      <c r="AA552"/>
      <c r="AB552"/>
      <c r="AC552"/>
      <c r="AD552"/>
      <c r="AE552"/>
      <c r="AF552" s="17"/>
      <c r="AG552" s="17"/>
      <c r="AH552" s="17"/>
      <c r="AI552" s="17"/>
      <c r="AJ552" s="17"/>
      <c r="AK552" s="17"/>
      <c r="AL552" s="17"/>
      <c r="AM552" s="17"/>
      <c r="AN552" s="17"/>
      <c r="AO552" s="1"/>
      <c r="AP552" s="1"/>
      <c r="AQ552" s="1"/>
      <c r="AS552"/>
      <c r="AT552"/>
      <c r="AU552"/>
      <c r="AV552"/>
      <c r="AW552"/>
      <c r="AX552"/>
      <c r="AY552"/>
      <c r="AZ552"/>
      <c r="BA552"/>
      <c r="BB552"/>
      <c r="BC552"/>
      <c r="BD552"/>
    </row>
    <row r="553" spans="3:56" x14ac:dyDescent="0.25">
      <c r="C553"/>
      <c r="D553" s="7"/>
      <c r="E553" s="7"/>
      <c r="F553" s="7"/>
      <c r="G553" s="7"/>
      <c r="H553" s="7"/>
      <c r="J553" s="7"/>
      <c r="O553" s="6"/>
      <c r="P553" s="6"/>
      <c r="Q553" s="6"/>
      <c r="R553" s="6"/>
      <c r="T553" s="7"/>
      <c r="AA553"/>
      <c r="AB553"/>
      <c r="AC553"/>
      <c r="AD553"/>
      <c r="AE553"/>
      <c r="AF553" s="17"/>
      <c r="AG553" s="17"/>
      <c r="AH553" s="17"/>
      <c r="AI553" s="17"/>
      <c r="AJ553" s="17"/>
      <c r="AK553" s="17"/>
      <c r="AL553" s="17"/>
      <c r="AM553" s="17"/>
      <c r="AN553" s="17"/>
      <c r="AO553" s="1"/>
      <c r="AP553" s="1"/>
      <c r="AQ553" s="1"/>
      <c r="AS553"/>
      <c r="AT553"/>
      <c r="AU553"/>
      <c r="AV553"/>
      <c r="AW553"/>
      <c r="AX553"/>
      <c r="AY553"/>
      <c r="AZ553"/>
      <c r="BA553"/>
      <c r="BB553"/>
      <c r="BC553"/>
      <c r="BD553"/>
    </row>
    <row r="554" spans="3:56" x14ac:dyDescent="0.25">
      <c r="C554"/>
      <c r="D554" s="7"/>
      <c r="E554" s="7"/>
      <c r="F554" s="7"/>
      <c r="G554" s="7"/>
      <c r="H554" s="7"/>
      <c r="J554" s="7"/>
      <c r="O554" s="6"/>
      <c r="P554" s="6"/>
      <c r="Q554" s="6"/>
      <c r="R554" s="6"/>
      <c r="T554" s="7"/>
      <c r="AA554"/>
      <c r="AB554"/>
      <c r="AC554"/>
      <c r="AD554"/>
      <c r="AE554"/>
      <c r="AF554" s="17"/>
      <c r="AG554" s="17"/>
      <c r="AH554" s="17"/>
      <c r="AI554" s="17"/>
      <c r="AJ554" s="17"/>
      <c r="AK554" s="17"/>
      <c r="AL554" s="17"/>
      <c r="AM554" s="17"/>
      <c r="AN554" s="17"/>
      <c r="AO554" s="1"/>
      <c r="AP554" s="1"/>
      <c r="AQ554" s="1"/>
      <c r="AS554"/>
      <c r="AT554"/>
      <c r="AU554"/>
      <c r="AV554"/>
      <c r="AW554"/>
      <c r="AX554"/>
      <c r="AY554"/>
      <c r="AZ554"/>
      <c r="BA554"/>
      <c r="BB554"/>
      <c r="BC554"/>
      <c r="BD554"/>
    </row>
    <row r="555" spans="3:56" x14ac:dyDescent="0.25">
      <c r="C555"/>
      <c r="D555" s="7"/>
      <c r="E555" s="7"/>
      <c r="F555" s="7"/>
      <c r="G555" s="7"/>
      <c r="H555" s="7"/>
      <c r="J555" s="7"/>
      <c r="O555" s="6"/>
      <c r="P555" s="6"/>
      <c r="Q555" s="6"/>
      <c r="R555" s="6"/>
      <c r="T555" s="7"/>
      <c r="AA555"/>
      <c r="AB555"/>
      <c r="AC555"/>
      <c r="AD555"/>
      <c r="AE555"/>
      <c r="AF555" s="17"/>
      <c r="AG555" s="17"/>
      <c r="AH555" s="17"/>
      <c r="AI555" s="17"/>
      <c r="AJ555" s="17"/>
      <c r="AK555" s="17"/>
      <c r="AL555" s="17"/>
      <c r="AM555" s="17"/>
      <c r="AN555" s="17"/>
      <c r="AO555" s="1"/>
      <c r="AP555" s="1"/>
      <c r="AQ555" s="1"/>
      <c r="AS555"/>
      <c r="AT555"/>
      <c r="AU555"/>
      <c r="AV555"/>
      <c r="AW555"/>
      <c r="AX555"/>
      <c r="AY555"/>
      <c r="AZ555"/>
      <c r="BA555"/>
      <c r="BB555"/>
      <c r="BC555"/>
      <c r="BD555"/>
    </row>
    <row r="556" spans="3:56" x14ac:dyDescent="0.25">
      <c r="C556"/>
      <c r="D556" s="7"/>
      <c r="E556" s="7"/>
      <c r="F556" s="7"/>
      <c r="G556" s="7"/>
      <c r="H556" s="7"/>
      <c r="J556" s="7"/>
      <c r="O556" s="6"/>
      <c r="P556" s="6"/>
      <c r="Q556" s="6"/>
      <c r="R556" s="6"/>
      <c r="T556" s="7"/>
      <c r="AA556"/>
      <c r="AB556"/>
      <c r="AC556"/>
      <c r="AD556"/>
      <c r="AE556"/>
      <c r="AF556" s="17"/>
      <c r="AG556" s="17"/>
      <c r="AH556" s="17"/>
      <c r="AI556" s="17"/>
      <c r="AJ556" s="17"/>
      <c r="AK556" s="17"/>
      <c r="AL556" s="17"/>
      <c r="AM556" s="17"/>
      <c r="AN556" s="17"/>
      <c r="AO556" s="1"/>
      <c r="AP556" s="1"/>
      <c r="AQ556" s="1"/>
      <c r="AS556"/>
      <c r="AT556"/>
      <c r="AU556"/>
      <c r="AV556"/>
      <c r="AW556"/>
      <c r="AX556"/>
      <c r="AY556"/>
      <c r="AZ556"/>
      <c r="BA556"/>
      <c r="BB556"/>
      <c r="BC556"/>
      <c r="BD556"/>
    </row>
    <row r="557" spans="3:56" x14ac:dyDescent="0.25">
      <c r="C557"/>
      <c r="D557" s="7"/>
      <c r="E557" s="7"/>
      <c r="F557" s="7"/>
      <c r="G557" s="7"/>
      <c r="H557" s="7"/>
      <c r="J557" s="7"/>
      <c r="O557" s="6"/>
      <c r="P557" s="6"/>
      <c r="Q557" s="6"/>
      <c r="R557" s="6"/>
      <c r="T557" s="7"/>
      <c r="AA557"/>
      <c r="AB557"/>
      <c r="AC557"/>
      <c r="AD557"/>
      <c r="AE557"/>
      <c r="AF557" s="17"/>
      <c r="AG557" s="17"/>
      <c r="AH557" s="17"/>
      <c r="AI557" s="17"/>
      <c r="AJ557" s="17"/>
      <c r="AK557" s="17"/>
      <c r="AL557" s="17"/>
      <c r="AM557" s="17"/>
      <c r="AN557" s="17"/>
      <c r="AO557" s="1"/>
      <c r="AP557" s="1"/>
      <c r="AQ557" s="1"/>
      <c r="AS557"/>
      <c r="AT557"/>
      <c r="AU557"/>
      <c r="AV557"/>
      <c r="AW557"/>
      <c r="AX557"/>
      <c r="AY557"/>
      <c r="AZ557"/>
      <c r="BA557"/>
      <c r="BB557"/>
      <c r="BC557"/>
      <c r="BD557"/>
    </row>
    <row r="558" spans="3:56" x14ac:dyDescent="0.25">
      <c r="C558"/>
      <c r="D558" s="7"/>
      <c r="E558" s="7"/>
      <c r="F558" s="7"/>
      <c r="G558" s="7"/>
      <c r="H558" s="7"/>
      <c r="J558" s="7"/>
      <c r="O558" s="6"/>
      <c r="P558" s="6"/>
      <c r="Q558" s="6"/>
      <c r="R558" s="6"/>
      <c r="T558" s="7"/>
      <c r="AA558"/>
      <c r="AB558"/>
      <c r="AC558"/>
      <c r="AD558"/>
      <c r="AE558"/>
      <c r="AF558" s="17"/>
      <c r="AG558" s="17"/>
      <c r="AH558" s="17"/>
      <c r="AI558" s="17"/>
      <c r="AJ558" s="17"/>
      <c r="AK558" s="17"/>
      <c r="AL558" s="17"/>
      <c r="AM558" s="17"/>
      <c r="AN558" s="17"/>
      <c r="AO558" s="1"/>
      <c r="AP558" s="1"/>
      <c r="AQ558" s="1"/>
      <c r="AS558"/>
      <c r="AT558"/>
      <c r="AU558"/>
      <c r="AV558"/>
      <c r="AW558"/>
      <c r="AX558"/>
      <c r="AY558"/>
      <c r="AZ558"/>
      <c r="BA558"/>
      <c r="BB558"/>
      <c r="BC558"/>
      <c r="BD558"/>
    </row>
    <row r="559" spans="3:56" x14ac:dyDescent="0.25">
      <c r="C559"/>
      <c r="D559" s="7"/>
      <c r="E559" s="7"/>
      <c r="F559" s="7"/>
      <c r="G559" s="7"/>
      <c r="H559" s="7"/>
      <c r="J559" s="7"/>
      <c r="O559" s="6"/>
      <c r="P559" s="6"/>
      <c r="Q559" s="6"/>
      <c r="R559" s="6"/>
      <c r="T559" s="7"/>
      <c r="AA559"/>
      <c r="AB559"/>
      <c r="AC559"/>
      <c r="AD559"/>
      <c r="AE559"/>
      <c r="AF559" s="17"/>
      <c r="AG559" s="17"/>
      <c r="AH559" s="17"/>
      <c r="AI559" s="17"/>
      <c r="AJ559" s="17"/>
      <c r="AK559" s="17"/>
      <c r="AL559" s="17"/>
      <c r="AM559" s="17"/>
      <c r="AN559" s="17"/>
      <c r="AO559" s="1"/>
      <c r="AP559" s="1"/>
      <c r="AQ559" s="1"/>
      <c r="AS559"/>
      <c r="AT559"/>
      <c r="AU559"/>
      <c r="AV559"/>
      <c r="AW559"/>
      <c r="AX559"/>
      <c r="AY559"/>
      <c r="AZ559"/>
      <c r="BA559"/>
      <c r="BB559"/>
      <c r="BC559"/>
      <c r="BD559"/>
    </row>
    <row r="560" spans="3:56" x14ac:dyDescent="0.25">
      <c r="C560"/>
      <c r="D560" s="7"/>
      <c r="E560" s="7"/>
      <c r="F560" s="7"/>
      <c r="G560" s="7"/>
      <c r="H560" s="7"/>
      <c r="J560" s="7"/>
      <c r="O560" s="6"/>
      <c r="P560" s="6"/>
      <c r="Q560" s="6"/>
      <c r="R560" s="6"/>
      <c r="T560" s="7"/>
      <c r="AA560"/>
      <c r="AB560"/>
      <c r="AC560"/>
      <c r="AD560"/>
      <c r="AE560"/>
      <c r="AF560" s="17"/>
      <c r="AG560" s="17"/>
      <c r="AH560" s="17"/>
      <c r="AI560" s="17"/>
      <c r="AJ560" s="17"/>
      <c r="AK560" s="17"/>
      <c r="AL560" s="17"/>
      <c r="AM560" s="17"/>
      <c r="AN560" s="17"/>
      <c r="AO560" s="1"/>
      <c r="AP560" s="1"/>
      <c r="AQ560" s="1"/>
      <c r="AS560"/>
      <c r="AT560"/>
      <c r="AU560"/>
      <c r="AV560"/>
      <c r="AW560"/>
      <c r="AX560"/>
      <c r="AY560"/>
      <c r="AZ560"/>
      <c r="BA560"/>
      <c r="BB560"/>
      <c r="BC560"/>
      <c r="BD560"/>
    </row>
    <row r="561" spans="3:56" x14ac:dyDescent="0.25">
      <c r="C561"/>
      <c r="D561" s="7"/>
      <c r="E561" s="7"/>
      <c r="F561" s="7"/>
      <c r="G561" s="7"/>
      <c r="H561" s="7"/>
      <c r="J561" s="7"/>
      <c r="O561" s="6"/>
      <c r="P561" s="6"/>
      <c r="Q561" s="6"/>
      <c r="R561" s="6"/>
      <c r="T561" s="7"/>
      <c r="AA561"/>
      <c r="AB561"/>
      <c r="AC561"/>
      <c r="AD561"/>
      <c r="AE561"/>
      <c r="AF561" s="17"/>
      <c r="AG561" s="17"/>
      <c r="AH561" s="17"/>
      <c r="AI561" s="17"/>
      <c r="AJ561" s="17"/>
      <c r="AK561" s="17"/>
      <c r="AL561" s="17"/>
      <c r="AM561" s="17"/>
      <c r="AN561" s="17"/>
      <c r="AO561" s="1"/>
      <c r="AP561" s="1"/>
      <c r="AQ561" s="1"/>
      <c r="AS561"/>
      <c r="AT561"/>
      <c r="AU561"/>
      <c r="AV561"/>
      <c r="AW561"/>
      <c r="AX561"/>
      <c r="AY561"/>
      <c r="AZ561"/>
      <c r="BA561"/>
      <c r="BB561"/>
      <c r="BC561"/>
      <c r="BD561"/>
    </row>
    <row r="562" spans="3:56" x14ac:dyDescent="0.25">
      <c r="C562"/>
      <c r="D562" s="7"/>
      <c r="E562" s="7"/>
      <c r="F562" s="7"/>
      <c r="G562" s="7"/>
      <c r="H562" s="7"/>
      <c r="J562" s="7"/>
      <c r="O562" s="6"/>
      <c r="P562" s="6"/>
      <c r="Q562" s="6"/>
      <c r="R562" s="6"/>
      <c r="T562" s="7"/>
      <c r="AA562"/>
      <c r="AB562"/>
      <c r="AC562"/>
      <c r="AD562"/>
      <c r="AE562"/>
      <c r="AF562" s="17"/>
      <c r="AG562" s="17"/>
      <c r="AH562" s="17"/>
      <c r="AI562" s="17"/>
      <c r="AJ562" s="17"/>
      <c r="AK562" s="17"/>
      <c r="AL562" s="17"/>
      <c r="AM562" s="17"/>
      <c r="AN562" s="17"/>
      <c r="AO562" s="1"/>
      <c r="AP562" s="1"/>
      <c r="AQ562" s="1"/>
      <c r="AS562"/>
      <c r="AT562"/>
      <c r="AU562"/>
      <c r="AV562"/>
      <c r="AW562"/>
      <c r="AX562"/>
      <c r="AY562"/>
      <c r="AZ562"/>
      <c r="BA562"/>
      <c r="BB562"/>
      <c r="BC562"/>
      <c r="BD562"/>
    </row>
    <row r="563" spans="3:56" x14ac:dyDescent="0.25">
      <c r="C563"/>
      <c r="D563" s="7"/>
      <c r="E563" s="7"/>
      <c r="F563" s="7"/>
      <c r="G563" s="7"/>
      <c r="H563" s="7"/>
      <c r="J563" s="7"/>
      <c r="O563" s="6"/>
      <c r="P563" s="6"/>
      <c r="Q563" s="6"/>
      <c r="R563" s="6"/>
      <c r="T563" s="7"/>
      <c r="AA563"/>
      <c r="AB563"/>
      <c r="AC563"/>
      <c r="AD563"/>
      <c r="AE563"/>
      <c r="AF563" s="17"/>
      <c r="AG563" s="17"/>
      <c r="AH563" s="17"/>
      <c r="AI563" s="17"/>
      <c r="AJ563" s="17"/>
      <c r="AK563" s="17"/>
      <c r="AL563" s="17"/>
      <c r="AM563" s="17"/>
      <c r="AN563" s="17"/>
      <c r="AO563" s="1"/>
      <c r="AP563" s="1"/>
      <c r="AQ563" s="1"/>
      <c r="AS563"/>
      <c r="AT563"/>
      <c r="AU563"/>
      <c r="AV563"/>
      <c r="AW563"/>
      <c r="AX563"/>
      <c r="AY563"/>
      <c r="AZ563"/>
      <c r="BA563"/>
      <c r="BB563"/>
      <c r="BC563"/>
      <c r="BD563"/>
    </row>
    <row r="564" spans="3:56" x14ac:dyDescent="0.25">
      <c r="C564"/>
      <c r="D564" s="7"/>
      <c r="E564" s="7"/>
      <c r="F564" s="7"/>
      <c r="G564" s="7"/>
      <c r="H564" s="7"/>
      <c r="J564" s="7"/>
      <c r="O564" s="6"/>
      <c r="P564" s="6"/>
      <c r="Q564" s="6"/>
      <c r="R564" s="6"/>
      <c r="T564" s="7"/>
      <c r="AA564"/>
      <c r="AB564"/>
      <c r="AC564"/>
      <c r="AD564"/>
      <c r="AE564"/>
      <c r="AF564" s="17"/>
      <c r="AG564" s="17"/>
      <c r="AH564" s="17"/>
      <c r="AI564" s="17"/>
      <c r="AJ564" s="17"/>
      <c r="AK564" s="17"/>
      <c r="AL564" s="17"/>
      <c r="AM564" s="17"/>
      <c r="AN564" s="17"/>
      <c r="AO564" s="1"/>
      <c r="AP564" s="1"/>
      <c r="AQ564" s="1"/>
      <c r="AS564"/>
      <c r="AT564"/>
      <c r="AU564"/>
      <c r="AV564"/>
      <c r="AW564"/>
      <c r="AX564"/>
      <c r="AY564"/>
      <c r="AZ564"/>
      <c r="BA564"/>
      <c r="BB564"/>
      <c r="BC564"/>
      <c r="BD564"/>
    </row>
    <row r="565" spans="3:56" x14ac:dyDescent="0.25">
      <c r="C565"/>
      <c r="D565" s="7"/>
      <c r="E565" s="7"/>
      <c r="F565" s="7"/>
      <c r="G565" s="7"/>
      <c r="H565" s="7"/>
      <c r="J565" s="7"/>
      <c r="O565" s="6"/>
      <c r="P565" s="6"/>
      <c r="Q565" s="6"/>
      <c r="R565" s="6"/>
      <c r="T565" s="7"/>
      <c r="AA565"/>
      <c r="AB565"/>
      <c r="AC565"/>
      <c r="AD565"/>
      <c r="AE565"/>
      <c r="AF565" s="17"/>
      <c r="AG565" s="17"/>
      <c r="AH565" s="17"/>
      <c r="AI565" s="17"/>
      <c r="AJ565" s="17"/>
      <c r="AK565" s="17"/>
      <c r="AL565" s="17"/>
      <c r="AM565" s="17"/>
      <c r="AN565" s="17"/>
      <c r="AO565" s="1"/>
      <c r="AP565" s="1"/>
      <c r="AQ565" s="1"/>
      <c r="AS565"/>
      <c r="AT565"/>
      <c r="AU565"/>
      <c r="AV565"/>
      <c r="AW565"/>
      <c r="AX565"/>
      <c r="AY565"/>
      <c r="AZ565"/>
      <c r="BA565"/>
      <c r="BB565"/>
      <c r="BC565"/>
      <c r="BD565"/>
    </row>
    <row r="566" spans="3:56" x14ac:dyDescent="0.25">
      <c r="C566"/>
      <c r="D566" s="7"/>
      <c r="E566" s="7"/>
      <c r="F566" s="7"/>
      <c r="G566" s="7"/>
      <c r="H566" s="7"/>
      <c r="J566" s="7"/>
      <c r="O566" s="6"/>
      <c r="P566" s="6"/>
      <c r="Q566" s="6"/>
      <c r="R566" s="6"/>
      <c r="T566" s="7"/>
      <c r="AA566"/>
      <c r="AB566"/>
      <c r="AC566"/>
      <c r="AD566"/>
      <c r="AE566"/>
      <c r="AF566" s="17"/>
      <c r="AG566" s="17"/>
      <c r="AH566" s="17"/>
      <c r="AI566" s="17"/>
      <c r="AJ566" s="17"/>
      <c r="AK566" s="17"/>
      <c r="AL566" s="17"/>
      <c r="AM566" s="17"/>
      <c r="AN566" s="17"/>
      <c r="AO566" s="1"/>
      <c r="AP566" s="1"/>
      <c r="AQ566" s="1"/>
      <c r="AS566"/>
      <c r="AT566"/>
      <c r="AU566"/>
      <c r="AV566"/>
      <c r="AW566"/>
      <c r="AX566"/>
      <c r="AY566"/>
      <c r="AZ566"/>
      <c r="BA566"/>
      <c r="BB566"/>
      <c r="BC566"/>
      <c r="BD566"/>
    </row>
    <row r="567" spans="3:56" x14ac:dyDescent="0.25">
      <c r="C567"/>
      <c r="D567" s="7"/>
      <c r="E567" s="7"/>
      <c r="F567" s="7"/>
      <c r="G567" s="7"/>
      <c r="H567" s="7"/>
      <c r="J567" s="7"/>
      <c r="O567" s="6"/>
      <c r="P567" s="6"/>
      <c r="Q567" s="6"/>
      <c r="R567" s="6"/>
      <c r="T567" s="7"/>
      <c r="AA567"/>
      <c r="AB567"/>
      <c r="AC567"/>
      <c r="AD567"/>
      <c r="AE567"/>
      <c r="AF567" s="17"/>
      <c r="AG567" s="17"/>
      <c r="AH567" s="17"/>
      <c r="AI567" s="17"/>
      <c r="AJ567" s="17"/>
      <c r="AK567" s="17"/>
      <c r="AL567" s="17"/>
      <c r="AM567" s="17"/>
      <c r="AN567" s="17"/>
      <c r="AO567" s="1"/>
      <c r="AP567" s="1"/>
      <c r="AQ567" s="1"/>
      <c r="AS567"/>
      <c r="AT567"/>
      <c r="AU567"/>
      <c r="AV567"/>
      <c r="AW567"/>
      <c r="AX567"/>
      <c r="AY567"/>
      <c r="AZ567"/>
      <c r="BA567"/>
      <c r="BB567"/>
      <c r="BC567"/>
      <c r="BD567"/>
    </row>
    <row r="568" spans="3:56" x14ac:dyDescent="0.25">
      <c r="C568"/>
      <c r="D568" s="7"/>
      <c r="E568" s="7"/>
      <c r="F568" s="7"/>
      <c r="G568" s="7"/>
      <c r="H568" s="7"/>
      <c r="J568" s="7"/>
      <c r="O568" s="6"/>
      <c r="P568" s="6"/>
      <c r="Q568" s="6"/>
      <c r="R568" s="6"/>
      <c r="T568" s="7"/>
      <c r="AA568"/>
      <c r="AB568"/>
      <c r="AC568"/>
      <c r="AD568"/>
      <c r="AE568"/>
      <c r="AF568" s="17"/>
      <c r="AG568" s="17"/>
      <c r="AH568" s="17"/>
      <c r="AI568" s="17"/>
      <c r="AJ568" s="17"/>
      <c r="AK568" s="17"/>
      <c r="AL568" s="17"/>
      <c r="AM568" s="17"/>
      <c r="AN568" s="17"/>
      <c r="AO568" s="1"/>
      <c r="AP568" s="1"/>
      <c r="AQ568" s="1"/>
      <c r="AS568"/>
      <c r="AT568"/>
      <c r="AU568"/>
      <c r="AV568"/>
      <c r="AW568"/>
      <c r="AX568"/>
      <c r="AY568"/>
      <c r="AZ568"/>
      <c r="BA568"/>
      <c r="BB568"/>
      <c r="BC568"/>
      <c r="BD568"/>
    </row>
    <row r="569" spans="3:56" x14ac:dyDescent="0.25">
      <c r="C569"/>
      <c r="D569" s="7"/>
      <c r="E569" s="7"/>
      <c r="F569" s="7"/>
      <c r="G569" s="7"/>
      <c r="H569" s="7"/>
      <c r="J569" s="7"/>
      <c r="O569" s="6"/>
      <c r="P569" s="6"/>
      <c r="Q569" s="6"/>
      <c r="R569" s="6"/>
      <c r="T569" s="7"/>
      <c r="AA569"/>
      <c r="AB569"/>
      <c r="AC569"/>
      <c r="AD569"/>
      <c r="AE569"/>
      <c r="AF569" s="17"/>
      <c r="AG569" s="17"/>
      <c r="AH569" s="17"/>
      <c r="AI569" s="17"/>
      <c r="AJ569" s="17"/>
      <c r="AK569" s="17"/>
      <c r="AL569" s="17"/>
      <c r="AM569" s="17"/>
      <c r="AN569" s="17"/>
      <c r="AO569" s="1"/>
      <c r="AP569" s="1"/>
      <c r="AQ569" s="1"/>
      <c r="AS569"/>
      <c r="AT569"/>
      <c r="AU569"/>
      <c r="AV569"/>
      <c r="AW569"/>
      <c r="AX569"/>
      <c r="AY569"/>
      <c r="AZ569"/>
      <c r="BA569"/>
      <c r="BB569"/>
      <c r="BC569"/>
      <c r="BD569"/>
    </row>
    <row r="570" spans="3:56" x14ac:dyDescent="0.25">
      <c r="C570"/>
      <c r="D570" s="7"/>
      <c r="E570" s="7"/>
      <c r="F570" s="7"/>
      <c r="G570" s="7"/>
      <c r="H570" s="7"/>
      <c r="J570" s="7"/>
      <c r="O570" s="6"/>
      <c r="P570" s="6"/>
      <c r="Q570" s="6"/>
      <c r="R570" s="6"/>
      <c r="T570" s="7"/>
      <c r="AA570"/>
      <c r="AB570"/>
      <c r="AC570"/>
      <c r="AD570"/>
      <c r="AE570"/>
      <c r="AF570" s="17"/>
      <c r="AG570" s="17"/>
      <c r="AH570" s="17"/>
      <c r="AI570" s="17"/>
      <c r="AJ570" s="17"/>
      <c r="AK570" s="17"/>
      <c r="AL570" s="17"/>
      <c r="AM570" s="17"/>
      <c r="AN570" s="17"/>
      <c r="AO570" s="1"/>
      <c r="AP570" s="1"/>
      <c r="AQ570" s="1"/>
      <c r="AS570"/>
      <c r="AT570"/>
      <c r="AU570"/>
      <c r="AV570"/>
      <c r="AW570"/>
      <c r="AX570"/>
      <c r="AY570"/>
      <c r="AZ570"/>
      <c r="BA570"/>
      <c r="BB570"/>
      <c r="BC570"/>
      <c r="BD570"/>
    </row>
    <row r="571" spans="3:56" x14ac:dyDescent="0.25">
      <c r="C571"/>
      <c r="D571" s="7"/>
      <c r="E571" s="7"/>
      <c r="F571" s="7"/>
      <c r="G571" s="7"/>
      <c r="H571" s="7"/>
      <c r="J571" s="7"/>
      <c r="O571" s="6"/>
      <c r="P571" s="6"/>
      <c r="Q571" s="6"/>
      <c r="R571" s="6"/>
      <c r="T571" s="7"/>
      <c r="AA571"/>
      <c r="AB571"/>
      <c r="AC571"/>
      <c r="AD571"/>
      <c r="AE571"/>
      <c r="AF571" s="17"/>
      <c r="AG571" s="17"/>
      <c r="AH571" s="17"/>
      <c r="AI571" s="17"/>
      <c r="AJ571" s="17"/>
      <c r="AK571" s="17"/>
      <c r="AL571" s="17"/>
      <c r="AM571" s="17"/>
      <c r="AN571" s="17"/>
      <c r="AO571" s="1"/>
      <c r="AP571" s="1"/>
      <c r="AQ571" s="1"/>
      <c r="AS571"/>
      <c r="AT571"/>
      <c r="AU571"/>
      <c r="AV571"/>
      <c r="AW571"/>
      <c r="AX571"/>
      <c r="AY571"/>
      <c r="AZ571"/>
      <c r="BA571"/>
      <c r="BB571"/>
      <c r="BC571"/>
      <c r="BD571"/>
    </row>
    <row r="572" spans="3:56" x14ac:dyDescent="0.25">
      <c r="C572"/>
      <c r="D572" s="7"/>
      <c r="E572" s="7"/>
      <c r="F572" s="7"/>
      <c r="G572" s="7"/>
      <c r="H572" s="7"/>
      <c r="J572" s="7"/>
      <c r="O572" s="6"/>
      <c r="P572" s="6"/>
      <c r="Q572" s="6"/>
      <c r="R572" s="6"/>
      <c r="T572" s="7"/>
      <c r="AA572"/>
      <c r="AB572"/>
      <c r="AC572"/>
      <c r="AD572"/>
      <c r="AE572"/>
      <c r="AF572" s="17"/>
      <c r="AG572" s="17"/>
      <c r="AH572" s="17"/>
      <c r="AI572" s="17"/>
      <c r="AJ572" s="17"/>
      <c r="AK572" s="17"/>
      <c r="AL572" s="17"/>
      <c r="AM572" s="17"/>
      <c r="AN572" s="17"/>
      <c r="AO572" s="1"/>
      <c r="AP572" s="1"/>
      <c r="AQ572" s="1"/>
      <c r="AS572"/>
      <c r="AT572"/>
      <c r="AU572"/>
      <c r="AV572"/>
      <c r="AW572"/>
      <c r="AX572"/>
      <c r="AY572"/>
      <c r="AZ572"/>
      <c r="BA572"/>
      <c r="BB572"/>
      <c r="BC572"/>
      <c r="BD572"/>
    </row>
    <row r="573" spans="3:56" x14ac:dyDescent="0.25">
      <c r="C573"/>
      <c r="D573" s="7"/>
      <c r="E573" s="7"/>
      <c r="F573" s="7"/>
      <c r="G573" s="7"/>
      <c r="H573" s="7"/>
      <c r="J573" s="7"/>
      <c r="O573" s="6"/>
      <c r="P573" s="6"/>
      <c r="Q573" s="6"/>
      <c r="R573" s="6"/>
      <c r="T573" s="7"/>
      <c r="AA573"/>
      <c r="AB573"/>
      <c r="AC573"/>
      <c r="AD573"/>
      <c r="AE573"/>
      <c r="AF573" s="17"/>
      <c r="AG573" s="17"/>
      <c r="AH573" s="17"/>
      <c r="AI573" s="17"/>
      <c r="AJ573" s="17"/>
      <c r="AK573" s="17"/>
      <c r="AL573" s="17"/>
      <c r="AM573" s="17"/>
      <c r="AN573" s="17"/>
      <c r="AO573" s="1"/>
      <c r="AP573" s="1"/>
      <c r="AQ573" s="1"/>
      <c r="AS573"/>
      <c r="AT573"/>
      <c r="AU573"/>
      <c r="AV573"/>
      <c r="AW573"/>
      <c r="AX573"/>
      <c r="AY573"/>
      <c r="AZ573"/>
      <c r="BA573"/>
      <c r="BB573"/>
      <c r="BC573"/>
      <c r="BD573"/>
    </row>
    <row r="574" spans="3:56" x14ac:dyDescent="0.25">
      <c r="C574"/>
      <c r="D574" s="7"/>
      <c r="E574" s="7"/>
      <c r="F574" s="7"/>
      <c r="G574" s="7"/>
      <c r="H574" s="7"/>
      <c r="J574" s="7"/>
      <c r="O574" s="6"/>
      <c r="P574" s="6"/>
      <c r="Q574" s="6"/>
      <c r="R574" s="6"/>
      <c r="T574" s="7"/>
      <c r="AA574"/>
      <c r="AB574"/>
      <c r="AC574"/>
      <c r="AD574"/>
      <c r="AE574"/>
      <c r="AF574" s="17"/>
      <c r="AG574" s="17"/>
      <c r="AH574" s="17"/>
      <c r="AI574" s="17"/>
      <c r="AJ574" s="17"/>
      <c r="AK574" s="17"/>
      <c r="AL574" s="17"/>
      <c r="AM574" s="17"/>
      <c r="AN574" s="17"/>
      <c r="AO574" s="1"/>
      <c r="AP574" s="1"/>
      <c r="AQ574" s="1"/>
      <c r="AS574"/>
      <c r="AT574"/>
      <c r="AU574"/>
      <c r="AV574"/>
      <c r="AW574"/>
      <c r="AX574"/>
      <c r="AY574"/>
      <c r="AZ574"/>
      <c r="BA574"/>
      <c r="BB574"/>
      <c r="BC574"/>
      <c r="BD574"/>
    </row>
    <row r="575" spans="3:56" x14ac:dyDescent="0.25">
      <c r="C575"/>
      <c r="D575" s="7"/>
      <c r="E575" s="7"/>
      <c r="F575" s="7"/>
      <c r="G575" s="7"/>
      <c r="H575" s="7"/>
      <c r="J575" s="7"/>
      <c r="O575" s="6"/>
      <c r="P575" s="6"/>
      <c r="Q575" s="6"/>
      <c r="R575" s="6"/>
      <c r="T575" s="7"/>
      <c r="AA575"/>
      <c r="AB575"/>
      <c r="AC575"/>
      <c r="AD575"/>
      <c r="AE575"/>
      <c r="AF575" s="17"/>
      <c r="AG575" s="17"/>
      <c r="AH575" s="17"/>
      <c r="AI575" s="17"/>
      <c r="AJ575" s="17"/>
      <c r="AK575" s="17"/>
      <c r="AL575" s="17"/>
      <c r="AM575" s="17"/>
      <c r="AN575" s="17"/>
      <c r="AO575" s="1"/>
      <c r="AP575" s="1"/>
      <c r="AQ575" s="1"/>
      <c r="AS575"/>
      <c r="AT575"/>
      <c r="AU575"/>
      <c r="AV575"/>
      <c r="AW575"/>
      <c r="AX575"/>
      <c r="AY575"/>
      <c r="AZ575"/>
      <c r="BA575"/>
      <c r="BB575"/>
      <c r="BC575"/>
      <c r="BD575"/>
    </row>
    <row r="576" spans="3:56" x14ac:dyDescent="0.25">
      <c r="C576"/>
      <c r="D576" s="7"/>
      <c r="E576" s="7"/>
      <c r="F576" s="7"/>
      <c r="G576" s="7"/>
      <c r="H576" s="7"/>
      <c r="J576" s="7"/>
      <c r="O576" s="6"/>
      <c r="P576" s="6"/>
      <c r="Q576" s="6"/>
      <c r="R576" s="6"/>
      <c r="T576" s="7"/>
      <c r="AA576"/>
      <c r="AB576"/>
      <c r="AC576"/>
      <c r="AD576"/>
      <c r="AE576"/>
      <c r="AF576" s="17"/>
      <c r="AG576" s="17"/>
      <c r="AH576" s="17"/>
      <c r="AI576" s="17"/>
      <c r="AJ576" s="17"/>
      <c r="AK576" s="17"/>
      <c r="AL576" s="17"/>
      <c r="AM576" s="17"/>
      <c r="AN576" s="17"/>
      <c r="AO576" s="1"/>
      <c r="AP576" s="1"/>
      <c r="AQ576" s="1"/>
      <c r="AS576"/>
      <c r="AT576"/>
      <c r="AU576"/>
      <c r="AV576"/>
      <c r="AW576"/>
      <c r="AX576"/>
      <c r="AY576"/>
      <c r="AZ576"/>
      <c r="BA576"/>
      <c r="BB576"/>
      <c r="BC576"/>
      <c r="BD576"/>
    </row>
    <row r="577" spans="3:56" x14ac:dyDescent="0.25">
      <c r="C577"/>
      <c r="D577" s="7"/>
      <c r="E577" s="7"/>
      <c r="F577" s="7"/>
      <c r="G577" s="7"/>
      <c r="H577" s="7"/>
      <c r="J577" s="7"/>
      <c r="O577" s="6"/>
      <c r="P577" s="6"/>
      <c r="Q577" s="6"/>
      <c r="R577" s="6"/>
      <c r="T577" s="7"/>
      <c r="AA577"/>
      <c r="AB577"/>
      <c r="AC577"/>
      <c r="AD577"/>
      <c r="AE577"/>
      <c r="AF577" s="17"/>
      <c r="AG577" s="17"/>
      <c r="AH577" s="17"/>
      <c r="AI577" s="17"/>
      <c r="AJ577" s="17"/>
      <c r="AK577" s="17"/>
      <c r="AL577" s="17"/>
      <c r="AM577" s="17"/>
      <c r="AN577" s="17"/>
      <c r="AO577" s="1"/>
      <c r="AP577" s="1"/>
      <c r="AQ577" s="1"/>
      <c r="AS577"/>
      <c r="AT577"/>
      <c r="AU577"/>
      <c r="AV577"/>
      <c r="AW577"/>
      <c r="AX577"/>
      <c r="AY577"/>
      <c r="AZ577"/>
      <c r="BA577"/>
      <c r="BB577"/>
      <c r="BC577"/>
      <c r="BD577"/>
    </row>
    <row r="578" spans="3:56" x14ac:dyDescent="0.25">
      <c r="C578"/>
      <c r="D578" s="7"/>
      <c r="E578" s="7"/>
      <c r="F578" s="7"/>
      <c r="G578" s="7"/>
      <c r="H578" s="7"/>
      <c r="J578" s="7"/>
      <c r="O578" s="6"/>
      <c r="P578" s="6"/>
      <c r="Q578" s="6"/>
      <c r="R578" s="6"/>
      <c r="T578" s="7"/>
      <c r="AA578"/>
      <c r="AB578"/>
      <c r="AC578"/>
      <c r="AD578"/>
      <c r="AE578"/>
      <c r="AF578" s="17"/>
      <c r="AG578" s="17"/>
      <c r="AH578" s="17"/>
      <c r="AI578" s="17"/>
      <c r="AJ578" s="17"/>
      <c r="AK578" s="17"/>
      <c r="AL578" s="17"/>
      <c r="AM578" s="17"/>
      <c r="AN578" s="17"/>
      <c r="AO578" s="1"/>
      <c r="AP578" s="1"/>
      <c r="AQ578" s="1"/>
      <c r="AS578"/>
      <c r="AT578"/>
      <c r="AU578"/>
      <c r="AV578"/>
      <c r="AW578"/>
      <c r="AX578"/>
      <c r="AY578"/>
      <c r="AZ578"/>
      <c r="BA578"/>
      <c r="BB578"/>
      <c r="BC578"/>
      <c r="BD578"/>
    </row>
    <row r="579" spans="3:56" x14ac:dyDescent="0.25">
      <c r="C579"/>
      <c r="D579" s="7"/>
      <c r="E579" s="7"/>
      <c r="F579" s="7"/>
      <c r="G579" s="7"/>
      <c r="H579" s="7"/>
      <c r="J579" s="7"/>
      <c r="O579" s="6"/>
      <c r="P579" s="6"/>
      <c r="Q579" s="6"/>
      <c r="R579" s="6"/>
      <c r="T579" s="7"/>
      <c r="AA579"/>
      <c r="AB579"/>
      <c r="AC579"/>
      <c r="AD579"/>
      <c r="AE579"/>
      <c r="AF579" s="17"/>
      <c r="AG579" s="17"/>
      <c r="AH579" s="17"/>
      <c r="AI579" s="17"/>
      <c r="AJ579" s="17"/>
      <c r="AK579" s="17"/>
      <c r="AL579" s="17"/>
      <c r="AM579" s="17"/>
      <c r="AN579" s="17"/>
      <c r="AO579" s="1"/>
      <c r="AP579" s="1"/>
      <c r="AQ579" s="1"/>
      <c r="AS579"/>
      <c r="AT579"/>
      <c r="AU579"/>
      <c r="AV579"/>
      <c r="AW579"/>
      <c r="AX579"/>
      <c r="AY579"/>
      <c r="AZ579"/>
      <c r="BA579"/>
      <c r="BB579"/>
      <c r="BC579"/>
      <c r="BD579"/>
    </row>
    <row r="580" spans="3:56" x14ac:dyDescent="0.25">
      <c r="C580"/>
      <c r="D580" s="7"/>
      <c r="E580" s="7"/>
      <c r="F580" s="7"/>
      <c r="G580" s="7"/>
      <c r="H580" s="7"/>
      <c r="J580" s="7"/>
      <c r="O580" s="6"/>
      <c r="P580" s="6"/>
      <c r="Q580" s="6"/>
      <c r="R580" s="6"/>
      <c r="T580" s="7"/>
      <c r="AA580"/>
      <c r="AB580"/>
      <c r="AC580"/>
      <c r="AD580"/>
      <c r="AE580"/>
      <c r="AF580" s="17"/>
      <c r="AG580" s="17"/>
      <c r="AH580" s="17"/>
      <c r="AI580" s="17"/>
      <c r="AJ580" s="17"/>
      <c r="AK580" s="17"/>
      <c r="AL580" s="17"/>
      <c r="AM580" s="17"/>
      <c r="AN580" s="17"/>
      <c r="AO580" s="1"/>
      <c r="AP580" s="1"/>
      <c r="AQ580" s="1"/>
      <c r="AS580"/>
      <c r="AT580"/>
      <c r="AU580"/>
      <c r="AV580"/>
      <c r="AW580"/>
      <c r="AX580"/>
      <c r="AY580"/>
      <c r="AZ580"/>
      <c r="BA580"/>
      <c r="BB580"/>
      <c r="BC580"/>
      <c r="BD580"/>
    </row>
    <row r="581" spans="3:56" x14ac:dyDescent="0.25">
      <c r="C581"/>
      <c r="D581" s="7"/>
      <c r="E581" s="7"/>
      <c r="F581" s="7"/>
      <c r="G581" s="7"/>
      <c r="H581" s="7"/>
      <c r="J581" s="7"/>
      <c r="O581" s="6"/>
      <c r="P581" s="6"/>
      <c r="Q581" s="6"/>
      <c r="R581" s="6"/>
      <c r="T581" s="7"/>
      <c r="AA581"/>
      <c r="AB581"/>
      <c r="AC581"/>
      <c r="AD581"/>
      <c r="AE581"/>
      <c r="AF581" s="17"/>
      <c r="AG581" s="17"/>
      <c r="AH581" s="17"/>
      <c r="AI581" s="17"/>
      <c r="AJ581" s="17"/>
      <c r="AK581" s="17"/>
      <c r="AL581" s="17"/>
      <c r="AM581" s="17"/>
      <c r="AN581" s="17"/>
      <c r="AO581" s="1"/>
      <c r="AP581" s="1"/>
      <c r="AQ581" s="1"/>
      <c r="AS581"/>
      <c r="AT581"/>
      <c r="AU581"/>
      <c r="AV581"/>
      <c r="AW581"/>
      <c r="AX581"/>
      <c r="AY581"/>
      <c r="AZ581"/>
      <c r="BA581"/>
      <c r="BB581"/>
      <c r="BC581"/>
      <c r="BD581"/>
    </row>
    <row r="582" spans="3:56" x14ac:dyDescent="0.25">
      <c r="C582"/>
      <c r="D582" s="7"/>
      <c r="E582" s="7"/>
      <c r="F582" s="7"/>
      <c r="G582" s="7"/>
      <c r="H582" s="7"/>
      <c r="J582" s="7"/>
      <c r="O582" s="6"/>
      <c r="P582" s="6"/>
      <c r="Q582" s="6"/>
      <c r="R582" s="6"/>
      <c r="T582" s="7"/>
      <c r="AA582"/>
      <c r="AB582"/>
      <c r="AC582"/>
      <c r="AD582"/>
      <c r="AE582"/>
      <c r="AF582" s="17"/>
      <c r="AG582" s="17"/>
      <c r="AH582" s="17"/>
      <c r="AI582" s="17"/>
      <c r="AJ582" s="17"/>
      <c r="AK582" s="17"/>
      <c r="AL582" s="17"/>
      <c r="AM582" s="17"/>
      <c r="AN582" s="17"/>
      <c r="AO582" s="1"/>
      <c r="AP582" s="1"/>
      <c r="AQ582" s="1"/>
      <c r="AS582"/>
      <c r="AT582"/>
      <c r="AU582"/>
      <c r="AV582"/>
      <c r="AW582"/>
      <c r="AX582"/>
      <c r="AY582"/>
      <c r="AZ582"/>
      <c r="BA582"/>
      <c r="BB582"/>
      <c r="BC582"/>
      <c r="BD582"/>
    </row>
    <row r="583" spans="3:56" x14ac:dyDescent="0.25">
      <c r="C583"/>
      <c r="D583" s="7"/>
      <c r="E583" s="7"/>
      <c r="F583" s="7"/>
      <c r="G583" s="7"/>
      <c r="H583" s="7"/>
      <c r="J583" s="7"/>
      <c r="O583" s="6"/>
      <c r="P583" s="6"/>
      <c r="Q583" s="6"/>
      <c r="R583" s="6"/>
      <c r="T583" s="7"/>
      <c r="AA583"/>
      <c r="AB583"/>
      <c r="AC583"/>
      <c r="AD583"/>
      <c r="AE583"/>
      <c r="AF583" s="17"/>
      <c r="AG583" s="17"/>
      <c r="AH583" s="17"/>
      <c r="AI583" s="17"/>
      <c r="AJ583" s="17"/>
      <c r="AK583" s="17"/>
      <c r="AL583" s="17"/>
      <c r="AM583" s="17"/>
      <c r="AN583" s="17"/>
      <c r="AO583" s="1"/>
      <c r="AP583" s="1"/>
      <c r="AQ583" s="1"/>
      <c r="AS583"/>
      <c r="AT583"/>
      <c r="AU583"/>
      <c r="AV583"/>
      <c r="AW583"/>
      <c r="AX583"/>
      <c r="AY583"/>
      <c r="AZ583"/>
      <c r="BA583"/>
      <c r="BB583"/>
      <c r="BC583"/>
      <c r="BD583"/>
    </row>
    <row r="584" spans="3:56" x14ac:dyDescent="0.25">
      <c r="C584"/>
      <c r="D584" s="7"/>
      <c r="E584" s="7"/>
      <c r="F584" s="7"/>
      <c r="G584" s="7"/>
      <c r="H584" s="7"/>
      <c r="J584" s="7"/>
      <c r="O584" s="6"/>
      <c r="P584" s="6"/>
      <c r="Q584" s="6"/>
      <c r="R584" s="6"/>
      <c r="T584" s="7"/>
      <c r="AA584"/>
      <c r="AB584"/>
      <c r="AC584"/>
      <c r="AD584"/>
      <c r="AE584"/>
      <c r="AF584" s="17"/>
      <c r="AG584" s="17"/>
      <c r="AH584" s="17"/>
      <c r="AI584" s="17"/>
      <c r="AJ584" s="17"/>
      <c r="AK584" s="17"/>
      <c r="AL584" s="17"/>
      <c r="AM584" s="17"/>
      <c r="AN584" s="17"/>
      <c r="AO584" s="1"/>
      <c r="AP584" s="1"/>
      <c r="AQ584" s="1"/>
      <c r="AS584"/>
      <c r="AT584"/>
      <c r="AU584"/>
      <c r="AV584"/>
      <c r="AW584"/>
      <c r="AX584"/>
      <c r="AY584"/>
      <c r="AZ584"/>
      <c r="BA584"/>
      <c r="BB584"/>
      <c r="BC584"/>
      <c r="BD584"/>
    </row>
    <row r="585" spans="3:56" x14ac:dyDescent="0.25">
      <c r="C585"/>
      <c r="D585" s="7"/>
      <c r="E585" s="7"/>
      <c r="F585" s="7"/>
      <c r="G585" s="7"/>
      <c r="H585" s="7"/>
      <c r="J585" s="7"/>
      <c r="O585" s="6"/>
      <c r="P585" s="6"/>
      <c r="Q585" s="6"/>
      <c r="R585" s="6"/>
      <c r="T585" s="7"/>
      <c r="AA585"/>
      <c r="AB585"/>
      <c r="AC585"/>
      <c r="AD585"/>
      <c r="AE585"/>
      <c r="AF585" s="17"/>
      <c r="AG585" s="17"/>
      <c r="AH585" s="17"/>
      <c r="AI585" s="17"/>
      <c r="AJ585" s="17"/>
      <c r="AK585" s="17"/>
      <c r="AL585" s="17"/>
      <c r="AM585" s="17"/>
      <c r="AN585" s="17"/>
      <c r="AO585" s="1"/>
      <c r="AP585" s="1"/>
      <c r="AQ585" s="1"/>
      <c r="AS585"/>
      <c r="AT585"/>
      <c r="AU585"/>
      <c r="AV585"/>
      <c r="AW585"/>
      <c r="AX585"/>
      <c r="AY585"/>
      <c r="AZ585"/>
      <c r="BA585"/>
      <c r="BB585"/>
      <c r="BC585"/>
      <c r="BD585"/>
    </row>
    <row r="586" spans="3:56" x14ac:dyDescent="0.25">
      <c r="C586"/>
      <c r="D586" s="7"/>
      <c r="E586" s="7"/>
      <c r="F586" s="7"/>
      <c r="G586" s="7"/>
      <c r="H586" s="7"/>
      <c r="J586" s="7"/>
      <c r="O586" s="6"/>
      <c r="P586" s="6"/>
      <c r="Q586" s="6"/>
      <c r="R586" s="6"/>
      <c r="T586" s="7"/>
      <c r="AA586"/>
      <c r="AB586"/>
      <c r="AC586"/>
      <c r="AD586"/>
      <c r="AE586"/>
      <c r="AF586" s="17"/>
      <c r="AG586" s="17"/>
      <c r="AH586" s="17"/>
      <c r="AI586" s="17"/>
      <c r="AJ586" s="17"/>
      <c r="AK586" s="17"/>
      <c r="AL586" s="17"/>
      <c r="AM586" s="17"/>
      <c r="AN586" s="17"/>
      <c r="AO586" s="1"/>
      <c r="AP586" s="1"/>
      <c r="AQ586" s="1"/>
      <c r="AS586"/>
      <c r="AT586"/>
      <c r="AU586"/>
      <c r="AV586"/>
      <c r="AW586"/>
      <c r="AX586"/>
      <c r="AY586"/>
      <c r="AZ586"/>
      <c r="BA586"/>
      <c r="BB586"/>
      <c r="BC586"/>
      <c r="BD586"/>
    </row>
    <row r="587" spans="3:56" x14ac:dyDescent="0.25">
      <c r="C587"/>
      <c r="D587" s="7"/>
      <c r="E587" s="7"/>
      <c r="F587" s="7"/>
      <c r="G587" s="7"/>
      <c r="H587" s="7"/>
      <c r="J587" s="7"/>
      <c r="O587" s="6"/>
      <c r="P587" s="6"/>
      <c r="Q587" s="6"/>
      <c r="R587" s="6"/>
      <c r="T587" s="7"/>
      <c r="AA587"/>
      <c r="AB587"/>
      <c r="AC587"/>
      <c r="AD587"/>
      <c r="AE587"/>
      <c r="AF587" s="17"/>
      <c r="AG587" s="17"/>
      <c r="AH587" s="17"/>
      <c r="AI587" s="17"/>
      <c r="AJ587" s="17"/>
      <c r="AK587" s="17"/>
      <c r="AL587" s="17"/>
      <c r="AM587" s="17"/>
      <c r="AN587" s="17"/>
      <c r="AO587" s="1"/>
      <c r="AP587" s="1"/>
      <c r="AQ587" s="1"/>
      <c r="AS587"/>
      <c r="AT587"/>
      <c r="AU587"/>
      <c r="AV587"/>
      <c r="AW587"/>
      <c r="AX587"/>
      <c r="AY587"/>
      <c r="AZ587"/>
      <c r="BA587"/>
      <c r="BB587"/>
      <c r="BC587"/>
      <c r="BD587"/>
    </row>
    <row r="588" spans="3:56" x14ac:dyDescent="0.25">
      <c r="C588"/>
      <c r="D588" s="7"/>
      <c r="E588" s="7"/>
      <c r="F588" s="7"/>
      <c r="G588" s="7"/>
      <c r="H588" s="7"/>
      <c r="J588" s="7"/>
      <c r="O588" s="6"/>
      <c r="P588" s="6"/>
      <c r="Q588" s="6"/>
      <c r="R588" s="6"/>
      <c r="T588" s="7"/>
      <c r="AA588"/>
      <c r="AB588"/>
      <c r="AC588"/>
      <c r="AD588"/>
      <c r="AE588"/>
      <c r="AF588" s="17"/>
      <c r="AG588" s="17"/>
      <c r="AH588" s="17"/>
      <c r="AI588" s="17"/>
      <c r="AJ588" s="17"/>
      <c r="AK588" s="17"/>
      <c r="AL588" s="17"/>
      <c r="AM588" s="17"/>
      <c r="AN588" s="17"/>
      <c r="AO588" s="1"/>
      <c r="AP588" s="1"/>
      <c r="AQ588" s="1"/>
      <c r="AS588"/>
      <c r="AT588"/>
      <c r="AU588"/>
      <c r="AV588"/>
      <c r="AW588"/>
      <c r="AX588"/>
      <c r="AY588"/>
      <c r="AZ588"/>
      <c r="BA588"/>
      <c r="BB588"/>
      <c r="BC588"/>
      <c r="BD588"/>
    </row>
    <row r="589" spans="3:56" x14ac:dyDescent="0.25">
      <c r="C589"/>
      <c r="D589" s="7"/>
      <c r="E589" s="7"/>
      <c r="F589" s="7"/>
      <c r="G589" s="7"/>
      <c r="H589" s="7"/>
      <c r="J589" s="7"/>
      <c r="O589" s="6"/>
      <c r="P589" s="6"/>
      <c r="Q589" s="6"/>
      <c r="R589" s="6"/>
      <c r="T589" s="7"/>
      <c r="AA589"/>
      <c r="AB589"/>
      <c r="AC589"/>
      <c r="AD589"/>
      <c r="AE589"/>
      <c r="AF589" s="17"/>
      <c r="AG589" s="17"/>
      <c r="AH589" s="17"/>
      <c r="AI589" s="17"/>
      <c r="AJ589" s="17"/>
      <c r="AK589" s="17"/>
      <c r="AL589" s="17"/>
      <c r="AM589" s="17"/>
      <c r="AN589" s="17"/>
      <c r="AO589" s="1"/>
      <c r="AP589" s="1"/>
      <c r="AQ589" s="1"/>
      <c r="AS589"/>
      <c r="AT589"/>
      <c r="AU589"/>
      <c r="AV589"/>
      <c r="AW589"/>
      <c r="AX589"/>
      <c r="AY589"/>
      <c r="AZ589"/>
      <c r="BA589"/>
      <c r="BB589"/>
      <c r="BC589"/>
      <c r="BD589"/>
    </row>
    <row r="590" spans="3:56" x14ac:dyDescent="0.25">
      <c r="C590"/>
      <c r="D590" s="7"/>
      <c r="E590" s="7"/>
      <c r="F590" s="7"/>
      <c r="G590" s="7"/>
      <c r="H590" s="7"/>
      <c r="J590" s="7"/>
      <c r="O590" s="6"/>
      <c r="P590" s="6"/>
      <c r="Q590" s="6"/>
      <c r="R590" s="6"/>
      <c r="T590" s="7"/>
      <c r="AA590"/>
      <c r="AB590"/>
      <c r="AC590"/>
      <c r="AD590"/>
      <c r="AE590"/>
      <c r="AF590" s="17"/>
      <c r="AG590" s="17"/>
      <c r="AH590" s="17"/>
      <c r="AI590" s="17"/>
      <c r="AJ590" s="17"/>
      <c r="AK590" s="17"/>
      <c r="AL590" s="17"/>
      <c r="AM590" s="17"/>
      <c r="AN590" s="17"/>
      <c r="AO590" s="1"/>
      <c r="AP590" s="1"/>
      <c r="AQ590" s="1"/>
      <c r="AS590"/>
      <c r="AT590"/>
      <c r="AU590"/>
      <c r="AV590"/>
      <c r="AW590"/>
      <c r="AX590"/>
      <c r="AY590"/>
      <c r="AZ590"/>
      <c r="BA590"/>
      <c r="BB590"/>
      <c r="BC590"/>
      <c r="BD590"/>
    </row>
    <row r="591" spans="3:56" x14ac:dyDescent="0.25">
      <c r="C591"/>
      <c r="D591" s="7"/>
      <c r="E591" s="7"/>
      <c r="F591" s="7"/>
      <c r="G591" s="7"/>
      <c r="H591" s="7"/>
      <c r="J591" s="7"/>
      <c r="O591" s="6"/>
      <c r="P591" s="6"/>
      <c r="Q591" s="6"/>
      <c r="R591" s="6"/>
      <c r="T591" s="7"/>
      <c r="AA591"/>
      <c r="AB591"/>
      <c r="AC591"/>
      <c r="AD591"/>
      <c r="AE591"/>
      <c r="AF591" s="17"/>
      <c r="AG591" s="17"/>
      <c r="AH591" s="17"/>
      <c r="AI591" s="17"/>
      <c r="AJ591" s="17"/>
      <c r="AK591" s="17"/>
      <c r="AL591" s="17"/>
      <c r="AM591" s="17"/>
      <c r="AN591" s="17"/>
      <c r="AO591" s="1"/>
      <c r="AP591" s="1"/>
      <c r="AQ591" s="1"/>
      <c r="AS591"/>
      <c r="AT591"/>
      <c r="AU591"/>
      <c r="AV591"/>
      <c r="AW591"/>
      <c r="AX591"/>
      <c r="AY591"/>
      <c r="AZ591"/>
      <c r="BA591"/>
      <c r="BB591"/>
      <c r="BC591"/>
      <c r="BD591"/>
    </row>
    <row r="592" spans="3:56" x14ac:dyDescent="0.25">
      <c r="C592"/>
      <c r="D592" s="7"/>
      <c r="E592" s="7"/>
      <c r="F592" s="7"/>
      <c r="G592" s="7"/>
      <c r="H592" s="7"/>
      <c r="J592" s="7"/>
      <c r="O592" s="6"/>
      <c r="P592" s="6"/>
      <c r="Q592" s="6"/>
      <c r="R592" s="6"/>
      <c r="T592" s="7"/>
      <c r="AA592"/>
      <c r="AB592"/>
      <c r="AC592"/>
      <c r="AD592"/>
      <c r="AE592"/>
      <c r="AF592" s="17"/>
      <c r="AG592" s="17"/>
      <c r="AH592" s="17"/>
      <c r="AI592" s="17"/>
      <c r="AJ592" s="17"/>
      <c r="AK592" s="17"/>
      <c r="AL592" s="17"/>
      <c r="AM592" s="17"/>
      <c r="AN592" s="17"/>
      <c r="AO592" s="1"/>
      <c r="AP592" s="1"/>
      <c r="AQ592" s="1"/>
      <c r="AS592"/>
      <c r="AT592"/>
      <c r="AU592"/>
      <c r="AV592"/>
      <c r="AW592"/>
      <c r="AX592"/>
      <c r="AY592"/>
      <c r="AZ592"/>
      <c r="BA592"/>
      <c r="BB592"/>
      <c r="BC592"/>
      <c r="BD592"/>
    </row>
    <row r="593" spans="3:56" x14ac:dyDescent="0.25">
      <c r="C593"/>
      <c r="D593" s="7"/>
      <c r="E593" s="7"/>
      <c r="F593" s="7"/>
      <c r="G593" s="7"/>
      <c r="H593" s="7"/>
      <c r="J593" s="7"/>
      <c r="O593" s="6"/>
      <c r="P593" s="6"/>
      <c r="Q593" s="6"/>
      <c r="R593" s="6"/>
      <c r="T593" s="7"/>
      <c r="AA593"/>
      <c r="AB593"/>
      <c r="AC593"/>
      <c r="AD593"/>
      <c r="AE593"/>
      <c r="AF593" s="17"/>
      <c r="AG593" s="17"/>
      <c r="AH593" s="17"/>
      <c r="AI593" s="17"/>
      <c r="AJ593" s="17"/>
      <c r="AK593" s="17"/>
      <c r="AL593" s="17"/>
      <c r="AM593" s="17"/>
      <c r="AN593" s="17"/>
      <c r="AO593" s="1"/>
      <c r="AP593" s="1"/>
      <c r="AQ593" s="1"/>
      <c r="AS593"/>
      <c r="AT593"/>
      <c r="AU593"/>
      <c r="AV593"/>
      <c r="AW593"/>
      <c r="AX593"/>
      <c r="AY593"/>
      <c r="AZ593"/>
      <c r="BA593"/>
      <c r="BB593"/>
      <c r="BC593"/>
      <c r="BD593"/>
    </row>
    <row r="594" spans="3:56" x14ac:dyDescent="0.25">
      <c r="C594"/>
      <c r="D594" s="7"/>
      <c r="E594" s="7"/>
      <c r="F594" s="7"/>
      <c r="G594" s="7"/>
      <c r="H594" s="7"/>
      <c r="J594" s="7"/>
      <c r="O594" s="6"/>
      <c r="P594" s="6"/>
      <c r="Q594" s="6"/>
      <c r="R594" s="6"/>
      <c r="T594" s="7"/>
      <c r="AA594"/>
      <c r="AB594"/>
      <c r="AC594"/>
      <c r="AD594"/>
      <c r="AE594"/>
      <c r="AF594" s="17"/>
      <c r="AG594" s="17"/>
      <c r="AH594" s="17"/>
      <c r="AI594" s="17"/>
      <c r="AJ594" s="17"/>
      <c r="AK594" s="17"/>
      <c r="AL594" s="17"/>
      <c r="AM594" s="17"/>
      <c r="AN594" s="17"/>
      <c r="AO594" s="1"/>
      <c r="AP594" s="1"/>
      <c r="AQ594" s="1"/>
      <c r="AS594"/>
      <c r="AT594"/>
      <c r="AU594"/>
      <c r="AV594"/>
      <c r="AW594"/>
      <c r="AX594"/>
      <c r="AY594"/>
      <c r="AZ594"/>
      <c r="BA594"/>
      <c r="BB594"/>
      <c r="BC594"/>
      <c r="BD594"/>
    </row>
    <row r="595" spans="3:56" x14ac:dyDescent="0.25">
      <c r="C595"/>
      <c r="D595" s="7"/>
      <c r="E595" s="7"/>
      <c r="F595" s="7"/>
      <c r="G595" s="7"/>
      <c r="H595" s="7"/>
      <c r="J595" s="7"/>
      <c r="O595" s="6"/>
      <c r="P595" s="6"/>
      <c r="Q595" s="6"/>
      <c r="R595" s="6"/>
      <c r="T595" s="7"/>
      <c r="AA595"/>
      <c r="AB595"/>
      <c r="AC595"/>
      <c r="AD595"/>
      <c r="AE595"/>
      <c r="AF595" s="17"/>
      <c r="AG595" s="17"/>
      <c r="AH595" s="17"/>
      <c r="AI595" s="17"/>
      <c r="AJ595" s="17"/>
      <c r="AK595" s="17"/>
      <c r="AL595" s="17"/>
      <c r="AM595" s="17"/>
      <c r="AN595" s="17"/>
      <c r="AO595" s="1"/>
      <c r="AP595" s="1"/>
      <c r="AQ595" s="1"/>
      <c r="AS595"/>
      <c r="AT595"/>
      <c r="AU595"/>
      <c r="AV595"/>
      <c r="AW595"/>
      <c r="AX595"/>
      <c r="AY595"/>
      <c r="AZ595"/>
      <c r="BA595"/>
      <c r="BB595"/>
      <c r="BC595"/>
      <c r="BD595"/>
    </row>
    <row r="596" spans="3:56" x14ac:dyDescent="0.25">
      <c r="C596"/>
      <c r="D596" s="7"/>
      <c r="E596" s="7"/>
      <c r="F596" s="7"/>
      <c r="G596" s="7"/>
      <c r="H596" s="7"/>
      <c r="J596" s="7"/>
      <c r="O596" s="6"/>
      <c r="P596" s="6"/>
      <c r="Q596" s="6"/>
      <c r="R596" s="6"/>
      <c r="T596" s="7"/>
      <c r="AA596"/>
      <c r="AB596"/>
      <c r="AC596"/>
      <c r="AD596"/>
      <c r="AE596"/>
      <c r="AF596" s="17"/>
      <c r="AG596" s="17"/>
      <c r="AH596" s="17"/>
      <c r="AI596" s="17"/>
      <c r="AJ596" s="17"/>
      <c r="AK596" s="17"/>
      <c r="AL596" s="17"/>
      <c r="AM596" s="17"/>
      <c r="AN596" s="17"/>
      <c r="AO596" s="1"/>
      <c r="AP596" s="1"/>
      <c r="AQ596" s="1"/>
      <c r="AS596"/>
      <c r="AT596"/>
      <c r="AU596"/>
      <c r="AV596"/>
      <c r="AW596"/>
      <c r="AX596"/>
      <c r="AY596"/>
      <c r="AZ596"/>
      <c r="BA596"/>
      <c r="BB596"/>
      <c r="BC596"/>
      <c r="BD596"/>
    </row>
    <row r="597" spans="3:56" x14ac:dyDescent="0.25">
      <c r="C597"/>
      <c r="D597" s="7"/>
      <c r="E597" s="7"/>
      <c r="F597" s="7"/>
      <c r="G597" s="7"/>
      <c r="H597" s="7"/>
      <c r="J597" s="7"/>
      <c r="O597" s="6"/>
      <c r="P597" s="6"/>
      <c r="Q597" s="6"/>
      <c r="R597" s="6"/>
      <c r="T597" s="7"/>
      <c r="AA597"/>
      <c r="AB597"/>
      <c r="AC597"/>
      <c r="AD597"/>
      <c r="AE597"/>
      <c r="AF597" s="17"/>
      <c r="AG597" s="17"/>
      <c r="AH597" s="17"/>
      <c r="AI597" s="17"/>
      <c r="AJ597" s="17"/>
      <c r="AK597" s="17"/>
      <c r="AL597" s="17"/>
      <c r="AM597" s="17"/>
      <c r="AN597" s="17"/>
      <c r="AO597" s="1"/>
      <c r="AP597" s="1"/>
      <c r="AQ597" s="1"/>
      <c r="AS597"/>
      <c r="AT597"/>
      <c r="AU597"/>
      <c r="AV597"/>
      <c r="AW597"/>
      <c r="AX597"/>
      <c r="AY597"/>
      <c r="AZ597"/>
      <c r="BA597"/>
      <c r="BB597"/>
      <c r="BC597"/>
      <c r="BD597"/>
    </row>
    <row r="598" spans="3:56" x14ac:dyDescent="0.25">
      <c r="C598"/>
      <c r="D598" s="7"/>
      <c r="E598" s="7"/>
      <c r="F598" s="7"/>
      <c r="G598" s="7"/>
      <c r="H598" s="7"/>
      <c r="J598" s="7"/>
      <c r="O598" s="6"/>
      <c r="P598" s="6"/>
      <c r="Q598" s="6"/>
      <c r="R598" s="6"/>
      <c r="T598" s="7"/>
      <c r="AA598"/>
      <c r="AB598"/>
      <c r="AC598"/>
      <c r="AD598"/>
      <c r="AE598"/>
      <c r="AF598" s="17"/>
      <c r="AG598" s="17"/>
      <c r="AH598" s="17"/>
      <c r="AI598" s="17"/>
      <c r="AJ598" s="17"/>
      <c r="AK598" s="17"/>
      <c r="AL598" s="17"/>
      <c r="AM598" s="17"/>
      <c r="AN598" s="17"/>
      <c r="AO598" s="1"/>
      <c r="AP598" s="1"/>
      <c r="AQ598" s="1"/>
      <c r="AS598"/>
      <c r="AT598"/>
      <c r="AU598"/>
      <c r="AV598"/>
      <c r="AW598"/>
      <c r="AX598"/>
      <c r="AY598"/>
      <c r="AZ598"/>
      <c r="BA598"/>
      <c r="BB598"/>
      <c r="BC598"/>
      <c r="BD598"/>
    </row>
    <row r="599" spans="3:56" x14ac:dyDescent="0.25">
      <c r="C599"/>
      <c r="D599" s="7"/>
      <c r="E599" s="7"/>
      <c r="F599" s="7"/>
      <c r="G599" s="7"/>
      <c r="H599" s="7"/>
      <c r="J599" s="7"/>
      <c r="O599" s="6"/>
      <c r="P599" s="6"/>
      <c r="Q599" s="6"/>
      <c r="R599" s="6"/>
      <c r="T599" s="7"/>
      <c r="AA599"/>
      <c r="AB599"/>
      <c r="AC599"/>
      <c r="AD599"/>
      <c r="AE599"/>
      <c r="AF599" s="17"/>
      <c r="AG599" s="17"/>
      <c r="AH599" s="17"/>
      <c r="AI599" s="17"/>
      <c r="AJ599" s="17"/>
      <c r="AK599" s="17"/>
      <c r="AL599" s="17"/>
      <c r="AM599" s="17"/>
      <c r="AN599" s="17"/>
      <c r="AO599" s="1"/>
      <c r="AP599" s="1"/>
      <c r="AQ599" s="1"/>
      <c r="AS599"/>
      <c r="AT599"/>
      <c r="AU599"/>
      <c r="AV599"/>
      <c r="AW599"/>
      <c r="AX599"/>
      <c r="AY599"/>
      <c r="AZ599"/>
      <c r="BA599"/>
      <c r="BB599"/>
      <c r="BC599"/>
      <c r="BD599"/>
    </row>
    <row r="600" spans="3:56" x14ac:dyDescent="0.25">
      <c r="C600"/>
      <c r="D600" s="7"/>
      <c r="E600" s="7"/>
      <c r="F600" s="7"/>
      <c r="G600" s="7"/>
      <c r="H600" s="7"/>
      <c r="J600" s="7"/>
      <c r="O600" s="6"/>
      <c r="P600" s="6"/>
      <c r="Q600" s="6"/>
      <c r="R600" s="6"/>
      <c r="T600" s="7"/>
      <c r="AA600"/>
      <c r="AB600"/>
      <c r="AC600"/>
      <c r="AD600"/>
      <c r="AE600"/>
      <c r="AF600" s="17"/>
      <c r="AG600" s="17"/>
      <c r="AH600" s="17"/>
      <c r="AI600" s="17"/>
      <c r="AJ600" s="17"/>
      <c r="AK600" s="17"/>
      <c r="AL600" s="17"/>
      <c r="AM600" s="17"/>
      <c r="AN600" s="17"/>
      <c r="AO600" s="1"/>
      <c r="AP600" s="1"/>
      <c r="AQ600" s="1"/>
      <c r="AS600"/>
      <c r="AT600"/>
      <c r="AU600"/>
      <c r="AV600"/>
      <c r="AW600"/>
      <c r="AX600"/>
      <c r="AY600"/>
      <c r="AZ600"/>
      <c r="BA600"/>
      <c r="BB600"/>
      <c r="BC600"/>
      <c r="BD600"/>
    </row>
    <row r="601" spans="3:56" x14ac:dyDescent="0.25">
      <c r="C601"/>
      <c r="D601" s="7"/>
      <c r="E601" s="7"/>
      <c r="F601" s="7"/>
      <c r="G601" s="7"/>
      <c r="H601" s="7"/>
      <c r="J601" s="7"/>
      <c r="O601" s="6"/>
      <c r="P601" s="6"/>
      <c r="Q601" s="6"/>
      <c r="R601" s="6"/>
      <c r="T601" s="7"/>
      <c r="AA601"/>
      <c r="AB601"/>
      <c r="AC601"/>
      <c r="AD601"/>
      <c r="AE601"/>
      <c r="AF601" s="17"/>
      <c r="AG601" s="17"/>
      <c r="AH601" s="17"/>
      <c r="AI601" s="17"/>
      <c r="AJ601" s="17"/>
      <c r="AK601" s="17"/>
      <c r="AL601" s="17"/>
      <c r="AM601" s="17"/>
      <c r="AN601" s="17"/>
      <c r="AO601" s="1"/>
      <c r="AP601" s="1"/>
      <c r="AQ601" s="1"/>
      <c r="AS601"/>
      <c r="AT601"/>
      <c r="AU601"/>
      <c r="AV601"/>
      <c r="AW601"/>
      <c r="AX601"/>
      <c r="AY601"/>
      <c r="AZ601"/>
      <c r="BA601"/>
      <c r="BB601"/>
      <c r="BC601"/>
      <c r="BD601"/>
    </row>
    <row r="602" spans="3:56" x14ac:dyDescent="0.25">
      <c r="C602"/>
      <c r="D602" s="7"/>
      <c r="E602" s="7"/>
      <c r="F602" s="7"/>
      <c r="G602" s="7"/>
      <c r="H602" s="7"/>
      <c r="J602" s="7"/>
      <c r="O602" s="6"/>
      <c r="P602" s="6"/>
      <c r="Q602" s="6"/>
      <c r="R602" s="6"/>
      <c r="T602" s="7"/>
      <c r="AA602"/>
      <c r="AB602"/>
      <c r="AC602"/>
      <c r="AD602"/>
      <c r="AE602"/>
      <c r="AF602" s="17"/>
      <c r="AG602" s="17"/>
      <c r="AH602" s="17"/>
      <c r="AI602" s="17"/>
      <c r="AJ602" s="17"/>
      <c r="AK602" s="17"/>
      <c r="AL602" s="17"/>
      <c r="AM602" s="17"/>
      <c r="AN602" s="17"/>
      <c r="AO602" s="1"/>
      <c r="AP602" s="1"/>
      <c r="AQ602" s="1"/>
      <c r="AS602"/>
      <c r="AT602"/>
      <c r="AU602"/>
      <c r="AV602"/>
      <c r="AW602"/>
      <c r="AX602"/>
      <c r="AY602"/>
      <c r="AZ602"/>
      <c r="BA602"/>
      <c r="BB602"/>
      <c r="BC602"/>
      <c r="BD602"/>
    </row>
    <row r="603" spans="3:56" x14ac:dyDescent="0.25">
      <c r="C603"/>
      <c r="D603" s="7"/>
      <c r="E603" s="7"/>
      <c r="F603" s="7"/>
      <c r="G603" s="7"/>
      <c r="H603" s="7"/>
      <c r="J603" s="7"/>
      <c r="O603" s="6"/>
      <c r="P603" s="6"/>
      <c r="Q603" s="6"/>
      <c r="R603" s="6"/>
      <c r="T603" s="7"/>
      <c r="AA603"/>
      <c r="AB603"/>
      <c r="AC603"/>
      <c r="AD603"/>
      <c r="AE603"/>
      <c r="AF603" s="17"/>
      <c r="AG603" s="17"/>
      <c r="AH603" s="17"/>
      <c r="AI603" s="17"/>
      <c r="AJ603" s="17"/>
      <c r="AK603" s="17"/>
      <c r="AL603" s="17"/>
      <c r="AM603" s="17"/>
      <c r="AN603" s="17"/>
      <c r="AO603" s="1"/>
      <c r="AP603" s="1"/>
      <c r="AQ603" s="1"/>
      <c r="AS603"/>
      <c r="AT603"/>
      <c r="AU603"/>
      <c r="AV603"/>
      <c r="AW603"/>
      <c r="AX603"/>
      <c r="AY603"/>
      <c r="AZ603"/>
      <c r="BA603"/>
      <c r="BB603"/>
      <c r="BC603"/>
      <c r="BD603"/>
    </row>
    <row r="604" spans="3:56" x14ac:dyDescent="0.25">
      <c r="C604"/>
      <c r="D604" s="7"/>
      <c r="E604" s="7"/>
      <c r="F604" s="7"/>
      <c r="G604" s="7"/>
      <c r="H604" s="7"/>
      <c r="J604" s="7"/>
      <c r="O604" s="6"/>
      <c r="P604" s="6"/>
      <c r="Q604" s="6"/>
      <c r="R604" s="6"/>
      <c r="T604" s="7"/>
      <c r="AA604"/>
      <c r="AB604"/>
      <c r="AC604"/>
      <c r="AD604"/>
      <c r="AE604"/>
      <c r="AF604" s="17"/>
      <c r="AG604" s="17"/>
      <c r="AH604" s="17"/>
      <c r="AI604" s="17"/>
      <c r="AJ604" s="17"/>
      <c r="AK604" s="17"/>
      <c r="AL604" s="17"/>
      <c r="AM604" s="17"/>
      <c r="AN604" s="17"/>
      <c r="AO604" s="1"/>
      <c r="AP604" s="1"/>
      <c r="AQ604" s="1"/>
      <c r="AS604"/>
      <c r="AT604"/>
      <c r="AU604"/>
      <c r="AV604"/>
      <c r="AW604"/>
      <c r="AX604"/>
      <c r="AY604"/>
      <c r="AZ604"/>
      <c r="BA604"/>
      <c r="BB604"/>
      <c r="BC604"/>
      <c r="BD604"/>
    </row>
    <row r="605" spans="3:56" x14ac:dyDescent="0.25">
      <c r="C605"/>
      <c r="D605" s="7"/>
      <c r="E605" s="7"/>
      <c r="F605" s="7"/>
      <c r="G605" s="7"/>
      <c r="H605" s="7"/>
      <c r="J605" s="7"/>
      <c r="O605" s="6"/>
      <c r="P605" s="6"/>
      <c r="Q605" s="6"/>
      <c r="R605" s="6"/>
      <c r="T605" s="7"/>
      <c r="AA605"/>
      <c r="AB605"/>
      <c r="AC605"/>
      <c r="AD605"/>
      <c r="AE605"/>
      <c r="AF605" s="17"/>
      <c r="AG605" s="17"/>
      <c r="AH605" s="17"/>
      <c r="AI605" s="17"/>
      <c r="AJ605" s="17"/>
      <c r="AK605" s="17"/>
      <c r="AL605" s="17"/>
      <c r="AM605" s="17"/>
      <c r="AN605" s="17"/>
      <c r="AO605" s="1"/>
      <c r="AP605" s="1"/>
      <c r="AQ605" s="1"/>
      <c r="AS605"/>
      <c r="AT605"/>
      <c r="AU605"/>
      <c r="AV605"/>
      <c r="AW605"/>
      <c r="AX605"/>
      <c r="AY605"/>
      <c r="AZ605"/>
      <c r="BA605"/>
      <c r="BB605"/>
      <c r="BC605"/>
      <c r="BD605"/>
    </row>
    <row r="606" spans="3:56" x14ac:dyDescent="0.25">
      <c r="C606"/>
      <c r="D606" s="7"/>
      <c r="E606" s="7"/>
      <c r="F606" s="7"/>
      <c r="G606" s="7"/>
      <c r="H606" s="7"/>
      <c r="J606" s="7"/>
      <c r="O606" s="6"/>
      <c r="P606" s="6"/>
      <c r="Q606" s="6"/>
      <c r="R606" s="6"/>
      <c r="T606" s="7"/>
      <c r="AA606"/>
      <c r="AB606"/>
      <c r="AC606"/>
      <c r="AD606"/>
      <c r="AE606"/>
      <c r="AF606" s="17"/>
      <c r="AG606" s="17"/>
      <c r="AH606" s="17"/>
      <c r="AI606" s="17"/>
      <c r="AJ606" s="17"/>
      <c r="AK606" s="17"/>
      <c r="AL606" s="17"/>
      <c r="AM606" s="17"/>
      <c r="AN606" s="17"/>
      <c r="AO606" s="1"/>
      <c r="AP606" s="1"/>
      <c r="AQ606" s="1"/>
      <c r="AS606"/>
      <c r="AT606"/>
      <c r="AU606"/>
      <c r="AV606"/>
      <c r="AW606"/>
      <c r="AX606"/>
      <c r="AY606"/>
      <c r="AZ606"/>
      <c r="BA606"/>
      <c r="BB606"/>
      <c r="BC606"/>
      <c r="BD606"/>
    </row>
    <row r="607" spans="3:56" x14ac:dyDescent="0.25">
      <c r="C607"/>
      <c r="D607" s="7"/>
      <c r="E607" s="7"/>
      <c r="F607" s="7"/>
      <c r="G607" s="7"/>
      <c r="H607" s="7"/>
      <c r="J607" s="7"/>
      <c r="O607" s="6"/>
      <c r="P607" s="6"/>
      <c r="Q607" s="6"/>
      <c r="R607" s="6"/>
      <c r="T607" s="7"/>
      <c r="AA607"/>
      <c r="AB607"/>
      <c r="AC607"/>
      <c r="AD607"/>
      <c r="AE607"/>
      <c r="AF607" s="17"/>
      <c r="AG607" s="17"/>
      <c r="AH607" s="17"/>
      <c r="AI607" s="17"/>
      <c r="AJ607" s="17"/>
      <c r="AK607" s="17"/>
      <c r="AL607" s="17"/>
      <c r="AM607" s="17"/>
      <c r="AN607" s="17"/>
      <c r="AO607" s="1"/>
      <c r="AP607" s="1"/>
      <c r="AQ607" s="1"/>
      <c r="AS607"/>
      <c r="AT607"/>
      <c r="AU607"/>
      <c r="AV607"/>
      <c r="AW607"/>
      <c r="AX607"/>
      <c r="AY607"/>
      <c r="AZ607"/>
      <c r="BA607"/>
      <c r="BB607"/>
      <c r="BC607"/>
      <c r="BD607"/>
    </row>
    <row r="608" spans="3:56" x14ac:dyDescent="0.25">
      <c r="C608"/>
      <c r="D608" s="7"/>
      <c r="E608" s="7"/>
      <c r="F608" s="7"/>
      <c r="G608" s="7"/>
      <c r="H608" s="7"/>
      <c r="J608" s="7"/>
      <c r="O608" s="6"/>
      <c r="P608" s="6"/>
      <c r="Q608" s="6"/>
      <c r="R608" s="6"/>
      <c r="T608" s="7"/>
      <c r="AA608"/>
      <c r="AB608"/>
      <c r="AC608"/>
      <c r="AD608"/>
      <c r="AE608"/>
      <c r="AF608" s="17"/>
      <c r="AG608" s="17"/>
      <c r="AH608" s="17"/>
      <c r="AI608" s="17"/>
      <c r="AJ608" s="17"/>
      <c r="AK608" s="17"/>
      <c r="AL608" s="17"/>
      <c r="AM608" s="17"/>
      <c r="AN608" s="17"/>
      <c r="AO608" s="1"/>
      <c r="AP608" s="1"/>
      <c r="AQ608" s="1"/>
      <c r="AS608"/>
      <c r="AT608"/>
      <c r="AU608"/>
      <c r="AV608"/>
      <c r="AW608"/>
      <c r="AX608"/>
      <c r="AY608"/>
      <c r="AZ608"/>
      <c r="BA608"/>
      <c r="BB608"/>
      <c r="BC608"/>
      <c r="BD608"/>
    </row>
    <row r="609" spans="3:56" x14ac:dyDescent="0.25">
      <c r="C609"/>
      <c r="D609" s="7"/>
      <c r="E609" s="7"/>
      <c r="F609" s="7"/>
      <c r="G609" s="7"/>
      <c r="H609" s="7"/>
      <c r="J609" s="7"/>
      <c r="O609" s="6"/>
      <c r="P609" s="6"/>
      <c r="Q609" s="6"/>
      <c r="R609" s="6"/>
      <c r="T609" s="7"/>
      <c r="AA609"/>
      <c r="AB609"/>
      <c r="AC609"/>
      <c r="AD609"/>
      <c r="AE609"/>
      <c r="AF609" s="17"/>
      <c r="AG609" s="17"/>
      <c r="AH609" s="17"/>
      <c r="AI609" s="17"/>
      <c r="AJ609" s="17"/>
      <c r="AK609" s="17"/>
      <c r="AL609" s="17"/>
      <c r="AM609" s="17"/>
      <c r="AN609" s="17"/>
      <c r="AO609" s="1"/>
      <c r="AP609" s="1"/>
      <c r="AQ609" s="1"/>
      <c r="AS609"/>
      <c r="AT609"/>
      <c r="AU609"/>
      <c r="AV609"/>
      <c r="AW609"/>
      <c r="AX609"/>
      <c r="AY609"/>
      <c r="AZ609"/>
      <c r="BA609"/>
      <c r="BB609"/>
      <c r="BC609"/>
      <c r="BD609"/>
    </row>
    <row r="610" spans="3:56" x14ac:dyDescent="0.25">
      <c r="C610"/>
      <c r="D610" s="7"/>
      <c r="E610" s="7"/>
      <c r="F610" s="7"/>
      <c r="G610" s="7"/>
      <c r="H610" s="7"/>
      <c r="J610" s="7"/>
      <c r="O610" s="6"/>
      <c r="P610" s="6"/>
      <c r="Q610" s="6"/>
      <c r="R610" s="6"/>
      <c r="T610" s="7"/>
      <c r="AA610"/>
      <c r="AB610"/>
      <c r="AC610"/>
      <c r="AD610"/>
      <c r="AE610"/>
      <c r="AF610" s="17"/>
      <c r="AG610" s="17"/>
      <c r="AH610" s="17"/>
      <c r="AI610" s="17"/>
      <c r="AJ610" s="17"/>
      <c r="AK610" s="17"/>
      <c r="AL610" s="17"/>
      <c r="AM610" s="17"/>
      <c r="AN610" s="17"/>
      <c r="AO610" s="1"/>
      <c r="AP610" s="1"/>
      <c r="AQ610" s="1"/>
      <c r="AS610"/>
      <c r="AT610"/>
      <c r="AU610"/>
      <c r="AV610"/>
      <c r="AW610"/>
      <c r="AX610"/>
      <c r="AY610"/>
      <c r="AZ610"/>
      <c r="BA610"/>
      <c r="BB610"/>
      <c r="BC610"/>
      <c r="BD610"/>
    </row>
    <row r="611" spans="3:56" x14ac:dyDescent="0.25">
      <c r="C611"/>
      <c r="D611" s="7"/>
      <c r="E611" s="7"/>
      <c r="F611" s="7"/>
      <c r="G611" s="7"/>
      <c r="H611" s="7"/>
      <c r="J611" s="7"/>
      <c r="O611" s="6"/>
      <c r="P611" s="6"/>
      <c r="Q611" s="6"/>
      <c r="R611" s="6"/>
      <c r="T611" s="7"/>
      <c r="AA611"/>
      <c r="AB611"/>
      <c r="AC611"/>
      <c r="AD611"/>
      <c r="AE611"/>
      <c r="AF611" s="17"/>
      <c r="AG611" s="17"/>
      <c r="AH611" s="17"/>
      <c r="AI611" s="17"/>
      <c r="AJ611" s="17"/>
      <c r="AK611" s="17"/>
      <c r="AL611" s="17"/>
      <c r="AM611" s="17"/>
      <c r="AN611" s="17"/>
      <c r="AO611" s="1"/>
      <c r="AP611" s="1"/>
      <c r="AQ611" s="1"/>
      <c r="AS611"/>
      <c r="AT611"/>
      <c r="AU611"/>
      <c r="AV611"/>
      <c r="AW611"/>
      <c r="AX611"/>
      <c r="AY611"/>
      <c r="AZ611"/>
      <c r="BA611"/>
      <c r="BB611"/>
      <c r="BC611"/>
      <c r="BD611"/>
    </row>
    <row r="612" spans="3:56" x14ac:dyDescent="0.25">
      <c r="C612"/>
      <c r="D612" s="7"/>
      <c r="E612" s="7"/>
      <c r="F612" s="7"/>
      <c r="G612" s="7"/>
      <c r="H612" s="7"/>
      <c r="J612" s="7"/>
      <c r="O612" s="6"/>
      <c r="P612" s="6"/>
      <c r="Q612" s="6"/>
      <c r="R612" s="6"/>
      <c r="T612" s="7"/>
      <c r="AA612"/>
      <c r="AB612"/>
      <c r="AC612"/>
      <c r="AD612"/>
      <c r="AE612"/>
      <c r="AF612" s="17"/>
      <c r="AG612" s="17"/>
      <c r="AH612" s="17"/>
      <c r="AI612" s="17"/>
      <c r="AJ612" s="17"/>
      <c r="AK612" s="17"/>
      <c r="AL612" s="17"/>
      <c r="AM612" s="17"/>
      <c r="AN612" s="17"/>
      <c r="AO612" s="1"/>
      <c r="AP612" s="1"/>
      <c r="AQ612" s="1"/>
      <c r="AS612"/>
      <c r="AT612"/>
      <c r="AU612"/>
      <c r="AV612"/>
      <c r="AW612"/>
      <c r="AX612"/>
      <c r="AY612"/>
      <c r="AZ612"/>
      <c r="BA612"/>
      <c r="BB612"/>
      <c r="BC612"/>
      <c r="BD612"/>
    </row>
    <row r="613" spans="3:56" x14ac:dyDescent="0.25">
      <c r="C613"/>
      <c r="D613" s="7"/>
      <c r="E613" s="7"/>
      <c r="F613" s="7"/>
      <c r="G613" s="7"/>
      <c r="H613" s="7"/>
      <c r="J613" s="7"/>
      <c r="O613" s="6"/>
      <c r="P613" s="6"/>
      <c r="Q613" s="6"/>
      <c r="R613" s="6"/>
      <c r="T613" s="7"/>
      <c r="AA613"/>
      <c r="AB613"/>
      <c r="AC613"/>
      <c r="AD613"/>
      <c r="AE613"/>
      <c r="AF613" s="17"/>
      <c r="AG613" s="17"/>
      <c r="AH613" s="17"/>
      <c r="AI613" s="17"/>
      <c r="AJ613" s="17"/>
      <c r="AK613" s="17"/>
      <c r="AL613" s="17"/>
      <c r="AM613" s="17"/>
      <c r="AN613" s="17"/>
      <c r="AO613" s="1"/>
      <c r="AP613" s="1"/>
      <c r="AQ613" s="1"/>
      <c r="AS613"/>
      <c r="AT613"/>
      <c r="AU613"/>
      <c r="AV613"/>
      <c r="AW613"/>
      <c r="AX613"/>
      <c r="AY613"/>
      <c r="AZ613"/>
      <c r="BA613"/>
      <c r="BB613"/>
      <c r="BC613"/>
      <c r="BD613"/>
    </row>
    <row r="614" spans="3:56" x14ac:dyDescent="0.25">
      <c r="C614"/>
      <c r="D614" s="7"/>
      <c r="E614" s="7"/>
      <c r="F614" s="7"/>
      <c r="G614" s="7"/>
      <c r="H614" s="7"/>
      <c r="J614" s="7"/>
      <c r="O614" s="6"/>
      <c r="P614" s="6"/>
      <c r="Q614" s="6"/>
      <c r="R614" s="6"/>
      <c r="T614" s="7"/>
      <c r="AA614"/>
      <c r="AB614"/>
      <c r="AC614"/>
      <c r="AD614"/>
      <c r="AE614"/>
      <c r="AF614" s="17"/>
      <c r="AG614" s="17"/>
      <c r="AH614" s="17"/>
      <c r="AI614" s="17"/>
      <c r="AJ614" s="17"/>
      <c r="AK614" s="17"/>
      <c r="AL614" s="17"/>
      <c r="AM614" s="17"/>
      <c r="AN614" s="17"/>
      <c r="AO614" s="1"/>
      <c r="AP614" s="1"/>
      <c r="AQ614" s="1"/>
      <c r="AS614"/>
      <c r="AT614"/>
      <c r="AU614"/>
      <c r="AV614"/>
      <c r="AW614"/>
      <c r="AX614"/>
      <c r="AY614"/>
      <c r="AZ614"/>
      <c r="BA614"/>
      <c r="BB614"/>
      <c r="BC614"/>
      <c r="BD614"/>
    </row>
    <row r="615" spans="3:56" x14ac:dyDescent="0.25">
      <c r="C615"/>
      <c r="D615" s="7"/>
      <c r="E615" s="7"/>
      <c r="F615" s="7"/>
      <c r="G615" s="7"/>
      <c r="H615" s="7"/>
      <c r="J615" s="7"/>
      <c r="O615" s="6"/>
      <c r="P615" s="6"/>
      <c r="Q615" s="6"/>
      <c r="R615" s="6"/>
      <c r="T615" s="7"/>
      <c r="AA615"/>
      <c r="AB615"/>
      <c r="AC615"/>
      <c r="AD615"/>
      <c r="AE615"/>
      <c r="AF615" s="17"/>
      <c r="AG615" s="17"/>
      <c r="AH615" s="17"/>
      <c r="AI615" s="17"/>
      <c r="AJ615" s="17"/>
      <c r="AK615" s="17"/>
      <c r="AL615" s="17"/>
      <c r="AM615" s="17"/>
      <c r="AN615" s="17"/>
      <c r="AO615" s="1"/>
      <c r="AP615" s="1"/>
      <c r="AQ615" s="1"/>
      <c r="AS615"/>
      <c r="AT615"/>
      <c r="AU615"/>
      <c r="AV615"/>
      <c r="AW615"/>
      <c r="AX615"/>
      <c r="AY615"/>
      <c r="AZ615"/>
      <c r="BA615"/>
      <c r="BB615"/>
      <c r="BC615"/>
      <c r="BD615"/>
    </row>
    <row r="616" spans="3:56" x14ac:dyDescent="0.25">
      <c r="C616"/>
      <c r="D616" s="7"/>
      <c r="E616" s="7"/>
      <c r="F616" s="7"/>
      <c r="G616" s="7"/>
      <c r="H616" s="7"/>
      <c r="J616" s="7"/>
      <c r="O616" s="6"/>
      <c r="P616" s="6"/>
      <c r="Q616" s="6"/>
      <c r="R616" s="6"/>
      <c r="T616" s="7"/>
      <c r="AA616"/>
      <c r="AB616"/>
      <c r="AC616"/>
      <c r="AD616"/>
      <c r="AE616"/>
      <c r="AF616" s="17"/>
      <c r="AG616" s="17"/>
      <c r="AH616" s="17"/>
      <c r="AI616" s="17"/>
      <c r="AJ616" s="17"/>
      <c r="AK616" s="17"/>
      <c r="AL616" s="17"/>
      <c r="AM616" s="17"/>
      <c r="AN616" s="17"/>
      <c r="AO616" s="1"/>
      <c r="AP616" s="1"/>
      <c r="AQ616" s="1"/>
      <c r="AS616"/>
      <c r="AT616"/>
      <c r="AU616"/>
      <c r="AV616"/>
      <c r="AW616"/>
      <c r="AX616"/>
      <c r="AY616"/>
      <c r="AZ616"/>
      <c r="BA616"/>
      <c r="BB616"/>
      <c r="BC616"/>
      <c r="BD616"/>
    </row>
    <row r="617" spans="3:56" x14ac:dyDescent="0.25">
      <c r="C617"/>
      <c r="D617" s="7"/>
      <c r="E617" s="7"/>
      <c r="F617" s="7"/>
      <c r="G617" s="7"/>
      <c r="H617" s="7"/>
      <c r="J617" s="7"/>
      <c r="O617" s="6"/>
      <c r="P617" s="6"/>
      <c r="Q617" s="6"/>
      <c r="R617" s="6"/>
      <c r="T617" s="7"/>
      <c r="AA617"/>
      <c r="AB617"/>
      <c r="AC617"/>
      <c r="AD617"/>
      <c r="AE617"/>
      <c r="AF617" s="17"/>
      <c r="AG617" s="17"/>
      <c r="AH617" s="17"/>
      <c r="AI617" s="17"/>
      <c r="AJ617" s="17"/>
      <c r="AK617" s="17"/>
      <c r="AL617" s="17"/>
      <c r="AM617" s="17"/>
      <c r="AN617" s="17"/>
      <c r="AO617" s="1"/>
      <c r="AP617" s="1"/>
      <c r="AQ617" s="1"/>
      <c r="AS617"/>
      <c r="AT617"/>
      <c r="AU617"/>
      <c r="AV617"/>
      <c r="AW617"/>
      <c r="AX617"/>
      <c r="AY617"/>
      <c r="AZ617"/>
      <c r="BA617"/>
      <c r="BB617"/>
      <c r="BC617"/>
      <c r="BD617"/>
    </row>
    <row r="618" spans="3:56" x14ac:dyDescent="0.25">
      <c r="C618"/>
      <c r="D618" s="7"/>
      <c r="E618" s="7"/>
      <c r="F618" s="7"/>
      <c r="G618" s="7"/>
      <c r="H618" s="7"/>
      <c r="J618" s="7"/>
      <c r="O618" s="6"/>
      <c r="P618" s="6"/>
      <c r="Q618" s="6"/>
      <c r="R618" s="6"/>
      <c r="T618" s="7"/>
      <c r="AA618"/>
      <c r="AB618"/>
      <c r="AC618"/>
      <c r="AD618"/>
      <c r="AE618"/>
      <c r="AF618" s="17"/>
      <c r="AG618" s="17"/>
      <c r="AH618" s="17"/>
      <c r="AI618" s="17"/>
      <c r="AJ618" s="17"/>
      <c r="AK618" s="17"/>
      <c r="AL618" s="17"/>
      <c r="AM618" s="17"/>
      <c r="AN618" s="17"/>
      <c r="AX618"/>
      <c r="AY618"/>
      <c r="AZ618"/>
      <c r="BA618"/>
      <c r="BB618"/>
      <c r="BC618"/>
      <c r="BD618"/>
    </row>
    <row r="619" spans="3:56" x14ac:dyDescent="0.25">
      <c r="C619"/>
      <c r="D619" s="7"/>
      <c r="E619" s="7"/>
      <c r="F619" s="7"/>
      <c r="G619" s="7"/>
      <c r="H619" s="7"/>
      <c r="J619" s="7"/>
      <c r="O619" s="6"/>
      <c r="P619" s="6"/>
      <c r="Q619" s="6"/>
      <c r="R619" s="6"/>
      <c r="T619" s="7"/>
      <c r="AA619"/>
      <c r="AB619"/>
      <c r="AC619"/>
      <c r="AD619"/>
      <c r="AE619"/>
      <c r="AF619" s="17"/>
      <c r="AG619" s="17"/>
      <c r="AH619" s="17"/>
      <c r="AI619" s="17"/>
      <c r="AJ619" s="17"/>
      <c r="AK619" s="17"/>
      <c r="AL619" s="17"/>
      <c r="AM619" s="17"/>
      <c r="AN619" s="17"/>
      <c r="AX619"/>
      <c r="AY619"/>
      <c r="AZ619"/>
      <c r="BA619"/>
      <c r="BB619"/>
      <c r="BC619"/>
      <c r="BD619"/>
    </row>
    <row r="620" spans="3:56" x14ac:dyDescent="0.25">
      <c r="C620"/>
      <c r="D620" s="7"/>
      <c r="E620" s="7"/>
      <c r="F620" s="7"/>
      <c r="G620" s="7"/>
      <c r="H620" s="7"/>
      <c r="J620" s="7"/>
      <c r="O620" s="6"/>
      <c r="P620" s="6"/>
      <c r="Q620" s="6"/>
      <c r="R620" s="6"/>
      <c r="T620" s="7"/>
      <c r="AA620"/>
      <c r="AB620"/>
      <c r="AC620"/>
      <c r="AD620"/>
      <c r="AE620"/>
      <c r="AF620" s="17"/>
      <c r="AG620" s="17"/>
      <c r="AH620" s="17"/>
      <c r="AI620" s="17"/>
      <c r="AJ620" s="17"/>
      <c r="AK620" s="17"/>
      <c r="AL620" s="17"/>
      <c r="AM620" s="17"/>
      <c r="AN620" s="17"/>
      <c r="AX620"/>
      <c r="AY620"/>
      <c r="AZ620"/>
      <c r="BA620"/>
      <c r="BB620"/>
      <c r="BC620"/>
      <c r="BD620"/>
    </row>
    <row r="621" spans="3:56" x14ac:dyDescent="0.25">
      <c r="C621"/>
      <c r="D621" s="7"/>
      <c r="E621" s="7"/>
      <c r="F621" s="7"/>
      <c r="G621" s="7"/>
      <c r="H621" s="7"/>
      <c r="J621" s="7"/>
      <c r="O621" s="6"/>
      <c r="P621" s="6"/>
      <c r="Q621" s="6"/>
      <c r="R621" s="6"/>
      <c r="T621" s="7"/>
      <c r="AA621"/>
      <c r="AB621"/>
      <c r="AC621"/>
      <c r="AD621"/>
      <c r="AE621"/>
      <c r="AF621" s="17"/>
      <c r="AG621" s="17"/>
      <c r="AH621" s="17"/>
      <c r="AI621" s="17"/>
      <c r="AJ621" s="17"/>
      <c r="AK621" s="17"/>
      <c r="AL621" s="17"/>
      <c r="AM621" s="17"/>
      <c r="AN621" s="17"/>
      <c r="AX621"/>
      <c r="AY621"/>
      <c r="AZ621"/>
      <c r="BA621"/>
      <c r="BB621"/>
      <c r="BC621"/>
      <c r="BD621"/>
    </row>
    <row r="622" spans="3:56" x14ac:dyDescent="0.25">
      <c r="C622"/>
      <c r="D622" s="7"/>
      <c r="E622" s="7"/>
      <c r="F622" s="7"/>
      <c r="G622" s="7"/>
      <c r="H622" s="7"/>
      <c r="J622" s="7"/>
      <c r="O622" s="6"/>
      <c r="P622" s="6"/>
      <c r="Q622" s="6"/>
      <c r="R622" s="6"/>
      <c r="T622" s="7"/>
      <c r="AA622"/>
      <c r="AB622"/>
      <c r="AC622"/>
      <c r="AD622"/>
      <c r="AE622"/>
      <c r="AF622" s="17"/>
      <c r="AG622" s="17"/>
      <c r="AH622" s="17"/>
      <c r="AI622" s="17"/>
      <c r="AJ622" s="17"/>
      <c r="AK622" s="17"/>
      <c r="AL622" s="17"/>
      <c r="AM622" s="17"/>
      <c r="AN622" s="17"/>
      <c r="AX622"/>
      <c r="AY622"/>
      <c r="AZ622"/>
      <c r="BA622"/>
      <c r="BB622"/>
      <c r="BC622"/>
      <c r="BD622"/>
    </row>
    <row r="623" spans="3:56" x14ac:dyDescent="0.25">
      <c r="C623"/>
      <c r="D623" s="7"/>
      <c r="E623" s="7"/>
      <c r="F623" s="7"/>
      <c r="G623" s="7"/>
      <c r="H623" s="7"/>
      <c r="J623" s="7"/>
      <c r="O623" s="6"/>
      <c r="P623" s="6"/>
      <c r="Q623" s="6"/>
      <c r="R623" s="6"/>
      <c r="T623" s="7"/>
      <c r="AA623"/>
      <c r="AB623"/>
      <c r="AC623"/>
      <c r="AD623"/>
      <c r="AE623"/>
      <c r="AF623" s="17"/>
      <c r="AG623" s="17"/>
      <c r="AH623" s="17"/>
      <c r="AI623" s="17"/>
      <c r="AJ623" s="17"/>
      <c r="AK623" s="17"/>
      <c r="AL623" s="17"/>
      <c r="AM623" s="17"/>
      <c r="AN623" s="17"/>
      <c r="AX623"/>
      <c r="AY623"/>
      <c r="AZ623"/>
      <c r="BA623"/>
      <c r="BB623"/>
      <c r="BC623"/>
      <c r="BD623"/>
    </row>
    <row r="624" spans="3:56" x14ac:dyDescent="0.25">
      <c r="C624"/>
      <c r="D624" s="7"/>
      <c r="E624" s="7"/>
      <c r="F624" s="7"/>
      <c r="G624" s="7"/>
      <c r="H624" s="7"/>
      <c r="J624" s="7"/>
      <c r="O624" s="6"/>
      <c r="P624" s="6"/>
      <c r="Q624" s="6"/>
      <c r="R624" s="6"/>
      <c r="T624" s="7"/>
      <c r="AA624"/>
      <c r="AB624"/>
      <c r="AC624"/>
      <c r="AD624"/>
      <c r="AE624"/>
      <c r="AF624" s="17"/>
      <c r="AG624" s="17"/>
      <c r="AH624" s="17"/>
      <c r="AI624" s="17"/>
      <c r="AJ624" s="17"/>
      <c r="AK624" s="17"/>
      <c r="AL624" s="17"/>
      <c r="AM624" s="17"/>
      <c r="AN624" s="17"/>
      <c r="AX624"/>
      <c r="AY624"/>
      <c r="AZ624"/>
      <c r="BA624"/>
      <c r="BB624"/>
      <c r="BC624"/>
      <c r="BD624"/>
    </row>
    <row r="625" spans="3:56" x14ac:dyDescent="0.25">
      <c r="C625"/>
      <c r="D625" s="7"/>
      <c r="E625" s="7"/>
      <c r="F625" s="7"/>
      <c r="G625" s="7"/>
      <c r="H625" s="7"/>
      <c r="J625" s="7"/>
      <c r="O625" s="6"/>
      <c r="P625" s="6"/>
      <c r="Q625" s="6"/>
      <c r="R625" s="6"/>
      <c r="T625" s="7"/>
      <c r="AA625"/>
      <c r="AB625"/>
      <c r="AC625"/>
      <c r="AD625"/>
      <c r="AE625"/>
      <c r="AF625" s="17"/>
      <c r="AG625" s="17"/>
      <c r="AH625" s="17"/>
      <c r="AI625" s="17"/>
      <c r="AJ625" s="17"/>
      <c r="AK625" s="17"/>
      <c r="AL625" s="17"/>
      <c r="AM625" s="17"/>
      <c r="AN625" s="17"/>
      <c r="AX625"/>
      <c r="AY625"/>
      <c r="AZ625"/>
      <c r="BA625"/>
      <c r="BB625"/>
      <c r="BC625"/>
      <c r="BD625"/>
    </row>
    <row r="626" spans="3:56" x14ac:dyDescent="0.25">
      <c r="C626"/>
      <c r="D626" s="7"/>
      <c r="E626" s="7"/>
      <c r="F626" s="7"/>
      <c r="G626" s="7"/>
      <c r="H626" s="7"/>
      <c r="J626" s="7"/>
      <c r="O626" s="6"/>
      <c r="P626" s="6"/>
      <c r="Q626" s="6"/>
      <c r="R626" s="6"/>
      <c r="T626" s="7"/>
      <c r="AA626"/>
      <c r="AB626"/>
      <c r="AC626"/>
      <c r="AD626"/>
      <c r="AE626"/>
      <c r="AF626" s="17"/>
      <c r="AG626" s="17"/>
      <c r="AH626" s="17"/>
      <c r="AI626" s="17"/>
      <c r="AJ626" s="17"/>
      <c r="AK626" s="17"/>
      <c r="AL626" s="17"/>
      <c r="AM626" s="17"/>
      <c r="AN626" s="17"/>
      <c r="AX626"/>
      <c r="AY626"/>
      <c r="AZ626"/>
      <c r="BA626"/>
      <c r="BB626"/>
      <c r="BC626"/>
      <c r="BD626"/>
    </row>
    <row r="627" spans="3:56" x14ac:dyDescent="0.25">
      <c r="C627"/>
      <c r="D627" s="7"/>
      <c r="E627" s="7"/>
      <c r="F627" s="7"/>
      <c r="G627" s="7"/>
      <c r="H627" s="7"/>
      <c r="J627" s="7"/>
      <c r="O627" s="6"/>
      <c r="P627" s="6"/>
      <c r="Q627" s="6"/>
      <c r="R627" s="6"/>
      <c r="T627" s="7"/>
      <c r="AA627"/>
      <c r="AB627"/>
      <c r="AC627"/>
      <c r="AD627"/>
      <c r="AE627"/>
      <c r="AF627" s="17"/>
      <c r="AG627" s="17"/>
      <c r="AH627" s="17"/>
      <c r="AI627" s="17"/>
      <c r="AJ627" s="17"/>
      <c r="AK627" s="17"/>
      <c r="AL627" s="17"/>
      <c r="AM627" s="17"/>
      <c r="AN627" s="17"/>
      <c r="AX627"/>
      <c r="AY627"/>
      <c r="AZ627"/>
      <c r="BA627"/>
      <c r="BB627"/>
      <c r="BC627"/>
      <c r="BD627"/>
    </row>
    <row r="628" spans="3:56" x14ac:dyDescent="0.25">
      <c r="C628"/>
      <c r="D628" s="7"/>
      <c r="E628" s="7"/>
      <c r="F628" s="7"/>
      <c r="G628" s="7"/>
      <c r="H628" s="7"/>
      <c r="J628" s="7"/>
      <c r="O628" s="6"/>
      <c r="P628" s="6"/>
      <c r="Q628" s="6"/>
      <c r="R628" s="6"/>
      <c r="T628" s="7"/>
      <c r="AA628"/>
      <c r="AB628"/>
      <c r="AC628"/>
      <c r="AD628"/>
      <c r="AE628"/>
      <c r="AF628" s="17"/>
      <c r="AG628" s="17"/>
      <c r="AH628" s="17"/>
      <c r="AI628" s="17"/>
      <c r="AJ628" s="17"/>
      <c r="AK628" s="17"/>
      <c r="AL628" s="17"/>
      <c r="AM628" s="17"/>
      <c r="AN628" s="17"/>
      <c r="AX628"/>
      <c r="AY628"/>
      <c r="AZ628"/>
      <c r="BA628"/>
      <c r="BB628"/>
      <c r="BC628"/>
      <c r="BD628"/>
    </row>
    <row r="629" spans="3:56" x14ac:dyDescent="0.25">
      <c r="C629"/>
      <c r="D629" s="7"/>
      <c r="E629" s="7"/>
      <c r="F629" s="7"/>
      <c r="G629" s="7"/>
      <c r="H629" s="7"/>
      <c r="J629" s="7"/>
      <c r="O629" s="6"/>
      <c r="P629" s="6"/>
      <c r="Q629" s="6"/>
      <c r="R629" s="6"/>
      <c r="T629" s="7"/>
      <c r="AA629"/>
      <c r="AB629"/>
      <c r="AC629"/>
      <c r="AD629"/>
      <c r="AE629"/>
      <c r="AF629" s="17"/>
      <c r="AG629" s="17"/>
      <c r="AH629" s="17"/>
      <c r="AI629" s="17"/>
      <c r="AJ629" s="17"/>
      <c r="AK629" s="17"/>
      <c r="AL629" s="17"/>
      <c r="AM629" s="17"/>
      <c r="AN629" s="17"/>
      <c r="AX629"/>
      <c r="AY629"/>
      <c r="AZ629"/>
      <c r="BA629"/>
      <c r="BB629"/>
      <c r="BC629"/>
      <c r="BD629"/>
    </row>
    <row r="630" spans="3:56" x14ac:dyDescent="0.25">
      <c r="C630"/>
      <c r="D630" s="7"/>
      <c r="E630" s="7"/>
      <c r="F630" s="7"/>
      <c r="G630" s="7"/>
      <c r="H630" s="7"/>
      <c r="J630" s="7"/>
      <c r="O630" s="6"/>
      <c r="P630" s="6"/>
      <c r="Q630" s="6"/>
      <c r="R630" s="6"/>
      <c r="T630" s="7"/>
      <c r="AA630"/>
      <c r="AB630"/>
      <c r="AC630"/>
      <c r="AD630"/>
      <c r="AE630"/>
      <c r="AF630" s="17"/>
      <c r="AG630" s="17"/>
      <c r="AH630" s="17"/>
      <c r="AI630" s="17"/>
      <c r="AJ630" s="17"/>
      <c r="AK630" s="17"/>
      <c r="AL630" s="17"/>
      <c r="AM630" s="17"/>
      <c r="AN630" s="17"/>
      <c r="AX630"/>
      <c r="AY630"/>
      <c r="AZ630"/>
      <c r="BA630"/>
      <c r="BB630"/>
      <c r="BC630"/>
      <c r="BD630"/>
    </row>
    <row r="631" spans="3:56" x14ac:dyDescent="0.25">
      <c r="C631"/>
      <c r="D631" s="7"/>
      <c r="E631" s="7"/>
      <c r="F631" s="7"/>
      <c r="G631" s="7"/>
      <c r="H631" s="7"/>
      <c r="J631" s="7"/>
      <c r="O631" s="6"/>
      <c r="P631" s="6"/>
      <c r="Q631" s="6"/>
      <c r="R631" s="6"/>
      <c r="T631" s="7"/>
      <c r="AA631"/>
      <c r="AB631"/>
      <c r="AC631"/>
      <c r="AD631"/>
      <c r="AE631"/>
      <c r="AF631" s="17"/>
      <c r="AG631" s="17"/>
      <c r="AH631" s="17"/>
      <c r="AI631" s="17"/>
      <c r="AJ631" s="17"/>
      <c r="AK631" s="17"/>
      <c r="AL631" s="17"/>
      <c r="AM631" s="17"/>
      <c r="AN631" s="17"/>
      <c r="AX631"/>
      <c r="AY631"/>
      <c r="AZ631"/>
      <c r="BA631"/>
      <c r="BB631"/>
      <c r="BC631"/>
      <c r="BD631"/>
    </row>
    <row r="632" spans="3:56" x14ac:dyDescent="0.25">
      <c r="C632"/>
      <c r="D632" s="7"/>
      <c r="E632" s="7"/>
      <c r="F632" s="7"/>
      <c r="G632" s="7"/>
      <c r="H632" s="7"/>
      <c r="J632" s="7"/>
      <c r="O632" s="6"/>
      <c r="P632" s="6"/>
      <c r="Q632" s="6"/>
      <c r="R632" s="6"/>
      <c r="T632" s="7"/>
      <c r="AA632"/>
      <c r="AB632"/>
      <c r="AC632"/>
      <c r="AD632"/>
      <c r="AE632"/>
      <c r="AF632" s="17"/>
      <c r="AG632" s="17"/>
      <c r="AH632" s="17"/>
      <c r="AI632" s="17"/>
      <c r="AJ632" s="17"/>
      <c r="AK632" s="17"/>
      <c r="AL632" s="17"/>
      <c r="AM632" s="17"/>
      <c r="AN632" s="17"/>
      <c r="AX632"/>
      <c r="AY632"/>
      <c r="AZ632"/>
      <c r="BA632"/>
      <c r="BB632"/>
      <c r="BC632"/>
      <c r="BD632"/>
    </row>
    <row r="633" spans="3:56" x14ac:dyDescent="0.25">
      <c r="T633" s="7"/>
      <c r="U633" s="7"/>
      <c r="V633" s="7"/>
      <c r="W633" s="7"/>
      <c r="X633"/>
    </row>
    <row r="634" spans="3:56" x14ac:dyDescent="0.25">
      <c r="T634" s="7"/>
      <c r="U634" s="7"/>
      <c r="V634" s="7"/>
      <c r="W634" s="7"/>
      <c r="X634"/>
    </row>
    <row r="635" spans="3:56" x14ac:dyDescent="0.25">
      <c r="T635" s="7"/>
      <c r="U635" s="7"/>
      <c r="V635" s="7"/>
      <c r="W635" s="7"/>
      <c r="X635"/>
    </row>
    <row r="636" spans="3:56" x14ac:dyDescent="0.25">
      <c r="T636" s="7"/>
      <c r="U636" s="7"/>
      <c r="V636" s="7"/>
      <c r="W636" s="7"/>
      <c r="X636"/>
    </row>
    <row r="637" spans="3:56" x14ac:dyDescent="0.25">
      <c r="T637" s="7"/>
      <c r="U637" s="7"/>
      <c r="V637" s="7"/>
      <c r="W637" s="7"/>
      <c r="X637"/>
    </row>
    <row r="638" spans="3:56" x14ac:dyDescent="0.25">
      <c r="T638" s="7"/>
      <c r="U638" s="7"/>
      <c r="V638" s="7"/>
      <c r="W638" s="7"/>
      <c r="X638"/>
    </row>
    <row r="639" spans="3:56" x14ac:dyDescent="0.25">
      <c r="T639" s="7"/>
      <c r="U639" s="7"/>
      <c r="V639" s="7"/>
      <c r="W639" s="7"/>
      <c r="X639"/>
    </row>
    <row r="640" spans="3:56" x14ac:dyDescent="0.25">
      <c r="T640" s="7"/>
      <c r="U640" s="7"/>
      <c r="V640" s="7"/>
      <c r="W640" s="7"/>
      <c r="X640"/>
    </row>
    <row r="641" spans="20:24" x14ac:dyDescent="0.25">
      <c r="T641" s="7"/>
      <c r="U641" s="7"/>
      <c r="V641" s="7"/>
      <c r="W641" s="7"/>
      <c r="X641"/>
    </row>
    <row r="642" spans="20:24" x14ac:dyDescent="0.25">
      <c r="T642" s="7"/>
      <c r="U642" s="7"/>
      <c r="V642" s="7"/>
      <c r="W642" s="7"/>
      <c r="X642"/>
    </row>
    <row r="643" spans="20:24" x14ac:dyDescent="0.25">
      <c r="T643" s="7"/>
      <c r="U643" s="7"/>
      <c r="V643" s="7"/>
      <c r="W643" s="7"/>
      <c r="X643"/>
    </row>
    <row r="644" spans="20:24" x14ac:dyDescent="0.25">
      <c r="T644" s="7"/>
      <c r="U644" s="7"/>
      <c r="V644" s="7"/>
      <c r="W644" s="7"/>
      <c r="X644"/>
    </row>
    <row r="645" spans="20:24" x14ac:dyDescent="0.25">
      <c r="T645" s="7"/>
      <c r="U645" s="7"/>
      <c r="V645" s="7"/>
      <c r="W645" s="7"/>
      <c r="X645"/>
    </row>
    <row r="646" spans="20:24" x14ac:dyDescent="0.25">
      <c r="T646" s="7"/>
      <c r="U646" s="7"/>
      <c r="V646" s="7"/>
      <c r="W646" s="7"/>
      <c r="X646"/>
    </row>
    <row r="647" spans="20:24" x14ac:dyDescent="0.25">
      <c r="T647" s="7"/>
      <c r="U647" s="7"/>
      <c r="V647" s="7"/>
      <c r="W647" s="7"/>
      <c r="X647"/>
    </row>
    <row r="648" spans="20:24" x14ac:dyDescent="0.25">
      <c r="T648" s="7"/>
      <c r="U648" s="7"/>
      <c r="V648" s="7"/>
      <c r="W648" s="7"/>
      <c r="X648"/>
    </row>
    <row r="649" spans="20:24" x14ac:dyDescent="0.25">
      <c r="T649" s="7"/>
      <c r="U649" s="7"/>
      <c r="V649" s="7"/>
      <c r="W649" s="7"/>
      <c r="X649"/>
    </row>
    <row r="650" spans="20:24" x14ac:dyDescent="0.25">
      <c r="T650" s="7"/>
      <c r="U650" s="7"/>
      <c r="V650" s="7"/>
      <c r="W650" s="7"/>
      <c r="X650"/>
    </row>
    <row r="651" spans="20:24" x14ac:dyDescent="0.25">
      <c r="T651" s="7"/>
      <c r="U651" s="7"/>
      <c r="V651" s="7"/>
      <c r="W651" s="7"/>
      <c r="X651"/>
    </row>
    <row r="652" spans="20:24" x14ac:dyDescent="0.25">
      <c r="T652" s="7"/>
      <c r="U652" s="7"/>
      <c r="V652" s="7"/>
      <c r="W652" s="7"/>
      <c r="X652"/>
    </row>
    <row r="653" spans="20:24" x14ac:dyDescent="0.25">
      <c r="T653" s="7"/>
      <c r="U653" s="7"/>
      <c r="V653" s="7"/>
      <c r="W653" s="7"/>
      <c r="X653"/>
    </row>
    <row r="654" spans="20:24" x14ac:dyDescent="0.25">
      <c r="T654" s="7"/>
      <c r="U654" s="7"/>
      <c r="V654" s="7"/>
      <c r="W654" s="7"/>
      <c r="X654"/>
    </row>
    <row r="655" spans="20:24" x14ac:dyDescent="0.25">
      <c r="T655" s="7"/>
      <c r="U655" s="7"/>
      <c r="V655" s="7"/>
      <c r="W655" s="7"/>
      <c r="X655"/>
    </row>
    <row r="656" spans="20:24" x14ac:dyDescent="0.25">
      <c r="T656" s="7"/>
      <c r="U656" s="7"/>
      <c r="V656" s="7"/>
      <c r="W656" s="7"/>
      <c r="X656"/>
    </row>
    <row r="657" spans="20:24" x14ac:dyDescent="0.25">
      <c r="T657" s="7"/>
      <c r="U657" s="7"/>
      <c r="V657" s="7"/>
      <c r="W657" s="7"/>
      <c r="X657"/>
    </row>
    <row r="658" spans="20:24" x14ac:dyDescent="0.25">
      <c r="T658" s="7"/>
      <c r="U658" s="7"/>
      <c r="V658" s="7"/>
      <c r="W658" s="7"/>
      <c r="X658"/>
    </row>
    <row r="659" spans="20:24" x14ac:dyDescent="0.25">
      <c r="T659" s="7"/>
      <c r="U659" s="7"/>
      <c r="V659" s="7"/>
      <c r="W659" s="7"/>
      <c r="X659"/>
    </row>
    <row r="660" spans="20:24" x14ac:dyDescent="0.25">
      <c r="T660" s="7"/>
      <c r="U660" s="7"/>
      <c r="V660" s="7"/>
      <c r="W660" s="7"/>
      <c r="X660"/>
    </row>
    <row r="661" spans="20:24" x14ac:dyDescent="0.25">
      <c r="T661" s="7"/>
      <c r="U661" s="7"/>
      <c r="V661" s="7"/>
      <c r="W661" s="7"/>
      <c r="X661"/>
    </row>
    <row r="662" spans="20:24" x14ac:dyDescent="0.25">
      <c r="T662" s="7"/>
      <c r="U662" s="7"/>
      <c r="V662" s="7"/>
      <c r="W662" s="7"/>
      <c r="X662"/>
    </row>
    <row r="663" spans="20:24" x14ac:dyDescent="0.25">
      <c r="T663" s="7"/>
      <c r="U663" s="7"/>
      <c r="V663" s="7"/>
      <c r="W663" s="7"/>
      <c r="X663"/>
    </row>
    <row r="664" spans="20:24" x14ac:dyDescent="0.25">
      <c r="T664" s="7"/>
      <c r="U664" s="7"/>
      <c r="V664" s="7"/>
      <c r="W664" s="7"/>
      <c r="X664"/>
    </row>
    <row r="665" spans="20:24" x14ac:dyDescent="0.25">
      <c r="T665" s="7"/>
      <c r="U665" s="7"/>
      <c r="V665" s="7"/>
      <c r="W665" s="7"/>
      <c r="X665"/>
    </row>
    <row r="666" spans="20:24" x14ac:dyDescent="0.25">
      <c r="T666" s="7"/>
      <c r="U666" s="7"/>
      <c r="V666" s="7"/>
      <c r="W666" s="7"/>
      <c r="X666"/>
    </row>
    <row r="667" spans="20:24" x14ac:dyDescent="0.25">
      <c r="T667" s="7"/>
      <c r="U667" s="7"/>
      <c r="V667" s="7"/>
      <c r="W667" s="7"/>
      <c r="X667"/>
    </row>
    <row r="668" spans="20:24" x14ac:dyDescent="0.25">
      <c r="T668" s="7"/>
      <c r="U668" s="7"/>
      <c r="V668" s="7"/>
      <c r="W668" s="7"/>
      <c r="X668"/>
    </row>
    <row r="669" spans="20:24" x14ac:dyDescent="0.25">
      <c r="T669" s="7"/>
      <c r="U669" s="7"/>
      <c r="V669" s="7"/>
      <c r="W669" s="7"/>
      <c r="X669"/>
    </row>
    <row r="670" spans="20:24" x14ac:dyDescent="0.25">
      <c r="T670" s="7"/>
      <c r="U670" s="7"/>
      <c r="V670" s="7"/>
      <c r="W670" s="7"/>
      <c r="X670"/>
    </row>
    <row r="671" spans="20:24" x14ac:dyDescent="0.25">
      <c r="T671" s="7"/>
      <c r="U671" s="7"/>
      <c r="V671" s="7"/>
      <c r="W671" s="7"/>
      <c r="X671"/>
    </row>
    <row r="672" spans="20:24" x14ac:dyDescent="0.25">
      <c r="T672" s="7"/>
      <c r="U672" s="7"/>
      <c r="V672" s="7"/>
      <c r="W672" s="7"/>
      <c r="X672"/>
    </row>
    <row r="673" spans="20:24" x14ac:dyDescent="0.25">
      <c r="T673" s="7"/>
      <c r="U673" s="7"/>
      <c r="V673" s="7"/>
      <c r="W673" s="7"/>
      <c r="X673"/>
    </row>
    <row r="674" spans="20:24" x14ac:dyDescent="0.25">
      <c r="T674" s="7"/>
      <c r="U674" s="7"/>
      <c r="V674" s="7"/>
      <c r="W674" s="7"/>
      <c r="X674"/>
    </row>
    <row r="675" spans="20:24" x14ac:dyDescent="0.25">
      <c r="T675" s="7"/>
      <c r="U675" s="7"/>
      <c r="V675" s="7"/>
      <c r="W675" s="7"/>
      <c r="X675"/>
    </row>
    <row r="676" spans="20:24" x14ac:dyDescent="0.25">
      <c r="T676" s="7"/>
      <c r="U676" s="7"/>
      <c r="V676" s="7"/>
      <c r="W676" s="7"/>
      <c r="X676"/>
    </row>
    <row r="677" spans="20:24" x14ac:dyDescent="0.25">
      <c r="T677" s="7"/>
      <c r="U677" s="7"/>
      <c r="V677" s="7"/>
      <c r="W677" s="7"/>
      <c r="X677"/>
    </row>
    <row r="678" spans="20:24" x14ac:dyDescent="0.25">
      <c r="T678" s="7"/>
      <c r="U678" s="7"/>
      <c r="V678" s="7"/>
      <c r="W678" s="7"/>
      <c r="X678"/>
    </row>
    <row r="679" spans="20:24" x14ac:dyDescent="0.25">
      <c r="T679" s="7"/>
      <c r="U679" s="7"/>
      <c r="V679" s="7"/>
      <c r="W679" s="7"/>
      <c r="X679"/>
    </row>
    <row r="680" spans="20:24" x14ac:dyDescent="0.25">
      <c r="T680" s="7"/>
      <c r="U680" s="7"/>
      <c r="V680" s="7"/>
      <c r="W680" s="7"/>
      <c r="X680"/>
    </row>
    <row r="681" spans="20:24" x14ac:dyDescent="0.25">
      <c r="T681" s="7"/>
      <c r="U681" s="7"/>
      <c r="V681" s="7"/>
      <c r="W681" s="7"/>
      <c r="X681"/>
    </row>
    <row r="682" spans="20:24" x14ac:dyDescent="0.25">
      <c r="T682" s="7"/>
      <c r="U682" s="7"/>
      <c r="V682" s="7"/>
      <c r="W682" s="7"/>
      <c r="X682"/>
    </row>
    <row r="683" spans="20:24" x14ac:dyDescent="0.25">
      <c r="T683" s="7"/>
      <c r="U683" s="7"/>
      <c r="V683" s="7"/>
      <c r="W683" s="7"/>
      <c r="X683"/>
    </row>
    <row r="684" spans="20:24" x14ac:dyDescent="0.25">
      <c r="T684" s="7"/>
      <c r="U684" s="7"/>
      <c r="V684" s="7"/>
      <c r="W684" s="7"/>
      <c r="X684"/>
    </row>
    <row r="685" spans="20:24" x14ac:dyDescent="0.25">
      <c r="T685" s="7"/>
      <c r="U685" s="7"/>
      <c r="V685" s="7"/>
      <c r="W685" s="7"/>
      <c r="X685"/>
    </row>
    <row r="686" spans="20:24" x14ac:dyDescent="0.25">
      <c r="T686" s="7"/>
      <c r="U686" s="7"/>
      <c r="V686" s="7"/>
      <c r="W686" s="7"/>
      <c r="X686"/>
    </row>
    <row r="687" spans="20:24" x14ac:dyDescent="0.25">
      <c r="T687" s="7"/>
      <c r="U687" s="7"/>
      <c r="V687" s="7"/>
      <c r="W687" s="7"/>
      <c r="X687"/>
    </row>
    <row r="688" spans="20:24" x14ac:dyDescent="0.25">
      <c r="T688" s="7"/>
      <c r="U688" s="7"/>
      <c r="V688" s="7"/>
      <c r="W688" s="7"/>
      <c r="X688"/>
    </row>
    <row r="689" spans="20:24" x14ac:dyDescent="0.25">
      <c r="T689" s="7"/>
      <c r="U689" s="7"/>
      <c r="V689" s="7"/>
      <c r="W689" s="7"/>
      <c r="X689"/>
    </row>
    <row r="690" spans="20:24" x14ac:dyDescent="0.25">
      <c r="T690" s="7"/>
      <c r="U690" s="7"/>
      <c r="V690" s="7"/>
      <c r="W690" s="7"/>
      <c r="X690"/>
    </row>
    <row r="691" spans="20:24" x14ac:dyDescent="0.25">
      <c r="T691" s="7"/>
      <c r="U691" s="7"/>
      <c r="V691" s="7"/>
      <c r="W691" s="7"/>
      <c r="X691"/>
    </row>
    <row r="692" spans="20:24" x14ac:dyDescent="0.25">
      <c r="T692" s="7"/>
      <c r="U692" s="7"/>
      <c r="V692" s="7"/>
      <c r="W692" s="7"/>
      <c r="X692"/>
    </row>
    <row r="693" spans="20:24" x14ac:dyDescent="0.25">
      <c r="T693" s="7"/>
      <c r="U693" s="7"/>
      <c r="V693" s="7"/>
      <c r="W693" s="7"/>
      <c r="X693"/>
    </row>
    <row r="694" spans="20:24" x14ac:dyDescent="0.25">
      <c r="T694" s="7"/>
      <c r="U694" s="7"/>
      <c r="V694" s="7"/>
      <c r="W694" s="7"/>
      <c r="X694"/>
    </row>
    <row r="695" spans="20:24" x14ac:dyDescent="0.25">
      <c r="T695" s="7"/>
      <c r="U695" s="7"/>
      <c r="V695" s="7"/>
      <c r="W695" s="7"/>
      <c r="X695"/>
    </row>
    <row r="696" spans="20:24" x14ac:dyDescent="0.25">
      <c r="T696" s="7"/>
      <c r="U696" s="7"/>
      <c r="V696" s="7"/>
      <c r="W696" s="7"/>
      <c r="X696"/>
    </row>
    <row r="697" spans="20:24" x14ac:dyDescent="0.25">
      <c r="T697" s="7"/>
      <c r="U697" s="7"/>
      <c r="V697" s="7"/>
      <c r="W697" s="7"/>
      <c r="X697"/>
    </row>
    <row r="698" spans="20:24" x14ac:dyDescent="0.25">
      <c r="T698" s="7"/>
      <c r="U698" s="7"/>
      <c r="V698" s="7"/>
      <c r="W698" s="7"/>
      <c r="X698"/>
    </row>
    <row r="699" spans="20:24" x14ac:dyDescent="0.25">
      <c r="T699" s="7"/>
      <c r="U699" s="7"/>
      <c r="V699" s="7"/>
      <c r="W699" s="7"/>
      <c r="X699"/>
    </row>
    <row r="700" spans="20:24" x14ac:dyDescent="0.25">
      <c r="T700" s="7"/>
      <c r="U700" s="7"/>
      <c r="V700" s="7"/>
      <c r="W700" s="7"/>
      <c r="X700"/>
    </row>
    <row r="701" spans="20:24" x14ac:dyDescent="0.25">
      <c r="T701" s="7"/>
      <c r="U701" s="7"/>
      <c r="V701" s="7"/>
      <c r="W701" s="7"/>
      <c r="X701"/>
    </row>
    <row r="702" spans="20:24" x14ac:dyDescent="0.25">
      <c r="T702" s="7"/>
      <c r="U702" s="7"/>
      <c r="V702" s="7"/>
      <c r="W702" s="7"/>
      <c r="X702"/>
    </row>
    <row r="703" spans="20:24" x14ac:dyDescent="0.25">
      <c r="T703" s="7"/>
      <c r="U703" s="7"/>
      <c r="V703" s="7"/>
      <c r="W703" s="7"/>
      <c r="X703"/>
    </row>
    <row r="704" spans="20:24" x14ac:dyDescent="0.25">
      <c r="T704" s="7"/>
      <c r="U704" s="7"/>
      <c r="V704" s="7"/>
      <c r="W704" s="7"/>
      <c r="X704"/>
    </row>
    <row r="705" spans="20:24" x14ac:dyDescent="0.25">
      <c r="T705" s="7"/>
      <c r="U705" s="7"/>
      <c r="V705" s="7"/>
      <c r="W705" s="7"/>
      <c r="X705"/>
    </row>
    <row r="706" spans="20:24" x14ac:dyDescent="0.25">
      <c r="T706" s="7"/>
      <c r="U706" s="7"/>
      <c r="V706" s="7"/>
      <c r="W706" s="7"/>
      <c r="X706"/>
    </row>
    <row r="707" spans="20:24" x14ac:dyDescent="0.25">
      <c r="T707" s="7"/>
      <c r="U707" s="7"/>
      <c r="V707" s="7"/>
      <c r="W707" s="7"/>
      <c r="X707"/>
    </row>
    <row r="708" spans="20:24" x14ac:dyDescent="0.25">
      <c r="T708" s="7"/>
      <c r="U708" s="7"/>
      <c r="V708" s="7"/>
      <c r="W708" s="7"/>
      <c r="X708"/>
    </row>
    <row r="709" spans="20:24" x14ac:dyDescent="0.25">
      <c r="T709" s="7"/>
      <c r="U709" s="7"/>
      <c r="V709" s="7"/>
      <c r="W709" s="7"/>
      <c r="X709"/>
    </row>
    <row r="710" spans="20:24" x14ac:dyDescent="0.25">
      <c r="T710" s="7"/>
      <c r="U710" s="7"/>
      <c r="V710" s="7"/>
      <c r="W710" s="7"/>
      <c r="X710"/>
    </row>
    <row r="711" spans="20:24" x14ac:dyDescent="0.25">
      <c r="T711" s="7"/>
      <c r="U711" s="7"/>
      <c r="V711" s="7"/>
      <c r="W711" s="7"/>
      <c r="X711"/>
    </row>
    <row r="712" spans="20:24" x14ac:dyDescent="0.25">
      <c r="T712" s="7"/>
      <c r="U712" s="7"/>
      <c r="V712" s="7"/>
      <c r="W712" s="7"/>
      <c r="X712"/>
    </row>
    <row r="713" spans="20:24" x14ac:dyDescent="0.25">
      <c r="T713" s="7"/>
      <c r="U713" s="7"/>
      <c r="V713" s="7"/>
      <c r="W713" s="7"/>
      <c r="X713"/>
    </row>
    <row r="714" spans="20:24" x14ac:dyDescent="0.25">
      <c r="T714" s="7"/>
      <c r="U714" s="7"/>
      <c r="V714" s="7"/>
      <c r="W714" s="7"/>
      <c r="X714"/>
    </row>
    <row r="715" spans="20:24" x14ac:dyDescent="0.25">
      <c r="T715" s="7"/>
      <c r="U715" s="7"/>
      <c r="V715" s="7"/>
      <c r="W715" s="7"/>
      <c r="X715"/>
    </row>
    <row r="716" spans="20:24" x14ac:dyDescent="0.25">
      <c r="T716" s="7"/>
      <c r="U716" s="7"/>
      <c r="V716" s="7"/>
      <c r="W716" s="7"/>
      <c r="X716"/>
    </row>
    <row r="717" spans="20:24" x14ac:dyDescent="0.25">
      <c r="T717" s="7"/>
      <c r="U717" s="7"/>
      <c r="V717" s="7"/>
      <c r="W717" s="7"/>
      <c r="X717"/>
    </row>
    <row r="718" spans="20:24" x14ac:dyDescent="0.25">
      <c r="T718" s="7"/>
      <c r="U718" s="7"/>
      <c r="V718" s="7"/>
      <c r="W718" s="7"/>
      <c r="X718"/>
    </row>
    <row r="719" spans="20:24" x14ac:dyDescent="0.25">
      <c r="T719" s="7"/>
      <c r="U719" s="7"/>
      <c r="V719" s="7"/>
      <c r="W719" s="7"/>
      <c r="X719"/>
    </row>
    <row r="720" spans="20:24" x14ac:dyDescent="0.25">
      <c r="T720" s="7"/>
      <c r="U720" s="7"/>
      <c r="V720" s="7"/>
      <c r="W720" s="7"/>
      <c r="X720"/>
    </row>
    <row r="721" spans="20:24" x14ac:dyDescent="0.25">
      <c r="T721" s="7"/>
      <c r="U721" s="7"/>
      <c r="V721" s="7"/>
      <c r="W721" s="7"/>
      <c r="X721"/>
    </row>
    <row r="722" spans="20:24" x14ac:dyDescent="0.25">
      <c r="T722" s="7"/>
      <c r="U722" s="7"/>
      <c r="V722" s="7"/>
      <c r="W722" s="7"/>
      <c r="X722"/>
    </row>
    <row r="723" spans="20:24" x14ac:dyDescent="0.25">
      <c r="T723" s="7"/>
      <c r="U723" s="7"/>
      <c r="V723" s="7"/>
      <c r="W723" s="7"/>
      <c r="X723"/>
    </row>
    <row r="724" spans="20:24" x14ac:dyDescent="0.25">
      <c r="T724" s="7"/>
      <c r="U724" s="7"/>
      <c r="V724" s="7"/>
      <c r="W724" s="7"/>
      <c r="X724"/>
    </row>
    <row r="725" spans="20:24" x14ac:dyDescent="0.25">
      <c r="T725" s="7"/>
      <c r="U725" s="7"/>
      <c r="V725" s="7"/>
      <c r="W725" s="7"/>
      <c r="X725"/>
    </row>
    <row r="726" spans="20:24" x14ac:dyDescent="0.25">
      <c r="T726" s="7"/>
      <c r="U726" s="7"/>
      <c r="V726" s="7"/>
      <c r="W726" s="7"/>
      <c r="X726"/>
    </row>
    <row r="727" spans="20:24" x14ac:dyDescent="0.25">
      <c r="T727" s="7"/>
      <c r="U727" s="7"/>
      <c r="V727" s="7"/>
      <c r="W727" s="7"/>
      <c r="X727"/>
    </row>
    <row r="728" spans="20:24" x14ac:dyDescent="0.25">
      <c r="T728" s="7"/>
      <c r="U728" s="7"/>
      <c r="V728" s="7"/>
      <c r="W728" s="7"/>
      <c r="X728"/>
    </row>
    <row r="729" spans="20:24" x14ac:dyDescent="0.25">
      <c r="T729" s="7"/>
      <c r="U729" s="7"/>
      <c r="V729" s="7"/>
      <c r="W729" s="7"/>
      <c r="X729"/>
    </row>
    <row r="730" spans="20:24" x14ac:dyDescent="0.25">
      <c r="T730" s="7"/>
      <c r="U730" s="7"/>
      <c r="V730" s="7"/>
      <c r="W730" s="7"/>
      <c r="X730"/>
    </row>
    <row r="731" spans="20:24" x14ac:dyDescent="0.25">
      <c r="T731" s="7"/>
      <c r="U731" s="7"/>
      <c r="V731" s="7"/>
      <c r="W731" s="7"/>
      <c r="X731"/>
    </row>
    <row r="732" spans="20:24" x14ac:dyDescent="0.25">
      <c r="T732" s="7"/>
      <c r="U732" s="7"/>
      <c r="V732" s="7"/>
      <c r="W732" s="7"/>
      <c r="X732"/>
    </row>
    <row r="733" spans="20:24" x14ac:dyDescent="0.25">
      <c r="T733" s="7"/>
      <c r="U733" s="7"/>
      <c r="V733" s="7"/>
      <c r="W733" s="7"/>
      <c r="X733"/>
    </row>
    <row r="734" spans="20:24" x14ac:dyDescent="0.25">
      <c r="T734" s="7"/>
      <c r="U734" s="7"/>
      <c r="V734" s="7"/>
      <c r="W734" s="7"/>
      <c r="X734"/>
    </row>
    <row r="735" spans="20:24" x14ac:dyDescent="0.25">
      <c r="T735" s="7"/>
      <c r="U735" s="7"/>
      <c r="V735" s="7"/>
      <c r="W735" s="7"/>
      <c r="X735"/>
    </row>
    <row r="736" spans="20:24" x14ac:dyDescent="0.25">
      <c r="T736" s="7"/>
      <c r="U736" s="7"/>
      <c r="V736" s="7"/>
      <c r="W736" s="7"/>
      <c r="X736"/>
    </row>
    <row r="737" spans="20:24" x14ac:dyDescent="0.25">
      <c r="T737" s="7"/>
      <c r="U737" s="7"/>
      <c r="V737" s="7"/>
      <c r="W737" s="7"/>
      <c r="X737"/>
    </row>
    <row r="738" spans="20:24" x14ac:dyDescent="0.25">
      <c r="T738" s="7"/>
      <c r="U738" s="7"/>
      <c r="V738" s="7"/>
      <c r="W738" s="7"/>
      <c r="X738"/>
    </row>
    <row r="739" spans="20:24" x14ac:dyDescent="0.25">
      <c r="T739" s="7"/>
      <c r="U739" s="7"/>
      <c r="V739" s="7"/>
      <c r="W739" s="7"/>
      <c r="X739"/>
    </row>
    <row r="740" spans="20:24" x14ac:dyDescent="0.25">
      <c r="T740" s="7"/>
      <c r="U740" s="7"/>
      <c r="V740" s="7"/>
      <c r="W740" s="7"/>
      <c r="X740"/>
    </row>
    <row r="741" spans="20:24" x14ac:dyDescent="0.25">
      <c r="T741" s="7"/>
      <c r="U741" s="7"/>
      <c r="V741" s="7"/>
      <c r="W741" s="7"/>
      <c r="X741"/>
    </row>
    <row r="742" spans="20:24" x14ac:dyDescent="0.25">
      <c r="T742" s="7"/>
      <c r="U742" s="7"/>
      <c r="V742" s="7"/>
      <c r="W742" s="7"/>
      <c r="X742"/>
    </row>
    <row r="743" spans="20:24" x14ac:dyDescent="0.25">
      <c r="T743" s="7"/>
      <c r="U743" s="7"/>
      <c r="V743" s="7"/>
      <c r="W743" s="7"/>
      <c r="X743"/>
    </row>
    <row r="744" spans="20:24" x14ac:dyDescent="0.25">
      <c r="T744" s="7"/>
      <c r="U744" s="7"/>
      <c r="V744" s="7"/>
      <c r="W744" s="7"/>
      <c r="X744"/>
    </row>
  </sheetData>
  <mergeCells count="2">
    <mergeCell ref="D45:G45"/>
    <mergeCell ref="C9:C10"/>
  </mergeCells>
  <phoneticPr fontId="17" type="noConversion"/>
  <pageMargins left="0.7" right="0.7" top="0.75" bottom="0.75" header="0.3" footer="0.3"/>
  <pageSetup scale="96" orientation="portrait" r:id="rId1"/>
  <colBreaks count="2" manualBreakCount="2">
    <brk id="13" max="78" man="1"/>
    <brk id="19" max="1048575" man="1"/>
  </col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31FE30A-6572-412C-8388-F9D053E313ED}">
          <x14:formula1>
            <xm:f>Use!$S$124:$S$142</xm:f>
          </x14:formula1>
          <xm:sqref>D45:G45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E0437-6F29-499C-9F97-57F4A658C0D4}">
  <sheetPr codeName="Sheet17"/>
  <dimension ref="A1:AG143"/>
  <sheetViews>
    <sheetView showGridLines="0" zoomScale="108" zoomScaleNormal="85" workbookViewId="0">
      <selection activeCell="L31" sqref="L31"/>
    </sheetView>
  </sheetViews>
  <sheetFormatPr defaultRowHeight="15" x14ac:dyDescent="0.25"/>
  <cols>
    <col min="1" max="1" width="2.28515625" customWidth="1"/>
    <col min="2" max="2" width="17" customWidth="1"/>
    <col min="3" max="4" width="10.5703125" style="1" customWidth="1"/>
    <col min="5" max="5" width="9.85546875" style="1" customWidth="1"/>
    <col min="6" max="9" width="9.85546875" customWidth="1"/>
    <col min="10" max="10" width="10.28515625" customWidth="1"/>
    <col min="11" max="11" width="17.42578125" bestFit="1" customWidth="1"/>
    <col min="12" max="12" width="17.5703125" bestFit="1" customWidth="1"/>
    <col min="13" max="13" width="27" bestFit="1" customWidth="1"/>
    <col min="14" max="14" width="16.140625" bestFit="1" customWidth="1"/>
    <col min="15" max="15" width="10" bestFit="1" customWidth="1"/>
    <col min="16" max="16" width="14.85546875" bestFit="1" customWidth="1"/>
    <col min="17" max="17" width="5.140625" bestFit="1" customWidth="1"/>
    <col min="18" max="18" width="16.5703125" bestFit="1" customWidth="1"/>
    <col min="19" max="19" width="5.28515625" bestFit="1" customWidth="1"/>
    <col min="20" max="20" width="21.5703125" style="1" bestFit="1" customWidth="1"/>
    <col min="21" max="24" width="10.140625" bestFit="1" customWidth="1"/>
    <col min="25" max="25" width="5.28515625" bestFit="1" customWidth="1"/>
    <col min="26" max="26" width="3.85546875" style="1" bestFit="1" customWidth="1"/>
    <col min="27" max="27" width="5.28515625" style="15" bestFit="1" customWidth="1"/>
    <col min="28" max="28" width="3.85546875" bestFit="1" customWidth="1"/>
    <col min="29" max="29" width="5.28515625" bestFit="1" customWidth="1"/>
    <col min="30" max="30" width="2.85546875" bestFit="1" customWidth="1"/>
    <col min="31" max="31" width="4.28515625" bestFit="1" customWidth="1"/>
    <col min="32" max="32" width="2.85546875" bestFit="1" customWidth="1"/>
    <col min="33" max="33" width="4.28515625" bestFit="1" customWidth="1"/>
    <col min="34" max="34" width="10.140625" bestFit="1" customWidth="1"/>
    <col min="35" max="35" width="28" bestFit="1" customWidth="1"/>
    <col min="36" max="37" width="3.85546875" bestFit="1" customWidth="1"/>
    <col min="38" max="38" width="2" bestFit="1" customWidth="1"/>
    <col min="39" max="39" width="30.5703125" bestFit="1" customWidth="1"/>
    <col min="40" max="40" width="8.42578125" bestFit="1" customWidth="1"/>
    <col min="41" max="42" width="2.85546875" bestFit="1" customWidth="1"/>
    <col min="43" max="45" width="3.85546875" bestFit="1" customWidth="1"/>
    <col min="46" max="46" width="2.85546875" bestFit="1" customWidth="1"/>
    <col min="47" max="47" width="11" bestFit="1" customWidth="1"/>
    <col min="48" max="48" width="5.7109375" bestFit="1" customWidth="1"/>
  </cols>
  <sheetData>
    <row r="1" spans="1:27" ht="20.65" customHeight="1" x14ac:dyDescent="0.45">
      <c r="A1" s="4" t="s">
        <v>1271</v>
      </c>
      <c r="B1" s="1"/>
    </row>
    <row r="2" spans="1:27" ht="15.75" x14ac:dyDescent="0.25">
      <c r="B2" s="2" t="s">
        <v>75</v>
      </c>
      <c r="C2" s="557" t="s">
        <v>6</v>
      </c>
      <c r="D2" s="557"/>
    </row>
    <row r="3" spans="1:27" x14ac:dyDescent="0.25">
      <c r="B3" s="13" t="s">
        <v>0</v>
      </c>
      <c r="C3" s="24">
        <f>TUDB!B3</f>
        <v>45580</v>
      </c>
    </row>
    <row r="4" spans="1:27" x14ac:dyDescent="0.25">
      <c r="B4" s="550" t="s">
        <v>5967</v>
      </c>
      <c r="C4" s="1" t="s">
        <v>5968</v>
      </c>
    </row>
    <row r="6" spans="1:27" ht="21" customHeight="1" x14ac:dyDescent="0.25">
      <c r="B6" s="21" t="s">
        <v>576</v>
      </c>
      <c r="E6"/>
      <c r="S6" s="1"/>
      <c r="T6"/>
      <c r="Y6" s="1"/>
      <c r="Z6" s="15"/>
      <c r="AA6"/>
    </row>
    <row r="7" spans="1:27" s="7" customFormat="1" x14ac:dyDescent="0.25">
      <c r="B7" s="337" t="s">
        <v>4180</v>
      </c>
      <c r="C7" s="79">
        <f>C10+D10</f>
        <v>1859</v>
      </c>
      <c r="D7" s="338"/>
      <c r="E7" s="339" t="s">
        <v>4181</v>
      </c>
      <c r="F7" s="79">
        <f>COUNTIFS(TU_DB[Fish Barrier],-1)</f>
        <v>460</v>
      </c>
      <c r="G7" s="338"/>
      <c r="S7" s="6"/>
      <c r="Y7" s="6"/>
      <c r="Z7" s="16"/>
    </row>
    <row r="8" spans="1:27" ht="15.75" thickBot="1" x14ac:dyDescent="0.3">
      <c r="E8"/>
      <c r="S8" s="1"/>
      <c r="T8"/>
      <c r="Y8" s="1"/>
      <c r="Z8" s="15"/>
      <c r="AA8"/>
    </row>
    <row r="9" spans="1:27" ht="15.75" thickTop="1" x14ac:dyDescent="0.25">
      <c r="B9" s="112" t="s">
        <v>577</v>
      </c>
      <c r="C9" s="112" t="s">
        <v>132</v>
      </c>
      <c r="D9" s="112" t="s">
        <v>131</v>
      </c>
      <c r="E9" s="334">
        <v>2019</v>
      </c>
      <c r="F9" s="112">
        <v>2020</v>
      </c>
      <c r="G9" s="112">
        <v>2021</v>
      </c>
      <c r="H9" s="112">
        <v>2022</v>
      </c>
      <c r="I9" s="112">
        <v>2023</v>
      </c>
      <c r="J9" s="112">
        <v>2024</v>
      </c>
      <c r="S9" s="1"/>
      <c r="T9"/>
      <c r="Y9" s="1"/>
      <c r="Z9" s="15"/>
      <c r="AA9"/>
    </row>
    <row r="10" spans="1:27" x14ac:dyDescent="0.25">
      <c r="B10" s="79" t="s">
        <v>7</v>
      </c>
      <c r="C10" s="79">
        <f>COUNTIFS(TU_DB[Fish Barrier],1)</f>
        <v>86</v>
      </c>
      <c r="D10" s="79">
        <f>COUNTIFS(TU_DB[Fish Barrier],0)</f>
        <v>1773</v>
      </c>
      <c r="E10" s="336">
        <f>COUNTIFS(TU_DB[[Fish Barrier]:[Fish Barrier]],1,TU_DB[[Year]:[Year]],E$9)</f>
        <v>3</v>
      </c>
      <c r="F10" s="249">
        <f>COUNTIFS(TU_DB[[Fish Barrier]:[Fish Barrier]],1,TU_DB[[Year]:[Year]],F$9)</f>
        <v>1</v>
      </c>
      <c r="G10" s="249">
        <f>COUNTIFS(TU_DB[[Fish Barrier]:[Fish Barrier]],1,TU_DB[[Year]:[Year]],G$9)</f>
        <v>1</v>
      </c>
      <c r="H10" s="249">
        <f>COUNTIFS(TU_DB[[Fish Barrier]:[Fish Barrier]],1,TU_DB[[Year]:[Year]],H$9)</f>
        <v>3</v>
      </c>
      <c r="I10" s="249">
        <f>COUNTIFS(TU_DB[[Fish Barrier]:[Fish Barrier]],1,TU_DB[[Year]:[Year]],I$9)</f>
        <v>48</v>
      </c>
      <c r="J10" s="249">
        <f>COUNTIFS(TU_DB[[Fish Barrier]:[Fish Barrier]],1,TU_DB[[Year]:[Year]],J$9)</f>
        <v>30</v>
      </c>
      <c r="K10" s="79"/>
      <c r="S10" s="1"/>
      <c r="T10"/>
      <c r="Y10" s="1"/>
      <c r="Z10" s="15"/>
      <c r="AA10"/>
    </row>
    <row r="11" spans="1:27" x14ac:dyDescent="0.25">
      <c r="B11" s="79" t="s">
        <v>8</v>
      </c>
      <c r="C11" s="79">
        <f>COUNTIFS(TU_DB[Bank Erosion],1)</f>
        <v>386</v>
      </c>
      <c r="D11" s="79">
        <f>COUNTIFS(TU_DB[Bank Erosion],0)</f>
        <v>1473</v>
      </c>
      <c r="E11" s="102">
        <f>COUNTIFS(TU_DB[[Bank Erosion]:[Bank Erosion]],1,TU_DB[[Year]:[Year]],E$9)</f>
        <v>9</v>
      </c>
      <c r="F11" s="79">
        <f>COUNTIFS(TU_DB[[Bank Erosion]:[Bank Erosion]],1,TU_DB[[Year]:[Year]],F$9)</f>
        <v>24</v>
      </c>
      <c r="G11" s="79">
        <f>COUNTIFS(TU_DB[[Bank Erosion]:[Bank Erosion]],1,TU_DB[[Year]:[Year]],G$9)</f>
        <v>38</v>
      </c>
      <c r="H11" s="79">
        <f>COUNTIFS(TU_DB[[Bank Erosion]:[Bank Erosion]],1,TU_DB[[Year]:[Year]],H$9)</f>
        <v>76</v>
      </c>
      <c r="I11" s="79">
        <f>COUNTIFS(TU_DB[[Bank Erosion]:[Bank Erosion]],1,TU_DB[[Year]:[Year]],I$9)</f>
        <v>146</v>
      </c>
      <c r="J11" s="79">
        <f>COUNTIFS(TU_DB[[Bank Erosion]:[Bank Erosion]],1,TU_DB[[Year]:[Year]],J$9)</f>
        <v>93</v>
      </c>
      <c r="K11" s="79"/>
      <c r="S11" s="1"/>
      <c r="T11"/>
      <c r="Y11" s="1"/>
      <c r="Z11" s="15"/>
      <c r="AA11"/>
    </row>
    <row r="12" spans="1:27" x14ac:dyDescent="0.25">
      <c r="B12" s="79" t="s">
        <v>9</v>
      </c>
      <c r="C12" s="79">
        <f>COUNTIFS(TU_DB[Trash],1)</f>
        <v>135</v>
      </c>
      <c r="D12" s="79">
        <f>COUNTIFS(TU_DB[Trash],0)</f>
        <v>1724</v>
      </c>
      <c r="E12" s="102">
        <f>COUNTIFS(TU_DB[[Trash]:[Trash]],1,TU_DB[[Year]:[Year]],E$9)</f>
        <v>0</v>
      </c>
      <c r="F12" s="79">
        <f>COUNTIFS(TU_DB[[Trash]:[Trash]],1,TU_DB[[Year]:[Year]],F$9)</f>
        <v>3</v>
      </c>
      <c r="G12" s="79">
        <f>COUNTIFS(TU_DB[[Trash]:[Trash]],1,TU_DB[[Year]:[Year]],G$9)</f>
        <v>8</v>
      </c>
      <c r="H12" s="79">
        <f>COUNTIFS(TU_DB[[Trash]:[Trash]],1,TU_DB[[Year]:[Year]],H$9)</f>
        <v>66</v>
      </c>
      <c r="I12" s="79">
        <f>COUNTIFS(TU_DB[[Trash]:[Trash]],1,TU_DB[[Year]:[Year]],I$9)</f>
        <v>37</v>
      </c>
      <c r="J12" s="79">
        <f>COUNTIFS(TU_DB[[Trash]:[Trash]],1,TU_DB[[Year]:[Year]],J$9)</f>
        <v>21</v>
      </c>
      <c r="K12" s="79"/>
      <c r="S12" s="1"/>
      <c r="T12"/>
      <c r="Y12" s="1"/>
      <c r="Z12" s="15"/>
      <c r="AA12"/>
    </row>
    <row r="13" spans="1:27" x14ac:dyDescent="0.25">
      <c r="B13" s="79" t="s">
        <v>355</v>
      </c>
      <c r="C13" s="79">
        <f>COUNTIFS(TU_DB[Pipe/Drain Outflow],1)</f>
        <v>55</v>
      </c>
      <c r="D13" s="79">
        <f>COUNTIFS(TU_DB[Pipe/Drain Outflow],0)</f>
        <v>1804</v>
      </c>
      <c r="E13" s="102">
        <f>COUNTIFS(TU_DB[[Pipe/Drain Outflow]:[Pipe/Drain Outflow]],1,TU_DB[[Year]:[Year]],E$9)</f>
        <v>0</v>
      </c>
      <c r="F13" s="79">
        <f>COUNTIFS(TU_DB[[Pipe/Drain Outflow]:[Pipe/Drain Outflow]],1,TU_DB[[Year]:[Year]],F$9)</f>
        <v>2</v>
      </c>
      <c r="G13" s="79">
        <f>COUNTIFS(TU_DB[[Pipe/Drain Outflow]:[Pipe/Drain Outflow]],1,TU_DB[[Year]:[Year]],G$9)</f>
        <v>7</v>
      </c>
      <c r="H13" s="79">
        <f>COUNTIFS(TU_DB[[Pipe/Drain Outflow]:[Pipe/Drain Outflow]],1,TU_DB[[Year]:[Year]],H$9)</f>
        <v>20</v>
      </c>
      <c r="I13" s="79">
        <f>COUNTIFS(TU_DB[[Pipe/Drain Outflow]:[Pipe/Drain Outflow]],1,TU_DB[[Year]:[Year]],I$9)</f>
        <v>10</v>
      </c>
      <c r="J13" s="79">
        <f>COUNTIFS(TU_DB[[Pipe/Drain Outflow]:[Pipe/Drain Outflow]],1,TU_DB[[Year]:[Year]],J$9)</f>
        <v>16</v>
      </c>
      <c r="K13" s="79"/>
      <c r="S13" s="1"/>
      <c r="T13"/>
      <c r="Y13" s="1"/>
      <c r="Z13" s="15"/>
      <c r="AA13"/>
    </row>
    <row r="14" spans="1:27" x14ac:dyDescent="0.25">
      <c r="B14" s="79" t="s">
        <v>551</v>
      </c>
      <c r="C14" s="79">
        <f>COUNTIFS(TU_DB[Livestock in Water],1)</f>
        <v>61</v>
      </c>
      <c r="D14" s="79">
        <f>COUNTIFS(TU_DB[Livestock in Water],0)</f>
        <v>1798</v>
      </c>
      <c r="E14" s="102">
        <f>COUNTIFS(TU_DB[[Livestock in Water]:[Livestock in Water]],1,TU_DB[[Year]:[Year]],E$9)</f>
        <v>0</v>
      </c>
      <c r="F14" s="79">
        <f>COUNTIFS(TU_DB[[Livestock in Water]:[Livestock in Water]],1,TU_DB[[Year]:[Year]],F$9)</f>
        <v>2</v>
      </c>
      <c r="G14" s="79">
        <f>COUNTIFS(TU_DB[[Livestock in Water]:[Livestock in Water]],1,TU_DB[[Year]:[Year]],G$9)</f>
        <v>4</v>
      </c>
      <c r="H14" s="79">
        <f>COUNTIFS(TU_DB[[Livestock in Water]:[Livestock in Water]],1,TU_DB[[Year]:[Year]],H$9)</f>
        <v>5</v>
      </c>
      <c r="I14" s="79">
        <f>COUNTIFS(TU_DB[[Livestock in Water]:[Livestock in Water]],1,TU_DB[[Year]:[Year]],I$9)</f>
        <v>29</v>
      </c>
      <c r="J14" s="79">
        <f>COUNTIFS(TU_DB[[Livestock in Water]:[Livestock in Water]],1,TU_DB[[Year]:[Year]],J$9)</f>
        <v>21</v>
      </c>
      <c r="K14" s="79"/>
      <c r="S14" s="1"/>
      <c r="T14"/>
      <c r="Y14" s="1"/>
      <c r="Z14" s="15"/>
      <c r="AA14"/>
    </row>
    <row r="15" spans="1:27" ht="15" customHeight="1" x14ac:dyDescent="0.25">
      <c r="B15" s="79" t="s">
        <v>427</v>
      </c>
      <c r="C15" s="79">
        <f>COUNTIFS(TU_DB[Algal Bloom],1)</f>
        <v>16</v>
      </c>
      <c r="D15" s="79">
        <f>COUNTIFS(TU_DB[Algal Bloom],0)</f>
        <v>1843</v>
      </c>
      <c r="E15" s="102">
        <f>COUNTIFS(TU_DB[[Algal Bloom]:[Algal Bloom]],1,TU_DB[[Year]:[Year]],E$9)</f>
        <v>0</v>
      </c>
      <c r="F15" s="79">
        <f>COUNTIFS(TU_DB[[Algal Bloom]:[Algal Bloom]],1,TU_DB[[Year]:[Year]],F$9)</f>
        <v>1</v>
      </c>
      <c r="G15" s="79">
        <f>COUNTIFS(TU_DB[[Algal Bloom]:[Algal Bloom]],1,TU_DB[[Year]:[Year]],G$9)</f>
        <v>1</v>
      </c>
      <c r="H15" s="79">
        <f>COUNTIFS(TU_DB[[Algal Bloom]:[Algal Bloom]],1,TU_DB[[Year]:[Year]],H$9)</f>
        <v>3</v>
      </c>
      <c r="I15" s="79">
        <f>COUNTIFS(TU_DB[[Algal Bloom]:[Algal Bloom]],1,TU_DB[[Year]:[Year]],I$9)</f>
        <v>10</v>
      </c>
      <c r="J15" s="79">
        <f>COUNTIFS(TU_DB[[Algal Bloom]:[Algal Bloom]],1,TU_DB[[Year]:[Year]],J$9)</f>
        <v>1</v>
      </c>
      <c r="K15" s="79"/>
      <c r="S15" s="1"/>
      <c r="T15"/>
      <c r="Y15" s="1"/>
      <c r="Z15" s="15"/>
      <c r="AA15"/>
    </row>
    <row r="16" spans="1:27" x14ac:dyDescent="0.25">
      <c r="B16" s="79" t="s">
        <v>558</v>
      </c>
      <c r="C16" s="79">
        <f>COUNTIFS(TU_DB[Fish Kill],1)</f>
        <v>2</v>
      </c>
      <c r="D16" s="79">
        <f>COUNTIFS(TU_DB[Fish Kill],0)</f>
        <v>1857</v>
      </c>
      <c r="E16" s="102">
        <f>COUNTIFS(TU_DB[[Fish Kill]:[Fish Kill]],1,TU_DB[[Year]:[Year]],E$9)</f>
        <v>0</v>
      </c>
      <c r="F16" s="79">
        <f>COUNTIFS(TU_DB[[Fish Kill]:[Fish Kill]],1,TU_DB[[Year]:[Year]],F$9)</f>
        <v>0</v>
      </c>
      <c r="G16" s="79">
        <f>COUNTIFS(TU_DB[[Fish Kill]:[Fish Kill]],1,TU_DB[[Year]:[Year]],G$9)</f>
        <v>0</v>
      </c>
      <c r="H16" s="79">
        <f>COUNTIFS(TU_DB[[Fish Kill]:[Fish Kill]],1,TU_DB[[Year]:[Year]],H$9)</f>
        <v>1</v>
      </c>
      <c r="I16" s="79">
        <f>COUNTIFS(TU_DB[[Fish Kill]:[Fish Kill]],1,TU_DB[[Year]:[Year]],I$9)</f>
        <v>1</v>
      </c>
      <c r="J16" s="79">
        <f>COUNTIFS(TU_DB[[Fish Kill]:[Fish Kill]],1,TU_DB[[Year]:[Year]],J$9)</f>
        <v>0</v>
      </c>
      <c r="K16" s="79"/>
      <c r="S16" s="1"/>
      <c r="T16"/>
      <c r="Y16" s="1"/>
      <c r="Z16" s="15"/>
      <c r="AA16"/>
    </row>
    <row r="17" spans="1:27" x14ac:dyDescent="0.25">
      <c r="B17" s="393" t="s">
        <v>133</v>
      </c>
      <c r="C17" s="393">
        <f t="shared" ref="C17" si="0">SUM(C10:C16)</f>
        <v>741</v>
      </c>
      <c r="D17" s="393"/>
      <c r="E17" s="393">
        <f>SUM(E10:E16)</f>
        <v>12</v>
      </c>
      <c r="F17" s="393">
        <f t="shared" ref="F17:I17" si="1">SUM(F10:F16)</f>
        <v>33</v>
      </c>
      <c r="G17" s="393">
        <f t="shared" si="1"/>
        <v>59</v>
      </c>
      <c r="H17" s="393">
        <f t="shared" si="1"/>
        <v>174</v>
      </c>
      <c r="I17" s="393">
        <f t="shared" si="1"/>
        <v>281</v>
      </c>
      <c r="J17" s="393">
        <f t="shared" ref="J17" si="2">SUM(J10:J16)</f>
        <v>182</v>
      </c>
      <c r="K17" s="79"/>
      <c r="S17" s="1"/>
      <c r="T17"/>
      <c r="Y17" s="1"/>
      <c r="Z17" s="15"/>
      <c r="AA17"/>
    </row>
    <row r="18" spans="1:27" ht="15.75" thickBot="1" x14ac:dyDescent="0.3">
      <c r="B18" s="251" t="s">
        <v>10</v>
      </c>
      <c r="C18" s="251">
        <f>COUNTIFS(TU_DB[None (Disturbance)],1)</f>
        <v>1295</v>
      </c>
      <c r="D18" s="251"/>
      <c r="E18" s="335">
        <f>COUNTIFS(TU_DB[[None (Disturbance)]:[None (Disturbance)]],1,TU_DB[[Year]:[Year]],E$9)</f>
        <v>44</v>
      </c>
      <c r="F18" s="251">
        <f>COUNTIFS(TU_DB[[None (Disturbance)]:[None (Disturbance)]],1,TU_DB[[Year]:[Year]],F$9)</f>
        <v>74</v>
      </c>
      <c r="G18" s="251">
        <f>COUNTIFS(TU_DB[[None (Disturbance)]:[None (Disturbance)]],1,TU_DB[[Year]:[Year]],G$9)</f>
        <v>239</v>
      </c>
      <c r="H18" s="251">
        <f>COUNTIFS(TU_DB[[None (Disturbance)]:[None (Disturbance)]],1,TU_DB[[Year]:[Year]],H$9)</f>
        <v>228</v>
      </c>
      <c r="I18" s="251">
        <f>COUNTIFS(TU_DB[[None (Disturbance)]:[None (Disturbance)]],1,TU_DB[[Year]:[Year]],I$9)</f>
        <v>459</v>
      </c>
      <c r="J18" s="251">
        <f>COUNTIFS(TU_DB[[None (Disturbance)]:[None (Disturbance)]],1,TU_DB[[Year]:[Year]],J$9)</f>
        <v>251</v>
      </c>
      <c r="K18" s="79"/>
      <c r="S18" s="1"/>
      <c r="T18"/>
      <c r="Y18" s="1"/>
      <c r="Z18" s="15"/>
      <c r="AA18"/>
    </row>
    <row r="19" spans="1:27" ht="15.75" thickTop="1" x14ac:dyDescent="0.25">
      <c r="C19"/>
      <c r="D19"/>
      <c r="E19"/>
      <c r="S19" s="1"/>
      <c r="T19"/>
      <c r="Y19" s="1"/>
      <c r="Z19" s="15"/>
      <c r="AA19"/>
    </row>
    <row r="20" spans="1:27" x14ac:dyDescent="0.25">
      <c r="C20"/>
      <c r="D20"/>
      <c r="E20"/>
    </row>
    <row r="21" spans="1:27" x14ac:dyDescent="0.25">
      <c r="C21"/>
      <c r="D21"/>
      <c r="E21"/>
    </row>
    <row r="22" spans="1:27" x14ac:dyDescent="0.25">
      <c r="C22"/>
      <c r="D22"/>
      <c r="E22"/>
    </row>
    <row r="23" spans="1:27" x14ac:dyDescent="0.25">
      <c r="C23"/>
      <c r="D23"/>
      <c r="E23"/>
    </row>
    <row r="24" spans="1:27" x14ac:dyDescent="0.25">
      <c r="C24"/>
      <c r="D24"/>
      <c r="E24"/>
    </row>
    <row r="25" spans="1:27" s="23" customFormat="1" ht="27.75" customHeight="1" x14ac:dyDescent="0.25">
      <c r="A25"/>
      <c r="B25"/>
      <c r="C25"/>
      <c r="D25"/>
      <c r="E25"/>
      <c r="F25"/>
      <c r="T25" s="22"/>
      <c r="Z25" s="22"/>
      <c r="AA25" s="22"/>
    </row>
    <row r="26" spans="1:27" ht="23.25" customHeight="1" x14ac:dyDescent="0.25">
      <c r="T26"/>
    </row>
    <row r="27" spans="1:27" s="7" customFormat="1" x14ac:dyDescent="0.25">
      <c r="F27"/>
      <c r="G27"/>
      <c r="H27"/>
      <c r="I27"/>
      <c r="J27"/>
      <c r="K27"/>
      <c r="L27"/>
      <c r="M27"/>
      <c r="N27"/>
      <c r="O27"/>
      <c r="P27"/>
      <c r="Q27"/>
      <c r="R27"/>
      <c r="S27"/>
      <c r="T27"/>
      <c r="U27"/>
      <c r="V27"/>
      <c r="W27"/>
      <c r="X27"/>
      <c r="Y27"/>
      <c r="Z27" s="1"/>
      <c r="AA27" s="15"/>
    </row>
    <row r="28" spans="1:27" x14ac:dyDescent="0.25">
      <c r="T28"/>
    </row>
    <row r="29" spans="1:27" x14ac:dyDescent="0.25">
      <c r="T29"/>
    </row>
    <row r="30" spans="1:27" x14ac:dyDescent="0.25">
      <c r="T30"/>
    </row>
    <row r="31" spans="1:27" x14ac:dyDescent="0.25">
      <c r="T31"/>
    </row>
    <row r="32" spans="1:27" x14ac:dyDescent="0.25">
      <c r="T32"/>
    </row>
    <row r="33" spans="2:27" x14ac:dyDescent="0.25">
      <c r="T33"/>
    </row>
    <row r="34" spans="2:27" x14ac:dyDescent="0.25">
      <c r="T34"/>
    </row>
    <row r="35" spans="2:27" x14ac:dyDescent="0.25">
      <c r="T35"/>
    </row>
    <row r="36" spans="2:27" x14ac:dyDescent="0.25">
      <c r="T36"/>
    </row>
    <row r="37" spans="2:27" x14ac:dyDescent="0.25">
      <c r="T37"/>
    </row>
    <row r="38" spans="2:27" x14ac:dyDescent="0.25">
      <c r="T38"/>
    </row>
    <row r="39" spans="2:27" x14ac:dyDescent="0.25">
      <c r="T39"/>
    </row>
    <row r="40" spans="2:27" x14ac:dyDescent="0.25">
      <c r="T40"/>
    </row>
    <row r="41" spans="2:27" ht="47.25" customHeight="1" x14ac:dyDescent="0.25">
      <c r="T41"/>
    </row>
    <row r="42" spans="2:27" x14ac:dyDescent="0.25">
      <c r="T42"/>
      <c r="Z42"/>
      <c r="AA42"/>
    </row>
    <row r="43" spans="2:27" s="23" customFormat="1" ht="27.75" customHeight="1" x14ac:dyDescent="0.25">
      <c r="B43" s="21"/>
      <c r="C43" s="22"/>
      <c r="D43" s="22"/>
      <c r="E43" s="22"/>
      <c r="T43" s="22"/>
      <c r="Z43" s="22"/>
      <c r="AA43" s="22"/>
    </row>
    <row r="44" spans="2:27" ht="23.25" customHeight="1" x14ac:dyDescent="0.25">
      <c r="T44"/>
    </row>
    <row r="45" spans="2:27" s="7" customFormat="1" x14ac:dyDescent="0.25">
      <c r="F45"/>
      <c r="G45"/>
      <c r="H45"/>
      <c r="I45"/>
      <c r="J45"/>
      <c r="K45"/>
      <c r="L45"/>
      <c r="M45"/>
      <c r="N45"/>
      <c r="O45"/>
      <c r="P45"/>
      <c r="Q45"/>
      <c r="R45"/>
      <c r="S45"/>
      <c r="T45"/>
      <c r="U45"/>
      <c r="V45"/>
      <c r="W45"/>
      <c r="X45"/>
      <c r="Y45"/>
      <c r="Z45" s="1"/>
      <c r="AA45" s="15"/>
    </row>
    <row r="46" spans="2:27" x14ac:dyDescent="0.25">
      <c r="T46"/>
    </row>
    <row r="47" spans="2:27" x14ac:dyDescent="0.25">
      <c r="T47"/>
    </row>
    <row r="48" spans="2:27" x14ac:dyDescent="0.25">
      <c r="T48"/>
    </row>
    <row r="49" spans="2:27" x14ac:dyDescent="0.25">
      <c r="T49"/>
    </row>
    <row r="50" spans="2:27" x14ac:dyDescent="0.25">
      <c r="T50"/>
    </row>
    <row r="51" spans="2:27" x14ac:dyDescent="0.25">
      <c r="T51"/>
    </row>
    <row r="52" spans="2:27" x14ac:dyDescent="0.25">
      <c r="T52"/>
    </row>
    <row r="53" spans="2:27" x14ac:dyDescent="0.25">
      <c r="T53"/>
    </row>
    <row r="54" spans="2:27" x14ac:dyDescent="0.25">
      <c r="T54"/>
    </row>
    <row r="55" spans="2:27" x14ac:dyDescent="0.25">
      <c r="T55"/>
    </row>
    <row r="56" spans="2:27" x14ac:dyDescent="0.25">
      <c r="T56"/>
    </row>
    <row r="57" spans="2:27" x14ac:dyDescent="0.25">
      <c r="T57"/>
    </row>
    <row r="58" spans="2:27" x14ac:dyDescent="0.25">
      <c r="T58"/>
    </row>
    <row r="59" spans="2:27" ht="47.25" customHeight="1" x14ac:dyDescent="0.25">
      <c r="T59"/>
    </row>
    <row r="60" spans="2:27" x14ac:dyDescent="0.25">
      <c r="T60"/>
      <c r="Z60"/>
      <c r="AA60"/>
    </row>
    <row r="61" spans="2:27" s="23" customFormat="1" ht="27.75" customHeight="1" x14ac:dyDescent="0.25">
      <c r="B61" s="21"/>
      <c r="C61" s="22"/>
      <c r="D61" s="22"/>
      <c r="E61" s="22"/>
      <c r="T61" s="22"/>
      <c r="Z61" s="22"/>
      <c r="AA61" s="22"/>
    </row>
    <row r="62" spans="2:27" ht="23.25" customHeight="1" x14ac:dyDescent="0.25">
      <c r="T62"/>
    </row>
    <row r="63" spans="2:27" s="7" customFormat="1" x14ac:dyDescent="0.25">
      <c r="F63"/>
      <c r="G63"/>
      <c r="H63"/>
      <c r="I63"/>
      <c r="J63"/>
      <c r="K63"/>
      <c r="L63"/>
      <c r="M63"/>
      <c r="N63"/>
      <c r="O63"/>
      <c r="P63"/>
      <c r="Q63"/>
      <c r="R63"/>
      <c r="S63"/>
      <c r="T63"/>
      <c r="U63"/>
      <c r="V63"/>
      <c r="W63"/>
      <c r="X63"/>
      <c r="Y63"/>
      <c r="Z63" s="1"/>
      <c r="AA63" s="15"/>
    </row>
    <row r="64" spans="2:27" x14ac:dyDescent="0.25">
      <c r="T64"/>
    </row>
    <row r="65" spans="2:27" x14ac:dyDescent="0.25">
      <c r="T65"/>
    </row>
    <row r="66" spans="2:27" x14ac:dyDescent="0.25">
      <c r="T66"/>
    </row>
    <row r="67" spans="2:27" x14ac:dyDescent="0.25">
      <c r="T67"/>
    </row>
    <row r="68" spans="2:27" x14ac:dyDescent="0.25">
      <c r="T68"/>
    </row>
    <row r="69" spans="2:27" x14ac:dyDescent="0.25">
      <c r="T69"/>
    </row>
    <row r="70" spans="2:27" x14ac:dyDescent="0.25">
      <c r="T70"/>
    </row>
    <row r="71" spans="2:27" x14ac:dyDescent="0.25">
      <c r="T71"/>
    </row>
    <row r="72" spans="2:27" x14ac:dyDescent="0.25">
      <c r="T72"/>
    </row>
    <row r="73" spans="2:27" x14ac:dyDescent="0.25">
      <c r="T73"/>
    </row>
    <row r="74" spans="2:27" x14ac:dyDescent="0.25">
      <c r="T74"/>
    </row>
    <row r="75" spans="2:27" x14ac:dyDescent="0.25">
      <c r="T75"/>
    </row>
    <row r="76" spans="2:27" x14ac:dyDescent="0.25">
      <c r="T76"/>
    </row>
    <row r="77" spans="2:27" ht="47.25" customHeight="1" x14ac:dyDescent="0.25">
      <c r="T77"/>
    </row>
    <row r="78" spans="2:27" s="23" customFormat="1" ht="27.75" customHeight="1" x14ac:dyDescent="0.25">
      <c r="B78" s="21"/>
      <c r="C78" s="22"/>
      <c r="D78" s="22"/>
      <c r="E78" s="22"/>
      <c r="T78" s="22"/>
      <c r="Z78" s="22"/>
      <c r="AA78" s="22"/>
    </row>
    <row r="79" spans="2:27" ht="23.25" customHeight="1" x14ac:dyDescent="0.25">
      <c r="T79"/>
    </row>
    <row r="80" spans="2:27" s="7" customFormat="1" x14ac:dyDescent="0.25">
      <c r="F80"/>
      <c r="G80"/>
      <c r="H80"/>
      <c r="I80"/>
      <c r="J80"/>
      <c r="K80"/>
      <c r="L80"/>
      <c r="M80"/>
      <c r="N80"/>
      <c r="O80"/>
      <c r="P80"/>
      <c r="Q80"/>
      <c r="R80"/>
      <c r="S80"/>
      <c r="T80"/>
      <c r="U80"/>
      <c r="V80"/>
      <c r="W80"/>
      <c r="X80"/>
      <c r="Y80"/>
      <c r="Z80" s="1"/>
      <c r="AA80" s="15"/>
    </row>
    <row r="81" spans="20:20" x14ac:dyDescent="0.25">
      <c r="T81"/>
    </row>
    <row r="82" spans="20:20" x14ac:dyDescent="0.25">
      <c r="T82"/>
    </row>
    <row r="83" spans="20:20" x14ac:dyDescent="0.25">
      <c r="T83"/>
    </row>
    <row r="84" spans="20:20" x14ac:dyDescent="0.25">
      <c r="T84"/>
    </row>
    <row r="85" spans="20:20" x14ac:dyDescent="0.25">
      <c r="T85"/>
    </row>
    <row r="86" spans="20:20" x14ac:dyDescent="0.25">
      <c r="T86"/>
    </row>
    <row r="87" spans="20:20" x14ac:dyDescent="0.25">
      <c r="T87"/>
    </row>
    <row r="88" spans="20:20" x14ac:dyDescent="0.25">
      <c r="T88"/>
    </row>
    <row r="89" spans="20:20" x14ac:dyDescent="0.25">
      <c r="T89"/>
    </row>
    <row r="90" spans="20:20" x14ac:dyDescent="0.25">
      <c r="T90"/>
    </row>
    <row r="91" spans="20:20" x14ac:dyDescent="0.25">
      <c r="T91"/>
    </row>
    <row r="92" spans="20:20" x14ac:dyDescent="0.25">
      <c r="T92"/>
    </row>
    <row r="93" spans="20:20" x14ac:dyDescent="0.25">
      <c r="T93"/>
    </row>
    <row r="94" spans="20:20" ht="47.25" customHeight="1" x14ac:dyDescent="0.25">
      <c r="T94"/>
    </row>
    <row r="95" spans="20:20" x14ac:dyDescent="0.25">
      <c r="T95"/>
    </row>
    <row r="96" spans="20:20" x14ac:dyDescent="0.25">
      <c r="T96"/>
    </row>
    <row r="97" spans="10:20" x14ac:dyDescent="0.25">
      <c r="Q97" s="1"/>
      <c r="T97"/>
    </row>
    <row r="98" spans="10:20" x14ac:dyDescent="0.25">
      <c r="L98" s="1"/>
      <c r="M98" s="1"/>
      <c r="N98" s="1"/>
      <c r="O98" s="1"/>
      <c r="P98" s="1"/>
      <c r="Q98" s="1"/>
      <c r="T98"/>
    </row>
    <row r="99" spans="10:20" x14ac:dyDescent="0.25">
      <c r="L99" s="1"/>
      <c r="M99" s="1"/>
      <c r="N99" s="1"/>
      <c r="O99" s="1"/>
      <c r="P99" s="1"/>
      <c r="Q99" s="1"/>
      <c r="T99"/>
    </row>
    <row r="100" spans="10:20" x14ac:dyDescent="0.25">
      <c r="L100" s="1"/>
      <c r="M100" s="1"/>
      <c r="N100" s="1"/>
      <c r="O100" s="1"/>
      <c r="P100" s="1"/>
      <c r="Q100" s="1"/>
      <c r="T100"/>
    </row>
    <row r="101" spans="10:20" x14ac:dyDescent="0.25">
      <c r="L101" s="1"/>
      <c r="M101" s="1"/>
      <c r="N101" s="1"/>
      <c r="O101" s="1"/>
      <c r="P101" s="1"/>
      <c r="Q101" s="1"/>
      <c r="T101"/>
    </row>
    <row r="102" spans="10:20" x14ac:dyDescent="0.25">
      <c r="L102" s="1"/>
      <c r="M102" s="1"/>
      <c r="N102" s="1"/>
      <c r="O102" s="1"/>
      <c r="P102" s="1"/>
      <c r="Q102" s="1"/>
      <c r="T102"/>
    </row>
    <row r="103" spans="10:20" x14ac:dyDescent="0.25">
      <c r="L103" s="1"/>
      <c r="M103" s="1"/>
      <c r="N103" s="1"/>
      <c r="O103" s="1"/>
      <c r="P103" s="1"/>
      <c r="Q103" s="1"/>
      <c r="T103"/>
    </row>
    <row r="104" spans="10:20" ht="15.75" x14ac:dyDescent="0.25">
      <c r="J104" s="10"/>
      <c r="K104" s="1"/>
      <c r="L104" s="1"/>
      <c r="M104" s="1"/>
      <c r="N104" s="1"/>
      <c r="O104" s="1"/>
      <c r="P104" s="1"/>
      <c r="T104"/>
    </row>
    <row r="105" spans="10:20" x14ac:dyDescent="0.25">
      <c r="T105"/>
    </row>
    <row r="106" spans="10:20" x14ac:dyDescent="0.25">
      <c r="T106"/>
    </row>
    <row r="114" spans="10:33" x14ac:dyDescent="0.25">
      <c r="L114" s="1"/>
      <c r="M114" s="1"/>
      <c r="N114" s="1"/>
      <c r="O114" s="1"/>
      <c r="P114" s="1"/>
      <c r="Q114" s="1"/>
    </row>
    <row r="115" spans="10:33" x14ac:dyDescent="0.25">
      <c r="L115" s="1"/>
      <c r="M115" s="1"/>
      <c r="N115" s="1"/>
      <c r="O115" s="1"/>
      <c r="P115" s="1"/>
      <c r="Q115" s="1"/>
    </row>
    <row r="116" spans="10:33" x14ac:dyDescent="0.25">
      <c r="L116" s="1"/>
      <c r="M116" s="1"/>
      <c r="N116" s="1"/>
      <c r="O116" s="1"/>
      <c r="P116" s="1"/>
      <c r="Q116" s="1"/>
    </row>
    <row r="117" spans="10:33" x14ac:dyDescent="0.25">
      <c r="L117" s="1"/>
      <c r="M117" s="1"/>
      <c r="N117" s="1"/>
      <c r="O117" s="1"/>
      <c r="P117" s="1"/>
      <c r="Q117" s="1"/>
      <c r="AA117"/>
    </row>
    <row r="118" spans="10:33" ht="15.75" x14ac:dyDescent="0.25">
      <c r="L118" s="1"/>
      <c r="M118" s="1"/>
      <c r="N118" s="1"/>
      <c r="O118" s="1"/>
      <c r="P118" s="1"/>
      <c r="Q118" s="1"/>
      <c r="AA118" s="10"/>
      <c r="AB118" s="1"/>
      <c r="AC118" s="1"/>
      <c r="AD118" s="1"/>
      <c r="AE118" s="1"/>
      <c r="AF118" s="1"/>
      <c r="AG118" s="1"/>
    </row>
    <row r="119" spans="10:33" x14ac:dyDescent="0.25">
      <c r="L119" s="1"/>
      <c r="M119" s="1"/>
      <c r="N119" s="1"/>
      <c r="O119" s="1"/>
      <c r="P119" s="1"/>
      <c r="Q119" s="1"/>
      <c r="AA119"/>
    </row>
    <row r="120" spans="10:33" x14ac:dyDescent="0.25">
      <c r="L120" s="1"/>
      <c r="M120" s="1"/>
      <c r="N120" s="1"/>
      <c r="O120" s="1"/>
      <c r="P120" s="1"/>
      <c r="Q120" s="1"/>
      <c r="AA120"/>
    </row>
    <row r="121" spans="10:33" x14ac:dyDescent="0.25">
      <c r="L121" s="1"/>
      <c r="M121" s="1"/>
      <c r="N121" s="1"/>
      <c r="O121" s="1"/>
      <c r="P121" s="1"/>
      <c r="Q121" s="1"/>
      <c r="AA121"/>
    </row>
    <row r="122" spans="10:33" ht="15.75" x14ac:dyDescent="0.25">
      <c r="J122" s="10"/>
      <c r="K122" s="1"/>
      <c r="L122" s="1"/>
      <c r="M122" s="1"/>
      <c r="N122" s="1"/>
      <c r="O122" s="1"/>
      <c r="P122" s="1"/>
      <c r="AA122"/>
    </row>
    <row r="123" spans="10:33" x14ac:dyDescent="0.25">
      <c r="AA123"/>
    </row>
    <row r="124" spans="10:33" x14ac:dyDescent="0.25">
      <c r="AA124"/>
    </row>
    <row r="125" spans="10:33" x14ac:dyDescent="0.25">
      <c r="AA125"/>
    </row>
    <row r="126" spans="10:33" x14ac:dyDescent="0.25">
      <c r="AA126"/>
    </row>
    <row r="133" spans="1:33" x14ac:dyDescent="0.25">
      <c r="R133" s="1"/>
    </row>
    <row r="134" spans="1:33" x14ac:dyDescent="0.25">
      <c r="R134" s="1"/>
    </row>
    <row r="135" spans="1:33" x14ac:dyDescent="0.25">
      <c r="C135"/>
      <c r="R135" s="1"/>
    </row>
    <row r="136" spans="1:33" x14ac:dyDescent="0.25">
      <c r="C136"/>
    </row>
    <row r="137" spans="1:33" s="1" customFormat="1" x14ac:dyDescent="0.25">
      <c r="A137"/>
      <c r="B137"/>
      <c r="C137"/>
      <c r="F137"/>
      <c r="G137"/>
      <c r="H137"/>
      <c r="I137"/>
      <c r="J137"/>
      <c r="K137"/>
      <c r="L137"/>
      <c r="M137"/>
      <c r="N137"/>
      <c r="O137"/>
      <c r="P137"/>
      <c r="Q137"/>
      <c r="R137"/>
      <c r="S137"/>
      <c r="U137"/>
      <c r="V137"/>
      <c r="W137"/>
      <c r="X137"/>
      <c r="Y137"/>
      <c r="AA137" s="15"/>
      <c r="AB137"/>
      <c r="AC137"/>
      <c r="AD137"/>
      <c r="AE137"/>
      <c r="AF137"/>
      <c r="AG137"/>
    </row>
    <row r="138" spans="1:33" s="1" customFormat="1" x14ac:dyDescent="0.25">
      <c r="A138"/>
      <c r="B138"/>
      <c r="C138"/>
      <c r="F138"/>
      <c r="G138"/>
      <c r="H138"/>
      <c r="I138"/>
      <c r="J138"/>
      <c r="K138"/>
      <c r="L138"/>
      <c r="M138"/>
      <c r="N138"/>
      <c r="O138"/>
      <c r="P138"/>
      <c r="Q138"/>
      <c r="R138"/>
      <c r="S138"/>
      <c r="U138"/>
      <c r="V138"/>
      <c r="W138"/>
      <c r="X138"/>
      <c r="Y138"/>
      <c r="AA138" s="15"/>
      <c r="AB138"/>
      <c r="AC138"/>
      <c r="AD138"/>
      <c r="AE138"/>
      <c r="AF138"/>
      <c r="AG138"/>
    </row>
    <row r="139" spans="1:33" s="1" customFormat="1" x14ac:dyDescent="0.25">
      <c r="A139"/>
      <c r="B139"/>
      <c r="C139"/>
      <c r="F139"/>
      <c r="G139"/>
      <c r="H139"/>
      <c r="I139"/>
      <c r="J139"/>
      <c r="K139"/>
      <c r="L139"/>
      <c r="M139"/>
      <c r="N139"/>
      <c r="O139"/>
      <c r="P139"/>
      <c r="Q139"/>
      <c r="R139"/>
      <c r="S139"/>
      <c r="U139"/>
      <c r="V139"/>
      <c r="W139"/>
      <c r="X139"/>
      <c r="Y139"/>
      <c r="AA139" s="15"/>
      <c r="AB139"/>
      <c r="AC139"/>
      <c r="AD139"/>
      <c r="AE139"/>
      <c r="AF139"/>
      <c r="AG139"/>
    </row>
    <row r="140" spans="1:33" s="1" customFormat="1" x14ac:dyDescent="0.25">
      <c r="A140"/>
      <c r="B140"/>
      <c r="C140"/>
      <c r="F140"/>
      <c r="G140"/>
      <c r="H140"/>
      <c r="I140"/>
      <c r="J140"/>
      <c r="K140"/>
      <c r="L140"/>
      <c r="M140"/>
      <c r="N140"/>
      <c r="O140"/>
      <c r="P140"/>
      <c r="Q140"/>
      <c r="R140"/>
      <c r="S140"/>
      <c r="U140"/>
      <c r="V140"/>
      <c r="W140"/>
      <c r="X140"/>
      <c r="Y140"/>
      <c r="AA140" s="15"/>
      <c r="AB140"/>
      <c r="AC140"/>
      <c r="AD140"/>
      <c r="AE140"/>
      <c r="AF140"/>
      <c r="AG140"/>
    </row>
    <row r="141" spans="1:33" s="1" customFormat="1" x14ac:dyDescent="0.25">
      <c r="A141"/>
      <c r="B141"/>
      <c r="C141"/>
      <c r="F141"/>
      <c r="G141"/>
      <c r="H141"/>
      <c r="I141"/>
      <c r="J141"/>
      <c r="K141"/>
      <c r="L141"/>
      <c r="M141"/>
      <c r="N141"/>
      <c r="O141"/>
      <c r="P141"/>
      <c r="Q141"/>
      <c r="R141"/>
      <c r="S141"/>
      <c r="U141"/>
      <c r="V141"/>
      <c r="W141"/>
      <c r="X141"/>
      <c r="Y141"/>
      <c r="AA141" s="15"/>
      <c r="AB141"/>
      <c r="AC141"/>
      <c r="AD141"/>
      <c r="AE141"/>
      <c r="AF141"/>
      <c r="AG141"/>
    </row>
    <row r="142" spans="1:33" s="1" customFormat="1" x14ac:dyDescent="0.25">
      <c r="A142"/>
      <c r="B142"/>
      <c r="C142"/>
      <c r="F142"/>
      <c r="G142"/>
      <c r="H142"/>
      <c r="I142"/>
      <c r="J142"/>
      <c r="K142"/>
      <c r="L142"/>
      <c r="M142"/>
      <c r="N142"/>
      <c r="O142"/>
      <c r="P142"/>
      <c r="Q142"/>
      <c r="R142"/>
      <c r="S142"/>
      <c r="U142"/>
      <c r="V142"/>
      <c r="W142"/>
      <c r="X142"/>
      <c r="Y142"/>
      <c r="AA142" s="15"/>
      <c r="AB142"/>
      <c r="AC142"/>
      <c r="AD142"/>
      <c r="AE142"/>
      <c r="AF142"/>
      <c r="AG142"/>
    </row>
    <row r="143" spans="1:33" s="1" customFormat="1" x14ac:dyDescent="0.25">
      <c r="A143"/>
      <c r="B143"/>
      <c r="C143"/>
      <c r="F143"/>
      <c r="G143"/>
      <c r="H143"/>
      <c r="I143"/>
      <c r="J143"/>
      <c r="K143"/>
      <c r="L143"/>
      <c r="M143"/>
      <c r="N143"/>
      <c r="O143"/>
      <c r="P143"/>
      <c r="Q143"/>
      <c r="R143"/>
      <c r="S143"/>
      <c r="U143"/>
      <c r="V143"/>
      <c r="W143"/>
      <c r="X143"/>
      <c r="Y143"/>
      <c r="AA143" s="15"/>
      <c r="AB143"/>
      <c r="AC143"/>
      <c r="AD143"/>
      <c r="AE143"/>
      <c r="AF143"/>
      <c r="AG143"/>
    </row>
  </sheetData>
  <mergeCells count="1">
    <mergeCell ref="C2:D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F3C9-0ABC-45E6-B7E6-4145BE983268}">
  <sheetPr codeName="Sheet11"/>
  <dimension ref="B1:BD74"/>
  <sheetViews>
    <sheetView showGridLines="0" zoomScale="85" zoomScaleNormal="85" workbookViewId="0">
      <pane xSplit="4" ySplit="6" topLeftCell="E26" activePane="bottomRight" state="frozen"/>
      <selection pane="topRight" activeCell="E1" sqref="E1"/>
      <selection pane="bottomLeft" activeCell="A7" sqref="A7"/>
      <selection pane="bottomRight" activeCell="U72" sqref="U72"/>
    </sheetView>
  </sheetViews>
  <sheetFormatPr defaultRowHeight="15" x14ac:dyDescent="0.25"/>
  <cols>
    <col min="1" max="1" width="2.140625" customWidth="1"/>
    <col min="2" max="2" width="17.28515625" customWidth="1"/>
    <col min="3" max="3" width="7.42578125" customWidth="1"/>
    <col min="4" max="4" width="8" customWidth="1"/>
    <col min="5" max="19" width="5.85546875" customWidth="1"/>
    <col min="20" max="20" width="11.5703125" customWidth="1"/>
    <col min="21" max="21" width="7.85546875" customWidth="1"/>
    <col min="22" max="36" width="7.5703125" customWidth="1"/>
    <col min="37" max="37" width="1.7109375" customWidth="1"/>
    <col min="38" max="38" width="39.7109375" style="451" customWidth="1"/>
    <col min="40" max="40" width="12" bestFit="1" customWidth="1"/>
    <col min="41" max="41" width="9.28515625" customWidth="1"/>
  </cols>
  <sheetData>
    <row r="1" spans="2:56" ht="22.5" x14ac:dyDescent="0.25">
      <c r="B1" s="61" t="s">
        <v>1271</v>
      </c>
      <c r="C1" s="61"/>
      <c r="D1" s="61"/>
    </row>
    <row r="2" spans="2:56" ht="15.75" x14ac:dyDescent="0.25">
      <c r="B2" s="62" t="s">
        <v>1272</v>
      </c>
      <c r="C2" s="62"/>
      <c r="V2" s="199" t="s">
        <v>4822</v>
      </c>
      <c r="W2" s="199" t="s">
        <v>1277</v>
      </c>
      <c r="X2" s="199" t="s">
        <v>1279</v>
      </c>
      <c r="Y2" s="199" t="s">
        <v>1276</v>
      </c>
      <c r="Z2" s="200" t="s">
        <v>4796</v>
      </c>
    </row>
    <row r="3" spans="2:56" ht="15.75" x14ac:dyDescent="0.25">
      <c r="B3" s="62"/>
      <c r="C3" s="62"/>
      <c r="U3" s="198" t="s">
        <v>2104</v>
      </c>
      <c r="V3" s="169">
        <v>100</v>
      </c>
      <c r="W3" s="448">
        <v>0.85</v>
      </c>
      <c r="X3" s="448">
        <v>0.75</v>
      </c>
      <c r="Y3" s="448">
        <v>0.5</v>
      </c>
      <c r="Z3" s="448">
        <v>0.2</v>
      </c>
    </row>
    <row r="5" spans="2:56" x14ac:dyDescent="0.25">
      <c r="B5" s="402" t="s">
        <v>4812</v>
      </c>
      <c r="C5" s="400"/>
      <c r="D5" s="400"/>
      <c r="E5" s="401"/>
      <c r="F5" s="402"/>
      <c r="G5" s="402"/>
      <c r="H5" s="402"/>
      <c r="I5" s="402"/>
      <c r="J5" s="402"/>
      <c r="K5" s="402"/>
      <c r="L5" s="402"/>
      <c r="M5" s="402"/>
      <c r="N5" s="402"/>
      <c r="O5" s="402"/>
      <c r="P5" s="402"/>
      <c r="Q5" s="402"/>
      <c r="R5" s="402"/>
      <c r="S5" s="403"/>
      <c r="T5" s="402"/>
      <c r="U5" s="401"/>
      <c r="V5" s="404"/>
      <c r="W5" s="404"/>
      <c r="X5" s="404"/>
      <c r="Y5" s="404"/>
      <c r="Z5" s="404"/>
      <c r="AA5" s="404"/>
      <c r="AB5" s="404"/>
      <c r="AC5" s="404"/>
      <c r="AD5" s="404"/>
      <c r="AE5" s="404"/>
      <c r="AF5" s="404"/>
      <c r="AG5" s="404"/>
      <c r="AH5" s="404"/>
      <c r="AI5" s="404"/>
      <c r="AJ5" s="404"/>
      <c r="AK5" s="404"/>
      <c r="AL5" s="452"/>
    </row>
    <row r="6" spans="2:56" ht="84" customHeight="1" x14ac:dyDescent="0.25">
      <c r="B6" s="410"/>
      <c r="C6" s="411" t="s">
        <v>4811</v>
      </c>
      <c r="D6" s="410"/>
      <c r="E6" s="412" t="s">
        <v>1346</v>
      </c>
      <c r="F6" s="413" t="s">
        <v>1349</v>
      </c>
      <c r="G6" s="413" t="s">
        <v>1342</v>
      </c>
      <c r="H6" s="413" t="s">
        <v>1345</v>
      </c>
      <c r="I6" s="413" t="s">
        <v>1339</v>
      </c>
      <c r="J6" s="413" t="s">
        <v>1344</v>
      </c>
      <c r="K6" s="413" t="s">
        <v>578</v>
      </c>
      <c r="L6" s="413" t="s">
        <v>1350</v>
      </c>
      <c r="M6" s="413" t="s">
        <v>1348</v>
      </c>
      <c r="N6" s="413" t="s">
        <v>2341</v>
      </c>
      <c r="O6" s="413" t="s">
        <v>1343</v>
      </c>
      <c r="P6" s="413" t="s">
        <v>1347</v>
      </c>
      <c r="Q6" s="413" t="s">
        <v>2343</v>
      </c>
      <c r="R6" s="413" t="s">
        <v>1340</v>
      </c>
      <c r="S6" s="414" t="s">
        <v>1341</v>
      </c>
      <c r="T6" s="415"/>
      <c r="U6" s="471" t="s">
        <v>4798</v>
      </c>
      <c r="V6" s="412" t="str">
        <f>E6</f>
        <v>Aldo Leopold</v>
      </c>
      <c r="W6" s="413" t="str">
        <f t="shared" ref="W6:AJ6" si="0">F6</f>
        <v>Blackhawk</v>
      </c>
      <c r="X6" s="413" t="str">
        <f t="shared" si="0"/>
        <v>Coulee Region</v>
      </c>
      <c r="Y6" s="413" t="str">
        <f t="shared" si="0"/>
        <v>Harry &amp; Laura Nohr</v>
      </c>
      <c r="Z6" s="413" t="str">
        <f t="shared" si="0"/>
        <v>Hiawatha</v>
      </c>
      <c r="AA6" s="413" t="str">
        <f t="shared" si="0"/>
        <v>Iowa Driftless</v>
      </c>
      <c r="AB6" s="413" t="str">
        <f t="shared" si="0"/>
        <v>Kiap-TU-Wish</v>
      </c>
      <c r="AC6" s="413" t="str">
        <f t="shared" si="0"/>
        <v>Lee Wulff</v>
      </c>
      <c r="AD6" s="413" t="str">
        <f t="shared" si="0"/>
        <v>North Bear</v>
      </c>
      <c r="AE6" s="413" t="str">
        <f t="shared" si="0"/>
        <v>Oak Brook</v>
      </c>
      <c r="AF6" s="413" t="str">
        <f t="shared" si="0"/>
        <v>S. Wisconsin</v>
      </c>
      <c r="AG6" s="413" t="str">
        <f t="shared" si="0"/>
        <v>Spring Creeks</v>
      </c>
      <c r="AH6" s="413" t="str">
        <f t="shared" si="0"/>
        <v>Twin Cities (TCTU)</v>
      </c>
      <c r="AI6" s="413" t="str">
        <f t="shared" si="0"/>
        <v>Wisconsin Clear Water</v>
      </c>
      <c r="AJ6" s="414" t="str">
        <f t="shared" si="0"/>
        <v>Win Cres</v>
      </c>
      <c r="AK6" s="410"/>
      <c r="AL6" s="453"/>
    </row>
    <row r="7" spans="2:56" s="28" customFormat="1" ht="21.6" customHeight="1" x14ac:dyDescent="0.25">
      <c r="B7" s="433"/>
      <c r="C7" s="432"/>
      <c r="D7" s="434" t="s">
        <v>134</v>
      </c>
      <c r="E7" s="435">
        <f>_xlfn.XLOOKUP(E6,Use!$S$102:$S$116,Use!$T$102:$T$116,"na",0)</f>
        <v>18</v>
      </c>
      <c r="F7" s="436">
        <f>_xlfn.XLOOKUP(F6,Use!$S$102:$S$116,Use!$T$102:$T$116,"na",0)</f>
        <v>8</v>
      </c>
      <c r="G7" s="436">
        <f>_xlfn.XLOOKUP(G6,Use!$S$102:$S$116,Use!$T$102:$T$116,"na",0)</f>
        <v>230</v>
      </c>
      <c r="H7" s="436">
        <f>_xlfn.XLOOKUP(H6,Use!$S$102:$S$116,Use!$T$102:$T$116,"na",0)</f>
        <v>80</v>
      </c>
      <c r="I7" s="436">
        <f>_xlfn.XLOOKUP(I6,Use!$S$102:$S$116,Use!$T$102:$T$116,"na",0)</f>
        <v>337</v>
      </c>
      <c r="J7" s="436">
        <f>_xlfn.XLOOKUP(J6,Use!$S$102:$S$116,Use!$T$102:$T$116,"na",0)</f>
        <v>112</v>
      </c>
      <c r="K7" s="436">
        <f>_xlfn.XLOOKUP(K6,Use!$S$102:$S$116,Use!$T$102:$T$116,"na",0)</f>
        <v>518</v>
      </c>
      <c r="L7" s="436">
        <f>_xlfn.XLOOKUP(L6,Use!$S$102:$S$116,Use!$T$102:$T$116,"na",0)</f>
        <v>0</v>
      </c>
      <c r="M7" s="436">
        <f>_xlfn.XLOOKUP(M6,Use!$S$102:$S$116,Use!$T$102:$T$116,"na",0)</f>
        <v>47</v>
      </c>
      <c r="N7" s="436">
        <f>_xlfn.XLOOKUP(N6,Use!$S$102:$S$116,Use!$T$102:$T$116,"na",0)</f>
        <v>0</v>
      </c>
      <c r="O7" s="436">
        <f>Use!T112</f>
        <v>15</v>
      </c>
      <c r="P7" s="436">
        <f>_xlfn.XLOOKUP(P6,Use!$S$102:$S$116,Use!$T$102:$T$116,"na",0)</f>
        <v>104</v>
      </c>
      <c r="Q7" s="436">
        <f>_xlfn.XLOOKUP(Q6,Use!$S$102:$S$116,Use!$T$102:$T$116,"na",0)</f>
        <v>325</v>
      </c>
      <c r="R7" s="436">
        <f>_xlfn.XLOOKUP(R6,Use!$S$102:$S$116,Use!$T$102:$T$116,"na",0)</f>
        <v>251</v>
      </c>
      <c r="S7" s="437">
        <f>_xlfn.XLOOKUP(S6,Use!$S$102:$S$116,Use!$T$102:$T$116,"na",0)</f>
        <v>203</v>
      </c>
      <c r="T7" s="438"/>
      <c r="U7" s="439"/>
      <c r="V7" s="440"/>
      <c r="W7" s="440"/>
      <c r="X7" s="440"/>
      <c r="Y7" s="440"/>
      <c r="Z7" s="440"/>
      <c r="AA7" s="440"/>
      <c r="AB7" s="440"/>
      <c r="AC7" s="440"/>
      <c r="AD7" s="440"/>
      <c r="AE7" s="440"/>
      <c r="AF7" s="440"/>
      <c r="AG7" s="440"/>
      <c r="AH7" s="440"/>
      <c r="AI7" s="440"/>
      <c r="AJ7" s="440"/>
      <c r="AK7" s="433"/>
      <c r="AL7" s="454"/>
    </row>
    <row r="8" spans="2:56" ht="17.25" customHeight="1" x14ac:dyDescent="0.25">
      <c r="B8" s="402" t="s">
        <v>4821</v>
      </c>
      <c r="C8" s="400"/>
      <c r="D8" s="400"/>
      <c r="E8" s="401"/>
      <c r="F8" s="402"/>
      <c r="G8" s="402"/>
      <c r="H8" s="402"/>
      <c r="I8" s="402"/>
      <c r="J8" s="402"/>
      <c r="K8" s="402"/>
      <c r="L8" s="402"/>
      <c r="M8" s="402"/>
      <c r="N8" s="402"/>
      <c r="O8" s="402"/>
      <c r="P8" s="402"/>
      <c r="Q8" s="402"/>
      <c r="R8" s="402"/>
      <c r="S8" s="403"/>
      <c r="T8" s="402"/>
      <c r="U8" s="401"/>
      <c r="V8" s="404"/>
      <c r="W8" s="404"/>
      <c r="X8" s="404"/>
      <c r="Y8" s="404"/>
      <c r="Z8" s="404"/>
      <c r="AA8" s="404"/>
      <c r="AB8" s="404"/>
      <c r="AC8" s="404"/>
      <c r="AD8" s="404"/>
      <c r="AE8" s="404"/>
      <c r="AF8" s="404"/>
      <c r="AG8" s="404"/>
      <c r="AH8" s="404"/>
      <c r="AI8" s="404"/>
      <c r="AJ8" s="404"/>
      <c r="AK8" s="404"/>
      <c r="AL8" s="452"/>
    </row>
    <row r="9" spans="2:56" x14ac:dyDescent="0.25">
      <c r="B9" s="168" t="s">
        <v>2101</v>
      </c>
      <c r="C9" s="168"/>
      <c r="D9" s="168"/>
      <c r="E9" s="180"/>
      <c r="F9" s="168"/>
      <c r="G9" s="168"/>
      <c r="H9" s="168"/>
      <c r="I9" s="168"/>
      <c r="J9" s="168"/>
      <c r="K9" s="168"/>
      <c r="L9" s="168"/>
      <c r="M9" s="168"/>
      <c r="N9" s="168"/>
      <c r="O9" s="168"/>
      <c r="P9" s="168"/>
      <c r="Q9" s="168"/>
      <c r="R9" s="168"/>
      <c r="S9" s="181"/>
      <c r="T9" s="443" t="s">
        <v>4807</v>
      </c>
      <c r="U9" s="177">
        <f>SUM(U10:U12)</f>
        <v>1</v>
      </c>
      <c r="V9" s="169">
        <f>SUM(V10:V12)</f>
        <v>1.0072941176470589</v>
      </c>
      <c r="W9" s="169">
        <f t="shared" ref="W9:AJ9" si="1">SUM(W10:W12)</f>
        <v>0.9742857142857142</v>
      </c>
      <c r="X9" s="169">
        <f t="shared" si="1"/>
        <v>0.95090177995350411</v>
      </c>
      <c r="Y9" s="169">
        <f t="shared" si="1"/>
        <v>0.91811203384715967</v>
      </c>
      <c r="Z9" s="169">
        <f t="shared" si="1"/>
        <v>0.9358473368065704</v>
      </c>
      <c r="AA9" s="169">
        <f t="shared" si="1"/>
        <v>0.84179959231909185</v>
      </c>
      <c r="AB9" s="169">
        <f t="shared" si="1"/>
        <v>0.8846426415372588</v>
      </c>
      <c r="AC9" s="169">
        <f t="shared" si="1"/>
        <v>0</v>
      </c>
      <c r="AD9" s="169">
        <f t="shared" si="1"/>
        <v>0.65407314923619286</v>
      </c>
      <c r="AE9" s="169">
        <f t="shared" si="1"/>
        <v>0</v>
      </c>
      <c r="AF9" s="169">
        <f t="shared" si="1"/>
        <v>1.0463461538461538</v>
      </c>
      <c r="AG9" s="169">
        <f t="shared" si="1"/>
        <v>0.61668015227771322</v>
      </c>
      <c r="AH9" s="169">
        <f t="shared" si="1"/>
        <v>0.96705476178996053</v>
      </c>
      <c r="AI9" s="169">
        <f t="shared" si="1"/>
        <v>0.98509691488146545</v>
      </c>
      <c r="AJ9" s="178">
        <f t="shared" si="1"/>
        <v>0.98602054669129813</v>
      </c>
      <c r="AK9" s="168"/>
      <c r="AL9" s="466" t="s">
        <v>2102</v>
      </c>
    </row>
    <row r="10" spans="2:56" x14ac:dyDescent="0.25">
      <c r="B10" s="53" t="s">
        <v>1274</v>
      </c>
      <c r="C10" s="53"/>
      <c r="D10" s="53"/>
      <c r="E10" s="176"/>
      <c r="F10" s="53"/>
      <c r="G10" s="53"/>
      <c r="H10" s="53"/>
      <c r="I10" s="53"/>
      <c r="J10" s="53"/>
      <c r="K10" s="53"/>
      <c r="L10" s="53"/>
      <c r="M10" s="53"/>
      <c r="N10" s="53"/>
      <c r="O10" s="53"/>
      <c r="P10" s="53"/>
      <c r="Q10" s="53"/>
      <c r="R10" s="53"/>
      <c r="S10" s="182"/>
      <c r="T10" s="53"/>
      <c r="U10" s="192">
        <v>0.3</v>
      </c>
      <c r="V10" s="173">
        <f t="shared" ref="V10:AJ10" si="2">V18*$U10</f>
        <v>0.23199999999999998</v>
      </c>
      <c r="W10" s="173">
        <f t="shared" si="2"/>
        <v>0.27428571428571424</v>
      </c>
      <c r="X10" s="173">
        <f t="shared" si="2"/>
        <v>0.2719365289882531</v>
      </c>
      <c r="Y10" s="173">
        <f t="shared" si="2"/>
        <v>0.25510451505016724</v>
      </c>
      <c r="Z10" s="173">
        <f t="shared" si="2"/>
        <v>0.21388389341034392</v>
      </c>
      <c r="AA10" s="173">
        <f t="shared" si="2"/>
        <v>0.21717621569571499</v>
      </c>
      <c r="AB10" s="173">
        <f t="shared" si="2"/>
        <v>0.24037720329024675</v>
      </c>
      <c r="AC10" s="173">
        <f t="shared" si="2"/>
        <v>0</v>
      </c>
      <c r="AD10" s="173">
        <f t="shared" si="2"/>
        <v>0.1928231492361927</v>
      </c>
      <c r="AE10" s="173">
        <f t="shared" si="2"/>
        <v>0</v>
      </c>
      <c r="AF10" s="173">
        <f t="shared" si="2"/>
        <v>0.27249999999999996</v>
      </c>
      <c r="AG10" s="173">
        <f t="shared" si="2"/>
        <v>0.21725158084914181</v>
      </c>
      <c r="AH10" s="173">
        <f t="shared" si="2"/>
        <v>0.22798813454769767</v>
      </c>
      <c r="AI10" s="173">
        <f t="shared" si="2"/>
        <v>0.25912223133716161</v>
      </c>
      <c r="AJ10" s="173">
        <f t="shared" si="2"/>
        <v>0.23665884456363839</v>
      </c>
      <c r="AK10" s="53"/>
      <c r="AL10" s="449"/>
    </row>
    <row r="11" spans="2:56" x14ac:dyDescent="0.25">
      <c r="B11" s="53" t="s">
        <v>4793</v>
      </c>
      <c r="C11" s="53"/>
      <c r="D11" s="53"/>
      <c r="E11" s="176"/>
      <c r="F11" s="53"/>
      <c r="G11" s="53"/>
      <c r="H11" s="53"/>
      <c r="I11" s="53"/>
      <c r="J11" s="53"/>
      <c r="K11" s="53"/>
      <c r="L11" s="53"/>
      <c r="M11" s="53"/>
      <c r="N11" s="53"/>
      <c r="O11" s="53"/>
      <c r="P11" s="53"/>
      <c r="Q11" s="53"/>
      <c r="R11" s="53"/>
      <c r="S11" s="182"/>
      <c r="T11" s="53"/>
      <c r="U11" s="193">
        <v>0.4</v>
      </c>
      <c r="V11" s="173">
        <f t="shared" ref="V11:AJ11" si="3">V52*$U11</f>
        <v>0.47529411764705892</v>
      </c>
      <c r="W11" s="173">
        <f t="shared" si="3"/>
        <v>0.52</v>
      </c>
      <c r="X11" s="173">
        <f t="shared" si="3"/>
        <v>0.46810810810810816</v>
      </c>
      <c r="Y11" s="173">
        <f t="shared" si="3"/>
        <v>0.49157894736842106</v>
      </c>
      <c r="Z11" s="173">
        <f t="shared" si="3"/>
        <v>0.49781250000000005</v>
      </c>
      <c r="AA11" s="173">
        <f t="shared" si="3"/>
        <v>0.4765714285714287</v>
      </c>
      <c r="AB11" s="173">
        <f t="shared" si="3"/>
        <v>0.50239043824701202</v>
      </c>
      <c r="AC11" s="173">
        <f t="shared" si="3"/>
        <v>0</v>
      </c>
      <c r="AD11" s="173">
        <f t="shared" si="3"/>
        <v>0.4612500000000001</v>
      </c>
      <c r="AE11" s="173">
        <f t="shared" si="3"/>
        <v>0</v>
      </c>
      <c r="AF11" s="173">
        <f t="shared" si="3"/>
        <v>0.52</v>
      </c>
      <c r="AG11" s="173">
        <f t="shared" si="3"/>
        <v>0.39942857142857147</v>
      </c>
      <c r="AH11" s="173">
        <f t="shared" si="3"/>
        <v>0.49827715355805247</v>
      </c>
      <c r="AI11" s="173">
        <f t="shared" si="3"/>
        <v>0.50464135021097045</v>
      </c>
      <c r="AJ11" s="173">
        <f t="shared" si="3"/>
        <v>0.51602836879432634</v>
      </c>
      <c r="AK11" s="53"/>
      <c r="AL11" s="449"/>
    </row>
    <row r="12" spans="2:56" x14ac:dyDescent="0.25">
      <c r="B12" s="164" t="s">
        <v>1282</v>
      </c>
      <c r="C12" s="164"/>
      <c r="D12" s="164"/>
      <c r="E12" s="183"/>
      <c r="F12" s="164"/>
      <c r="G12" s="164"/>
      <c r="H12" s="164"/>
      <c r="I12" s="164"/>
      <c r="J12" s="164"/>
      <c r="K12" s="164"/>
      <c r="L12" s="164"/>
      <c r="M12" s="164"/>
      <c r="N12" s="164"/>
      <c r="O12" s="164"/>
      <c r="P12" s="164"/>
      <c r="Q12" s="164"/>
      <c r="R12" s="164"/>
      <c r="S12" s="184"/>
      <c r="T12" s="164"/>
      <c r="U12" s="195">
        <v>0.3</v>
      </c>
      <c r="V12" s="175">
        <f t="shared" ref="V12:AJ12" si="4">IF(V$64&lt;0,0,V$64)*$U12</f>
        <v>0.3</v>
      </c>
      <c r="W12" s="175">
        <f t="shared" si="4"/>
        <v>0.18</v>
      </c>
      <c r="X12" s="175">
        <f t="shared" si="4"/>
        <v>0.21085714285714285</v>
      </c>
      <c r="Y12" s="175">
        <f t="shared" si="4"/>
        <v>0.1714285714285714</v>
      </c>
      <c r="Z12" s="175">
        <f t="shared" si="4"/>
        <v>0.22415094339622643</v>
      </c>
      <c r="AA12" s="175">
        <f t="shared" si="4"/>
        <v>0.14805194805194807</v>
      </c>
      <c r="AB12" s="175">
        <f t="shared" si="4"/>
        <v>0.141875</v>
      </c>
      <c r="AC12" s="175">
        <f t="shared" si="4"/>
        <v>0</v>
      </c>
      <c r="AD12" s="175">
        <f t="shared" si="4"/>
        <v>0</v>
      </c>
      <c r="AE12" s="175">
        <f t="shared" si="4"/>
        <v>0</v>
      </c>
      <c r="AF12" s="175">
        <f t="shared" si="4"/>
        <v>0.25384615384615383</v>
      </c>
      <c r="AG12" s="175">
        <f t="shared" si="4"/>
        <v>0</v>
      </c>
      <c r="AH12" s="175">
        <f t="shared" si="4"/>
        <v>0.2407894736842105</v>
      </c>
      <c r="AI12" s="175">
        <f t="shared" si="4"/>
        <v>0.22133333333333333</v>
      </c>
      <c r="AJ12" s="175">
        <f t="shared" si="4"/>
        <v>0.23333333333333334</v>
      </c>
      <c r="AK12" s="164"/>
      <c r="AL12" s="450"/>
    </row>
    <row r="13" spans="2:56" ht="6" customHeight="1" x14ac:dyDescent="0.25">
      <c r="E13" s="205"/>
      <c r="S13" s="206"/>
      <c r="U13" s="205"/>
      <c r="AL13" s="455"/>
    </row>
    <row r="14" spans="2:56" x14ac:dyDescent="0.25">
      <c r="B14" s="168" t="s">
        <v>1273</v>
      </c>
      <c r="C14" s="168"/>
      <c r="D14" s="168"/>
      <c r="E14" s="180"/>
      <c r="F14" s="168"/>
      <c r="G14" s="168"/>
      <c r="H14" s="168"/>
      <c r="I14" s="168"/>
      <c r="J14" s="168"/>
      <c r="K14" s="168"/>
      <c r="L14" s="168"/>
      <c r="M14" s="168"/>
      <c r="N14" s="168"/>
      <c r="O14" s="168"/>
      <c r="P14" s="168"/>
      <c r="Q14" s="168"/>
      <c r="R14" s="168"/>
      <c r="S14" s="181"/>
      <c r="T14" s="443" t="s">
        <v>4807</v>
      </c>
      <c r="U14" s="177">
        <f t="shared" ref="U14:AJ14" si="5">SUM(U15:U16)</f>
        <v>1</v>
      </c>
      <c r="V14" s="169">
        <f t="shared" si="5"/>
        <v>0.93199999999999994</v>
      </c>
      <c r="W14" s="169">
        <f t="shared" si="5"/>
        <v>0.69428571428571417</v>
      </c>
      <c r="X14" s="169">
        <f t="shared" si="5"/>
        <v>0.76393652898825304</v>
      </c>
      <c r="Y14" s="169">
        <f t="shared" si="5"/>
        <v>0.6551045150501672</v>
      </c>
      <c r="Z14" s="169">
        <f t="shared" si="5"/>
        <v>0.7369027613348722</v>
      </c>
      <c r="AA14" s="169">
        <f t="shared" si="5"/>
        <v>0.56263076115026045</v>
      </c>
      <c r="AB14" s="169">
        <f t="shared" si="5"/>
        <v>0.57141886995691338</v>
      </c>
      <c r="AC14" s="169">
        <f t="shared" si="5"/>
        <v>0</v>
      </c>
      <c r="AD14" s="169">
        <f t="shared" si="5"/>
        <v>0.1928231492361927</v>
      </c>
      <c r="AE14" s="169">
        <f t="shared" si="5"/>
        <v>0</v>
      </c>
      <c r="AF14" s="169">
        <f t="shared" si="5"/>
        <v>0.86480769230769228</v>
      </c>
      <c r="AG14" s="169">
        <f t="shared" si="5"/>
        <v>0.21725158084914181</v>
      </c>
      <c r="AH14" s="169">
        <f t="shared" si="5"/>
        <v>0.78983023981085543</v>
      </c>
      <c r="AI14" s="169">
        <f t="shared" si="5"/>
        <v>0.77556667578160599</v>
      </c>
      <c r="AJ14" s="169">
        <f t="shared" si="5"/>
        <v>0.78110328900808279</v>
      </c>
      <c r="AK14" s="168"/>
      <c r="AL14" s="466" t="s">
        <v>2103</v>
      </c>
      <c r="AQ14" s="230"/>
      <c r="AU14" s="230"/>
      <c r="AV14" s="230"/>
      <c r="AW14" s="230"/>
      <c r="AX14" s="230"/>
      <c r="AY14" s="230"/>
      <c r="AZ14" s="230"/>
      <c r="BA14" s="230"/>
      <c r="BB14" s="230"/>
      <c r="BC14" s="230"/>
      <c r="BD14" s="230"/>
    </row>
    <row r="15" spans="2:56" x14ac:dyDescent="0.25">
      <c r="B15" s="53" t="s">
        <v>1274</v>
      </c>
      <c r="C15" s="53"/>
      <c r="D15" s="53"/>
      <c r="E15" s="176"/>
      <c r="F15" s="53"/>
      <c r="G15" s="53"/>
      <c r="H15" s="53"/>
      <c r="I15" s="53"/>
      <c r="J15" s="53"/>
      <c r="K15" s="53"/>
      <c r="L15" s="53"/>
      <c r="M15" s="53"/>
      <c r="N15" s="53"/>
      <c r="O15" s="53"/>
      <c r="P15" s="53"/>
      <c r="Q15" s="53"/>
      <c r="R15" s="53"/>
      <c r="S15" s="182"/>
      <c r="T15" s="53"/>
      <c r="U15" s="179">
        <v>0.3</v>
      </c>
      <c r="V15" s="173">
        <f t="shared" ref="V15:AJ15" si="6">V18*$U15</f>
        <v>0.23199999999999998</v>
      </c>
      <c r="W15" s="173">
        <f t="shared" si="6"/>
        <v>0.27428571428571424</v>
      </c>
      <c r="X15" s="173">
        <f t="shared" si="6"/>
        <v>0.2719365289882531</v>
      </c>
      <c r="Y15" s="173">
        <f t="shared" si="6"/>
        <v>0.25510451505016724</v>
      </c>
      <c r="Z15" s="173">
        <f t="shared" si="6"/>
        <v>0.21388389341034392</v>
      </c>
      <c r="AA15" s="173">
        <f t="shared" si="6"/>
        <v>0.21717621569571499</v>
      </c>
      <c r="AB15" s="173">
        <f t="shared" si="6"/>
        <v>0.24037720329024675</v>
      </c>
      <c r="AC15" s="173">
        <f t="shared" si="6"/>
        <v>0</v>
      </c>
      <c r="AD15" s="173">
        <f t="shared" si="6"/>
        <v>0.1928231492361927</v>
      </c>
      <c r="AE15" s="173">
        <f t="shared" si="6"/>
        <v>0</v>
      </c>
      <c r="AF15" s="173">
        <f t="shared" si="6"/>
        <v>0.27249999999999996</v>
      </c>
      <c r="AG15" s="173">
        <f t="shared" si="6"/>
        <v>0.21725158084914181</v>
      </c>
      <c r="AH15" s="173">
        <f t="shared" si="6"/>
        <v>0.22798813454769767</v>
      </c>
      <c r="AI15" s="173">
        <f t="shared" si="6"/>
        <v>0.25912223133716161</v>
      </c>
      <c r="AJ15" s="173">
        <f t="shared" si="6"/>
        <v>0.23665884456363839</v>
      </c>
      <c r="AK15" s="53"/>
      <c r="AL15" s="449"/>
    </row>
    <row r="16" spans="2:56" x14ac:dyDescent="0.25">
      <c r="B16" s="164" t="s">
        <v>1282</v>
      </c>
      <c r="C16" s="164"/>
      <c r="D16" s="164"/>
      <c r="E16" s="183"/>
      <c r="F16" s="164"/>
      <c r="G16" s="164"/>
      <c r="H16" s="164"/>
      <c r="I16" s="164"/>
      <c r="J16" s="164"/>
      <c r="K16" s="164"/>
      <c r="L16" s="164"/>
      <c r="M16" s="164"/>
      <c r="N16" s="164"/>
      <c r="O16" s="164"/>
      <c r="P16" s="164"/>
      <c r="Q16" s="164"/>
      <c r="R16" s="164"/>
      <c r="S16" s="184"/>
      <c r="T16" s="164"/>
      <c r="U16" s="195">
        <v>0.7</v>
      </c>
      <c r="V16" s="175">
        <f t="shared" ref="V16:AJ16" si="7">IF(V$64&lt;0,0,V$64)*$U16</f>
        <v>0.7</v>
      </c>
      <c r="W16" s="175">
        <f t="shared" si="7"/>
        <v>0.42</v>
      </c>
      <c r="X16" s="175">
        <f t="shared" si="7"/>
        <v>0.49199999999999994</v>
      </c>
      <c r="Y16" s="175">
        <f t="shared" si="7"/>
        <v>0.39999999999999997</v>
      </c>
      <c r="Z16" s="175">
        <f t="shared" si="7"/>
        <v>0.52301886792452834</v>
      </c>
      <c r="AA16" s="175">
        <f t="shared" si="7"/>
        <v>0.34545454545454546</v>
      </c>
      <c r="AB16" s="175">
        <f t="shared" si="7"/>
        <v>0.33104166666666662</v>
      </c>
      <c r="AC16" s="175">
        <f t="shared" si="7"/>
        <v>0</v>
      </c>
      <c r="AD16" s="175">
        <f t="shared" si="7"/>
        <v>0</v>
      </c>
      <c r="AE16" s="175">
        <f t="shared" si="7"/>
        <v>0</v>
      </c>
      <c r="AF16" s="175">
        <f t="shared" si="7"/>
        <v>0.59230769230769231</v>
      </c>
      <c r="AG16" s="175">
        <f t="shared" si="7"/>
        <v>0</v>
      </c>
      <c r="AH16" s="175">
        <f t="shared" si="7"/>
        <v>0.56184210526315781</v>
      </c>
      <c r="AI16" s="175">
        <f t="shared" si="7"/>
        <v>0.51644444444444437</v>
      </c>
      <c r="AJ16" s="175">
        <f t="shared" si="7"/>
        <v>0.5444444444444444</v>
      </c>
      <c r="AK16" s="164"/>
      <c r="AL16" s="450"/>
    </row>
    <row r="17" spans="2:47" ht="6" customHeight="1" x14ac:dyDescent="0.25">
      <c r="E17" s="205"/>
      <c r="S17" s="206"/>
      <c r="U17" s="205"/>
      <c r="AL17" s="455"/>
    </row>
    <row r="18" spans="2:47" x14ac:dyDescent="0.25">
      <c r="B18" s="168" t="s">
        <v>1274</v>
      </c>
      <c r="C18" s="168"/>
      <c r="D18" s="168"/>
      <c r="E18" s="180"/>
      <c r="F18" s="168"/>
      <c r="G18" s="168"/>
      <c r="H18" s="168"/>
      <c r="I18" s="168"/>
      <c r="J18" s="168"/>
      <c r="K18" s="168"/>
      <c r="L18" s="168"/>
      <c r="M18" s="168"/>
      <c r="N18" s="168"/>
      <c r="O18" s="168"/>
      <c r="P18" s="168"/>
      <c r="Q18" s="168"/>
      <c r="R18" s="168"/>
      <c r="S18" s="181"/>
      <c r="T18" s="443" t="s">
        <v>4807</v>
      </c>
      <c r="U18" s="177">
        <f t="shared" ref="U18:V18" si="8">SUM(U19:U21)</f>
        <v>1</v>
      </c>
      <c r="V18" s="169">
        <f t="shared" si="8"/>
        <v>0.77333333333333332</v>
      </c>
      <c r="W18" s="169">
        <f t="shared" ref="W18:AJ18" si="9">SUM(W19:W21)</f>
        <v>0.91428571428571426</v>
      </c>
      <c r="X18" s="169">
        <f t="shared" si="9"/>
        <v>0.90645509662751045</v>
      </c>
      <c r="Y18" s="169">
        <f t="shared" si="9"/>
        <v>0.85034838350055741</v>
      </c>
      <c r="Z18" s="169">
        <f t="shared" si="9"/>
        <v>0.71294631136781306</v>
      </c>
      <c r="AA18" s="169">
        <f t="shared" si="9"/>
        <v>0.72392071898571664</v>
      </c>
      <c r="AB18" s="169">
        <f t="shared" si="9"/>
        <v>0.80125734430082252</v>
      </c>
      <c r="AC18" s="169">
        <f t="shared" si="9"/>
        <v>0</v>
      </c>
      <c r="AD18" s="169">
        <f t="shared" si="9"/>
        <v>0.64274383078730901</v>
      </c>
      <c r="AE18" s="169">
        <f t="shared" si="9"/>
        <v>0</v>
      </c>
      <c r="AF18" s="169">
        <f t="shared" si="9"/>
        <v>0.90833333333333333</v>
      </c>
      <c r="AG18" s="169">
        <f t="shared" si="9"/>
        <v>0.72417193616380604</v>
      </c>
      <c r="AH18" s="169">
        <f t="shared" si="9"/>
        <v>0.75996044849232558</v>
      </c>
      <c r="AI18" s="169">
        <f t="shared" si="9"/>
        <v>0.86374077112387204</v>
      </c>
      <c r="AJ18" s="169">
        <f t="shared" si="9"/>
        <v>0.78886281521212798</v>
      </c>
      <c r="AK18" s="168"/>
      <c r="AL18" s="466" t="s">
        <v>2102</v>
      </c>
    </row>
    <row r="19" spans="2:47" x14ac:dyDescent="0.25">
      <c r="B19" s="170" t="s">
        <v>1283</v>
      </c>
      <c r="C19" s="170"/>
      <c r="D19" s="170"/>
      <c r="E19" s="176"/>
      <c r="F19" s="53"/>
      <c r="G19" s="53"/>
      <c r="H19" s="53"/>
      <c r="I19" s="53"/>
      <c r="J19" s="53"/>
      <c r="K19" s="53"/>
      <c r="L19" s="53"/>
      <c r="M19" s="53"/>
      <c r="N19" s="53"/>
      <c r="O19" s="53"/>
      <c r="P19" s="53"/>
      <c r="Q19" s="53"/>
      <c r="R19" s="53"/>
      <c r="S19" s="182"/>
      <c r="T19" s="53"/>
      <c r="U19" s="192">
        <v>0</v>
      </c>
      <c r="V19" s="171">
        <f>IFERROR(V34*$U19,0)</f>
        <v>0</v>
      </c>
      <c r="W19" s="171">
        <f t="shared" ref="W19:AJ19" si="10">IFERROR(W34*$U19,0)</f>
        <v>0</v>
      </c>
      <c r="X19" s="171">
        <f t="shared" si="10"/>
        <v>0</v>
      </c>
      <c r="Y19" s="171">
        <f t="shared" si="10"/>
        <v>0</v>
      </c>
      <c r="Z19" s="171">
        <f t="shared" si="10"/>
        <v>0</v>
      </c>
      <c r="AA19" s="171">
        <f t="shared" si="10"/>
        <v>0</v>
      </c>
      <c r="AB19" s="171">
        <f t="shared" si="10"/>
        <v>0</v>
      </c>
      <c r="AC19" s="171">
        <f t="shared" si="10"/>
        <v>0</v>
      </c>
      <c r="AD19" s="171">
        <f t="shared" si="10"/>
        <v>0</v>
      </c>
      <c r="AE19" s="171">
        <f t="shared" si="10"/>
        <v>0</v>
      </c>
      <c r="AF19" s="171">
        <f t="shared" si="10"/>
        <v>0</v>
      </c>
      <c r="AG19" s="171">
        <f t="shared" si="10"/>
        <v>0</v>
      </c>
      <c r="AH19" s="171">
        <f t="shared" si="10"/>
        <v>0</v>
      </c>
      <c r="AI19" s="171">
        <f t="shared" si="10"/>
        <v>0</v>
      </c>
      <c r="AJ19" s="171">
        <f t="shared" si="10"/>
        <v>0</v>
      </c>
      <c r="AK19" s="172"/>
      <c r="AL19" s="456"/>
    </row>
    <row r="20" spans="2:47" x14ac:dyDescent="0.25">
      <c r="B20" s="170" t="s">
        <v>1280</v>
      </c>
      <c r="C20" s="170"/>
      <c r="D20" s="170"/>
      <c r="E20" s="176"/>
      <c r="F20" s="53"/>
      <c r="G20" s="53"/>
      <c r="H20" s="53"/>
      <c r="I20" s="53"/>
      <c r="J20" s="53"/>
      <c r="K20" s="53"/>
      <c r="L20" s="53"/>
      <c r="M20" s="53"/>
      <c r="N20" s="53"/>
      <c r="O20" s="53"/>
      <c r="P20" s="53"/>
      <c r="Q20" s="53"/>
      <c r="R20" s="53"/>
      <c r="S20" s="182"/>
      <c r="T20" s="53"/>
      <c r="U20" s="193">
        <v>0.5</v>
      </c>
      <c r="V20" s="173">
        <f>IFERROR(V39*$U20,0)</f>
        <v>0.48333333333333334</v>
      </c>
      <c r="W20" s="173">
        <f t="shared" ref="W20:AJ20" si="11">IFERROR(W39*$U20,0)</f>
        <v>0.41428571428571426</v>
      </c>
      <c r="X20" s="173">
        <f t="shared" si="11"/>
        <v>0.47335164835164839</v>
      </c>
      <c r="Y20" s="173">
        <f t="shared" si="11"/>
        <v>0.422463768115942</v>
      </c>
      <c r="Z20" s="173">
        <f t="shared" si="11"/>
        <v>0.28890784982935153</v>
      </c>
      <c r="AA20" s="173">
        <f t="shared" si="11"/>
        <v>0.31720430107526881</v>
      </c>
      <c r="AB20" s="173">
        <f t="shared" si="11"/>
        <v>0.36114864864864865</v>
      </c>
      <c r="AC20" s="173">
        <f t="shared" si="11"/>
        <v>0</v>
      </c>
      <c r="AD20" s="173">
        <f t="shared" si="11"/>
        <v>0.25760869565217392</v>
      </c>
      <c r="AE20" s="173">
        <f t="shared" si="11"/>
        <v>0</v>
      </c>
      <c r="AF20" s="173">
        <f t="shared" si="11"/>
        <v>0.45</v>
      </c>
      <c r="AG20" s="173">
        <f t="shared" si="11"/>
        <v>0.33209876543209876</v>
      </c>
      <c r="AH20" s="173">
        <f t="shared" si="11"/>
        <v>0.37401574803149606</v>
      </c>
      <c r="AI20" s="173">
        <f t="shared" si="11"/>
        <v>0.44927536231884058</v>
      </c>
      <c r="AJ20" s="173">
        <f t="shared" si="11"/>
        <v>0.33918128654970758</v>
      </c>
      <c r="AK20" s="172"/>
      <c r="AL20" s="456"/>
    </row>
    <row r="21" spans="2:47" x14ac:dyDescent="0.25">
      <c r="B21" s="174" t="s">
        <v>1281</v>
      </c>
      <c r="C21" s="174"/>
      <c r="D21" s="174"/>
      <c r="E21" s="183"/>
      <c r="F21" s="164"/>
      <c r="G21" s="164"/>
      <c r="H21" s="164"/>
      <c r="I21" s="164"/>
      <c r="J21" s="164"/>
      <c r="K21" s="164"/>
      <c r="L21" s="164"/>
      <c r="M21" s="164"/>
      <c r="N21" s="164"/>
      <c r="O21" s="164"/>
      <c r="P21" s="164"/>
      <c r="Q21" s="164"/>
      <c r="R21" s="164"/>
      <c r="S21" s="184"/>
      <c r="T21" s="164"/>
      <c r="U21" s="194">
        <v>0.5</v>
      </c>
      <c r="V21" s="175">
        <f>IFERROR(V44*$U21,0)</f>
        <v>0.28999999999999998</v>
      </c>
      <c r="W21" s="175">
        <f t="shared" ref="W21:AJ21" si="12">IFERROR(W44*$U21,0)</f>
        <v>0.5</v>
      </c>
      <c r="X21" s="175">
        <f t="shared" si="12"/>
        <v>0.43310344827586206</v>
      </c>
      <c r="Y21" s="175">
        <f t="shared" si="12"/>
        <v>0.42788461538461536</v>
      </c>
      <c r="Z21" s="175">
        <f t="shared" si="12"/>
        <v>0.42403846153846153</v>
      </c>
      <c r="AA21" s="175">
        <f t="shared" si="12"/>
        <v>0.40671641791044777</v>
      </c>
      <c r="AB21" s="175">
        <f t="shared" si="12"/>
        <v>0.44010869565217386</v>
      </c>
      <c r="AC21" s="175">
        <f t="shared" si="12"/>
        <v>0</v>
      </c>
      <c r="AD21" s="175">
        <f t="shared" si="12"/>
        <v>0.38513513513513514</v>
      </c>
      <c r="AE21" s="175">
        <f t="shared" si="12"/>
        <v>0</v>
      </c>
      <c r="AF21" s="175">
        <f t="shared" si="12"/>
        <v>0.45833333333333331</v>
      </c>
      <c r="AG21" s="175">
        <f t="shared" si="12"/>
        <v>0.39207317073170728</v>
      </c>
      <c r="AH21" s="175">
        <f t="shared" si="12"/>
        <v>0.38594470046082952</v>
      </c>
      <c r="AI21" s="175">
        <f t="shared" si="12"/>
        <v>0.41446540880503147</v>
      </c>
      <c r="AJ21" s="175">
        <f t="shared" si="12"/>
        <v>0.44968152866242034</v>
      </c>
      <c r="AK21" s="175"/>
      <c r="AL21" s="457"/>
    </row>
    <row r="22" spans="2:47" ht="6" customHeight="1" x14ac:dyDescent="0.25">
      <c r="B22" s="207"/>
      <c r="C22" s="207"/>
      <c r="D22" s="207"/>
      <c r="E22" s="205"/>
      <c r="S22" s="206"/>
      <c r="U22" s="205"/>
      <c r="V22" s="158"/>
      <c r="W22" s="158"/>
      <c r="X22" s="158"/>
      <c r="Y22" s="158"/>
      <c r="Z22" s="158"/>
      <c r="AA22" s="158"/>
      <c r="AB22" s="158"/>
      <c r="AC22" s="158"/>
      <c r="AD22" s="158"/>
      <c r="AE22" s="158"/>
      <c r="AF22" s="158"/>
      <c r="AG22" s="158"/>
      <c r="AH22" s="158"/>
      <c r="AI22" s="158"/>
      <c r="AJ22" s="158"/>
      <c r="AK22" s="158"/>
      <c r="AL22" s="458"/>
    </row>
    <row r="23" spans="2:47" x14ac:dyDescent="0.25">
      <c r="B23" s="416" t="s">
        <v>4806</v>
      </c>
      <c r="C23" s="416"/>
      <c r="D23" s="416"/>
      <c r="E23" s="417"/>
      <c r="F23" s="416"/>
      <c r="G23" s="416"/>
      <c r="H23" s="416"/>
      <c r="I23" s="416"/>
      <c r="J23" s="416"/>
      <c r="K23" s="416"/>
      <c r="L23" s="416"/>
      <c r="M23" s="416"/>
      <c r="N23" s="416"/>
      <c r="O23" s="416"/>
      <c r="P23" s="416"/>
      <c r="Q23" s="416"/>
      <c r="R23" s="416"/>
      <c r="S23" s="418"/>
      <c r="T23" s="416"/>
      <c r="U23" s="419"/>
      <c r="V23" s="420" t="str">
        <f>IF(COUNTIF(V24:V26,"Flag")&gt;=1,"Flag","")</f>
        <v/>
      </c>
      <c r="W23" s="420" t="str">
        <f t="shared" ref="W23:AJ23" si="13">IF(COUNTIF(W24:W26,"Flag")&gt;=1,"Flag","")</f>
        <v/>
      </c>
      <c r="X23" s="420" t="str">
        <f t="shared" si="13"/>
        <v/>
      </c>
      <c r="Y23" s="420" t="str">
        <f t="shared" si="13"/>
        <v/>
      </c>
      <c r="Z23" s="420" t="str">
        <f t="shared" si="13"/>
        <v>Flag</v>
      </c>
      <c r="AA23" s="420" t="str">
        <f t="shared" si="13"/>
        <v>Flag</v>
      </c>
      <c r="AB23" s="420" t="str">
        <f t="shared" si="13"/>
        <v>Flag</v>
      </c>
      <c r="AC23" s="420" t="str">
        <f t="shared" si="13"/>
        <v/>
      </c>
      <c r="AD23" s="420" t="str">
        <f t="shared" si="13"/>
        <v>Flag</v>
      </c>
      <c r="AE23" s="420" t="str">
        <f t="shared" si="13"/>
        <v/>
      </c>
      <c r="AF23" s="420" t="str">
        <f t="shared" si="13"/>
        <v/>
      </c>
      <c r="AG23" s="420" t="str">
        <f t="shared" si="13"/>
        <v>Flag</v>
      </c>
      <c r="AH23" s="420" t="str">
        <f t="shared" si="13"/>
        <v>Flag</v>
      </c>
      <c r="AI23" s="420" t="str">
        <f t="shared" si="13"/>
        <v>Flag</v>
      </c>
      <c r="AJ23" s="420" t="str">
        <f t="shared" si="13"/>
        <v/>
      </c>
      <c r="AK23" s="416"/>
      <c r="AL23" s="467" t="s">
        <v>2102</v>
      </c>
    </row>
    <row r="24" spans="2:47" x14ac:dyDescent="0.25">
      <c r="B24" s="406" t="s">
        <v>4817</v>
      </c>
      <c r="C24" s="406"/>
      <c r="D24" s="406"/>
      <c r="E24" s="407"/>
      <c r="F24" s="406"/>
      <c r="G24" s="406"/>
      <c r="H24" s="406"/>
      <c r="I24" s="406"/>
      <c r="J24" s="406"/>
      <c r="K24" s="406"/>
      <c r="L24" s="406"/>
      <c r="M24" s="406"/>
      <c r="N24" s="406"/>
      <c r="O24" s="406"/>
      <c r="P24" s="406"/>
      <c r="Q24" s="406"/>
      <c r="R24" s="406"/>
      <c r="S24" s="408"/>
      <c r="T24" s="468" t="s">
        <v>4819</v>
      </c>
      <c r="U24" s="409" t="str">
        <f>"&gt;="&amp;U45</f>
        <v>&gt;=1</v>
      </c>
      <c r="V24" s="409" t="str">
        <f>V45</f>
        <v/>
      </c>
      <c r="W24" s="409" t="str">
        <f t="shared" ref="W24:AJ24" si="14">W45</f>
        <v/>
      </c>
      <c r="X24" s="409" t="str">
        <f t="shared" si="14"/>
        <v/>
      </c>
      <c r="Y24" s="409" t="str">
        <f t="shared" si="14"/>
        <v/>
      </c>
      <c r="Z24" s="409" t="str">
        <f t="shared" si="14"/>
        <v>Flag</v>
      </c>
      <c r="AA24" s="409" t="str">
        <f t="shared" si="14"/>
        <v>Flag</v>
      </c>
      <c r="AB24" s="409" t="str">
        <f t="shared" si="14"/>
        <v>Flag</v>
      </c>
      <c r="AC24" s="409" t="str">
        <f t="shared" si="14"/>
        <v/>
      </c>
      <c r="AD24" s="409" t="str">
        <f t="shared" si="14"/>
        <v>Flag</v>
      </c>
      <c r="AE24" s="409" t="str">
        <f t="shared" si="14"/>
        <v/>
      </c>
      <c r="AF24" s="409" t="str">
        <f t="shared" si="14"/>
        <v/>
      </c>
      <c r="AG24" s="409" t="str">
        <f t="shared" si="14"/>
        <v>Flag</v>
      </c>
      <c r="AH24" s="409" t="str">
        <f t="shared" si="14"/>
        <v>Flag</v>
      </c>
      <c r="AI24" s="409" t="str">
        <f t="shared" si="14"/>
        <v>Flag</v>
      </c>
      <c r="AJ24" s="409" t="str">
        <f t="shared" si="14"/>
        <v/>
      </c>
      <c r="AK24" s="409"/>
      <c r="AL24" s="460"/>
    </row>
    <row r="25" spans="2:47" x14ac:dyDescent="0.25">
      <c r="B25" s="53" t="s">
        <v>4818</v>
      </c>
      <c r="C25" s="53"/>
      <c r="D25" s="53"/>
      <c r="E25" s="176"/>
      <c r="F25" s="53"/>
      <c r="G25" s="53"/>
      <c r="H25" s="53"/>
      <c r="I25" s="53"/>
      <c r="J25" s="53"/>
      <c r="K25" s="53"/>
      <c r="L25" s="53"/>
      <c r="M25" s="53"/>
      <c r="N25" s="53"/>
      <c r="O25" s="53"/>
      <c r="P25" s="53"/>
      <c r="Q25" s="53"/>
      <c r="R25" s="53"/>
      <c r="S25" s="182"/>
      <c r="T25" s="469" t="s">
        <v>4819</v>
      </c>
      <c r="U25" s="173" t="str">
        <f>"&gt;="&amp;U65</f>
        <v>&gt;=1</v>
      </c>
      <c r="V25" s="173" t="str">
        <f>V53</f>
        <v/>
      </c>
      <c r="W25" s="173" t="str">
        <f t="shared" ref="W25:AJ25" si="15">W53</f>
        <v/>
      </c>
      <c r="X25" s="173" t="str">
        <f t="shared" si="15"/>
        <v/>
      </c>
      <c r="Y25" s="173" t="str">
        <f t="shared" si="15"/>
        <v/>
      </c>
      <c r="Z25" s="173" t="str">
        <f t="shared" si="15"/>
        <v/>
      </c>
      <c r="AA25" s="173" t="str">
        <f t="shared" si="15"/>
        <v/>
      </c>
      <c r="AB25" s="173" t="str">
        <f t="shared" si="15"/>
        <v/>
      </c>
      <c r="AC25" s="173" t="str">
        <f t="shared" si="15"/>
        <v/>
      </c>
      <c r="AD25" s="173" t="str">
        <f t="shared" si="15"/>
        <v/>
      </c>
      <c r="AE25" s="173" t="str">
        <f t="shared" si="15"/>
        <v/>
      </c>
      <c r="AF25" s="173" t="str">
        <f t="shared" si="15"/>
        <v/>
      </c>
      <c r="AG25" s="173" t="str">
        <f t="shared" si="15"/>
        <v/>
      </c>
      <c r="AH25" s="173" t="str">
        <f t="shared" si="15"/>
        <v/>
      </c>
      <c r="AI25" s="173" t="str">
        <f t="shared" si="15"/>
        <v/>
      </c>
      <c r="AJ25" s="173" t="str">
        <f t="shared" si="15"/>
        <v/>
      </c>
      <c r="AK25" s="53"/>
      <c r="AL25" s="449"/>
    </row>
    <row r="26" spans="2:47" x14ac:dyDescent="0.25">
      <c r="B26" s="164" t="s">
        <v>4793</v>
      </c>
      <c r="C26" s="164"/>
      <c r="D26" s="164"/>
      <c r="E26" s="183"/>
      <c r="F26" s="164"/>
      <c r="G26" s="164"/>
      <c r="H26" s="164"/>
      <c r="I26" s="164"/>
      <c r="J26" s="164"/>
      <c r="K26" s="164"/>
      <c r="L26" s="164"/>
      <c r="M26" s="164"/>
      <c r="N26" s="164"/>
      <c r="O26" s="164"/>
      <c r="P26" s="164"/>
      <c r="Q26" s="164"/>
      <c r="R26" s="164"/>
      <c r="S26" s="184"/>
      <c r="T26" s="470" t="s">
        <v>4819</v>
      </c>
      <c r="U26" s="175" t="str">
        <f>"&gt;="&amp;U53</f>
        <v>&gt;=1</v>
      </c>
      <c r="V26" s="175" t="str">
        <f>V65</f>
        <v/>
      </c>
      <c r="W26" s="175" t="str">
        <f t="shared" ref="W26:AJ26" si="16">W65</f>
        <v/>
      </c>
      <c r="X26" s="175" t="str">
        <f t="shared" si="16"/>
        <v/>
      </c>
      <c r="Y26" s="175" t="str">
        <f t="shared" si="16"/>
        <v/>
      </c>
      <c r="Z26" s="175" t="str">
        <f t="shared" si="16"/>
        <v/>
      </c>
      <c r="AA26" s="175" t="str">
        <f t="shared" si="16"/>
        <v/>
      </c>
      <c r="AB26" s="175" t="str">
        <f t="shared" si="16"/>
        <v>Flag</v>
      </c>
      <c r="AC26" s="175" t="str">
        <f t="shared" si="16"/>
        <v/>
      </c>
      <c r="AD26" s="175" t="str">
        <f t="shared" si="16"/>
        <v/>
      </c>
      <c r="AE26" s="175" t="str">
        <f t="shared" si="16"/>
        <v/>
      </c>
      <c r="AF26" s="175" t="str">
        <f t="shared" si="16"/>
        <v/>
      </c>
      <c r="AG26" s="175" t="str">
        <f t="shared" si="16"/>
        <v/>
      </c>
      <c r="AH26" s="175" t="str">
        <f t="shared" si="16"/>
        <v/>
      </c>
      <c r="AI26" s="175" t="str">
        <f t="shared" si="16"/>
        <v>Flag</v>
      </c>
      <c r="AJ26" s="175" t="str">
        <f t="shared" si="16"/>
        <v/>
      </c>
      <c r="AK26" s="164"/>
      <c r="AL26" s="450"/>
    </row>
    <row r="27" spans="2:47" ht="6" customHeight="1" x14ac:dyDescent="0.25">
      <c r="B27" s="207"/>
      <c r="C27" s="207"/>
      <c r="D27" s="207"/>
      <c r="E27" s="205"/>
      <c r="S27" s="206"/>
      <c r="U27" s="205"/>
      <c r="V27" s="158"/>
      <c r="W27" s="158"/>
      <c r="X27" s="158"/>
      <c r="Y27" s="158"/>
      <c r="Z27" s="158"/>
      <c r="AA27" s="158"/>
      <c r="AB27" s="158"/>
      <c r="AC27" s="158"/>
      <c r="AD27" s="158"/>
      <c r="AE27" s="158"/>
      <c r="AF27" s="158"/>
      <c r="AG27" s="158"/>
      <c r="AH27" s="158"/>
      <c r="AI27" s="158"/>
      <c r="AJ27" s="158"/>
      <c r="AK27" s="158"/>
      <c r="AL27" s="458"/>
    </row>
    <row r="28" spans="2:47" s="405" customFormat="1" ht="16.5" customHeight="1" x14ac:dyDescent="0.25">
      <c r="B28" s="402" t="s">
        <v>4801</v>
      </c>
      <c r="C28" s="400"/>
      <c r="D28" s="400"/>
      <c r="E28" s="401"/>
      <c r="F28" s="402"/>
      <c r="G28" s="402"/>
      <c r="H28" s="402"/>
      <c r="I28" s="402"/>
      <c r="J28" s="402"/>
      <c r="K28" s="402"/>
      <c r="L28" s="402"/>
      <c r="M28" s="402"/>
      <c r="N28" s="402"/>
      <c r="O28" s="402"/>
      <c r="P28" s="402"/>
      <c r="Q28" s="402"/>
      <c r="R28" s="402"/>
      <c r="S28" s="403"/>
      <c r="T28" s="402"/>
      <c r="U28" s="401"/>
      <c r="V28" s="404"/>
      <c r="W28" s="404"/>
      <c r="X28" s="404"/>
      <c r="Y28" s="404"/>
      <c r="Z28" s="404"/>
      <c r="AA28" s="404"/>
      <c r="AB28" s="404"/>
      <c r="AC28" s="404"/>
      <c r="AD28" s="404"/>
      <c r="AE28" s="404"/>
      <c r="AF28" s="404"/>
      <c r="AG28" s="404"/>
      <c r="AH28" s="404"/>
      <c r="AI28" s="404"/>
      <c r="AJ28" s="404"/>
      <c r="AK28" s="404"/>
      <c r="AL28" s="452"/>
      <c r="AR28"/>
      <c r="AS28"/>
      <c r="AT28"/>
      <c r="AU28"/>
    </row>
    <row r="29" spans="2:47" ht="17.100000000000001" customHeight="1" x14ac:dyDescent="0.25">
      <c r="B29" s="168" t="s">
        <v>1274</v>
      </c>
      <c r="C29" s="168" t="s">
        <v>4808</v>
      </c>
      <c r="D29" s="447" t="s">
        <v>4797</v>
      </c>
      <c r="E29" s="396" t="s">
        <v>4800</v>
      </c>
      <c r="F29" s="397"/>
      <c r="G29" s="397"/>
      <c r="H29" s="397"/>
      <c r="I29" s="397"/>
      <c r="J29" s="397"/>
      <c r="K29" s="397"/>
      <c r="L29" s="397"/>
      <c r="M29" s="397"/>
      <c r="N29" s="397"/>
      <c r="O29" s="397"/>
      <c r="P29" s="397"/>
      <c r="Q29" s="397"/>
      <c r="R29" s="397"/>
      <c r="S29" s="398"/>
      <c r="T29" s="168"/>
      <c r="U29" s="177" t="s">
        <v>4798</v>
      </c>
      <c r="V29" s="399" t="s">
        <v>4799</v>
      </c>
      <c r="W29" s="399"/>
      <c r="X29" s="399"/>
      <c r="Y29" s="399"/>
      <c r="Z29" s="399"/>
      <c r="AA29" s="399"/>
      <c r="AB29" s="399"/>
      <c r="AC29" s="399"/>
      <c r="AD29" s="399"/>
      <c r="AE29" s="399"/>
      <c r="AF29" s="399"/>
      <c r="AG29" s="399"/>
      <c r="AH29" s="399"/>
      <c r="AI29" s="399"/>
      <c r="AJ29" s="399"/>
      <c r="AK29" s="168"/>
      <c r="AL29" s="466" t="s">
        <v>2103</v>
      </c>
    </row>
    <row r="30" spans="2:47" x14ac:dyDescent="0.25">
      <c r="B30" s="159" t="s">
        <v>1283</v>
      </c>
      <c r="C30" s="110">
        <v>0</v>
      </c>
      <c r="D30" s="161" t="s">
        <v>1277</v>
      </c>
      <c r="E30" s="391">
        <f>COUNTIFS(TU_DB[[NO2 Bin (2n1) (ppm)]:[NO2 Bin (2n1) (ppm)]],$C30,TU_DB[[TU Chapter Area]:[TU Chapter Area]],Scorecard!E$6)</f>
        <v>15</v>
      </c>
      <c r="F30" s="390">
        <f>COUNTIFS(TU_DB[[NO2 Bin (2n1) (ppm)]:[NO2 Bin (2n1) (ppm)]],$C30,TU_DB[[TU Chapter Area]:[TU Chapter Area]],Scorecard!F$6)</f>
        <v>7</v>
      </c>
      <c r="G30" s="390">
        <f>COUNTIFS(TU_DB[[NO2 Bin (2n1) (ppm)]:[NO2 Bin (2n1) (ppm)]],$C30,TU_DB[[TU Chapter Area]:[TU Chapter Area]],Scorecard!G$6)</f>
        <v>182</v>
      </c>
      <c r="H30" s="390">
        <f>COUNTIFS(TU_DB[[NO2 Bin (2n1) (ppm)]:[NO2 Bin (2n1) (ppm)]],$C30,TU_DB[[TU Chapter Area]:[TU Chapter Area]],Scorecard!H$6)</f>
        <v>68</v>
      </c>
      <c r="I30" s="390">
        <f>COUNTIFS(TU_DB[[NO2 Bin (2n1) (ppm)]:[NO2 Bin (2n1) (ppm)]],$C30,TU_DB[[TU Chapter Area]:[TU Chapter Area]],Scorecard!I$6)</f>
        <v>293</v>
      </c>
      <c r="J30" s="390">
        <f>COUNTIFS(TU_DB[[NO2 Bin (2n1) (ppm)]:[NO2 Bin (2n1) (ppm)]],$C30,TU_DB[[TU Chapter Area]:[TU Chapter Area]],Scorecard!J$6)</f>
        <v>93</v>
      </c>
      <c r="K30" s="390">
        <f>COUNTIFS(TU_DB[[NO2 Bin (2n1) (ppm)]:[NO2 Bin (2n1) (ppm)]],$C30,TU_DB[[TU Chapter Area]:[TU Chapter Area]],Scorecard!K$6)</f>
        <v>441</v>
      </c>
      <c r="L30" s="390">
        <f>COUNTIFS(TU_DB[[NO2 Bin (2n1) (ppm)]:[NO2 Bin (2n1) (ppm)]],$C30,TU_DB[[TU Chapter Area]:[TU Chapter Area]],Scorecard!L$6)</f>
        <v>0</v>
      </c>
      <c r="M30" s="390">
        <f>COUNTIFS(TU_DB[[NO2 Bin (2n1) (ppm)]:[NO2 Bin (2n1) (ppm)]],$C30,TU_DB[[TU Chapter Area]:[TU Chapter Area]],Scorecard!M$6)</f>
        <v>46</v>
      </c>
      <c r="N30" s="390">
        <f>COUNTIFS(TU_DB[[NO2 Bin (2n1) (ppm)]:[NO2 Bin (2n1) (ppm)]],$C30,TU_DB[[TU Chapter Area]:[TU Chapter Area]],Scorecard!N$6)</f>
        <v>0</v>
      </c>
      <c r="O30" s="390">
        <f>COUNTIFS(TU_DB[[NO2 Bin (2n1) (ppm)]:[NO2 Bin (2n1) (ppm)]],$C30,TU_DB[[TU Chapter Area]:[TU Chapter Area]],Scorecard!O$6)</f>
        <v>10</v>
      </c>
      <c r="P30" s="390">
        <f>COUNTIFS(TU_DB[[NO2 Bin (2n1) (ppm)]:[NO2 Bin (2n1) (ppm)]],$C30,TU_DB[[TU Chapter Area]:[TU Chapter Area]],Scorecard!P$6)</f>
        <v>81</v>
      </c>
      <c r="Q30" s="390">
        <f>COUNTIFS(TU_DB[[NO2 Bin (2n1) (ppm)]:[NO2 Bin (2n1) (ppm)]],$C30,TU_DB[[TU Chapter Area]:[TU Chapter Area]],Scorecard!Q$6)</f>
        <v>252</v>
      </c>
      <c r="R30" s="390">
        <f>COUNTIFS(TU_DB[[NO2 Bin (2n1) (ppm)]:[NO2 Bin (2n1) (ppm)]],$C30,TU_DB[[TU Chapter Area]:[TU Chapter Area]],Scorecard!R$6)</f>
        <v>206</v>
      </c>
      <c r="S30" s="392">
        <f>COUNTIFS(TU_DB[[NO2 Bin (2n1) (ppm)]:[NO2 Bin (2n1) (ppm)]],$C30,TU_DB[[TU Chapter Area]:[TU Chapter Area]],Scorecard!S$6)</f>
        <v>170</v>
      </c>
      <c r="T30" s="160"/>
      <c r="U30" s="485">
        <v>1</v>
      </c>
      <c r="V30" s="486">
        <f>IFERROR(E30*$U30,0)</f>
        <v>15</v>
      </c>
      <c r="W30" s="486">
        <f t="shared" ref="W30:W33" si="17">IFERROR(F30*$U30,0)</f>
        <v>7</v>
      </c>
      <c r="X30" s="486">
        <f t="shared" ref="X30:X33" si="18">IFERROR(G30*$U30,0)</f>
        <v>182</v>
      </c>
      <c r="Y30" s="486">
        <f t="shared" ref="Y30:Y33" si="19">IFERROR(H30*$U30,0)</f>
        <v>68</v>
      </c>
      <c r="Z30" s="486">
        <f t="shared" ref="Z30:Z33" si="20">IFERROR(I30*$U30,0)</f>
        <v>293</v>
      </c>
      <c r="AA30" s="486">
        <f t="shared" ref="AA30:AA33" si="21">IFERROR(J30*$U30,0)</f>
        <v>93</v>
      </c>
      <c r="AB30" s="486">
        <f t="shared" ref="AB30:AB33" si="22">IFERROR(K30*$U30,0)</f>
        <v>441</v>
      </c>
      <c r="AC30" s="486">
        <f t="shared" ref="AC30:AC33" si="23">IFERROR(L30*$U30,0)</f>
        <v>0</v>
      </c>
      <c r="AD30" s="486">
        <f t="shared" ref="AD30:AD33" si="24">IFERROR(M30*$U30,0)</f>
        <v>46</v>
      </c>
      <c r="AE30" s="486">
        <f t="shared" ref="AE30:AE33" si="25">IFERROR(N30*$U30,0)</f>
        <v>0</v>
      </c>
      <c r="AF30" s="486">
        <f t="shared" ref="AF30:AF33" si="26">IFERROR(O30*$U30,0)</f>
        <v>10</v>
      </c>
      <c r="AG30" s="486">
        <f t="shared" ref="AG30:AG33" si="27">IFERROR(P30*$U30,0)</f>
        <v>81</v>
      </c>
      <c r="AH30" s="486">
        <f t="shared" ref="AH30:AH33" si="28">IFERROR(Q30*$U30,0)</f>
        <v>252</v>
      </c>
      <c r="AI30" s="486">
        <f t="shared" ref="AI30:AI33" si="29">IFERROR(R30*$U30,0)</f>
        <v>206</v>
      </c>
      <c r="AJ30" s="486">
        <f t="shared" ref="AJ30:AJ33" si="30">IFERROR(S30*$U30,0)</f>
        <v>170</v>
      </c>
      <c r="AK30" s="421"/>
      <c r="AL30" s="461"/>
    </row>
    <row r="31" spans="2:47" x14ac:dyDescent="0.25">
      <c r="C31" s="110">
        <v>0.15</v>
      </c>
      <c r="D31" s="133" t="s">
        <v>1279</v>
      </c>
      <c r="E31" s="186">
        <f>COUNTIFS(TU_DB[[NO2 Bin (2n1) (ppm)]:[NO2 Bin (2n1) (ppm)]],$C31,TU_DB[[TU Chapter Area]:[TU Chapter Area]],Scorecard!E$6)</f>
        <v>0</v>
      </c>
      <c r="F31" s="1">
        <f>COUNTIFS(TU_DB[[NO2 Bin (2n1) (ppm)]:[NO2 Bin (2n1) (ppm)]],$C31,TU_DB[[TU Chapter Area]:[TU Chapter Area]],Scorecard!F$6)</f>
        <v>0</v>
      </c>
      <c r="G31" s="1">
        <f>COUNTIFS(TU_DB[[NO2 Bin (2n1) (ppm)]:[NO2 Bin (2n1) (ppm)]],$C31,TU_DB[[TU Chapter Area]:[TU Chapter Area]],Scorecard!G$6)</f>
        <v>0</v>
      </c>
      <c r="H31" s="1">
        <f>COUNTIFS(TU_DB[[NO2 Bin (2n1) (ppm)]:[NO2 Bin (2n1) (ppm)]],$C31,TU_DB[[TU Chapter Area]:[TU Chapter Area]],Scorecard!H$6)</f>
        <v>0</v>
      </c>
      <c r="I31" s="1">
        <f>COUNTIFS(TU_DB[[NO2 Bin (2n1) (ppm)]:[NO2 Bin (2n1) (ppm)]],$C31,TU_DB[[TU Chapter Area]:[TU Chapter Area]],Scorecard!I$6)</f>
        <v>0</v>
      </c>
      <c r="J31" s="1">
        <f>COUNTIFS(TU_DB[[NO2 Bin (2n1) (ppm)]:[NO2 Bin (2n1) (ppm)]],$C31,TU_DB[[TU Chapter Area]:[TU Chapter Area]],Scorecard!J$6)</f>
        <v>0</v>
      </c>
      <c r="K31" s="1">
        <f>COUNTIFS(TU_DB[[NO2 Bin (2n1) (ppm)]:[NO2 Bin (2n1) (ppm)]],$C31,TU_DB[[TU Chapter Area]:[TU Chapter Area]],Scorecard!K$6)</f>
        <v>0</v>
      </c>
      <c r="L31" s="1">
        <f>COUNTIFS(TU_DB[[NO2 Bin (2n1) (ppm)]:[NO2 Bin (2n1) (ppm)]],$C31,TU_DB[[TU Chapter Area]:[TU Chapter Area]],Scorecard!L$6)</f>
        <v>0</v>
      </c>
      <c r="M31" s="1">
        <f>COUNTIFS(TU_DB[[NO2 Bin (2n1) (ppm)]:[NO2 Bin (2n1) (ppm)]],$C31,TU_DB[[TU Chapter Area]:[TU Chapter Area]],Scorecard!M$6)</f>
        <v>0</v>
      </c>
      <c r="N31" s="1">
        <f>COUNTIFS(TU_DB[[NO2 Bin (2n1) (ppm)]:[NO2 Bin (2n1) (ppm)]],$C31,TU_DB[[TU Chapter Area]:[TU Chapter Area]],Scorecard!N$6)</f>
        <v>0</v>
      </c>
      <c r="O31" s="1">
        <f>COUNTIFS(TU_DB[[NO2 Bin (2n1) (ppm)]:[NO2 Bin (2n1) (ppm)]],$C31,TU_DB[[TU Chapter Area]:[TU Chapter Area]],Scorecard!O$6)</f>
        <v>0</v>
      </c>
      <c r="P31" s="1">
        <f>COUNTIFS(TU_DB[[NO2 Bin (2n1) (ppm)]:[NO2 Bin (2n1) (ppm)]],$C31,TU_DB[[TU Chapter Area]:[TU Chapter Area]],Scorecard!P$6)</f>
        <v>0</v>
      </c>
      <c r="Q31" s="1">
        <f>COUNTIFS(TU_DB[[NO2 Bin (2n1) (ppm)]:[NO2 Bin (2n1) (ppm)]],$C31,TU_DB[[TU Chapter Area]:[TU Chapter Area]],Scorecard!Q$6)</f>
        <v>0</v>
      </c>
      <c r="R31" s="1">
        <f>COUNTIFS(TU_DB[[NO2 Bin (2n1) (ppm)]:[NO2 Bin (2n1) (ppm)]],$C31,TU_DB[[TU Chapter Area]:[TU Chapter Area]],Scorecard!R$6)</f>
        <v>0</v>
      </c>
      <c r="S31" s="187">
        <f>COUNTIFS(TU_DB[[NO2 Bin (2n1) (ppm)]:[NO2 Bin (2n1) (ppm)]],$C31,TU_DB[[TU Chapter Area]:[TU Chapter Area]],Scorecard!S$6)</f>
        <v>0</v>
      </c>
      <c r="T31" s="1"/>
      <c r="U31" s="487">
        <v>0.5</v>
      </c>
      <c r="V31" s="488">
        <f t="shared" ref="V31:V33" si="31">IFERROR(E31*$U31,0)</f>
        <v>0</v>
      </c>
      <c r="W31" s="488">
        <f t="shared" si="17"/>
        <v>0</v>
      </c>
      <c r="X31" s="488">
        <f t="shared" si="18"/>
        <v>0</v>
      </c>
      <c r="Y31" s="488">
        <f t="shared" si="19"/>
        <v>0</v>
      </c>
      <c r="Z31" s="488">
        <f t="shared" si="20"/>
        <v>0</v>
      </c>
      <c r="AA31" s="488">
        <f t="shared" si="21"/>
        <v>0</v>
      </c>
      <c r="AB31" s="488">
        <f t="shared" si="22"/>
        <v>0</v>
      </c>
      <c r="AC31" s="488">
        <f t="shared" si="23"/>
        <v>0</v>
      </c>
      <c r="AD31" s="488">
        <f t="shared" si="24"/>
        <v>0</v>
      </c>
      <c r="AE31" s="488">
        <f t="shared" si="25"/>
        <v>0</v>
      </c>
      <c r="AF31" s="488">
        <f t="shared" si="26"/>
        <v>0</v>
      </c>
      <c r="AG31" s="488">
        <f t="shared" si="27"/>
        <v>0</v>
      </c>
      <c r="AH31" s="488">
        <f t="shared" si="28"/>
        <v>0</v>
      </c>
      <c r="AI31" s="488">
        <f t="shared" si="29"/>
        <v>0</v>
      </c>
      <c r="AJ31" s="488">
        <f t="shared" si="30"/>
        <v>0</v>
      </c>
      <c r="AK31" s="196"/>
      <c r="AL31" s="455"/>
    </row>
    <row r="32" spans="2:47" x14ac:dyDescent="0.25">
      <c r="C32" s="110">
        <v>0.3</v>
      </c>
      <c r="D32" s="133" t="s">
        <v>1276</v>
      </c>
      <c r="E32" s="186">
        <f>COUNTIFS(TU_DB[[NO2 Bin (2n1) (ppm)]:[NO2 Bin (2n1) (ppm)]],$C32,TU_DB[[TU Chapter Area]:[TU Chapter Area]],Scorecard!E$6)</f>
        <v>0</v>
      </c>
      <c r="F32" s="1">
        <f>COUNTIFS(TU_DB[[NO2 Bin (2n1) (ppm)]:[NO2 Bin (2n1) (ppm)]],$C32,TU_DB[[TU Chapter Area]:[TU Chapter Area]],Scorecard!F$6)</f>
        <v>0</v>
      </c>
      <c r="G32" s="1">
        <f>COUNTIFS(TU_DB[[NO2 Bin (2n1) (ppm)]:[NO2 Bin (2n1) (ppm)]],$C32,TU_DB[[TU Chapter Area]:[TU Chapter Area]],Scorecard!G$6)</f>
        <v>0</v>
      </c>
      <c r="H32" s="1">
        <f>COUNTIFS(TU_DB[[NO2 Bin (2n1) (ppm)]:[NO2 Bin (2n1) (ppm)]],$C32,TU_DB[[TU Chapter Area]:[TU Chapter Area]],Scorecard!H$6)</f>
        <v>0</v>
      </c>
      <c r="I32" s="1">
        <f>COUNTIFS(TU_DB[[NO2 Bin (2n1) (ppm)]:[NO2 Bin (2n1) (ppm)]],$C32,TU_DB[[TU Chapter Area]:[TU Chapter Area]],Scorecard!I$6)</f>
        <v>0</v>
      </c>
      <c r="J32" s="1">
        <f>COUNTIFS(TU_DB[[NO2 Bin (2n1) (ppm)]:[NO2 Bin (2n1) (ppm)]],$C32,TU_DB[[TU Chapter Area]:[TU Chapter Area]],Scorecard!J$6)</f>
        <v>0</v>
      </c>
      <c r="K32" s="1">
        <f>COUNTIFS(TU_DB[[NO2 Bin (2n1) (ppm)]:[NO2 Bin (2n1) (ppm)]],$C32,TU_DB[[TU Chapter Area]:[TU Chapter Area]],Scorecard!K$6)</f>
        <v>0</v>
      </c>
      <c r="L32" s="1">
        <f>COUNTIFS(TU_DB[[NO2 Bin (2n1) (ppm)]:[NO2 Bin (2n1) (ppm)]],$C32,TU_DB[[TU Chapter Area]:[TU Chapter Area]],Scorecard!L$6)</f>
        <v>0</v>
      </c>
      <c r="M32" s="1">
        <f>COUNTIFS(TU_DB[[NO2 Bin (2n1) (ppm)]:[NO2 Bin (2n1) (ppm)]],$C32,TU_DB[[TU Chapter Area]:[TU Chapter Area]],Scorecard!M$6)</f>
        <v>0</v>
      </c>
      <c r="N32" s="1">
        <f>COUNTIFS(TU_DB[[NO2 Bin (2n1) (ppm)]:[NO2 Bin (2n1) (ppm)]],$C32,TU_DB[[TU Chapter Area]:[TU Chapter Area]],Scorecard!N$6)</f>
        <v>0</v>
      </c>
      <c r="O32" s="1">
        <f>COUNTIFS(TU_DB[[NO2 Bin (2n1) (ppm)]:[NO2 Bin (2n1) (ppm)]],$C32,TU_DB[[TU Chapter Area]:[TU Chapter Area]],Scorecard!O$6)</f>
        <v>0</v>
      </c>
      <c r="P32" s="1">
        <f>COUNTIFS(TU_DB[[NO2 Bin (2n1) (ppm)]:[NO2 Bin (2n1) (ppm)]],$C32,TU_DB[[TU Chapter Area]:[TU Chapter Area]],Scorecard!P$6)</f>
        <v>0</v>
      </c>
      <c r="Q32" s="1">
        <f>COUNTIFS(TU_DB[[NO2 Bin (2n1) (ppm)]:[NO2 Bin (2n1) (ppm)]],$C32,TU_DB[[TU Chapter Area]:[TU Chapter Area]],Scorecard!Q$6)</f>
        <v>0</v>
      </c>
      <c r="R32" s="1">
        <f>COUNTIFS(TU_DB[[NO2 Bin (2n1) (ppm)]:[NO2 Bin (2n1) (ppm)]],$C32,TU_DB[[TU Chapter Area]:[TU Chapter Area]],Scorecard!R$6)</f>
        <v>0</v>
      </c>
      <c r="S32" s="187">
        <f>COUNTIFS(TU_DB[[NO2 Bin (2n1) (ppm)]:[NO2 Bin (2n1) (ppm)]],$C32,TU_DB[[TU Chapter Area]:[TU Chapter Area]],Scorecard!S$6)</f>
        <v>0</v>
      </c>
      <c r="T32" s="1"/>
      <c r="U32" s="487">
        <v>0.3</v>
      </c>
      <c r="V32" s="488">
        <f t="shared" si="31"/>
        <v>0</v>
      </c>
      <c r="W32" s="488">
        <f t="shared" si="17"/>
        <v>0</v>
      </c>
      <c r="X32" s="488">
        <f t="shared" si="18"/>
        <v>0</v>
      </c>
      <c r="Y32" s="488">
        <f t="shared" si="19"/>
        <v>0</v>
      </c>
      <c r="Z32" s="488">
        <f t="shared" si="20"/>
        <v>0</v>
      </c>
      <c r="AA32" s="488">
        <f t="shared" si="21"/>
        <v>0</v>
      </c>
      <c r="AB32" s="488">
        <f t="shared" si="22"/>
        <v>0</v>
      </c>
      <c r="AC32" s="488">
        <f t="shared" si="23"/>
        <v>0</v>
      </c>
      <c r="AD32" s="488">
        <f t="shared" si="24"/>
        <v>0</v>
      </c>
      <c r="AE32" s="488">
        <f t="shared" si="25"/>
        <v>0</v>
      </c>
      <c r="AF32" s="488">
        <f t="shared" si="26"/>
        <v>0</v>
      </c>
      <c r="AG32" s="488">
        <f t="shared" si="27"/>
        <v>0</v>
      </c>
      <c r="AH32" s="488">
        <f t="shared" si="28"/>
        <v>0</v>
      </c>
      <c r="AI32" s="488">
        <f t="shared" si="29"/>
        <v>0</v>
      </c>
      <c r="AJ32" s="488">
        <f t="shared" si="30"/>
        <v>0</v>
      </c>
      <c r="AK32" s="196"/>
      <c r="AL32" s="455"/>
    </row>
    <row r="33" spans="2:38" x14ac:dyDescent="0.25">
      <c r="C33" s="110">
        <v>1</v>
      </c>
      <c r="D33" s="133" t="s">
        <v>4796</v>
      </c>
      <c r="E33" s="190">
        <f>COUNTIFS(TU_DB[[NO2 Bin (2n1) (ppm)]:[NO2 Bin (2n1) (ppm)]],$C33,TU_DB[[TU Chapter Area]:[TU Chapter Area]],Scorecard!E$6)</f>
        <v>0</v>
      </c>
      <c r="F33" s="135">
        <f>COUNTIFS(TU_DB[[NO2 Bin (2n1) (ppm)]:[NO2 Bin (2n1) (ppm)]],$C33,TU_DB[[TU Chapter Area]:[TU Chapter Area]],Scorecard!F$6)</f>
        <v>0</v>
      </c>
      <c r="G33" s="135">
        <f>COUNTIFS(TU_DB[[NO2 Bin (2n1) (ppm)]:[NO2 Bin (2n1) (ppm)]],$C33,TU_DB[[TU Chapter Area]:[TU Chapter Area]],Scorecard!G$6)</f>
        <v>0</v>
      </c>
      <c r="H33" s="135">
        <f>COUNTIFS(TU_DB[[NO2 Bin (2n1) (ppm)]:[NO2 Bin (2n1) (ppm)]],$C33,TU_DB[[TU Chapter Area]:[TU Chapter Area]],Scorecard!H$6)</f>
        <v>0</v>
      </c>
      <c r="I33" s="135">
        <f>COUNTIFS(TU_DB[[NO2 Bin (2n1) (ppm)]:[NO2 Bin (2n1) (ppm)]],$C33,TU_DB[[TU Chapter Area]:[TU Chapter Area]],Scorecard!I$6)</f>
        <v>0</v>
      </c>
      <c r="J33" s="135">
        <f>COUNTIFS(TU_DB[[NO2 Bin (2n1) (ppm)]:[NO2 Bin (2n1) (ppm)]],$C33,TU_DB[[TU Chapter Area]:[TU Chapter Area]],Scorecard!J$6)</f>
        <v>0</v>
      </c>
      <c r="K33" s="135">
        <f>COUNTIFS(TU_DB[[NO2 Bin (2n1) (ppm)]:[NO2 Bin (2n1) (ppm)]],$C33,TU_DB[[TU Chapter Area]:[TU Chapter Area]],Scorecard!K$6)</f>
        <v>1</v>
      </c>
      <c r="L33" s="135">
        <f>COUNTIFS(TU_DB[[NO2 Bin (2n1) (ppm)]:[NO2 Bin (2n1) (ppm)]],$C33,TU_DB[[TU Chapter Area]:[TU Chapter Area]],Scorecard!L$6)</f>
        <v>0</v>
      </c>
      <c r="M33" s="135">
        <f>COUNTIFS(TU_DB[[NO2 Bin (2n1) (ppm)]:[NO2 Bin (2n1) (ppm)]],$C33,TU_DB[[TU Chapter Area]:[TU Chapter Area]],Scorecard!M$6)</f>
        <v>0</v>
      </c>
      <c r="N33" s="135">
        <f>COUNTIFS(TU_DB[[NO2 Bin (2n1) (ppm)]:[NO2 Bin (2n1) (ppm)]],$C33,TU_DB[[TU Chapter Area]:[TU Chapter Area]],Scorecard!N$6)</f>
        <v>0</v>
      </c>
      <c r="O33" s="135">
        <f>COUNTIFS(TU_DB[[NO2 Bin (2n1) (ppm)]:[NO2 Bin (2n1) (ppm)]],$C33,TU_DB[[TU Chapter Area]:[TU Chapter Area]],Scorecard!O$6)</f>
        <v>0</v>
      </c>
      <c r="P33" s="135">
        <f>COUNTIFS(TU_DB[[NO2 Bin (2n1) (ppm)]:[NO2 Bin (2n1) (ppm)]],$C33,TU_DB[[TU Chapter Area]:[TU Chapter Area]],Scorecard!P$6)</f>
        <v>0</v>
      </c>
      <c r="Q33" s="135">
        <f>COUNTIFS(TU_DB[[NO2 Bin (2n1) (ppm)]:[NO2 Bin (2n1) (ppm)]],$C33,TU_DB[[TU Chapter Area]:[TU Chapter Area]],Scorecard!Q$6)</f>
        <v>1</v>
      </c>
      <c r="R33" s="135">
        <f>COUNTIFS(TU_DB[[NO2 Bin (2n1) (ppm)]:[NO2 Bin (2n1) (ppm)]],$C33,TU_DB[[TU Chapter Area]:[TU Chapter Area]],Scorecard!R$6)</f>
        <v>0</v>
      </c>
      <c r="S33" s="191">
        <f>COUNTIFS(TU_DB[[NO2 Bin (2n1) (ppm)]:[NO2 Bin (2n1) (ppm)]],$C33,TU_DB[[TU Chapter Area]:[TU Chapter Area]],Scorecard!S$6)</f>
        <v>0</v>
      </c>
      <c r="T33" s="135"/>
      <c r="U33" s="489">
        <v>0.2</v>
      </c>
      <c r="V33" s="492">
        <f t="shared" si="31"/>
        <v>0</v>
      </c>
      <c r="W33" s="492">
        <f t="shared" si="17"/>
        <v>0</v>
      </c>
      <c r="X33" s="492">
        <f t="shared" si="18"/>
        <v>0</v>
      </c>
      <c r="Y33" s="492">
        <f t="shared" si="19"/>
        <v>0</v>
      </c>
      <c r="Z33" s="492">
        <f t="shared" si="20"/>
        <v>0</v>
      </c>
      <c r="AA33" s="492">
        <f t="shared" si="21"/>
        <v>0</v>
      </c>
      <c r="AB33" s="492">
        <f t="shared" si="22"/>
        <v>0.2</v>
      </c>
      <c r="AC33" s="492">
        <f t="shared" si="23"/>
        <v>0</v>
      </c>
      <c r="AD33" s="492">
        <f t="shared" si="24"/>
        <v>0</v>
      </c>
      <c r="AE33" s="492">
        <f t="shared" si="25"/>
        <v>0</v>
      </c>
      <c r="AF33" s="492">
        <f t="shared" si="26"/>
        <v>0</v>
      </c>
      <c r="AG33" s="492">
        <f t="shared" si="27"/>
        <v>0</v>
      </c>
      <c r="AH33" s="492">
        <f t="shared" si="28"/>
        <v>0.2</v>
      </c>
      <c r="AI33" s="492">
        <f t="shared" si="29"/>
        <v>0</v>
      </c>
      <c r="AJ33" s="492">
        <f t="shared" si="30"/>
        <v>0</v>
      </c>
      <c r="AK33" s="196"/>
      <c r="AL33" s="455"/>
    </row>
    <row r="34" spans="2:38" x14ac:dyDescent="0.25">
      <c r="B34" s="165"/>
      <c r="C34" s="444"/>
      <c r="D34" s="167" t="s">
        <v>134</v>
      </c>
      <c r="E34" s="166">
        <f>SUM(E30:E33)</f>
        <v>15</v>
      </c>
      <c r="F34" s="166">
        <f>SUM(F30:F33)</f>
        <v>7</v>
      </c>
      <c r="G34" s="166">
        <f t="shared" ref="G34:S34" si="32">SUM(G30:G33)</f>
        <v>182</v>
      </c>
      <c r="H34" s="166">
        <f t="shared" si="32"/>
        <v>68</v>
      </c>
      <c r="I34" s="166">
        <f t="shared" si="32"/>
        <v>293</v>
      </c>
      <c r="J34" s="166">
        <f t="shared" si="32"/>
        <v>93</v>
      </c>
      <c r="K34" s="166">
        <f t="shared" si="32"/>
        <v>442</v>
      </c>
      <c r="L34" s="166">
        <f t="shared" si="32"/>
        <v>0</v>
      </c>
      <c r="M34" s="166">
        <f t="shared" si="32"/>
        <v>46</v>
      </c>
      <c r="N34" s="166">
        <f t="shared" si="32"/>
        <v>0</v>
      </c>
      <c r="O34" s="166">
        <f t="shared" si="32"/>
        <v>10</v>
      </c>
      <c r="P34" s="166">
        <f t="shared" si="32"/>
        <v>81</v>
      </c>
      <c r="Q34" s="166">
        <f t="shared" si="32"/>
        <v>253</v>
      </c>
      <c r="R34" s="166">
        <f t="shared" si="32"/>
        <v>206</v>
      </c>
      <c r="S34" s="166">
        <f t="shared" si="32"/>
        <v>170</v>
      </c>
      <c r="T34" s="167" t="s">
        <v>4802</v>
      </c>
      <c r="U34" s="490">
        <f t="shared" ref="U34" si="33">SUM(U30:U33)</f>
        <v>2</v>
      </c>
      <c r="V34" s="491">
        <f>IFERROR(SUM(V30:V33)/E34,0)</f>
        <v>1</v>
      </c>
      <c r="W34" s="491">
        <f t="shared" ref="W34" si="34">IFERROR(SUM(W30:W33)/F34,0)</f>
        <v>1</v>
      </c>
      <c r="X34" s="491">
        <f t="shared" ref="X34" si="35">IFERROR(SUM(X30:X33)/G34,0)</f>
        <v>1</v>
      </c>
      <c r="Y34" s="491">
        <f t="shared" ref="Y34" si="36">IFERROR(SUM(Y30:Y33)/H34,0)</f>
        <v>1</v>
      </c>
      <c r="Z34" s="491">
        <f t="shared" ref="Z34" si="37">IFERROR(SUM(Z30:Z33)/I34,0)</f>
        <v>1</v>
      </c>
      <c r="AA34" s="491">
        <f t="shared" ref="AA34" si="38">IFERROR(SUM(AA30:AA33)/J34,0)</f>
        <v>1</v>
      </c>
      <c r="AB34" s="491">
        <f t="shared" ref="AB34" si="39">IFERROR(SUM(AB30:AB33)/K34,0)</f>
        <v>0.99819004524886878</v>
      </c>
      <c r="AC34" s="491">
        <f t="shared" ref="AC34" si="40">IFERROR(SUM(AC30:AC33)/L34,0)</f>
        <v>0</v>
      </c>
      <c r="AD34" s="491">
        <f t="shared" ref="AD34" si="41">IFERROR(SUM(AD30:AD33)/M34,0)</f>
        <v>1</v>
      </c>
      <c r="AE34" s="491">
        <f t="shared" ref="AE34" si="42">IFERROR(SUM(AE30:AE33)/N34,0)</f>
        <v>0</v>
      </c>
      <c r="AF34" s="491">
        <f t="shared" ref="AF34" si="43">IFERROR(SUM(AF30:AF33)/O34,0)</f>
        <v>1</v>
      </c>
      <c r="AG34" s="491">
        <f t="shared" ref="AG34" si="44">IFERROR(SUM(AG30:AG33)/P34,0)</f>
        <v>1</v>
      </c>
      <c r="AH34" s="491">
        <f t="shared" ref="AH34" si="45">IFERROR(SUM(AH30:AH33)/Q34,0)</f>
        <v>0.99683794466403153</v>
      </c>
      <c r="AI34" s="491">
        <f t="shared" ref="AI34" si="46">IFERROR(SUM(AI30:AI33)/R34,0)</f>
        <v>1</v>
      </c>
      <c r="AJ34" s="491">
        <f t="shared" ref="AJ34" si="47">IFERROR(SUM(AJ30:AJ33)/S34,0)</f>
        <v>1</v>
      </c>
      <c r="AK34" s="201"/>
      <c r="AL34" s="462"/>
    </row>
    <row r="35" spans="2:38" x14ac:dyDescent="0.25">
      <c r="B35" s="159" t="s">
        <v>1280</v>
      </c>
      <c r="C35" s="110">
        <v>2</v>
      </c>
      <c r="D35" s="161" t="s">
        <v>1277</v>
      </c>
      <c r="E35" s="391">
        <f>COUNTIFS(TU_DB[[NO3 Bin (2n1) (ppm)]:[NO3 Bin (2n1) (ppm)]],"&lt;="&amp;$C35,TU_DB[[TU Chapter Area]:[TU Chapter Area]],Scorecard!E$6)</f>
        <v>14</v>
      </c>
      <c r="F35" s="160">
        <f>COUNTIFS(TU_DB[[NO3 Bin (2n1) (ppm)]:[NO3 Bin (2n1) (ppm)]],"&lt;="&amp;$C35,TU_DB[[TU Chapter Area]:[TU Chapter Area]],Scorecard!F$6)</f>
        <v>5</v>
      </c>
      <c r="G35" s="160">
        <f>COUNTIFS(TU_DB[[NO3 Bin (2n1) (ppm)]:[NO3 Bin (2n1) (ppm)]],"&lt;="&amp;$C35,TU_DB[[TU Chapter Area]:[TU Chapter Area]],Scorecard!G$6)</f>
        <v>163</v>
      </c>
      <c r="H35" s="160">
        <f>COUNTIFS(TU_DB[[NO3 Bin (2n1) (ppm)]:[NO3 Bin (2n1) (ppm)]],"&lt;="&amp;$C35,TU_DB[[TU Chapter Area]:[TU Chapter Area]],Scorecard!H$6)</f>
        <v>48</v>
      </c>
      <c r="I35" s="160">
        <f>COUNTIFS(TU_DB[[NO3 Bin (2n1) (ppm)]:[NO3 Bin (2n1) (ppm)]],"&lt;="&amp;$C35,TU_DB[[TU Chapter Area]:[TU Chapter Area]],Scorecard!I$6)</f>
        <v>70</v>
      </c>
      <c r="J35" s="160">
        <f>COUNTIFS(TU_DB[[NO3 Bin (2n1) (ppm)]:[NO3 Bin (2n1) (ppm)]],"&lt;="&amp;$C35,TU_DB[[TU Chapter Area]:[TU Chapter Area]],Scorecard!J$6)</f>
        <v>38</v>
      </c>
      <c r="K35" s="160">
        <f>COUNTIFS(TU_DB[[NO3 Bin (2n1) (ppm)]:[NO3 Bin (2n1) (ppm)]],"&lt;="&amp;$C35,TU_DB[[TU Chapter Area]:[TU Chapter Area]],Scorecard!K$6)</f>
        <v>203</v>
      </c>
      <c r="L35" s="160">
        <f>COUNTIFS(TU_DB[[NO3 Bin (2n1) (ppm)]:[NO3 Bin (2n1) (ppm)]],"&lt;="&amp;$C35,TU_DB[[TU Chapter Area]:[TU Chapter Area]],Scorecard!L$6)</f>
        <v>0</v>
      </c>
      <c r="M35" s="160">
        <f>COUNTIFS(TU_DB[[NO3 Bin (2n1) (ppm)]:[NO3 Bin (2n1) (ppm)]],"&lt;="&amp;$C35,TU_DB[[TU Chapter Area]:[TU Chapter Area]],Scorecard!M$6)</f>
        <v>12</v>
      </c>
      <c r="N35" s="160">
        <f>COUNTIFS(TU_DB[[NO3 Bin (2n1) (ppm)]:[NO3 Bin (2n1) (ppm)]],"&lt;="&amp;$C35,TU_DB[[TU Chapter Area]:[TU Chapter Area]],Scorecard!N$6)</f>
        <v>0</v>
      </c>
      <c r="O35" s="160">
        <f>COUNTIFS(TU_DB[[NO3 Bin (2n1) (ppm)]:[NO3 Bin (2n1) (ppm)]],"&lt;="&amp;$C35,TU_DB[[TU Chapter Area]:[TU Chapter Area]],Scorecard!O$6)</f>
        <v>8</v>
      </c>
      <c r="P35" s="160">
        <f>COUNTIFS(TU_DB[[NO3 Bin (2n1) (ppm)]:[NO3 Bin (2n1) (ppm)]],"&lt;="&amp;$C35,TU_DB[[TU Chapter Area]:[TU Chapter Area]],Scorecard!P$6)</f>
        <v>33</v>
      </c>
      <c r="Q35" s="160">
        <f>COUNTIFS(TU_DB[[NO3 Bin (2n1) (ppm)]:[NO3 Bin (2n1) (ppm)]],"&lt;="&amp;$C35,TU_DB[[TU Chapter Area]:[TU Chapter Area]],Scorecard!Q$6)</f>
        <v>142</v>
      </c>
      <c r="R35" s="160">
        <f>COUNTIFS(TU_DB[[NO3 Bin (2n1) (ppm)]:[NO3 Bin (2n1) (ppm)]],"&lt;="&amp;$C35,TU_DB[[TU Chapter Area]:[TU Chapter Area]],Scorecard!R$6)</f>
        <v>165</v>
      </c>
      <c r="S35" s="185">
        <f>COUNTIFS(TU_DB[[NO3 Bin (2n1) (ppm)]:[NO3 Bin (2n1) (ppm)]],"&lt;="&amp;$C35,TU_DB[[TU Chapter Area]:[TU Chapter Area]],Scorecard!S$6)</f>
        <v>63</v>
      </c>
      <c r="T35" s="441"/>
      <c r="U35" s="485">
        <v>1</v>
      </c>
      <c r="V35" s="162">
        <f t="shared" ref="V35:V38" si="48">IFERROR(E35*$U35,0)</f>
        <v>14</v>
      </c>
      <c r="W35" s="162">
        <f t="shared" ref="W35:W38" si="49">IFERROR(F35*$U35,0)</f>
        <v>5</v>
      </c>
      <c r="X35" s="162">
        <f t="shared" ref="X35:X38" si="50">IFERROR(G35*$U35,0)</f>
        <v>163</v>
      </c>
      <c r="Y35" s="162">
        <f t="shared" ref="Y35:Y38" si="51">IFERROR(H35*$U35,0)</f>
        <v>48</v>
      </c>
      <c r="Z35" s="162">
        <f t="shared" ref="Z35:Z38" si="52">IFERROR(I35*$U35,0)</f>
        <v>70</v>
      </c>
      <c r="AA35" s="162">
        <f t="shared" ref="AA35:AA38" si="53">IFERROR(J35*$U35,0)</f>
        <v>38</v>
      </c>
      <c r="AB35" s="162">
        <f t="shared" ref="AB35:AB38" si="54">IFERROR(K35*$U35,0)</f>
        <v>203</v>
      </c>
      <c r="AC35" s="162">
        <f t="shared" ref="AC35:AC38" si="55">IFERROR(L35*$U35,0)</f>
        <v>0</v>
      </c>
      <c r="AD35" s="162">
        <f t="shared" ref="AD35:AD38" si="56">IFERROR(M35*$U35,0)</f>
        <v>12</v>
      </c>
      <c r="AE35" s="162">
        <f t="shared" ref="AE35:AE38" si="57">IFERROR(N35*$U35,0)</f>
        <v>0</v>
      </c>
      <c r="AF35" s="162">
        <f t="shared" ref="AF35:AF38" si="58">IFERROR(O35*$U35,0)</f>
        <v>8</v>
      </c>
      <c r="AG35" s="162">
        <f t="shared" ref="AG35:AG38" si="59">IFERROR(P35*$U35,0)</f>
        <v>33</v>
      </c>
      <c r="AH35" s="162">
        <f t="shared" ref="AH35:AH38" si="60">IFERROR(Q35*$U35,0)</f>
        <v>142</v>
      </c>
      <c r="AI35" s="162">
        <f t="shared" ref="AI35:AI38" si="61">IFERROR(R35*$U35,0)</f>
        <v>165</v>
      </c>
      <c r="AJ35" s="162">
        <f t="shared" ref="AJ35:AJ38" si="62">IFERROR(S35*$U35,0)</f>
        <v>63</v>
      </c>
      <c r="AK35" s="202"/>
    </row>
    <row r="36" spans="2:38" x14ac:dyDescent="0.25">
      <c r="C36" s="110">
        <v>5</v>
      </c>
      <c r="D36" s="133" t="s">
        <v>1279</v>
      </c>
      <c r="E36" s="186">
        <f>COUNTIFS(TU_DB[[NO3 Bin (2n1) (ppm)]:[NO3 Bin (2n1) (ppm)]],$C36,TU_DB[[TU Chapter Area]:[TU Chapter Area]],Scorecard!E$6)</f>
        <v>1</v>
      </c>
      <c r="F36" s="1">
        <f>COUNTIFS(TU_DB[[NO3 Bin (2n1) (ppm)]:[NO3 Bin (2n1) (ppm)]],$C36,TU_DB[[TU Chapter Area]:[TU Chapter Area]],Scorecard!F$6)</f>
        <v>1</v>
      </c>
      <c r="G36" s="1">
        <f>COUNTIFS(TU_DB[[NO3 Bin (2n1) (ppm)]:[NO3 Bin (2n1) (ppm)]],$C36,TU_DB[[TU Chapter Area]:[TU Chapter Area]],Scorecard!G$6)</f>
        <v>18</v>
      </c>
      <c r="H36" s="1">
        <f>COUNTIFS(TU_DB[[NO3 Bin (2n1) (ppm)]:[NO3 Bin (2n1) (ppm)]],$C36,TU_DB[[TU Chapter Area]:[TU Chapter Area]],Scorecard!H$6)</f>
        <v>20</v>
      </c>
      <c r="I36" s="1">
        <f>COUNTIFS(TU_DB[[NO3 Bin (2n1) (ppm)]:[NO3 Bin (2n1) (ppm)]],$C36,TU_DB[[TU Chapter Area]:[TU Chapter Area]],Scorecard!I$6)</f>
        <v>166</v>
      </c>
      <c r="J36" s="1">
        <f>COUNTIFS(TU_DB[[NO3 Bin (2n1) (ppm)]:[NO3 Bin (2n1) (ppm)]],$C36,TU_DB[[TU Chapter Area]:[TU Chapter Area]],Scorecard!J$6)</f>
        <v>26</v>
      </c>
      <c r="K36" s="1">
        <f>COUNTIFS(TU_DB[[NO3 Bin (2n1) (ppm)]:[NO3 Bin (2n1) (ppm)]],$C36,TU_DB[[TU Chapter Area]:[TU Chapter Area]],Scorecard!K$6)</f>
        <v>227</v>
      </c>
      <c r="L36" s="1">
        <f>COUNTIFS(TU_DB[[NO3 Bin (2n1) (ppm)]:[NO3 Bin (2n1) (ppm)]],$C36,TU_DB[[TU Chapter Area]:[TU Chapter Area]],Scorecard!L$6)</f>
        <v>0</v>
      </c>
      <c r="M36" s="1">
        <f>COUNTIFS(TU_DB[[NO3 Bin (2n1) (ppm)]:[NO3 Bin (2n1) (ppm)]],$C36,TU_DB[[TU Chapter Area]:[TU Chapter Area]],Scorecard!M$6)</f>
        <v>14</v>
      </c>
      <c r="N36" s="1">
        <f>COUNTIFS(TU_DB[[NO3 Bin (2n1) (ppm)]:[NO3 Bin (2n1) (ppm)]],$C36,TU_DB[[TU Chapter Area]:[TU Chapter Area]],Scorecard!N$6)</f>
        <v>0</v>
      </c>
      <c r="O36" s="1">
        <f>COUNTIFS(TU_DB[[NO3 Bin (2n1) (ppm)]:[NO3 Bin (2n1) (ppm)]],$C36,TU_DB[[TU Chapter Area]:[TU Chapter Area]],Scorecard!O$6)</f>
        <v>2</v>
      </c>
      <c r="P36" s="1">
        <f>COUNTIFS(TU_DB[[NO3 Bin (2n1) (ppm)]:[NO3 Bin (2n1) (ppm)]],$C36,TU_DB[[TU Chapter Area]:[TU Chapter Area]],Scorecard!P$6)</f>
        <v>33</v>
      </c>
      <c r="Q36" s="1">
        <f>COUNTIFS(TU_DB[[NO3 Bin (2n1) (ppm)]:[NO3 Bin (2n1) (ppm)]],$C36,TU_DB[[TU Chapter Area]:[TU Chapter Area]],Scorecard!Q$6)</f>
        <v>73</v>
      </c>
      <c r="R36" s="1">
        <f>COUNTIFS(TU_DB[[NO3 Bin (2n1) (ppm)]:[NO3 Bin (2n1) (ppm)]],$C36,TU_DB[[TU Chapter Area]:[TU Chapter Area]],Scorecard!R$6)</f>
        <v>42</v>
      </c>
      <c r="S36" s="187">
        <f>COUNTIFS(TU_DB[[NO3 Bin (2n1) (ppm)]:[NO3 Bin (2n1) (ppm)]],$C36,TU_DB[[TU Chapter Area]:[TU Chapter Area]],Scorecard!S$6)</f>
        <v>103</v>
      </c>
      <c r="T36" s="18"/>
      <c r="U36" s="487">
        <v>0.5</v>
      </c>
      <c r="V36" s="158">
        <f t="shared" si="48"/>
        <v>0.5</v>
      </c>
      <c r="W36" s="158">
        <f t="shared" si="49"/>
        <v>0.5</v>
      </c>
      <c r="X36" s="158">
        <f t="shared" si="50"/>
        <v>9</v>
      </c>
      <c r="Y36" s="158">
        <f t="shared" si="51"/>
        <v>10</v>
      </c>
      <c r="Z36" s="158">
        <f t="shared" si="52"/>
        <v>83</v>
      </c>
      <c r="AA36" s="158">
        <f t="shared" si="53"/>
        <v>13</v>
      </c>
      <c r="AB36" s="158">
        <f t="shared" si="54"/>
        <v>113.5</v>
      </c>
      <c r="AC36" s="158">
        <f t="shared" si="55"/>
        <v>0</v>
      </c>
      <c r="AD36" s="158">
        <f t="shared" si="56"/>
        <v>7</v>
      </c>
      <c r="AE36" s="158">
        <f t="shared" si="57"/>
        <v>0</v>
      </c>
      <c r="AF36" s="158">
        <f t="shared" si="58"/>
        <v>1</v>
      </c>
      <c r="AG36" s="158">
        <f t="shared" si="59"/>
        <v>16.5</v>
      </c>
      <c r="AH36" s="158">
        <f t="shared" si="60"/>
        <v>36.5</v>
      </c>
      <c r="AI36" s="158">
        <f t="shared" si="61"/>
        <v>21</v>
      </c>
      <c r="AJ36" s="158">
        <f t="shared" si="62"/>
        <v>51.5</v>
      </c>
      <c r="AK36" s="196"/>
      <c r="AL36" s="455"/>
    </row>
    <row r="37" spans="2:38" x14ac:dyDescent="0.25">
      <c r="C37" s="110">
        <v>10</v>
      </c>
      <c r="D37" s="133" t="s">
        <v>1276</v>
      </c>
      <c r="E37" s="186">
        <f>COUNTIFS(TU_DB[[NO3 Bin (2n1) (ppm)]:[NO3 Bin (2n1) (ppm)]],$C37,TU_DB[[TU Chapter Area]:[TU Chapter Area]],Scorecard!E$6)</f>
        <v>0</v>
      </c>
      <c r="F37" s="1">
        <f>COUNTIFS(TU_DB[[NO3 Bin (2n1) (ppm)]:[NO3 Bin (2n1) (ppm)]],$C37,TU_DB[[TU Chapter Area]:[TU Chapter Area]],Scorecard!F$6)</f>
        <v>1</v>
      </c>
      <c r="G37" s="1">
        <f>COUNTIFS(TU_DB[[NO3 Bin (2n1) (ppm)]:[NO3 Bin (2n1) (ppm)]],$C37,TU_DB[[TU Chapter Area]:[TU Chapter Area]],Scorecard!G$6)</f>
        <v>1</v>
      </c>
      <c r="H37" s="1">
        <f>COUNTIFS(TU_DB[[NO3 Bin (2n1) (ppm)]:[NO3 Bin (2n1) (ppm)]],$C37,TU_DB[[TU Chapter Area]:[TU Chapter Area]],Scorecard!H$6)</f>
        <v>1</v>
      </c>
      <c r="I37" s="1">
        <f>COUNTIFS(TU_DB[[NO3 Bin (2n1) (ppm)]:[NO3 Bin (2n1) (ppm)]],$C37,TU_DB[[TU Chapter Area]:[TU Chapter Area]],Scorecard!I$6)</f>
        <v>49</v>
      </c>
      <c r="J37" s="1">
        <f>COUNTIFS(TU_DB[[NO3 Bin (2n1) (ppm)]:[NO3 Bin (2n1) (ppm)]],$C37,TU_DB[[TU Chapter Area]:[TU Chapter Area]],Scorecard!J$6)</f>
        <v>22</v>
      </c>
      <c r="K37" s="1">
        <f>COUNTIFS(TU_DB[[NO3 Bin (2n1) (ppm)]:[NO3 Bin (2n1) (ppm)]],$C37,TU_DB[[TU Chapter Area]:[TU Chapter Area]],Scorecard!K$6)</f>
        <v>14</v>
      </c>
      <c r="L37" s="1">
        <f>COUNTIFS(TU_DB[[NO3 Bin (2n1) (ppm)]:[NO3 Bin (2n1) (ppm)]],$C37,TU_DB[[TU Chapter Area]:[TU Chapter Area]],Scorecard!L$6)</f>
        <v>0</v>
      </c>
      <c r="M37" s="1">
        <f>COUNTIFS(TU_DB[[NO3 Bin (2n1) (ppm)]:[NO3 Bin (2n1) (ppm)]],$C37,TU_DB[[TU Chapter Area]:[TU Chapter Area]],Scorecard!M$6)</f>
        <v>7</v>
      </c>
      <c r="N37" s="1">
        <f>COUNTIFS(TU_DB[[NO3 Bin (2n1) (ppm)]:[NO3 Bin (2n1) (ppm)]],$C37,TU_DB[[TU Chapter Area]:[TU Chapter Area]],Scorecard!N$6)</f>
        <v>0</v>
      </c>
      <c r="O37" s="1">
        <f>COUNTIFS(TU_DB[[NO3 Bin (2n1) (ppm)]:[NO3 Bin (2n1) (ppm)]],$C37,TU_DB[[TU Chapter Area]:[TU Chapter Area]],Scorecard!O$6)</f>
        <v>0</v>
      </c>
      <c r="P37" s="1">
        <f>COUNTIFS(TU_DB[[NO3 Bin (2n1) (ppm)]:[NO3 Bin (2n1) (ppm)]],$C37,TU_DB[[TU Chapter Area]:[TU Chapter Area]],Scorecard!P$6)</f>
        <v>13</v>
      </c>
      <c r="Q37" s="1">
        <f>COUNTIFS(TU_DB[[NO3 Bin (2n1) (ppm)]:[NO3 Bin (2n1) (ppm)]],$C37,TU_DB[[TU Chapter Area]:[TU Chapter Area]],Scorecard!Q$6)</f>
        <v>37</v>
      </c>
      <c r="R37" s="1">
        <f>COUNTIFS(TU_DB[[NO3 Bin (2n1) (ppm)]:[NO3 Bin (2n1) (ppm)]],$C37,TU_DB[[TU Chapter Area]:[TU Chapter Area]],Scorecard!R$6)</f>
        <v>0</v>
      </c>
      <c r="S37" s="187">
        <f>COUNTIFS(TU_DB[[NO3 Bin (2n1) (ppm)]:[NO3 Bin (2n1) (ppm)]],$C37,TU_DB[[TU Chapter Area]:[TU Chapter Area]],Scorecard!S$6)</f>
        <v>5</v>
      </c>
      <c r="T37" s="18"/>
      <c r="U37" s="487">
        <v>0.3</v>
      </c>
      <c r="V37" s="158">
        <f t="shared" si="48"/>
        <v>0</v>
      </c>
      <c r="W37" s="158">
        <f t="shared" si="49"/>
        <v>0.3</v>
      </c>
      <c r="X37" s="158">
        <f t="shared" si="50"/>
        <v>0.3</v>
      </c>
      <c r="Y37" s="158">
        <f t="shared" si="51"/>
        <v>0.3</v>
      </c>
      <c r="Z37" s="158">
        <f t="shared" si="52"/>
        <v>14.7</v>
      </c>
      <c r="AA37" s="158">
        <f t="shared" si="53"/>
        <v>6.6</v>
      </c>
      <c r="AB37" s="158">
        <f t="shared" si="54"/>
        <v>4.2</v>
      </c>
      <c r="AC37" s="158">
        <f t="shared" si="55"/>
        <v>0</v>
      </c>
      <c r="AD37" s="158">
        <f t="shared" si="56"/>
        <v>2.1</v>
      </c>
      <c r="AE37" s="158">
        <f t="shared" si="57"/>
        <v>0</v>
      </c>
      <c r="AF37" s="158">
        <f t="shared" si="58"/>
        <v>0</v>
      </c>
      <c r="AG37" s="158">
        <f t="shared" si="59"/>
        <v>3.9</v>
      </c>
      <c r="AH37" s="158">
        <f t="shared" si="60"/>
        <v>11.1</v>
      </c>
      <c r="AI37" s="158">
        <f t="shared" si="61"/>
        <v>0</v>
      </c>
      <c r="AJ37" s="158">
        <f t="shared" si="62"/>
        <v>1.5</v>
      </c>
      <c r="AK37" s="196"/>
      <c r="AL37" s="455"/>
    </row>
    <row r="38" spans="2:38" x14ac:dyDescent="0.25">
      <c r="C38" s="110">
        <v>50</v>
      </c>
      <c r="D38" s="133" t="s">
        <v>4796</v>
      </c>
      <c r="E38" s="186">
        <f>COUNTIFS(TU_DB[[NO3 Bin (2n1) (ppm)]:[NO3 Bin (2n1) (ppm)]],"&gt;"&amp;$C37,TU_DB[[TU Chapter Area]:[TU Chapter Area]],Scorecard!E$6)</f>
        <v>0</v>
      </c>
      <c r="F38" s="1">
        <f>COUNTIFS(TU_DB[[NO3 Bin (2n1) (ppm)]:[NO3 Bin (2n1) (ppm)]],"&gt;"&amp;$C37,TU_DB[[TU Chapter Area]:[TU Chapter Area]],Scorecard!F$6)</f>
        <v>0</v>
      </c>
      <c r="G38" s="1">
        <f>COUNTIFS(TU_DB[[NO3 Bin (2n1) (ppm)]:[NO3 Bin (2n1) (ppm)]],"&gt;"&amp;$C37,TU_DB[[TU Chapter Area]:[TU Chapter Area]],Scorecard!G$6)</f>
        <v>0</v>
      </c>
      <c r="H38" s="1">
        <f>COUNTIFS(TU_DB[[NO3 Bin (2n1) (ppm)]:[NO3 Bin (2n1) (ppm)]],"&gt;"&amp;$C37,TU_DB[[TU Chapter Area]:[TU Chapter Area]],Scorecard!H$6)</f>
        <v>0</v>
      </c>
      <c r="I38" s="1">
        <f>COUNTIFS(TU_DB[[NO3 Bin (2n1) (ppm)]:[NO3 Bin (2n1) (ppm)]],"&gt;"&amp;$C37,TU_DB[[TU Chapter Area]:[TU Chapter Area]],Scorecard!I$6)</f>
        <v>8</v>
      </c>
      <c r="J38" s="1">
        <f>COUNTIFS(TU_DB[[NO3 Bin (2n1) (ppm)]:[NO3 Bin (2n1) (ppm)]],"&gt;"&amp;$C37,TU_DB[[TU Chapter Area]:[TU Chapter Area]],Scorecard!J$6)</f>
        <v>7</v>
      </c>
      <c r="K38" s="1">
        <f>COUNTIFS(TU_DB[[NO3 Bin (2n1) (ppm)]:[NO3 Bin (2n1) (ppm)]],"&gt;"&amp;$C37,TU_DB[[TU Chapter Area]:[TU Chapter Area]],Scorecard!K$6)</f>
        <v>0</v>
      </c>
      <c r="L38" s="1">
        <f>COUNTIFS(TU_DB[[NO3 Bin (2n1) (ppm)]:[NO3 Bin (2n1) (ppm)]],"&gt;"&amp;$C37,TU_DB[[TU Chapter Area]:[TU Chapter Area]],Scorecard!L$6)</f>
        <v>0</v>
      </c>
      <c r="M38" s="1">
        <f>COUNTIFS(TU_DB[[NO3 Bin (2n1) (ppm)]:[NO3 Bin (2n1) (ppm)]],"&gt;"&amp;$C37,TU_DB[[TU Chapter Area]:[TU Chapter Area]],Scorecard!M$6)</f>
        <v>13</v>
      </c>
      <c r="N38" s="1">
        <f>COUNTIFS(TU_DB[[NO3 Bin (2n1) (ppm)]:[NO3 Bin (2n1) (ppm)]],"&gt;"&amp;$C37,TU_DB[[TU Chapter Area]:[TU Chapter Area]],Scorecard!N$6)</f>
        <v>0</v>
      </c>
      <c r="O38" s="1">
        <f>COUNTIFS(TU_DB[[NO3 Bin (2n1) (ppm)]:[NO3 Bin (2n1) (ppm)]],"&gt;"&amp;$C37,TU_DB[[TU Chapter Area]:[TU Chapter Area]],Scorecard!O$6)</f>
        <v>0</v>
      </c>
      <c r="P38" s="1">
        <f>COUNTIFS(TU_DB[[NO3 Bin (2n1) (ppm)]:[NO3 Bin (2n1) (ppm)]],"&gt;"&amp;$C37,TU_DB[[TU Chapter Area]:[TU Chapter Area]],Scorecard!P$6)</f>
        <v>2</v>
      </c>
      <c r="Q38" s="1">
        <f>COUNTIFS(TU_DB[[NO3 Bin (2n1) (ppm)]:[NO3 Bin (2n1) (ppm)]],"&gt;"&amp;$C37,TU_DB[[TU Chapter Area]:[TU Chapter Area]],Scorecard!Q$6)</f>
        <v>2</v>
      </c>
      <c r="R38" s="1">
        <f>COUNTIFS(TU_DB[[NO3 Bin (2n1) (ppm)]:[NO3 Bin (2n1) (ppm)]],"&gt;"&amp;$C37,TU_DB[[TU Chapter Area]:[TU Chapter Area]],Scorecard!R$6)</f>
        <v>0</v>
      </c>
      <c r="S38" s="187">
        <f>COUNTIFS(TU_DB[[NO3 Bin (2n1) (ppm)]:[NO3 Bin (2n1) (ppm)]],"&gt;"&amp;$C37,TU_DB[[TU Chapter Area]:[TU Chapter Area]],Scorecard!S$6)</f>
        <v>0</v>
      </c>
      <c r="T38" s="442"/>
      <c r="U38" s="489">
        <v>0.2</v>
      </c>
      <c r="V38" s="136">
        <f t="shared" si="48"/>
        <v>0</v>
      </c>
      <c r="W38" s="136">
        <f t="shared" si="49"/>
        <v>0</v>
      </c>
      <c r="X38" s="136">
        <f t="shared" si="50"/>
        <v>0</v>
      </c>
      <c r="Y38" s="136">
        <f t="shared" si="51"/>
        <v>0</v>
      </c>
      <c r="Z38" s="136">
        <f t="shared" si="52"/>
        <v>1.6</v>
      </c>
      <c r="AA38" s="136">
        <f t="shared" si="53"/>
        <v>1.4000000000000001</v>
      </c>
      <c r="AB38" s="136">
        <f t="shared" si="54"/>
        <v>0</v>
      </c>
      <c r="AC38" s="136">
        <f t="shared" si="55"/>
        <v>0</v>
      </c>
      <c r="AD38" s="136">
        <f t="shared" si="56"/>
        <v>2.6</v>
      </c>
      <c r="AE38" s="136">
        <f t="shared" si="57"/>
        <v>0</v>
      </c>
      <c r="AF38" s="136">
        <f t="shared" si="58"/>
        <v>0</v>
      </c>
      <c r="AG38" s="136">
        <f t="shared" si="59"/>
        <v>0.4</v>
      </c>
      <c r="AH38" s="136">
        <f t="shared" si="60"/>
        <v>0.4</v>
      </c>
      <c r="AI38" s="136">
        <f t="shared" si="61"/>
        <v>0</v>
      </c>
      <c r="AJ38" s="136">
        <f t="shared" si="62"/>
        <v>0</v>
      </c>
      <c r="AK38" s="196"/>
      <c r="AL38" s="455"/>
    </row>
    <row r="39" spans="2:38" x14ac:dyDescent="0.25">
      <c r="B39" s="165"/>
      <c r="C39" s="444"/>
      <c r="D39" s="167" t="s">
        <v>134</v>
      </c>
      <c r="E39" s="188">
        <f>SUM(E35:E38)</f>
        <v>15</v>
      </c>
      <c r="F39" s="166">
        <f t="shared" ref="F39:S39" si="63">SUM(F35:F38)</f>
        <v>7</v>
      </c>
      <c r="G39" s="166">
        <f t="shared" si="63"/>
        <v>182</v>
      </c>
      <c r="H39" s="166">
        <f t="shared" si="63"/>
        <v>69</v>
      </c>
      <c r="I39" s="166">
        <f t="shared" si="63"/>
        <v>293</v>
      </c>
      <c r="J39" s="166">
        <f t="shared" si="63"/>
        <v>93</v>
      </c>
      <c r="K39" s="166">
        <f t="shared" si="63"/>
        <v>444</v>
      </c>
      <c r="L39" s="166">
        <f t="shared" si="63"/>
        <v>0</v>
      </c>
      <c r="M39" s="166">
        <f t="shared" si="63"/>
        <v>46</v>
      </c>
      <c r="N39" s="166">
        <f t="shared" si="63"/>
        <v>0</v>
      </c>
      <c r="O39" s="166">
        <f t="shared" si="63"/>
        <v>10</v>
      </c>
      <c r="P39" s="166">
        <f t="shared" si="63"/>
        <v>81</v>
      </c>
      <c r="Q39" s="166">
        <f t="shared" si="63"/>
        <v>254</v>
      </c>
      <c r="R39" s="166">
        <f t="shared" si="63"/>
        <v>207</v>
      </c>
      <c r="S39" s="189">
        <f t="shared" si="63"/>
        <v>171</v>
      </c>
      <c r="T39" s="167" t="s">
        <v>4803</v>
      </c>
      <c r="U39" s="481">
        <f t="shared" ref="U39" si="64">SUM(U35:U38)</f>
        <v>2</v>
      </c>
      <c r="V39" s="480">
        <f>IFERROR(SUM(V35:V38)/E39,0)</f>
        <v>0.96666666666666667</v>
      </c>
      <c r="W39" s="480">
        <f t="shared" ref="W39" si="65">IFERROR(SUM(W35:W38)/F39,0)</f>
        <v>0.82857142857142851</v>
      </c>
      <c r="X39" s="480">
        <f t="shared" ref="X39" si="66">IFERROR(SUM(X35:X38)/G39,0)</f>
        <v>0.94670329670329678</v>
      </c>
      <c r="Y39" s="480">
        <f t="shared" ref="Y39" si="67">IFERROR(SUM(Y35:Y38)/H39,0)</f>
        <v>0.84492753623188399</v>
      </c>
      <c r="Z39" s="480">
        <f t="shared" ref="Z39" si="68">IFERROR(SUM(Z35:Z38)/I39,0)</f>
        <v>0.57781569965870305</v>
      </c>
      <c r="AA39" s="480">
        <f t="shared" ref="AA39" si="69">IFERROR(SUM(AA35:AA38)/J39,0)</f>
        <v>0.63440860215053763</v>
      </c>
      <c r="AB39" s="480">
        <f t="shared" ref="AB39" si="70">IFERROR(SUM(AB35:AB38)/K39,0)</f>
        <v>0.7222972972972973</v>
      </c>
      <c r="AC39" s="480">
        <f t="shared" ref="AC39" si="71">IFERROR(SUM(AC35:AC38)/L39,0)</f>
        <v>0</v>
      </c>
      <c r="AD39" s="480">
        <f t="shared" ref="AD39" si="72">IFERROR(SUM(AD35:AD38)/M39,0)</f>
        <v>0.51521739130434785</v>
      </c>
      <c r="AE39" s="480">
        <f t="shared" ref="AE39" si="73">IFERROR(SUM(AE35:AE38)/N39,0)</f>
        <v>0</v>
      </c>
      <c r="AF39" s="480">
        <f t="shared" ref="AF39" si="74">IFERROR(SUM(AF35:AF38)/O39,0)</f>
        <v>0.9</v>
      </c>
      <c r="AG39" s="480">
        <f t="shared" ref="AG39" si="75">IFERROR(SUM(AG35:AG38)/P39,0)</f>
        <v>0.66419753086419753</v>
      </c>
      <c r="AH39" s="480">
        <f t="shared" ref="AH39" si="76">IFERROR(SUM(AH35:AH38)/Q39,0)</f>
        <v>0.74803149606299213</v>
      </c>
      <c r="AI39" s="480">
        <f t="shared" ref="AI39" si="77">IFERROR(SUM(AI35:AI38)/R39,0)</f>
        <v>0.89855072463768115</v>
      </c>
      <c r="AJ39" s="480">
        <f t="shared" ref="AJ39" si="78">IFERROR(SUM(AJ35:AJ38)/S39,0)</f>
        <v>0.67836257309941517</v>
      </c>
      <c r="AK39" s="201"/>
      <c r="AL39" s="462"/>
    </row>
    <row r="40" spans="2:38" x14ac:dyDescent="0.25">
      <c r="B40" t="s">
        <v>4805</v>
      </c>
      <c r="C40" s="110">
        <v>0</v>
      </c>
      <c r="D40" s="133" t="s">
        <v>1277</v>
      </c>
      <c r="E40" s="391">
        <f>COUNTIFS(TU_DB[[Orthophosphate (ppb)]:[Orthophosphate (ppb)]],"&lt;="&amp;$C40,TU_DB[[TU Chapter Area]:[TU Chapter Area]],Scorecard!E$6)</f>
        <v>2</v>
      </c>
      <c r="F40" s="160">
        <f>COUNTIFS(TU_DB[[Orthophosphate (ppb)]:[Orthophosphate (ppb)]],"&lt;="&amp;$C40,TU_DB[[TU Chapter Area]:[TU Chapter Area]],Scorecard!F$6)</f>
        <v>2</v>
      </c>
      <c r="G40" s="160">
        <f>COUNTIFS(TU_DB[[Orthophosphate (ppb)]:[Orthophosphate (ppb)]],"&lt;="&amp;$C40,TU_DB[[TU Chapter Area]:[TU Chapter Area]],Scorecard!G$6)</f>
        <v>107</v>
      </c>
      <c r="H40" s="160">
        <f>COUNTIFS(TU_DB[[Orthophosphate (ppb)]:[Orthophosphate (ppb)]],"&lt;="&amp;$C40,TU_DB[[TU Chapter Area]:[TU Chapter Area]],Scorecard!H$6)</f>
        <v>37</v>
      </c>
      <c r="I40" s="160">
        <f>COUNTIFS(TU_DB[[Orthophosphate (ppb)]:[Orthophosphate (ppb)]],"&lt;="&amp;$C40,TU_DB[[TU Chapter Area]:[TU Chapter Area]],Scorecard!I$6)</f>
        <v>183</v>
      </c>
      <c r="J40" s="160">
        <f>COUNTIFS(TU_DB[[Orthophosphate (ppb)]:[Orthophosphate (ppb)]],"&lt;="&amp;$C40,TU_DB[[TU Chapter Area]:[TU Chapter Area]],Scorecard!J$6)</f>
        <v>42</v>
      </c>
      <c r="K40" s="160">
        <f>COUNTIFS(TU_DB[[Orthophosphate (ppb)]:[Orthophosphate (ppb)]],"&lt;="&amp;$C40,TU_DB[[TU Chapter Area]:[TU Chapter Area]],Scorecard!K$6)</f>
        <v>351</v>
      </c>
      <c r="L40" s="160">
        <f>COUNTIFS(TU_DB[[Orthophosphate (ppb)]:[Orthophosphate (ppb)]],"&lt;="&amp;$C40,TU_DB[[TU Chapter Area]:[TU Chapter Area]],Scorecard!L$6)</f>
        <v>0</v>
      </c>
      <c r="M40" s="160">
        <f>COUNTIFS(TU_DB[[Orthophosphate (ppb)]:[Orthophosphate (ppb)]],"&lt;="&amp;$C40,TU_DB[[TU Chapter Area]:[TU Chapter Area]],Scorecard!M$6)</f>
        <v>20</v>
      </c>
      <c r="N40" s="160">
        <f>COUNTIFS(TU_DB[[Orthophosphate (ppb)]:[Orthophosphate (ppb)]],"&lt;="&amp;$C40,TU_DB[[TU Chapter Area]:[TU Chapter Area]],Scorecard!N$6)</f>
        <v>0</v>
      </c>
      <c r="O40" s="160">
        <f>COUNTIFS(TU_DB[[Orthophosphate (ppb)]:[Orthophosphate (ppb)]],"&lt;="&amp;$C40,TU_DB[[TU Chapter Area]:[TU Chapter Area]],Scorecard!O$6)</f>
        <v>5</v>
      </c>
      <c r="P40" s="160">
        <f>COUNTIFS(TU_DB[[Orthophosphate (ppb)]:[Orthophosphate (ppb)]],"&lt;="&amp;$C40,TU_DB[[TU Chapter Area]:[TU Chapter Area]],Scorecard!P$6)</f>
        <v>47</v>
      </c>
      <c r="Q40" s="160">
        <f>COUNTIFS(TU_DB[[Orthophosphate (ppb)]:[Orthophosphate (ppb)]],"&lt;="&amp;$C40,TU_DB[[TU Chapter Area]:[TU Chapter Area]],Scorecard!Q$6)</f>
        <v>121</v>
      </c>
      <c r="R40" s="160">
        <f>COUNTIFS(TU_DB[[Orthophosphate (ppb)]:[Orthophosphate (ppb)]],"&lt;="&amp;$C40,TU_DB[[TU Chapter Area]:[TU Chapter Area]],Scorecard!R$6)</f>
        <v>107</v>
      </c>
      <c r="S40" s="185">
        <f>COUNTIFS(TU_DB[[Orthophosphate (ppb)]:[Orthophosphate (ppb)]],"&lt;="&amp;$C40,TU_DB[[TU Chapter Area]:[TU Chapter Area]],Scorecard!S$6)</f>
        <v>127</v>
      </c>
      <c r="T40" s="18"/>
      <c r="U40" s="485">
        <v>1</v>
      </c>
      <c r="V40" s="162">
        <f t="shared" ref="V40:V43" si="79">IFERROR(E40*$U40,0)</f>
        <v>2</v>
      </c>
      <c r="W40" s="162">
        <f t="shared" ref="W40:W43" si="80">IFERROR(F40*$U40,0)</f>
        <v>2</v>
      </c>
      <c r="X40" s="162">
        <f t="shared" ref="X40:X43" si="81">IFERROR(G40*$U40,0)</f>
        <v>107</v>
      </c>
      <c r="Y40" s="162">
        <f t="shared" ref="Y40:Y43" si="82">IFERROR(H40*$U40,0)</f>
        <v>37</v>
      </c>
      <c r="Z40" s="162">
        <f t="shared" ref="Z40:Z43" si="83">IFERROR(I40*$U40,0)</f>
        <v>183</v>
      </c>
      <c r="AA40" s="162">
        <f t="shared" ref="AA40:AA43" si="84">IFERROR(J40*$U40,0)</f>
        <v>42</v>
      </c>
      <c r="AB40" s="162">
        <f t="shared" ref="AB40:AB43" si="85">IFERROR(K40*$U40,0)</f>
        <v>351</v>
      </c>
      <c r="AC40" s="162">
        <f t="shared" ref="AC40:AC43" si="86">IFERROR(L40*$U40,0)</f>
        <v>0</v>
      </c>
      <c r="AD40" s="162">
        <f t="shared" ref="AD40:AD43" si="87">IFERROR(M40*$U40,0)</f>
        <v>20</v>
      </c>
      <c r="AE40" s="162">
        <f t="shared" ref="AE40:AE43" si="88">IFERROR(N40*$U40,0)</f>
        <v>0</v>
      </c>
      <c r="AF40" s="162">
        <f t="shared" ref="AF40:AF43" si="89">IFERROR(O40*$U40,0)</f>
        <v>5</v>
      </c>
      <c r="AG40" s="162">
        <f t="shared" ref="AG40:AG43" si="90">IFERROR(P40*$U40,0)</f>
        <v>47</v>
      </c>
      <c r="AH40" s="162">
        <f t="shared" ref="AH40:AH43" si="91">IFERROR(Q40*$U40,0)</f>
        <v>121</v>
      </c>
      <c r="AI40" s="162">
        <f t="shared" ref="AI40:AI43" si="92">IFERROR(R40*$U40,0)</f>
        <v>107</v>
      </c>
      <c r="AJ40" s="162">
        <f t="shared" ref="AJ40:AJ43" si="93">IFERROR(S40*$U40,0)</f>
        <v>127</v>
      </c>
      <c r="AK40" s="196"/>
    </row>
    <row r="41" spans="2:38" x14ac:dyDescent="0.25">
      <c r="C41" s="110">
        <v>100</v>
      </c>
      <c r="D41" s="133" t="s">
        <v>1279</v>
      </c>
      <c r="E41" s="186">
        <f>COUNTIFS(TU_DB[[Orthophosphate (ppb)]:[Orthophosphate (ppb)]],$C41,TU_DB[[TU Chapter Area]:[TU Chapter Area]],Scorecard!E$6)</f>
        <v>7</v>
      </c>
      <c r="F41" s="1">
        <f>COUNTIFS(TU_DB[[Orthophosphate (ppb)]:[Orthophosphate (ppb)]],$C41,TU_DB[[TU Chapter Area]:[TU Chapter Area]],Scorecard!F$6)</f>
        <v>0</v>
      </c>
      <c r="G41" s="1">
        <f>COUNTIFS(TU_DB[[Orthophosphate (ppb)]:[Orthophosphate (ppb)]],$C41,TU_DB[[TU Chapter Area]:[TU Chapter Area]],Scorecard!G$6)</f>
        <v>36</v>
      </c>
      <c r="H41" s="1">
        <f>COUNTIFS(TU_DB[[Orthophosphate (ppb)]:[Orthophosphate (ppb)]],$C41,TU_DB[[TU Chapter Area]:[TU Chapter Area]],Scorecard!H$6)</f>
        <v>15</v>
      </c>
      <c r="I41" s="1">
        <f>COUNTIFS(TU_DB[[Orthophosphate (ppb)]:[Orthophosphate (ppb)]],$C41,TU_DB[[TU Chapter Area]:[TU Chapter Area]],Scorecard!I$6)</f>
        <v>73</v>
      </c>
      <c r="J41" s="1">
        <f>COUNTIFS(TU_DB[[Orthophosphate (ppb)]:[Orthophosphate (ppb)]],$C41,TU_DB[[TU Chapter Area]:[TU Chapter Area]],Scorecard!J$6)</f>
        <v>25</v>
      </c>
      <c r="K41" s="1">
        <f>COUNTIFS(TU_DB[[Orthophosphate (ppb)]:[Orthophosphate (ppb)]],$C41,TU_DB[[TU Chapter Area]:[TU Chapter Area]],Scorecard!K$6)</f>
        <v>107</v>
      </c>
      <c r="L41" s="1">
        <f>COUNTIFS(TU_DB[[Orthophosphate (ppb)]:[Orthophosphate (ppb)]],$C41,TU_DB[[TU Chapter Area]:[TU Chapter Area]],Scorecard!L$6)</f>
        <v>0</v>
      </c>
      <c r="M41" s="1">
        <f>COUNTIFS(TU_DB[[Orthophosphate (ppb)]:[Orthophosphate (ppb)]],$C41,TU_DB[[TU Chapter Area]:[TU Chapter Area]],Scorecard!M$6)</f>
        <v>17</v>
      </c>
      <c r="N41" s="1">
        <f>COUNTIFS(TU_DB[[Orthophosphate (ppb)]:[Orthophosphate (ppb)]],$C41,TU_DB[[TU Chapter Area]:[TU Chapter Area]],Scorecard!N$6)</f>
        <v>0</v>
      </c>
      <c r="O41" s="1">
        <f>COUNTIFS(TU_DB[[Orthophosphate (ppb)]:[Orthophosphate (ppb)]],$C41,TU_DB[[TU Chapter Area]:[TU Chapter Area]],Scorecard!O$6)</f>
        <v>1</v>
      </c>
      <c r="P41" s="1">
        <f>COUNTIFS(TU_DB[[Orthophosphate (ppb)]:[Orthophosphate (ppb)]],$C41,TU_DB[[TU Chapter Area]:[TU Chapter Area]],Scorecard!P$6)</f>
        <v>34</v>
      </c>
      <c r="Q41" s="1">
        <f>COUNTIFS(TU_DB[[Orthophosphate (ppb)]:[Orthophosphate (ppb)]],$C41,TU_DB[[TU Chapter Area]:[TU Chapter Area]],Scorecard!Q$6)</f>
        <v>90</v>
      </c>
      <c r="R41" s="1">
        <f>COUNTIFS(TU_DB[[Orthophosphate (ppb)]:[Orthophosphate (ppb)]],$C41,TU_DB[[TU Chapter Area]:[TU Chapter Area]],Scorecard!R$6)</f>
        <v>47</v>
      </c>
      <c r="S41" s="187">
        <f>COUNTIFS(TU_DB[[Orthophosphate (ppb)]:[Orthophosphate (ppb)]],$C41,TU_DB[[TU Chapter Area]:[TU Chapter Area]],Scorecard!S$6)</f>
        <v>26</v>
      </c>
      <c r="T41" s="18"/>
      <c r="U41" s="487">
        <v>0.5</v>
      </c>
      <c r="V41" s="158">
        <f t="shared" si="79"/>
        <v>3.5</v>
      </c>
      <c r="W41" s="158">
        <f t="shared" si="80"/>
        <v>0</v>
      </c>
      <c r="X41" s="158">
        <f t="shared" si="81"/>
        <v>18</v>
      </c>
      <c r="Y41" s="158">
        <f t="shared" si="82"/>
        <v>7.5</v>
      </c>
      <c r="Z41" s="158">
        <f t="shared" si="83"/>
        <v>36.5</v>
      </c>
      <c r="AA41" s="158">
        <f t="shared" si="84"/>
        <v>12.5</v>
      </c>
      <c r="AB41" s="158">
        <f t="shared" si="85"/>
        <v>53.5</v>
      </c>
      <c r="AC41" s="158">
        <f t="shared" si="86"/>
        <v>0</v>
      </c>
      <c r="AD41" s="158">
        <f t="shared" si="87"/>
        <v>8.5</v>
      </c>
      <c r="AE41" s="158">
        <f t="shared" si="88"/>
        <v>0</v>
      </c>
      <c r="AF41" s="158">
        <f t="shared" si="89"/>
        <v>0.5</v>
      </c>
      <c r="AG41" s="158">
        <f t="shared" si="90"/>
        <v>17</v>
      </c>
      <c r="AH41" s="158">
        <f t="shared" si="91"/>
        <v>45</v>
      </c>
      <c r="AI41" s="158">
        <f t="shared" si="92"/>
        <v>23.5</v>
      </c>
      <c r="AJ41" s="158">
        <f t="shared" si="93"/>
        <v>13</v>
      </c>
      <c r="AK41" s="196"/>
      <c r="AL41" s="455"/>
    </row>
    <row r="42" spans="2:38" x14ac:dyDescent="0.25">
      <c r="C42" s="110">
        <v>500</v>
      </c>
      <c r="D42" s="133" t="s">
        <v>1276</v>
      </c>
      <c r="E42" s="186">
        <f>COUNTIFS(TU_DB[[Orthophosphate (ppb)]:[Orthophosphate (ppb)]],$C42,TU_DB[[TU Chapter Area]:[TU Chapter Area]],Scorecard!E$6)</f>
        <v>1</v>
      </c>
      <c r="F42" s="1">
        <f>COUNTIFS(TU_DB[[Orthophosphate (ppb)]:[Orthophosphate (ppb)]],$C42,TU_DB[[TU Chapter Area]:[TU Chapter Area]],Scorecard!F$6)</f>
        <v>0</v>
      </c>
      <c r="G42" s="1">
        <f>COUNTIFS(TU_DB[[Orthophosphate (ppb)]:[Orthophosphate (ppb)]],$C42,TU_DB[[TU Chapter Area]:[TU Chapter Area]],Scorecard!G$6)</f>
        <v>2</v>
      </c>
      <c r="H42" s="1">
        <f>COUNTIFS(TU_DB[[Orthophosphate (ppb)]:[Orthophosphate (ppb)]],$C42,TU_DB[[TU Chapter Area]:[TU Chapter Area]],Scorecard!H$6)</f>
        <v>0</v>
      </c>
      <c r="I42" s="1">
        <f>COUNTIFS(TU_DB[[Orthophosphate (ppb)]:[Orthophosphate (ppb)]],$C42,TU_DB[[TU Chapter Area]:[TU Chapter Area]],Scorecard!I$6)</f>
        <v>2</v>
      </c>
      <c r="J42" s="1">
        <f>COUNTIFS(TU_DB[[Orthophosphate (ppb)]:[Orthophosphate (ppb)]],$C42,TU_DB[[TU Chapter Area]:[TU Chapter Area]],Scorecard!J$6)</f>
        <v>0</v>
      </c>
      <c r="K42" s="1">
        <f>COUNTIFS(TU_DB[[Orthophosphate (ppb)]:[Orthophosphate (ppb)]],$C42,TU_DB[[TU Chapter Area]:[TU Chapter Area]],Scorecard!K$6)</f>
        <v>0</v>
      </c>
      <c r="L42" s="1">
        <f>COUNTIFS(TU_DB[[Orthophosphate (ppb)]:[Orthophosphate (ppb)]],$C42,TU_DB[[TU Chapter Area]:[TU Chapter Area]],Scorecard!L$6)</f>
        <v>0</v>
      </c>
      <c r="M42" s="1">
        <f>COUNTIFS(TU_DB[[Orthophosphate (ppb)]:[Orthophosphate (ppb)]],$C42,TU_DB[[TU Chapter Area]:[TU Chapter Area]],Scorecard!M$6)</f>
        <v>0</v>
      </c>
      <c r="N42" s="1">
        <f>COUNTIFS(TU_DB[[Orthophosphate (ppb)]:[Orthophosphate (ppb)]],$C42,TU_DB[[TU Chapter Area]:[TU Chapter Area]],Scorecard!N$6)</f>
        <v>0</v>
      </c>
      <c r="O42" s="1">
        <f>COUNTIFS(TU_DB[[Orthophosphate (ppb)]:[Orthophosphate (ppb)]],$C42,TU_DB[[TU Chapter Area]:[TU Chapter Area]],Scorecard!O$6)</f>
        <v>0</v>
      </c>
      <c r="P42" s="1">
        <f>COUNTIFS(TU_DB[[Orthophosphate (ppb)]:[Orthophosphate (ppb)]],$C42,TU_DB[[TU Chapter Area]:[TU Chapter Area]],Scorecard!P$6)</f>
        <v>1</v>
      </c>
      <c r="Q42" s="1">
        <f>COUNTIFS(TU_DB[[Orthophosphate (ppb)]:[Orthophosphate (ppb)]],$C42,TU_DB[[TU Chapter Area]:[TU Chapter Area]],Scorecard!Q$6)</f>
        <v>3</v>
      </c>
      <c r="R42" s="1">
        <f>COUNTIFS(TU_DB[[Orthophosphate (ppb)]:[Orthophosphate (ppb)]],$C42,TU_DB[[TU Chapter Area]:[TU Chapter Area]],Scorecard!R$6)</f>
        <v>3</v>
      </c>
      <c r="S42" s="187">
        <f>COUNTIFS(TU_DB[[Orthophosphate (ppb)]:[Orthophosphate (ppb)]],$C42,TU_DB[[TU Chapter Area]:[TU Chapter Area]],Scorecard!S$6)</f>
        <v>4</v>
      </c>
      <c r="T42" s="18"/>
      <c r="U42" s="487">
        <v>0.3</v>
      </c>
      <c r="V42" s="158">
        <f t="shared" si="79"/>
        <v>0.3</v>
      </c>
      <c r="W42" s="158">
        <f t="shared" si="80"/>
        <v>0</v>
      </c>
      <c r="X42" s="158">
        <f t="shared" si="81"/>
        <v>0.6</v>
      </c>
      <c r="Y42" s="158">
        <f t="shared" si="82"/>
        <v>0</v>
      </c>
      <c r="Z42" s="158">
        <f t="shared" si="83"/>
        <v>0.6</v>
      </c>
      <c r="AA42" s="158">
        <f t="shared" si="84"/>
        <v>0</v>
      </c>
      <c r="AB42" s="158">
        <f t="shared" si="85"/>
        <v>0</v>
      </c>
      <c r="AC42" s="158">
        <f t="shared" si="86"/>
        <v>0</v>
      </c>
      <c r="AD42" s="158">
        <f t="shared" si="87"/>
        <v>0</v>
      </c>
      <c r="AE42" s="158">
        <f t="shared" si="88"/>
        <v>0</v>
      </c>
      <c r="AF42" s="158">
        <f t="shared" si="89"/>
        <v>0</v>
      </c>
      <c r="AG42" s="158">
        <f t="shared" si="90"/>
        <v>0.3</v>
      </c>
      <c r="AH42" s="158">
        <f t="shared" si="91"/>
        <v>0.89999999999999991</v>
      </c>
      <c r="AI42" s="158">
        <f t="shared" si="92"/>
        <v>0.89999999999999991</v>
      </c>
      <c r="AJ42" s="158">
        <f t="shared" si="93"/>
        <v>1.2</v>
      </c>
      <c r="AK42" s="196"/>
      <c r="AL42" s="455"/>
    </row>
    <row r="43" spans="2:38" x14ac:dyDescent="0.25">
      <c r="B43" s="134"/>
      <c r="C43" s="110">
        <v>1000</v>
      </c>
      <c r="D43" s="133" t="s">
        <v>4796</v>
      </c>
      <c r="E43" s="186">
        <f>COUNTIFS(TU_DB[[Orthophosphate (ppb)]:[Orthophosphate (ppb)]],"&gt;"&amp;$C42,TU_DB[[TU Chapter Area]:[TU Chapter Area]],Scorecard!E$6)</f>
        <v>0</v>
      </c>
      <c r="F43" s="1">
        <f>COUNTIFS(TU_DB[[Orthophosphate (ppb)]:[Orthophosphate (ppb)]],"&gt;"&amp;$C42,TU_DB[[TU Chapter Area]:[TU Chapter Area]],Scorecard!F$6)</f>
        <v>0</v>
      </c>
      <c r="G43" s="1">
        <f>COUNTIFS(TU_DB[[Orthophosphate (ppb)]:[Orthophosphate (ppb)]],"&gt;"&amp;$C42,TU_DB[[TU Chapter Area]:[TU Chapter Area]],Scorecard!G$6)</f>
        <v>0</v>
      </c>
      <c r="H43" s="1">
        <f>COUNTIFS(TU_DB[[Orthophosphate (ppb)]:[Orthophosphate (ppb)]],"&gt;"&amp;$C42,TU_DB[[TU Chapter Area]:[TU Chapter Area]],Scorecard!H$6)</f>
        <v>0</v>
      </c>
      <c r="I43" s="1">
        <f>COUNTIFS(TU_DB[[Orthophosphate (ppb)]:[Orthophosphate (ppb)]],"&gt;"&amp;$C42,TU_DB[[TU Chapter Area]:[TU Chapter Area]],Scorecard!I$6)</f>
        <v>2</v>
      </c>
      <c r="J43" s="1">
        <f>COUNTIFS(TU_DB[[Orthophosphate (ppb)]:[Orthophosphate (ppb)]],"&gt;"&amp;$C42,TU_DB[[TU Chapter Area]:[TU Chapter Area]],Scorecard!J$6)</f>
        <v>0</v>
      </c>
      <c r="K43" s="1">
        <f>COUNTIFS(TU_DB[[Orthophosphate (ppb)]:[Orthophosphate (ppb)]],"&gt;"&amp;$C42,TU_DB[[TU Chapter Area]:[TU Chapter Area]],Scorecard!K$6)</f>
        <v>2</v>
      </c>
      <c r="L43" s="1">
        <f>COUNTIFS(TU_DB[[Orthophosphate (ppb)]:[Orthophosphate (ppb)]],"&gt;"&amp;$C42,TU_DB[[TU Chapter Area]:[TU Chapter Area]],Scorecard!L$6)</f>
        <v>0</v>
      </c>
      <c r="M43" s="1">
        <f>COUNTIFS(TU_DB[[Orthophosphate (ppb)]:[Orthophosphate (ppb)]],"&gt;"&amp;$C42,TU_DB[[TU Chapter Area]:[TU Chapter Area]],Scorecard!M$6)</f>
        <v>0</v>
      </c>
      <c r="N43" s="1">
        <f>COUNTIFS(TU_DB[[Orthophosphate (ppb)]:[Orthophosphate (ppb)]],"&gt;"&amp;$C42,TU_DB[[TU Chapter Area]:[TU Chapter Area]],Scorecard!N$6)</f>
        <v>0</v>
      </c>
      <c r="O43" s="1">
        <f>COUNTIFS(TU_DB[[Orthophosphate (ppb)]:[Orthophosphate (ppb)]],"&gt;"&amp;$C42,TU_DB[[TU Chapter Area]:[TU Chapter Area]],Scorecard!O$6)</f>
        <v>0</v>
      </c>
      <c r="P43" s="1">
        <f>COUNTIFS(TU_DB[[Orthophosphate (ppb)]:[Orthophosphate (ppb)]],"&gt;"&amp;$C42,TU_DB[[TU Chapter Area]:[TU Chapter Area]],Scorecard!P$6)</f>
        <v>0</v>
      </c>
      <c r="Q43" s="1">
        <f>COUNTIFS(TU_DB[[Orthophosphate (ppb)]:[Orthophosphate (ppb)]],"&gt;"&amp;$C42,TU_DB[[TU Chapter Area]:[TU Chapter Area]],Scorecard!Q$6)</f>
        <v>3</v>
      </c>
      <c r="R43" s="1">
        <f>COUNTIFS(TU_DB[[Orthophosphate (ppb)]:[Orthophosphate (ppb)]],"&gt;"&amp;$C42,TU_DB[[TU Chapter Area]:[TU Chapter Area]],Scorecard!R$6)</f>
        <v>2</v>
      </c>
      <c r="S43" s="187">
        <f>COUNTIFS(TU_DB[[Orthophosphate (ppb)]:[Orthophosphate (ppb)]],"&gt;"&amp;$C42,TU_DB[[TU Chapter Area]:[TU Chapter Area]],Scorecard!S$6)</f>
        <v>0</v>
      </c>
      <c r="T43" s="442"/>
      <c r="U43" s="489">
        <v>0.2</v>
      </c>
      <c r="V43" s="136">
        <f t="shared" si="79"/>
        <v>0</v>
      </c>
      <c r="W43" s="136">
        <f t="shared" si="80"/>
        <v>0</v>
      </c>
      <c r="X43" s="136">
        <f t="shared" si="81"/>
        <v>0</v>
      </c>
      <c r="Y43" s="136">
        <f t="shared" si="82"/>
        <v>0</v>
      </c>
      <c r="Z43" s="136">
        <f t="shared" si="83"/>
        <v>0.4</v>
      </c>
      <c r="AA43" s="136">
        <f t="shared" si="84"/>
        <v>0</v>
      </c>
      <c r="AB43" s="136">
        <f t="shared" si="85"/>
        <v>0.4</v>
      </c>
      <c r="AC43" s="136">
        <f t="shared" si="86"/>
        <v>0</v>
      </c>
      <c r="AD43" s="136">
        <f t="shared" si="87"/>
        <v>0</v>
      </c>
      <c r="AE43" s="136">
        <f t="shared" si="88"/>
        <v>0</v>
      </c>
      <c r="AF43" s="136">
        <f t="shared" si="89"/>
        <v>0</v>
      </c>
      <c r="AG43" s="136">
        <f t="shared" si="90"/>
        <v>0</v>
      </c>
      <c r="AH43" s="136">
        <f t="shared" si="91"/>
        <v>0.60000000000000009</v>
      </c>
      <c r="AI43" s="136">
        <f t="shared" si="92"/>
        <v>0.4</v>
      </c>
      <c r="AJ43" s="136">
        <f t="shared" si="93"/>
        <v>0</v>
      </c>
      <c r="AK43" s="203"/>
      <c r="AL43" s="463"/>
    </row>
    <row r="44" spans="2:38" x14ac:dyDescent="0.25">
      <c r="B44" s="165"/>
      <c r="C44" s="167"/>
      <c r="D44" s="167" t="s">
        <v>134</v>
      </c>
      <c r="E44" s="188">
        <f t="shared" ref="E44:S44" si="94">SUM(E40:E43)</f>
        <v>10</v>
      </c>
      <c r="F44" s="166">
        <f t="shared" si="94"/>
        <v>2</v>
      </c>
      <c r="G44" s="166">
        <f t="shared" si="94"/>
        <v>145</v>
      </c>
      <c r="H44" s="166">
        <f t="shared" si="94"/>
        <v>52</v>
      </c>
      <c r="I44" s="166">
        <f t="shared" si="94"/>
        <v>260</v>
      </c>
      <c r="J44" s="166">
        <f t="shared" si="94"/>
        <v>67</v>
      </c>
      <c r="K44" s="166">
        <f t="shared" si="94"/>
        <v>460</v>
      </c>
      <c r="L44" s="166">
        <f t="shared" si="94"/>
        <v>0</v>
      </c>
      <c r="M44" s="166">
        <f t="shared" si="94"/>
        <v>37</v>
      </c>
      <c r="N44" s="166">
        <f t="shared" si="94"/>
        <v>0</v>
      </c>
      <c r="O44" s="166">
        <f t="shared" si="94"/>
        <v>6</v>
      </c>
      <c r="P44" s="166">
        <f t="shared" si="94"/>
        <v>82</v>
      </c>
      <c r="Q44" s="166">
        <f t="shared" si="94"/>
        <v>217</v>
      </c>
      <c r="R44" s="166">
        <f t="shared" si="94"/>
        <v>159</v>
      </c>
      <c r="S44" s="166">
        <f t="shared" si="94"/>
        <v>157</v>
      </c>
      <c r="T44" s="167" t="s">
        <v>4804</v>
      </c>
      <c r="U44" s="481">
        <f t="shared" ref="U44" si="95">SUM(U40:U43)</f>
        <v>2</v>
      </c>
      <c r="V44" s="480">
        <f>IFERROR(SUM(V40:V43)/E44,0)</f>
        <v>0.57999999999999996</v>
      </c>
      <c r="W44" s="480">
        <f t="shared" ref="W44" si="96">IFERROR(SUM(W40:W43)/F44,0)</f>
        <v>1</v>
      </c>
      <c r="X44" s="480">
        <f t="shared" ref="X44" si="97">IFERROR(SUM(X40:X43)/G44,0)</f>
        <v>0.86620689655172411</v>
      </c>
      <c r="Y44" s="480">
        <f t="shared" ref="Y44" si="98">IFERROR(SUM(Y40:Y43)/H44,0)</f>
        <v>0.85576923076923073</v>
      </c>
      <c r="Z44" s="480">
        <f t="shared" ref="Z44" si="99">IFERROR(SUM(Z40:Z43)/I44,0)</f>
        <v>0.84807692307692306</v>
      </c>
      <c r="AA44" s="480">
        <f t="shared" ref="AA44" si="100">IFERROR(SUM(AA40:AA43)/J44,0)</f>
        <v>0.81343283582089554</v>
      </c>
      <c r="AB44" s="480">
        <f t="shared" ref="AB44" si="101">IFERROR(SUM(AB40:AB43)/K44,0)</f>
        <v>0.88021739130434773</v>
      </c>
      <c r="AC44" s="480">
        <f t="shared" ref="AC44" si="102">IFERROR(SUM(AC40:AC43)/L44,0)</f>
        <v>0</v>
      </c>
      <c r="AD44" s="480">
        <f t="shared" ref="AD44" si="103">IFERROR(SUM(AD40:AD43)/M44,0)</f>
        <v>0.77027027027027029</v>
      </c>
      <c r="AE44" s="480">
        <f t="shared" ref="AE44" si="104">IFERROR(SUM(AE40:AE43)/N44,0)</f>
        <v>0</v>
      </c>
      <c r="AF44" s="480">
        <f t="shared" ref="AF44" si="105">IFERROR(SUM(AF40:AF43)/O44,0)</f>
        <v>0.91666666666666663</v>
      </c>
      <c r="AG44" s="480">
        <f t="shared" ref="AG44" si="106">IFERROR(SUM(AG40:AG43)/P44,0)</f>
        <v>0.78414634146341455</v>
      </c>
      <c r="AH44" s="480">
        <f t="shared" ref="AH44" si="107">IFERROR(SUM(AH40:AH43)/Q44,0)</f>
        <v>0.77188940092165903</v>
      </c>
      <c r="AI44" s="480">
        <f t="shared" ref="AI44" si="108">IFERROR(SUM(AI40:AI43)/R44,0)</f>
        <v>0.82893081761006293</v>
      </c>
      <c r="AJ44" s="480">
        <f t="shared" ref="AJ44" si="109">IFERROR(SUM(AJ40:AJ43)/S44,0)</f>
        <v>0.89936305732484068</v>
      </c>
      <c r="AK44" s="204"/>
      <c r="AL44" s="462"/>
    </row>
    <row r="45" spans="2:38" x14ac:dyDescent="0.25">
      <c r="B45" s="416" t="s">
        <v>4816</v>
      </c>
      <c r="C45" s="416"/>
      <c r="D45" s="416"/>
      <c r="E45" s="417"/>
      <c r="F45" s="416"/>
      <c r="G45" s="416"/>
      <c r="H45" s="416"/>
      <c r="I45" s="416"/>
      <c r="J45" s="416"/>
      <c r="K45" s="416"/>
      <c r="L45" s="416"/>
      <c r="M45" s="416"/>
      <c r="N45" s="416"/>
      <c r="O45" s="416"/>
      <c r="P45" s="416"/>
      <c r="Q45" s="416"/>
      <c r="R45" s="416"/>
      <c r="S45" s="418"/>
      <c r="T45" s="430" t="s">
        <v>4819</v>
      </c>
      <c r="U45" s="506">
        <v>1</v>
      </c>
      <c r="V45" s="420" t="str">
        <f>IF((E33+E38+E43)&gt;=$U$45,"Flag","")</f>
        <v/>
      </c>
      <c r="W45" s="420" t="str">
        <f t="shared" ref="W45:AJ45" si="110">IF((F33+F38+F43)&gt;=$U$65,"Flag","")</f>
        <v/>
      </c>
      <c r="X45" s="420" t="str">
        <f t="shared" si="110"/>
        <v/>
      </c>
      <c r="Y45" s="420" t="str">
        <f t="shared" si="110"/>
        <v/>
      </c>
      <c r="Z45" s="420" t="str">
        <f t="shared" si="110"/>
        <v>Flag</v>
      </c>
      <c r="AA45" s="420" t="str">
        <f t="shared" si="110"/>
        <v>Flag</v>
      </c>
      <c r="AB45" s="420" t="str">
        <f t="shared" si="110"/>
        <v>Flag</v>
      </c>
      <c r="AC45" s="420" t="str">
        <f t="shared" si="110"/>
        <v/>
      </c>
      <c r="AD45" s="420" t="str">
        <f t="shared" si="110"/>
        <v>Flag</v>
      </c>
      <c r="AE45" s="420" t="str">
        <f t="shared" si="110"/>
        <v/>
      </c>
      <c r="AF45" s="420" t="str">
        <f t="shared" si="110"/>
        <v/>
      </c>
      <c r="AG45" s="420" t="str">
        <f t="shared" si="110"/>
        <v>Flag</v>
      </c>
      <c r="AH45" s="420" t="str">
        <f t="shared" si="110"/>
        <v>Flag</v>
      </c>
      <c r="AI45" s="420" t="str">
        <f t="shared" si="110"/>
        <v>Flag</v>
      </c>
      <c r="AJ45" s="420" t="str">
        <f t="shared" si="110"/>
        <v/>
      </c>
      <c r="AK45" s="416"/>
      <c r="AL45" s="459"/>
    </row>
    <row r="46" spans="2:38" ht="4.5" customHeight="1" x14ac:dyDescent="0.25">
      <c r="B46" s="207"/>
      <c r="C46" s="207"/>
      <c r="D46" s="207"/>
      <c r="E46" s="205"/>
      <c r="S46" s="206"/>
      <c r="T46" s="18"/>
      <c r="U46" s="395"/>
      <c r="V46" s="158"/>
      <c r="W46" s="158"/>
      <c r="X46" s="158"/>
      <c r="Y46" s="158"/>
      <c r="Z46" s="158"/>
      <c r="AA46" s="158"/>
      <c r="AB46" s="158"/>
      <c r="AC46" s="158"/>
      <c r="AD46" s="158"/>
      <c r="AE46" s="158"/>
      <c r="AF46" s="158"/>
      <c r="AG46" s="158"/>
      <c r="AH46" s="158"/>
      <c r="AI46" s="158"/>
      <c r="AJ46" s="158"/>
      <c r="AL46" s="455"/>
    </row>
    <row r="47" spans="2:38" ht="18.399999999999999" customHeight="1" x14ac:dyDescent="0.25">
      <c r="B47" s="168" t="s">
        <v>4793</v>
      </c>
      <c r="C47" s="168" t="s">
        <v>4809</v>
      </c>
      <c r="D47" s="168"/>
      <c r="E47" s="385"/>
      <c r="F47" s="386"/>
      <c r="G47" s="386"/>
      <c r="H47" s="386"/>
      <c r="I47" s="386"/>
      <c r="J47" s="386"/>
      <c r="K47" s="386"/>
      <c r="L47" s="386"/>
      <c r="M47" s="386"/>
      <c r="N47" s="386"/>
      <c r="O47" s="386"/>
      <c r="P47" s="386"/>
      <c r="Q47" s="386"/>
      <c r="R47" s="386"/>
      <c r="S47" s="387"/>
      <c r="T47" s="443"/>
      <c r="U47" s="177"/>
      <c r="V47" s="169"/>
      <c r="W47" s="169"/>
      <c r="X47" s="169"/>
      <c r="Y47" s="169"/>
      <c r="Z47" s="169"/>
      <c r="AA47" s="169"/>
      <c r="AB47" s="169"/>
      <c r="AC47" s="169"/>
      <c r="AD47" s="169"/>
      <c r="AE47" s="169"/>
      <c r="AF47" s="169"/>
      <c r="AG47" s="169"/>
      <c r="AH47" s="169"/>
      <c r="AI47" s="169"/>
      <c r="AJ47" s="169"/>
      <c r="AK47" s="168"/>
      <c r="AL47" s="466" t="s">
        <v>2103</v>
      </c>
    </row>
    <row r="48" spans="2:38" x14ac:dyDescent="0.25">
      <c r="B48" t="s">
        <v>1275</v>
      </c>
      <c r="C48" s="110">
        <v>67</v>
      </c>
      <c r="D48" s="133" t="s">
        <v>1277</v>
      </c>
      <c r="E48" s="391">
        <f>COUNTIFS(TU_DB[[Water Temperature (oF)]:[Water Temperature (oF)]],"&lt;="&amp;$C48,TU_DB[[TU Chapter Area]:[TU Chapter Area]],Scorecard!E$6)</f>
        <v>15</v>
      </c>
      <c r="F48" s="390">
        <f>COUNTIFS(TU_DB[[Water Temperature (oF)]:[Water Temperature (oF)]],"&lt;="&amp;$C48,TU_DB[[TU Chapter Area]:[TU Chapter Area]],Scorecard!F$6)</f>
        <v>8</v>
      </c>
      <c r="G48" s="390">
        <f>COUNTIFS(TU_DB[[Water Temperature (oF)]:[Water Temperature (oF)]],"&lt;="&amp;$C48,TU_DB[[TU Chapter Area]:[TU Chapter Area]],Scorecard!G$6)</f>
        <v>155</v>
      </c>
      <c r="H48" s="390">
        <f>COUNTIFS(TU_DB[[Water Temperature (oF)]:[Water Temperature (oF)]],"&lt;="&amp;$C48,TU_DB[[TU Chapter Area]:[TU Chapter Area]],Scorecard!H$6)</f>
        <v>69</v>
      </c>
      <c r="I48" s="390">
        <f>COUNTIFS(TU_DB[[Water Temperature (oF)]:[Water Temperature (oF)]],"&lt;="&amp;$C48,TU_DB[[TU Chapter Area]:[TU Chapter Area]],Scorecard!I$6)</f>
        <v>240</v>
      </c>
      <c r="J48" s="390">
        <f>COUNTIFS(TU_DB[[Water Temperature (oF)]:[Water Temperature (oF)]],"&lt;="&amp;$C48,TU_DB[[TU Chapter Area]:[TU Chapter Area]],Scorecard!J$6)</f>
        <v>62</v>
      </c>
      <c r="K48" s="390">
        <f>COUNTIFS(TU_DB[[Water Temperature (oF)]:[Water Temperature (oF)]],"&lt;="&amp;$C48,TU_DB[[TU Chapter Area]:[TU Chapter Area]],Scorecard!K$6)</f>
        <v>474</v>
      </c>
      <c r="L48" s="390">
        <f>COUNTIFS(TU_DB[[Water Temperature (oF)]:[Water Temperature (oF)]],"&lt;="&amp;$C48,TU_DB[[TU Chapter Area]:[TU Chapter Area]],Scorecard!L$6)</f>
        <v>0</v>
      </c>
      <c r="M48" s="390">
        <f>COUNTIFS(TU_DB[[Water Temperature (oF)]:[Water Temperature (oF)]],"&lt;="&amp;$C48,TU_DB[[TU Chapter Area]:[TU Chapter Area]],Scorecard!M$6)</f>
        <v>26</v>
      </c>
      <c r="N48" s="390">
        <f>COUNTIFS(TU_DB[[Water Temperature (oF)]:[Water Temperature (oF)]],"&lt;="&amp;$C48,TU_DB[[TU Chapter Area]:[TU Chapter Area]],Scorecard!N$6)</f>
        <v>0</v>
      </c>
      <c r="O48" s="390">
        <f>COUNTIFS(TU_DB[[Water Temperature (oF)]:[Water Temperature (oF)]],"&lt;="&amp;$C48,TU_DB[[TU Chapter Area]:[TU Chapter Area]],Scorecard!O$6)</f>
        <v>8</v>
      </c>
      <c r="P48" s="390">
        <f>COUNTIFS(TU_DB[[Water Temperature (oF)]:[Water Temperature (oF)]],"&lt;="&amp;$C48,TU_DB[[TU Chapter Area]:[TU Chapter Area]],Scorecard!P$6)</f>
        <v>47</v>
      </c>
      <c r="Q48" s="390">
        <f>COUNTIFS(TU_DB[[Water Temperature (oF)]:[Water Temperature (oF)]],"&lt;="&amp;$C48,TU_DB[[TU Chapter Area]:[TU Chapter Area]],Scorecard!Q$6)</f>
        <v>247</v>
      </c>
      <c r="R48" s="390">
        <f>COUNTIFS(TU_DB[[Water Temperature (oF)]:[Water Temperature (oF)]],"&lt;="&amp;$C48,TU_DB[[TU Chapter Area]:[TU Chapter Area]],Scorecard!R$6)</f>
        <v>224</v>
      </c>
      <c r="S48" s="392">
        <f>COUNTIFS(TU_DB[[Water Temperature (oF)]:[Water Temperature (oF)]],"&lt;="&amp;$C48,TU_DB[[TU Chapter Area]:[TU Chapter Area]],Scorecard!S$6)</f>
        <v>139</v>
      </c>
      <c r="T48" s="18"/>
      <c r="U48" s="193">
        <v>1.3</v>
      </c>
      <c r="V48" s="158">
        <f>IFERROR(E48*$U48,0)</f>
        <v>19.5</v>
      </c>
      <c r="W48" s="158">
        <f t="shared" ref="W48:AJ51" si="111">IFERROR(F48*$U48,0)</f>
        <v>10.4</v>
      </c>
      <c r="X48" s="158">
        <f t="shared" si="111"/>
        <v>201.5</v>
      </c>
      <c r="Y48" s="158">
        <f t="shared" si="111"/>
        <v>89.7</v>
      </c>
      <c r="Z48" s="158">
        <f t="shared" si="111"/>
        <v>312</v>
      </c>
      <c r="AA48" s="158">
        <f t="shared" si="111"/>
        <v>80.600000000000009</v>
      </c>
      <c r="AB48" s="158">
        <f t="shared" si="111"/>
        <v>616.20000000000005</v>
      </c>
      <c r="AC48" s="158">
        <f t="shared" si="111"/>
        <v>0</v>
      </c>
      <c r="AD48" s="158">
        <f t="shared" si="111"/>
        <v>33.800000000000004</v>
      </c>
      <c r="AE48" s="158">
        <f t="shared" si="111"/>
        <v>0</v>
      </c>
      <c r="AF48" s="158">
        <f t="shared" si="111"/>
        <v>10.4</v>
      </c>
      <c r="AG48" s="158">
        <f t="shared" si="111"/>
        <v>61.1</v>
      </c>
      <c r="AH48" s="158">
        <f t="shared" si="111"/>
        <v>321.10000000000002</v>
      </c>
      <c r="AI48" s="158">
        <f t="shared" si="111"/>
        <v>291.2</v>
      </c>
      <c r="AJ48" s="158">
        <f t="shared" si="111"/>
        <v>180.70000000000002</v>
      </c>
      <c r="AK48" s="196"/>
    </row>
    <row r="49" spans="2:38" x14ac:dyDescent="0.25">
      <c r="C49" s="110">
        <v>71</v>
      </c>
      <c r="D49" s="133" t="s">
        <v>1276</v>
      </c>
      <c r="E49" s="186">
        <f>COUNTIFS(TU_DB[[Water Temperature (oF)]:[Water Temperature (oF)]],"&lt;="&amp;$C49,TU_DB[[TU Chapter Area]:[TU Chapter Area]],Scorecard!E$6)-E48</f>
        <v>1</v>
      </c>
      <c r="F49" s="1">
        <f>COUNTIFS(TU_DB[[Water Temperature (oF)]:[Water Temperature (oF)]],"&lt;="&amp;$C49,TU_DB[[TU Chapter Area]:[TU Chapter Area]],Scorecard!F$6)-F48</f>
        <v>0</v>
      </c>
      <c r="G49" s="1">
        <f>COUNTIFS(TU_DB[[Water Temperature (oF)]:[Water Temperature (oF)]],"&lt;="&amp;$C49,TU_DB[[TU Chapter Area]:[TU Chapter Area]],Scorecard!G$6)-G48</f>
        <v>24</v>
      </c>
      <c r="H49" s="1">
        <f>COUNTIFS(TU_DB[[Water Temperature (oF)]:[Water Temperature (oF)]],"&lt;="&amp;$C49,TU_DB[[TU Chapter Area]:[TU Chapter Area]],Scorecard!H$6)-H48</f>
        <v>6</v>
      </c>
      <c r="I49" s="1">
        <f>COUNTIFS(TU_DB[[Water Temperature (oF)]:[Water Temperature (oF)]],"&lt;="&amp;$C49,TU_DB[[TU Chapter Area]:[TU Chapter Area]],Scorecard!I$6)-I48</f>
        <v>10</v>
      </c>
      <c r="J49" s="1">
        <f>COUNTIFS(TU_DB[[Water Temperature (oF)]:[Water Temperature (oF)]],"&lt;="&amp;$C49,TU_DB[[TU Chapter Area]:[TU Chapter Area]],Scorecard!J$6)-J48</f>
        <v>4</v>
      </c>
      <c r="K49" s="1">
        <f>COUNTIFS(TU_DB[[Water Temperature (oF)]:[Water Temperature (oF)]],"&lt;="&amp;$C49,TU_DB[[TU Chapter Area]:[TU Chapter Area]],Scorecard!K$6)-K48</f>
        <v>23</v>
      </c>
      <c r="L49" s="1">
        <f>COUNTIFS(TU_DB[[Water Temperature (oF)]:[Water Temperature (oF)]],"&lt;="&amp;$C49,TU_DB[[TU Chapter Area]:[TU Chapter Area]],Scorecard!L$6)-L48</f>
        <v>0</v>
      </c>
      <c r="M49" s="1">
        <f>COUNTIFS(TU_DB[[Water Temperature (oF)]:[Water Temperature (oF)]],"&lt;="&amp;$C49,TU_DB[[TU Chapter Area]:[TU Chapter Area]],Scorecard!M$6)-M48</f>
        <v>5</v>
      </c>
      <c r="N49" s="1">
        <f>COUNTIFS(TU_DB[[Water Temperature (oF)]:[Water Temperature (oF)]],"&lt;="&amp;$C49,TU_DB[[TU Chapter Area]:[TU Chapter Area]],Scorecard!N$6)-N48</f>
        <v>0</v>
      </c>
      <c r="O49" s="1">
        <f>COUNTIFS(TU_DB[[Water Temperature (oF)]:[Water Temperature (oF)]],"&lt;="&amp;$C49,TU_DB[[TU Chapter Area]:[TU Chapter Area]],Scorecard!O$6)-O48</f>
        <v>0</v>
      </c>
      <c r="P49" s="1">
        <f>COUNTIFS(TU_DB[[Water Temperature (oF)]:[Water Temperature (oF)]],"&lt;="&amp;$C49,TU_DB[[TU Chapter Area]:[TU Chapter Area]],Scorecard!P$6)-P48</f>
        <v>13</v>
      </c>
      <c r="Q49" s="1">
        <f>COUNTIFS(TU_DB[[Water Temperature (oF)]:[Water Temperature (oF)]],"&lt;="&amp;$C49,TU_DB[[TU Chapter Area]:[TU Chapter Area]],Scorecard!Q$6)-Q48</f>
        <v>19</v>
      </c>
      <c r="R49" s="1">
        <f>COUNTIFS(TU_DB[[Water Temperature (oF)]:[Water Temperature (oF)]],"&lt;="&amp;$C49,TU_DB[[TU Chapter Area]:[TU Chapter Area]],Scorecard!R$6)-R48</f>
        <v>13</v>
      </c>
      <c r="S49" s="187">
        <f>COUNTIFS(TU_DB[[Water Temperature (oF)]:[Water Temperature (oF)]],"&lt;="&amp;$C49,TU_DB[[TU Chapter Area]:[TU Chapter Area]],Scorecard!S$6)-S48</f>
        <v>2</v>
      </c>
      <c r="T49" s="18"/>
      <c r="U49" s="193">
        <v>0.6</v>
      </c>
      <c r="V49" s="158">
        <f t="shared" ref="V49:V51" si="112">IFERROR(E49*$U49,0)</f>
        <v>0.6</v>
      </c>
      <c r="W49" s="158">
        <f t="shared" si="111"/>
        <v>0</v>
      </c>
      <c r="X49" s="158">
        <f t="shared" si="111"/>
        <v>14.399999999999999</v>
      </c>
      <c r="Y49" s="158">
        <f t="shared" si="111"/>
        <v>3.5999999999999996</v>
      </c>
      <c r="Z49" s="158">
        <f t="shared" si="111"/>
        <v>6</v>
      </c>
      <c r="AA49" s="158">
        <f t="shared" si="111"/>
        <v>2.4</v>
      </c>
      <c r="AB49" s="158">
        <f t="shared" si="111"/>
        <v>13.799999999999999</v>
      </c>
      <c r="AC49" s="158">
        <f t="shared" si="111"/>
        <v>0</v>
      </c>
      <c r="AD49" s="158">
        <f t="shared" si="111"/>
        <v>3</v>
      </c>
      <c r="AE49" s="158">
        <f t="shared" si="111"/>
        <v>0</v>
      </c>
      <c r="AF49" s="158">
        <f t="shared" si="111"/>
        <v>0</v>
      </c>
      <c r="AG49" s="158">
        <f t="shared" si="111"/>
        <v>7.8</v>
      </c>
      <c r="AH49" s="158">
        <f t="shared" si="111"/>
        <v>11.4</v>
      </c>
      <c r="AI49" s="158">
        <f t="shared" si="111"/>
        <v>7.8</v>
      </c>
      <c r="AJ49" s="158">
        <f t="shared" si="111"/>
        <v>1.2</v>
      </c>
      <c r="AK49" s="196"/>
      <c r="AL49" s="455"/>
    </row>
    <row r="50" spans="2:38" x14ac:dyDescent="0.25">
      <c r="B50" s="472"/>
      <c r="C50" s="507">
        <v>76</v>
      </c>
      <c r="D50" s="474" t="s">
        <v>4796</v>
      </c>
      <c r="E50" s="475">
        <f>COUNTIFS(TU_DB[[Water Temperature (oF)]:[Water Temperature (oF)]],"&lt;="&amp;$C50,TU_DB[[TU Chapter Area]:[TU Chapter Area]],Scorecard!E$6)-SUM(E48:E49)</f>
        <v>1</v>
      </c>
      <c r="F50" s="476">
        <f>COUNTIFS(TU_DB[[Water Temperature (oF)]:[Water Temperature (oF)]],"&lt;="&amp;$C50,TU_DB[[TU Chapter Area]:[TU Chapter Area]],Scorecard!F$6)-SUM(F48:F49)</f>
        <v>0</v>
      </c>
      <c r="G50" s="476">
        <f>COUNTIFS(TU_DB[[Water Temperature (oF)]:[Water Temperature (oF)]],"&lt;="&amp;$C50,TU_DB[[TU Chapter Area]:[TU Chapter Area]],Scorecard!G$6)-SUM(G48:G49)</f>
        <v>6</v>
      </c>
      <c r="H50" s="476">
        <f>COUNTIFS(TU_DB[[Water Temperature (oF)]:[Water Temperature (oF)]],"&lt;="&amp;$C50,TU_DB[[TU Chapter Area]:[TU Chapter Area]],Scorecard!H$6)-SUM(H48:H49)</f>
        <v>1</v>
      </c>
      <c r="I50" s="476">
        <f>COUNTIFS(TU_DB[[Water Temperature (oF)]:[Water Temperature (oF)]],"&lt;="&amp;$C50,TU_DB[[TU Chapter Area]:[TU Chapter Area]],Scorecard!I$6)-SUM(I48:I49)</f>
        <v>6</v>
      </c>
      <c r="J50" s="476">
        <f>COUNTIFS(TU_DB[[Water Temperature (oF)]:[Water Temperature (oF)]],"&lt;="&amp;$C50,TU_DB[[TU Chapter Area]:[TU Chapter Area]],Scorecard!J$6)-SUM(J48:J49)</f>
        <v>4</v>
      </c>
      <c r="K50" s="476">
        <f>COUNTIFS(TU_DB[[Water Temperature (oF)]:[Water Temperature (oF)]],"&lt;="&amp;$C50,TU_DB[[TU Chapter Area]:[TU Chapter Area]],Scorecard!K$6)-SUM(K48:K49)</f>
        <v>5</v>
      </c>
      <c r="L50" s="476">
        <f>COUNTIFS(TU_DB[[Water Temperature (oF)]:[Water Temperature (oF)]],"&lt;="&amp;$C50,TU_DB[[TU Chapter Area]:[TU Chapter Area]],Scorecard!L$6)-SUM(L48:L49)</f>
        <v>0</v>
      </c>
      <c r="M50" s="476">
        <f>COUNTIFS(TU_DB[[Water Temperature (oF)]:[Water Temperature (oF)]],"&lt;="&amp;$C50,TU_DB[[TU Chapter Area]:[TU Chapter Area]],Scorecard!M$6)-SUM(M48:M49)</f>
        <v>1</v>
      </c>
      <c r="N50" s="476">
        <f>COUNTIFS(TU_DB[[Water Temperature (oF)]:[Water Temperature (oF)]],"&lt;="&amp;$C50,TU_DB[[TU Chapter Area]:[TU Chapter Area]],Scorecard!N$6)-SUM(N48:N49)</f>
        <v>0</v>
      </c>
      <c r="O50" s="476">
        <f>COUNTIFS(TU_DB[[Water Temperature (oF)]:[Water Temperature (oF)]],"&lt;="&amp;$C50,TU_DB[[TU Chapter Area]:[TU Chapter Area]],Scorecard!O$6)-SUM(O48:O49)</f>
        <v>0</v>
      </c>
      <c r="P50" s="476">
        <f>COUNTIFS(TU_DB[[Water Temperature (oF)]:[Water Temperature (oF)]],"&lt;="&amp;$C50,TU_DB[[TU Chapter Area]:[TU Chapter Area]],Scorecard!P$6)-SUM(P48:P49)</f>
        <v>10</v>
      </c>
      <c r="Q50" s="476">
        <f>COUNTIFS(TU_DB[[Water Temperature (oF)]:[Water Temperature (oF)]],"&lt;="&amp;$C50,TU_DB[[TU Chapter Area]:[TU Chapter Area]],Scorecard!Q$6)-SUM(Q48:Q49)</f>
        <v>1</v>
      </c>
      <c r="R50" s="476">
        <f>COUNTIFS(TU_DB[[Water Temperature (oF)]:[Water Temperature (oF)]],"&lt;="&amp;$C50,TU_DB[[TU Chapter Area]:[TU Chapter Area]],Scorecard!R$6)-SUM(R48:R49)</f>
        <v>0</v>
      </c>
      <c r="S50" s="477">
        <f>COUNTIFS(TU_DB[[Water Temperature (oF)]:[Water Temperature (oF)]],"&lt;="&amp;$C50,TU_DB[[TU Chapter Area]:[TU Chapter Area]],Scorecard!S$6)-SUM(S48:S49)</f>
        <v>0</v>
      </c>
      <c r="T50" s="476"/>
      <c r="U50" s="193">
        <v>0.1</v>
      </c>
      <c r="V50" s="158">
        <f t="shared" si="112"/>
        <v>0.1</v>
      </c>
      <c r="W50" s="158">
        <f t="shared" si="111"/>
        <v>0</v>
      </c>
      <c r="X50" s="158">
        <f t="shared" si="111"/>
        <v>0.60000000000000009</v>
      </c>
      <c r="Y50" s="158">
        <f t="shared" si="111"/>
        <v>0.1</v>
      </c>
      <c r="Z50" s="158">
        <f t="shared" si="111"/>
        <v>0.60000000000000009</v>
      </c>
      <c r="AA50" s="158">
        <f t="shared" si="111"/>
        <v>0.4</v>
      </c>
      <c r="AB50" s="158">
        <f t="shared" si="111"/>
        <v>0.5</v>
      </c>
      <c r="AC50" s="158">
        <f t="shared" si="111"/>
        <v>0</v>
      </c>
      <c r="AD50" s="158">
        <f t="shared" si="111"/>
        <v>0.1</v>
      </c>
      <c r="AE50" s="158">
        <f t="shared" si="111"/>
        <v>0</v>
      </c>
      <c r="AF50" s="158">
        <f t="shared" si="111"/>
        <v>0</v>
      </c>
      <c r="AG50" s="158">
        <f t="shared" si="111"/>
        <v>1</v>
      </c>
      <c r="AH50" s="158">
        <f t="shared" si="111"/>
        <v>0.1</v>
      </c>
      <c r="AI50" s="158">
        <f t="shared" si="111"/>
        <v>0</v>
      </c>
      <c r="AJ50" s="158">
        <f t="shared" si="111"/>
        <v>0</v>
      </c>
      <c r="AK50" s="493"/>
      <c r="AL50" s="458"/>
    </row>
    <row r="51" spans="2:38" x14ac:dyDescent="0.25">
      <c r="B51" s="424"/>
      <c r="C51" s="508" t="s">
        <v>4786</v>
      </c>
      <c r="D51" s="425" t="s">
        <v>1278</v>
      </c>
      <c r="E51" s="482">
        <f>COUNTIFS(TU_DB[[Water Temperature (oF)]:[Water Temperature (oF)]],"&gt;="&amp;$C52,TU_DB[[TU Chapter Area]:[TU Chapter Area]],Scorecard!E$6)</f>
        <v>0</v>
      </c>
      <c r="F51" s="483">
        <f>COUNTIFS(TU_DB[[Water Temperature (oF)]:[Water Temperature (oF)]],"&gt;="&amp;$C52,TU_DB[[TU Chapter Area]:[TU Chapter Area]],Scorecard!F$6)</f>
        <v>0</v>
      </c>
      <c r="G51" s="483">
        <f>COUNTIFS(TU_DB[[Water Temperature (oF)]:[Water Temperature (oF)]],"&gt;="&amp;$C52,TU_DB[[TU Chapter Area]:[TU Chapter Area]],Scorecard!G$6)</f>
        <v>0</v>
      </c>
      <c r="H51" s="483">
        <f>COUNTIFS(TU_DB[[Water Temperature (oF)]:[Water Temperature (oF)]],"&gt;="&amp;$C52,TU_DB[[TU Chapter Area]:[TU Chapter Area]],Scorecard!H$6)</f>
        <v>0</v>
      </c>
      <c r="I51" s="483">
        <f>COUNTIFS(TU_DB[[Water Temperature (oF)]:[Water Temperature (oF)]],"&gt;="&amp;$C52,TU_DB[[TU Chapter Area]:[TU Chapter Area]],Scorecard!I$6)</f>
        <v>0</v>
      </c>
      <c r="J51" s="483">
        <f>COUNTIFS(TU_DB[[Water Temperature (oF)]:[Water Temperature (oF)]],"&gt;="&amp;$C52,TU_DB[[TU Chapter Area]:[TU Chapter Area]],Scorecard!J$6)</f>
        <v>0</v>
      </c>
      <c r="K51" s="483">
        <f>COUNTIFS(TU_DB[[Water Temperature (oF)]:[Water Temperature (oF)]],"&gt;="&amp;$C52,TU_DB[[TU Chapter Area]:[TU Chapter Area]],Scorecard!K$6)</f>
        <v>0</v>
      </c>
      <c r="L51" s="483">
        <f>COUNTIFS(TU_DB[[Water Temperature (oF)]:[Water Temperature (oF)]],"&gt;="&amp;$C52,TU_DB[[TU Chapter Area]:[TU Chapter Area]],Scorecard!L$6)</f>
        <v>0</v>
      </c>
      <c r="M51" s="483">
        <f>COUNTIFS(TU_DB[[Water Temperature (oF)]:[Water Temperature (oF)]],"&gt;="&amp;$C52,TU_DB[[TU Chapter Area]:[TU Chapter Area]],Scorecard!M$6)</f>
        <v>0</v>
      </c>
      <c r="N51" s="483">
        <f>COUNTIFS(TU_DB[[Water Temperature (oF)]:[Water Temperature (oF)]],"&gt;="&amp;$C52,TU_DB[[TU Chapter Area]:[TU Chapter Area]],Scorecard!N$6)</f>
        <v>0</v>
      </c>
      <c r="O51" s="483">
        <f>COUNTIFS(TU_DB[[Water Temperature (oF)]:[Water Temperature (oF)]],"&gt;="&amp;$C52,TU_DB[[TU Chapter Area]:[TU Chapter Area]],Scorecard!O$6)</f>
        <v>0</v>
      </c>
      <c r="P51" s="483">
        <f>COUNTIFS(TU_DB[[Water Temperature (oF)]:[Water Temperature (oF)]],"&gt;="&amp;$C52,TU_DB[[TU Chapter Area]:[TU Chapter Area]],Scorecard!P$6)</f>
        <v>0</v>
      </c>
      <c r="Q51" s="483">
        <f>COUNTIFS(TU_DB[[Water Temperature (oF)]:[Water Temperature (oF)]],"&gt;="&amp;$C52,TU_DB[[TU Chapter Area]:[TU Chapter Area]],Scorecard!Q$6)</f>
        <v>0</v>
      </c>
      <c r="R51" s="483">
        <f>COUNTIFS(TU_DB[[Water Temperature (oF)]:[Water Temperature (oF)]],"&gt;="&amp;$C52,TU_DB[[TU Chapter Area]:[TU Chapter Area]],Scorecard!R$6)</f>
        <v>0</v>
      </c>
      <c r="S51" s="484">
        <f>COUNTIFS(TU_DB[[Water Temperature (oF)]:[Water Temperature (oF)]],"&gt;="&amp;$C52,TU_DB[[TU Chapter Area]:[TU Chapter Area]],Scorecard!S$6)</f>
        <v>0</v>
      </c>
      <c r="T51" s="135"/>
      <c r="U51" s="497">
        <v>0</v>
      </c>
      <c r="V51" s="498">
        <f t="shared" si="112"/>
        <v>0</v>
      </c>
      <c r="W51" s="498">
        <f t="shared" si="111"/>
        <v>0</v>
      </c>
      <c r="X51" s="498">
        <f t="shared" si="111"/>
        <v>0</v>
      </c>
      <c r="Y51" s="498">
        <f t="shared" si="111"/>
        <v>0</v>
      </c>
      <c r="Z51" s="498">
        <f t="shared" si="111"/>
        <v>0</v>
      </c>
      <c r="AA51" s="498">
        <f t="shared" si="111"/>
        <v>0</v>
      </c>
      <c r="AB51" s="498">
        <f t="shared" si="111"/>
        <v>0</v>
      </c>
      <c r="AC51" s="498">
        <f t="shared" si="111"/>
        <v>0</v>
      </c>
      <c r="AD51" s="498">
        <f t="shared" si="111"/>
        <v>0</v>
      </c>
      <c r="AE51" s="498">
        <f t="shared" si="111"/>
        <v>0</v>
      </c>
      <c r="AF51" s="498">
        <f t="shared" si="111"/>
        <v>0</v>
      </c>
      <c r="AG51" s="498">
        <f t="shared" si="111"/>
        <v>0</v>
      </c>
      <c r="AH51" s="498">
        <f t="shared" si="111"/>
        <v>0</v>
      </c>
      <c r="AI51" s="498">
        <f t="shared" si="111"/>
        <v>0</v>
      </c>
      <c r="AJ51" s="498">
        <f t="shared" si="111"/>
        <v>0</v>
      </c>
      <c r="AK51" s="499"/>
      <c r="AL51" s="500"/>
    </row>
    <row r="52" spans="2:38" x14ac:dyDescent="0.25">
      <c r="B52" s="165"/>
      <c r="C52" s="165"/>
      <c r="D52" s="167" t="s">
        <v>134</v>
      </c>
      <c r="E52" s="427">
        <f>SUM(E48:E51)</f>
        <v>17</v>
      </c>
      <c r="F52" s="428">
        <f t="shared" ref="F52:S52" si="113">SUM(F48:F51)</f>
        <v>8</v>
      </c>
      <c r="G52" s="428">
        <f t="shared" si="113"/>
        <v>185</v>
      </c>
      <c r="H52" s="428">
        <f t="shared" si="113"/>
        <v>76</v>
      </c>
      <c r="I52" s="428">
        <f t="shared" si="113"/>
        <v>256</v>
      </c>
      <c r="J52" s="428">
        <f t="shared" si="113"/>
        <v>70</v>
      </c>
      <c r="K52" s="428">
        <f t="shared" si="113"/>
        <v>502</v>
      </c>
      <c r="L52" s="428">
        <f t="shared" si="113"/>
        <v>0</v>
      </c>
      <c r="M52" s="428">
        <f t="shared" si="113"/>
        <v>32</v>
      </c>
      <c r="N52" s="428">
        <f t="shared" si="113"/>
        <v>0</v>
      </c>
      <c r="O52" s="428">
        <f t="shared" si="113"/>
        <v>8</v>
      </c>
      <c r="P52" s="428">
        <f t="shared" si="113"/>
        <v>70</v>
      </c>
      <c r="Q52" s="428">
        <f t="shared" si="113"/>
        <v>267</v>
      </c>
      <c r="R52" s="428">
        <f t="shared" si="113"/>
        <v>237</v>
      </c>
      <c r="S52" s="429">
        <f t="shared" si="113"/>
        <v>141</v>
      </c>
      <c r="T52" s="167" t="s">
        <v>4810</v>
      </c>
      <c r="U52" s="494">
        <f>SUM(U48:U50)</f>
        <v>2</v>
      </c>
      <c r="V52" s="495">
        <f>IFERROR(SUM(V48:V51)/E52,0)</f>
        <v>1.1882352941176473</v>
      </c>
      <c r="W52" s="495">
        <f t="shared" ref="W52:AJ52" si="114">IFERROR(SUM(W48:W51)/F52,0)</f>
        <v>1.3</v>
      </c>
      <c r="X52" s="495">
        <f t="shared" si="114"/>
        <v>1.1702702702702703</v>
      </c>
      <c r="Y52" s="495">
        <f t="shared" si="114"/>
        <v>1.2289473684210526</v>
      </c>
      <c r="Z52" s="495">
        <f t="shared" si="114"/>
        <v>1.2445312500000001</v>
      </c>
      <c r="AA52" s="495">
        <f t="shared" si="114"/>
        <v>1.1914285714285717</v>
      </c>
      <c r="AB52" s="495">
        <f t="shared" si="114"/>
        <v>1.2559760956175299</v>
      </c>
      <c r="AC52" s="495">
        <f t="shared" si="114"/>
        <v>0</v>
      </c>
      <c r="AD52" s="495">
        <f t="shared" si="114"/>
        <v>1.1531250000000002</v>
      </c>
      <c r="AE52" s="495">
        <f t="shared" si="114"/>
        <v>0</v>
      </c>
      <c r="AF52" s="495">
        <f t="shared" si="114"/>
        <v>1.3</v>
      </c>
      <c r="AG52" s="495">
        <f t="shared" si="114"/>
        <v>0.99857142857142867</v>
      </c>
      <c r="AH52" s="495">
        <f t="shared" si="114"/>
        <v>1.2456928838951311</v>
      </c>
      <c r="AI52" s="495">
        <f t="shared" si="114"/>
        <v>1.2616033755274261</v>
      </c>
      <c r="AJ52" s="495">
        <f t="shared" si="114"/>
        <v>1.2900709219858157</v>
      </c>
      <c r="AK52" s="496"/>
      <c r="AL52" s="465"/>
    </row>
    <row r="53" spans="2:38" x14ac:dyDescent="0.25">
      <c r="B53" s="416" t="s">
        <v>4814</v>
      </c>
      <c r="C53" s="416"/>
      <c r="D53" s="431"/>
      <c r="E53" s="416"/>
      <c r="F53" s="416"/>
      <c r="G53" s="416"/>
      <c r="H53" s="416"/>
      <c r="I53" s="416"/>
      <c r="J53" s="416"/>
      <c r="K53" s="416"/>
      <c r="L53" s="416"/>
      <c r="M53" s="416"/>
      <c r="N53" s="416"/>
      <c r="O53" s="416"/>
      <c r="P53" s="416"/>
      <c r="Q53" s="416"/>
      <c r="R53" s="416"/>
      <c r="S53" s="418"/>
      <c r="T53" s="430" t="s">
        <v>4819</v>
      </c>
      <c r="U53" s="506">
        <v>1</v>
      </c>
      <c r="V53" s="420" t="str">
        <f>IF(E51&gt;=$U$53,"Flag","")</f>
        <v/>
      </c>
      <c r="W53" s="420" t="str">
        <f t="shared" ref="W53:AJ53" si="115">IF(F51&gt;=$U$53,"Flag","")</f>
        <v/>
      </c>
      <c r="X53" s="420" t="str">
        <f t="shared" si="115"/>
        <v/>
      </c>
      <c r="Y53" s="420" t="str">
        <f t="shared" si="115"/>
        <v/>
      </c>
      <c r="Z53" s="420" t="str">
        <f t="shared" si="115"/>
        <v/>
      </c>
      <c r="AA53" s="420" t="str">
        <f t="shared" si="115"/>
        <v/>
      </c>
      <c r="AB53" s="420" t="str">
        <f t="shared" si="115"/>
        <v/>
      </c>
      <c r="AC53" s="420" t="str">
        <f t="shared" si="115"/>
        <v/>
      </c>
      <c r="AD53" s="420" t="str">
        <f t="shared" si="115"/>
        <v/>
      </c>
      <c r="AE53" s="420" t="str">
        <f t="shared" si="115"/>
        <v/>
      </c>
      <c r="AF53" s="420" t="str">
        <f t="shared" si="115"/>
        <v/>
      </c>
      <c r="AG53" s="420" t="str">
        <f t="shared" si="115"/>
        <v/>
      </c>
      <c r="AH53" s="420" t="str">
        <f t="shared" si="115"/>
        <v/>
      </c>
      <c r="AI53" s="420" t="str">
        <f t="shared" si="115"/>
        <v/>
      </c>
      <c r="AJ53" s="420" t="str">
        <f t="shared" si="115"/>
        <v/>
      </c>
      <c r="AK53" s="420"/>
      <c r="AL53" s="459"/>
    </row>
    <row r="54" spans="2:38" ht="5.25" customHeight="1" x14ac:dyDescent="0.25">
      <c r="B54" s="207"/>
      <c r="C54" s="207"/>
      <c r="D54" s="207"/>
      <c r="E54" s="205"/>
      <c r="S54" s="206"/>
      <c r="U54" s="205"/>
      <c r="V54" s="158"/>
      <c r="W54" s="158"/>
      <c r="X54" s="158"/>
      <c r="Y54" s="158"/>
      <c r="Z54" s="158"/>
      <c r="AA54" s="158"/>
      <c r="AB54" s="158"/>
      <c r="AC54" s="158"/>
      <c r="AD54" s="158"/>
      <c r="AE54" s="158"/>
      <c r="AF54" s="158"/>
      <c r="AG54" s="158"/>
      <c r="AH54" s="158"/>
      <c r="AI54" s="158"/>
      <c r="AJ54" s="158"/>
      <c r="AL54" s="455"/>
    </row>
    <row r="55" spans="2:38" ht="18" customHeight="1" x14ac:dyDescent="0.25">
      <c r="B55" s="168" t="s">
        <v>1282</v>
      </c>
      <c r="C55" s="168"/>
      <c r="D55" s="168"/>
      <c r="E55" s="180"/>
      <c r="F55" s="168"/>
      <c r="G55" s="168"/>
      <c r="H55" s="168"/>
      <c r="I55" s="168"/>
      <c r="J55" s="168"/>
      <c r="K55" s="168"/>
      <c r="L55" s="168"/>
      <c r="M55" s="168"/>
      <c r="N55" s="168"/>
      <c r="O55" s="168"/>
      <c r="P55" s="168"/>
      <c r="Q55" s="168"/>
      <c r="R55" s="168"/>
      <c r="S55" s="181"/>
      <c r="T55" s="168"/>
      <c r="U55" s="177"/>
      <c r="V55" s="169"/>
      <c r="W55" s="169"/>
      <c r="X55" s="169"/>
      <c r="Y55" s="169"/>
      <c r="Z55" s="169"/>
      <c r="AA55" s="169"/>
      <c r="AB55" s="169"/>
      <c r="AC55" s="169"/>
      <c r="AD55" s="169"/>
      <c r="AE55" s="169"/>
      <c r="AF55" s="169"/>
      <c r="AG55" s="169"/>
      <c r="AH55" s="169"/>
      <c r="AI55" s="169"/>
      <c r="AJ55" s="169"/>
      <c r="AK55" s="168"/>
      <c r="AL55" s="466" t="s">
        <v>2102</v>
      </c>
    </row>
    <row r="56" spans="2:38" x14ac:dyDescent="0.25">
      <c r="B56" t="s">
        <v>7</v>
      </c>
      <c r="C56" s="445"/>
      <c r="D56" s="133" t="s">
        <v>4796</v>
      </c>
      <c r="E56" s="391">
        <f>SUMIFS(TU_DB[[Fish Barrier]:[Fish Barrier]],TU_DB[[Fish Barrier]:[Fish Barrier]],"&gt;"&amp;0,TU_DB[[TU Chapter Area]:[TU Chapter Area]],Scorecard!E$6)</f>
        <v>0</v>
      </c>
      <c r="F56" s="390">
        <f>SUMIFS(TU_DB[[Fish Barrier]:[Fish Barrier]],TU_DB[[Fish Barrier]:[Fish Barrier]],"&gt;"&amp;0,TU_DB[[TU Chapter Area]:[TU Chapter Area]],Scorecard!F$6)</f>
        <v>0</v>
      </c>
      <c r="G56" s="390">
        <f>SUMIFS(TU_DB[[Fish Barrier]:[Fish Barrier]],TU_DB[[Fish Barrier]:[Fish Barrier]],"&gt;"&amp;0,TU_DB[[TU Chapter Area]:[TU Chapter Area]],Scorecard!G$6)</f>
        <v>13</v>
      </c>
      <c r="H56" s="390">
        <f>SUMIFS(TU_DB[[Fish Barrier]:[Fish Barrier]],TU_DB[[Fish Barrier]:[Fish Barrier]],"&gt;"&amp;0,TU_DB[[TU Chapter Area]:[TU Chapter Area]],Scorecard!H$6)</f>
        <v>4</v>
      </c>
      <c r="I56" s="390">
        <f>SUMIFS(TU_DB[[Fish Barrier]:[Fish Barrier]],TU_DB[[Fish Barrier]:[Fish Barrier]],"&gt;"&amp;0,TU_DB[[TU Chapter Area]:[TU Chapter Area]],Scorecard!I$6)</f>
        <v>2</v>
      </c>
      <c r="J56" s="390">
        <f>SUMIFS(TU_DB[[Fish Barrier]:[Fish Barrier]],TU_DB[[Fish Barrier]:[Fish Barrier]],"&gt;"&amp;0,TU_DB[[TU Chapter Area]:[TU Chapter Area]],Scorecard!J$6)</f>
        <v>4</v>
      </c>
      <c r="K56" s="390">
        <f>SUMIFS(TU_DB[[Fish Barrier]:[Fish Barrier]],TU_DB[[Fish Barrier]:[Fish Barrier]],"&gt;"&amp;0,TU_DB[[TU Chapter Area]:[TU Chapter Area]],Scorecard!K$6)</f>
        <v>10</v>
      </c>
      <c r="L56" s="390">
        <f>SUMIFS(TU_DB[[Fish Barrier]:[Fish Barrier]],TU_DB[[Fish Barrier]:[Fish Barrier]],"&gt;"&amp;0,TU_DB[[TU Chapter Area]:[TU Chapter Area]],Scorecard!L$6)</f>
        <v>0</v>
      </c>
      <c r="M56" s="390">
        <f>SUMIFS(TU_DB[[Fish Barrier]:[Fish Barrier]],TU_DB[[Fish Barrier]:[Fish Barrier]],"&gt;"&amp;0,TU_DB[[TU Chapter Area]:[TU Chapter Area]],Scorecard!M$6)</f>
        <v>8</v>
      </c>
      <c r="N56" s="390">
        <f>SUMIFS(TU_DB[[Fish Barrier]:[Fish Barrier]],TU_DB[[Fish Barrier]:[Fish Barrier]],"&gt;"&amp;0,TU_DB[[TU Chapter Area]:[TU Chapter Area]],Scorecard!N$6)</f>
        <v>0</v>
      </c>
      <c r="O56" s="390">
        <f>SUMIFS(TU_DB[[Fish Barrier]:[Fish Barrier]],TU_DB[[Fish Barrier]:[Fish Barrier]],"&gt;"&amp;0,TU_DB[[TU Chapter Area]:[TU Chapter Area]],Scorecard!O$6)</f>
        <v>1</v>
      </c>
      <c r="P56" s="390">
        <f>SUMIFS(TU_DB[[Fish Barrier]:[Fish Barrier]],TU_DB[[Fish Barrier]:[Fish Barrier]],"&gt;"&amp;0,TU_DB[[TU Chapter Area]:[TU Chapter Area]],Scorecard!P$6)</f>
        <v>18</v>
      </c>
      <c r="Q56" s="390">
        <f>SUMIFS(TU_DB[[Fish Barrier]:[Fish Barrier]],TU_DB[[Fish Barrier]:[Fish Barrier]],"&gt;"&amp;0,TU_DB[[TU Chapter Area]:[TU Chapter Area]],Scorecard!Q$6)</f>
        <v>2</v>
      </c>
      <c r="R56" s="390">
        <f>SUMIFS(TU_DB[[Fish Barrier]:[Fish Barrier]],TU_DB[[Fish Barrier]:[Fish Barrier]],"&gt;"&amp;0,TU_DB[[TU Chapter Area]:[TU Chapter Area]],Scorecard!R$6)</f>
        <v>24</v>
      </c>
      <c r="S56" s="392">
        <f>SUMIFS(TU_DB[[Fish Barrier]:[Fish Barrier]],TU_DB[[Fish Barrier]:[Fish Barrier]],"&gt;"&amp;0,TU_DB[[TU Chapter Area]:[TU Chapter Area]],Scorecard!S$6)</f>
        <v>0</v>
      </c>
      <c r="T56" s="1"/>
      <c r="U56" s="503"/>
      <c r="V56" s="20">
        <f>IFERROR(E56/E$64,0)</f>
        <v>0</v>
      </c>
      <c r="W56" s="20">
        <f t="shared" ref="W56:W63" si="116">IFERROR(F56/F$64,0)</f>
        <v>0</v>
      </c>
      <c r="X56" s="20">
        <f t="shared" ref="X56:X63" si="117">IFERROR(G56/G$64,0)</f>
        <v>7.4285714285714288E-2</v>
      </c>
      <c r="Y56" s="20">
        <f t="shared" ref="Y56:Y63" si="118">IFERROR(H56/H$64,0)</f>
        <v>6.3492063492063489E-2</v>
      </c>
      <c r="Z56" s="20">
        <f t="shared" ref="Z56:Z63" si="119">IFERROR(I56/I$64,0)</f>
        <v>7.5471698113207548E-3</v>
      </c>
      <c r="AA56" s="20">
        <f t="shared" ref="AA56:AA63" si="120">IFERROR(J56/J$64,0)</f>
        <v>5.1948051948051951E-2</v>
      </c>
      <c r="AB56" s="20">
        <f t="shared" ref="AB56:AB63" si="121">IFERROR(K56/K$64,0)</f>
        <v>2.0833333333333332E-2</v>
      </c>
      <c r="AC56" s="20">
        <f t="shared" ref="AC56:AC63" si="122">IFERROR(L56/L$64,0)</f>
        <v>0</v>
      </c>
      <c r="AD56" s="20">
        <f t="shared" ref="AD56:AD63" si="123">IFERROR(M56/M$64,0)</f>
        <v>0.17777777777777778</v>
      </c>
      <c r="AE56" s="20">
        <f t="shared" ref="AE56:AE63" si="124">IFERROR(N56/N$64,0)</f>
        <v>0</v>
      </c>
      <c r="AF56" s="20">
        <f t="shared" ref="AF56:AF63" si="125">IFERROR(O56/O$64,0)</f>
        <v>7.6923076923076927E-2</v>
      </c>
      <c r="AG56" s="20">
        <f t="shared" ref="AG56:AG63" si="126">IFERROR(P56/P$64,0)</f>
        <v>0.18556701030927836</v>
      </c>
      <c r="AH56" s="20">
        <f t="shared" ref="AH56:AH63" si="127">IFERROR(Q56/Q$64,0)</f>
        <v>8.771929824561403E-3</v>
      </c>
      <c r="AI56" s="20">
        <f t="shared" ref="AI56:AI63" si="128">IFERROR(R56/R$64,0)</f>
        <v>0.10666666666666667</v>
      </c>
      <c r="AJ56" s="20">
        <f t="shared" ref="AJ56:AJ63" si="129">IFERROR(S56/S$64,0)</f>
        <v>0</v>
      </c>
      <c r="AK56" s="196"/>
    </row>
    <row r="57" spans="2:38" x14ac:dyDescent="0.25">
      <c r="B57" t="s">
        <v>8</v>
      </c>
      <c r="C57" s="445"/>
      <c r="D57" s="133" t="s">
        <v>4796</v>
      </c>
      <c r="E57" s="186">
        <f>SUMIFS(TU_DB[[Bank Erosion]:[Bank Erosion]],TU_DB[[Bank Erosion]:[Bank Erosion]],"&gt;"&amp;0,TU_DB[[TU Chapter Area]:[TU Chapter Area]],Scorecard!E$6)</f>
        <v>0</v>
      </c>
      <c r="F57" s="1">
        <f>SUMIFS(TU_DB[[Bank Erosion]:[Bank Erosion]],TU_DB[[Bank Erosion]:[Bank Erosion]],"&gt;"&amp;0,TU_DB[[TU Chapter Area]:[TU Chapter Area]],Scorecard!F$6)</f>
        <v>2</v>
      </c>
      <c r="G57" s="1">
        <f>SUMIFS(TU_DB[[Bank Erosion]:[Bank Erosion]],TU_DB[[Bank Erosion]:[Bank Erosion]],"&gt;"&amp;0,TU_DB[[TU Chapter Area]:[TU Chapter Area]],Scorecard!G$6)</f>
        <v>21</v>
      </c>
      <c r="H57" s="1">
        <f>SUMIFS(TU_DB[[Bank Erosion]:[Bank Erosion]],TU_DB[[Bank Erosion]:[Bank Erosion]],"&gt;"&amp;0,TU_DB[[TU Chapter Area]:[TU Chapter Area]],Scorecard!H$6)</f>
        <v>11</v>
      </c>
      <c r="I57" s="1">
        <f>SUMIFS(TU_DB[[Bank Erosion]:[Bank Erosion]],TU_DB[[Bank Erosion]:[Bank Erosion]],"&gt;"&amp;0,TU_DB[[TU Chapter Area]:[TU Chapter Area]],Scorecard!I$6)</f>
        <v>40</v>
      </c>
      <c r="J57" s="1">
        <f>SUMIFS(TU_DB[[Bank Erosion]:[Bank Erosion]],TU_DB[[Bank Erosion]:[Bank Erosion]],"&gt;"&amp;0,TU_DB[[TU Chapter Area]:[TU Chapter Area]],Scorecard!J$6)</f>
        <v>24</v>
      </c>
      <c r="K57" s="1">
        <f>SUMIFS(TU_DB[[Bank Erosion]:[Bank Erosion]],TU_DB[[Bank Erosion]:[Bank Erosion]],"&gt;"&amp;0,TU_DB[[TU Chapter Area]:[TU Chapter Area]],Scorecard!K$6)</f>
        <v>127</v>
      </c>
      <c r="L57" s="1">
        <f>SUMIFS(TU_DB[[Bank Erosion]:[Bank Erosion]],TU_DB[[Bank Erosion]:[Bank Erosion]],"&gt;"&amp;0,TU_DB[[TU Chapter Area]:[TU Chapter Area]],Scorecard!L$6)</f>
        <v>0</v>
      </c>
      <c r="M57" s="1">
        <f>SUMIFS(TU_DB[[Bank Erosion]:[Bank Erosion]],TU_DB[[Bank Erosion]:[Bank Erosion]],"&gt;"&amp;0,TU_DB[[TU Chapter Area]:[TU Chapter Area]],Scorecard!M$6)</f>
        <v>28</v>
      </c>
      <c r="N57" s="1">
        <f>SUMIFS(TU_DB[[Bank Erosion]:[Bank Erosion]],TU_DB[[Bank Erosion]:[Bank Erosion]],"&gt;"&amp;0,TU_DB[[TU Chapter Area]:[TU Chapter Area]],Scorecard!N$6)</f>
        <v>0</v>
      </c>
      <c r="O57" s="1">
        <f>SUMIFS(TU_DB[[Bank Erosion]:[Bank Erosion]],TU_DB[[Bank Erosion]:[Bank Erosion]],"&gt;"&amp;0,TU_DB[[TU Chapter Area]:[TU Chapter Area]],Scorecard!O$6)</f>
        <v>0</v>
      </c>
      <c r="P57" s="1">
        <f>SUMIFS(TU_DB[[Bank Erosion]:[Bank Erosion]],TU_DB[[Bank Erosion]:[Bank Erosion]],"&gt;"&amp;0,TU_DB[[TU Chapter Area]:[TU Chapter Area]],Scorecard!P$6)</f>
        <v>64</v>
      </c>
      <c r="Q57" s="1">
        <f>SUMIFS(TU_DB[[Bank Erosion]:[Bank Erosion]],TU_DB[[Bank Erosion]:[Bank Erosion]],"&gt;"&amp;0,TU_DB[[TU Chapter Area]:[TU Chapter Area]],Scorecard!Q$6)</f>
        <v>18</v>
      </c>
      <c r="R57" s="1">
        <f>SUMIFS(TU_DB[[Bank Erosion]:[Bank Erosion]],TU_DB[[Bank Erosion]:[Bank Erosion]],"&gt;"&amp;0,TU_DB[[TU Chapter Area]:[TU Chapter Area]],Scorecard!R$6)</f>
        <v>18</v>
      </c>
      <c r="S57" s="187">
        <f>SUMIFS(TU_DB[[Bank Erosion]:[Bank Erosion]],TU_DB[[Bank Erosion]:[Bank Erosion]],"&gt;"&amp;0,TU_DB[[TU Chapter Area]:[TU Chapter Area]],Scorecard!S$6)</f>
        <v>31</v>
      </c>
      <c r="T57" s="1"/>
      <c r="U57" s="503"/>
      <c r="V57" s="20">
        <f t="shared" ref="V57:V63" si="130">IFERROR(E57/E$64,0)</f>
        <v>0</v>
      </c>
      <c r="W57" s="20">
        <f>IFERROR(F57/F$64,0)</f>
        <v>0.4</v>
      </c>
      <c r="X57" s="20">
        <f t="shared" si="117"/>
        <v>0.12</v>
      </c>
      <c r="Y57" s="20">
        <f t="shared" si="118"/>
        <v>0.17460317460317459</v>
      </c>
      <c r="Z57" s="20">
        <f t="shared" si="119"/>
        <v>0.15094339622641509</v>
      </c>
      <c r="AA57" s="20">
        <f t="shared" si="120"/>
        <v>0.31168831168831168</v>
      </c>
      <c r="AB57" s="20">
        <f t="shared" si="121"/>
        <v>0.26458333333333334</v>
      </c>
      <c r="AC57" s="20">
        <f t="shared" si="122"/>
        <v>0</v>
      </c>
      <c r="AD57" s="20">
        <f t="shared" si="123"/>
        <v>0.62222222222222223</v>
      </c>
      <c r="AE57" s="20">
        <f t="shared" si="124"/>
        <v>0</v>
      </c>
      <c r="AF57" s="20">
        <f t="shared" si="125"/>
        <v>0</v>
      </c>
      <c r="AG57" s="20">
        <f t="shared" si="126"/>
        <v>0.65979381443298968</v>
      </c>
      <c r="AH57" s="20">
        <f t="shared" si="127"/>
        <v>7.8947368421052627E-2</v>
      </c>
      <c r="AI57" s="20">
        <f t="shared" si="128"/>
        <v>0.08</v>
      </c>
      <c r="AJ57" s="20">
        <f t="shared" si="129"/>
        <v>0.18128654970760233</v>
      </c>
      <c r="AK57" s="196"/>
    </row>
    <row r="58" spans="2:38" x14ac:dyDescent="0.25">
      <c r="B58" t="s">
        <v>9</v>
      </c>
      <c r="C58" s="445"/>
      <c r="D58" s="133" t="s">
        <v>4796</v>
      </c>
      <c r="E58" s="186">
        <f>SUMIFS(TU_DB[[Trash]:[Trash]],TU_DB[[Trash]:[Trash]],"&gt;"&amp;0,TU_DB[[TU Chapter Area]:[TU Chapter Area]],Scorecard!E$6)</f>
        <v>0</v>
      </c>
      <c r="F58" s="1">
        <f>SUMIFS(TU_DB[[Trash]:[Trash]],TU_DB[[Trash]:[Trash]],"&gt;"&amp;0,TU_DB[[TU Chapter Area]:[TU Chapter Area]],Scorecard!F$6)</f>
        <v>0</v>
      </c>
      <c r="G58" s="1">
        <f>SUMIFS(TU_DB[[Trash]:[Trash]],TU_DB[[Trash]:[Trash]],"&gt;"&amp;0,TU_DB[[TU Chapter Area]:[TU Chapter Area]],Scorecard!G$6)</f>
        <v>4</v>
      </c>
      <c r="H58" s="1">
        <f>SUMIFS(TU_DB[[Trash]:[Trash]],TU_DB[[Trash]:[Trash]],"&gt;"&amp;0,TU_DB[[TU Chapter Area]:[TU Chapter Area]],Scorecard!H$6)</f>
        <v>2</v>
      </c>
      <c r="I58" s="1">
        <f>SUMIFS(TU_DB[[Trash]:[Trash]],TU_DB[[Trash]:[Trash]],"&gt;"&amp;0,TU_DB[[TU Chapter Area]:[TU Chapter Area]],Scorecard!I$6)</f>
        <v>3</v>
      </c>
      <c r="J58" s="1">
        <f>SUMIFS(TU_DB[[Trash]:[Trash]],TU_DB[[Trash]:[Trash]],"&gt;"&amp;0,TU_DB[[TU Chapter Area]:[TU Chapter Area]],Scorecard!J$6)</f>
        <v>5</v>
      </c>
      <c r="K58" s="1">
        <f>SUMIFS(TU_DB[[Trash]:[Trash]],TU_DB[[Trash]:[Trash]],"&gt;"&amp;0,TU_DB[[TU Chapter Area]:[TU Chapter Area]],Scorecard!K$6)</f>
        <v>80</v>
      </c>
      <c r="L58" s="1">
        <f>SUMIFS(TU_DB[[Trash]:[Trash]],TU_DB[[Trash]:[Trash]],"&gt;"&amp;0,TU_DB[[TU Chapter Area]:[TU Chapter Area]],Scorecard!L$6)</f>
        <v>0</v>
      </c>
      <c r="M58" s="1">
        <f>SUMIFS(TU_DB[[Trash]:[Trash]],TU_DB[[Trash]:[Trash]],"&gt;"&amp;0,TU_DB[[TU Chapter Area]:[TU Chapter Area]],Scorecard!M$6)</f>
        <v>8</v>
      </c>
      <c r="N58" s="1">
        <f>SUMIFS(TU_DB[[Trash]:[Trash]],TU_DB[[Trash]:[Trash]],"&gt;"&amp;0,TU_DB[[TU Chapter Area]:[TU Chapter Area]],Scorecard!N$6)</f>
        <v>0</v>
      </c>
      <c r="O58" s="1">
        <f>SUMIFS(TU_DB[[Trash]:[Trash]],TU_DB[[Trash]:[Trash]],"&gt;"&amp;0,TU_DB[[TU Chapter Area]:[TU Chapter Area]],Scorecard!O$6)</f>
        <v>1</v>
      </c>
      <c r="P58" s="1">
        <f>SUMIFS(TU_DB[[Trash]:[Trash]],TU_DB[[Trash]:[Trash]],"&gt;"&amp;0,TU_DB[[TU Chapter Area]:[TU Chapter Area]],Scorecard!P$6)</f>
        <v>7</v>
      </c>
      <c r="Q58" s="1">
        <f>SUMIFS(TU_DB[[Trash]:[Trash]],TU_DB[[Trash]:[Trash]],"&gt;"&amp;0,TU_DB[[TU Chapter Area]:[TU Chapter Area]],Scorecard!Q$6)</f>
        <v>15</v>
      </c>
      <c r="R58" s="1">
        <f>SUMIFS(TU_DB[[Trash]:[Trash]],TU_DB[[Trash]:[Trash]],"&gt;"&amp;0,TU_DB[[TU Chapter Area]:[TU Chapter Area]],Scorecard!R$6)</f>
        <v>6</v>
      </c>
      <c r="S58" s="187">
        <f>SUMIFS(TU_DB[[Trash]:[Trash]],TU_DB[[Trash]:[Trash]],"&gt;"&amp;0,TU_DB[[TU Chapter Area]:[TU Chapter Area]],Scorecard!S$6)</f>
        <v>1</v>
      </c>
      <c r="T58" s="1"/>
      <c r="U58" s="503"/>
      <c r="V58" s="20">
        <f t="shared" si="130"/>
        <v>0</v>
      </c>
      <c r="W58" s="20">
        <f t="shared" si="116"/>
        <v>0</v>
      </c>
      <c r="X58" s="20">
        <f t="shared" si="117"/>
        <v>2.2857142857142857E-2</v>
      </c>
      <c r="Y58" s="20">
        <f t="shared" si="118"/>
        <v>3.1746031746031744E-2</v>
      </c>
      <c r="Z58" s="20">
        <f t="shared" si="119"/>
        <v>1.1320754716981131E-2</v>
      </c>
      <c r="AA58" s="20">
        <f t="shared" si="120"/>
        <v>6.4935064935064929E-2</v>
      </c>
      <c r="AB58" s="20">
        <f t="shared" si="121"/>
        <v>0.16666666666666666</v>
      </c>
      <c r="AC58" s="20">
        <f t="shared" si="122"/>
        <v>0</v>
      </c>
      <c r="AD58" s="20">
        <f t="shared" si="123"/>
        <v>0.17777777777777778</v>
      </c>
      <c r="AE58" s="20">
        <f t="shared" si="124"/>
        <v>0</v>
      </c>
      <c r="AF58" s="20">
        <f t="shared" si="125"/>
        <v>7.6923076923076927E-2</v>
      </c>
      <c r="AG58" s="20">
        <f t="shared" si="126"/>
        <v>7.2164948453608241E-2</v>
      </c>
      <c r="AH58" s="20">
        <f t="shared" si="127"/>
        <v>6.5789473684210523E-2</v>
      </c>
      <c r="AI58" s="20">
        <f t="shared" si="128"/>
        <v>2.6666666666666668E-2</v>
      </c>
      <c r="AJ58" s="20">
        <f t="shared" si="129"/>
        <v>5.8479532163742687E-3</v>
      </c>
      <c r="AK58" s="196"/>
    </row>
    <row r="59" spans="2:38" x14ac:dyDescent="0.25">
      <c r="B59" t="s">
        <v>355</v>
      </c>
      <c r="C59" s="445"/>
      <c r="D59" s="133" t="s">
        <v>4796</v>
      </c>
      <c r="E59" s="186">
        <f>SUMIFS(TU_DB[[Pipe/Drain Outflow]:[Pipe/Drain Outflow]],TU_DB[[Pipe/Drain Outflow]:[Pipe/Drain Outflow]],"&gt;"&amp;0,TU_DB[[TU Chapter Area]:[TU Chapter Area]],Scorecard!E$6)</f>
        <v>0</v>
      </c>
      <c r="F59" s="1">
        <f>SUMIFS(TU_DB[[Pipe/Drain Outflow]:[Pipe/Drain Outflow]],TU_DB[[Pipe/Drain Outflow]:[Pipe/Drain Outflow]],"&gt;"&amp;0,TU_DB[[TU Chapter Area]:[TU Chapter Area]],Scorecard!F$6)</f>
        <v>0</v>
      </c>
      <c r="G59" s="1">
        <f>SUMIFS(TU_DB[[Pipe/Drain Outflow]:[Pipe/Drain Outflow]],TU_DB[[Pipe/Drain Outflow]:[Pipe/Drain Outflow]],"&gt;"&amp;0,TU_DB[[TU Chapter Area]:[TU Chapter Area]],Scorecard!G$6)</f>
        <v>5</v>
      </c>
      <c r="H59" s="1">
        <f>SUMIFS(TU_DB[[Pipe/Drain Outflow]:[Pipe/Drain Outflow]],TU_DB[[Pipe/Drain Outflow]:[Pipe/Drain Outflow]],"&gt;"&amp;0,TU_DB[[TU Chapter Area]:[TU Chapter Area]],Scorecard!H$6)</f>
        <v>0</v>
      </c>
      <c r="I59" s="1">
        <f>SUMIFS(TU_DB[[Pipe/Drain Outflow]:[Pipe/Drain Outflow]],TU_DB[[Pipe/Drain Outflow]:[Pipe/Drain Outflow]],"&gt;"&amp;0,TU_DB[[TU Chapter Area]:[TU Chapter Area]],Scorecard!I$6)</f>
        <v>9</v>
      </c>
      <c r="J59" s="1">
        <f>SUMIFS(TU_DB[[Pipe/Drain Outflow]:[Pipe/Drain Outflow]],TU_DB[[Pipe/Drain Outflow]:[Pipe/Drain Outflow]],"&gt;"&amp;0,TU_DB[[TU Chapter Area]:[TU Chapter Area]],Scorecard!J$6)</f>
        <v>3</v>
      </c>
      <c r="K59" s="1">
        <f>SUMIFS(TU_DB[[Pipe/Drain Outflow]:[Pipe/Drain Outflow]],TU_DB[[Pipe/Drain Outflow]:[Pipe/Drain Outflow]],"&gt;"&amp;0,TU_DB[[TU Chapter Area]:[TU Chapter Area]],Scorecard!K$6)</f>
        <v>28</v>
      </c>
      <c r="L59" s="1">
        <f>SUMIFS(TU_DB[[Pipe/Drain Outflow]:[Pipe/Drain Outflow]],TU_DB[[Pipe/Drain Outflow]:[Pipe/Drain Outflow]],"&gt;"&amp;0,TU_DB[[TU Chapter Area]:[TU Chapter Area]],Scorecard!L$6)</f>
        <v>0</v>
      </c>
      <c r="M59" s="1">
        <f>SUMIFS(TU_DB[[Pipe/Drain Outflow]:[Pipe/Drain Outflow]],TU_DB[[Pipe/Drain Outflow]:[Pipe/Drain Outflow]],"&gt;"&amp;0,TU_DB[[TU Chapter Area]:[TU Chapter Area]],Scorecard!M$6)</f>
        <v>0</v>
      </c>
      <c r="N59" s="1">
        <f>SUMIFS(TU_DB[[Pipe/Drain Outflow]:[Pipe/Drain Outflow]],TU_DB[[Pipe/Drain Outflow]:[Pipe/Drain Outflow]],"&gt;"&amp;0,TU_DB[[TU Chapter Area]:[TU Chapter Area]],Scorecard!N$6)</f>
        <v>0</v>
      </c>
      <c r="O59" s="1">
        <f>SUMIFS(TU_DB[[Pipe/Drain Outflow]:[Pipe/Drain Outflow]],TU_DB[[Pipe/Drain Outflow]:[Pipe/Drain Outflow]],"&gt;"&amp;0,TU_DB[[TU Chapter Area]:[TU Chapter Area]],Scorecard!O$6)</f>
        <v>0</v>
      </c>
      <c r="P59" s="1">
        <f>SUMIFS(TU_DB[[Pipe/Drain Outflow]:[Pipe/Drain Outflow]],TU_DB[[Pipe/Drain Outflow]:[Pipe/Drain Outflow]],"&gt;"&amp;0,TU_DB[[TU Chapter Area]:[TU Chapter Area]],Scorecard!P$6)</f>
        <v>2</v>
      </c>
      <c r="Q59" s="1">
        <f>SUMIFS(TU_DB[[Pipe/Drain Outflow]:[Pipe/Drain Outflow]],TU_DB[[Pipe/Drain Outflow]:[Pipe/Drain Outflow]],"&gt;"&amp;0,TU_DB[[TU Chapter Area]:[TU Chapter Area]],Scorecard!Q$6)</f>
        <v>5</v>
      </c>
      <c r="R59" s="1">
        <f>SUMIFS(TU_DB[[Pipe/Drain Outflow]:[Pipe/Drain Outflow]],TU_DB[[Pipe/Drain Outflow]:[Pipe/Drain Outflow]],"&gt;"&amp;0,TU_DB[[TU Chapter Area]:[TU Chapter Area]],Scorecard!R$6)</f>
        <v>2</v>
      </c>
      <c r="S59" s="187">
        <f>SUMIFS(TU_DB[[Pipe/Drain Outflow]:[Pipe/Drain Outflow]],TU_DB[[Pipe/Drain Outflow]:[Pipe/Drain Outflow]],"&gt;"&amp;0,TU_DB[[TU Chapter Area]:[TU Chapter Area]],Scorecard!S$6)</f>
        <v>1</v>
      </c>
      <c r="T59" s="1"/>
      <c r="U59" s="503"/>
      <c r="V59" s="20">
        <f t="shared" si="130"/>
        <v>0</v>
      </c>
      <c r="W59" s="20">
        <f t="shared" si="116"/>
        <v>0</v>
      </c>
      <c r="X59" s="20">
        <f t="shared" si="117"/>
        <v>2.8571428571428571E-2</v>
      </c>
      <c r="Y59" s="20">
        <f t="shared" si="118"/>
        <v>0</v>
      </c>
      <c r="Z59" s="20">
        <f t="shared" si="119"/>
        <v>3.3962264150943396E-2</v>
      </c>
      <c r="AA59" s="20">
        <f t="shared" si="120"/>
        <v>3.896103896103896E-2</v>
      </c>
      <c r="AB59" s="20">
        <f t="shared" si="121"/>
        <v>5.8333333333333334E-2</v>
      </c>
      <c r="AC59" s="20">
        <f t="shared" si="122"/>
        <v>0</v>
      </c>
      <c r="AD59" s="20">
        <f t="shared" si="123"/>
        <v>0</v>
      </c>
      <c r="AE59" s="20">
        <f t="shared" si="124"/>
        <v>0</v>
      </c>
      <c r="AF59" s="20">
        <f t="shared" si="125"/>
        <v>0</v>
      </c>
      <c r="AG59" s="20">
        <f t="shared" si="126"/>
        <v>2.0618556701030927E-2</v>
      </c>
      <c r="AH59" s="20">
        <f t="shared" si="127"/>
        <v>2.1929824561403508E-2</v>
      </c>
      <c r="AI59" s="20">
        <f t="shared" si="128"/>
        <v>8.8888888888888889E-3</v>
      </c>
      <c r="AJ59" s="20">
        <f t="shared" si="129"/>
        <v>5.8479532163742687E-3</v>
      </c>
      <c r="AK59" s="196"/>
    </row>
    <row r="60" spans="2:38" x14ac:dyDescent="0.25">
      <c r="B60" t="s">
        <v>551</v>
      </c>
      <c r="C60" s="445"/>
      <c r="D60" s="133" t="s">
        <v>4796</v>
      </c>
      <c r="E60" s="186">
        <f>SUMIFS(TU_DB[[Livestock in Water]:[Livestock in Water]],TU_DB[[Livestock in Water]:[Livestock in Water]],"&gt;"&amp;0,TU_DB[[TU Chapter Area]:[TU Chapter Area]],Scorecard!E$6)</f>
        <v>0</v>
      </c>
      <c r="F60" s="1">
        <f>SUMIFS(TU_DB[[Livestock in Water]:[Livestock in Water]],TU_DB[[Livestock in Water]:[Livestock in Water]],"&gt;"&amp;0,TU_DB[[TU Chapter Area]:[TU Chapter Area]],Scorecard!F$6)</f>
        <v>0</v>
      </c>
      <c r="G60" s="1">
        <f>SUMIFS(TU_DB[[Livestock in Water]:[Livestock in Water]],TU_DB[[Livestock in Water]:[Livestock in Water]],"&gt;"&amp;0,TU_DB[[TU Chapter Area]:[TU Chapter Area]],Scorecard!G$6)</f>
        <v>6</v>
      </c>
      <c r="H60" s="1">
        <f>SUMIFS(TU_DB[[Livestock in Water]:[Livestock in Water]],TU_DB[[Livestock in Water]:[Livestock in Water]],"&gt;"&amp;0,TU_DB[[TU Chapter Area]:[TU Chapter Area]],Scorecard!H$6)</f>
        <v>10</v>
      </c>
      <c r="I60" s="1">
        <f>SUMIFS(TU_DB[[Livestock in Water]:[Livestock in Water]],TU_DB[[Livestock in Water]:[Livestock in Water]],"&gt;"&amp;0,TU_DB[[TU Chapter Area]:[TU Chapter Area]],Scorecard!I$6)</f>
        <v>8</v>
      </c>
      <c r="J60" s="1">
        <f>SUMIFS(TU_DB[[Livestock in Water]:[Livestock in Water]],TU_DB[[Livestock in Water]:[Livestock in Water]],"&gt;"&amp;0,TU_DB[[TU Chapter Area]:[TU Chapter Area]],Scorecard!J$6)</f>
        <v>3</v>
      </c>
      <c r="K60" s="1">
        <f>SUMIFS(TU_DB[[Livestock in Water]:[Livestock in Water]],TU_DB[[Livestock in Water]:[Livestock in Water]],"&gt;"&amp;0,TU_DB[[TU Chapter Area]:[TU Chapter Area]],Scorecard!K$6)</f>
        <v>2</v>
      </c>
      <c r="L60" s="1">
        <f>SUMIFS(TU_DB[[Livestock in Water]:[Livestock in Water]],TU_DB[[Livestock in Water]:[Livestock in Water]],"&gt;"&amp;0,TU_DB[[TU Chapter Area]:[TU Chapter Area]],Scorecard!L$6)</f>
        <v>0</v>
      </c>
      <c r="M60" s="1">
        <f>SUMIFS(TU_DB[[Livestock in Water]:[Livestock in Water]],TU_DB[[Livestock in Water]:[Livestock in Water]],"&gt;"&amp;0,TU_DB[[TU Chapter Area]:[TU Chapter Area]],Scorecard!M$6)</f>
        <v>6</v>
      </c>
      <c r="N60" s="1">
        <f>SUMIFS(TU_DB[[Livestock in Water]:[Livestock in Water]],TU_DB[[Livestock in Water]:[Livestock in Water]],"&gt;"&amp;0,TU_DB[[TU Chapter Area]:[TU Chapter Area]],Scorecard!N$6)</f>
        <v>0</v>
      </c>
      <c r="O60" s="1">
        <f>SUMIFS(TU_DB[[Livestock in Water]:[Livestock in Water]],TU_DB[[Livestock in Water]:[Livestock in Water]],"&gt;"&amp;0,TU_DB[[TU Chapter Area]:[TU Chapter Area]],Scorecard!O$6)</f>
        <v>0</v>
      </c>
      <c r="P60" s="1">
        <f>SUMIFS(TU_DB[[Livestock in Water]:[Livestock in Water]],TU_DB[[Livestock in Water]:[Livestock in Water]],"&gt;"&amp;0,TU_DB[[TU Chapter Area]:[TU Chapter Area]],Scorecard!P$6)</f>
        <v>9</v>
      </c>
      <c r="Q60" s="1">
        <f>SUMIFS(TU_DB[[Livestock in Water]:[Livestock in Water]],TU_DB[[Livestock in Water]:[Livestock in Water]],"&gt;"&amp;0,TU_DB[[TU Chapter Area]:[TU Chapter Area]],Scorecard!Q$6)</f>
        <v>3</v>
      </c>
      <c r="R60" s="1">
        <f>SUMIFS(TU_DB[[Livestock in Water]:[Livestock in Water]],TU_DB[[Livestock in Water]:[Livestock in Water]],"&gt;"&amp;0,TU_DB[[TU Chapter Area]:[TU Chapter Area]],Scorecard!R$6)</f>
        <v>8</v>
      </c>
      <c r="S60" s="187">
        <f>SUMIFS(TU_DB[[Livestock in Water]:[Livestock in Water]],TU_DB[[Livestock in Water]:[Livestock in Water]],"&gt;"&amp;0,TU_DB[[TU Chapter Area]:[TU Chapter Area]],Scorecard!S$6)</f>
        <v>4</v>
      </c>
      <c r="T60" s="1"/>
      <c r="U60" s="503"/>
      <c r="V60" s="20">
        <f t="shared" si="130"/>
        <v>0</v>
      </c>
      <c r="W60" s="20">
        <f t="shared" si="116"/>
        <v>0</v>
      </c>
      <c r="X60" s="20">
        <f t="shared" si="117"/>
        <v>3.4285714285714287E-2</v>
      </c>
      <c r="Y60" s="20">
        <f t="shared" si="118"/>
        <v>0.15873015873015872</v>
      </c>
      <c r="Z60" s="20">
        <f t="shared" si="119"/>
        <v>3.0188679245283019E-2</v>
      </c>
      <c r="AA60" s="20">
        <f t="shared" si="120"/>
        <v>3.896103896103896E-2</v>
      </c>
      <c r="AB60" s="20">
        <f t="shared" si="121"/>
        <v>4.1666666666666666E-3</v>
      </c>
      <c r="AC60" s="20">
        <f t="shared" si="122"/>
        <v>0</v>
      </c>
      <c r="AD60" s="20">
        <f t="shared" si="123"/>
        <v>0.13333333333333333</v>
      </c>
      <c r="AE60" s="20">
        <f t="shared" si="124"/>
        <v>0</v>
      </c>
      <c r="AF60" s="20">
        <f t="shared" si="125"/>
        <v>0</v>
      </c>
      <c r="AG60" s="20">
        <f t="shared" si="126"/>
        <v>9.2783505154639179E-2</v>
      </c>
      <c r="AH60" s="20">
        <f t="shared" si="127"/>
        <v>1.3157894736842105E-2</v>
      </c>
      <c r="AI60" s="20">
        <f t="shared" si="128"/>
        <v>3.5555555555555556E-2</v>
      </c>
      <c r="AJ60" s="20">
        <f t="shared" si="129"/>
        <v>2.3391812865497075E-2</v>
      </c>
      <c r="AK60" s="196"/>
    </row>
    <row r="61" spans="2:38" x14ac:dyDescent="0.25">
      <c r="B61" t="s">
        <v>427</v>
      </c>
      <c r="C61" s="445"/>
      <c r="D61" s="133" t="s">
        <v>4796</v>
      </c>
      <c r="E61" s="186">
        <f>SUMIFS(TU_DB[[Algal Bloom]:[Algal Bloom]],TU_DB[[Algal Bloom]:[Algal Bloom]],"&gt;"&amp;0,TU_DB[[TU Chapter Area]:[TU Chapter Area]],Scorecard!E$6)</f>
        <v>0</v>
      </c>
      <c r="F61" s="1">
        <f>SUMIFS(TU_DB[[Algal Bloom]:[Algal Bloom]],TU_DB[[Algal Bloom]:[Algal Bloom]],"&gt;"&amp;0,TU_DB[[TU Chapter Area]:[TU Chapter Area]],Scorecard!F$6)</f>
        <v>0</v>
      </c>
      <c r="G61" s="1">
        <f>SUMIFS(TU_DB[[Algal Bloom]:[Algal Bloom]],TU_DB[[Algal Bloom]:[Algal Bloom]],"&gt;"&amp;0,TU_DB[[TU Chapter Area]:[TU Chapter Area]],Scorecard!G$6)</f>
        <v>3</v>
      </c>
      <c r="H61" s="1">
        <f>SUMIFS(TU_DB[[Algal Bloom]:[Algal Bloom]],TU_DB[[Algal Bloom]:[Algal Bloom]],"&gt;"&amp;0,TU_DB[[TU Chapter Area]:[TU Chapter Area]],Scorecard!H$6)</f>
        <v>0</v>
      </c>
      <c r="I61" s="1">
        <f>SUMIFS(TU_DB[[Algal Bloom]:[Algal Bloom]],TU_DB[[Algal Bloom]:[Algal Bloom]],"&gt;"&amp;0,TU_DB[[TU Chapter Area]:[TU Chapter Area]],Scorecard!I$6)</f>
        <v>5</v>
      </c>
      <c r="J61" s="1">
        <f>SUMIFS(TU_DB[[Algal Bloom]:[Algal Bloom]],TU_DB[[Algal Bloom]:[Algal Bloom]],"&gt;"&amp;0,TU_DB[[TU Chapter Area]:[TU Chapter Area]],Scorecard!J$6)</f>
        <v>0</v>
      </c>
      <c r="K61" s="1">
        <f>SUMIFS(TU_DB[[Algal Bloom]:[Algal Bloom]],TU_DB[[Algal Bloom]:[Algal Bloom]],"&gt;"&amp;0,TU_DB[[TU Chapter Area]:[TU Chapter Area]],Scorecard!K$6)</f>
        <v>5</v>
      </c>
      <c r="L61" s="1">
        <f>SUMIFS(TU_DB[[Algal Bloom]:[Algal Bloom]],TU_DB[[Algal Bloom]:[Algal Bloom]],"&gt;"&amp;0,TU_DB[[TU Chapter Area]:[TU Chapter Area]],Scorecard!L$6)</f>
        <v>0</v>
      </c>
      <c r="M61" s="1">
        <f>SUMIFS(TU_DB[[Algal Bloom]:[Algal Bloom]],TU_DB[[Algal Bloom]:[Algal Bloom]],"&gt;"&amp;0,TU_DB[[TU Chapter Area]:[TU Chapter Area]],Scorecard!M$6)</f>
        <v>0</v>
      </c>
      <c r="N61" s="1">
        <f>SUMIFS(TU_DB[[Algal Bloom]:[Algal Bloom]],TU_DB[[Algal Bloom]:[Algal Bloom]],"&gt;"&amp;0,TU_DB[[TU Chapter Area]:[TU Chapter Area]],Scorecard!N$6)</f>
        <v>0</v>
      </c>
      <c r="O61" s="1">
        <f>SUMIFS(TU_DB[[Algal Bloom]:[Algal Bloom]],TU_DB[[Algal Bloom]:[Algal Bloom]],"&gt;"&amp;0,TU_DB[[TU Chapter Area]:[TU Chapter Area]],Scorecard!O$6)</f>
        <v>0</v>
      </c>
      <c r="P61" s="1">
        <f>SUMIFS(TU_DB[[Algal Bloom]:[Algal Bloom]],TU_DB[[Algal Bloom]:[Algal Bloom]],"&gt;"&amp;0,TU_DB[[TU Chapter Area]:[TU Chapter Area]],Scorecard!P$6)</f>
        <v>0</v>
      </c>
      <c r="Q61" s="1">
        <f>SUMIFS(TU_DB[[Algal Bloom]:[Algal Bloom]],TU_DB[[Algal Bloom]:[Algal Bloom]],"&gt;"&amp;0,TU_DB[[TU Chapter Area]:[TU Chapter Area]],Scorecard!Q$6)</f>
        <v>2</v>
      </c>
      <c r="R61" s="1">
        <f>SUMIFS(TU_DB[[Algal Bloom]:[Algal Bloom]],TU_DB[[Algal Bloom]:[Algal Bloom]],"&gt;"&amp;0,TU_DB[[TU Chapter Area]:[TU Chapter Area]],Scorecard!R$6)</f>
        <v>0</v>
      </c>
      <c r="S61" s="187">
        <f>SUMIFS(TU_DB[[Algal Bloom]:[Algal Bloom]],TU_DB[[Algal Bloom]:[Algal Bloom]],"&gt;"&amp;0,TU_DB[[TU Chapter Area]:[TU Chapter Area]],Scorecard!S$6)</f>
        <v>1</v>
      </c>
      <c r="T61" s="1"/>
      <c r="U61" s="503"/>
      <c r="V61" s="20">
        <f t="shared" si="130"/>
        <v>0</v>
      </c>
      <c r="W61" s="20">
        <f t="shared" si="116"/>
        <v>0</v>
      </c>
      <c r="X61" s="20">
        <f t="shared" si="117"/>
        <v>1.7142857142857144E-2</v>
      </c>
      <c r="Y61" s="20">
        <f t="shared" si="118"/>
        <v>0</v>
      </c>
      <c r="Z61" s="20">
        <f t="shared" si="119"/>
        <v>1.8867924528301886E-2</v>
      </c>
      <c r="AA61" s="20">
        <f t="shared" si="120"/>
        <v>0</v>
      </c>
      <c r="AB61" s="20">
        <f t="shared" si="121"/>
        <v>1.0416666666666666E-2</v>
      </c>
      <c r="AC61" s="20">
        <f t="shared" si="122"/>
        <v>0</v>
      </c>
      <c r="AD61" s="20">
        <f t="shared" si="123"/>
        <v>0</v>
      </c>
      <c r="AE61" s="20">
        <f t="shared" si="124"/>
        <v>0</v>
      </c>
      <c r="AF61" s="20">
        <f t="shared" si="125"/>
        <v>0</v>
      </c>
      <c r="AG61" s="20">
        <f t="shared" si="126"/>
        <v>0</v>
      </c>
      <c r="AH61" s="20">
        <f t="shared" si="127"/>
        <v>8.771929824561403E-3</v>
      </c>
      <c r="AI61" s="20">
        <f t="shared" si="128"/>
        <v>0</v>
      </c>
      <c r="AJ61" s="20">
        <f t="shared" si="129"/>
        <v>5.8479532163742687E-3</v>
      </c>
      <c r="AK61" s="196"/>
    </row>
    <row r="62" spans="2:38" x14ac:dyDescent="0.25">
      <c r="B62" s="472" t="s">
        <v>558</v>
      </c>
      <c r="C62" s="473"/>
      <c r="D62" s="474" t="s">
        <v>4796</v>
      </c>
      <c r="E62" s="475">
        <f>SUMIFS(TU_DB[[Fish Kill]:[Fish Kill]],TU_DB[[Fish Kill]:[Fish Kill]],"&gt;"&amp;0,TU_DB[[TU Chapter Area]:[TU Chapter Area]],Scorecard!E$6)</f>
        <v>0</v>
      </c>
      <c r="F62" s="476">
        <f>SUMIFS(TU_DB[[Fish Kill]:[Fish Kill]],TU_DB[[Fish Kill]:[Fish Kill]],"&gt;"&amp;0,TU_DB[[TU Chapter Area]:[TU Chapter Area]],Scorecard!F$6)</f>
        <v>0</v>
      </c>
      <c r="G62" s="476">
        <f>SUMIFS(TU_DB[[Fish Kill]:[Fish Kill]],TU_DB[[Fish Kill]:[Fish Kill]],"&gt;"&amp;0,TU_DB[[TU Chapter Area]:[TU Chapter Area]],Scorecard!G$6)</f>
        <v>0</v>
      </c>
      <c r="H62" s="476">
        <f>SUMIFS(TU_DB[[Fish Kill]:[Fish Kill]],TU_DB[[Fish Kill]:[Fish Kill]],"&gt;"&amp;0,TU_DB[[TU Chapter Area]:[TU Chapter Area]],Scorecard!H$6)</f>
        <v>0</v>
      </c>
      <c r="I62" s="476">
        <f>SUMIFS(TU_DB[[Fish Kill]:[Fish Kill]],TU_DB[[Fish Kill]:[Fish Kill]],"&gt;"&amp;0,TU_DB[[TU Chapter Area]:[TU Chapter Area]],Scorecard!I$6)</f>
        <v>0</v>
      </c>
      <c r="J62" s="476">
        <f>SUMIFS(TU_DB[[Fish Kill]:[Fish Kill]],TU_DB[[Fish Kill]:[Fish Kill]],"&gt;"&amp;0,TU_DB[[TU Chapter Area]:[TU Chapter Area]],Scorecard!J$6)</f>
        <v>0</v>
      </c>
      <c r="K62" s="476">
        <f>SUMIFS(TU_DB[[Fish Kill]:[Fish Kill]],TU_DB[[Fish Kill]:[Fish Kill]],"&gt;"&amp;0,TU_DB[[TU Chapter Area]:[TU Chapter Area]],Scorecard!K$6)</f>
        <v>1</v>
      </c>
      <c r="L62" s="476">
        <f>SUMIFS(TU_DB[[Fish Kill]:[Fish Kill]],TU_DB[[Fish Kill]:[Fish Kill]],"&gt;"&amp;0,TU_DB[[TU Chapter Area]:[TU Chapter Area]],Scorecard!L$6)</f>
        <v>0</v>
      </c>
      <c r="M62" s="476">
        <f>SUMIFS(TU_DB[[Fish Kill]:[Fish Kill]],TU_DB[[Fish Kill]:[Fish Kill]],"&gt;"&amp;0,TU_DB[[TU Chapter Area]:[TU Chapter Area]],Scorecard!M$6)</f>
        <v>0</v>
      </c>
      <c r="N62" s="476">
        <f>SUMIFS(TU_DB[[Fish Kill]:[Fish Kill]],TU_DB[[Fish Kill]:[Fish Kill]],"&gt;"&amp;0,TU_DB[[TU Chapter Area]:[TU Chapter Area]],Scorecard!N$6)</f>
        <v>0</v>
      </c>
      <c r="O62" s="476">
        <f>SUMIFS(TU_DB[[Fish Kill]:[Fish Kill]],TU_DB[[Fish Kill]:[Fish Kill]],"&gt;"&amp;0,TU_DB[[TU Chapter Area]:[TU Chapter Area]],Scorecard!O$6)</f>
        <v>0</v>
      </c>
      <c r="P62" s="476">
        <f>SUMIFS(TU_DB[[Fish Kill]:[Fish Kill]],TU_DB[[Fish Kill]:[Fish Kill]],"&gt;"&amp;0,TU_DB[[TU Chapter Area]:[TU Chapter Area]],Scorecard!P$6)</f>
        <v>0</v>
      </c>
      <c r="Q62" s="476">
        <f>SUMIFS(TU_DB[[Fish Kill]:[Fish Kill]],TU_DB[[Fish Kill]:[Fish Kill]],"&gt;"&amp;0,TU_DB[[TU Chapter Area]:[TU Chapter Area]],Scorecard!Q$6)</f>
        <v>0</v>
      </c>
      <c r="R62" s="476">
        <f>SUMIFS(TU_DB[[Fish Kill]:[Fish Kill]],TU_DB[[Fish Kill]:[Fish Kill]],"&gt;"&amp;0,TU_DB[[TU Chapter Area]:[TU Chapter Area]],Scorecard!R$6)</f>
        <v>1</v>
      </c>
      <c r="S62" s="477">
        <f>SUMIFS(TU_DB[[Fish Kill]:[Fish Kill]],TU_DB[[Fish Kill]:[Fish Kill]],"&gt;"&amp;0,TU_DB[[TU Chapter Area]:[TU Chapter Area]],Scorecard!S$6)</f>
        <v>0</v>
      </c>
      <c r="T62" s="476"/>
      <c r="U62" s="504"/>
      <c r="V62" s="501">
        <f t="shared" si="130"/>
        <v>0</v>
      </c>
      <c r="W62" s="501">
        <f t="shared" si="116"/>
        <v>0</v>
      </c>
      <c r="X62" s="501">
        <f t="shared" si="117"/>
        <v>0</v>
      </c>
      <c r="Y62" s="501">
        <f t="shared" si="118"/>
        <v>0</v>
      </c>
      <c r="Z62" s="501">
        <f t="shared" si="119"/>
        <v>0</v>
      </c>
      <c r="AA62" s="501">
        <f t="shared" si="120"/>
        <v>0</v>
      </c>
      <c r="AB62" s="501">
        <f t="shared" si="121"/>
        <v>2.0833333333333333E-3</v>
      </c>
      <c r="AC62" s="501">
        <f t="shared" si="122"/>
        <v>0</v>
      </c>
      <c r="AD62" s="501">
        <f t="shared" si="123"/>
        <v>0</v>
      </c>
      <c r="AE62" s="501">
        <f t="shared" si="124"/>
        <v>0</v>
      </c>
      <c r="AF62" s="501">
        <f t="shared" si="125"/>
        <v>0</v>
      </c>
      <c r="AG62" s="501">
        <f t="shared" si="126"/>
        <v>0</v>
      </c>
      <c r="AH62" s="501">
        <f t="shared" si="127"/>
        <v>0</v>
      </c>
      <c r="AI62" s="501">
        <f t="shared" si="128"/>
        <v>4.4444444444444444E-3</v>
      </c>
      <c r="AJ62" s="501">
        <f t="shared" si="129"/>
        <v>0</v>
      </c>
      <c r="AK62" s="478"/>
      <c r="AL62" s="479"/>
    </row>
    <row r="63" spans="2:38" x14ac:dyDescent="0.25">
      <c r="B63" s="424" t="s">
        <v>10</v>
      </c>
      <c r="C63" s="446"/>
      <c r="D63" s="425" t="s">
        <v>1277</v>
      </c>
      <c r="E63" s="482">
        <f>SUMIFS(TU_DB[[None (Disturbance)]:[None (Disturbance)]],TU_DB[[None (Disturbance)]:[None (Disturbance)]],"&gt;"&amp;0,TU_DB[[TU Chapter Area]:[TU Chapter Area]],Scorecard!E$6)</f>
        <v>5</v>
      </c>
      <c r="F63" s="483">
        <f>SUMIFS(TU_DB[[None (Disturbance)]:[None (Disturbance)]],TU_DB[[None (Disturbance)]:[None (Disturbance)]],"&gt;"&amp;0,TU_DB[[TU Chapter Area]:[TU Chapter Area]],Scorecard!F$6)</f>
        <v>3</v>
      </c>
      <c r="G63" s="483">
        <f>SUMIFS(TU_DB[[None (Disturbance)]:[None (Disturbance)]],TU_DB[[None (Disturbance)]:[None (Disturbance)]],"&gt;"&amp;0,TU_DB[[TU Chapter Area]:[TU Chapter Area]],Scorecard!G$6)</f>
        <v>128</v>
      </c>
      <c r="H63" s="483">
        <f>SUMIFS(TU_DB[[None (Disturbance)]:[None (Disturbance)]],TU_DB[[None (Disturbance)]:[None (Disturbance)]],"&gt;"&amp;0,TU_DB[[TU Chapter Area]:[TU Chapter Area]],Scorecard!H$6)</f>
        <v>42</v>
      </c>
      <c r="I63" s="483">
        <f>SUMIFS(TU_DB[[None (Disturbance)]:[None (Disturbance)]],TU_DB[[None (Disturbance)]:[None (Disturbance)]],"&gt;"&amp;0,TU_DB[[TU Chapter Area]:[TU Chapter Area]],Scorecard!I$6)</f>
        <v>213</v>
      </c>
      <c r="J63" s="483">
        <f>SUMIFS(TU_DB[[None (Disturbance)]:[None (Disturbance)]],TU_DB[[None (Disturbance)]:[None (Disturbance)]],"&gt;"&amp;0,TU_DB[[TU Chapter Area]:[TU Chapter Area]],Scorecard!J$6)</f>
        <v>45</v>
      </c>
      <c r="K63" s="483">
        <f>SUMIFS(TU_DB[[None (Disturbance)]:[None (Disturbance)]],TU_DB[[None (Disturbance)]:[None (Disturbance)]],"&gt;"&amp;0,TU_DB[[TU Chapter Area]:[TU Chapter Area]],Scorecard!K$6)</f>
        <v>291</v>
      </c>
      <c r="L63" s="483">
        <f>SUMIFS(TU_DB[[None (Disturbance)]:[None (Disturbance)]],TU_DB[[None (Disturbance)]:[None (Disturbance)]],"&gt;"&amp;0,TU_DB[[TU Chapter Area]:[TU Chapter Area]],Scorecard!L$6)</f>
        <v>0</v>
      </c>
      <c r="M63" s="483">
        <f>SUMIFS(TU_DB[[None (Disturbance)]:[None (Disturbance)]],TU_DB[[None (Disturbance)]:[None (Disturbance)]],"&gt;"&amp;0,TU_DB[[TU Chapter Area]:[TU Chapter Area]],Scorecard!M$6)</f>
        <v>14</v>
      </c>
      <c r="N63" s="483">
        <f>SUMIFS(TU_DB[[None (Disturbance)]:[None (Disturbance)]],TU_DB[[None (Disturbance)]:[None (Disturbance)]],"&gt;"&amp;0,TU_DB[[TU Chapter Area]:[TU Chapter Area]],Scorecard!N$6)</f>
        <v>0</v>
      </c>
      <c r="O63" s="483">
        <f>SUMIFS(TU_DB[[None (Disturbance)]:[None (Disturbance)]],TU_DB[[None (Disturbance)]:[None (Disturbance)]],"&gt;"&amp;0,TU_DB[[TU Chapter Area]:[TU Chapter Area]],Scorecard!O$6)</f>
        <v>12</v>
      </c>
      <c r="P63" s="483">
        <f>SUMIFS(TU_DB[[None (Disturbance)]:[None (Disturbance)]],TU_DB[[None (Disturbance)]:[None (Disturbance)]],"&gt;"&amp;0,TU_DB[[TU Chapter Area]:[TU Chapter Area]],Scorecard!P$6)</f>
        <v>26</v>
      </c>
      <c r="Q63" s="483">
        <f>SUMIFS(TU_DB[[None (Disturbance)]:[None (Disturbance)]],TU_DB[[None (Disturbance)]:[None (Disturbance)]],"&gt;"&amp;0,TU_DB[[TU Chapter Area]:[TU Chapter Area]],Scorecard!Q$6)</f>
        <v>200</v>
      </c>
      <c r="R63" s="483">
        <f>SUMIFS(TU_DB[[None (Disturbance)]:[None (Disturbance)]],TU_DB[[None (Disturbance)]:[None (Disturbance)]],"&gt;"&amp;0,TU_DB[[TU Chapter Area]:[TU Chapter Area]],Scorecard!R$6)</f>
        <v>171</v>
      </c>
      <c r="S63" s="484">
        <f>SUMIFS(TU_DB[[None (Disturbance)]:[None (Disturbance)]],TU_DB[[None (Disturbance)]:[None (Disturbance)]],"&gt;"&amp;0,TU_DB[[TU Chapter Area]:[TU Chapter Area]],Scorecard!S$6)</f>
        <v>138</v>
      </c>
      <c r="T63" s="135"/>
      <c r="U63" s="505"/>
      <c r="V63" s="502">
        <f t="shared" si="130"/>
        <v>1</v>
      </c>
      <c r="W63" s="502">
        <f t="shared" si="116"/>
        <v>0.6</v>
      </c>
      <c r="X63" s="502">
        <f t="shared" si="117"/>
        <v>0.73142857142857143</v>
      </c>
      <c r="Y63" s="502">
        <f t="shared" si="118"/>
        <v>0.66666666666666663</v>
      </c>
      <c r="Z63" s="502">
        <f t="shared" si="119"/>
        <v>0.80377358490566042</v>
      </c>
      <c r="AA63" s="502">
        <f t="shared" si="120"/>
        <v>0.58441558441558439</v>
      </c>
      <c r="AB63" s="502">
        <f t="shared" si="121"/>
        <v>0.60624999999999996</v>
      </c>
      <c r="AC63" s="502">
        <f t="shared" si="122"/>
        <v>0</v>
      </c>
      <c r="AD63" s="502">
        <f t="shared" si="123"/>
        <v>0.31111111111111112</v>
      </c>
      <c r="AE63" s="502">
        <f t="shared" si="124"/>
        <v>0</v>
      </c>
      <c r="AF63" s="502">
        <f t="shared" si="125"/>
        <v>0.92307692307692313</v>
      </c>
      <c r="AG63" s="502">
        <f t="shared" si="126"/>
        <v>0.26804123711340205</v>
      </c>
      <c r="AH63" s="502">
        <f t="shared" si="127"/>
        <v>0.8771929824561403</v>
      </c>
      <c r="AI63" s="502">
        <f t="shared" si="128"/>
        <v>0.76</v>
      </c>
      <c r="AJ63" s="502">
        <f t="shared" si="129"/>
        <v>0.80701754385964908</v>
      </c>
      <c r="AK63" s="426"/>
      <c r="AL63" s="464"/>
    </row>
    <row r="64" spans="2:38" x14ac:dyDescent="0.25">
      <c r="B64" s="163"/>
      <c r="C64" s="163"/>
      <c r="D64" s="422" t="s">
        <v>4820</v>
      </c>
      <c r="E64" s="188">
        <f>COUNTIFS(TU_DB[[Dis: Not Reported]:[Dis: Not Reported]],0,TU_DB[[TU Chapter Area]:[TU Chapter Area]],Scorecard!E$6)</f>
        <v>5</v>
      </c>
      <c r="F64" s="388">
        <f>COUNTIFS(TU_DB[[Dis: Not Reported]:[Dis: Not Reported]],0,TU_DB[[TU Chapter Area]:[TU Chapter Area]],Scorecard!F$6)</f>
        <v>5</v>
      </c>
      <c r="G64" s="388">
        <f>COUNTIFS(TU_DB[[Dis: Not Reported]:[Dis: Not Reported]],0,TU_DB[[TU Chapter Area]:[TU Chapter Area]],Scorecard!G$6)</f>
        <v>175</v>
      </c>
      <c r="H64" s="388">
        <f>COUNTIFS(TU_DB[[Dis: Not Reported]:[Dis: Not Reported]],0,TU_DB[[TU Chapter Area]:[TU Chapter Area]],Scorecard!H$6)</f>
        <v>63</v>
      </c>
      <c r="I64" s="388">
        <f>COUNTIFS(TU_DB[[Dis: Not Reported]:[Dis: Not Reported]],0,TU_DB[[TU Chapter Area]:[TU Chapter Area]],Scorecard!I$6)</f>
        <v>265</v>
      </c>
      <c r="J64" s="388">
        <f>COUNTIFS(TU_DB[[Dis: Not Reported]:[Dis: Not Reported]],0,TU_DB[[TU Chapter Area]:[TU Chapter Area]],Scorecard!J$6)</f>
        <v>77</v>
      </c>
      <c r="K64" s="388">
        <f>COUNTIFS(TU_DB[[Dis: Not Reported]:[Dis: Not Reported]],0,TU_DB[[TU Chapter Area]:[TU Chapter Area]],Scorecard!K$6)</f>
        <v>480</v>
      </c>
      <c r="L64" s="388">
        <f>COUNTIFS(TU_DB[[Dis: Not Reported]:[Dis: Not Reported]],0,TU_DB[[TU Chapter Area]:[TU Chapter Area]],Scorecard!L$6)</f>
        <v>0</v>
      </c>
      <c r="M64" s="388">
        <f>COUNTIFS(TU_DB[[Dis: Not Reported]:[Dis: Not Reported]],0,TU_DB[[TU Chapter Area]:[TU Chapter Area]],Scorecard!M$6)</f>
        <v>45</v>
      </c>
      <c r="N64" s="388">
        <f>COUNTIFS(TU_DB[[Dis: Not Reported]:[Dis: Not Reported]],0,TU_DB[[TU Chapter Area]:[TU Chapter Area]],Scorecard!N$6)</f>
        <v>0</v>
      </c>
      <c r="O64" s="388">
        <f>COUNTIFS(TU_DB[[Dis: Not Reported]:[Dis: Not Reported]],0,TU_DB[[TU Chapter Area]:[TU Chapter Area]],Scorecard!O$6)</f>
        <v>13</v>
      </c>
      <c r="P64" s="388">
        <f>COUNTIFS(TU_DB[[Dis: Not Reported]:[Dis: Not Reported]],0,TU_DB[[TU Chapter Area]:[TU Chapter Area]],Scorecard!P$6)</f>
        <v>97</v>
      </c>
      <c r="Q64" s="388">
        <f>COUNTIFS(TU_DB[[Dis: Not Reported]:[Dis: Not Reported]],0,TU_DB[[TU Chapter Area]:[TU Chapter Area]],Scorecard!Q$6)</f>
        <v>228</v>
      </c>
      <c r="R64" s="388">
        <f>COUNTIFS(TU_DB[[Dis: Not Reported]:[Dis: Not Reported]],0,TU_DB[[TU Chapter Area]:[TU Chapter Area]],Scorecard!R$6)</f>
        <v>225</v>
      </c>
      <c r="S64" s="389">
        <f>COUNTIFS(TU_DB[[Dis: Not Reported]:[Dis: Not Reported]],0,TU_DB[[TU Chapter Area]:[TU Chapter Area]],Scorecard!S$6)</f>
        <v>171</v>
      </c>
      <c r="T64" s="167"/>
      <c r="U64" s="481">
        <f>SUM(U56:U63)</f>
        <v>0</v>
      </c>
      <c r="V64" s="480">
        <f>IF(E64&gt;0,1-(SUM(E56:E62))/E64,0)</f>
        <v>1</v>
      </c>
      <c r="W64" s="480">
        <f t="shared" ref="W64:AJ64" si="131">IF(F64&gt;0,1-(SUM(F56:F62))/F64,0)</f>
        <v>0.6</v>
      </c>
      <c r="X64" s="480">
        <f>IF(G64&gt;0,1-(SUM(G56:G62))/G64,0)</f>
        <v>0.70285714285714285</v>
      </c>
      <c r="Y64" s="480">
        <f t="shared" si="131"/>
        <v>0.5714285714285714</v>
      </c>
      <c r="Z64" s="480">
        <f t="shared" si="131"/>
        <v>0.74716981132075477</v>
      </c>
      <c r="AA64" s="480">
        <f t="shared" si="131"/>
        <v>0.49350649350649356</v>
      </c>
      <c r="AB64" s="480">
        <f t="shared" si="131"/>
        <v>0.47291666666666665</v>
      </c>
      <c r="AC64" s="480">
        <f t="shared" si="131"/>
        <v>0</v>
      </c>
      <c r="AD64" s="480">
        <f>IF(M64&gt;0,1-(SUM(M56:M62))/M64,0)</f>
        <v>-0.11111111111111116</v>
      </c>
      <c r="AE64" s="480">
        <f t="shared" si="131"/>
        <v>0</v>
      </c>
      <c r="AF64" s="480">
        <f t="shared" si="131"/>
        <v>0.84615384615384615</v>
      </c>
      <c r="AG64" s="480">
        <f t="shared" si="131"/>
        <v>-3.0927835051546282E-2</v>
      </c>
      <c r="AH64" s="480">
        <f t="shared" si="131"/>
        <v>0.80263157894736836</v>
      </c>
      <c r="AI64" s="480">
        <f t="shared" si="131"/>
        <v>0.73777777777777775</v>
      </c>
      <c r="AJ64" s="480">
        <f t="shared" si="131"/>
        <v>0.77777777777777779</v>
      </c>
      <c r="AK64" s="423"/>
      <c r="AL64" s="465"/>
    </row>
    <row r="65" spans="2:38" ht="15" customHeight="1" x14ac:dyDescent="0.25">
      <c r="B65" s="416" t="s">
        <v>4813</v>
      </c>
      <c r="C65" s="416"/>
      <c r="D65" s="416"/>
      <c r="E65" s="417"/>
      <c r="F65" s="416"/>
      <c r="G65" s="416"/>
      <c r="H65" s="416"/>
      <c r="I65" s="416"/>
      <c r="J65" s="416"/>
      <c r="K65" s="416"/>
      <c r="L65" s="416"/>
      <c r="M65" s="416"/>
      <c r="N65" s="416"/>
      <c r="O65" s="416"/>
      <c r="P65" s="416"/>
      <c r="Q65" s="416"/>
      <c r="R65" s="416"/>
      <c r="S65" s="418"/>
      <c r="T65" s="430" t="s">
        <v>4819</v>
      </c>
      <c r="U65" s="506">
        <v>1</v>
      </c>
      <c r="V65" s="420" t="str">
        <f>IF(E62&gt;=$U$65,"Flag","")</f>
        <v/>
      </c>
      <c r="W65" s="420" t="str">
        <f t="shared" ref="W65:AJ65" si="132">IF(F62&gt;=$U$65,"Flag","")</f>
        <v/>
      </c>
      <c r="X65" s="420" t="str">
        <f t="shared" si="132"/>
        <v/>
      </c>
      <c r="Y65" s="420" t="str">
        <f t="shared" si="132"/>
        <v/>
      </c>
      <c r="Z65" s="420" t="str">
        <f t="shared" si="132"/>
        <v/>
      </c>
      <c r="AA65" s="420" t="str">
        <f t="shared" si="132"/>
        <v/>
      </c>
      <c r="AB65" s="420" t="str">
        <f t="shared" si="132"/>
        <v>Flag</v>
      </c>
      <c r="AC65" s="420" t="str">
        <f t="shared" si="132"/>
        <v/>
      </c>
      <c r="AD65" s="420" t="str">
        <f t="shared" si="132"/>
        <v/>
      </c>
      <c r="AE65" s="420" t="str">
        <f t="shared" si="132"/>
        <v/>
      </c>
      <c r="AF65" s="420" t="str">
        <f t="shared" si="132"/>
        <v/>
      </c>
      <c r="AG65" s="420" t="str">
        <f t="shared" si="132"/>
        <v/>
      </c>
      <c r="AH65" s="420" t="str">
        <f t="shared" si="132"/>
        <v/>
      </c>
      <c r="AI65" s="420" t="str">
        <f t="shared" si="132"/>
        <v>Flag</v>
      </c>
      <c r="AJ65" s="420" t="str">
        <f t="shared" si="132"/>
        <v/>
      </c>
      <c r="AK65" s="416"/>
      <c r="AL65" s="459"/>
    </row>
    <row r="66" spans="2:38" x14ac:dyDescent="0.25">
      <c r="C66" s="196"/>
      <c r="D66" s="197"/>
    </row>
    <row r="67" spans="2:38" x14ac:dyDescent="0.25">
      <c r="C67" s="196"/>
      <c r="D67" s="197"/>
    </row>
    <row r="71" spans="2:38" x14ac:dyDescent="0.25">
      <c r="Y71">
        <v>1</v>
      </c>
    </row>
    <row r="73" spans="2:38" x14ac:dyDescent="0.25">
      <c r="K73" s="198"/>
      <c r="L73" s="198"/>
      <c r="M73" s="196"/>
      <c r="N73" s="196"/>
      <c r="O73" s="196"/>
    </row>
    <row r="74" spans="2:38" x14ac:dyDescent="0.25">
      <c r="J74" s="196"/>
      <c r="K74" s="196"/>
      <c r="L74" s="196"/>
      <c r="M74" s="196"/>
      <c r="N74" s="196"/>
      <c r="O74" s="196"/>
    </row>
  </sheetData>
  <phoneticPr fontId="17" type="noConversion"/>
  <conditionalFormatting sqref="V3:Z3 V9:AJ9 V14:AJ14 V18:AJ18 V34:AJ34 V39:AJ39 V44:AJ44 V52:AJ52 V64:AJ64">
    <cfRule type="cellIs" dxfId="12" priority="41" operator="greaterThan">
      <formula>$W$3</formula>
    </cfRule>
    <cfRule type="cellIs" dxfId="11" priority="42" operator="greaterThan">
      <formula>$X$3</formula>
    </cfRule>
    <cfRule type="cellIs" dxfId="10" priority="43" operator="greaterThan">
      <formula>$Y$3</formula>
    </cfRule>
    <cfRule type="cellIs" dxfId="9" priority="44" operator="greaterThan">
      <formula>$Z$3</formula>
    </cfRule>
  </conditionalFormatting>
  <conditionalFormatting sqref="V23:AJ23">
    <cfRule type="cellIs" dxfId="8" priority="40" operator="equal">
      <formula>"Flag"</formula>
    </cfRule>
  </conditionalFormatting>
  <conditionalFormatting sqref="V24:AJ26">
    <cfRule type="cellIs" dxfId="7" priority="2" operator="equal">
      <formula>"Flag"</formula>
    </cfRule>
  </conditionalFormatting>
  <conditionalFormatting sqref="V32:AJ33">
    <cfRule type="cellIs" dxfId="6" priority="4" operator="greaterThan">
      <formula>0</formula>
    </cfRule>
  </conditionalFormatting>
  <conditionalFormatting sqref="V37:AJ38">
    <cfRule type="cellIs" dxfId="5" priority="5" operator="greaterThan">
      <formula>0</formula>
    </cfRule>
  </conditionalFormatting>
  <conditionalFormatting sqref="V42:AJ43">
    <cfRule type="cellIs" dxfId="4" priority="6" operator="greaterThan">
      <formula>0</formula>
    </cfRule>
  </conditionalFormatting>
  <conditionalFormatting sqref="V45:AJ45">
    <cfRule type="cellIs" dxfId="3" priority="7" operator="equal">
      <formula>"Flag"</formula>
    </cfRule>
  </conditionalFormatting>
  <conditionalFormatting sqref="V50:AJ51">
    <cfRule type="cellIs" dxfId="2" priority="3" operator="greaterThan">
      <formula>0</formula>
    </cfRule>
  </conditionalFormatting>
  <conditionalFormatting sqref="V56:AJ62">
    <cfRule type="colorScale" priority="1">
      <colorScale>
        <cfvo type="min"/>
        <cfvo type="max"/>
        <color theme="0"/>
        <color theme="5" tint="0.59999389629810485"/>
      </colorScale>
    </cfRule>
  </conditionalFormatting>
  <conditionalFormatting sqref="V65:AJ65">
    <cfRule type="cellIs" dxfId="1" priority="36" operator="equal">
      <formula>"Flag"</formula>
    </cfRule>
  </conditionalFormatting>
  <conditionalFormatting sqref="V53:AK53">
    <cfRule type="cellIs" dxfId="0" priority="37" operator="equal">
      <formula>"Flag"</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4717C-59F3-4B4F-B788-D301B8F39AB1}">
  <sheetPr codeName="Sheet10"/>
  <dimension ref="A1:I16396"/>
  <sheetViews>
    <sheetView zoomScale="70" zoomScaleNormal="70" workbookViewId="0">
      <selection activeCell="P62" sqref="P62"/>
    </sheetView>
  </sheetViews>
  <sheetFormatPr defaultRowHeight="15" x14ac:dyDescent="0.25"/>
  <cols>
    <col min="1" max="1" width="5.42578125" style="28" customWidth="1"/>
    <col min="2" max="2" width="40.140625" style="57" customWidth="1"/>
    <col min="3" max="3" width="83.5703125" style="27" customWidth="1"/>
    <col min="4" max="4" width="6.5703125" style="28" hidden="1" customWidth="1"/>
    <col min="5" max="5" width="36.85546875" style="57" customWidth="1"/>
    <col min="6" max="6" width="12.140625" style="1" customWidth="1"/>
    <col min="7" max="7" width="7.85546875" style="28" customWidth="1"/>
    <col min="8" max="8" width="39.140625" hidden="1" customWidth="1"/>
    <col min="9" max="9" width="9" hidden="1" customWidth="1"/>
  </cols>
  <sheetData>
    <row r="1" spans="1:9" ht="22.5" x14ac:dyDescent="0.25">
      <c r="A1" s="61" t="s">
        <v>1271</v>
      </c>
      <c r="C1" s="26"/>
    </row>
    <row r="2" spans="1:9" ht="15.75" x14ac:dyDescent="0.25">
      <c r="A2" s="62" t="s">
        <v>73</v>
      </c>
      <c r="C2" s="26"/>
      <c r="D2" s="1"/>
    </row>
    <row r="3" spans="1:9" x14ac:dyDescent="0.25">
      <c r="B3" s="63" t="s">
        <v>936</v>
      </c>
      <c r="C3" s="64">
        <f>TUDB!B3</f>
        <v>45580</v>
      </c>
    </row>
    <row r="4" spans="1:9" x14ac:dyDescent="0.25">
      <c r="B4" s="63"/>
      <c r="C4" s="65"/>
    </row>
    <row r="5" spans="1:9" s="6" customFormat="1" ht="29.45" customHeight="1" x14ac:dyDescent="0.25">
      <c r="A5" s="124" t="s">
        <v>937</v>
      </c>
      <c r="B5" s="125" t="s">
        <v>950</v>
      </c>
      <c r="C5" s="66" t="s">
        <v>89</v>
      </c>
      <c r="D5" s="67" t="s">
        <v>938</v>
      </c>
      <c r="E5" s="26" t="s">
        <v>4787</v>
      </c>
      <c r="F5" s="26" t="s">
        <v>4167</v>
      </c>
      <c r="G5" s="67" t="s">
        <v>938</v>
      </c>
    </row>
    <row r="6" spans="1:9" x14ac:dyDescent="0.25">
      <c r="A6" s="68">
        <v>1</v>
      </c>
      <c r="B6" s="69" t="s">
        <v>72</v>
      </c>
      <c r="C6" s="70" t="s">
        <v>93</v>
      </c>
      <c r="D6" s="26"/>
      <c r="E6" s="126" t="s">
        <v>953</v>
      </c>
      <c r="F6" s="25" t="s">
        <v>951</v>
      </c>
      <c r="G6" s="26"/>
      <c r="H6" t="s">
        <v>961</v>
      </c>
    </row>
    <row r="7" spans="1:9" x14ac:dyDescent="0.25">
      <c r="A7" s="68">
        <v>2</v>
      </c>
      <c r="B7" s="69" t="s">
        <v>1</v>
      </c>
      <c r="C7" s="70" t="s">
        <v>95</v>
      </c>
      <c r="D7" s="26">
        <v>1</v>
      </c>
      <c r="E7" s="127" t="s">
        <v>155</v>
      </c>
      <c r="F7" s="25" t="s">
        <v>952</v>
      </c>
      <c r="G7" s="26"/>
      <c r="H7" s="104" t="s">
        <v>155</v>
      </c>
      <c r="I7">
        <v>1</v>
      </c>
    </row>
    <row r="8" spans="1:9" x14ac:dyDescent="0.25">
      <c r="A8" s="68">
        <v>3</v>
      </c>
      <c r="B8" s="69" t="s">
        <v>148</v>
      </c>
      <c r="C8" s="70" t="s">
        <v>94</v>
      </c>
      <c r="D8" s="26">
        <v>3</v>
      </c>
      <c r="E8" s="127" t="s">
        <v>157</v>
      </c>
      <c r="F8" s="25" t="s">
        <v>952</v>
      </c>
      <c r="G8" s="26"/>
      <c r="H8" s="105" t="s">
        <v>512</v>
      </c>
      <c r="I8">
        <v>2</v>
      </c>
    </row>
    <row r="9" spans="1:9" ht="30" x14ac:dyDescent="0.25">
      <c r="A9" s="68">
        <v>4</v>
      </c>
      <c r="B9" s="69" t="s">
        <v>147</v>
      </c>
      <c r="C9" s="70" t="s">
        <v>126</v>
      </c>
      <c r="D9" s="26" t="s">
        <v>16</v>
      </c>
      <c r="E9" s="126" t="s">
        <v>956</v>
      </c>
      <c r="F9" s="25" t="s">
        <v>951</v>
      </c>
      <c r="G9" s="26"/>
      <c r="H9" s="105" t="s">
        <v>74</v>
      </c>
      <c r="I9">
        <v>3</v>
      </c>
    </row>
    <row r="10" spans="1:9" ht="30" x14ac:dyDescent="0.25">
      <c r="A10" s="68">
        <v>5</v>
      </c>
      <c r="B10" s="69" t="s">
        <v>123</v>
      </c>
      <c r="C10" s="70" t="s">
        <v>592</v>
      </c>
      <c r="D10" s="26" t="s">
        <v>16</v>
      </c>
      <c r="E10" s="126" t="s">
        <v>956</v>
      </c>
      <c r="F10" s="25" t="s">
        <v>951</v>
      </c>
      <c r="G10" s="26"/>
      <c r="H10" s="105" t="s">
        <v>513</v>
      </c>
      <c r="I10">
        <v>4</v>
      </c>
    </row>
    <row r="11" spans="1:9" x14ac:dyDescent="0.25">
      <c r="A11" s="68">
        <v>6</v>
      </c>
      <c r="B11" s="69" t="s">
        <v>156</v>
      </c>
      <c r="C11" s="70" t="s">
        <v>969</v>
      </c>
      <c r="D11" s="26" t="s">
        <v>16</v>
      </c>
      <c r="E11" s="126" t="s">
        <v>956</v>
      </c>
      <c r="F11" s="25" t="s">
        <v>951</v>
      </c>
      <c r="G11" s="26"/>
      <c r="H11" s="105" t="s">
        <v>514</v>
      </c>
      <c r="I11">
        <v>5</v>
      </c>
    </row>
    <row r="12" spans="1:9" x14ac:dyDescent="0.25">
      <c r="A12" s="68">
        <v>7</v>
      </c>
      <c r="B12" s="69" t="s">
        <v>4184</v>
      </c>
      <c r="C12" s="70" t="s">
        <v>4185</v>
      </c>
      <c r="D12" s="26" t="s">
        <v>16</v>
      </c>
      <c r="E12" s="126" t="s">
        <v>956</v>
      </c>
      <c r="F12" s="25" t="s">
        <v>951</v>
      </c>
      <c r="G12" s="26"/>
      <c r="H12" s="105" t="s">
        <v>515</v>
      </c>
      <c r="I12">
        <v>6</v>
      </c>
    </row>
    <row r="13" spans="1:9" ht="30" x14ac:dyDescent="0.25">
      <c r="A13" s="68">
        <v>8</v>
      </c>
      <c r="B13" s="69" t="s">
        <v>2</v>
      </c>
      <c r="C13" s="70" t="s">
        <v>127</v>
      </c>
      <c r="D13" s="26">
        <v>6</v>
      </c>
      <c r="E13" s="127" t="s">
        <v>513</v>
      </c>
      <c r="F13" s="25" t="s">
        <v>952</v>
      </c>
      <c r="G13" s="26"/>
      <c r="H13" s="105" t="s">
        <v>516</v>
      </c>
      <c r="I13">
        <v>7</v>
      </c>
    </row>
    <row r="14" spans="1:9" x14ac:dyDescent="0.25">
      <c r="A14" s="68">
        <v>9</v>
      </c>
      <c r="B14" s="69" t="s">
        <v>124</v>
      </c>
      <c r="C14" s="70" t="s">
        <v>4789</v>
      </c>
      <c r="D14" s="26">
        <v>7</v>
      </c>
      <c r="E14" s="127" t="s">
        <v>514</v>
      </c>
      <c r="F14" s="25" t="s">
        <v>952</v>
      </c>
      <c r="G14" s="26"/>
      <c r="H14" s="105" t="s">
        <v>954</v>
      </c>
      <c r="I14">
        <v>8</v>
      </c>
    </row>
    <row r="15" spans="1:9" x14ac:dyDescent="0.25">
      <c r="A15" s="68">
        <v>10</v>
      </c>
      <c r="B15" s="69" t="s">
        <v>71</v>
      </c>
      <c r="C15" s="70" t="s">
        <v>97</v>
      </c>
      <c r="D15" s="26">
        <v>8</v>
      </c>
      <c r="E15" s="127" t="s">
        <v>515</v>
      </c>
      <c r="F15" s="25" t="s">
        <v>952</v>
      </c>
      <c r="G15" s="26"/>
      <c r="H15" s="105" t="s">
        <v>517</v>
      </c>
      <c r="I15">
        <v>9</v>
      </c>
    </row>
    <row r="16" spans="1:9" x14ac:dyDescent="0.25">
      <c r="A16" s="68">
        <v>11</v>
      </c>
      <c r="B16" s="71" t="s">
        <v>70</v>
      </c>
      <c r="C16" s="72" t="s">
        <v>96</v>
      </c>
      <c r="D16" s="26">
        <v>9</v>
      </c>
      <c r="E16" s="127" t="s">
        <v>516</v>
      </c>
      <c r="F16" s="25" t="s">
        <v>952</v>
      </c>
      <c r="G16" s="26"/>
      <c r="H16" s="105" t="s">
        <v>518</v>
      </c>
      <c r="I16">
        <v>10</v>
      </c>
    </row>
    <row r="17" spans="1:9" x14ac:dyDescent="0.25">
      <c r="A17" s="68">
        <v>12</v>
      </c>
      <c r="B17" s="69" t="s">
        <v>957</v>
      </c>
      <c r="C17" s="70" t="s">
        <v>939</v>
      </c>
      <c r="D17" s="26" t="s">
        <v>16</v>
      </c>
      <c r="E17" s="128" t="s">
        <v>954</v>
      </c>
      <c r="F17" s="25" t="s">
        <v>951</v>
      </c>
      <c r="G17" s="26"/>
      <c r="H17" s="105" t="s">
        <v>158</v>
      </c>
      <c r="I17">
        <v>11</v>
      </c>
    </row>
    <row r="18" spans="1:9" x14ac:dyDescent="0.25">
      <c r="A18" s="68">
        <v>13</v>
      </c>
      <c r="B18" s="69" t="s">
        <v>593</v>
      </c>
      <c r="C18" s="70" t="s">
        <v>109</v>
      </c>
      <c r="D18" s="26">
        <v>11</v>
      </c>
      <c r="E18" s="127" t="s">
        <v>517</v>
      </c>
      <c r="F18" s="25" t="s">
        <v>952</v>
      </c>
      <c r="G18" s="26"/>
      <c r="H18" s="105" t="s">
        <v>159</v>
      </c>
      <c r="I18">
        <v>12</v>
      </c>
    </row>
    <row r="19" spans="1:9" x14ac:dyDescent="0.25">
      <c r="A19" s="68">
        <v>14</v>
      </c>
      <c r="B19" s="69" t="s">
        <v>92</v>
      </c>
      <c r="C19" s="70"/>
      <c r="D19" s="26" t="s">
        <v>16</v>
      </c>
      <c r="E19" s="126" t="s">
        <v>940</v>
      </c>
      <c r="F19" s="25" t="s">
        <v>951</v>
      </c>
      <c r="G19" s="26"/>
      <c r="H19" s="105" t="s">
        <v>519</v>
      </c>
      <c r="I19">
        <v>13</v>
      </c>
    </row>
    <row r="20" spans="1:9" x14ac:dyDescent="0.25">
      <c r="A20" s="68">
        <v>15</v>
      </c>
      <c r="B20" s="69" t="s">
        <v>3</v>
      </c>
      <c r="C20" s="70" t="s">
        <v>98</v>
      </c>
      <c r="D20" s="26">
        <v>12</v>
      </c>
      <c r="E20" s="127" t="s">
        <v>518</v>
      </c>
      <c r="F20" s="25" t="s">
        <v>952</v>
      </c>
      <c r="G20" s="26"/>
      <c r="H20" s="105" t="s">
        <v>520</v>
      </c>
      <c r="I20">
        <v>14</v>
      </c>
    </row>
    <row r="21" spans="1:9" x14ac:dyDescent="0.25">
      <c r="A21" s="68">
        <v>16</v>
      </c>
      <c r="B21" s="69" t="s">
        <v>91</v>
      </c>
      <c r="C21" s="70" t="s">
        <v>110</v>
      </c>
      <c r="D21" s="26" t="s">
        <v>16</v>
      </c>
      <c r="E21" s="126" t="s">
        <v>941</v>
      </c>
      <c r="F21" s="25" t="s">
        <v>951</v>
      </c>
      <c r="G21" s="26"/>
      <c r="H21" s="105" t="s">
        <v>521</v>
      </c>
      <c r="I21">
        <v>15</v>
      </c>
    </row>
    <row r="22" spans="1:9" x14ac:dyDescent="0.25">
      <c r="A22" s="68">
        <v>17</v>
      </c>
      <c r="B22" s="69" t="s">
        <v>2354</v>
      </c>
      <c r="C22" s="70" t="s">
        <v>101</v>
      </c>
      <c r="D22" s="26">
        <v>16</v>
      </c>
      <c r="E22" s="127" t="s">
        <v>520</v>
      </c>
      <c r="F22" s="25" t="s">
        <v>952</v>
      </c>
      <c r="G22" s="26"/>
      <c r="H22" s="105" t="s">
        <v>522</v>
      </c>
      <c r="I22">
        <v>16</v>
      </c>
    </row>
    <row r="23" spans="1:9" x14ac:dyDescent="0.25">
      <c r="A23" s="68">
        <v>18</v>
      </c>
      <c r="B23" s="69" t="s">
        <v>2355</v>
      </c>
      <c r="C23" s="70" t="s">
        <v>102</v>
      </c>
      <c r="D23" s="26">
        <v>18</v>
      </c>
      <c r="E23" s="127" t="s">
        <v>522</v>
      </c>
      <c r="F23" s="25" t="s">
        <v>952</v>
      </c>
      <c r="G23" s="26"/>
      <c r="H23" s="105" t="s">
        <v>523</v>
      </c>
      <c r="I23">
        <v>17</v>
      </c>
    </row>
    <row r="24" spans="1:9" x14ac:dyDescent="0.25">
      <c r="A24" s="68">
        <v>19</v>
      </c>
      <c r="B24" s="69" t="s">
        <v>2356</v>
      </c>
      <c r="C24" s="70" t="s">
        <v>103</v>
      </c>
      <c r="D24" s="26">
        <v>19</v>
      </c>
      <c r="E24" s="127" t="s">
        <v>523</v>
      </c>
      <c r="F24" s="25" t="s">
        <v>952</v>
      </c>
      <c r="G24" s="26"/>
      <c r="H24" s="105" t="s">
        <v>524</v>
      </c>
      <c r="I24">
        <v>18</v>
      </c>
    </row>
    <row r="25" spans="1:9" x14ac:dyDescent="0.25">
      <c r="A25" s="68">
        <v>20</v>
      </c>
      <c r="B25" s="69" t="s">
        <v>2357</v>
      </c>
      <c r="C25" s="70" t="s">
        <v>104</v>
      </c>
      <c r="D25" s="26">
        <v>20</v>
      </c>
      <c r="E25" s="127" t="s">
        <v>524</v>
      </c>
      <c r="F25" s="25" t="s">
        <v>952</v>
      </c>
      <c r="G25" s="26"/>
      <c r="H25" s="105" t="s">
        <v>525</v>
      </c>
      <c r="I25">
        <v>19</v>
      </c>
    </row>
    <row r="26" spans="1:9" x14ac:dyDescent="0.25">
      <c r="A26" s="68">
        <v>21</v>
      </c>
      <c r="B26" s="69" t="s">
        <v>4</v>
      </c>
      <c r="C26" s="70" t="s">
        <v>105</v>
      </c>
      <c r="D26" s="26">
        <v>23</v>
      </c>
      <c r="E26" s="127" t="s">
        <v>527</v>
      </c>
      <c r="F26" s="25" t="s">
        <v>952</v>
      </c>
      <c r="G26" s="26"/>
      <c r="H26" s="105" t="s">
        <v>526</v>
      </c>
      <c r="I26">
        <v>20</v>
      </c>
    </row>
    <row r="27" spans="1:9" x14ac:dyDescent="0.25">
      <c r="A27" s="68">
        <v>22</v>
      </c>
      <c r="B27" s="69" t="s">
        <v>90</v>
      </c>
      <c r="C27" s="70" t="s">
        <v>128</v>
      </c>
      <c r="D27" s="26" t="s">
        <v>16</v>
      </c>
      <c r="E27" s="126" t="s">
        <v>947</v>
      </c>
      <c r="F27" s="25" t="s">
        <v>951</v>
      </c>
      <c r="G27" s="26"/>
      <c r="H27" s="105" t="s">
        <v>527</v>
      </c>
      <c r="I27">
        <v>21</v>
      </c>
    </row>
    <row r="28" spans="1:9" x14ac:dyDescent="0.25">
      <c r="A28" s="68">
        <v>23</v>
      </c>
      <c r="B28" s="69" t="s">
        <v>4112</v>
      </c>
      <c r="C28" s="70" t="s">
        <v>125</v>
      </c>
      <c r="D28" s="26">
        <v>24</v>
      </c>
      <c r="E28" s="127" t="s">
        <v>528</v>
      </c>
      <c r="F28" s="25" t="s">
        <v>952</v>
      </c>
      <c r="G28" s="26"/>
      <c r="H28" s="105" t="s">
        <v>528</v>
      </c>
      <c r="I28">
        <v>22</v>
      </c>
    </row>
    <row r="29" spans="1:9" x14ac:dyDescent="0.25">
      <c r="A29" s="68">
        <v>24</v>
      </c>
      <c r="B29" s="69" t="s">
        <v>107</v>
      </c>
      <c r="C29" s="70" t="s">
        <v>111</v>
      </c>
      <c r="D29" s="26" t="s">
        <v>16</v>
      </c>
      <c r="E29" s="126" t="s">
        <v>948</v>
      </c>
      <c r="F29" s="25" t="s">
        <v>951</v>
      </c>
      <c r="G29" s="26"/>
      <c r="H29" s="105" t="s">
        <v>529</v>
      </c>
      <c r="I29">
        <v>23</v>
      </c>
    </row>
    <row r="30" spans="1:9" x14ac:dyDescent="0.25">
      <c r="A30" s="68">
        <v>25</v>
      </c>
      <c r="B30" s="69" t="s">
        <v>2358</v>
      </c>
      <c r="C30" s="70" t="s">
        <v>129</v>
      </c>
      <c r="D30" s="26">
        <v>25</v>
      </c>
      <c r="E30" s="127" t="s">
        <v>529</v>
      </c>
      <c r="F30" s="25" t="s">
        <v>952</v>
      </c>
      <c r="G30" s="26"/>
      <c r="H30" s="105" t="s">
        <v>530</v>
      </c>
      <c r="I30">
        <v>24</v>
      </c>
    </row>
    <row r="31" spans="1:9" x14ac:dyDescent="0.25">
      <c r="A31" s="68">
        <v>26</v>
      </c>
      <c r="B31" s="69" t="s">
        <v>99</v>
      </c>
      <c r="C31" s="70" t="s">
        <v>112</v>
      </c>
      <c r="D31" s="26" t="s">
        <v>16</v>
      </c>
      <c r="E31" s="126" t="s">
        <v>949</v>
      </c>
      <c r="F31" s="25" t="s">
        <v>951</v>
      </c>
      <c r="G31" s="26"/>
      <c r="H31" s="105" t="s">
        <v>531</v>
      </c>
      <c r="I31">
        <v>25</v>
      </c>
    </row>
    <row r="32" spans="1:9" x14ac:dyDescent="0.25">
      <c r="A32" s="68">
        <v>27</v>
      </c>
      <c r="B32" s="69" t="s">
        <v>2359</v>
      </c>
      <c r="C32" s="70" t="s">
        <v>115</v>
      </c>
      <c r="D32" s="26">
        <v>27</v>
      </c>
      <c r="E32" s="127" t="s">
        <v>531</v>
      </c>
      <c r="F32" s="25" t="s">
        <v>952</v>
      </c>
      <c r="G32" s="26"/>
      <c r="H32" s="105" t="s">
        <v>532</v>
      </c>
      <c r="I32">
        <v>26</v>
      </c>
    </row>
    <row r="33" spans="1:9" x14ac:dyDescent="0.25">
      <c r="A33" s="68">
        <v>28</v>
      </c>
      <c r="B33" s="69" t="s">
        <v>2360</v>
      </c>
      <c r="C33" s="70" t="s">
        <v>116</v>
      </c>
      <c r="D33" s="26">
        <v>29</v>
      </c>
      <c r="E33" s="127" t="s">
        <v>533</v>
      </c>
      <c r="F33" s="25" t="s">
        <v>952</v>
      </c>
      <c r="G33" s="26"/>
      <c r="H33" s="105" t="s">
        <v>533</v>
      </c>
      <c r="I33">
        <v>27</v>
      </c>
    </row>
    <row r="34" spans="1:9" ht="30" x14ac:dyDescent="0.25">
      <c r="A34" s="68">
        <v>29</v>
      </c>
      <c r="B34" s="69" t="s">
        <v>5</v>
      </c>
      <c r="C34" s="70" t="s">
        <v>130</v>
      </c>
      <c r="D34" s="26">
        <v>31</v>
      </c>
      <c r="E34" s="127" t="s">
        <v>535</v>
      </c>
      <c r="F34" s="25" t="s">
        <v>952</v>
      </c>
      <c r="G34" s="26"/>
      <c r="H34" s="105" t="s">
        <v>534</v>
      </c>
      <c r="I34">
        <v>28</v>
      </c>
    </row>
    <row r="35" spans="1:9" ht="30" x14ac:dyDescent="0.25">
      <c r="A35" s="68">
        <v>30</v>
      </c>
      <c r="B35" s="69" t="s">
        <v>6</v>
      </c>
      <c r="C35" s="70" t="s">
        <v>120</v>
      </c>
      <c r="D35" s="26">
        <v>32</v>
      </c>
      <c r="E35" s="127" t="s">
        <v>536</v>
      </c>
      <c r="F35" s="25" t="s">
        <v>952</v>
      </c>
      <c r="G35" s="26"/>
      <c r="H35" s="105" t="s">
        <v>535</v>
      </c>
      <c r="I35">
        <v>29</v>
      </c>
    </row>
    <row r="36" spans="1:9" x14ac:dyDescent="0.25">
      <c r="A36" s="68">
        <v>31</v>
      </c>
      <c r="B36" s="69" t="s">
        <v>7</v>
      </c>
      <c r="C36" s="70" t="s">
        <v>4143</v>
      </c>
      <c r="D36" s="26" t="s">
        <v>16</v>
      </c>
      <c r="E36" s="126" t="s">
        <v>942</v>
      </c>
      <c r="F36" s="25" t="s">
        <v>951</v>
      </c>
      <c r="G36" s="26"/>
      <c r="H36" s="105" t="s">
        <v>536</v>
      </c>
      <c r="I36">
        <v>30</v>
      </c>
    </row>
    <row r="37" spans="1:9" x14ac:dyDescent="0.25">
      <c r="A37" s="68">
        <v>32</v>
      </c>
      <c r="B37" s="69" t="s">
        <v>8</v>
      </c>
      <c r="C37" s="70" t="s">
        <v>4144</v>
      </c>
      <c r="D37" s="26" t="s">
        <v>16</v>
      </c>
      <c r="E37" s="126" t="s">
        <v>942</v>
      </c>
      <c r="F37" s="25" t="s">
        <v>951</v>
      </c>
      <c r="G37" s="26"/>
      <c r="H37" s="105" t="s">
        <v>537</v>
      </c>
      <c r="I37">
        <v>31</v>
      </c>
    </row>
    <row r="38" spans="1:9" x14ac:dyDescent="0.25">
      <c r="A38" s="68">
        <v>33</v>
      </c>
      <c r="B38" s="69" t="s">
        <v>9</v>
      </c>
      <c r="C38" s="70" t="s">
        <v>4145</v>
      </c>
      <c r="D38" s="26" t="s">
        <v>16</v>
      </c>
      <c r="E38" s="126" t="s">
        <v>942</v>
      </c>
      <c r="F38" s="25" t="s">
        <v>951</v>
      </c>
      <c r="G38" s="26"/>
      <c r="H38" s="105" t="s">
        <v>538</v>
      </c>
      <c r="I38">
        <v>32</v>
      </c>
    </row>
    <row r="39" spans="1:9" x14ac:dyDescent="0.25">
      <c r="A39" s="68">
        <v>34</v>
      </c>
      <c r="B39" s="69" t="s">
        <v>355</v>
      </c>
      <c r="C39" s="70" t="s">
        <v>4146</v>
      </c>
      <c r="D39" s="26" t="s">
        <v>16</v>
      </c>
      <c r="E39" s="126" t="s">
        <v>942</v>
      </c>
      <c r="F39" s="25" t="s">
        <v>951</v>
      </c>
      <c r="G39" s="26"/>
      <c r="H39" s="105" t="s">
        <v>539</v>
      </c>
      <c r="I39">
        <v>33</v>
      </c>
    </row>
    <row r="40" spans="1:9" x14ac:dyDescent="0.25">
      <c r="A40" s="68">
        <v>35</v>
      </c>
      <c r="B40" s="69" t="s">
        <v>551</v>
      </c>
      <c r="C40" s="70" t="s">
        <v>4147</v>
      </c>
      <c r="D40" s="26" t="s">
        <v>16</v>
      </c>
      <c r="E40" s="126" t="s">
        <v>942</v>
      </c>
      <c r="F40" s="25" t="s">
        <v>951</v>
      </c>
      <c r="G40" s="26"/>
      <c r="H40" s="105" t="s">
        <v>540</v>
      </c>
      <c r="I40">
        <v>34</v>
      </c>
    </row>
    <row r="41" spans="1:9" x14ac:dyDescent="0.25">
      <c r="A41" s="68">
        <v>36</v>
      </c>
      <c r="B41" s="69" t="s">
        <v>427</v>
      </c>
      <c r="C41" s="70" t="s">
        <v>4148</v>
      </c>
      <c r="D41" s="26" t="s">
        <v>16</v>
      </c>
      <c r="E41" s="126" t="s">
        <v>942</v>
      </c>
      <c r="F41" s="25" t="s">
        <v>951</v>
      </c>
      <c r="G41" s="26"/>
      <c r="H41" s="105" t="s">
        <v>541</v>
      </c>
      <c r="I41">
        <v>35</v>
      </c>
    </row>
    <row r="42" spans="1:9" x14ac:dyDescent="0.25">
      <c r="A42" s="68">
        <v>37</v>
      </c>
      <c r="B42" s="69" t="s">
        <v>558</v>
      </c>
      <c r="C42" s="70" t="s">
        <v>4149</v>
      </c>
      <c r="D42" s="26" t="s">
        <v>16</v>
      </c>
      <c r="E42" s="126" t="s">
        <v>942</v>
      </c>
      <c r="F42" s="25" t="s">
        <v>951</v>
      </c>
      <c r="G42" s="26"/>
      <c r="H42" s="106" t="s">
        <v>542</v>
      </c>
      <c r="I42">
        <v>36</v>
      </c>
    </row>
    <row r="43" spans="1:9" x14ac:dyDescent="0.25">
      <c r="A43" s="68">
        <v>38</v>
      </c>
      <c r="B43" s="69" t="s">
        <v>4114</v>
      </c>
      <c r="C43" s="70" t="s">
        <v>4150</v>
      </c>
      <c r="D43" s="26" t="s">
        <v>16</v>
      </c>
      <c r="E43" s="126" t="s">
        <v>942</v>
      </c>
      <c r="F43" s="25" t="s">
        <v>951</v>
      </c>
      <c r="G43" s="26"/>
    </row>
    <row r="44" spans="1:9" x14ac:dyDescent="0.25">
      <c r="A44" s="68">
        <v>39</v>
      </c>
      <c r="B44" s="69" t="s">
        <v>79</v>
      </c>
      <c r="C44" s="70" t="s">
        <v>106</v>
      </c>
      <c r="D44" s="26" t="s">
        <v>16</v>
      </c>
      <c r="E44" s="126" t="s">
        <v>942</v>
      </c>
      <c r="F44" s="25" t="s">
        <v>951</v>
      </c>
      <c r="G44" s="26"/>
    </row>
    <row r="45" spans="1:9" x14ac:dyDescent="0.25">
      <c r="A45" s="68">
        <v>40</v>
      </c>
      <c r="B45" s="69" t="s">
        <v>108</v>
      </c>
      <c r="C45" s="70" t="s">
        <v>117</v>
      </c>
      <c r="D45" s="26">
        <v>33</v>
      </c>
      <c r="E45" s="127" t="s">
        <v>537</v>
      </c>
      <c r="F45" s="25" t="s">
        <v>952</v>
      </c>
      <c r="G45" s="26"/>
    </row>
    <row r="46" spans="1:9" x14ac:dyDescent="0.25">
      <c r="A46" s="68">
        <v>41</v>
      </c>
      <c r="B46" s="69" t="s">
        <v>76</v>
      </c>
      <c r="C46" s="70" t="s">
        <v>113</v>
      </c>
      <c r="D46" s="26" t="s">
        <v>16</v>
      </c>
      <c r="E46" s="126" t="s">
        <v>943</v>
      </c>
      <c r="F46" s="25" t="s">
        <v>951</v>
      </c>
      <c r="G46" s="26"/>
    </row>
    <row r="47" spans="1:9" x14ac:dyDescent="0.25">
      <c r="A47" s="68">
        <v>42</v>
      </c>
      <c r="B47" s="69" t="s">
        <v>11</v>
      </c>
      <c r="C47" s="70" t="s">
        <v>118</v>
      </c>
      <c r="D47" s="26">
        <v>34</v>
      </c>
      <c r="E47" s="127" t="s">
        <v>538</v>
      </c>
      <c r="F47" s="25" t="s">
        <v>952</v>
      </c>
      <c r="G47" s="26"/>
    </row>
    <row r="48" spans="1:9" x14ac:dyDescent="0.25">
      <c r="A48" s="68">
        <v>43</v>
      </c>
      <c r="B48" s="69" t="s">
        <v>77</v>
      </c>
      <c r="C48" s="70" t="s">
        <v>114</v>
      </c>
      <c r="D48" s="26" t="s">
        <v>16</v>
      </c>
      <c r="E48" s="126" t="s">
        <v>944</v>
      </c>
      <c r="F48" s="25" t="s">
        <v>951</v>
      </c>
      <c r="G48" s="26"/>
    </row>
    <row r="49" spans="1:7" x14ac:dyDescent="0.25">
      <c r="A49" s="68">
        <v>44</v>
      </c>
      <c r="B49" s="69" t="s">
        <v>12</v>
      </c>
      <c r="C49" s="70" t="s">
        <v>121</v>
      </c>
      <c r="D49" s="26">
        <v>35</v>
      </c>
      <c r="E49" s="127" t="s">
        <v>539</v>
      </c>
      <c r="F49" s="25" t="s">
        <v>952</v>
      </c>
      <c r="G49" s="26"/>
    </row>
    <row r="50" spans="1:7" x14ac:dyDescent="0.25">
      <c r="A50" s="68">
        <v>45</v>
      </c>
      <c r="B50" s="69" t="s">
        <v>13</v>
      </c>
      <c r="C50" s="70" t="s">
        <v>4151</v>
      </c>
      <c r="D50" s="26" t="s">
        <v>16</v>
      </c>
      <c r="E50" s="126" t="s">
        <v>945</v>
      </c>
      <c r="F50" s="25" t="s">
        <v>951</v>
      </c>
      <c r="G50" s="26"/>
    </row>
    <row r="51" spans="1:7" x14ac:dyDescent="0.25">
      <c r="A51" s="68">
        <v>46</v>
      </c>
      <c r="B51" s="69" t="s">
        <v>35</v>
      </c>
      <c r="C51" s="70" t="s">
        <v>4152</v>
      </c>
      <c r="D51" s="26" t="s">
        <v>16</v>
      </c>
      <c r="E51" s="126" t="s">
        <v>945</v>
      </c>
      <c r="F51" s="25" t="s">
        <v>951</v>
      </c>
      <c r="G51" s="26"/>
    </row>
    <row r="52" spans="1:7" x14ac:dyDescent="0.25">
      <c r="A52" s="68">
        <v>47</v>
      </c>
      <c r="B52" s="69" t="s">
        <v>4113</v>
      </c>
      <c r="C52" s="70" t="s">
        <v>4153</v>
      </c>
      <c r="D52" s="26" t="s">
        <v>16</v>
      </c>
      <c r="E52" s="126" t="s">
        <v>945</v>
      </c>
      <c r="F52" s="25" t="s">
        <v>951</v>
      </c>
      <c r="G52" s="26"/>
    </row>
    <row r="53" spans="1:7" ht="30" x14ac:dyDescent="0.25">
      <c r="A53" s="68">
        <v>48</v>
      </c>
      <c r="B53" s="69" t="s">
        <v>4115</v>
      </c>
      <c r="C53" s="70" t="s">
        <v>4154</v>
      </c>
      <c r="D53" s="26" t="s">
        <v>16</v>
      </c>
      <c r="E53" s="126" t="s">
        <v>945</v>
      </c>
      <c r="F53" s="25" t="s">
        <v>951</v>
      </c>
      <c r="G53" s="26"/>
    </row>
    <row r="54" spans="1:7" x14ac:dyDescent="0.25">
      <c r="A54" s="68">
        <v>49</v>
      </c>
      <c r="B54" s="69" t="s">
        <v>4116</v>
      </c>
      <c r="C54" s="70" t="s">
        <v>122</v>
      </c>
      <c r="D54" s="26" t="s">
        <v>16</v>
      </c>
      <c r="E54" s="126" t="s">
        <v>945</v>
      </c>
      <c r="F54" s="25" t="s">
        <v>951</v>
      </c>
      <c r="G54" s="26"/>
    </row>
    <row r="55" spans="1:7" x14ac:dyDescent="0.25">
      <c r="A55" s="68">
        <v>50</v>
      </c>
      <c r="B55" s="69" t="s">
        <v>14</v>
      </c>
      <c r="C55" s="70" t="s">
        <v>119</v>
      </c>
      <c r="D55" s="26">
        <v>36</v>
      </c>
      <c r="E55" s="127" t="s">
        <v>540</v>
      </c>
      <c r="F55" s="25" t="s">
        <v>952</v>
      </c>
      <c r="G55" s="26"/>
    </row>
    <row r="56" spans="1:7" x14ac:dyDescent="0.25">
      <c r="A56" s="68">
        <v>51</v>
      </c>
      <c r="B56" s="71" t="s">
        <v>78</v>
      </c>
      <c r="C56" s="72" t="s">
        <v>100</v>
      </c>
      <c r="D56" s="26" t="s">
        <v>16</v>
      </c>
      <c r="E56" s="126" t="s">
        <v>946</v>
      </c>
      <c r="F56" s="25" t="s">
        <v>951</v>
      </c>
      <c r="G56" s="26"/>
    </row>
    <row r="57" spans="1:7" x14ac:dyDescent="0.25">
      <c r="A57" s="68">
        <v>52</v>
      </c>
      <c r="B57" s="69" t="s">
        <v>4117</v>
      </c>
      <c r="C57" s="70" t="s">
        <v>4135</v>
      </c>
      <c r="D57" s="26" t="s">
        <v>16</v>
      </c>
      <c r="E57" s="129" t="s">
        <v>942</v>
      </c>
      <c r="F57" s="25" t="s">
        <v>951</v>
      </c>
      <c r="G57" s="26"/>
    </row>
    <row r="58" spans="1:7" x14ac:dyDescent="0.25">
      <c r="A58" s="68">
        <v>53</v>
      </c>
      <c r="B58" s="69" t="s">
        <v>4118</v>
      </c>
      <c r="C58" s="70" t="s">
        <v>4136</v>
      </c>
      <c r="D58" s="26" t="s">
        <v>16</v>
      </c>
      <c r="E58" s="129" t="s">
        <v>942</v>
      </c>
      <c r="F58" s="25" t="s">
        <v>951</v>
      </c>
      <c r="G58" s="26"/>
    </row>
    <row r="59" spans="1:7" x14ac:dyDescent="0.25">
      <c r="A59" s="68">
        <v>54</v>
      </c>
      <c r="B59" s="69" t="s">
        <v>4119</v>
      </c>
      <c r="C59" s="70" t="s">
        <v>4137</v>
      </c>
      <c r="D59" s="26"/>
      <c r="E59" s="129" t="s">
        <v>942</v>
      </c>
      <c r="F59" s="25"/>
    </row>
    <row r="60" spans="1:7" x14ac:dyDescent="0.25">
      <c r="A60" s="68">
        <v>55</v>
      </c>
      <c r="B60" s="69" t="s">
        <v>4120</v>
      </c>
      <c r="C60" s="70" t="s">
        <v>4138</v>
      </c>
      <c r="D60" s="26"/>
      <c r="E60" s="129" t="s">
        <v>942</v>
      </c>
      <c r="F60" s="25"/>
    </row>
    <row r="61" spans="1:7" x14ac:dyDescent="0.25">
      <c r="A61" s="68">
        <v>56</v>
      </c>
      <c r="B61" s="69" t="s">
        <v>4121</v>
      </c>
      <c r="C61" s="70" t="s">
        <v>4139</v>
      </c>
      <c r="D61" s="26"/>
      <c r="E61" s="129" t="s">
        <v>942</v>
      </c>
      <c r="F61" s="25"/>
    </row>
    <row r="62" spans="1:7" x14ac:dyDescent="0.25">
      <c r="A62" s="68">
        <v>57</v>
      </c>
      <c r="B62" s="69" t="s">
        <v>4122</v>
      </c>
      <c r="C62" s="70" t="s">
        <v>4140</v>
      </c>
      <c r="D62" s="26"/>
      <c r="E62" s="129" t="s">
        <v>942</v>
      </c>
      <c r="F62" s="25"/>
    </row>
    <row r="63" spans="1:7" x14ac:dyDescent="0.25">
      <c r="A63" s="68">
        <v>58</v>
      </c>
      <c r="B63" s="69" t="s">
        <v>4123</v>
      </c>
      <c r="C63" s="70" t="s">
        <v>4141</v>
      </c>
      <c r="D63" s="26"/>
      <c r="E63" s="129" t="s">
        <v>942</v>
      </c>
      <c r="F63" s="25"/>
    </row>
    <row r="64" spans="1:7" x14ac:dyDescent="0.25">
      <c r="A64" s="68">
        <v>59</v>
      </c>
      <c r="B64" s="69" t="s">
        <v>4124</v>
      </c>
      <c r="C64" s="70" t="s">
        <v>4142</v>
      </c>
      <c r="D64" s="26"/>
      <c r="E64" s="129" t="s">
        <v>942</v>
      </c>
      <c r="F64" s="25"/>
    </row>
    <row r="65" spans="1:6" x14ac:dyDescent="0.25">
      <c r="A65" s="68">
        <v>60</v>
      </c>
      <c r="B65" s="69" t="s">
        <v>4125</v>
      </c>
      <c r="C65" s="70" t="s">
        <v>106</v>
      </c>
      <c r="D65" s="26"/>
      <c r="E65" s="129" t="s">
        <v>942</v>
      </c>
      <c r="F65" s="25"/>
    </row>
    <row r="66" spans="1:6" x14ac:dyDescent="0.25">
      <c r="A66" s="68">
        <v>61</v>
      </c>
      <c r="B66" s="69" t="s">
        <v>2221</v>
      </c>
      <c r="C66" s="70" t="s">
        <v>4130</v>
      </c>
      <c r="D66" s="26"/>
      <c r="E66" s="129" t="s">
        <v>4126</v>
      </c>
      <c r="F66" s="25"/>
    </row>
    <row r="67" spans="1:6" x14ac:dyDescent="0.25">
      <c r="A67" s="68">
        <v>62</v>
      </c>
      <c r="B67" s="69" t="s">
        <v>2220</v>
      </c>
      <c r="C67" s="70" t="s">
        <v>4130</v>
      </c>
      <c r="D67" s="26"/>
      <c r="E67" s="129" t="s">
        <v>4126</v>
      </c>
      <c r="F67" s="25"/>
    </row>
    <row r="68" spans="1:6" ht="30" x14ac:dyDescent="0.25">
      <c r="A68" s="68">
        <v>63</v>
      </c>
      <c r="B68" s="69" t="s">
        <v>2105</v>
      </c>
      <c r="C68" s="70" t="s">
        <v>4131</v>
      </c>
      <c r="D68" s="26"/>
      <c r="E68" s="129" t="s">
        <v>4127</v>
      </c>
      <c r="F68" s="25"/>
    </row>
    <row r="69" spans="1:6" ht="30" x14ac:dyDescent="0.25">
      <c r="A69" s="68">
        <v>64</v>
      </c>
      <c r="B69" s="69" t="s">
        <v>4111</v>
      </c>
      <c r="C69" s="70" t="s">
        <v>4132</v>
      </c>
      <c r="D69" s="26"/>
      <c r="E69" s="129" t="s">
        <v>4127</v>
      </c>
      <c r="F69" s="25"/>
    </row>
    <row r="70" spans="1:6" ht="30" x14ac:dyDescent="0.25">
      <c r="A70" s="68">
        <v>65</v>
      </c>
      <c r="B70" s="69" t="s">
        <v>2324</v>
      </c>
      <c r="C70" s="70" t="s">
        <v>4133</v>
      </c>
      <c r="D70" s="26"/>
      <c r="E70" s="129" t="s">
        <v>4127</v>
      </c>
      <c r="F70" s="25"/>
    </row>
    <row r="71" spans="1:6" x14ac:dyDescent="0.25">
      <c r="A71" s="68">
        <v>66</v>
      </c>
      <c r="B71" s="69" t="s">
        <v>1270</v>
      </c>
      <c r="C71" s="70" t="s">
        <v>4134</v>
      </c>
      <c r="D71" s="26"/>
      <c r="E71" s="129" t="s">
        <v>4127</v>
      </c>
      <c r="F71" s="25"/>
    </row>
    <row r="72" spans="1:6" x14ac:dyDescent="0.25">
      <c r="A72" s="68">
        <v>67</v>
      </c>
      <c r="B72" s="69" t="s">
        <v>2219</v>
      </c>
      <c r="C72" s="70" t="s">
        <v>4129</v>
      </c>
      <c r="D72" s="26"/>
      <c r="E72" s="129" t="s">
        <v>4128</v>
      </c>
      <c r="F72" s="25"/>
    </row>
    <row r="73" spans="1:6" x14ac:dyDescent="0.25">
      <c r="A73" s="68">
        <v>68</v>
      </c>
      <c r="B73" s="69" t="s">
        <v>4777</v>
      </c>
      <c r="C73" s="70" t="s">
        <v>4780</v>
      </c>
      <c r="D73" s="26"/>
      <c r="E73" s="129" t="s">
        <v>4127</v>
      </c>
      <c r="F73" s="25"/>
    </row>
    <row r="74" spans="1:6" x14ac:dyDescent="0.25">
      <c r="A74" s="68">
        <v>69</v>
      </c>
      <c r="B74" s="69" t="s">
        <v>4778</v>
      </c>
      <c r="C74" s="70" t="s">
        <v>4781</v>
      </c>
      <c r="D74" s="26"/>
      <c r="E74" s="129" t="s">
        <v>4127</v>
      </c>
      <c r="F74" s="25"/>
    </row>
    <row r="75" spans="1:6" x14ac:dyDescent="0.25">
      <c r="A75" s="68">
        <v>70</v>
      </c>
      <c r="B75" s="69" t="s">
        <v>4779</v>
      </c>
      <c r="C75" s="70" t="s">
        <v>4782</v>
      </c>
      <c r="D75" s="26"/>
      <c r="E75" s="129" t="s">
        <v>4127</v>
      </c>
      <c r="F75" s="25"/>
    </row>
    <row r="76" spans="1:6" x14ac:dyDescent="0.25">
      <c r="B76" s="73"/>
    </row>
    <row r="77" spans="1:6" x14ac:dyDescent="0.25">
      <c r="B77" s="73"/>
    </row>
    <row r="78" spans="1:6" x14ac:dyDescent="0.25">
      <c r="B78" s="73"/>
    </row>
    <row r="79" spans="1:6" x14ac:dyDescent="0.25">
      <c r="B79" s="73"/>
    </row>
    <row r="80" spans="1:6" x14ac:dyDescent="0.25">
      <c r="B80" s="73"/>
    </row>
    <row r="81" spans="2:2" x14ac:dyDescent="0.25">
      <c r="B81" s="73"/>
    </row>
    <row r="82" spans="2:2" x14ac:dyDescent="0.25">
      <c r="B82" s="73"/>
    </row>
    <row r="83" spans="2:2" x14ac:dyDescent="0.25">
      <c r="B83" s="73"/>
    </row>
    <row r="84" spans="2:2" x14ac:dyDescent="0.25">
      <c r="B84" s="73"/>
    </row>
    <row r="85" spans="2:2" x14ac:dyDescent="0.25">
      <c r="B85" s="73"/>
    </row>
    <row r="86" spans="2:2" x14ac:dyDescent="0.25">
      <c r="B86" s="73"/>
    </row>
    <row r="87" spans="2:2" x14ac:dyDescent="0.25">
      <c r="B87" s="73"/>
    </row>
    <row r="88" spans="2:2" x14ac:dyDescent="0.25">
      <c r="B88" s="73"/>
    </row>
    <row r="89" spans="2:2" x14ac:dyDescent="0.25">
      <c r="B89" s="73"/>
    </row>
    <row r="90" spans="2:2" x14ac:dyDescent="0.25">
      <c r="B90" s="73"/>
    </row>
    <row r="91" spans="2:2" x14ac:dyDescent="0.25">
      <c r="B91" s="73"/>
    </row>
    <row r="92" spans="2:2" x14ac:dyDescent="0.25">
      <c r="B92" s="73"/>
    </row>
    <row r="93" spans="2:2" x14ac:dyDescent="0.25">
      <c r="B93" s="73"/>
    </row>
    <row r="94" spans="2:2" x14ac:dyDescent="0.25">
      <c r="B94" s="73"/>
    </row>
    <row r="95" spans="2:2" x14ac:dyDescent="0.25">
      <c r="B95" s="73"/>
    </row>
    <row r="96" spans="2:2" x14ac:dyDescent="0.25">
      <c r="B96" s="73"/>
    </row>
    <row r="97" spans="2:2" x14ac:dyDescent="0.25">
      <c r="B97" s="73"/>
    </row>
    <row r="98" spans="2:2" x14ac:dyDescent="0.25">
      <c r="B98" s="73"/>
    </row>
    <row r="99" spans="2:2" x14ac:dyDescent="0.25">
      <c r="B99" s="73"/>
    </row>
    <row r="100" spans="2:2" x14ac:dyDescent="0.25">
      <c r="B100" s="73"/>
    </row>
    <row r="101" spans="2:2" x14ac:dyDescent="0.25">
      <c r="B101" s="73"/>
    </row>
    <row r="102" spans="2:2" x14ac:dyDescent="0.25">
      <c r="B102" s="73"/>
    </row>
    <row r="103" spans="2:2" x14ac:dyDescent="0.25">
      <c r="B103" s="73"/>
    </row>
    <row r="104" spans="2:2" x14ac:dyDescent="0.25">
      <c r="B104" s="73"/>
    </row>
    <row r="105" spans="2:2" x14ac:dyDescent="0.25">
      <c r="B105" s="73"/>
    </row>
    <row r="106" spans="2:2" x14ac:dyDescent="0.25">
      <c r="B106" s="73"/>
    </row>
    <row r="107" spans="2:2" x14ac:dyDescent="0.25">
      <c r="B107" s="73"/>
    </row>
    <row r="108" spans="2:2" x14ac:dyDescent="0.25">
      <c r="B108" s="73"/>
    </row>
    <row r="109" spans="2:2" x14ac:dyDescent="0.25">
      <c r="B109" s="73"/>
    </row>
    <row r="110" spans="2:2" x14ac:dyDescent="0.25">
      <c r="B110" s="73"/>
    </row>
    <row r="111" spans="2:2" x14ac:dyDescent="0.25">
      <c r="B111" s="73"/>
    </row>
    <row r="112" spans="2:2" x14ac:dyDescent="0.25">
      <c r="B112" s="73"/>
    </row>
    <row r="113" spans="2:2" x14ac:dyDescent="0.25">
      <c r="B113" s="73"/>
    </row>
    <row r="114" spans="2:2" x14ac:dyDescent="0.25">
      <c r="B114" s="73"/>
    </row>
    <row r="115" spans="2:2" x14ac:dyDescent="0.25">
      <c r="B115" s="73"/>
    </row>
    <row r="116" spans="2:2" x14ac:dyDescent="0.25">
      <c r="B116" s="73"/>
    </row>
    <row r="117" spans="2:2" x14ac:dyDescent="0.25">
      <c r="B117" s="73"/>
    </row>
    <row r="118" spans="2:2" x14ac:dyDescent="0.25">
      <c r="B118" s="73"/>
    </row>
    <row r="119" spans="2:2" x14ac:dyDescent="0.25">
      <c r="B119" s="73"/>
    </row>
    <row r="120" spans="2:2" x14ac:dyDescent="0.25">
      <c r="B120" s="73"/>
    </row>
    <row r="121" spans="2:2" x14ac:dyDescent="0.25">
      <c r="B121" s="73"/>
    </row>
    <row r="122" spans="2:2" x14ac:dyDescent="0.25">
      <c r="B122" s="73"/>
    </row>
    <row r="123" spans="2:2" x14ac:dyDescent="0.25">
      <c r="B123" s="73"/>
    </row>
    <row r="124" spans="2:2" x14ac:dyDescent="0.25">
      <c r="B124" s="73"/>
    </row>
    <row r="125" spans="2:2" x14ac:dyDescent="0.25">
      <c r="B125" s="73"/>
    </row>
    <row r="126" spans="2:2" x14ac:dyDescent="0.25">
      <c r="B126" s="73"/>
    </row>
    <row r="127" spans="2:2" x14ac:dyDescent="0.25">
      <c r="B127" s="73"/>
    </row>
    <row r="128" spans="2:2" x14ac:dyDescent="0.25">
      <c r="B128" s="73"/>
    </row>
    <row r="129" spans="2:2" x14ac:dyDescent="0.25">
      <c r="B129" s="73"/>
    </row>
    <row r="130" spans="2:2" x14ac:dyDescent="0.25">
      <c r="B130" s="73"/>
    </row>
    <row r="131" spans="2:2" x14ac:dyDescent="0.25">
      <c r="B131" s="73"/>
    </row>
    <row r="132" spans="2:2" x14ac:dyDescent="0.25">
      <c r="B132" s="73"/>
    </row>
    <row r="133" spans="2:2" x14ac:dyDescent="0.25">
      <c r="B133" s="73"/>
    </row>
    <row r="134" spans="2:2" x14ac:dyDescent="0.25">
      <c r="B134" s="73"/>
    </row>
    <row r="135" spans="2:2" x14ac:dyDescent="0.25">
      <c r="B135" s="73"/>
    </row>
    <row r="136" spans="2:2" x14ac:dyDescent="0.25">
      <c r="B136" s="73"/>
    </row>
    <row r="137" spans="2:2" x14ac:dyDescent="0.25">
      <c r="B137" s="73"/>
    </row>
    <row r="138" spans="2:2" x14ac:dyDescent="0.25">
      <c r="B138" s="73"/>
    </row>
    <row r="139" spans="2:2" x14ac:dyDescent="0.25">
      <c r="B139" s="73"/>
    </row>
    <row r="140" spans="2:2" x14ac:dyDescent="0.25">
      <c r="B140" s="73"/>
    </row>
    <row r="141" spans="2:2" x14ac:dyDescent="0.25">
      <c r="B141" s="73"/>
    </row>
    <row r="142" spans="2:2" x14ac:dyDescent="0.25">
      <c r="B142" s="73"/>
    </row>
    <row r="143" spans="2:2" x14ac:dyDescent="0.25">
      <c r="B143" s="73"/>
    </row>
    <row r="144" spans="2:2" x14ac:dyDescent="0.25">
      <c r="B144" s="73"/>
    </row>
    <row r="145" spans="2:2" x14ac:dyDescent="0.25">
      <c r="B145" s="73"/>
    </row>
    <row r="146" spans="2:2" x14ac:dyDescent="0.25">
      <c r="B146" s="73"/>
    </row>
    <row r="147" spans="2:2" x14ac:dyDescent="0.25">
      <c r="B147" s="73"/>
    </row>
    <row r="148" spans="2:2" x14ac:dyDescent="0.25">
      <c r="B148" s="73"/>
    </row>
    <row r="149" spans="2:2" x14ac:dyDescent="0.25">
      <c r="B149" s="73"/>
    </row>
    <row r="150" spans="2:2" x14ac:dyDescent="0.25">
      <c r="B150" s="73"/>
    </row>
    <row r="151" spans="2:2" x14ac:dyDescent="0.25">
      <c r="B151" s="73"/>
    </row>
    <row r="152" spans="2:2" x14ac:dyDescent="0.25">
      <c r="B152" s="73"/>
    </row>
    <row r="153" spans="2:2" x14ac:dyDescent="0.25">
      <c r="B153" s="73"/>
    </row>
    <row r="154" spans="2:2" x14ac:dyDescent="0.25">
      <c r="B154" s="73"/>
    </row>
    <row r="155" spans="2:2" x14ac:dyDescent="0.25">
      <c r="B155" s="73"/>
    </row>
    <row r="156" spans="2:2" x14ac:dyDescent="0.25">
      <c r="B156" s="73"/>
    </row>
    <row r="157" spans="2:2" x14ac:dyDescent="0.25">
      <c r="B157" s="73"/>
    </row>
    <row r="158" spans="2:2" x14ac:dyDescent="0.25">
      <c r="B158" s="73"/>
    </row>
    <row r="159" spans="2:2" x14ac:dyDescent="0.25">
      <c r="B159" s="73"/>
    </row>
    <row r="160" spans="2:2" x14ac:dyDescent="0.25">
      <c r="B160" s="73"/>
    </row>
    <row r="161" spans="2:2" x14ac:dyDescent="0.25">
      <c r="B161" s="73"/>
    </row>
    <row r="162" spans="2:2" x14ac:dyDescent="0.25">
      <c r="B162" s="73"/>
    </row>
    <row r="163" spans="2:2" x14ac:dyDescent="0.25">
      <c r="B163" s="73"/>
    </row>
    <row r="164" spans="2:2" x14ac:dyDescent="0.25">
      <c r="B164" s="73"/>
    </row>
    <row r="165" spans="2:2" x14ac:dyDescent="0.25">
      <c r="B165" s="73"/>
    </row>
    <row r="166" spans="2:2" x14ac:dyDescent="0.25">
      <c r="B166" s="73"/>
    </row>
    <row r="167" spans="2:2" x14ac:dyDescent="0.25">
      <c r="B167" s="73"/>
    </row>
    <row r="168" spans="2:2" x14ac:dyDescent="0.25">
      <c r="B168" s="73"/>
    </row>
    <row r="169" spans="2:2" x14ac:dyDescent="0.25">
      <c r="B169" s="73"/>
    </row>
    <row r="170" spans="2:2" x14ac:dyDescent="0.25">
      <c r="B170" s="73"/>
    </row>
    <row r="171" spans="2:2" x14ac:dyDescent="0.25">
      <c r="B171" s="73"/>
    </row>
    <row r="172" spans="2:2" x14ac:dyDescent="0.25">
      <c r="B172" s="73"/>
    </row>
    <row r="173" spans="2:2" x14ac:dyDescent="0.25">
      <c r="B173" s="73"/>
    </row>
    <row r="174" spans="2:2" x14ac:dyDescent="0.25">
      <c r="B174" s="73"/>
    </row>
    <row r="175" spans="2:2" x14ac:dyDescent="0.25">
      <c r="B175" s="73"/>
    </row>
    <row r="176" spans="2:2" x14ac:dyDescent="0.25">
      <c r="B176" s="73"/>
    </row>
    <row r="177" spans="2:2" x14ac:dyDescent="0.25">
      <c r="B177" s="73"/>
    </row>
    <row r="178" spans="2:2" x14ac:dyDescent="0.25">
      <c r="B178" s="73"/>
    </row>
    <row r="179" spans="2:2" x14ac:dyDescent="0.25">
      <c r="B179" s="73"/>
    </row>
    <row r="180" spans="2:2" x14ac:dyDescent="0.25">
      <c r="B180" s="73"/>
    </row>
    <row r="181" spans="2:2" x14ac:dyDescent="0.25">
      <c r="B181" s="73"/>
    </row>
    <row r="182" spans="2:2" x14ac:dyDescent="0.25">
      <c r="B182" s="73"/>
    </row>
    <row r="183" spans="2:2" x14ac:dyDescent="0.25">
      <c r="B183" s="73"/>
    </row>
    <row r="184" spans="2:2" x14ac:dyDescent="0.25">
      <c r="B184" s="73"/>
    </row>
    <row r="185" spans="2:2" x14ac:dyDescent="0.25">
      <c r="B185" s="73"/>
    </row>
    <row r="186" spans="2:2" x14ac:dyDescent="0.25">
      <c r="B186" s="73"/>
    </row>
    <row r="187" spans="2:2" x14ac:dyDescent="0.25">
      <c r="B187" s="73"/>
    </row>
    <row r="188" spans="2:2" x14ac:dyDescent="0.25">
      <c r="B188" s="73"/>
    </row>
    <row r="189" spans="2:2" x14ac:dyDescent="0.25">
      <c r="B189" s="73"/>
    </row>
    <row r="190" spans="2:2" x14ac:dyDescent="0.25">
      <c r="B190" s="73"/>
    </row>
    <row r="191" spans="2:2" x14ac:dyDescent="0.25">
      <c r="B191" s="73"/>
    </row>
    <row r="192" spans="2:2" x14ac:dyDescent="0.25">
      <c r="B192" s="73"/>
    </row>
    <row r="193" spans="2:2" x14ac:dyDescent="0.25">
      <c r="B193" s="73"/>
    </row>
    <row r="194" spans="2:2" x14ac:dyDescent="0.25">
      <c r="B194" s="73"/>
    </row>
    <row r="195" spans="2:2" x14ac:dyDescent="0.25">
      <c r="B195" s="73"/>
    </row>
    <row r="196" spans="2:2" x14ac:dyDescent="0.25">
      <c r="B196" s="73"/>
    </row>
    <row r="197" spans="2:2" x14ac:dyDescent="0.25">
      <c r="B197" s="73"/>
    </row>
    <row r="198" spans="2:2" x14ac:dyDescent="0.25">
      <c r="B198" s="73"/>
    </row>
    <row r="199" spans="2:2" x14ac:dyDescent="0.25">
      <c r="B199" s="73"/>
    </row>
    <row r="200" spans="2:2" x14ac:dyDescent="0.25">
      <c r="B200" s="73"/>
    </row>
    <row r="201" spans="2:2" x14ac:dyDescent="0.25">
      <c r="B201" s="73"/>
    </row>
    <row r="202" spans="2:2" x14ac:dyDescent="0.25">
      <c r="B202" s="73"/>
    </row>
    <row r="203" spans="2:2" x14ac:dyDescent="0.25">
      <c r="B203" s="73"/>
    </row>
    <row r="204" spans="2:2" x14ac:dyDescent="0.25">
      <c r="B204" s="73"/>
    </row>
    <row r="205" spans="2:2" x14ac:dyDescent="0.25">
      <c r="B205" s="73"/>
    </row>
    <row r="206" spans="2:2" x14ac:dyDescent="0.25">
      <c r="B206" s="73"/>
    </row>
    <row r="207" spans="2:2" x14ac:dyDescent="0.25">
      <c r="B207" s="73"/>
    </row>
    <row r="208" spans="2:2" x14ac:dyDescent="0.25">
      <c r="B208" s="73"/>
    </row>
    <row r="209" spans="2:2" x14ac:dyDescent="0.25">
      <c r="B209" s="73"/>
    </row>
    <row r="210" spans="2:2" x14ac:dyDescent="0.25">
      <c r="B210" s="73"/>
    </row>
    <row r="211" spans="2:2" x14ac:dyDescent="0.25">
      <c r="B211" s="73"/>
    </row>
    <row r="212" spans="2:2" x14ac:dyDescent="0.25">
      <c r="B212" s="73"/>
    </row>
    <row r="213" spans="2:2" x14ac:dyDescent="0.25">
      <c r="B213" s="73"/>
    </row>
    <row r="214" spans="2:2" x14ac:dyDescent="0.25">
      <c r="B214" s="73"/>
    </row>
    <row r="215" spans="2:2" x14ac:dyDescent="0.25">
      <c r="B215" s="73"/>
    </row>
    <row r="216" spans="2:2" x14ac:dyDescent="0.25">
      <c r="B216" s="73"/>
    </row>
    <row r="217" spans="2:2" x14ac:dyDescent="0.25">
      <c r="B217" s="73"/>
    </row>
    <row r="218" spans="2:2" x14ac:dyDescent="0.25">
      <c r="B218" s="73"/>
    </row>
    <row r="219" spans="2:2" x14ac:dyDescent="0.25">
      <c r="B219" s="73"/>
    </row>
    <row r="220" spans="2:2" x14ac:dyDescent="0.25">
      <c r="B220" s="73"/>
    </row>
    <row r="221" spans="2:2" x14ac:dyDescent="0.25">
      <c r="B221" s="73"/>
    </row>
    <row r="222" spans="2:2" x14ac:dyDescent="0.25">
      <c r="B222" s="73"/>
    </row>
    <row r="223" spans="2:2" x14ac:dyDescent="0.25">
      <c r="B223" s="73"/>
    </row>
    <row r="224" spans="2:2" x14ac:dyDescent="0.25">
      <c r="B224" s="73"/>
    </row>
    <row r="225" spans="2:2" x14ac:dyDescent="0.25">
      <c r="B225" s="73"/>
    </row>
    <row r="226" spans="2:2" x14ac:dyDescent="0.25">
      <c r="B226" s="73"/>
    </row>
    <row r="227" spans="2:2" x14ac:dyDescent="0.25">
      <c r="B227" s="73"/>
    </row>
    <row r="228" spans="2:2" x14ac:dyDescent="0.25">
      <c r="B228" s="73"/>
    </row>
    <row r="229" spans="2:2" x14ac:dyDescent="0.25">
      <c r="B229" s="73"/>
    </row>
    <row r="230" spans="2:2" x14ac:dyDescent="0.25">
      <c r="B230" s="73"/>
    </row>
    <row r="231" spans="2:2" x14ac:dyDescent="0.25">
      <c r="B231" s="73"/>
    </row>
    <row r="232" spans="2:2" x14ac:dyDescent="0.25">
      <c r="B232" s="73"/>
    </row>
    <row r="233" spans="2:2" x14ac:dyDescent="0.25">
      <c r="B233" s="73"/>
    </row>
    <row r="234" spans="2:2" x14ac:dyDescent="0.25">
      <c r="B234" s="73"/>
    </row>
    <row r="235" spans="2:2" x14ac:dyDescent="0.25">
      <c r="B235" s="73"/>
    </row>
    <row r="236" spans="2:2" x14ac:dyDescent="0.25">
      <c r="B236" s="73"/>
    </row>
    <row r="237" spans="2:2" x14ac:dyDescent="0.25">
      <c r="B237" s="73"/>
    </row>
    <row r="238" spans="2:2" x14ac:dyDescent="0.25">
      <c r="B238" s="73"/>
    </row>
    <row r="239" spans="2:2" x14ac:dyDescent="0.25">
      <c r="B239" s="73"/>
    </row>
    <row r="240" spans="2:2" x14ac:dyDescent="0.25">
      <c r="B240" s="73"/>
    </row>
    <row r="241" spans="2:2" x14ac:dyDescent="0.25">
      <c r="B241" s="73"/>
    </row>
    <row r="242" spans="2:2" x14ac:dyDescent="0.25">
      <c r="B242" s="73"/>
    </row>
    <row r="243" spans="2:2" x14ac:dyDescent="0.25">
      <c r="B243" s="73"/>
    </row>
    <row r="244" spans="2:2" x14ac:dyDescent="0.25">
      <c r="B244" s="73"/>
    </row>
    <row r="245" spans="2:2" x14ac:dyDescent="0.25">
      <c r="B245" s="73"/>
    </row>
    <row r="246" spans="2:2" x14ac:dyDescent="0.25">
      <c r="B246" s="73"/>
    </row>
    <row r="247" spans="2:2" x14ac:dyDescent="0.25">
      <c r="B247" s="73"/>
    </row>
    <row r="248" spans="2:2" x14ac:dyDescent="0.25">
      <c r="B248" s="73"/>
    </row>
    <row r="249" spans="2:2" x14ac:dyDescent="0.25">
      <c r="B249" s="73"/>
    </row>
    <row r="250" spans="2:2" x14ac:dyDescent="0.25">
      <c r="B250" s="73"/>
    </row>
    <row r="251" spans="2:2" x14ac:dyDescent="0.25">
      <c r="B251" s="73"/>
    </row>
    <row r="252" spans="2:2" x14ac:dyDescent="0.25">
      <c r="B252" s="73"/>
    </row>
    <row r="253" spans="2:2" x14ac:dyDescent="0.25">
      <c r="B253" s="73"/>
    </row>
    <row r="254" spans="2:2" x14ac:dyDescent="0.25">
      <c r="B254" s="73"/>
    </row>
    <row r="255" spans="2:2" x14ac:dyDescent="0.25">
      <c r="B255" s="73"/>
    </row>
    <row r="256" spans="2:2" x14ac:dyDescent="0.25">
      <c r="B256" s="73"/>
    </row>
    <row r="257" spans="2:2" x14ac:dyDescent="0.25">
      <c r="B257" s="73"/>
    </row>
    <row r="258" spans="2:2" x14ac:dyDescent="0.25">
      <c r="B258" s="73"/>
    </row>
    <row r="259" spans="2:2" x14ac:dyDescent="0.25">
      <c r="B259" s="73"/>
    </row>
    <row r="260" spans="2:2" x14ac:dyDescent="0.25">
      <c r="B260" s="73"/>
    </row>
    <row r="261" spans="2:2" x14ac:dyDescent="0.25">
      <c r="B261" s="73"/>
    </row>
    <row r="262" spans="2:2" x14ac:dyDescent="0.25">
      <c r="B262" s="73"/>
    </row>
    <row r="263" spans="2:2" x14ac:dyDescent="0.25">
      <c r="B263" s="73"/>
    </row>
    <row r="264" spans="2:2" x14ac:dyDescent="0.25">
      <c r="B264" s="73"/>
    </row>
    <row r="265" spans="2:2" x14ac:dyDescent="0.25">
      <c r="B265" s="73"/>
    </row>
    <row r="266" spans="2:2" x14ac:dyDescent="0.25">
      <c r="B266" s="73"/>
    </row>
    <row r="267" spans="2:2" x14ac:dyDescent="0.25">
      <c r="B267" s="73"/>
    </row>
    <row r="268" spans="2:2" x14ac:dyDescent="0.25">
      <c r="B268" s="73"/>
    </row>
    <row r="269" spans="2:2" x14ac:dyDescent="0.25">
      <c r="B269" s="73"/>
    </row>
    <row r="270" spans="2:2" x14ac:dyDescent="0.25">
      <c r="B270" s="73"/>
    </row>
    <row r="271" spans="2:2" x14ac:dyDescent="0.25">
      <c r="B271" s="73"/>
    </row>
    <row r="272" spans="2:2" x14ac:dyDescent="0.25">
      <c r="B272" s="73"/>
    </row>
    <row r="273" spans="2:2" x14ac:dyDescent="0.25">
      <c r="B273" s="73"/>
    </row>
    <row r="274" spans="2:2" x14ac:dyDescent="0.25">
      <c r="B274" s="73"/>
    </row>
    <row r="275" spans="2:2" x14ac:dyDescent="0.25">
      <c r="B275" s="73"/>
    </row>
    <row r="276" spans="2:2" x14ac:dyDescent="0.25">
      <c r="B276" s="73"/>
    </row>
    <row r="277" spans="2:2" x14ac:dyDescent="0.25">
      <c r="B277" s="73"/>
    </row>
    <row r="278" spans="2:2" x14ac:dyDescent="0.25">
      <c r="B278" s="73"/>
    </row>
    <row r="279" spans="2:2" x14ac:dyDescent="0.25">
      <c r="B279" s="73"/>
    </row>
    <row r="280" spans="2:2" x14ac:dyDescent="0.25">
      <c r="B280" s="73"/>
    </row>
    <row r="281" spans="2:2" x14ac:dyDescent="0.25">
      <c r="B281" s="73"/>
    </row>
    <row r="282" spans="2:2" x14ac:dyDescent="0.25">
      <c r="B282" s="73"/>
    </row>
    <row r="283" spans="2:2" x14ac:dyDescent="0.25">
      <c r="B283" s="73"/>
    </row>
    <row r="284" spans="2:2" x14ac:dyDescent="0.25">
      <c r="B284" s="73"/>
    </row>
    <row r="285" spans="2:2" x14ac:dyDescent="0.25">
      <c r="B285" s="73"/>
    </row>
    <row r="286" spans="2:2" x14ac:dyDescent="0.25">
      <c r="B286" s="73"/>
    </row>
    <row r="287" spans="2:2" x14ac:dyDescent="0.25">
      <c r="B287" s="73"/>
    </row>
    <row r="288" spans="2:2" x14ac:dyDescent="0.25">
      <c r="B288" s="73"/>
    </row>
    <row r="289" spans="2:2" x14ac:dyDescent="0.25">
      <c r="B289" s="73"/>
    </row>
    <row r="290" spans="2:2" x14ac:dyDescent="0.25">
      <c r="B290" s="73"/>
    </row>
    <row r="291" spans="2:2" x14ac:dyDescent="0.25">
      <c r="B291" s="73"/>
    </row>
    <row r="292" spans="2:2" x14ac:dyDescent="0.25">
      <c r="B292" s="73"/>
    </row>
    <row r="293" spans="2:2" x14ac:dyDescent="0.25">
      <c r="B293" s="73"/>
    </row>
    <row r="294" spans="2:2" x14ac:dyDescent="0.25">
      <c r="B294" s="73"/>
    </row>
    <row r="295" spans="2:2" x14ac:dyDescent="0.25">
      <c r="B295" s="73"/>
    </row>
    <row r="296" spans="2:2" x14ac:dyDescent="0.25">
      <c r="B296" s="73"/>
    </row>
    <row r="297" spans="2:2" x14ac:dyDescent="0.25">
      <c r="B297" s="73"/>
    </row>
    <row r="298" spans="2:2" x14ac:dyDescent="0.25">
      <c r="B298" s="73"/>
    </row>
    <row r="299" spans="2:2" x14ac:dyDescent="0.25">
      <c r="B299" s="73"/>
    </row>
    <row r="300" spans="2:2" x14ac:dyDescent="0.25">
      <c r="B300" s="73"/>
    </row>
    <row r="301" spans="2:2" x14ac:dyDescent="0.25">
      <c r="B301" s="73"/>
    </row>
    <row r="302" spans="2:2" x14ac:dyDescent="0.25">
      <c r="B302" s="73"/>
    </row>
    <row r="303" spans="2:2" x14ac:dyDescent="0.25">
      <c r="B303" s="73"/>
    </row>
    <row r="304" spans="2:2" x14ac:dyDescent="0.25">
      <c r="B304" s="73"/>
    </row>
    <row r="305" spans="2:2" x14ac:dyDescent="0.25">
      <c r="B305" s="73"/>
    </row>
    <row r="306" spans="2:2" x14ac:dyDescent="0.25">
      <c r="B306" s="73"/>
    </row>
    <row r="307" spans="2:2" x14ac:dyDescent="0.25">
      <c r="B307" s="73"/>
    </row>
    <row r="308" spans="2:2" x14ac:dyDescent="0.25">
      <c r="B308" s="73"/>
    </row>
    <row r="309" spans="2:2" x14ac:dyDescent="0.25">
      <c r="B309" s="73"/>
    </row>
    <row r="310" spans="2:2" x14ac:dyDescent="0.25">
      <c r="B310" s="73"/>
    </row>
    <row r="311" spans="2:2" x14ac:dyDescent="0.25">
      <c r="B311" s="73"/>
    </row>
    <row r="312" spans="2:2" x14ac:dyDescent="0.25">
      <c r="B312" s="73"/>
    </row>
    <row r="313" spans="2:2" x14ac:dyDescent="0.25">
      <c r="B313" s="73"/>
    </row>
    <row r="314" spans="2:2" x14ac:dyDescent="0.25">
      <c r="B314" s="73"/>
    </row>
    <row r="315" spans="2:2" x14ac:dyDescent="0.25">
      <c r="B315" s="73"/>
    </row>
    <row r="316" spans="2:2" x14ac:dyDescent="0.25">
      <c r="B316" s="73"/>
    </row>
    <row r="317" spans="2:2" x14ac:dyDescent="0.25">
      <c r="B317" s="73"/>
    </row>
    <row r="318" spans="2:2" x14ac:dyDescent="0.25">
      <c r="B318" s="73"/>
    </row>
    <row r="319" spans="2:2" x14ac:dyDescent="0.25">
      <c r="B319" s="73"/>
    </row>
    <row r="320" spans="2:2" x14ac:dyDescent="0.25">
      <c r="B320" s="73"/>
    </row>
    <row r="321" spans="2:2" x14ac:dyDescent="0.25">
      <c r="B321" s="73"/>
    </row>
    <row r="322" spans="2:2" x14ac:dyDescent="0.25">
      <c r="B322" s="73"/>
    </row>
    <row r="323" spans="2:2" x14ac:dyDescent="0.25">
      <c r="B323" s="73"/>
    </row>
    <row r="324" spans="2:2" x14ac:dyDescent="0.25">
      <c r="B324" s="73"/>
    </row>
    <row r="325" spans="2:2" x14ac:dyDescent="0.25">
      <c r="B325" s="73"/>
    </row>
    <row r="326" spans="2:2" x14ac:dyDescent="0.25">
      <c r="B326" s="73"/>
    </row>
    <row r="327" spans="2:2" x14ac:dyDescent="0.25">
      <c r="B327" s="73"/>
    </row>
    <row r="328" spans="2:2" x14ac:dyDescent="0.25">
      <c r="B328" s="73"/>
    </row>
    <row r="329" spans="2:2" x14ac:dyDescent="0.25">
      <c r="B329" s="73"/>
    </row>
    <row r="330" spans="2:2" x14ac:dyDescent="0.25">
      <c r="B330" s="73"/>
    </row>
    <row r="331" spans="2:2" x14ac:dyDescent="0.25">
      <c r="B331" s="73"/>
    </row>
    <row r="332" spans="2:2" x14ac:dyDescent="0.25">
      <c r="B332" s="73"/>
    </row>
    <row r="333" spans="2:2" x14ac:dyDescent="0.25">
      <c r="B333" s="73"/>
    </row>
    <row r="334" spans="2:2" x14ac:dyDescent="0.25">
      <c r="B334" s="73"/>
    </row>
    <row r="335" spans="2:2" x14ac:dyDescent="0.25">
      <c r="B335" s="73"/>
    </row>
    <row r="336" spans="2:2" x14ac:dyDescent="0.25">
      <c r="B336" s="73"/>
    </row>
    <row r="337" spans="2:2" x14ac:dyDescent="0.25">
      <c r="B337" s="73"/>
    </row>
    <row r="338" spans="2:2" x14ac:dyDescent="0.25">
      <c r="B338" s="73"/>
    </row>
    <row r="339" spans="2:2" x14ac:dyDescent="0.25">
      <c r="B339" s="73"/>
    </row>
    <row r="340" spans="2:2" x14ac:dyDescent="0.25">
      <c r="B340" s="73"/>
    </row>
    <row r="341" spans="2:2" x14ac:dyDescent="0.25">
      <c r="B341" s="73"/>
    </row>
    <row r="342" spans="2:2" x14ac:dyDescent="0.25">
      <c r="B342" s="73"/>
    </row>
    <row r="343" spans="2:2" x14ac:dyDescent="0.25">
      <c r="B343" s="73"/>
    </row>
    <row r="344" spans="2:2" x14ac:dyDescent="0.25">
      <c r="B344" s="73"/>
    </row>
    <row r="345" spans="2:2" x14ac:dyDescent="0.25">
      <c r="B345" s="73"/>
    </row>
    <row r="346" spans="2:2" x14ac:dyDescent="0.25">
      <c r="B346" s="73"/>
    </row>
    <row r="347" spans="2:2" x14ac:dyDescent="0.25">
      <c r="B347" s="73"/>
    </row>
    <row r="348" spans="2:2" x14ac:dyDescent="0.25">
      <c r="B348" s="73"/>
    </row>
    <row r="349" spans="2:2" x14ac:dyDescent="0.25">
      <c r="B349" s="73"/>
    </row>
    <row r="350" spans="2:2" x14ac:dyDescent="0.25">
      <c r="B350" s="73"/>
    </row>
    <row r="351" spans="2:2" x14ac:dyDescent="0.25">
      <c r="B351" s="73"/>
    </row>
    <row r="352" spans="2:2" x14ac:dyDescent="0.25">
      <c r="B352" s="73"/>
    </row>
    <row r="353" spans="2:2" x14ac:dyDescent="0.25">
      <c r="B353" s="73"/>
    </row>
    <row r="354" spans="2:2" x14ac:dyDescent="0.25">
      <c r="B354" s="73"/>
    </row>
    <row r="355" spans="2:2" x14ac:dyDescent="0.25">
      <c r="B355" s="73"/>
    </row>
    <row r="356" spans="2:2" x14ac:dyDescent="0.25">
      <c r="B356" s="73"/>
    </row>
    <row r="357" spans="2:2" x14ac:dyDescent="0.25">
      <c r="B357" s="73"/>
    </row>
    <row r="358" spans="2:2" x14ac:dyDescent="0.25">
      <c r="B358" s="73"/>
    </row>
    <row r="359" spans="2:2" x14ac:dyDescent="0.25">
      <c r="B359" s="73"/>
    </row>
    <row r="360" spans="2:2" x14ac:dyDescent="0.25">
      <c r="B360" s="73"/>
    </row>
    <row r="361" spans="2:2" x14ac:dyDescent="0.25">
      <c r="B361" s="73"/>
    </row>
    <row r="362" spans="2:2" x14ac:dyDescent="0.25">
      <c r="B362" s="73"/>
    </row>
    <row r="363" spans="2:2" x14ac:dyDescent="0.25">
      <c r="B363" s="73"/>
    </row>
    <row r="364" spans="2:2" x14ac:dyDescent="0.25">
      <c r="B364" s="73"/>
    </row>
    <row r="365" spans="2:2" x14ac:dyDescent="0.25">
      <c r="B365" s="73"/>
    </row>
    <row r="366" spans="2:2" x14ac:dyDescent="0.25">
      <c r="B366" s="73"/>
    </row>
    <row r="367" spans="2:2" x14ac:dyDescent="0.25">
      <c r="B367" s="73"/>
    </row>
    <row r="368" spans="2:2" x14ac:dyDescent="0.25">
      <c r="B368" s="73"/>
    </row>
    <row r="369" spans="2:2" x14ac:dyDescent="0.25">
      <c r="B369" s="73"/>
    </row>
    <row r="370" spans="2:2" x14ac:dyDescent="0.25">
      <c r="B370" s="73"/>
    </row>
    <row r="371" spans="2:2" x14ac:dyDescent="0.25">
      <c r="B371" s="73"/>
    </row>
    <row r="372" spans="2:2" x14ac:dyDescent="0.25">
      <c r="B372" s="73"/>
    </row>
    <row r="373" spans="2:2" x14ac:dyDescent="0.25">
      <c r="B373" s="73"/>
    </row>
    <row r="374" spans="2:2" x14ac:dyDescent="0.25">
      <c r="B374" s="73"/>
    </row>
    <row r="375" spans="2:2" x14ac:dyDescent="0.25">
      <c r="B375" s="73"/>
    </row>
    <row r="376" spans="2:2" x14ac:dyDescent="0.25">
      <c r="B376" s="73"/>
    </row>
    <row r="377" spans="2:2" x14ac:dyDescent="0.25">
      <c r="B377" s="73"/>
    </row>
    <row r="378" spans="2:2" x14ac:dyDescent="0.25">
      <c r="B378" s="73"/>
    </row>
    <row r="379" spans="2:2" x14ac:dyDescent="0.25">
      <c r="B379" s="73"/>
    </row>
    <row r="380" spans="2:2" x14ac:dyDescent="0.25">
      <c r="B380" s="73"/>
    </row>
    <row r="381" spans="2:2" x14ac:dyDescent="0.25">
      <c r="B381" s="73"/>
    </row>
    <row r="382" spans="2:2" x14ac:dyDescent="0.25">
      <c r="B382" s="73"/>
    </row>
    <row r="383" spans="2:2" x14ac:dyDescent="0.25">
      <c r="B383" s="73"/>
    </row>
    <row r="384" spans="2:2" x14ac:dyDescent="0.25">
      <c r="B384" s="73"/>
    </row>
    <row r="385" spans="2:2" x14ac:dyDescent="0.25">
      <c r="B385" s="73"/>
    </row>
    <row r="386" spans="2:2" x14ac:dyDescent="0.25">
      <c r="B386" s="73"/>
    </row>
    <row r="387" spans="2:2" x14ac:dyDescent="0.25">
      <c r="B387" s="73"/>
    </row>
    <row r="388" spans="2:2" x14ac:dyDescent="0.25">
      <c r="B388" s="73"/>
    </row>
    <row r="389" spans="2:2" x14ac:dyDescent="0.25">
      <c r="B389" s="73"/>
    </row>
    <row r="390" spans="2:2" x14ac:dyDescent="0.25">
      <c r="B390" s="73"/>
    </row>
    <row r="391" spans="2:2" x14ac:dyDescent="0.25">
      <c r="B391" s="73"/>
    </row>
    <row r="392" spans="2:2" x14ac:dyDescent="0.25">
      <c r="B392" s="73"/>
    </row>
    <row r="393" spans="2:2" x14ac:dyDescent="0.25">
      <c r="B393" s="73"/>
    </row>
    <row r="394" spans="2:2" x14ac:dyDescent="0.25">
      <c r="B394" s="73"/>
    </row>
    <row r="395" spans="2:2" x14ac:dyDescent="0.25">
      <c r="B395" s="73"/>
    </row>
    <row r="396" spans="2:2" x14ac:dyDescent="0.25">
      <c r="B396" s="73"/>
    </row>
    <row r="397" spans="2:2" x14ac:dyDescent="0.25">
      <c r="B397" s="73"/>
    </row>
    <row r="398" spans="2:2" x14ac:dyDescent="0.25">
      <c r="B398" s="73"/>
    </row>
    <row r="399" spans="2:2" x14ac:dyDescent="0.25">
      <c r="B399" s="73"/>
    </row>
    <row r="400" spans="2:2" x14ac:dyDescent="0.25">
      <c r="B400" s="73"/>
    </row>
    <row r="401" spans="2:2" x14ac:dyDescent="0.25">
      <c r="B401" s="73"/>
    </row>
    <row r="402" spans="2:2" x14ac:dyDescent="0.25">
      <c r="B402" s="73"/>
    </row>
    <row r="403" spans="2:2" x14ac:dyDescent="0.25">
      <c r="B403" s="73"/>
    </row>
    <row r="404" spans="2:2" x14ac:dyDescent="0.25">
      <c r="B404" s="73"/>
    </row>
    <row r="405" spans="2:2" x14ac:dyDescent="0.25">
      <c r="B405" s="73"/>
    </row>
    <row r="406" spans="2:2" x14ac:dyDescent="0.25">
      <c r="B406" s="73"/>
    </row>
    <row r="407" spans="2:2" x14ac:dyDescent="0.25">
      <c r="B407" s="73"/>
    </row>
    <row r="408" spans="2:2" x14ac:dyDescent="0.25">
      <c r="B408" s="73"/>
    </row>
    <row r="409" spans="2:2" x14ac:dyDescent="0.25">
      <c r="B409" s="73"/>
    </row>
    <row r="410" spans="2:2" x14ac:dyDescent="0.25">
      <c r="B410" s="73"/>
    </row>
    <row r="411" spans="2:2" x14ac:dyDescent="0.25">
      <c r="B411" s="73"/>
    </row>
    <row r="412" spans="2:2" x14ac:dyDescent="0.25">
      <c r="B412" s="73"/>
    </row>
    <row r="413" spans="2:2" x14ac:dyDescent="0.25">
      <c r="B413" s="73"/>
    </row>
    <row r="414" spans="2:2" x14ac:dyDescent="0.25">
      <c r="B414" s="73"/>
    </row>
    <row r="415" spans="2:2" x14ac:dyDescent="0.25">
      <c r="B415" s="73"/>
    </row>
    <row r="416" spans="2:2" x14ac:dyDescent="0.25">
      <c r="B416" s="73"/>
    </row>
    <row r="417" spans="2:2" x14ac:dyDescent="0.25">
      <c r="B417" s="73"/>
    </row>
    <row r="418" spans="2:2" x14ac:dyDescent="0.25">
      <c r="B418" s="73"/>
    </row>
    <row r="419" spans="2:2" x14ac:dyDescent="0.25">
      <c r="B419" s="73"/>
    </row>
    <row r="420" spans="2:2" x14ac:dyDescent="0.25">
      <c r="B420" s="73"/>
    </row>
    <row r="421" spans="2:2" x14ac:dyDescent="0.25">
      <c r="B421" s="73"/>
    </row>
    <row r="422" spans="2:2" x14ac:dyDescent="0.25">
      <c r="B422" s="73"/>
    </row>
    <row r="423" spans="2:2" x14ac:dyDescent="0.25">
      <c r="B423" s="73"/>
    </row>
    <row r="424" spans="2:2" x14ac:dyDescent="0.25">
      <c r="B424" s="73"/>
    </row>
    <row r="425" spans="2:2" x14ac:dyDescent="0.25">
      <c r="B425" s="73"/>
    </row>
    <row r="426" spans="2:2" x14ac:dyDescent="0.25">
      <c r="B426" s="73"/>
    </row>
    <row r="427" spans="2:2" x14ac:dyDescent="0.25">
      <c r="B427" s="73"/>
    </row>
    <row r="428" spans="2:2" x14ac:dyDescent="0.25">
      <c r="B428" s="73"/>
    </row>
    <row r="429" spans="2:2" x14ac:dyDescent="0.25">
      <c r="B429" s="73"/>
    </row>
    <row r="430" spans="2:2" x14ac:dyDescent="0.25">
      <c r="B430" s="73"/>
    </row>
    <row r="431" spans="2:2" x14ac:dyDescent="0.25">
      <c r="B431" s="73"/>
    </row>
    <row r="432" spans="2:2" x14ac:dyDescent="0.25">
      <c r="B432" s="73"/>
    </row>
    <row r="433" spans="2:2" x14ac:dyDescent="0.25">
      <c r="B433" s="73"/>
    </row>
    <row r="434" spans="2:2" x14ac:dyDescent="0.25">
      <c r="B434" s="73"/>
    </row>
    <row r="435" spans="2:2" x14ac:dyDescent="0.25">
      <c r="B435" s="73"/>
    </row>
    <row r="436" spans="2:2" x14ac:dyDescent="0.25">
      <c r="B436" s="73"/>
    </row>
    <row r="437" spans="2:2" x14ac:dyDescent="0.25">
      <c r="B437" s="73"/>
    </row>
    <row r="438" spans="2:2" x14ac:dyDescent="0.25">
      <c r="B438" s="73"/>
    </row>
    <row r="439" spans="2:2" x14ac:dyDescent="0.25">
      <c r="B439" s="73"/>
    </row>
    <row r="440" spans="2:2" x14ac:dyDescent="0.25">
      <c r="B440" s="73"/>
    </row>
    <row r="441" spans="2:2" x14ac:dyDescent="0.25">
      <c r="B441" s="73"/>
    </row>
    <row r="442" spans="2:2" x14ac:dyDescent="0.25">
      <c r="B442" s="73"/>
    </row>
    <row r="443" spans="2:2" x14ac:dyDescent="0.25">
      <c r="B443" s="73"/>
    </row>
    <row r="444" spans="2:2" x14ac:dyDescent="0.25">
      <c r="B444" s="73"/>
    </row>
    <row r="445" spans="2:2" x14ac:dyDescent="0.25">
      <c r="B445" s="73"/>
    </row>
    <row r="446" spans="2:2" x14ac:dyDescent="0.25">
      <c r="B446" s="73"/>
    </row>
    <row r="447" spans="2:2" x14ac:dyDescent="0.25">
      <c r="B447" s="73"/>
    </row>
    <row r="448" spans="2:2" x14ac:dyDescent="0.25">
      <c r="B448" s="73"/>
    </row>
    <row r="449" spans="2:2" x14ac:dyDescent="0.25">
      <c r="B449" s="73"/>
    </row>
    <row r="450" spans="2:2" x14ac:dyDescent="0.25">
      <c r="B450" s="73"/>
    </row>
    <row r="451" spans="2:2" x14ac:dyDescent="0.25">
      <c r="B451" s="73"/>
    </row>
    <row r="452" spans="2:2" x14ac:dyDescent="0.25">
      <c r="B452" s="73"/>
    </row>
    <row r="453" spans="2:2" x14ac:dyDescent="0.25">
      <c r="B453" s="73"/>
    </row>
    <row r="454" spans="2:2" x14ac:dyDescent="0.25">
      <c r="B454" s="73"/>
    </row>
    <row r="455" spans="2:2" x14ac:dyDescent="0.25">
      <c r="B455" s="73"/>
    </row>
    <row r="456" spans="2:2" x14ac:dyDescent="0.25">
      <c r="B456" s="73"/>
    </row>
    <row r="457" spans="2:2" x14ac:dyDescent="0.25">
      <c r="B457" s="73"/>
    </row>
    <row r="458" spans="2:2" x14ac:dyDescent="0.25">
      <c r="B458" s="73"/>
    </row>
    <row r="459" spans="2:2" x14ac:dyDescent="0.25">
      <c r="B459" s="73"/>
    </row>
    <row r="460" spans="2:2" x14ac:dyDescent="0.25">
      <c r="B460" s="73"/>
    </row>
    <row r="461" spans="2:2" x14ac:dyDescent="0.25">
      <c r="B461" s="73"/>
    </row>
    <row r="462" spans="2:2" x14ac:dyDescent="0.25">
      <c r="B462" s="73"/>
    </row>
    <row r="463" spans="2:2" x14ac:dyDescent="0.25">
      <c r="B463" s="73"/>
    </row>
    <row r="464" spans="2:2" x14ac:dyDescent="0.25">
      <c r="B464" s="73"/>
    </row>
    <row r="465" spans="2:2" x14ac:dyDescent="0.25">
      <c r="B465" s="73"/>
    </row>
    <row r="466" spans="2:2" x14ac:dyDescent="0.25">
      <c r="B466" s="73"/>
    </row>
    <row r="467" spans="2:2" x14ac:dyDescent="0.25">
      <c r="B467" s="73"/>
    </row>
    <row r="468" spans="2:2" x14ac:dyDescent="0.25">
      <c r="B468" s="73"/>
    </row>
    <row r="469" spans="2:2" x14ac:dyDescent="0.25">
      <c r="B469" s="73"/>
    </row>
    <row r="470" spans="2:2" x14ac:dyDescent="0.25">
      <c r="B470" s="73"/>
    </row>
    <row r="471" spans="2:2" x14ac:dyDescent="0.25">
      <c r="B471" s="73"/>
    </row>
    <row r="472" spans="2:2" x14ac:dyDescent="0.25">
      <c r="B472" s="73"/>
    </row>
    <row r="473" spans="2:2" x14ac:dyDescent="0.25">
      <c r="B473" s="73"/>
    </row>
    <row r="474" spans="2:2" x14ac:dyDescent="0.25">
      <c r="B474" s="73"/>
    </row>
    <row r="475" spans="2:2" x14ac:dyDescent="0.25">
      <c r="B475" s="73"/>
    </row>
    <row r="476" spans="2:2" x14ac:dyDescent="0.25">
      <c r="B476" s="73"/>
    </row>
    <row r="477" spans="2:2" x14ac:dyDescent="0.25">
      <c r="B477" s="73"/>
    </row>
    <row r="478" spans="2:2" x14ac:dyDescent="0.25">
      <c r="B478" s="73"/>
    </row>
    <row r="479" spans="2:2" x14ac:dyDescent="0.25">
      <c r="B479" s="73"/>
    </row>
    <row r="480" spans="2:2" x14ac:dyDescent="0.25">
      <c r="B480" s="73"/>
    </row>
    <row r="481" spans="2:2" x14ac:dyDescent="0.25">
      <c r="B481" s="73"/>
    </row>
    <row r="482" spans="2:2" x14ac:dyDescent="0.25">
      <c r="B482" s="73"/>
    </row>
    <row r="483" spans="2:2" x14ac:dyDescent="0.25">
      <c r="B483" s="73"/>
    </row>
    <row r="484" spans="2:2" x14ac:dyDescent="0.25">
      <c r="B484" s="73"/>
    </row>
    <row r="485" spans="2:2" x14ac:dyDescent="0.25">
      <c r="B485" s="73"/>
    </row>
    <row r="486" spans="2:2" x14ac:dyDescent="0.25">
      <c r="B486" s="73"/>
    </row>
    <row r="487" spans="2:2" x14ac:dyDescent="0.25">
      <c r="B487" s="73"/>
    </row>
    <row r="488" spans="2:2" x14ac:dyDescent="0.25">
      <c r="B488" s="73"/>
    </row>
    <row r="489" spans="2:2" x14ac:dyDescent="0.25">
      <c r="B489" s="73"/>
    </row>
    <row r="490" spans="2:2" x14ac:dyDescent="0.25">
      <c r="B490" s="73"/>
    </row>
    <row r="491" spans="2:2" x14ac:dyDescent="0.25">
      <c r="B491" s="73"/>
    </row>
    <row r="492" spans="2:2" x14ac:dyDescent="0.25">
      <c r="B492" s="73"/>
    </row>
    <row r="493" spans="2:2" x14ac:dyDescent="0.25">
      <c r="B493" s="73"/>
    </row>
    <row r="494" spans="2:2" x14ac:dyDescent="0.25">
      <c r="B494" s="73"/>
    </row>
    <row r="495" spans="2:2" x14ac:dyDescent="0.25">
      <c r="B495" s="73"/>
    </row>
    <row r="496" spans="2:2" x14ac:dyDescent="0.25">
      <c r="B496" s="73"/>
    </row>
    <row r="497" spans="2:2" x14ac:dyDescent="0.25">
      <c r="B497" s="73"/>
    </row>
    <row r="498" spans="2:2" x14ac:dyDescent="0.25">
      <c r="B498" s="73"/>
    </row>
    <row r="499" spans="2:2" x14ac:dyDescent="0.25">
      <c r="B499" s="73"/>
    </row>
    <row r="500" spans="2:2" x14ac:dyDescent="0.25">
      <c r="B500" s="73"/>
    </row>
    <row r="501" spans="2:2" x14ac:dyDescent="0.25">
      <c r="B501" s="73"/>
    </row>
    <row r="502" spans="2:2" x14ac:dyDescent="0.25">
      <c r="B502" s="73"/>
    </row>
    <row r="503" spans="2:2" x14ac:dyDescent="0.25">
      <c r="B503" s="73"/>
    </row>
    <row r="504" spans="2:2" x14ac:dyDescent="0.25">
      <c r="B504" s="73"/>
    </row>
    <row r="505" spans="2:2" x14ac:dyDescent="0.25">
      <c r="B505" s="73"/>
    </row>
    <row r="506" spans="2:2" x14ac:dyDescent="0.25">
      <c r="B506" s="73"/>
    </row>
    <row r="507" spans="2:2" x14ac:dyDescent="0.25">
      <c r="B507" s="73"/>
    </row>
    <row r="508" spans="2:2" x14ac:dyDescent="0.25">
      <c r="B508" s="73"/>
    </row>
    <row r="509" spans="2:2" x14ac:dyDescent="0.25">
      <c r="B509" s="73"/>
    </row>
    <row r="510" spans="2:2" x14ac:dyDescent="0.25">
      <c r="B510" s="73"/>
    </row>
    <row r="511" spans="2:2" x14ac:dyDescent="0.25">
      <c r="B511" s="73"/>
    </row>
    <row r="512" spans="2:2" x14ac:dyDescent="0.25">
      <c r="B512" s="73"/>
    </row>
    <row r="513" spans="2:2" x14ac:dyDescent="0.25">
      <c r="B513" s="73"/>
    </row>
    <row r="514" spans="2:2" x14ac:dyDescent="0.25">
      <c r="B514" s="73"/>
    </row>
    <row r="515" spans="2:2" x14ac:dyDescent="0.25">
      <c r="B515" s="73"/>
    </row>
    <row r="516" spans="2:2" x14ac:dyDescent="0.25">
      <c r="B516" s="73"/>
    </row>
    <row r="517" spans="2:2" x14ac:dyDescent="0.25">
      <c r="B517" s="73"/>
    </row>
    <row r="518" spans="2:2" x14ac:dyDescent="0.25">
      <c r="B518" s="73"/>
    </row>
    <row r="519" spans="2:2" x14ac:dyDescent="0.25">
      <c r="B519" s="73"/>
    </row>
    <row r="520" spans="2:2" x14ac:dyDescent="0.25">
      <c r="B520" s="73"/>
    </row>
    <row r="521" spans="2:2" x14ac:dyDescent="0.25">
      <c r="B521" s="73"/>
    </row>
    <row r="522" spans="2:2" x14ac:dyDescent="0.25">
      <c r="B522" s="73"/>
    </row>
    <row r="523" spans="2:2" x14ac:dyDescent="0.25">
      <c r="B523" s="73"/>
    </row>
    <row r="524" spans="2:2" x14ac:dyDescent="0.25">
      <c r="B524" s="73"/>
    </row>
    <row r="525" spans="2:2" x14ac:dyDescent="0.25">
      <c r="B525" s="73"/>
    </row>
    <row r="526" spans="2:2" x14ac:dyDescent="0.25">
      <c r="B526" s="73"/>
    </row>
    <row r="527" spans="2:2" x14ac:dyDescent="0.25">
      <c r="B527" s="73"/>
    </row>
    <row r="528" spans="2:2" x14ac:dyDescent="0.25">
      <c r="B528" s="73"/>
    </row>
    <row r="529" spans="2:2" x14ac:dyDescent="0.25">
      <c r="B529" s="73"/>
    </row>
    <row r="530" spans="2:2" x14ac:dyDescent="0.25">
      <c r="B530" s="73"/>
    </row>
    <row r="531" spans="2:2" x14ac:dyDescent="0.25">
      <c r="B531" s="73"/>
    </row>
    <row r="532" spans="2:2" x14ac:dyDescent="0.25">
      <c r="B532" s="73"/>
    </row>
    <row r="533" spans="2:2" x14ac:dyDescent="0.25">
      <c r="B533" s="73"/>
    </row>
    <row r="534" spans="2:2" x14ac:dyDescent="0.25">
      <c r="B534" s="73"/>
    </row>
    <row r="535" spans="2:2" x14ac:dyDescent="0.25">
      <c r="B535" s="73"/>
    </row>
    <row r="536" spans="2:2" x14ac:dyDescent="0.25">
      <c r="B536" s="73"/>
    </row>
    <row r="537" spans="2:2" x14ac:dyDescent="0.25">
      <c r="B537" s="73"/>
    </row>
    <row r="538" spans="2:2" x14ac:dyDescent="0.25">
      <c r="B538" s="73"/>
    </row>
    <row r="539" spans="2:2" x14ac:dyDescent="0.25">
      <c r="B539" s="73"/>
    </row>
    <row r="540" spans="2:2" x14ac:dyDescent="0.25">
      <c r="B540" s="73"/>
    </row>
    <row r="541" spans="2:2" x14ac:dyDescent="0.25">
      <c r="B541" s="73"/>
    </row>
    <row r="542" spans="2:2" x14ac:dyDescent="0.25">
      <c r="B542" s="73"/>
    </row>
    <row r="543" spans="2:2" x14ac:dyDescent="0.25">
      <c r="B543" s="73"/>
    </row>
    <row r="544" spans="2:2" x14ac:dyDescent="0.25">
      <c r="B544" s="73"/>
    </row>
    <row r="545" spans="2:2" x14ac:dyDescent="0.25">
      <c r="B545" s="73"/>
    </row>
    <row r="546" spans="2:2" x14ac:dyDescent="0.25">
      <c r="B546" s="73"/>
    </row>
    <row r="547" spans="2:2" x14ac:dyDescent="0.25">
      <c r="B547" s="73"/>
    </row>
    <row r="548" spans="2:2" x14ac:dyDescent="0.25">
      <c r="B548" s="73"/>
    </row>
    <row r="549" spans="2:2" x14ac:dyDescent="0.25">
      <c r="B549" s="73"/>
    </row>
    <row r="550" spans="2:2" x14ac:dyDescent="0.25">
      <c r="B550" s="73"/>
    </row>
    <row r="551" spans="2:2" x14ac:dyDescent="0.25">
      <c r="B551" s="73"/>
    </row>
    <row r="552" spans="2:2" x14ac:dyDescent="0.25">
      <c r="B552" s="73"/>
    </row>
    <row r="553" spans="2:2" x14ac:dyDescent="0.25">
      <c r="B553" s="73"/>
    </row>
    <row r="554" spans="2:2" x14ac:dyDescent="0.25">
      <c r="B554" s="73"/>
    </row>
    <row r="555" spans="2:2" x14ac:dyDescent="0.25">
      <c r="B555" s="73"/>
    </row>
    <row r="556" spans="2:2" x14ac:dyDescent="0.25">
      <c r="B556" s="73"/>
    </row>
    <row r="557" spans="2:2" x14ac:dyDescent="0.25">
      <c r="B557" s="73"/>
    </row>
    <row r="558" spans="2:2" x14ac:dyDescent="0.25">
      <c r="B558" s="73"/>
    </row>
    <row r="559" spans="2:2" x14ac:dyDescent="0.25">
      <c r="B559" s="73"/>
    </row>
    <row r="560" spans="2:2" x14ac:dyDescent="0.25">
      <c r="B560" s="73"/>
    </row>
    <row r="561" spans="2:2" x14ac:dyDescent="0.25">
      <c r="B561" s="73"/>
    </row>
    <row r="562" spans="2:2" x14ac:dyDescent="0.25">
      <c r="B562" s="73"/>
    </row>
    <row r="563" spans="2:2" x14ac:dyDescent="0.25">
      <c r="B563" s="73"/>
    </row>
    <row r="564" spans="2:2" x14ac:dyDescent="0.25">
      <c r="B564" s="73"/>
    </row>
    <row r="565" spans="2:2" x14ac:dyDescent="0.25">
      <c r="B565" s="73"/>
    </row>
    <row r="566" spans="2:2" x14ac:dyDescent="0.25">
      <c r="B566" s="73"/>
    </row>
    <row r="567" spans="2:2" x14ac:dyDescent="0.25">
      <c r="B567" s="73"/>
    </row>
    <row r="568" spans="2:2" x14ac:dyDescent="0.25">
      <c r="B568" s="73"/>
    </row>
    <row r="569" spans="2:2" x14ac:dyDescent="0.25">
      <c r="B569" s="73"/>
    </row>
    <row r="570" spans="2:2" x14ac:dyDescent="0.25">
      <c r="B570" s="73"/>
    </row>
    <row r="571" spans="2:2" x14ac:dyDescent="0.25">
      <c r="B571" s="73"/>
    </row>
    <row r="572" spans="2:2" x14ac:dyDescent="0.25">
      <c r="B572" s="73"/>
    </row>
    <row r="573" spans="2:2" x14ac:dyDescent="0.25">
      <c r="B573" s="73"/>
    </row>
    <row r="574" spans="2:2" x14ac:dyDescent="0.25">
      <c r="B574" s="73"/>
    </row>
    <row r="575" spans="2:2" x14ac:dyDescent="0.25">
      <c r="B575" s="73"/>
    </row>
    <row r="576" spans="2:2" x14ac:dyDescent="0.25">
      <c r="B576" s="73"/>
    </row>
    <row r="577" spans="2:2" x14ac:dyDescent="0.25">
      <c r="B577" s="73"/>
    </row>
    <row r="578" spans="2:2" x14ac:dyDescent="0.25">
      <c r="B578" s="73"/>
    </row>
    <row r="579" spans="2:2" x14ac:dyDescent="0.25">
      <c r="B579" s="73"/>
    </row>
    <row r="580" spans="2:2" x14ac:dyDescent="0.25">
      <c r="B580" s="73"/>
    </row>
    <row r="581" spans="2:2" x14ac:dyDescent="0.25">
      <c r="B581" s="73"/>
    </row>
    <row r="582" spans="2:2" x14ac:dyDescent="0.25">
      <c r="B582" s="73"/>
    </row>
    <row r="583" spans="2:2" x14ac:dyDescent="0.25">
      <c r="B583" s="73"/>
    </row>
    <row r="584" spans="2:2" x14ac:dyDescent="0.25">
      <c r="B584" s="73"/>
    </row>
    <row r="585" spans="2:2" x14ac:dyDescent="0.25">
      <c r="B585" s="73"/>
    </row>
    <row r="586" spans="2:2" x14ac:dyDescent="0.25">
      <c r="B586" s="73"/>
    </row>
    <row r="587" spans="2:2" x14ac:dyDescent="0.25">
      <c r="B587" s="73"/>
    </row>
    <row r="588" spans="2:2" x14ac:dyDescent="0.25">
      <c r="B588" s="73"/>
    </row>
    <row r="589" spans="2:2" x14ac:dyDescent="0.25">
      <c r="B589" s="73"/>
    </row>
    <row r="590" spans="2:2" x14ac:dyDescent="0.25">
      <c r="B590" s="73"/>
    </row>
    <row r="591" spans="2:2" x14ac:dyDescent="0.25">
      <c r="B591" s="73"/>
    </row>
    <row r="592" spans="2:2" x14ac:dyDescent="0.25">
      <c r="B592" s="73"/>
    </row>
    <row r="593" spans="2:2" x14ac:dyDescent="0.25">
      <c r="B593" s="73"/>
    </row>
    <row r="594" spans="2:2" x14ac:dyDescent="0.25">
      <c r="B594" s="73"/>
    </row>
    <row r="595" spans="2:2" x14ac:dyDescent="0.25">
      <c r="B595" s="73"/>
    </row>
    <row r="596" spans="2:2" x14ac:dyDescent="0.25">
      <c r="B596" s="73"/>
    </row>
    <row r="597" spans="2:2" x14ac:dyDescent="0.25">
      <c r="B597" s="73"/>
    </row>
    <row r="598" spans="2:2" x14ac:dyDescent="0.25">
      <c r="B598" s="73"/>
    </row>
    <row r="599" spans="2:2" x14ac:dyDescent="0.25">
      <c r="B599" s="73"/>
    </row>
    <row r="600" spans="2:2" x14ac:dyDescent="0.25">
      <c r="B600" s="73"/>
    </row>
    <row r="601" spans="2:2" x14ac:dyDescent="0.25">
      <c r="B601" s="73"/>
    </row>
    <row r="602" spans="2:2" x14ac:dyDescent="0.25">
      <c r="B602" s="73"/>
    </row>
    <row r="603" spans="2:2" x14ac:dyDescent="0.25">
      <c r="B603" s="73"/>
    </row>
    <row r="604" spans="2:2" x14ac:dyDescent="0.25">
      <c r="B604" s="73"/>
    </row>
    <row r="605" spans="2:2" x14ac:dyDescent="0.25">
      <c r="B605" s="73"/>
    </row>
    <row r="606" spans="2:2" x14ac:dyDescent="0.25">
      <c r="B606" s="73"/>
    </row>
    <row r="607" spans="2:2" x14ac:dyDescent="0.25">
      <c r="B607" s="73"/>
    </row>
    <row r="608" spans="2:2" x14ac:dyDescent="0.25">
      <c r="B608" s="73"/>
    </row>
    <row r="609" spans="2:2" x14ac:dyDescent="0.25">
      <c r="B609" s="73"/>
    </row>
    <row r="610" spans="2:2" x14ac:dyDescent="0.25">
      <c r="B610" s="73"/>
    </row>
    <row r="611" spans="2:2" x14ac:dyDescent="0.25">
      <c r="B611" s="73"/>
    </row>
    <row r="612" spans="2:2" x14ac:dyDescent="0.25">
      <c r="B612" s="73"/>
    </row>
    <row r="613" spans="2:2" x14ac:dyDescent="0.25">
      <c r="B613" s="73"/>
    </row>
    <row r="614" spans="2:2" x14ac:dyDescent="0.25">
      <c r="B614" s="73"/>
    </row>
    <row r="615" spans="2:2" x14ac:dyDescent="0.25">
      <c r="B615" s="73"/>
    </row>
    <row r="616" spans="2:2" x14ac:dyDescent="0.25">
      <c r="B616" s="73"/>
    </row>
    <row r="617" spans="2:2" x14ac:dyDescent="0.25">
      <c r="B617" s="73"/>
    </row>
    <row r="618" spans="2:2" x14ac:dyDescent="0.25">
      <c r="B618" s="73"/>
    </row>
    <row r="619" spans="2:2" x14ac:dyDescent="0.25">
      <c r="B619" s="73"/>
    </row>
    <row r="620" spans="2:2" x14ac:dyDescent="0.25">
      <c r="B620" s="73"/>
    </row>
    <row r="621" spans="2:2" x14ac:dyDescent="0.25">
      <c r="B621" s="73"/>
    </row>
    <row r="622" spans="2:2" x14ac:dyDescent="0.25">
      <c r="B622" s="73"/>
    </row>
    <row r="623" spans="2:2" x14ac:dyDescent="0.25">
      <c r="B623" s="73"/>
    </row>
    <row r="624" spans="2:2" x14ac:dyDescent="0.25">
      <c r="B624" s="73"/>
    </row>
    <row r="625" spans="2:2" x14ac:dyDescent="0.25">
      <c r="B625" s="73"/>
    </row>
    <row r="626" spans="2:2" x14ac:dyDescent="0.25">
      <c r="B626" s="73"/>
    </row>
    <row r="627" spans="2:2" x14ac:dyDescent="0.25">
      <c r="B627" s="73"/>
    </row>
    <row r="628" spans="2:2" x14ac:dyDescent="0.25">
      <c r="B628" s="73"/>
    </row>
    <row r="629" spans="2:2" x14ac:dyDescent="0.25">
      <c r="B629" s="73"/>
    </row>
    <row r="630" spans="2:2" x14ac:dyDescent="0.25">
      <c r="B630" s="73"/>
    </row>
    <row r="631" spans="2:2" x14ac:dyDescent="0.25">
      <c r="B631" s="73"/>
    </row>
    <row r="632" spans="2:2" x14ac:dyDescent="0.25">
      <c r="B632" s="73"/>
    </row>
    <row r="633" spans="2:2" x14ac:dyDescent="0.25">
      <c r="B633" s="73"/>
    </row>
    <row r="634" spans="2:2" x14ac:dyDescent="0.25">
      <c r="B634" s="73"/>
    </row>
    <row r="635" spans="2:2" x14ac:dyDescent="0.25">
      <c r="B635" s="73"/>
    </row>
    <row r="636" spans="2:2" x14ac:dyDescent="0.25">
      <c r="B636" s="73"/>
    </row>
    <row r="637" spans="2:2" x14ac:dyDescent="0.25">
      <c r="B637" s="73"/>
    </row>
    <row r="638" spans="2:2" x14ac:dyDescent="0.25">
      <c r="B638" s="73"/>
    </row>
    <row r="639" spans="2:2" x14ac:dyDescent="0.25">
      <c r="B639" s="73"/>
    </row>
    <row r="640" spans="2:2" x14ac:dyDescent="0.25">
      <c r="B640" s="73"/>
    </row>
    <row r="641" spans="2:2" x14ac:dyDescent="0.25">
      <c r="B641" s="73"/>
    </row>
    <row r="642" spans="2:2" x14ac:dyDescent="0.25">
      <c r="B642" s="73"/>
    </row>
    <row r="643" spans="2:2" x14ac:dyDescent="0.25">
      <c r="B643" s="73"/>
    </row>
    <row r="644" spans="2:2" x14ac:dyDescent="0.25">
      <c r="B644" s="73"/>
    </row>
    <row r="645" spans="2:2" x14ac:dyDescent="0.25">
      <c r="B645" s="73"/>
    </row>
    <row r="646" spans="2:2" x14ac:dyDescent="0.25">
      <c r="B646" s="73"/>
    </row>
    <row r="647" spans="2:2" x14ac:dyDescent="0.25">
      <c r="B647" s="73"/>
    </row>
    <row r="648" spans="2:2" x14ac:dyDescent="0.25">
      <c r="B648" s="73"/>
    </row>
    <row r="649" spans="2:2" x14ac:dyDescent="0.25">
      <c r="B649" s="73"/>
    </row>
    <row r="650" spans="2:2" x14ac:dyDescent="0.25">
      <c r="B650" s="73"/>
    </row>
    <row r="651" spans="2:2" x14ac:dyDescent="0.25">
      <c r="B651" s="73"/>
    </row>
    <row r="652" spans="2:2" x14ac:dyDescent="0.25">
      <c r="B652" s="73"/>
    </row>
    <row r="653" spans="2:2" x14ac:dyDescent="0.25">
      <c r="B653" s="73"/>
    </row>
    <row r="654" spans="2:2" x14ac:dyDescent="0.25">
      <c r="B654" s="73"/>
    </row>
    <row r="655" spans="2:2" x14ac:dyDescent="0.25">
      <c r="B655" s="73"/>
    </row>
    <row r="656" spans="2:2" x14ac:dyDescent="0.25">
      <c r="B656" s="73"/>
    </row>
    <row r="657" spans="2:2" x14ac:dyDescent="0.25">
      <c r="B657" s="73"/>
    </row>
    <row r="658" spans="2:2" x14ac:dyDescent="0.25">
      <c r="B658" s="73"/>
    </row>
    <row r="659" spans="2:2" x14ac:dyDescent="0.25">
      <c r="B659" s="73"/>
    </row>
    <row r="660" spans="2:2" x14ac:dyDescent="0.25">
      <c r="B660" s="73"/>
    </row>
    <row r="661" spans="2:2" x14ac:dyDescent="0.25">
      <c r="B661" s="73"/>
    </row>
    <row r="662" spans="2:2" x14ac:dyDescent="0.25">
      <c r="B662" s="73"/>
    </row>
    <row r="663" spans="2:2" x14ac:dyDescent="0.25">
      <c r="B663" s="73"/>
    </row>
    <row r="664" spans="2:2" x14ac:dyDescent="0.25">
      <c r="B664" s="73"/>
    </row>
    <row r="665" spans="2:2" x14ac:dyDescent="0.25">
      <c r="B665" s="73"/>
    </row>
    <row r="666" spans="2:2" x14ac:dyDescent="0.25">
      <c r="B666" s="73"/>
    </row>
    <row r="667" spans="2:2" x14ac:dyDescent="0.25">
      <c r="B667" s="73"/>
    </row>
    <row r="668" spans="2:2" x14ac:dyDescent="0.25">
      <c r="B668" s="73"/>
    </row>
    <row r="669" spans="2:2" x14ac:dyDescent="0.25">
      <c r="B669" s="73"/>
    </row>
    <row r="670" spans="2:2" x14ac:dyDescent="0.25">
      <c r="B670" s="73"/>
    </row>
    <row r="671" spans="2:2" x14ac:dyDescent="0.25">
      <c r="B671" s="73"/>
    </row>
    <row r="672" spans="2:2" x14ac:dyDescent="0.25">
      <c r="B672" s="73"/>
    </row>
    <row r="673" spans="2:2" x14ac:dyDescent="0.25">
      <c r="B673" s="73"/>
    </row>
    <row r="674" spans="2:2" x14ac:dyDescent="0.25">
      <c r="B674" s="73"/>
    </row>
    <row r="675" spans="2:2" x14ac:dyDescent="0.25">
      <c r="B675" s="73"/>
    </row>
    <row r="676" spans="2:2" x14ac:dyDescent="0.25">
      <c r="B676" s="73"/>
    </row>
    <row r="677" spans="2:2" x14ac:dyDescent="0.25">
      <c r="B677" s="73"/>
    </row>
    <row r="678" spans="2:2" x14ac:dyDescent="0.25">
      <c r="B678" s="73"/>
    </row>
    <row r="679" spans="2:2" x14ac:dyDescent="0.25">
      <c r="B679" s="73"/>
    </row>
    <row r="680" spans="2:2" x14ac:dyDescent="0.25">
      <c r="B680" s="73"/>
    </row>
    <row r="681" spans="2:2" x14ac:dyDescent="0.25">
      <c r="B681" s="73"/>
    </row>
    <row r="682" spans="2:2" x14ac:dyDescent="0.25">
      <c r="B682" s="73"/>
    </row>
    <row r="683" spans="2:2" x14ac:dyDescent="0.25">
      <c r="B683" s="73"/>
    </row>
    <row r="684" spans="2:2" x14ac:dyDescent="0.25">
      <c r="B684" s="73"/>
    </row>
    <row r="685" spans="2:2" x14ac:dyDescent="0.25">
      <c r="B685" s="73"/>
    </row>
    <row r="686" spans="2:2" x14ac:dyDescent="0.25">
      <c r="B686" s="73"/>
    </row>
    <row r="687" spans="2:2" x14ac:dyDescent="0.25">
      <c r="B687" s="73"/>
    </row>
    <row r="688" spans="2:2" x14ac:dyDescent="0.25">
      <c r="B688" s="73"/>
    </row>
    <row r="689" spans="2:2" x14ac:dyDescent="0.25">
      <c r="B689" s="73"/>
    </row>
    <row r="690" spans="2:2" x14ac:dyDescent="0.25">
      <c r="B690" s="73"/>
    </row>
    <row r="691" spans="2:2" x14ac:dyDescent="0.25">
      <c r="B691" s="73"/>
    </row>
    <row r="692" spans="2:2" x14ac:dyDescent="0.25">
      <c r="B692" s="73"/>
    </row>
    <row r="693" spans="2:2" x14ac:dyDescent="0.25">
      <c r="B693" s="73"/>
    </row>
    <row r="694" spans="2:2" x14ac:dyDescent="0.25">
      <c r="B694" s="73"/>
    </row>
    <row r="695" spans="2:2" x14ac:dyDescent="0.25">
      <c r="B695" s="73"/>
    </row>
    <row r="696" spans="2:2" x14ac:dyDescent="0.25">
      <c r="B696" s="73"/>
    </row>
    <row r="697" spans="2:2" x14ac:dyDescent="0.25">
      <c r="B697" s="73"/>
    </row>
    <row r="698" spans="2:2" x14ac:dyDescent="0.25">
      <c r="B698" s="73"/>
    </row>
    <row r="699" spans="2:2" x14ac:dyDescent="0.25">
      <c r="B699" s="73"/>
    </row>
    <row r="700" spans="2:2" x14ac:dyDescent="0.25">
      <c r="B700" s="73"/>
    </row>
    <row r="701" spans="2:2" x14ac:dyDescent="0.25">
      <c r="B701" s="73"/>
    </row>
    <row r="702" spans="2:2" x14ac:dyDescent="0.25">
      <c r="B702" s="73"/>
    </row>
    <row r="703" spans="2:2" x14ac:dyDescent="0.25">
      <c r="B703" s="73"/>
    </row>
    <row r="704" spans="2:2" x14ac:dyDescent="0.25">
      <c r="B704" s="73"/>
    </row>
    <row r="705" spans="2:2" x14ac:dyDescent="0.25">
      <c r="B705" s="73"/>
    </row>
    <row r="706" spans="2:2" x14ac:dyDescent="0.25">
      <c r="B706" s="73"/>
    </row>
    <row r="707" spans="2:2" x14ac:dyDescent="0.25">
      <c r="B707" s="73"/>
    </row>
    <row r="708" spans="2:2" x14ac:dyDescent="0.25">
      <c r="B708" s="73"/>
    </row>
    <row r="709" spans="2:2" x14ac:dyDescent="0.25">
      <c r="B709" s="73"/>
    </row>
    <row r="710" spans="2:2" x14ac:dyDescent="0.25">
      <c r="B710" s="73"/>
    </row>
    <row r="711" spans="2:2" x14ac:dyDescent="0.25">
      <c r="B711" s="73"/>
    </row>
    <row r="712" spans="2:2" x14ac:dyDescent="0.25">
      <c r="B712" s="73"/>
    </row>
    <row r="713" spans="2:2" x14ac:dyDescent="0.25">
      <c r="B713" s="73"/>
    </row>
    <row r="714" spans="2:2" x14ac:dyDescent="0.25">
      <c r="B714" s="73"/>
    </row>
    <row r="715" spans="2:2" x14ac:dyDescent="0.25">
      <c r="B715" s="73"/>
    </row>
    <row r="716" spans="2:2" x14ac:dyDescent="0.25">
      <c r="B716" s="73"/>
    </row>
    <row r="717" spans="2:2" x14ac:dyDescent="0.25">
      <c r="B717" s="73"/>
    </row>
    <row r="718" spans="2:2" x14ac:dyDescent="0.25">
      <c r="B718" s="73"/>
    </row>
    <row r="719" spans="2:2" x14ac:dyDescent="0.25">
      <c r="B719" s="73"/>
    </row>
    <row r="720" spans="2:2" x14ac:dyDescent="0.25">
      <c r="B720" s="73"/>
    </row>
    <row r="721" spans="2:2" x14ac:dyDescent="0.25">
      <c r="B721" s="73"/>
    </row>
    <row r="722" spans="2:2" x14ac:dyDescent="0.25">
      <c r="B722" s="73"/>
    </row>
    <row r="723" spans="2:2" x14ac:dyDescent="0.25">
      <c r="B723" s="73"/>
    </row>
    <row r="724" spans="2:2" x14ac:dyDescent="0.25">
      <c r="B724" s="73"/>
    </row>
    <row r="725" spans="2:2" x14ac:dyDescent="0.25">
      <c r="B725" s="73"/>
    </row>
    <row r="726" spans="2:2" x14ac:dyDescent="0.25">
      <c r="B726" s="73"/>
    </row>
    <row r="727" spans="2:2" x14ac:dyDescent="0.25">
      <c r="B727" s="73"/>
    </row>
    <row r="728" spans="2:2" x14ac:dyDescent="0.25">
      <c r="B728" s="73"/>
    </row>
    <row r="729" spans="2:2" x14ac:dyDescent="0.25">
      <c r="B729" s="73"/>
    </row>
    <row r="730" spans="2:2" x14ac:dyDescent="0.25">
      <c r="B730" s="73"/>
    </row>
    <row r="731" spans="2:2" x14ac:dyDescent="0.25">
      <c r="B731" s="73"/>
    </row>
    <row r="732" spans="2:2" x14ac:dyDescent="0.25">
      <c r="B732" s="73"/>
    </row>
    <row r="733" spans="2:2" x14ac:dyDescent="0.25">
      <c r="B733" s="73"/>
    </row>
    <row r="734" spans="2:2" x14ac:dyDescent="0.25">
      <c r="B734" s="73"/>
    </row>
    <row r="735" spans="2:2" x14ac:dyDescent="0.25">
      <c r="B735" s="73"/>
    </row>
    <row r="736" spans="2:2" x14ac:dyDescent="0.25">
      <c r="B736" s="73"/>
    </row>
    <row r="737" spans="2:2" x14ac:dyDescent="0.25">
      <c r="B737" s="73"/>
    </row>
    <row r="738" spans="2:2" x14ac:dyDescent="0.25">
      <c r="B738" s="73"/>
    </row>
    <row r="739" spans="2:2" x14ac:dyDescent="0.25">
      <c r="B739" s="73"/>
    </row>
    <row r="740" spans="2:2" x14ac:dyDescent="0.25">
      <c r="B740" s="73"/>
    </row>
    <row r="741" spans="2:2" x14ac:dyDescent="0.25">
      <c r="B741" s="73"/>
    </row>
    <row r="742" spans="2:2" x14ac:dyDescent="0.25">
      <c r="B742" s="73"/>
    </row>
    <row r="743" spans="2:2" x14ac:dyDescent="0.25">
      <c r="B743" s="73"/>
    </row>
    <row r="744" spans="2:2" x14ac:dyDescent="0.25">
      <c r="B744" s="73"/>
    </row>
    <row r="745" spans="2:2" x14ac:dyDescent="0.25">
      <c r="B745" s="73"/>
    </row>
    <row r="746" spans="2:2" x14ac:dyDescent="0.25">
      <c r="B746" s="73"/>
    </row>
    <row r="747" spans="2:2" x14ac:dyDescent="0.25">
      <c r="B747" s="73"/>
    </row>
    <row r="748" spans="2:2" x14ac:dyDescent="0.25">
      <c r="B748" s="73"/>
    </row>
    <row r="749" spans="2:2" x14ac:dyDescent="0.25">
      <c r="B749" s="73"/>
    </row>
    <row r="750" spans="2:2" x14ac:dyDescent="0.25">
      <c r="B750" s="73"/>
    </row>
    <row r="751" spans="2:2" x14ac:dyDescent="0.25">
      <c r="B751" s="73"/>
    </row>
    <row r="752" spans="2:2" x14ac:dyDescent="0.25">
      <c r="B752" s="73"/>
    </row>
    <row r="753" spans="2:2" x14ac:dyDescent="0.25">
      <c r="B753" s="73"/>
    </row>
    <row r="754" spans="2:2" x14ac:dyDescent="0.25">
      <c r="B754" s="73"/>
    </row>
    <row r="755" spans="2:2" x14ac:dyDescent="0.25">
      <c r="B755" s="73"/>
    </row>
    <row r="756" spans="2:2" x14ac:dyDescent="0.25">
      <c r="B756" s="73"/>
    </row>
    <row r="757" spans="2:2" x14ac:dyDescent="0.25">
      <c r="B757" s="73"/>
    </row>
    <row r="758" spans="2:2" x14ac:dyDescent="0.25">
      <c r="B758" s="73"/>
    </row>
    <row r="759" spans="2:2" x14ac:dyDescent="0.25">
      <c r="B759" s="73"/>
    </row>
    <row r="760" spans="2:2" x14ac:dyDescent="0.25">
      <c r="B760" s="73"/>
    </row>
    <row r="761" spans="2:2" x14ac:dyDescent="0.25">
      <c r="B761" s="73"/>
    </row>
    <row r="762" spans="2:2" x14ac:dyDescent="0.25">
      <c r="B762" s="73"/>
    </row>
    <row r="763" spans="2:2" x14ac:dyDescent="0.25">
      <c r="B763" s="73"/>
    </row>
    <row r="764" spans="2:2" x14ac:dyDescent="0.25">
      <c r="B764" s="73"/>
    </row>
    <row r="765" spans="2:2" x14ac:dyDescent="0.25">
      <c r="B765" s="73"/>
    </row>
    <row r="766" spans="2:2" x14ac:dyDescent="0.25">
      <c r="B766" s="73"/>
    </row>
    <row r="767" spans="2:2" x14ac:dyDescent="0.25">
      <c r="B767" s="73"/>
    </row>
    <row r="768" spans="2:2" x14ac:dyDescent="0.25">
      <c r="B768" s="73"/>
    </row>
    <row r="769" spans="2:2" x14ac:dyDescent="0.25">
      <c r="B769" s="73"/>
    </row>
    <row r="770" spans="2:2" x14ac:dyDescent="0.25">
      <c r="B770" s="73"/>
    </row>
    <row r="771" spans="2:2" x14ac:dyDescent="0.25">
      <c r="B771" s="73"/>
    </row>
    <row r="772" spans="2:2" x14ac:dyDescent="0.25">
      <c r="B772" s="73"/>
    </row>
    <row r="773" spans="2:2" x14ac:dyDescent="0.25">
      <c r="B773" s="73"/>
    </row>
    <row r="774" spans="2:2" x14ac:dyDescent="0.25">
      <c r="B774" s="73"/>
    </row>
    <row r="775" spans="2:2" x14ac:dyDescent="0.25">
      <c r="B775" s="73"/>
    </row>
    <row r="776" spans="2:2" x14ac:dyDescent="0.25">
      <c r="B776" s="73"/>
    </row>
    <row r="777" spans="2:2" x14ac:dyDescent="0.25">
      <c r="B777" s="73"/>
    </row>
    <row r="778" spans="2:2" x14ac:dyDescent="0.25">
      <c r="B778" s="73"/>
    </row>
    <row r="779" spans="2:2" x14ac:dyDescent="0.25">
      <c r="B779" s="73"/>
    </row>
    <row r="780" spans="2:2" x14ac:dyDescent="0.25">
      <c r="B780" s="73"/>
    </row>
    <row r="781" spans="2:2" x14ac:dyDescent="0.25">
      <c r="B781" s="73"/>
    </row>
    <row r="782" spans="2:2" x14ac:dyDescent="0.25">
      <c r="B782" s="73"/>
    </row>
    <row r="783" spans="2:2" x14ac:dyDescent="0.25">
      <c r="B783" s="73"/>
    </row>
    <row r="784" spans="2:2" x14ac:dyDescent="0.25">
      <c r="B784" s="73"/>
    </row>
    <row r="785" spans="2:2" x14ac:dyDescent="0.25">
      <c r="B785" s="73"/>
    </row>
    <row r="786" spans="2:2" x14ac:dyDescent="0.25">
      <c r="B786" s="73"/>
    </row>
    <row r="787" spans="2:2" x14ac:dyDescent="0.25">
      <c r="B787" s="73"/>
    </row>
    <row r="788" spans="2:2" x14ac:dyDescent="0.25">
      <c r="B788" s="73"/>
    </row>
    <row r="789" spans="2:2" x14ac:dyDescent="0.25">
      <c r="B789" s="73"/>
    </row>
    <row r="790" spans="2:2" x14ac:dyDescent="0.25">
      <c r="B790" s="73"/>
    </row>
    <row r="791" spans="2:2" x14ac:dyDescent="0.25">
      <c r="B791" s="73"/>
    </row>
    <row r="792" spans="2:2" x14ac:dyDescent="0.25">
      <c r="B792" s="73"/>
    </row>
    <row r="793" spans="2:2" x14ac:dyDescent="0.25">
      <c r="B793" s="73"/>
    </row>
    <row r="794" spans="2:2" x14ac:dyDescent="0.25">
      <c r="B794" s="73"/>
    </row>
    <row r="795" spans="2:2" x14ac:dyDescent="0.25">
      <c r="B795" s="73"/>
    </row>
    <row r="796" spans="2:2" x14ac:dyDescent="0.25">
      <c r="B796" s="73"/>
    </row>
    <row r="797" spans="2:2" x14ac:dyDescent="0.25">
      <c r="B797" s="73"/>
    </row>
    <row r="798" spans="2:2" x14ac:dyDescent="0.25">
      <c r="B798" s="73"/>
    </row>
    <row r="799" spans="2:2" x14ac:dyDescent="0.25">
      <c r="B799" s="73"/>
    </row>
    <row r="800" spans="2:2" x14ac:dyDescent="0.25">
      <c r="B800" s="73"/>
    </row>
    <row r="801" spans="2:2" x14ac:dyDescent="0.25">
      <c r="B801" s="73"/>
    </row>
    <row r="802" spans="2:2" x14ac:dyDescent="0.25">
      <c r="B802" s="73"/>
    </row>
    <row r="803" spans="2:2" x14ac:dyDescent="0.25">
      <c r="B803" s="73"/>
    </row>
    <row r="804" spans="2:2" x14ac:dyDescent="0.25">
      <c r="B804" s="73"/>
    </row>
    <row r="805" spans="2:2" x14ac:dyDescent="0.25">
      <c r="B805" s="73"/>
    </row>
    <row r="806" spans="2:2" x14ac:dyDescent="0.25">
      <c r="B806" s="73"/>
    </row>
    <row r="807" spans="2:2" x14ac:dyDescent="0.25">
      <c r="B807" s="73"/>
    </row>
    <row r="808" spans="2:2" x14ac:dyDescent="0.25">
      <c r="B808" s="73"/>
    </row>
    <row r="809" spans="2:2" x14ac:dyDescent="0.25">
      <c r="B809" s="73"/>
    </row>
    <row r="810" spans="2:2" x14ac:dyDescent="0.25">
      <c r="B810" s="73"/>
    </row>
    <row r="811" spans="2:2" x14ac:dyDescent="0.25">
      <c r="B811" s="73"/>
    </row>
    <row r="812" spans="2:2" x14ac:dyDescent="0.25">
      <c r="B812" s="73"/>
    </row>
    <row r="813" spans="2:2" x14ac:dyDescent="0.25">
      <c r="B813" s="73"/>
    </row>
    <row r="814" spans="2:2" x14ac:dyDescent="0.25">
      <c r="B814" s="73"/>
    </row>
    <row r="815" spans="2:2" x14ac:dyDescent="0.25">
      <c r="B815" s="73"/>
    </row>
    <row r="816" spans="2:2" x14ac:dyDescent="0.25">
      <c r="B816" s="73"/>
    </row>
    <row r="817" spans="2:2" x14ac:dyDescent="0.25">
      <c r="B817" s="73"/>
    </row>
    <row r="818" spans="2:2" x14ac:dyDescent="0.25">
      <c r="B818" s="73"/>
    </row>
    <row r="819" spans="2:2" x14ac:dyDescent="0.25">
      <c r="B819" s="73"/>
    </row>
    <row r="820" spans="2:2" x14ac:dyDescent="0.25">
      <c r="B820" s="73"/>
    </row>
    <row r="821" spans="2:2" x14ac:dyDescent="0.25">
      <c r="B821" s="73"/>
    </row>
    <row r="822" spans="2:2" x14ac:dyDescent="0.25">
      <c r="B822" s="73"/>
    </row>
    <row r="823" spans="2:2" x14ac:dyDescent="0.25">
      <c r="B823" s="73"/>
    </row>
    <row r="824" spans="2:2" x14ac:dyDescent="0.25">
      <c r="B824" s="73"/>
    </row>
    <row r="825" spans="2:2" x14ac:dyDescent="0.25">
      <c r="B825" s="73"/>
    </row>
    <row r="826" spans="2:2" x14ac:dyDescent="0.25">
      <c r="B826" s="73"/>
    </row>
    <row r="827" spans="2:2" x14ac:dyDescent="0.25">
      <c r="B827" s="73"/>
    </row>
    <row r="828" spans="2:2" x14ac:dyDescent="0.25">
      <c r="B828" s="73"/>
    </row>
    <row r="829" spans="2:2" x14ac:dyDescent="0.25">
      <c r="B829" s="73"/>
    </row>
    <row r="830" spans="2:2" x14ac:dyDescent="0.25">
      <c r="B830" s="73"/>
    </row>
    <row r="831" spans="2:2" x14ac:dyDescent="0.25">
      <c r="B831" s="73"/>
    </row>
    <row r="832" spans="2:2" x14ac:dyDescent="0.25">
      <c r="B832" s="73"/>
    </row>
    <row r="833" spans="2:2" x14ac:dyDescent="0.25">
      <c r="B833" s="73"/>
    </row>
    <row r="834" spans="2:2" x14ac:dyDescent="0.25">
      <c r="B834" s="73"/>
    </row>
    <row r="835" spans="2:2" x14ac:dyDescent="0.25">
      <c r="B835" s="73"/>
    </row>
    <row r="836" spans="2:2" x14ac:dyDescent="0.25">
      <c r="B836" s="73"/>
    </row>
    <row r="837" spans="2:2" x14ac:dyDescent="0.25">
      <c r="B837" s="73"/>
    </row>
    <row r="838" spans="2:2" x14ac:dyDescent="0.25">
      <c r="B838" s="73"/>
    </row>
    <row r="839" spans="2:2" x14ac:dyDescent="0.25">
      <c r="B839" s="73"/>
    </row>
    <row r="840" spans="2:2" x14ac:dyDescent="0.25">
      <c r="B840" s="73"/>
    </row>
    <row r="841" spans="2:2" x14ac:dyDescent="0.25">
      <c r="B841" s="73"/>
    </row>
    <row r="842" spans="2:2" x14ac:dyDescent="0.25">
      <c r="B842" s="73"/>
    </row>
    <row r="843" spans="2:2" x14ac:dyDescent="0.25">
      <c r="B843" s="73"/>
    </row>
    <row r="844" spans="2:2" x14ac:dyDescent="0.25">
      <c r="B844" s="73"/>
    </row>
    <row r="845" spans="2:2" x14ac:dyDescent="0.25">
      <c r="B845" s="73"/>
    </row>
    <row r="846" spans="2:2" x14ac:dyDescent="0.25">
      <c r="B846" s="73"/>
    </row>
    <row r="847" spans="2:2" x14ac:dyDescent="0.25">
      <c r="B847" s="73"/>
    </row>
    <row r="848" spans="2:2" x14ac:dyDescent="0.25">
      <c r="B848" s="73"/>
    </row>
    <row r="849" spans="2:2" x14ac:dyDescent="0.25">
      <c r="B849" s="73"/>
    </row>
    <row r="850" spans="2:2" x14ac:dyDescent="0.25">
      <c r="B850" s="73"/>
    </row>
    <row r="851" spans="2:2" x14ac:dyDescent="0.25">
      <c r="B851" s="73"/>
    </row>
    <row r="852" spans="2:2" x14ac:dyDescent="0.25">
      <c r="B852" s="73"/>
    </row>
    <row r="853" spans="2:2" x14ac:dyDescent="0.25">
      <c r="B853" s="73"/>
    </row>
    <row r="854" spans="2:2" x14ac:dyDescent="0.25">
      <c r="B854" s="73"/>
    </row>
    <row r="855" spans="2:2" x14ac:dyDescent="0.25">
      <c r="B855" s="73"/>
    </row>
    <row r="856" spans="2:2" x14ac:dyDescent="0.25">
      <c r="B856" s="73"/>
    </row>
    <row r="857" spans="2:2" x14ac:dyDescent="0.25">
      <c r="B857" s="73"/>
    </row>
    <row r="858" spans="2:2" x14ac:dyDescent="0.25">
      <c r="B858" s="73"/>
    </row>
    <row r="859" spans="2:2" x14ac:dyDescent="0.25">
      <c r="B859" s="73"/>
    </row>
    <row r="860" spans="2:2" x14ac:dyDescent="0.25">
      <c r="B860" s="73"/>
    </row>
    <row r="861" spans="2:2" x14ac:dyDescent="0.25">
      <c r="B861" s="73"/>
    </row>
    <row r="862" spans="2:2" x14ac:dyDescent="0.25">
      <c r="B862" s="73"/>
    </row>
    <row r="863" spans="2:2" x14ac:dyDescent="0.25">
      <c r="B863" s="73"/>
    </row>
    <row r="864" spans="2:2" x14ac:dyDescent="0.25">
      <c r="B864" s="73"/>
    </row>
    <row r="865" spans="2:2" x14ac:dyDescent="0.25">
      <c r="B865" s="73"/>
    </row>
    <row r="866" spans="2:2" x14ac:dyDescent="0.25">
      <c r="B866" s="73"/>
    </row>
    <row r="867" spans="2:2" x14ac:dyDescent="0.25">
      <c r="B867" s="73"/>
    </row>
    <row r="868" spans="2:2" x14ac:dyDescent="0.25">
      <c r="B868" s="73"/>
    </row>
    <row r="869" spans="2:2" x14ac:dyDescent="0.25">
      <c r="B869" s="73"/>
    </row>
    <row r="870" spans="2:2" x14ac:dyDescent="0.25">
      <c r="B870" s="73"/>
    </row>
    <row r="871" spans="2:2" x14ac:dyDescent="0.25">
      <c r="B871" s="73"/>
    </row>
    <row r="872" spans="2:2" x14ac:dyDescent="0.25">
      <c r="B872" s="73"/>
    </row>
    <row r="873" spans="2:2" x14ac:dyDescent="0.25">
      <c r="B873" s="73"/>
    </row>
    <row r="874" spans="2:2" x14ac:dyDescent="0.25">
      <c r="B874" s="73"/>
    </row>
    <row r="875" spans="2:2" x14ac:dyDescent="0.25">
      <c r="B875" s="73"/>
    </row>
    <row r="876" spans="2:2" x14ac:dyDescent="0.25">
      <c r="B876" s="73"/>
    </row>
    <row r="877" spans="2:2" x14ac:dyDescent="0.25">
      <c r="B877" s="73"/>
    </row>
    <row r="878" spans="2:2" x14ac:dyDescent="0.25">
      <c r="B878" s="73"/>
    </row>
    <row r="879" spans="2:2" x14ac:dyDescent="0.25">
      <c r="B879" s="73"/>
    </row>
    <row r="880" spans="2:2" x14ac:dyDescent="0.25">
      <c r="B880" s="73"/>
    </row>
    <row r="881" spans="2:2" x14ac:dyDescent="0.25">
      <c r="B881" s="73"/>
    </row>
    <row r="882" spans="2:2" x14ac:dyDescent="0.25">
      <c r="B882" s="73"/>
    </row>
    <row r="883" spans="2:2" x14ac:dyDescent="0.25">
      <c r="B883" s="73"/>
    </row>
    <row r="884" spans="2:2" x14ac:dyDescent="0.25">
      <c r="B884" s="73"/>
    </row>
    <row r="885" spans="2:2" x14ac:dyDescent="0.25">
      <c r="B885" s="73"/>
    </row>
    <row r="886" spans="2:2" x14ac:dyDescent="0.25">
      <c r="B886" s="73"/>
    </row>
    <row r="887" spans="2:2" x14ac:dyDescent="0.25">
      <c r="B887" s="73"/>
    </row>
    <row r="888" spans="2:2" x14ac:dyDescent="0.25">
      <c r="B888" s="73"/>
    </row>
    <row r="889" spans="2:2" x14ac:dyDescent="0.25">
      <c r="B889" s="73"/>
    </row>
    <row r="890" spans="2:2" x14ac:dyDescent="0.25">
      <c r="B890" s="73"/>
    </row>
    <row r="891" spans="2:2" x14ac:dyDescent="0.25">
      <c r="B891" s="73"/>
    </row>
    <row r="892" spans="2:2" x14ac:dyDescent="0.25">
      <c r="B892" s="73"/>
    </row>
    <row r="893" spans="2:2" x14ac:dyDescent="0.25">
      <c r="B893" s="73"/>
    </row>
    <row r="894" spans="2:2" x14ac:dyDescent="0.25">
      <c r="B894" s="73"/>
    </row>
    <row r="895" spans="2:2" x14ac:dyDescent="0.25">
      <c r="B895" s="73"/>
    </row>
    <row r="896" spans="2:2" x14ac:dyDescent="0.25">
      <c r="B896" s="73"/>
    </row>
    <row r="897" spans="2:2" x14ac:dyDescent="0.25">
      <c r="B897" s="73"/>
    </row>
    <row r="898" spans="2:2" x14ac:dyDescent="0.25">
      <c r="B898" s="73"/>
    </row>
    <row r="899" spans="2:2" x14ac:dyDescent="0.25">
      <c r="B899" s="73"/>
    </row>
    <row r="900" spans="2:2" x14ac:dyDescent="0.25">
      <c r="B900" s="73"/>
    </row>
    <row r="901" spans="2:2" x14ac:dyDescent="0.25">
      <c r="B901" s="73"/>
    </row>
    <row r="902" spans="2:2" x14ac:dyDescent="0.25">
      <c r="B902" s="73"/>
    </row>
    <row r="903" spans="2:2" x14ac:dyDescent="0.25">
      <c r="B903" s="73"/>
    </row>
    <row r="904" spans="2:2" x14ac:dyDescent="0.25">
      <c r="B904" s="73"/>
    </row>
    <row r="905" spans="2:2" x14ac:dyDescent="0.25">
      <c r="B905" s="73"/>
    </row>
    <row r="906" spans="2:2" x14ac:dyDescent="0.25">
      <c r="B906" s="73"/>
    </row>
    <row r="907" spans="2:2" x14ac:dyDescent="0.25">
      <c r="B907" s="73"/>
    </row>
    <row r="908" spans="2:2" x14ac:dyDescent="0.25">
      <c r="B908" s="73"/>
    </row>
    <row r="909" spans="2:2" x14ac:dyDescent="0.25">
      <c r="B909" s="73"/>
    </row>
    <row r="910" spans="2:2" x14ac:dyDescent="0.25">
      <c r="B910" s="73"/>
    </row>
    <row r="911" spans="2:2" x14ac:dyDescent="0.25">
      <c r="B911" s="73"/>
    </row>
    <row r="912" spans="2:2" x14ac:dyDescent="0.25">
      <c r="B912" s="73"/>
    </row>
    <row r="913" spans="2:2" x14ac:dyDescent="0.25">
      <c r="B913" s="73"/>
    </row>
    <row r="914" spans="2:2" x14ac:dyDescent="0.25">
      <c r="B914" s="73"/>
    </row>
    <row r="915" spans="2:2" x14ac:dyDescent="0.25">
      <c r="B915" s="73"/>
    </row>
    <row r="916" spans="2:2" x14ac:dyDescent="0.25">
      <c r="B916" s="73"/>
    </row>
    <row r="917" spans="2:2" x14ac:dyDescent="0.25">
      <c r="B917" s="73"/>
    </row>
    <row r="918" spans="2:2" x14ac:dyDescent="0.25">
      <c r="B918" s="73"/>
    </row>
    <row r="919" spans="2:2" x14ac:dyDescent="0.25">
      <c r="B919" s="73"/>
    </row>
    <row r="920" spans="2:2" x14ac:dyDescent="0.25">
      <c r="B920" s="73"/>
    </row>
    <row r="921" spans="2:2" x14ac:dyDescent="0.25">
      <c r="B921" s="73"/>
    </row>
    <row r="922" spans="2:2" x14ac:dyDescent="0.25">
      <c r="B922" s="73"/>
    </row>
    <row r="923" spans="2:2" x14ac:dyDescent="0.25">
      <c r="B923" s="73"/>
    </row>
    <row r="924" spans="2:2" x14ac:dyDescent="0.25">
      <c r="B924" s="73"/>
    </row>
    <row r="925" spans="2:2" x14ac:dyDescent="0.25">
      <c r="B925" s="73"/>
    </row>
    <row r="926" spans="2:2" x14ac:dyDescent="0.25">
      <c r="B926" s="73"/>
    </row>
    <row r="927" spans="2:2" x14ac:dyDescent="0.25">
      <c r="B927" s="73"/>
    </row>
    <row r="928" spans="2:2" x14ac:dyDescent="0.25">
      <c r="B928" s="73"/>
    </row>
    <row r="929" spans="2:2" x14ac:dyDescent="0.25">
      <c r="B929" s="73"/>
    </row>
    <row r="930" spans="2:2" x14ac:dyDescent="0.25">
      <c r="B930" s="73"/>
    </row>
    <row r="931" spans="2:2" x14ac:dyDescent="0.25">
      <c r="B931" s="73"/>
    </row>
    <row r="932" spans="2:2" x14ac:dyDescent="0.25">
      <c r="B932" s="73"/>
    </row>
    <row r="933" spans="2:2" x14ac:dyDescent="0.25">
      <c r="B933" s="73"/>
    </row>
    <row r="934" spans="2:2" x14ac:dyDescent="0.25">
      <c r="B934" s="73"/>
    </row>
    <row r="935" spans="2:2" x14ac:dyDescent="0.25">
      <c r="B935" s="73"/>
    </row>
    <row r="936" spans="2:2" x14ac:dyDescent="0.25">
      <c r="B936" s="73"/>
    </row>
    <row r="937" spans="2:2" x14ac:dyDescent="0.25">
      <c r="B937" s="73"/>
    </row>
    <row r="938" spans="2:2" x14ac:dyDescent="0.25">
      <c r="B938" s="73"/>
    </row>
    <row r="939" spans="2:2" x14ac:dyDescent="0.25">
      <c r="B939" s="73"/>
    </row>
    <row r="940" spans="2:2" x14ac:dyDescent="0.25">
      <c r="B940" s="73"/>
    </row>
    <row r="941" spans="2:2" x14ac:dyDescent="0.25">
      <c r="B941" s="73"/>
    </row>
    <row r="942" spans="2:2" x14ac:dyDescent="0.25">
      <c r="B942" s="73"/>
    </row>
    <row r="943" spans="2:2" x14ac:dyDescent="0.25">
      <c r="B943" s="73"/>
    </row>
    <row r="944" spans="2:2" x14ac:dyDescent="0.25">
      <c r="B944" s="73"/>
    </row>
    <row r="945" spans="2:2" x14ac:dyDescent="0.25">
      <c r="B945" s="73"/>
    </row>
    <row r="946" spans="2:2" x14ac:dyDescent="0.25">
      <c r="B946" s="73"/>
    </row>
    <row r="947" spans="2:2" x14ac:dyDescent="0.25">
      <c r="B947" s="73"/>
    </row>
    <row r="948" spans="2:2" x14ac:dyDescent="0.25">
      <c r="B948" s="73"/>
    </row>
    <row r="949" spans="2:2" x14ac:dyDescent="0.25">
      <c r="B949" s="73"/>
    </row>
    <row r="950" spans="2:2" x14ac:dyDescent="0.25">
      <c r="B950" s="73"/>
    </row>
    <row r="951" spans="2:2" x14ac:dyDescent="0.25">
      <c r="B951" s="73"/>
    </row>
    <row r="952" spans="2:2" x14ac:dyDescent="0.25">
      <c r="B952" s="73"/>
    </row>
    <row r="953" spans="2:2" x14ac:dyDescent="0.25">
      <c r="B953" s="73"/>
    </row>
    <row r="954" spans="2:2" x14ac:dyDescent="0.25">
      <c r="B954" s="73"/>
    </row>
    <row r="955" spans="2:2" x14ac:dyDescent="0.25">
      <c r="B955" s="73"/>
    </row>
    <row r="956" spans="2:2" x14ac:dyDescent="0.25">
      <c r="B956" s="73"/>
    </row>
    <row r="957" spans="2:2" x14ac:dyDescent="0.25">
      <c r="B957" s="73"/>
    </row>
    <row r="958" spans="2:2" x14ac:dyDescent="0.25">
      <c r="B958" s="73"/>
    </row>
    <row r="959" spans="2:2" x14ac:dyDescent="0.25">
      <c r="B959" s="73"/>
    </row>
    <row r="960" spans="2:2" x14ac:dyDescent="0.25">
      <c r="B960" s="73"/>
    </row>
    <row r="961" spans="2:2" x14ac:dyDescent="0.25">
      <c r="B961" s="73"/>
    </row>
    <row r="962" spans="2:2" x14ac:dyDescent="0.25">
      <c r="B962" s="73"/>
    </row>
    <row r="963" spans="2:2" x14ac:dyDescent="0.25">
      <c r="B963" s="73"/>
    </row>
    <row r="964" spans="2:2" x14ac:dyDescent="0.25">
      <c r="B964" s="73"/>
    </row>
    <row r="965" spans="2:2" x14ac:dyDescent="0.25">
      <c r="B965" s="73"/>
    </row>
    <row r="966" spans="2:2" x14ac:dyDescent="0.25">
      <c r="B966" s="73"/>
    </row>
    <row r="967" spans="2:2" x14ac:dyDescent="0.25">
      <c r="B967" s="73"/>
    </row>
    <row r="968" spans="2:2" x14ac:dyDescent="0.25">
      <c r="B968" s="73"/>
    </row>
    <row r="969" spans="2:2" x14ac:dyDescent="0.25">
      <c r="B969" s="73"/>
    </row>
    <row r="970" spans="2:2" x14ac:dyDescent="0.25">
      <c r="B970" s="73"/>
    </row>
    <row r="971" spans="2:2" x14ac:dyDescent="0.25">
      <c r="B971" s="73"/>
    </row>
    <row r="972" spans="2:2" x14ac:dyDescent="0.25">
      <c r="B972" s="73"/>
    </row>
    <row r="973" spans="2:2" x14ac:dyDescent="0.25">
      <c r="B973" s="73"/>
    </row>
    <row r="974" spans="2:2" x14ac:dyDescent="0.25">
      <c r="B974" s="73"/>
    </row>
    <row r="975" spans="2:2" x14ac:dyDescent="0.25">
      <c r="B975" s="73"/>
    </row>
    <row r="976" spans="2:2" x14ac:dyDescent="0.25">
      <c r="B976" s="73"/>
    </row>
    <row r="977" spans="2:2" x14ac:dyDescent="0.25">
      <c r="B977" s="73"/>
    </row>
    <row r="978" spans="2:2" x14ac:dyDescent="0.25">
      <c r="B978" s="73"/>
    </row>
    <row r="979" spans="2:2" x14ac:dyDescent="0.25">
      <c r="B979" s="73"/>
    </row>
    <row r="980" spans="2:2" x14ac:dyDescent="0.25">
      <c r="B980" s="73"/>
    </row>
    <row r="981" spans="2:2" x14ac:dyDescent="0.25">
      <c r="B981" s="73"/>
    </row>
    <row r="982" spans="2:2" x14ac:dyDescent="0.25">
      <c r="B982" s="73"/>
    </row>
    <row r="983" spans="2:2" x14ac:dyDescent="0.25">
      <c r="B983" s="73"/>
    </row>
    <row r="984" spans="2:2" x14ac:dyDescent="0.25">
      <c r="B984" s="73"/>
    </row>
    <row r="985" spans="2:2" x14ac:dyDescent="0.25">
      <c r="B985" s="73"/>
    </row>
    <row r="986" spans="2:2" x14ac:dyDescent="0.25">
      <c r="B986" s="73"/>
    </row>
    <row r="987" spans="2:2" x14ac:dyDescent="0.25">
      <c r="B987" s="73"/>
    </row>
    <row r="988" spans="2:2" x14ac:dyDescent="0.25">
      <c r="B988" s="73"/>
    </row>
    <row r="989" spans="2:2" x14ac:dyDescent="0.25">
      <c r="B989" s="73"/>
    </row>
    <row r="990" spans="2:2" x14ac:dyDescent="0.25">
      <c r="B990" s="73"/>
    </row>
    <row r="991" spans="2:2" x14ac:dyDescent="0.25">
      <c r="B991" s="73"/>
    </row>
    <row r="992" spans="2:2" x14ac:dyDescent="0.25">
      <c r="B992" s="73"/>
    </row>
    <row r="993" spans="2:2" x14ac:dyDescent="0.25">
      <c r="B993" s="73"/>
    </row>
    <row r="994" spans="2:2" x14ac:dyDescent="0.25">
      <c r="B994" s="73"/>
    </row>
    <row r="995" spans="2:2" x14ac:dyDescent="0.25">
      <c r="B995" s="73"/>
    </row>
    <row r="996" spans="2:2" x14ac:dyDescent="0.25">
      <c r="B996" s="73"/>
    </row>
    <row r="997" spans="2:2" x14ac:dyDescent="0.25">
      <c r="B997" s="73"/>
    </row>
    <row r="998" spans="2:2" x14ac:dyDescent="0.25">
      <c r="B998" s="73"/>
    </row>
    <row r="999" spans="2:2" x14ac:dyDescent="0.25">
      <c r="B999" s="73"/>
    </row>
    <row r="1000" spans="2:2" x14ac:dyDescent="0.25">
      <c r="B1000" s="73"/>
    </row>
    <row r="1001" spans="2:2" x14ac:dyDescent="0.25">
      <c r="B1001" s="73"/>
    </row>
    <row r="1002" spans="2:2" x14ac:dyDescent="0.25">
      <c r="B1002" s="73"/>
    </row>
    <row r="1003" spans="2:2" x14ac:dyDescent="0.25">
      <c r="B1003" s="73"/>
    </row>
    <row r="1004" spans="2:2" x14ac:dyDescent="0.25">
      <c r="B1004" s="73"/>
    </row>
    <row r="1005" spans="2:2" x14ac:dyDescent="0.25">
      <c r="B1005" s="73"/>
    </row>
    <row r="1006" spans="2:2" x14ac:dyDescent="0.25">
      <c r="B1006" s="73"/>
    </row>
    <row r="1007" spans="2:2" x14ac:dyDescent="0.25">
      <c r="B1007" s="73"/>
    </row>
    <row r="1008" spans="2:2" x14ac:dyDescent="0.25">
      <c r="B1008" s="73"/>
    </row>
    <row r="1009" spans="2:2" x14ac:dyDescent="0.25">
      <c r="B1009" s="73"/>
    </row>
    <row r="1010" spans="2:2" x14ac:dyDescent="0.25">
      <c r="B1010" s="73"/>
    </row>
    <row r="1011" spans="2:2" x14ac:dyDescent="0.25">
      <c r="B1011" s="73"/>
    </row>
    <row r="1012" spans="2:2" x14ac:dyDescent="0.25">
      <c r="B1012" s="73"/>
    </row>
    <row r="1013" spans="2:2" x14ac:dyDescent="0.25">
      <c r="B1013" s="73"/>
    </row>
    <row r="1014" spans="2:2" x14ac:dyDescent="0.25">
      <c r="B1014" s="73"/>
    </row>
    <row r="1015" spans="2:2" x14ac:dyDescent="0.25">
      <c r="B1015" s="73"/>
    </row>
    <row r="1016" spans="2:2" x14ac:dyDescent="0.25">
      <c r="B1016" s="73"/>
    </row>
    <row r="1017" spans="2:2" x14ac:dyDescent="0.25">
      <c r="B1017" s="73"/>
    </row>
    <row r="1018" spans="2:2" x14ac:dyDescent="0.25">
      <c r="B1018" s="73"/>
    </row>
    <row r="1019" spans="2:2" x14ac:dyDescent="0.25">
      <c r="B1019" s="73"/>
    </row>
    <row r="1020" spans="2:2" x14ac:dyDescent="0.25">
      <c r="B1020" s="73"/>
    </row>
    <row r="1021" spans="2:2" x14ac:dyDescent="0.25">
      <c r="B1021" s="73"/>
    </row>
    <row r="1022" spans="2:2" x14ac:dyDescent="0.25">
      <c r="B1022" s="73"/>
    </row>
    <row r="1023" spans="2:2" x14ac:dyDescent="0.25">
      <c r="B1023" s="73"/>
    </row>
    <row r="1024" spans="2:2" x14ac:dyDescent="0.25">
      <c r="B1024" s="73"/>
    </row>
    <row r="1025" spans="2:2" x14ac:dyDescent="0.25">
      <c r="B1025" s="73"/>
    </row>
    <row r="1026" spans="2:2" x14ac:dyDescent="0.25">
      <c r="B1026" s="73"/>
    </row>
    <row r="1027" spans="2:2" x14ac:dyDescent="0.25">
      <c r="B1027" s="73"/>
    </row>
    <row r="1028" spans="2:2" x14ac:dyDescent="0.25">
      <c r="B1028" s="73"/>
    </row>
    <row r="1029" spans="2:2" x14ac:dyDescent="0.25">
      <c r="B1029" s="73"/>
    </row>
    <row r="1030" spans="2:2" x14ac:dyDescent="0.25">
      <c r="B1030" s="73"/>
    </row>
    <row r="1031" spans="2:2" x14ac:dyDescent="0.25">
      <c r="B1031" s="73"/>
    </row>
    <row r="1032" spans="2:2" x14ac:dyDescent="0.25">
      <c r="B1032" s="73"/>
    </row>
    <row r="1033" spans="2:2" x14ac:dyDescent="0.25">
      <c r="B1033" s="73"/>
    </row>
    <row r="1034" spans="2:2" x14ac:dyDescent="0.25">
      <c r="B1034" s="73"/>
    </row>
    <row r="1035" spans="2:2" x14ac:dyDescent="0.25">
      <c r="B1035" s="73"/>
    </row>
    <row r="1036" spans="2:2" x14ac:dyDescent="0.25">
      <c r="B1036" s="73"/>
    </row>
    <row r="1037" spans="2:2" x14ac:dyDescent="0.25">
      <c r="B1037" s="73"/>
    </row>
    <row r="1038" spans="2:2" x14ac:dyDescent="0.25">
      <c r="B1038" s="73"/>
    </row>
    <row r="1039" spans="2:2" x14ac:dyDescent="0.25">
      <c r="B1039" s="73"/>
    </row>
    <row r="1040" spans="2:2" x14ac:dyDescent="0.25">
      <c r="B1040" s="73"/>
    </row>
    <row r="1041" spans="2:2" x14ac:dyDescent="0.25">
      <c r="B1041" s="73"/>
    </row>
    <row r="1042" spans="2:2" x14ac:dyDescent="0.25">
      <c r="B1042" s="73"/>
    </row>
    <row r="1043" spans="2:2" x14ac:dyDescent="0.25">
      <c r="B1043" s="73"/>
    </row>
    <row r="1044" spans="2:2" x14ac:dyDescent="0.25">
      <c r="B1044" s="73"/>
    </row>
    <row r="1045" spans="2:2" x14ac:dyDescent="0.25">
      <c r="B1045" s="73"/>
    </row>
    <row r="1046" spans="2:2" x14ac:dyDescent="0.25">
      <c r="B1046" s="73"/>
    </row>
    <row r="1047" spans="2:2" x14ac:dyDescent="0.25">
      <c r="B1047" s="73"/>
    </row>
    <row r="1048" spans="2:2" x14ac:dyDescent="0.25">
      <c r="B1048" s="73"/>
    </row>
    <row r="1049" spans="2:2" x14ac:dyDescent="0.25">
      <c r="B1049" s="73"/>
    </row>
    <row r="1050" spans="2:2" x14ac:dyDescent="0.25">
      <c r="B1050" s="73"/>
    </row>
    <row r="1051" spans="2:2" x14ac:dyDescent="0.25">
      <c r="B1051" s="73"/>
    </row>
    <row r="1052" spans="2:2" x14ac:dyDescent="0.25">
      <c r="B1052" s="73"/>
    </row>
    <row r="1053" spans="2:2" x14ac:dyDescent="0.25">
      <c r="B1053" s="73"/>
    </row>
    <row r="1054" spans="2:2" x14ac:dyDescent="0.25">
      <c r="B1054" s="73"/>
    </row>
    <row r="1055" spans="2:2" x14ac:dyDescent="0.25">
      <c r="B1055" s="73"/>
    </row>
    <row r="1056" spans="2:2" x14ac:dyDescent="0.25">
      <c r="B1056" s="73"/>
    </row>
    <row r="1057" spans="2:2" x14ac:dyDescent="0.25">
      <c r="B1057" s="73"/>
    </row>
    <row r="1058" spans="2:2" x14ac:dyDescent="0.25">
      <c r="B1058" s="73"/>
    </row>
    <row r="1059" spans="2:2" x14ac:dyDescent="0.25">
      <c r="B1059" s="73"/>
    </row>
    <row r="1060" spans="2:2" x14ac:dyDescent="0.25">
      <c r="B1060" s="73"/>
    </row>
    <row r="1061" spans="2:2" x14ac:dyDescent="0.25">
      <c r="B1061" s="73"/>
    </row>
    <row r="1062" spans="2:2" x14ac:dyDescent="0.25">
      <c r="B1062" s="73"/>
    </row>
    <row r="1063" spans="2:2" x14ac:dyDescent="0.25">
      <c r="B1063" s="73"/>
    </row>
    <row r="1064" spans="2:2" x14ac:dyDescent="0.25">
      <c r="B1064" s="73"/>
    </row>
    <row r="1065" spans="2:2" x14ac:dyDescent="0.25">
      <c r="B1065" s="73"/>
    </row>
    <row r="1066" spans="2:2" x14ac:dyDescent="0.25">
      <c r="B1066" s="73"/>
    </row>
    <row r="1067" spans="2:2" x14ac:dyDescent="0.25">
      <c r="B1067" s="73"/>
    </row>
    <row r="1068" spans="2:2" x14ac:dyDescent="0.25">
      <c r="B1068" s="73"/>
    </row>
    <row r="1069" spans="2:2" x14ac:dyDescent="0.25">
      <c r="B1069" s="73"/>
    </row>
    <row r="1070" spans="2:2" x14ac:dyDescent="0.25">
      <c r="B1070" s="73"/>
    </row>
    <row r="1071" spans="2:2" x14ac:dyDescent="0.25">
      <c r="B1071" s="73"/>
    </row>
    <row r="1072" spans="2:2" x14ac:dyDescent="0.25">
      <c r="B1072" s="73"/>
    </row>
    <row r="1073" spans="2:2" x14ac:dyDescent="0.25">
      <c r="B1073" s="73"/>
    </row>
    <row r="1074" spans="2:2" x14ac:dyDescent="0.25">
      <c r="B1074" s="73"/>
    </row>
    <row r="1075" spans="2:2" x14ac:dyDescent="0.25">
      <c r="B1075" s="73"/>
    </row>
    <row r="1076" spans="2:2" x14ac:dyDescent="0.25">
      <c r="B1076" s="73"/>
    </row>
    <row r="1077" spans="2:2" x14ac:dyDescent="0.25">
      <c r="B1077" s="73"/>
    </row>
    <row r="1078" spans="2:2" x14ac:dyDescent="0.25">
      <c r="B1078" s="73"/>
    </row>
    <row r="1079" spans="2:2" x14ac:dyDescent="0.25">
      <c r="B1079" s="73"/>
    </row>
    <row r="1080" spans="2:2" x14ac:dyDescent="0.25">
      <c r="B1080" s="73"/>
    </row>
    <row r="1081" spans="2:2" x14ac:dyDescent="0.25">
      <c r="B1081" s="73"/>
    </row>
    <row r="1082" spans="2:2" x14ac:dyDescent="0.25">
      <c r="B1082" s="73"/>
    </row>
    <row r="1083" spans="2:2" x14ac:dyDescent="0.25">
      <c r="B1083" s="73"/>
    </row>
    <row r="1084" spans="2:2" x14ac:dyDescent="0.25">
      <c r="B1084" s="73"/>
    </row>
    <row r="1085" spans="2:2" x14ac:dyDescent="0.25">
      <c r="B1085" s="73"/>
    </row>
    <row r="1086" spans="2:2" x14ac:dyDescent="0.25">
      <c r="B1086" s="73"/>
    </row>
    <row r="1087" spans="2:2" x14ac:dyDescent="0.25">
      <c r="B1087" s="73"/>
    </row>
    <row r="1088" spans="2:2" x14ac:dyDescent="0.25">
      <c r="B1088" s="73"/>
    </row>
    <row r="1089" spans="2:2" x14ac:dyDescent="0.25">
      <c r="B1089" s="73"/>
    </row>
    <row r="1090" spans="2:2" x14ac:dyDescent="0.25">
      <c r="B1090" s="73"/>
    </row>
    <row r="1091" spans="2:2" x14ac:dyDescent="0.25">
      <c r="B1091" s="73"/>
    </row>
    <row r="1092" spans="2:2" x14ac:dyDescent="0.25">
      <c r="B1092" s="73"/>
    </row>
    <row r="1093" spans="2:2" x14ac:dyDescent="0.25">
      <c r="B1093" s="73"/>
    </row>
    <row r="1094" spans="2:2" x14ac:dyDescent="0.25">
      <c r="B1094" s="73"/>
    </row>
    <row r="1095" spans="2:2" x14ac:dyDescent="0.25">
      <c r="B1095" s="73"/>
    </row>
    <row r="1096" spans="2:2" x14ac:dyDescent="0.25">
      <c r="B1096" s="73"/>
    </row>
    <row r="1097" spans="2:2" x14ac:dyDescent="0.25">
      <c r="B1097" s="73"/>
    </row>
    <row r="1098" spans="2:2" x14ac:dyDescent="0.25">
      <c r="B1098" s="73"/>
    </row>
    <row r="1099" spans="2:2" x14ac:dyDescent="0.25">
      <c r="B1099" s="73"/>
    </row>
    <row r="1100" spans="2:2" x14ac:dyDescent="0.25">
      <c r="B1100" s="73"/>
    </row>
    <row r="1101" spans="2:2" x14ac:dyDescent="0.25">
      <c r="B1101" s="73"/>
    </row>
    <row r="1102" spans="2:2" x14ac:dyDescent="0.25">
      <c r="B1102" s="73"/>
    </row>
    <row r="1103" spans="2:2" x14ac:dyDescent="0.25">
      <c r="B1103" s="73"/>
    </row>
    <row r="1104" spans="2:2" x14ac:dyDescent="0.25">
      <c r="B1104" s="73"/>
    </row>
    <row r="1105" spans="2:2" x14ac:dyDescent="0.25">
      <c r="B1105" s="73"/>
    </row>
    <row r="1106" spans="2:2" x14ac:dyDescent="0.25">
      <c r="B1106" s="73"/>
    </row>
    <row r="1107" spans="2:2" x14ac:dyDescent="0.25">
      <c r="B1107" s="73"/>
    </row>
    <row r="1108" spans="2:2" x14ac:dyDescent="0.25">
      <c r="B1108" s="73"/>
    </row>
    <row r="1109" spans="2:2" x14ac:dyDescent="0.25">
      <c r="B1109" s="73"/>
    </row>
    <row r="1110" spans="2:2" x14ac:dyDescent="0.25">
      <c r="B1110" s="73"/>
    </row>
    <row r="1111" spans="2:2" x14ac:dyDescent="0.25">
      <c r="B1111" s="73"/>
    </row>
    <row r="1112" spans="2:2" x14ac:dyDescent="0.25">
      <c r="B1112" s="73"/>
    </row>
    <row r="1113" spans="2:2" x14ac:dyDescent="0.25">
      <c r="B1113" s="73"/>
    </row>
    <row r="1114" spans="2:2" x14ac:dyDescent="0.25">
      <c r="B1114" s="73"/>
    </row>
    <row r="1115" spans="2:2" x14ac:dyDescent="0.25">
      <c r="B1115" s="73"/>
    </row>
    <row r="1116" spans="2:2" x14ac:dyDescent="0.25">
      <c r="B1116" s="73"/>
    </row>
    <row r="1117" spans="2:2" x14ac:dyDescent="0.25">
      <c r="B1117" s="73"/>
    </row>
    <row r="1118" spans="2:2" x14ac:dyDescent="0.25">
      <c r="B1118" s="73"/>
    </row>
    <row r="1119" spans="2:2" x14ac:dyDescent="0.25">
      <c r="B1119" s="73"/>
    </row>
    <row r="1120" spans="2:2" x14ac:dyDescent="0.25">
      <c r="B1120" s="73"/>
    </row>
    <row r="1121" spans="2:2" x14ac:dyDescent="0.25">
      <c r="B1121" s="73"/>
    </row>
    <row r="1122" spans="2:2" x14ac:dyDescent="0.25">
      <c r="B1122" s="73"/>
    </row>
    <row r="1123" spans="2:2" x14ac:dyDescent="0.25">
      <c r="B1123" s="73"/>
    </row>
    <row r="1124" spans="2:2" x14ac:dyDescent="0.25">
      <c r="B1124" s="73"/>
    </row>
    <row r="1125" spans="2:2" x14ac:dyDescent="0.25">
      <c r="B1125" s="73"/>
    </row>
    <row r="1126" spans="2:2" x14ac:dyDescent="0.25">
      <c r="B1126" s="73"/>
    </row>
    <row r="1127" spans="2:2" x14ac:dyDescent="0.25">
      <c r="B1127" s="73"/>
    </row>
    <row r="1128" spans="2:2" x14ac:dyDescent="0.25">
      <c r="B1128" s="73"/>
    </row>
    <row r="1129" spans="2:2" x14ac:dyDescent="0.25">
      <c r="B1129" s="73"/>
    </row>
    <row r="1130" spans="2:2" x14ac:dyDescent="0.25">
      <c r="B1130" s="73"/>
    </row>
    <row r="1131" spans="2:2" x14ac:dyDescent="0.25">
      <c r="B1131" s="73"/>
    </row>
    <row r="1132" spans="2:2" x14ac:dyDescent="0.25">
      <c r="B1132" s="73"/>
    </row>
    <row r="1133" spans="2:2" x14ac:dyDescent="0.25">
      <c r="B1133" s="73"/>
    </row>
    <row r="1134" spans="2:2" x14ac:dyDescent="0.25">
      <c r="B1134" s="73"/>
    </row>
    <row r="1135" spans="2:2" x14ac:dyDescent="0.25">
      <c r="B1135" s="73"/>
    </row>
    <row r="1136" spans="2:2" x14ac:dyDescent="0.25">
      <c r="B1136" s="73"/>
    </row>
    <row r="1137" spans="2:2" x14ac:dyDescent="0.25">
      <c r="B1137" s="73"/>
    </row>
    <row r="1138" spans="2:2" x14ac:dyDescent="0.25">
      <c r="B1138" s="73"/>
    </row>
    <row r="1139" spans="2:2" x14ac:dyDescent="0.25">
      <c r="B1139" s="73"/>
    </row>
    <row r="1140" spans="2:2" x14ac:dyDescent="0.25">
      <c r="B1140" s="73"/>
    </row>
    <row r="1141" spans="2:2" x14ac:dyDescent="0.25">
      <c r="B1141" s="73"/>
    </row>
    <row r="1142" spans="2:2" x14ac:dyDescent="0.25">
      <c r="B1142" s="73"/>
    </row>
    <row r="1143" spans="2:2" x14ac:dyDescent="0.25">
      <c r="B1143" s="73"/>
    </row>
    <row r="1144" spans="2:2" x14ac:dyDescent="0.25">
      <c r="B1144" s="73"/>
    </row>
    <row r="1145" spans="2:2" x14ac:dyDescent="0.25">
      <c r="B1145" s="73"/>
    </row>
    <row r="1146" spans="2:2" x14ac:dyDescent="0.25">
      <c r="B1146" s="73"/>
    </row>
    <row r="1147" spans="2:2" x14ac:dyDescent="0.25">
      <c r="B1147" s="73"/>
    </row>
    <row r="1148" spans="2:2" x14ac:dyDescent="0.25">
      <c r="B1148" s="73"/>
    </row>
    <row r="1149" spans="2:2" x14ac:dyDescent="0.25">
      <c r="B1149" s="73"/>
    </row>
    <row r="1150" spans="2:2" x14ac:dyDescent="0.25">
      <c r="B1150" s="73"/>
    </row>
    <row r="1151" spans="2:2" x14ac:dyDescent="0.25">
      <c r="B1151" s="73"/>
    </row>
    <row r="1152" spans="2:2" x14ac:dyDescent="0.25">
      <c r="B1152" s="73"/>
    </row>
    <row r="1153" spans="2:2" x14ac:dyDescent="0.25">
      <c r="B1153" s="73"/>
    </row>
    <row r="1154" spans="2:2" x14ac:dyDescent="0.25">
      <c r="B1154" s="73"/>
    </row>
    <row r="1155" spans="2:2" x14ac:dyDescent="0.25">
      <c r="B1155" s="73"/>
    </row>
    <row r="1156" spans="2:2" x14ac:dyDescent="0.25">
      <c r="B1156" s="73"/>
    </row>
    <row r="1157" spans="2:2" x14ac:dyDescent="0.25">
      <c r="B1157" s="73"/>
    </row>
    <row r="1158" spans="2:2" x14ac:dyDescent="0.25">
      <c r="B1158" s="73"/>
    </row>
    <row r="1159" spans="2:2" x14ac:dyDescent="0.25">
      <c r="B1159" s="73"/>
    </row>
    <row r="1160" spans="2:2" x14ac:dyDescent="0.25">
      <c r="B1160" s="73"/>
    </row>
    <row r="1161" spans="2:2" x14ac:dyDescent="0.25">
      <c r="B1161" s="73"/>
    </row>
    <row r="1162" spans="2:2" x14ac:dyDescent="0.25">
      <c r="B1162" s="73"/>
    </row>
    <row r="1163" spans="2:2" x14ac:dyDescent="0.25">
      <c r="B1163" s="73"/>
    </row>
    <row r="1164" spans="2:2" x14ac:dyDescent="0.25">
      <c r="B1164" s="73"/>
    </row>
    <row r="1165" spans="2:2" x14ac:dyDescent="0.25">
      <c r="B1165" s="73"/>
    </row>
    <row r="1166" spans="2:2" x14ac:dyDescent="0.25">
      <c r="B1166" s="73"/>
    </row>
    <row r="1167" spans="2:2" x14ac:dyDescent="0.25">
      <c r="B1167" s="73"/>
    </row>
    <row r="1168" spans="2:2" x14ac:dyDescent="0.25">
      <c r="B1168" s="73"/>
    </row>
    <row r="1169" spans="2:2" x14ac:dyDescent="0.25">
      <c r="B1169" s="73"/>
    </row>
    <row r="1170" spans="2:2" x14ac:dyDescent="0.25">
      <c r="B1170" s="73"/>
    </row>
    <row r="1171" spans="2:2" x14ac:dyDescent="0.25">
      <c r="B1171" s="73"/>
    </row>
    <row r="1172" spans="2:2" x14ac:dyDescent="0.25">
      <c r="B1172" s="73"/>
    </row>
    <row r="1173" spans="2:2" x14ac:dyDescent="0.25">
      <c r="B1173" s="73"/>
    </row>
    <row r="1174" spans="2:2" x14ac:dyDescent="0.25">
      <c r="B1174" s="73"/>
    </row>
    <row r="1175" spans="2:2" x14ac:dyDescent="0.25">
      <c r="B1175" s="73"/>
    </row>
    <row r="1176" spans="2:2" x14ac:dyDescent="0.25">
      <c r="B1176" s="73"/>
    </row>
    <row r="1177" spans="2:2" x14ac:dyDescent="0.25">
      <c r="B1177" s="73"/>
    </row>
    <row r="1178" spans="2:2" x14ac:dyDescent="0.25">
      <c r="B1178" s="73"/>
    </row>
    <row r="1179" spans="2:2" x14ac:dyDescent="0.25">
      <c r="B1179" s="73"/>
    </row>
    <row r="1180" spans="2:2" x14ac:dyDescent="0.25">
      <c r="B1180" s="73"/>
    </row>
    <row r="1181" spans="2:2" x14ac:dyDescent="0.25">
      <c r="B1181" s="73"/>
    </row>
    <row r="1182" spans="2:2" x14ac:dyDescent="0.25">
      <c r="B1182" s="73"/>
    </row>
    <row r="1183" spans="2:2" x14ac:dyDescent="0.25">
      <c r="B1183" s="73"/>
    </row>
    <row r="1184" spans="2:2" x14ac:dyDescent="0.25">
      <c r="B1184" s="73"/>
    </row>
    <row r="1185" spans="2:2" x14ac:dyDescent="0.25">
      <c r="B1185" s="73"/>
    </row>
    <row r="1186" spans="2:2" x14ac:dyDescent="0.25">
      <c r="B1186" s="73"/>
    </row>
    <row r="1187" spans="2:2" x14ac:dyDescent="0.25">
      <c r="B1187" s="73"/>
    </row>
    <row r="1188" spans="2:2" x14ac:dyDescent="0.25">
      <c r="B1188" s="73"/>
    </row>
    <row r="1189" spans="2:2" x14ac:dyDescent="0.25">
      <c r="B1189" s="73"/>
    </row>
    <row r="1190" spans="2:2" x14ac:dyDescent="0.25">
      <c r="B1190" s="73"/>
    </row>
    <row r="1191" spans="2:2" x14ac:dyDescent="0.25">
      <c r="B1191" s="73"/>
    </row>
    <row r="1192" spans="2:2" x14ac:dyDescent="0.25">
      <c r="B1192" s="73"/>
    </row>
    <row r="1193" spans="2:2" x14ac:dyDescent="0.25">
      <c r="B1193" s="73"/>
    </row>
    <row r="1194" spans="2:2" x14ac:dyDescent="0.25">
      <c r="B1194" s="73"/>
    </row>
    <row r="1195" spans="2:2" x14ac:dyDescent="0.25">
      <c r="B1195" s="73"/>
    </row>
    <row r="1196" spans="2:2" x14ac:dyDescent="0.25">
      <c r="B1196" s="73"/>
    </row>
    <row r="1197" spans="2:2" x14ac:dyDescent="0.25">
      <c r="B1197" s="73"/>
    </row>
    <row r="1198" spans="2:2" x14ac:dyDescent="0.25">
      <c r="B1198" s="73"/>
    </row>
    <row r="1199" spans="2:2" x14ac:dyDescent="0.25">
      <c r="B1199" s="73"/>
    </row>
    <row r="1200" spans="2:2" x14ac:dyDescent="0.25">
      <c r="B1200" s="73"/>
    </row>
    <row r="1201" spans="2:2" x14ac:dyDescent="0.25">
      <c r="B1201" s="73"/>
    </row>
    <row r="1202" spans="2:2" x14ac:dyDescent="0.25">
      <c r="B1202" s="73"/>
    </row>
    <row r="1203" spans="2:2" x14ac:dyDescent="0.25">
      <c r="B1203" s="73"/>
    </row>
    <row r="1204" spans="2:2" x14ac:dyDescent="0.25">
      <c r="B1204" s="73"/>
    </row>
    <row r="1205" spans="2:2" x14ac:dyDescent="0.25">
      <c r="B1205" s="73"/>
    </row>
    <row r="1206" spans="2:2" x14ac:dyDescent="0.25">
      <c r="B1206" s="73"/>
    </row>
    <row r="1207" spans="2:2" x14ac:dyDescent="0.25">
      <c r="B1207" s="73"/>
    </row>
    <row r="1208" spans="2:2" x14ac:dyDescent="0.25">
      <c r="B1208" s="73"/>
    </row>
    <row r="1209" spans="2:2" x14ac:dyDescent="0.25">
      <c r="B1209" s="73"/>
    </row>
    <row r="1210" spans="2:2" x14ac:dyDescent="0.25">
      <c r="B1210" s="73"/>
    </row>
    <row r="1211" spans="2:2" x14ac:dyDescent="0.25">
      <c r="B1211" s="73"/>
    </row>
    <row r="1212" spans="2:2" x14ac:dyDescent="0.25">
      <c r="B1212" s="73"/>
    </row>
    <row r="1213" spans="2:2" x14ac:dyDescent="0.25">
      <c r="B1213" s="73"/>
    </row>
    <row r="1214" spans="2:2" x14ac:dyDescent="0.25">
      <c r="B1214" s="73"/>
    </row>
    <row r="1215" spans="2:2" x14ac:dyDescent="0.25">
      <c r="B1215" s="73"/>
    </row>
    <row r="1216" spans="2:2" x14ac:dyDescent="0.25">
      <c r="B1216" s="73"/>
    </row>
    <row r="1217" spans="2:2" x14ac:dyDescent="0.25">
      <c r="B1217" s="73"/>
    </row>
    <row r="1218" spans="2:2" x14ac:dyDescent="0.25">
      <c r="B1218" s="73"/>
    </row>
    <row r="1219" spans="2:2" x14ac:dyDescent="0.25">
      <c r="B1219" s="73"/>
    </row>
    <row r="1220" spans="2:2" x14ac:dyDescent="0.25">
      <c r="B1220" s="73"/>
    </row>
    <row r="1221" spans="2:2" x14ac:dyDescent="0.25">
      <c r="B1221" s="73"/>
    </row>
    <row r="1222" spans="2:2" x14ac:dyDescent="0.25">
      <c r="B1222" s="73"/>
    </row>
    <row r="1223" spans="2:2" x14ac:dyDescent="0.25">
      <c r="B1223" s="73"/>
    </row>
    <row r="1224" spans="2:2" x14ac:dyDescent="0.25">
      <c r="B1224" s="73"/>
    </row>
    <row r="1225" spans="2:2" x14ac:dyDescent="0.25">
      <c r="B1225" s="73"/>
    </row>
    <row r="1226" spans="2:2" x14ac:dyDescent="0.25">
      <c r="B1226" s="73"/>
    </row>
    <row r="1227" spans="2:2" x14ac:dyDescent="0.25">
      <c r="B1227" s="73"/>
    </row>
    <row r="1228" spans="2:2" x14ac:dyDescent="0.25">
      <c r="B1228" s="73"/>
    </row>
    <row r="1229" spans="2:2" x14ac:dyDescent="0.25">
      <c r="B1229" s="73"/>
    </row>
    <row r="1230" spans="2:2" x14ac:dyDescent="0.25">
      <c r="B1230" s="73"/>
    </row>
    <row r="1231" spans="2:2" x14ac:dyDescent="0.25">
      <c r="B1231" s="73"/>
    </row>
    <row r="1232" spans="2:2" x14ac:dyDescent="0.25">
      <c r="B1232" s="73"/>
    </row>
    <row r="1233" spans="2:2" x14ac:dyDescent="0.25">
      <c r="B1233" s="73"/>
    </row>
    <row r="1234" spans="2:2" x14ac:dyDescent="0.25">
      <c r="B1234" s="73"/>
    </row>
    <row r="1235" spans="2:2" x14ac:dyDescent="0.25">
      <c r="B1235" s="73"/>
    </row>
    <row r="1236" spans="2:2" x14ac:dyDescent="0.25">
      <c r="B1236" s="73"/>
    </row>
    <row r="1237" spans="2:2" x14ac:dyDescent="0.25">
      <c r="B1237" s="73"/>
    </row>
    <row r="1238" spans="2:2" x14ac:dyDescent="0.25">
      <c r="B1238" s="73"/>
    </row>
    <row r="1239" spans="2:2" x14ac:dyDescent="0.25">
      <c r="B1239" s="73"/>
    </row>
    <row r="1240" spans="2:2" x14ac:dyDescent="0.25">
      <c r="B1240" s="73"/>
    </row>
    <row r="1241" spans="2:2" x14ac:dyDescent="0.25">
      <c r="B1241" s="73"/>
    </row>
    <row r="1242" spans="2:2" x14ac:dyDescent="0.25">
      <c r="B1242" s="73"/>
    </row>
    <row r="1243" spans="2:2" x14ac:dyDescent="0.25">
      <c r="B1243" s="73"/>
    </row>
    <row r="1244" spans="2:2" x14ac:dyDescent="0.25">
      <c r="B1244" s="73"/>
    </row>
    <row r="1245" spans="2:2" x14ac:dyDescent="0.25">
      <c r="B1245" s="73"/>
    </row>
    <row r="1246" spans="2:2" x14ac:dyDescent="0.25">
      <c r="B1246" s="73"/>
    </row>
    <row r="1247" spans="2:2" x14ac:dyDescent="0.25">
      <c r="B1247" s="73"/>
    </row>
    <row r="1248" spans="2:2" x14ac:dyDescent="0.25">
      <c r="B1248" s="73"/>
    </row>
    <row r="1249" spans="2:2" x14ac:dyDescent="0.25">
      <c r="B1249" s="73"/>
    </row>
    <row r="1250" spans="2:2" x14ac:dyDescent="0.25">
      <c r="B1250" s="73"/>
    </row>
    <row r="1251" spans="2:2" x14ac:dyDescent="0.25">
      <c r="B1251" s="73"/>
    </row>
    <row r="1252" spans="2:2" x14ac:dyDescent="0.25">
      <c r="B1252" s="73"/>
    </row>
    <row r="1253" spans="2:2" x14ac:dyDescent="0.25">
      <c r="B1253" s="73"/>
    </row>
    <row r="1254" spans="2:2" x14ac:dyDescent="0.25">
      <c r="B1254" s="73"/>
    </row>
    <row r="1255" spans="2:2" x14ac:dyDescent="0.25">
      <c r="B1255" s="73"/>
    </row>
    <row r="1256" spans="2:2" x14ac:dyDescent="0.25">
      <c r="B1256" s="73"/>
    </row>
    <row r="1257" spans="2:2" x14ac:dyDescent="0.25">
      <c r="B1257" s="73"/>
    </row>
    <row r="1258" spans="2:2" x14ac:dyDescent="0.25">
      <c r="B1258" s="73"/>
    </row>
    <row r="1259" spans="2:2" x14ac:dyDescent="0.25">
      <c r="B1259" s="73"/>
    </row>
    <row r="1260" spans="2:2" x14ac:dyDescent="0.25">
      <c r="B1260" s="73"/>
    </row>
    <row r="1261" spans="2:2" x14ac:dyDescent="0.25">
      <c r="B1261" s="73"/>
    </row>
    <row r="1262" spans="2:2" x14ac:dyDescent="0.25">
      <c r="B1262" s="73"/>
    </row>
    <row r="1263" spans="2:2" x14ac:dyDescent="0.25">
      <c r="B1263" s="73"/>
    </row>
    <row r="1264" spans="2:2" x14ac:dyDescent="0.25">
      <c r="B1264" s="73"/>
    </row>
    <row r="1265" spans="2:2" x14ac:dyDescent="0.25">
      <c r="B1265" s="73"/>
    </row>
    <row r="1266" spans="2:2" x14ac:dyDescent="0.25">
      <c r="B1266" s="73"/>
    </row>
    <row r="1267" spans="2:2" x14ac:dyDescent="0.25">
      <c r="B1267" s="73"/>
    </row>
    <row r="1268" spans="2:2" x14ac:dyDescent="0.25">
      <c r="B1268" s="73"/>
    </row>
    <row r="1269" spans="2:2" x14ac:dyDescent="0.25">
      <c r="B1269" s="73"/>
    </row>
    <row r="1270" spans="2:2" x14ac:dyDescent="0.25">
      <c r="B1270" s="73"/>
    </row>
    <row r="1271" spans="2:2" x14ac:dyDescent="0.25">
      <c r="B1271" s="73"/>
    </row>
    <row r="1272" spans="2:2" x14ac:dyDescent="0.25">
      <c r="B1272" s="73"/>
    </row>
    <row r="1273" spans="2:2" x14ac:dyDescent="0.25">
      <c r="B1273" s="73"/>
    </row>
    <row r="1274" spans="2:2" x14ac:dyDescent="0.25">
      <c r="B1274" s="73"/>
    </row>
    <row r="1275" spans="2:2" x14ac:dyDescent="0.25">
      <c r="B1275" s="73"/>
    </row>
    <row r="1276" spans="2:2" x14ac:dyDescent="0.25">
      <c r="B1276" s="73"/>
    </row>
    <row r="1277" spans="2:2" x14ac:dyDescent="0.25">
      <c r="B1277" s="73"/>
    </row>
    <row r="1278" spans="2:2" x14ac:dyDescent="0.25">
      <c r="B1278" s="73"/>
    </row>
    <row r="1279" spans="2:2" x14ac:dyDescent="0.25">
      <c r="B1279" s="73"/>
    </row>
    <row r="1280" spans="2:2" x14ac:dyDescent="0.25">
      <c r="B1280" s="73"/>
    </row>
    <row r="1281" spans="2:2" x14ac:dyDescent="0.25">
      <c r="B1281" s="73"/>
    </row>
    <row r="1282" spans="2:2" x14ac:dyDescent="0.25">
      <c r="B1282" s="73"/>
    </row>
    <row r="1283" spans="2:2" x14ac:dyDescent="0.25">
      <c r="B1283" s="73"/>
    </row>
    <row r="1284" spans="2:2" x14ac:dyDescent="0.25">
      <c r="B1284" s="73"/>
    </row>
    <row r="1285" spans="2:2" x14ac:dyDescent="0.25">
      <c r="B1285" s="73"/>
    </row>
    <row r="1286" spans="2:2" x14ac:dyDescent="0.25">
      <c r="B1286" s="73"/>
    </row>
    <row r="1287" spans="2:2" x14ac:dyDescent="0.25">
      <c r="B1287" s="73"/>
    </row>
    <row r="1288" spans="2:2" x14ac:dyDescent="0.25">
      <c r="B1288" s="73"/>
    </row>
    <row r="1289" spans="2:2" x14ac:dyDescent="0.25">
      <c r="B1289" s="73"/>
    </row>
    <row r="1290" spans="2:2" x14ac:dyDescent="0.25">
      <c r="B1290" s="73"/>
    </row>
    <row r="1291" spans="2:2" x14ac:dyDescent="0.25">
      <c r="B1291" s="73"/>
    </row>
    <row r="1292" spans="2:2" x14ac:dyDescent="0.25">
      <c r="B1292" s="73"/>
    </row>
    <row r="1293" spans="2:2" x14ac:dyDescent="0.25">
      <c r="B1293" s="73"/>
    </row>
    <row r="1294" spans="2:2" x14ac:dyDescent="0.25">
      <c r="B1294" s="73"/>
    </row>
    <row r="1295" spans="2:2" x14ac:dyDescent="0.25">
      <c r="B1295" s="73"/>
    </row>
    <row r="1296" spans="2:2" x14ac:dyDescent="0.25">
      <c r="B1296" s="73"/>
    </row>
    <row r="1297" spans="2:2" x14ac:dyDescent="0.25">
      <c r="B1297" s="73"/>
    </row>
    <row r="1298" spans="2:2" x14ac:dyDescent="0.25">
      <c r="B1298" s="73"/>
    </row>
    <row r="1299" spans="2:2" x14ac:dyDescent="0.25">
      <c r="B1299" s="73"/>
    </row>
    <row r="1300" spans="2:2" x14ac:dyDescent="0.25">
      <c r="B1300" s="73"/>
    </row>
    <row r="1301" spans="2:2" x14ac:dyDescent="0.25">
      <c r="B1301" s="73"/>
    </row>
    <row r="1302" spans="2:2" x14ac:dyDescent="0.25">
      <c r="B1302" s="73"/>
    </row>
    <row r="1303" spans="2:2" x14ac:dyDescent="0.25">
      <c r="B1303" s="73"/>
    </row>
    <row r="1304" spans="2:2" x14ac:dyDescent="0.25">
      <c r="B1304" s="73"/>
    </row>
    <row r="1305" spans="2:2" x14ac:dyDescent="0.25">
      <c r="B1305" s="73"/>
    </row>
    <row r="1306" spans="2:2" x14ac:dyDescent="0.25">
      <c r="B1306" s="73"/>
    </row>
    <row r="1307" spans="2:2" x14ac:dyDescent="0.25">
      <c r="B1307" s="73"/>
    </row>
    <row r="1308" spans="2:2" x14ac:dyDescent="0.25">
      <c r="B1308" s="73"/>
    </row>
    <row r="1309" spans="2:2" x14ac:dyDescent="0.25">
      <c r="B1309" s="73"/>
    </row>
    <row r="1310" spans="2:2" x14ac:dyDescent="0.25">
      <c r="B1310" s="73"/>
    </row>
    <row r="1311" spans="2:2" x14ac:dyDescent="0.25">
      <c r="B1311" s="73"/>
    </row>
    <row r="1312" spans="2:2" x14ac:dyDescent="0.25">
      <c r="B1312" s="73"/>
    </row>
    <row r="1313" spans="2:2" x14ac:dyDescent="0.25">
      <c r="B1313" s="73"/>
    </row>
    <row r="1314" spans="2:2" x14ac:dyDescent="0.25">
      <c r="B1314" s="73"/>
    </row>
    <row r="1315" spans="2:2" x14ac:dyDescent="0.25">
      <c r="B1315" s="73"/>
    </row>
    <row r="1316" spans="2:2" x14ac:dyDescent="0.25">
      <c r="B1316" s="73"/>
    </row>
    <row r="1317" spans="2:2" x14ac:dyDescent="0.25">
      <c r="B1317" s="73"/>
    </row>
    <row r="1318" spans="2:2" x14ac:dyDescent="0.25">
      <c r="B1318" s="73"/>
    </row>
    <row r="1319" spans="2:2" x14ac:dyDescent="0.25">
      <c r="B1319" s="73"/>
    </row>
    <row r="1320" spans="2:2" x14ac:dyDescent="0.25">
      <c r="B1320" s="73"/>
    </row>
    <row r="1321" spans="2:2" x14ac:dyDescent="0.25">
      <c r="B1321" s="73"/>
    </row>
    <row r="1322" spans="2:2" x14ac:dyDescent="0.25">
      <c r="B1322" s="73"/>
    </row>
    <row r="1323" spans="2:2" x14ac:dyDescent="0.25">
      <c r="B1323" s="73"/>
    </row>
    <row r="1324" spans="2:2" x14ac:dyDescent="0.25">
      <c r="B1324" s="73"/>
    </row>
    <row r="1325" spans="2:2" x14ac:dyDescent="0.25">
      <c r="B1325" s="73"/>
    </row>
    <row r="1326" spans="2:2" x14ac:dyDescent="0.25">
      <c r="B1326" s="73"/>
    </row>
    <row r="1327" spans="2:2" x14ac:dyDescent="0.25">
      <c r="B1327" s="73"/>
    </row>
    <row r="1328" spans="2:2" x14ac:dyDescent="0.25">
      <c r="B1328" s="73"/>
    </row>
    <row r="1329" spans="2:2" x14ac:dyDescent="0.25">
      <c r="B1329" s="73"/>
    </row>
    <row r="1330" spans="2:2" x14ac:dyDescent="0.25">
      <c r="B1330" s="73"/>
    </row>
    <row r="1331" spans="2:2" x14ac:dyDescent="0.25">
      <c r="B1331" s="73"/>
    </row>
    <row r="1332" spans="2:2" x14ac:dyDescent="0.25">
      <c r="B1332" s="73"/>
    </row>
    <row r="1333" spans="2:2" x14ac:dyDescent="0.25">
      <c r="B1333" s="73"/>
    </row>
    <row r="1334" spans="2:2" x14ac:dyDescent="0.25">
      <c r="B1334" s="73"/>
    </row>
    <row r="1335" spans="2:2" x14ac:dyDescent="0.25">
      <c r="B1335" s="73"/>
    </row>
    <row r="1336" spans="2:2" x14ac:dyDescent="0.25">
      <c r="B1336" s="73"/>
    </row>
    <row r="1337" spans="2:2" x14ac:dyDescent="0.25">
      <c r="B1337" s="73"/>
    </row>
    <row r="1338" spans="2:2" x14ac:dyDescent="0.25">
      <c r="B1338" s="73"/>
    </row>
    <row r="1339" spans="2:2" x14ac:dyDescent="0.25">
      <c r="B1339" s="73"/>
    </row>
    <row r="1340" spans="2:2" x14ac:dyDescent="0.25">
      <c r="B1340" s="73"/>
    </row>
    <row r="1341" spans="2:2" x14ac:dyDescent="0.25">
      <c r="B1341" s="73"/>
    </row>
    <row r="1342" spans="2:2" x14ac:dyDescent="0.25">
      <c r="B1342" s="73"/>
    </row>
    <row r="1343" spans="2:2" x14ac:dyDescent="0.25">
      <c r="B1343" s="73"/>
    </row>
    <row r="1344" spans="2:2" x14ac:dyDescent="0.25">
      <c r="B1344" s="73"/>
    </row>
    <row r="1345" spans="2:2" x14ac:dyDescent="0.25">
      <c r="B1345" s="73"/>
    </row>
    <row r="1346" spans="2:2" x14ac:dyDescent="0.25">
      <c r="B1346" s="73"/>
    </row>
    <row r="1347" spans="2:2" x14ac:dyDescent="0.25">
      <c r="B1347" s="73"/>
    </row>
    <row r="1348" spans="2:2" x14ac:dyDescent="0.25">
      <c r="B1348" s="73"/>
    </row>
    <row r="1349" spans="2:2" x14ac:dyDescent="0.25">
      <c r="B1349" s="73"/>
    </row>
    <row r="1350" spans="2:2" x14ac:dyDescent="0.25">
      <c r="B1350" s="73"/>
    </row>
    <row r="1351" spans="2:2" x14ac:dyDescent="0.25">
      <c r="B1351" s="73"/>
    </row>
    <row r="1352" spans="2:2" x14ac:dyDescent="0.25">
      <c r="B1352" s="73"/>
    </row>
    <row r="1353" spans="2:2" x14ac:dyDescent="0.25">
      <c r="B1353" s="73"/>
    </row>
    <row r="1354" spans="2:2" x14ac:dyDescent="0.25">
      <c r="B1354" s="73"/>
    </row>
    <row r="1355" spans="2:2" x14ac:dyDescent="0.25">
      <c r="B1355" s="73"/>
    </row>
    <row r="1356" spans="2:2" x14ac:dyDescent="0.25">
      <c r="B1356" s="73"/>
    </row>
    <row r="1357" spans="2:2" x14ac:dyDescent="0.25">
      <c r="B1357" s="73"/>
    </row>
    <row r="1358" spans="2:2" x14ac:dyDescent="0.25">
      <c r="B1358" s="73"/>
    </row>
    <row r="1359" spans="2:2" x14ac:dyDescent="0.25">
      <c r="B1359" s="73"/>
    </row>
    <row r="1360" spans="2:2" x14ac:dyDescent="0.25">
      <c r="B1360" s="73"/>
    </row>
    <row r="1361" spans="2:2" x14ac:dyDescent="0.25">
      <c r="B1361" s="73"/>
    </row>
    <row r="1362" spans="2:2" x14ac:dyDescent="0.25">
      <c r="B1362" s="73"/>
    </row>
    <row r="1363" spans="2:2" x14ac:dyDescent="0.25">
      <c r="B1363" s="73"/>
    </row>
    <row r="1364" spans="2:2" x14ac:dyDescent="0.25">
      <c r="B1364" s="73"/>
    </row>
    <row r="1365" spans="2:2" x14ac:dyDescent="0.25">
      <c r="B1365" s="73"/>
    </row>
    <row r="1366" spans="2:2" x14ac:dyDescent="0.25">
      <c r="B1366" s="73"/>
    </row>
    <row r="1367" spans="2:2" x14ac:dyDescent="0.25">
      <c r="B1367" s="73"/>
    </row>
    <row r="1368" spans="2:2" x14ac:dyDescent="0.25">
      <c r="B1368" s="73"/>
    </row>
    <row r="1369" spans="2:2" x14ac:dyDescent="0.25">
      <c r="B1369" s="73"/>
    </row>
    <row r="1370" spans="2:2" x14ac:dyDescent="0.25">
      <c r="B1370" s="73"/>
    </row>
    <row r="1371" spans="2:2" x14ac:dyDescent="0.25">
      <c r="B1371" s="73"/>
    </row>
    <row r="1372" spans="2:2" x14ac:dyDescent="0.25">
      <c r="B1372" s="73"/>
    </row>
    <row r="1373" spans="2:2" x14ac:dyDescent="0.25">
      <c r="B1373" s="73"/>
    </row>
    <row r="1374" spans="2:2" x14ac:dyDescent="0.25">
      <c r="B1374" s="73"/>
    </row>
    <row r="1375" spans="2:2" x14ac:dyDescent="0.25">
      <c r="B1375" s="73"/>
    </row>
    <row r="1376" spans="2:2" x14ac:dyDescent="0.25">
      <c r="B1376" s="73"/>
    </row>
    <row r="1377" spans="2:2" x14ac:dyDescent="0.25">
      <c r="B1377" s="73"/>
    </row>
    <row r="1378" spans="2:2" x14ac:dyDescent="0.25">
      <c r="B1378" s="73"/>
    </row>
    <row r="1379" spans="2:2" x14ac:dyDescent="0.25">
      <c r="B1379" s="73"/>
    </row>
    <row r="1380" spans="2:2" x14ac:dyDescent="0.25">
      <c r="B1380" s="73"/>
    </row>
    <row r="1381" spans="2:2" x14ac:dyDescent="0.25">
      <c r="B1381" s="73"/>
    </row>
    <row r="1382" spans="2:2" x14ac:dyDescent="0.25">
      <c r="B1382" s="73"/>
    </row>
    <row r="1383" spans="2:2" x14ac:dyDescent="0.25">
      <c r="B1383" s="73"/>
    </row>
    <row r="1384" spans="2:2" x14ac:dyDescent="0.25">
      <c r="B1384" s="73"/>
    </row>
    <row r="1385" spans="2:2" x14ac:dyDescent="0.25">
      <c r="B1385" s="73"/>
    </row>
    <row r="1386" spans="2:2" x14ac:dyDescent="0.25">
      <c r="B1386" s="73"/>
    </row>
    <row r="1387" spans="2:2" x14ac:dyDescent="0.25">
      <c r="B1387" s="73"/>
    </row>
    <row r="1388" spans="2:2" x14ac:dyDescent="0.25">
      <c r="B1388" s="73"/>
    </row>
    <row r="1389" spans="2:2" x14ac:dyDescent="0.25">
      <c r="B1389" s="73"/>
    </row>
    <row r="1390" spans="2:2" x14ac:dyDescent="0.25">
      <c r="B1390" s="73"/>
    </row>
    <row r="1391" spans="2:2" x14ac:dyDescent="0.25">
      <c r="B1391" s="73"/>
    </row>
    <row r="1392" spans="2:2" x14ac:dyDescent="0.25">
      <c r="B1392" s="73"/>
    </row>
    <row r="1393" spans="2:2" x14ac:dyDescent="0.25">
      <c r="B1393" s="73"/>
    </row>
    <row r="1394" spans="2:2" x14ac:dyDescent="0.25">
      <c r="B1394" s="73"/>
    </row>
    <row r="1395" spans="2:2" x14ac:dyDescent="0.25">
      <c r="B1395" s="73"/>
    </row>
    <row r="1396" spans="2:2" x14ac:dyDescent="0.25">
      <c r="B1396" s="73"/>
    </row>
    <row r="1397" spans="2:2" x14ac:dyDescent="0.25">
      <c r="B1397" s="73"/>
    </row>
    <row r="1398" spans="2:2" x14ac:dyDescent="0.25">
      <c r="B1398" s="73"/>
    </row>
    <row r="1399" spans="2:2" x14ac:dyDescent="0.25">
      <c r="B1399" s="73"/>
    </row>
    <row r="1400" spans="2:2" x14ac:dyDescent="0.25">
      <c r="B1400" s="73"/>
    </row>
    <row r="1401" spans="2:2" x14ac:dyDescent="0.25">
      <c r="B1401" s="73"/>
    </row>
    <row r="1402" spans="2:2" x14ac:dyDescent="0.25">
      <c r="B1402" s="73"/>
    </row>
    <row r="1403" spans="2:2" x14ac:dyDescent="0.25">
      <c r="B1403" s="73"/>
    </row>
    <row r="1404" spans="2:2" x14ac:dyDescent="0.25">
      <c r="B1404" s="73"/>
    </row>
    <row r="1405" spans="2:2" x14ac:dyDescent="0.25">
      <c r="B1405" s="73"/>
    </row>
    <row r="1406" spans="2:2" x14ac:dyDescent="0.25">
      <c r="B1406" s="73"/>
    </row>
    <row r="1407" spans="2:2" x14ac:dyDescent="0.25">
      <c r="B1407" s="73"/>
    </row>
    <row r="1408" spans="2:2" x14ac:dyDescent="0.25">
      <c r="B1408" s="73"/>
    </row>
    <row r="1409" spans="2:2" x14ac:dyDescent="0.25">
      <c r="B1409" s="73"/>
    </row>
    <row r="1410" spans="2:2" x14ac:dyDescent="0.25">
      <c r="B1410" s="73"/>
    </row>
    <row r="1411" spans="2:2" x14ac:dyDescent="0.25">
      <c r="B1411" s="73"/>
    </row>
    <row r="1412" spans="2:2" x14ac:dyDescent="0.25">
      <c r="B1412" s="73"/>
    </row>
    <row r="1413" spans="2:2" x14ac:dyDescent="0.25">
      <c r="B1413" s="73"/>
    </row>
    <row r="1414" spans="2:2" x14ac:dyDescent="0.25">
      <c r="B1414" s="73"/>
    </row>
    <row r="1415" spans="2:2" x14ac:dyDescent="0.25">
      <c r="B1415" s="73"/>
    </row>
    <row r="1416" spans="2:2" x14ac:dyDescent="0.25">
      <c r="B1416" s="73"/>
    </row>
    <row r="1417" spans="2:2" x14ac:dyDescent="0.25">
      <c r="B1417" s="73"/>
    </row>
    <row r="1418" spans="2:2" x14ac:dyDescent="0.25">
      <c r="B1418" s="73"/>
    </row>
    <row r="1419" spans="2:2" x14ac:dyDescent="0.25">
      <c r="B1419" s="73"/>
    </row>
    <row r="1420" spans="2:2" x14ac:dyDescent="0.25">
      <c r="B1420" s="73"/>
    </row>
    <row r="1421" spans="2:2" x14ac:dyDescent="0.25">
      <c r="B1421" s="73"/>
    </row>
    <row r="1422" spans="2:2" x14ac:dyDescent="0.25">
      <c r="B1422" s="73"/>
    </row>
    <row r="1423" spans="2:2" x14ac:dyDescent="0.25">
      <c r="B1423" s="73"/>
    </row>
    <row r="1424" spans="2:2" x14ac:dyDescent="0.25">
      <c r="B1424" s="73"/>
    </row>
    <row r="1425" spans="2:2" x14ac:dyDescent="0.25">
      <c r="B1425" s="73"/>
    </row>
    <row r="1426" spans="2:2" x14ac:dyDescent="0.25">
      <c r="B1426" s="73"/>
    </row>
    <row r="1427" spans="2:2" x14ac:dyDescent="0.25">
      <c r="B1427" s="73"/>
    </row>
    <row r="1428" spans="2:2" x14ac:dyDescent="0.25">
      <c r="B1428" s="73"/>
    </row>
    <row r="1429" spans="2:2" x14ac:dyDescent="0.25">
      <c r="B1429" s="73"/>
    </row>
    <row r="1430" spans="2:2" x14ac:dyDescent="0.25">
      <c r="B1430" s="73"/>
    </row>
    <row r="1431" spans="2:2" x14ac:dyDescent="0.25">
      <c r="B1431" s="73"/>
    </row>
    <row r="1432" spans="2:2" x14ac:dyDescent="0.25">
      <c r="B1432" s="73"/>
    </row>
    <row r="1433" spans="2:2" x14ac:dyDescent="0.25">
      <c r="B1433" s="73"/>
    </row>
    <row r="1434" spans="2:2" x14ac:dyDescent="0.25">
      <c r="B1434" s="73"/>
    </row>
    <row r="1435" spans="2:2" x14ac:dyDescent="0.25">
      <c r="B1435" s="73"/>
    </row>
    <row r="1436" spans="2:2" x14ac:dyDescent="0.25">
      <c r="B1436" s="73"/>
    </row>
    <row r="1437" spans="2:2" x14ac:dyDescent="0.25">
      <c r="B1437" s="73"/>
    </row>
    <row r="1438" spans="2:2" x14ac:dyDescent="0.25">
      <c r="B1438" s="73"/>
    </row>
    <row r="1439" spans="2:2" x14ac:dyDescent="0.25">
      <c r="B1439" s="73"/>
    </row>
    <row r="1440" spans="2:2" x14ac:dyDescent="0.25">
      <c r="B1440" s="73"/>
    </row>
    <row r="1441" spans="2:2" x14ac:dyDescent="0.25">
      <c r="B1441" s="73"/>
    </row>
    <row r="1442" spans="2:2" x14ac:dyDescent="0.25">
      <c r="B1442" s="73"/>
    </row>
    <row r="1443" spans="2:2" x14ac:dyDescent="0.25">
      <c r="B1443" s="73"/>
    </row>
    <row r="1444" spans="2:2" x14ac:dyDescent="0.25">
      <c r="B1444" s="73"/>
    </row>
    <row r="1445" spans="2:2" x14ac:dyDescent="0.25">
      <c r="B1445" s="73"/>
    </row>
    <row r="1446" spans="2:2" x14ac:dyDescent="0.25">
      <c r="B1446" s="73"/>
    </row>
    <row r="1447" spans="2:2" x14ac:dyDescent="0.25">
      <c r="B1447" s="73"/>
    </row>
    <row r="1448" spans="2:2" x14ac:dyDescent="0.25">
      <c r="B1448" s="73"/>
    </row>
    <row r="1449" spans="2:2" x14ac:dyDescent="0.25">
      <c r="B1449" s="73"/>
    </row>
    <row r="1450" spans="2:2" x14ac:dyDescent="0.25">
      <c r="B1450" s="73"/>
    </row>
    <row r="1451" spans="2:2" x14ac:dyDescent="0.25">
      <c r="B1451" s="73"/>
    </row>
    <row r="1452" spans="2:2" x14ac:dyDescent="0.25">
      <c r="B1452" s="73"/>
    </row>
    <row r="1453" spans="2:2" x14ac:dyDescent="0.25">
      <c r="B1453" s="73"/>
    </row>
    <row r="1454" spans="2:2" x14ac:dyDescent="0.25">
      <c r="B1454" s="73"/>
    </row>
    <row r="1455" spans="2:2" x14ac:dyDescent="0.25">
      <c r="B1455" s="73"/>
    </row>
    <row r="1456" spans="2:2" x14ac:dyDescent="0.25">
      <c r="B1456" s="73"/>
    </row>
    <row r="1457" spans="2:2" x14ac:dyDescent="0.25">
      <c r="B1457" s="73"/>
    </row>
    <row r="1458" spans="2:2" x14ac:dyDescent="0.25">
      <c r="B1458" s="73"/>
    </row>
    <row r="1459" spans="2:2" x14ac:dyDescent="0.25">
      <c r="B1459" s="73"/>
    </row>
    <row r="1460" spans="2:2" x14ac:dyDescent="0.25">
      <c r="B1460" s="73"/>
    </row>
    <row r="1461" spans="2:2" x14ac:dyDescent="0.25">
      <c r="B1461" s="73"/>
    </row>
    <row r="1462" spans="2:2" x14ac:dyDescent="0.25">
      <c r="B1462" s="73"/>
    </row>
    <row r="1463" spans="2:2" x14ac:dyDescent="0.25">
      <c r="B1463" s="73"/>
    </row>
    <row r="1464" spans="2:2" x14ac:dyDescent="0.25">
      <c r="B1464" s="73"/>
    </row>
    <row r="1465" spans="2:2" x14ac:dyDescent="0.25">
      <c r="B1465" s="73"/>
    </row>
    <row r="1466" spans="2:2" x14ac:dyDescent="0.25">
      <c r="B1466" s="73"/>
    </row>
    <row r="1467" spans="2:2" x14ac:dyDescent="0.25">
      <c r="B1467" s="73"/>
    </row>
    <row r="1468" spans="2:2" x14ac:dyDescent="0.25">
      <c r="B1468" s="73"/>
    </row>
    <row r="1469" spans="2:2" x14ac:dyDescent="0.25">
      <c r="B1469" s="73"/>
    </row>
    <row r="1470" spans="2:2" x14ac:dyDescent="0.25">
      <c r="B1470" s="73"/>
    </row>
    <row r="1471" spans="2:2" x14ac:dyDescent="0.25">
      <c r="B1471" s="73"/>
    </row>
    <row r="1472" spans="2:2" x14ac:dyDescent="0.25">
      <c r="B1472" s="73"/>
    </row>
    <row r="1473" spans="2:2" x14ac:dyDescent="0.25">
      <c r="B1473" s="73"/>
    </row>
    <row r="1474" spans="2:2" x14ac:dyDescent="0.25">
      <c r="B1474" s="73"/>
    </row>
    <row r="1475" spans="2:2" x14ac:dyDescent="0.25">
      <c r="B1475" s="73"/>
    </row>
    <row r="1476" spans="2:2" x14ac:dyDescent="0.25">
      <c r="B1476" s="73"/>
    </row>
    <row r="1477" spans="2:2" x14ac:dyDescent="0.25">
      <c r="B1477" s="73"/>
    </row>
    <row r="1478" spans="2:2" x14ac:dyDescent="0.25">
      <c r="B1478" s="73"/>
    </row>
    <row r="1479" spans="2:2" x14ac:dyDescent="0.25">
      <c r="B1479" s="73"/>
    </row>
    <row r="1480" spans="2:2" x14ac:dyDescent="0.25">
      <c r="B1480" s="73"/>
    </row>
    <row r="1481" spans="2:2" x14ac:dyDescent="0.25">
      <c r="B1481" s="73"/>
    </row>
    <row r="1482" spans="2:2" x14ac:dyDescent="0.25">
      <c r="B1482" s="73"/>
    </row>
    <row r="1483" spans="2:2" x14ac:dyDescent="0.25">
      <c r="B1483" s="73"/>
    </row>
    <row r="1484" spans="2:2" x14ac:dyDescent="0.25">
      <c r="B1484" s="73"/>
    </row>
    <row r="1485" spans="2:2" x14ac:dyDescent="0.25">
      <c r="B1485" s="73"/>
    </row>
    <row r="1486" spans="2:2" x14ac:dyDescent="0.25">
      <c r="B1486" s="73"/>
    </row>
    <row r="1487" spans="2:2" x14ac:dyDescent="0.25">
      <c r="B1487" s="73"/>
    </row>
    <row r="1488" spans="2:2" x14ac:dyDescent="0.25">
      <c r="B1488" s="73"/>
    </row>
    <row r="1489" spans="2:2" x14ac:dyDescent="0.25">
      <c r="B1489" s="73"/>
    </row>
    <row r="1490" spans="2:2" x14ac:dyDescent="0.25">
      <c r="B1490" s="73"/>
    </row>
    <row r="1491" spans="2:2" x14ac:dyDescent="0.25">
      <c r="B1491" s="73"/>
    </row>
    <row r="1492" spans="2:2" x14ac:dyDescent="0.25">
      <c r="B1492" s="73"/>
    </row>
    <row r="1493" spans="2:2" x14ac:dyDescent="0.25">
      <c r="B1493" s="73"/>
    </row>
    <row r="1494" spans="2:2" x14ac:dyDescent="0.25">
      <c r="B1494" s="73"/>
    </row>
    <row r="1495" spans="2:2" x14ac:dyDescent="0.25">
      <c r="B1495" s="73"/>
    </row>
    <row r="1496" spans="2:2" x14ac:dyDescent="0.25">
      <c r="B1496" s="73"/>
    </row>
    <row r="1497" spans="2:2" x14ac:dyDescent="0.25">
      <c r="B1497" s="73"/>
    </row>
    <row r="1498" spans="2:2" x14ac:dyDescent="0.25">
      <c r="B1498" s="73"/>
    </row>
    <row r="1499" spans="2:2" x14ac:dyDescent="0.25">
      <c r="B1499" s="73"/>
    </row>
    <row r="1500" spans="2:2" x14ac:dyDescent="0.25">
      <c r="B1500" s="73"/>
    </row>
    <row r="1501" spans="2:2" x14ac:dyDescent="0.25">
      <c r="B1501" s="73"/>
    </row>
    <row r="1502" spans="2:2" x14ac:dyDescent="0.25">
      <c r="B1502" s="73"/>
    </row>
    <row r="1503" spans="2:2" x14ac:dyDescent="0.25">
      <c r="B1503" s="73"/>
    </row>
    <row r="1504" spans="2:2" x14ac:dyDescent="0.25">
      <c r="B1504" s="73"/>
    </row>
    <row r="1505" spans="2:2" x14ac:dyDescent="0.25">
      <c r="B1505" s="73"/>
    </row>
    <row r="1506" spans="2:2" x14ac:dyDescent="0.25">
      <c r="B1506" s="73"/>
    </row>
    <row r="1507" spans="2:2" x14ac:dyDescent="0.25">
      <c r="B1507" s="73"/>
    </row>
    <row r="1508" spans="2:2" x14ac:dyDescent="0.25">
      <c r="B1508" s="73"/>
    </row>
    <row r="1509" spans="2:2" x14ac:dyDescent="0.25">
      <c r="B1509" s="73"/>
    </row>
    <row r="1510" spans="2:2" x14ac:dyDescent="0.25">
      <c r="B1510" s="73"/>
    </row>
    <row r="1511" spans="2:2" x14ac:dyDescent="0.25">
      <c r="B1511" s="73"/>
    </row>
    <row r="1512" spans="2:2" x14ac:dyDescent="0.25">
      <c r="B1512" s="73"/>
    </row>
    <row r="1513" spans="2:2" x14ac:dyDescent="0.25">
      <c r="B1513" s="73"/>
    </row>
    <row r="1514" spans="2:2" x14ac:dyDescent="0.25">
      <c r="B1514" s="73"/>
    </row>
    <row r="1515" spans="2:2" x14ac:dyDescent="0.25">
      <c r="B1515" s="73"/>
    </row>
    <row r="1516" spans="2:2" x14ac:dyDescent="0.25">
      <c r="B1516" s="73"/>
    </row>
    <row r="1517" spans="2:2" x14ac:dyDescent="0.25">
      <c r="B1517" s="73"/>
    </row>
    <row r="1518" spans="2:2" x14ac:dyDescent="0.25">
      <c r="B1518" s="73"/>
    </row>
    <row r="1519" spans="2:2" x14ac:dyDescent="0.25">
      <c r="B1519" s="73"/>
    </row>
    <row r="1520" spans="2:2" x14ac:dyDescent="0.25">
      <c r="B1520" s="73"/>
    </row>
    <row r="1521" spans="2:2" x14ac:dyDescent="0.25">
      <c r="B1521" s="73"/>
    </row>
    <row r="1522" spans="2:2" x14ac:dyDescent="0.25">
      <c r="B1522" s="73"/>
    </row>
    <row r="1523" spans="2:2" x14ac:dyDescent="0.25">
      <c r="B1523" s="73"/>
    </row>
    <row r="1524" spans="2:2" x14ac:dyDescent="0.25">
      <c r="B1524" s="73"/>
    </row>
    <row r="1525" spans="2:2" x14ac:dyDescent="0.25">
      <c r="B1525" s="73"/>
    </row>
    <row r="1526" spans="2:2" x14ac:dyDescent="0.25">
      <c r="B1526" s="73"/>
    </row>
    <row r="1527" spans="2:2" x14ac:dyDescent="0.25">
      <c r="B1527" s="73"/>
    </row>
    <row r="1528" spans="2:2" x14ac:dyDescent="0.25">
      <c r="B1528" s="73"/>
    </row>
    <row r="1529" spans="2:2" x14ac:dyDescent="0.25">
      <c r="B1529" s="73"/>
    </row>
    <row r="1530" spans="2:2" x14ac:dyDescent="0.25">
      <c r="B1530" s="73"/>
    </row>
    <row r="1531" spans="2:2" x14ac:dyDescent="0.25">
      <c r="B1531" s="73"/>
    </row>
    <row r="1532" spans="2:2" x14ac:dyDescent="0.25">
      <c r="B1532" s="73"/>
    </row>
    <row r="1533" spans="2:2" x14ac:dyDescent="0.25">
      <c r="B1533" s="73"/>
    </row>
    <row r="1534" spans="2:2" x14ac:dyDescent="0.25">
      <c r="B1534" s="73"/>
    </row>
    <row r="1535" spans="2:2" x14ac:dyDescent="0.25">
      <c r="B1535" s="73"/>
    </row>
    <row r="1536" spans="2:2" x14ac:dyDescent="0.25">
      <c r="B1536" s="73"/>
    </row>
    <row r="1537" spans="2:2" x14ac:dyDescent="0.25">
      <c r="B1537" s="73"/>
    </row>
    <row r="1538" spans="2:2" x14ac:dyDescent="0.25">
      <c r="B1538" s="73"/>
    </row>
    <row r="1539" spans="2:2" x14ac:dyDescent="0.25">
      <c r="B1539" s="73"/>
    </row>
    <row r="1540" spans="2:2" x14ac:dyDescent="0.25">
      <c r="B1540" s="73"/>
    </row>
    <row r="1541" spans="2:2" x14ac:dyDescent="0.25">
      <c r="B1541" s="73"/>
    </row>
    <row r="1542" spans="2:2" x14ac:dyDescent="0.25">
      <c r="B1542" s="73"/>
    </row>
    <row r="1543" spans="2:2" x14ac:dyDescent="0.25">
      <c r="B1543" s="73"/>
    </row>
    <row r="1544" spans="2:2" x14ac:dyDescent="0.25">
      <c r="B1544" s="73"/>
    </row>
    <row r="1545" spans="2:2" x14ac:dyDescent="0.25">
      <c r="B1545" s="73"/>
    </row>
    <row r="1546" spans="2:2" x14ac:dyDescent="0.25">
      <c r="B1546" s="73"/>
    </row>
    <row r="1547" spans="2:2" x14ac:dyDescent="0.25">
      <c r="B1547" s="73"/>
    </row>
    <row r="1548" spans="2:2" x14ac:dyDescent="0.25">
      <c r="B1548" s="73"/>
    </row>
    <row r="1549" spans="2:2" x14ac:dyDescent="0.25">
      <c r="B1549" s="73"/>
    </row>
    <row r="1550" spans="2:2" x14ac:dyDescent="0.25">
      <c r="B1550" s="73"/>
    </row>
    <row r="1551" spans="2:2" x14ac:dyDescent="0.25">
      <c r="B1551" s="73"/>
    </row>
    <row r="1552" spans="2:2" x14ac:dyDescent="0.25">
      <c r="B1552" s="73"/>
    </row>
    <row r="1553" spans="2:2" x14ac:dyDescent="0.25">
      <c r="B1553" s="73"/>
    </row>
    <row r="1554" spans="2:2" x14ac:dyDescent="0.25">
      <c r="B1554" s="73"/>
    </row>
    <row r="1555" spans="2:2" x14ac:dyDescent="0.25">
      <c r="B1555" s="73"/>
    </row>
    <row r="1556" spans="2:2" x14ac:dyDescent="0.25">
      <c r="B1556" s="73"/>
    </row>
    <row r="1557" spans="2:2" x14ac:dyDescent="0.25">
      <c r="B1557" s="73"/>
    </row>
    <row r="1558" spans="2:2" x14ac:dyDescent="0.25">
      <c r="B1558" s="73"/>
    </row>
    <row r="1559" spans="2:2" x14ac:dyDescent="0.25">
      <c r="B1559" s="73"/>
    </row>
    <row r="1560" spans="2:2" x14ac:dyDescent="0.25">
      <c r="B1560" s="73"/>
    </row>
    <row r="1561" spans="2:2" x14ac:dyDescent="0.25">
      <c r="B1561" s="73"/>
    </row>
    <row r="1562" spans="2:2" x14ac:dyDescent="0.25">
      <c r="B1562" s="73"/>
    </row>
    <row r="1563" spans="2:2" x14ac:dyDescent="0.25">
      <c r="B1563" s="73"/>
    </row>
    <row r="1564" spans="2:2" x14ac:dyDescent="0.25">
      <c r="B1564" s="73"/>
    </row>
    <row r="1565" spans="2:2" x14ac:dyDescent="0.25">
      <c r="B1565" s="73"/>
    </row>
    <row r="1566" spans="2:2" x14ac:dyDescent="0.25">
      <c r="B1566" s="73"/>
    </row>
    <row r="1567" spans="2:2" x14ac:dyDescent="0.25">
      <c r="B1567" s="73"/>
    </row>
    <row r="1568" spans="2:2" x14ac:dyDescent="0.25">
      <c r="B1568" s="73"/>
    </row>
    <row r="1569" spans="2:2" x14ac:dyDescent="0.25">
      <c r="B1569" s="73"/>
    </row>
    <row r="1570" spans="2:2" x14ac:dyDescent="0.25">
      <c r="B1570" s="73"/>
    </row>
    <row r="1571" spans="2:2" x14ac:dyDescent="0.25">
      <c r="B1571" s="73"/>
    </row>
    <row r="1572" spans="2:2" x14ac:dyDescent="0.25">
      <c r="B1572" s="73"/>
    </row>
    <row r="1573" spans="2:2" x14ac:dyDescent="0.25">
      <c r="B1573" s="73"/>
    </row>
    <row r="1574" spans="2:2" x14ac:dyDescent="0.25">
      <c r="B1574" s="73"/>
    </row>
    <row r="1575" spans="2:2" x14ac:dyDescent="0.25">
      <c r="B1575" s="73"/>
    </row>
    <row r="1576" spans="2:2" x14ac:dyDescent="0.25">
      <c r="B1576" s="73"/>
    </row>
    <row r="1577" spans="2:2" x14ac:dyDescent="0.25">
      <c r="B1577" s="73"/>
    </row>
    <row r="1578" spans="2:2" x14ac:dyDescent="0.25">
      <c r="B1578" s="73"/>
    </row>
    <row r="1579" spans="2:2" x14ac:dyDescent="0.25">
      <c r="B1579" s="73"/>
    </row>
    <row r="1580" spans="2:2" x14ac:dyDescent="0.25">
      <c r="B1580" s="73"/>
    </row>
    <row r="1581" spans="2:2" x14ac:dyDescent="0.25">
      <c r="B1581" s="73"/>
    </row>
    <row r="1582" spans="2:2" x14ac:dyDescent="0.25">
      <c r="B1582" s="73"/>
    </row>
    <row r="1583" spans="2:2" x14ac:dyDescent="0.25">
      <c r="B1583" s="73"/>
    </row>
    <row r="1584" spans="2:2" x14ac:dyDescent="0.25">
      <c r="B1584" s="73"/>
    </row>
    <row r="1585" spans="2:2" x14ac:dyDescent="0.25">
      <c r="B1585" s="73"/>
    </row>
    <row r="1586" spans="2:2" x14ac:dyDescent="0.25">
      <c r="B1586" s="73"/>
    </row>
    <row r="1587" spans="2:2" x14ac:dyDescent="0.25">
      <c r="B1587" s="73"/>
    </row>
    <row r="1588" spans="2:2" x14ac:dyDescent="0.25">
      <c r="B1588" s="73"/>
    </row>
    <row r="1589" spans="2:2" x14ac:dyDescent="0.25">
      <c r="B1589" s="73"/>
    </row>
    <row r="1590" spans="2:2" x14ac:dyDescent="0.25">
      <c r="B1590" s="73"/>
    </row>
    <row r="1591" spans="2:2" x14ac:dyDescent="0.25">
      <c r="B1591" s="73"/>
    </row>
    <row r="1592" spans="2:2" x14ac:dyDescent="0.25">
      <c r="B1592" s="73"/>
    </row>
    <row r="1593" spans="2:2" x14ac:dyDescent="0.25">
      <c r="B1593" s="73"/>
    </row>
    <row r="1594" spans="2:2" x14ac:dyDescent="0.25">
      <c r="B1594" s="73"/>
    </row>
    <row r="1595" spans="2:2" x14ac:dyDescent="0.25">
      <c r="B1595" s="73"/>
    </row>
    <row r="1596" spans="2:2" x14ac:dyDescent="0.25">
      <c r="B1596" s="73"/>
    </row>
    <row r="1597" spans="2:2" x14ac:dyDescent="0.25">
      <c r="B1597" s="73"/>
    </row>
    <row r="1598" spans="2:2" x14ac:dyDescent="0.25">
      <c r="B1598" s="73"/>
    </row>
    <row r="1599" spans="2:2" x14ac:dyDescent="0.25">
      <c r="B1599" s="73"/>
    </row>
    <row r="1600" spans="2:2" x14ac:dyDescent="0.25">
      <c r="B1600" s="73"/>
    </row>
    <row r="1601" spans="2:2" x14ac:dyDescent="0.25">
      <c r="B1601" s="73"/>
    </row>
    <row r="1602" spans="2:2" x14ac:dyDescent="0.25">
      <c r="B1602" s="73"/>
    </row>
    <row r="1603" spans="2:2" x14ac:dyDescent="0.25">
      <c r="B1603" s="73"/>
    </row>
    <row r="1604" spans="2:2" x14ac:dyDescent="0.25">
      <c r="B1604" s="73"/>
    </row>
    <row r="1605" spans="2:2" x14ac:dyDescent="0.25">
      <c r="B1605" s="73"/>
    </row>
    <row r="1606" spans="2:2" x14ac:dyDescent="0.25">
      <c r="B1606" s="73"/>
    </row>
    <row r="1607" spans="2:2" x14ac:dyDescent="0.25">
      <c r="B1607" s="73"/>
    </row>
    <row r="1608" spans="2:2" x14ac:dyDescent="0.25">
      <c r="B1608" s="73"/>
    </row>
    <row r="1609" spans="2:2" x14ac:dyDescent="0.25">
      <c r="B1609" s="73"/>
    </row>
    <row r="1610" spans="2:2" x14ac:dyDescent="0.25">
      <c r="B1610" s="73"/>
    </row>
    <row r="1611" spans="2:2" x14ac:dyDescent="0.25">
      <c r="B1611" s="73"/>
    </row>
    <row r="1612" spans="2:2" x14ac:dyDescent="0.25">
      <c r="B1612" s="73"/>
    </row>
    <row r="1613" spans="2:2" x14ac:dyDescent="0.25">
      <c r="B1613" s="73"/>
    </row>
    <row r="1614" spans="2:2" x14ac:dyDescent="0.25">
      <c r="B1614" s="73"/>
    </row>
    <row r="1615" spans="2:2" x14ac:dyDescent="0.25">
      <c r="B1615" s="73"/>
    </row>
    <row r="1616" spans="2:2" x14ac:dyDescent="0.25">
      <c r="B1616" s="73"/>
    </row>
    <row r="1617" spans="2:2" x14ac:dyDescent="0.25">
      <c r="B1617" s="73"/>
    </row>
    <row r="1618" spans="2:2" x14ac:dyDescent="0.25">
      <c r="B1618" s="73"/>
    </row>
    <row r="1619" spans="2:2" x14ac:dyDescent="0.25">
      <c r="B1619" s="73"/>
    </row>
    <row r="1620" spans="2:2" x14ac:dyDescent="0.25">
      <c r="B1620" s="73"/>
    </row>
    <row r="1621" spans="2:2" x14ac:dyDescent="0.25">
      <c r="B1621" s="73"/>
    </row>
    <row r="1622" spans="2:2" x14ac:dyDescent="0.25">
      <c r="B1622" s="73"/>
    </row>
    <row r="1623" spans="2:2" x14ac:dyDescent="0.25">
      <c r="B1623" s="73"/>
    </row>
    <row r="1624" spans="2:2" x14ac:dyDescent="0.25">
      <c r="B1624" s="73"/>
    </row>
    <row r="1625" spans="2:2" x14ac:dyDescent="0.25">
      <c r="B1625" s="73"/>
    </row>
    <row r="1626" spans="2:2" x14ac:dyDescent="0.25">
      <c r="B1626" s="73"/>
    </row>
    <row r="1627" spans="2:2" x14ac:dyDescent="0.25">
      <c r="B1627" s="73"/>
    </row>
    <row r="1628" spans="2:2" x14ac:dyDescent="0.25">
      <c r="B1628" s="73"/>
    </row>
    <row r="1629" spans="2:2" x14ac:dyDescent="0.25">
      <c r="B1629" s="73"/>
    </row>
    <row r="1630" spans="2:2" x14ac:dyDescent="0.25">
      <c r="B1630" s="73"/>
    </row>
    <row r="1631" spans="2:2" x14ac:dyDescent="0.25">
      <c r="B1631" s="73"/>
    </row>
    <row r="1632" spans="2:2" x14ac:dyDescent="0.25">
      <c r="B1632" s="73"/>
    </row>
    <row r="1633" spans="2:2" x14ac:dyDescent="0.25">
      <c r="B1633" s="73"/>
    </row>
    <row r="1634" spans="2:2" x14ac:dyDescent="0.25">
      <c r="B1634" s="73"/>
    </row>
    <row r="1635" spans="2:2" x14ac:dyDescent="0.25">
      <c r="B1635" s="73"/>
    </row>
    <row r="1636" spans="2:2" x14ac:dyDescent="0.25">
      <c r="B1636" s="73"/>
    </row>
    <row r="1637" spans="2:2" x14ac:dyDescent="0.25">
      <c r="B1637" s="73"/>
    </row>
    <row r="1638" spans="2:2" x14ac:dyDescent="0.25">
      <c r="B1638" s="73"/>
    </row>
    <row r="1639" spans="2:2" x14ac:dyDescent="0.25">
      <c r="B1639" s="73"/>
    </row>
    <row r="1640" spans="2:2" x14ac:dyDescent="0.25">
      <c r="B1640" s="73"/>
    </row>
    <row r="1641" spans="2:2" x14ac:dyDescent="0.25">
      <c r="B1641" s="73"/>
    </row>
    <row r="1642" spans="2:2" x14ac:dyDescent="0.25">
      <c r="B1642" s="73"/>
    </row>
    <row r="1643" spans="2:2" x14ac:dyDescent="0.25">
      <c r="B1643" s="73"/>
    </row>
    <row r="1644" spans="2:2" x14ac:dyDescent="0.25">
      <c r="B1644" s="73"/>
    </row>
    <row r="1645" spans="2:2" x14ac:dyDescent="0.25">
      <c r="B1645" s="73"/>
    </row>
    <row r="1646" spans="2:2" x14ac:dyDescent="0.25">
      <c r="B1646" s="73"/>
    </row>
    <row r="1647" spans="2:2" x14ac:dyDescent="0.25">
      <c r="B1647" s="73"/>
    </row>
    <row r="1648" spans="2:2" x14ac:dyDescent="0.25">
      <c r="B1648" s="73"/>
    </row>
    <row r="1649" spans="2:2" x14ac:dyDescent="0.25">
      <c r="B1649" s="73"/>
    </row>
    <row r="1650" spans="2:2" x14ac:dyDescent="0.25">
      <c r="B1650" s="73"/>
    </row>
    <row r="1651" spans="2:2" x14ac:dyDescent="0.25">
      <c r="B1651" s="73"/>
    </row>
    <row r="1652" spans="2:2" x14ac:dyDescent="0.25">
      <c r="B1652" s="73"/>
    </row>
    <row r="1653" spans="2:2" x14ac:dyDescent="0.25">
      <c r="B1653" s="73"/>
    </row>
    <row r="1654" spans="2:2" x14ac:dyDescent="0.25">
      <c r="B1654" s="73"/>
    </row>
    <row r="1655" spans="2:2" x14ac:dyDescent="0.25">
      <c r="B1655" s="73"/>
    </row>
    <row r="1656" spans="2:2" x14ac:dyDescent="0.25">
      <c r="B1656" s="73"/>
    </row>
    <row r="1657" spans="2:2" x14ac:dyDescent="0.25">
      <c r="B1657" s="73"/>
    </row>
    <row r="1658" spans="2:2" x14ac:dyDescent="0.25">
      <c r="B1658" s="73"/>
    </row>
    <row r="1659" spans="2:2" x14ac:dyDescent="0.25">
      <c r="B1659" s="73"/>
    </row>
    <row r="1660" spans="2:2" x14ac:dyDescent="0.25">
      <c r="B1660" s="73"/>
    </row>
    <row r="1661" spans="2:2" x14ac:dyDescent="0.25">
      <c r="B1661" s="73"/>
    </row>
    <row r="1662" spans="2:2" x14ac:dyDescent="0.25">
      <c r="B1662" s="73"/>
    </row>
    <row r="1663" spans="2:2" x14ac:dyDescent="0.25">
      <c r="B1663" s="73"/>
    </row>
    <row r="1664" spans="2:2" x14ac:dyDescent="0.25">
      <c r="B1664" s="73"/>
    </row>
    <row r="1665" spans="2:2" x14ac:dyDescent="0.25">
      <c r="B1665" s="73"/>
    </row>
    <row r="1666" spans="2:2" x14ac:dyDescent="0.25">
      <c r="B1666" s="73"/>
    </row>
    <row r="1667" spans="2:2" x14ac:dyDescent="0.25">
      <c r="B1667" s="73"/>
    </row>
    <row r="1668" spans="2:2" x14ac:dyDescent="0.25">
      <c r="B1668" s="73"/>
    </row>
    <row r="1669" spans="2:2" x14ac:dyDescent="0.25">
      <c r="B1669" s="73"/>
    </row>
    <row r="1670" spans="2:2" x14ac:dyDescent="0.25">
      <c r="B1670" s="73"/>
    </row>
    <row r="1671" spans="2:2" x14ac:dyDescent="0.25">
      <c r="B1671" s="73"/>
    </row>
    <row r="1672" spans="2:2" x14ac:dyDescent="0.25">
      <c r="B1672" s="73"/>
    </row>
    <row r="1673" spans="2:2" x14ac:dyDescent="0.25">
      <c r="B1673" s="73"/>
    </row>
    <row r="1674" spans="2:2" x14ac:dyDescent="0.25">
      <c r="B1674" s="73"/>
    </row>
    <row r="1675" spans="2:2" x14ac:dyDescent="0.25">
      <c r="B1675" s="73"/>
    </row>
    <row r="1676" spans="2:2" x14ac:dyDescent="0.25">
      <c r="B1676" s="73"/>
    </row>
    <row r="1677" spans="2:2" x14ac:dyDescent="0.25">
      <c r="B1677" s="73"/>
    </row>
    <row r="1678" spans="2:2" x14ac:dyDescent="0.25">
      <c r="B1678" s="73"/>
    </row>
    <row r="1679" spans="2:2" x14ac:dyDescent="0.25">
      <c r="B1679" s="73"/>
    </row>
    <row r="1680" spans="2:2" x14ac:dyDescent="0.25">
      <c r="B1680" s="73"/>
    </row>
    <row r="1681" spans="2:2" x14ac:dyDescent="0.25">
      <c r="B1681" s="73"/>
    </row>
    <row r="1682" spans="2:2" x14ac:dyDescent="0.25">
      <c r="B1682" s="73"/>
    </row>
    <row r="1683" spans="2:2" x14ac:dyDescent="0.25">
      <c r="B1683" s="73"/>
    </row>
    <row r="1684" spans="2:2" x14ac:dyDescent="0.25">
      <c r="B1684" s="73"/>
    </row>
    <row r="1685" spans="2:2" x14ac:dyDescent="0.25">
      <c r="B1685" s="73"/>
    </row>
    <row r="1686" spans="2:2" x14ac:dyDescent="0.25">
      <c r="B1686" s="73"/>
    </row>
    <row r="1687" spans="2:2" x14ac:dyDescent="0.25">
      <c r="B1687" s="73"/>
    </row>
    <row r="1688" spans="2:2" x14ac:dyDescent="0.25">
      <c r="B1688" s="73"/>
    </row>
    <row r="1689" spans="2:2" x14ac:dyDescent="0.25">
      <c r="B1689" s="73"/>
    </row>
    <row r="1690" spans="2:2" x14ac:dyDescent="0.25">
      <c r="B1690" s="73"/>
    </row>
    <row r="1691" spans="2:2" x14ac:dyDescent="0.25">
      <c r="B1691" s="73"/>
    </row>
    <row r="1692" spans="2:2" x14ac:dyDescent="0.25">
      <c r="B1692" s="73"/>
    </row>
    <row r="1693" spans="2:2" x14ac:dyDescent="0.25">
      <c r="B1693" s="73"/>
    </row>
    <row r="1694" spans="2:2" x14ac:dyDescent="0.25">
      <c r="B1694" s="73"/>
    </row>
    <row r="1695" spans="2:2" x14ac:dyDescent="0.25">
      <c r="B1695" s="73"/>
    </row>
    <row r="1696" spans="2:2" x14ac:dyDescent="0.25">
      <c r="B1696" s="73"/>
    </row>
    <row r="1697" spans="2:2" x14ac:dyDescent="0.25">
      <c r="B1697" s="73"/>
    </row>
    <row r="1698" spans="2:2" x14ac:dyDescent="0.25">
      <c r="B1698" s="73"/>
    </row>
    <row r="1699" spans="2:2" x14ac:dyDescent="0.25">
      <c r="B1699" s="73"/>
    </row>
    <row r="1700" spans="2:2" x14ac:dyDescent="0.25">
      <c r="B1700" s="73"/>
    </row>
    <row r="1701" spans="2:2" x14ac:dyDescent="0.25">
      <c r="B1701" s="73"/>
    </row>
    <row r="1702" spans="2:2" x14ac:dyDescent="0.25">
      <c r="B1702" s="73"/>
    </row>
    <row r="1703" spans="2:2" x14ac:dyDescent="0.25">
      <c r="B1703" s="73"/>
    </row>
    <row r="1704" spans="2:2" x14ac:dyDescent="0.25">
      <c r="B1704" s="73"/>
    </row>
    <row r="1705" spans="2:2" x14ac:dyDescent="0.25">
      <c r="B1705" s="73"/>
    </row>
    <row r="1706" spans="2:2" x14ac:dyDescent="0.25">
      <c r="B1706" s="73"/>
    </row>
    <row r="1707" spans="2:2" x14ac:dyDescent="0.25">
      <c r="B1707" s="73"/>
    </row>
    <row r="1708" spans="2:2" x14ac:dyDescent="0.25">
      <c r="B1708" s="73"/>
    </row>
    <row r="1709" spans="2:2" x14ac:dyDescent="0.25">
      <c r="B1709" s="73"/>
    </row>
    <row r="1710" spans="2:2" x14ac:dyDescent="0.25">
      <c r="B1710" s="73"/>
    </row>
    <row r="1711" spans="2:2" x14ac:dyDescent="0.25">
      <c r="B1711" s="73"/>
    </row>
    <row r="1712" spans="2:2" x14ac:dyDescent="0.25">
      <c r="B1712" s="73"/>
    </row>
    <row r="1713" spans="2:2" x14ac:dyDescent="0.25">
      <c r="B1713" s="73"/>
    </row>
    <row r="1714" spans="2:2" x14ac:dyDescent="0.25">
      <c r="B1714" s="73"/>
    </row>
    <row r="1715" spans="2:2" x14ac:dyDescent="0.25">
      <c r="B1715" s="73"/>
    </row>
    <row r="1716" spans="2:2" x14ac:dyDescent="0.25">
      <c r="B1716" s="73"/>
    </row>
    <row r="1717" spans="2:2" x14ac:dyDescent="0.25">
      <c r="B1717" s="73"/>
    </row>
    <row r="1718" spans="2:2" x14ac:dyDescent="0.25">
      <c r="B1718" s="73"/>
    </row>
    <row r="1719" spans="2:2" x14ac:dyDescent="0.25">
      <c r="B1719" s="73"/>
    </row>
    <row r="1720" spans="2:2" x14ac:dyDescent="0.25">
      <c r="B1720" s="73"/>
    </row>
    <row r="1721" spans="2:2" x14ac:dyDescent="0.25">
      <c r="B1721" s="73"/>
    </row>
    <row r="1722" spans="2:2" x14ac:dyDescent="0.25">
      <c r="B1722" s="73"/>
    </row>
    <row r="1723" spans="2:2" x14ac:dyDescent="0.25">
      <c r="B1723" s="73"/>
    </row>
    <row r="1724" spans="2:2" x14ac:dyDescent="0.25">
      <c r="B1724" s="73"/>
    </row>
    <row r="1725" spans="2:2" x14ac:dyDescent="0.25">
      <c r="B1725" s="73"/>
    </row>
    <row r="1726" spans="2:2" x14ac:dyDescent="0.25">
      <c r="B1726" s="73"/>
    </row>
    <row r="1727" spans="2:2" x14ac:dyDescent="0.25">
      <c r="B1727" s="73"/>
    </row>
    <row r="1728" spans="2:2" x14ac:dyDescent="0.25">
      <c r="B1728" s="73"/>
    </row>
    <row r="1729" spans="2:2" x14ac:dyDescent="0.25">
      <c r="B1729" s="73"/>
    </row>
    <row r="1730" spans="2:2" x14ac:dyDescent="0.25">
      <c r="B1730" s="73"/>
    </row>
    <row r="1731" spans="2:2" x14ac:dyDescent="0.25">
      <c r="B1731" s="73"/>
    </row>
    <row r="1732" spans="2:2" x14ac:dyDescent="0.25">
      <c r="B1732" s="73"/>
    </row>
    <row r="1733" spans="2:2" x14ac:dyDescent="0.25">
      <c r="B1733" s="73"/>
    </row>
    <row r="1734" spans="2:2" x14ac:dyDescent="0.25">
      <c r="B1734" s="73"/>
    </row>
    <row r="1735" spans="2:2" x14ac:dyDescent="0.25">
      <c r="B1735" s="73"/>
    </row>
    <row r="1736" spans="2:2" x14ac:dyDescent="0.25">
      <c r="B1736" s="73"/>
    </row>
    <row r="1737" spans="2:2" x14ac:dyDescent="0.25">
      <c r="B1737" s="73"/>
    </row>
    <row r="1738" spans="2:2" x14ac:dyDescent="0.25">
      <c r="B1738" s="73"/>
    </row>
    <row r="1739" spans="2:2" x14ac:dyDescent="0.25">
      <c r="B1739" s="73"/>
    </row>
    <row r="1740" spans="2:2" x14ac:dyDescent="0.25">
      <c r="B1740" s="73"/>
    </row>
    <row r="1741" spans="2:2" x14ac:dyDescent="0.25">
      <c r="B1741" s="73"/>
    </row>
    <row r="1742" spans="2:2" x14ac:dyDescent="0.25">
      <c r="B1742" s="73"/>
    </row>
    <row r="1743" spans="2:2" x14ac:dyDescent="0.25">
      <c r="B1743" s="73"/>
    </row>
    <row r="1744" spans="2:2" x14ac:dyDescent="0.25">
      <c r="B1744" s="73"/>
    </row>
    <row r="1745" spans="2:2" x14ac:dyDescent="0.25">
      <c r="B1745" s="73"/>
    </row>
    <row r="1746" spans="2:2" x14ac:dyDescent="0.25">
      <c r="B1746" s="73"/>
    </row>
    <row r="1747" spans="2:2" x14ac:dyDescent="0.25">
      <c r="B1747" s="73"/>
    </row>
    <row r="1748" spans="2:2" x14ac:dyDescent="0.25">
      <c r="B1748" s="73"/>
    </row>
    <row r="1749" spans="2:2" x14ac:dyDescent="0.25">
      <c r="B1749" s="73"/>
    </row>
    <row r="1750" spans="2:2" x14ac:dyDescent="0.25">
      <c r="B1750" s="73"/>
    </row>
    <row r="1751" spans="2:2" x14ac:dyDescent="0.25">
      <c r="B1751" s="73"/>
    </row>
    <row r="1752" spans="2:2" x14ac:dyDescent="0.25">
      <c r="B1752" s="73"/>
    </row>
    <row r="1753" spans="2:2" x14ac:dyDescent="0.25">
      <c r="B1753" s="73"/>
    </row>
    <row r="1754" spans="2:2" x14ac:dyDescent="0.25">
      <c r="B1754" s="73"/>
    </row>
    <row r="1755" spans="2:2" x14ac:dyDescent="0.25">
      <c r="B1755" s="73"/>
    </row>
    <row r="1756" spans="2:2" x14ac:dyDescent="0.25">
      <c r="B1756" s="73"/>
    </row>
    <row r="1757" spans="2:2" x14ac:dyDescent="0.25">
      <c r="B1757" s="73"/>
    </row>
    <row r="1758" spans="2:2" x14ac:dyDescent="0.25">
      <c r="B1758" s="73"/>
    </row>
    <row r="1759" spans="2:2" x14ac:dyDescent="0.25">
      <c r="B1759" s="73"/>
    </row>
    <row r="1760" spans="2:2" x14ac:dyDescent="0.25">
      <c r="B1760" s="73"/>
    </row>
    <row r="1761" spans="2:2" x14ac:dyDescent="0.25">
      <c r="B1761" s="73"/>
    </row>
    <row r="1762" spans="2:2" x14ac:dyDescent="0.25">
      <c r="B1762" s="73"/>
    </row>
    <row r="1763" spans="2:2" x14ac:dyDescent="0.25">
      <c r="B1763" s="73"/>
    </row>
    <row r="1764" spans="2:2" x14ac:dyDescent="0.25">
      <c r="B1764" s="73"/>
    </row>
    <row r="1765" spans="2:2" x14ac:dyDescent="0.25">
      <c r="B1765" s="73"/>
    </row>
    <row r="1766" spans="2:2" x14ac:dyDescent="0.25">
      <c r="B1766" s="73"/>
    </row>
    <row r="1767" spans="2:2" x14ac:dyDescent="0.25">
      <c r="B1767" s="73"/>
    </row>
    <row r="1768" spans="2:2" x14ac:dyDescent="0.25">
      <c r="B1768" s="73"/>
    </row>
    <row r="1769" spans="2:2" x14ac:dyDescent="0.25">
      <c r="B1769" s="73"/>
    </row>
    <row r="1770" spans="2:2" x14ac:dyDescent="0.25">
      <c r="B1770" s="73"/>
    </row>
    <row r="1771" spans="2:2" x14ac:dyDescent="0.25">
      <c r="B1771" s="73"/>
    </row>
    <row r="1772" spans="2:2" x14ac:dyDescent="0.25">
      <c r="B1772" s="73"/>
    </row>
    <row r="1773" spans="2:2" x14ac:dyDescent="0.25">
      <c r="B1773" s="73"/>
    </row>
    <row r="1774" spans="2:2" x14ac:dyDescent="0.25">
      <c r="B1774" s="73"/>
    </row>
    <row r="1775" spans="2:2" x14ac:dyDescent="0.25">
      <c r="B1775" s="73"/>
    </row>
    <row r="1776" spans="2:2" x14ac:dyDescent="0.25">
      <c r="B1776" s="73"/>
    </row>
    <row r="1777" spans="2:2" x14ac:dyDescent="0.25">
      <c r="B1777" s="73"/>
    </row>
    <row r="1778" spans="2:2" x14ac:dyDescent="0.25">
      <c r="B1778" s="73"/>
    </row>
    <row r="1779" spans="2:2" x14ac:dyDescent="0.25">
      <c r="B1779" s="73"/>
    </row>
    <row r="1780" spans="2:2" x14ac:dyDescent="0.25">
      <c r="B1780" s="73"/>
    </row>
    <row r="1781" spans="2:2" x14ac:dyDescent="0.25">
      <c r="B1781" s="73"/>
    </row>
    <row r="1782" spans="2:2" x14ac:dyDescent="0.25">
      <c r="B1782" s="73"/>
    </row>
    <row r="1783" spans="2:2" x14ac:dyDescent="0.25">
      <c r="B1783" s="73"/>
    </row>
    <row r="1784" spans="2:2" x14ac:dyDescent="0.25">
      <c r="B1784" s="73"/>
    </row>
    <row r="1785" spans="2:2" x14ac:dyDescent="0.25">
      <c r="B1785" s="73"/>
    </row>
    <row r="1786" spans="2:2" x14ac:dyDescent="0.25">
      <c r="B1786" s="73"/>
    </row>
    <row r="1787" spans="2:2" x14ac:dyDescent="0.25">
      <c r="B1787" s="73"/>
    </row>
    <row r="1788" spans="2:2" x14ac:dyDescent="0.25">
      <c r="B1788" s="73"/>
    </row>
    <row r="1789" spans="2:2" x14ac:dyDescent="0.25">
      <c r="B1789" s="73"/>
    </row>
    <row r="1790" spans="2:2" x14ac:dyDescent="0.25">
      <c r="B1790" s="73"/>
    </row>
    <row r="1791" spans="2:2" x14ac:dyDescent="0.25">
      <c r="B1791" s="73"/>
    </row>
    <row r="1792" spans="2:2" x14ac:dyDescent="0.25">
      <c r="B1792" s="73"/>
    </row>
    <row r="1793" spans="2:2" x14ac:dyDescent="0.25">
      <c r="B1793" s="73"/>
    </row>
    <row r="1794" spans="2:2" x14ac:dyDescent="0.25">
      <c r="B1794" s="73"/>
    </row>
    <row r="1795" spans="2:2" x14ac:dyDescent="0.25">
      <c r="B1795" s="73"/>
    </row>
    <row r="1796" spans="2:2" x14ac:dyDescent="0.25">
      <c r="B1796" s="73"/>
    </row>
    <row r="1797" spans="2:2" x14ac:dyDescent="0.25">
      <c r="B1797" s="73"/>
    </row>
    <row r="1798" spans="2:2" x14ac:dyDescent="0.25">
      <c r="B1798" s="73"/>
    </row>
    <row r="1799" spans="2:2" x14ac:dyDescent="0.25">
      <c r="B1799" s="73"/>
    </row>
    <row r="1800" spans="2:2" x14ac:dyDescent="0.25">
      <c r="B1800" s="73"/>
    </row>
    <row r="1801" spans="2:2" x14ac:dyDescent="0.25">
      <c r="B1801" s="73"/>
    </row>
    <row r="1802" spans="2:2" x14ac:dyDescent="0.25">
      <c r="B1802" s="73"/>
    </row>
    <row r="1803" spans="2:2" x14ac:dyDescent="0.25">
      <c r="B1803" s="73"/>
    </row>
    <row r="1804" spans="2:2" x14ac:dyDescent="0.25">
      <c r="B1804" s="73"/>
    </row>
    <row r="1805" spans="2:2" x14ac:dyDescent="0.25">
      <c r="B1805" s="73"/>
    </row>
    <row r="1806" spans="2:2" x14ac:dyDescent="0.25">
      <c r="B1806" s="73"/>
    </row>
    <row r="1807" spans="2:2" x14ac:dyDescent="0.25">
      <c r="B1807" s="73"/>
    </row>
    <row r="1808" spans="2:2" x14ac:dyDescent="0.25">
      <c r="B1808" s="73"/>
    </row>
    <row r="1809" spans="2:2" x14ac:dyDescent="0.25">
      <c r="B1809" s="73"/>
    </row>
    <row r="1810" spans="2:2" x14ac:dyDescent="0.25">
      <c r="B1810" s="73"/>
    </row>
    <row r="1811" spans="2:2" x14ac:dyDescent="0.25">
      <c r="B1811" s="73"/>
    </row>
    <row r="1812" spans="2:2" x14ac:dyDescent="0.25">
      <c r="B1812" s="73"/>
    </row>
    <row r="1813" spans="2:2" x14ac:dyDescent="0.25">
      <c r="B1813" s="73"/>
    </row>
    <row r="1814" spans="2:2" x14ac:dyDescent="0.25">
      <c r="B1814" s="73"/>
    </row>
    <row r="1815" spans="2:2" x14ac:dyDescent="0.25">
      <c r="B1815" s="73"/>
    </row>
    <row r="1816" spans="2:2" x14ac:dyDescent="0.25">
      <c r="B1816" s="73"/>
    </row>
    <row r="1817" spans="2:2" x14ac:dyDescent="0.25">
      <c r="B1817" s="73"/>
    </row>
    <row r="1818" spans="2:2" x14ac:dyDescent="0.25">
      <c r="B1818" s="73"/>
    </row>
    <row r="1819" spans="2:2" x14ac:dyDescent="0.25">
      <c r="B1819" s="73"/>
    </row>
    <row r="1820" spans="2:2" x14ac:dyDescent="0.25">
      <c r="B1820" s="73"/>
    </row>
    <row r="1821" spans="2:2" x14ac:dyDescent="0.25">
      <c r="B1821" s="73"/>
    </row>
    <row r="1822" spans="2:2" x14ac:dyDescent="0.25">
      <c r="B1822" s="73"/>
    </row>
    <row r="1823" spans="2:2" x14ac:dyDescent="0.25">
      <c r="B1823" s="73"/>
    </row>
    <row r="1824" spans="2:2" x14ac:dyDescent="0.25">
      <c r="B1824" s="73"/>
    </row>
    <row r="1825" spans="2:2" x14ac:dyDescent="0.25">
      <c r="B1825" s="73"/>
    </row>
    <row r="1826" spans="2:2" x14ac:dyDescent="0.25">
      <c r="B1826" s="73"/>
    </row>
    <row r="1827" spans="2:2" x14ac:dyDescent="0.25">
      <c r="B1827" s="73"/>
    </row>
    <row r="1828" spans="2:2" x14ac:dyDescent="0.25">
      <c r="B1828" s="73"/>
    </row>
    <row r="1829" spans="2:2" x14ac:dyDescent="0.25">
      <c r="B1829" s="73"/>
    </row>
    <row r="1830" spans="2:2" x14ac:dyDescent="0.25">
      <c r="B1830" s="73"/>
    </row>
    <row r="1831" spans="2:2" x14ac:dyDescent="0.25">
      <c r="B1831" s="73"/>
    </row>
    <row r="1832" spans="2:2" x14ac:dyDescent="0.25">
      <c r="B1832" s="73"/>
    </row>
    <row r="1833" spans="2:2" x14ac:dyDescent="0.25">
      <c r="B1833" s="73"/>
    </row>
    <row r="1834" spans="2:2" x14ac:dyDescent="0.25">
      <c r="B1834" s="73"/>
    </row>
    <row r="1835" spans="2:2" x14ac:dyDescent="0.25">
      <c r="B1835" s="73"/>
    </row>
    <row r="1836" spans="2:2" x14ac:dyDescent="0.25">
      <c r="B1836" s="73"/>
    </row>
    <row r="1837" spans="2:2" x14ac:dyDescent="0.25">
      <c r="B1837" s="73"/>
    </row>
    <row r="1838" spans="2:2" x14ac:dyDescent="0.25">
      <c r="B1838" s="73"/>
    </row>
    <row r="1839" spans="2:2" x14ac:dyDescent="0.25">
      <c r="B1839" s="73"/>
    </row>
    <row r="1840" spans="2:2" x14ac:dyDescent="0.25">
      <c r="B1840" s="73"/>
    </row>
    <row r="1841" spans="2:2" x14ac:dyDescent="0.25">
      <c r="B1841" s="73"/>
    </row>
    <row r="1842" spans="2:2" x14ac:dyDescent="0.25">
      <c r="B1842" s="73"/>
    </row>
    <row r="1843" spans="2:2" x14ac:dyDescent="0.25">
      <c r="B1843" s="73"/>
    </row>
    <row r="1844" spans="2:2" x14ac:dyDescent="0.25">
      <c r="B1844" s="73"/>
    </row>
    <row r="1845" spans="2:2" x14ac:dyDescent="0.25">
      <c r="B1845" s="73"/>
    </row>
    <row r="1846" spans="2:2" x14ac:dyDescent="0.25">
      <c r="B1846" s="73"/>
    </row>
    <row r="1847" spans="2:2" x14ac:dyDescent="0.25">
      <c r="B1847" s="73"/>
    </row>
    <row r="1848" spans="2:2" x14ac:dyDescent="0.25">
      <c r="B1848" s="73"/>
    </row>
    <row r="1849" spans="2:2" x14ac:dyDescent="0.25">
      <c r="B1849" s="73"/>
    </row>
    <row r="1850" spans="2:2" x14ac:dyDescent="0.25">
      <c r="B1850" s="73"/>
    </row>
    <row r="1851" spans="2:2" x14ac:dyDescent="0.25">
      <c r="B1851" s="73"/>
    </row>
    <row r="1852" spans="2:2" x14ac:dyDescent="0.25">
      <c r="B1852" s="73"/>
    </row>
    <row r="1853" spans="2:2" x14ac:dyDescent="0.25">
      <c r="B1853" s="73"/>
    </row>
    <row r="1854" spans="2:2" x14ac:dyDescent="0.25">
      <c r="B1854" s="73"/>
    </row>
    <row r="1855" spans="2:2" x14ac:dyDescent="0.25">
      <c r="B1855" s="73"/>
    </row>
    <row r="1856" spans="2:2" x14ac:dyDescent="0.25">
      <c r="B1856" s="73"/>
    </row>
    <row r="1857" spans="2:2" x14ac:dyDescent="0.25">
      <c r="B1857" s="73"/>
    </row>
    <row r="1858" spans="2:2" x14ac:dyDescent="0.25">
      <c r="B1858" s="73"/>
    </row>
    <row r="1859" spans="2:2" x14ac:dyDescent="0.25">
      <c r="B1859" s="73"/>
    </row>
    <row r="1860" spans="2:2" x14ac:dyDescent="0.25">
      <c r="B1860" s="73"/>
    </row>
    <row r="1861" spans="2:2" x14ac:dyDescent="0.25">
      <c r="B1861" s="73"/>
    </row>
    <row r="1862" spans="2:2" x14ac:dyDescent="0.25">
      <c r="B1862" s="73"/>
    </row>
    <row r="1863" spans="2:2" x14ac:dyDescent="0.25">
      <c r="B1863" s="73"/>
    </row>
    <row r="1864" spans="2:2" x14ac:dyDescent="0.25">
      <c r="B1864" s="73"/>
    </row>
    <row r="1865" spans="2:2" x14ac:dyDescent="0.25">
      <c r="B1865" s="73"/>
    </row>
    <row r="1866" spans="2:2" x14ac:dyDescent="0.25">
      <c r="B1866" s="73"/>
    </row>
    <row r="1867" spans="2:2" x14ac:dyDescent="0.25">
      <c r="B1867" s="73"/>
    </row>
    <row r="1868" spans="2:2" x14ac:dyDescent="0.25">
      <c r="B1868" s="73"/>
    </row>
    <row r="1869" spans="2:2" x14ac:dyDescent="0.25">
      <c r="B1869" s="73"/>
    </row>
    <row r="1870" spans="2:2" x14ac:dyDescent="0.25">
      <c r="B1870" s="73"/>
    </row>
    <row r="1871" spans="2:2" x14ac:dyDescent="0.25">
      <c r="B1871" s="73"/>
    </row>
    <row r="1872" spans="2:2" x14ac:dyDescent="0.25">
      <c r="B1872" s="73"/>
    </row>
    <row r="1873" spans="2:2" x14ac:dyDescent="0.25">
      <c r="B1873" s="73"/>
    </row>
    <row r="1874" spans="2:2" x14ac:dyDescent="0.25">
      <c r="B1874" s="73"/>
    </row>
    <row r="1875" spans="2:2" x14ac:dyDescent="0.25">
      <c r="B1875" s="73"/>
    </row>
    <row r="1876" spans="2:2" x14ac:dyDescent="0.25">
      <c r="B1876" s="73"/>
    </row>
    <row r="1877" spans="2:2" x14ac:dyDescent="0.25">
      <c r="B1877" s="73"/>
    </row>
    <row r="1878" spans="2:2" x14ac:dyDescent="0.25">
      <c r="B1878" s="73"/>
    </row>
    <row r="1879" spans="2:2" x14ac:dyDescent="0.25">
      <c r="B1879" s="73"/>
    </row>
    <row r="1880" spans="2:2" x14ac:dyDescent="0.25">
      <c r="B1880" s="73"/>
    </row>
    <row r="1881" spans="2:2" x14ac:dyDescent="0.25">
      <c r="B1881" s="73"/>
    </row>
    <row r="1882" spans="2:2" x14ac:dyDescent="0.25">
      <c r="B1882" s="73"/>
    </row>
    <row r="1883" spans="2:2" x14ac:dyDescent="0.25">
      <c r="B1883" s="73"/>
    </row>
    <row r="1884" spans="2:2" x14ac:dyDescent="0.25">
      <c r="B1884" s="73"/>
    </row>
    <row r="1885" spans="2:2" x14ac:dyDescent="0.25">
      <c r="B1885" s="73"/>
    </row>
    <row r="1886" spans="2:2" x14ac:dyDescent="0.25">
      <c r="B1886" s="73"/>
    </row>
    <row r="1887" spans="2:2" x14ac:dyDescent="0.25">
      <c r="B1887" s="73"/>
    </row>
    <row r="1888" spans="2:2" x14ac:dyDescent="0.25">
      <c r="B1888" s="73"/>
    </row>
    <row r="1889" spans="2:2" x14ac:dyDescent="0.25">
      <c r="B1889" s="73"/>
    </row>
    <row r="1890" spans="2:2" x14ac:dyDescent="0.25">
      <c r="B1890" s="73"/>
    </row>
    <row r="1891" spans="2:2" x14ac:dyDescent="0.25">
      <c r="B1891" s="73"/>
    </row>
    <row r="1892" spans="2:2" x14ac:dyDescent="0.25">
      <c r="B1892" s="73"/>
    </row>
    <row r="1893" spans="2:2" x14ac:dyDescent="0.25">
      <c r="B1893" s="73"/>
    </row>
    <row r="1894" spans="2:2" x14ac:dyDescent="0.25">
      <c r="B1894" s="73"/>
    </row>
    <row r="1895" spans="2:2" x14ac:dyDescent="0.25">
      <c r="B1895" s="73"/>
    </row>
    <row r="1896" spans="2:2" x14ac:dyDescent="0.25">
      <c r="B1896" s="73"/>
    </row>
    <row r="1897" spans="2:2" x14ac:dyDescent="0.25">
      <c r="B1897" s="73"/>
    </row>
    <row r="1898" spans="2:2" x14ac:dyDescent="0.25">
      <c r="B1898" s="73"/>
    </row>
    <row r="1899" spans="2:2" x14ac:dyDescent="0.25">
      <c r="B1899" s="73"/>
    </row>
    <row r="1900" spans="2:2" x14ac:dyDescent="0.25">
      <c r="B1900" s="73"/>
    </row>
    <row r="1901" spans="2:2" x14ac:dyDescent="0.25">
      <c r="B1901" s="73"/>
    </row>
    <row r="1902" spans="2:2" x14ac:dyDescent="0.25">
      <c r="B1902" s="73"/>
    </row>
    <row r="1903" spans="2:2" x14ac:dyDescent="0.25">
      <c r="B1903" s="73"/>
    </row>
    <row r="1904" spans="2:2" x14ac:dyDescent="0.25">
      <c r="B1904" s="73"/>
    </row>
    <row r="1905" spans="2:2" x14ac:dyDescent="0.25">
      <c r="B1905" s="73"/>
    </row>
    <row r="1906" spans="2:2" x14ac:dyDescent="0.25">
      <c r="B1906" s="73"/>
    </row>
    <row r="1907" spans="2:2" x14ac:dyDescent="0.25">
      <c r="B1907" s="73"/>
    </row>
    <row r="1908" spans="2:2" x14ac:dyDescent="0.25">
      <c r="B1908" s="73"/>
    </row>
    <row r="1909" spans="2:2" x14ac:dyDescent="0.25">
      <c r="B1909" s="73"/>
    </row>
    <row r="1910" spans="2:2" x14ac:dyDescent="0.25">
      <c r="B1910" s="73"/>
    </row>
    <row r="1911" spans="2:2" x14ac:dyDescent="0.25">
      <c r="B1911" s="73"/>
    </row>
    <row r="1912" spans="2:2" x14ac:dyDescent="0.25">
      <c r="B1912" s="73"/>
    </row>
    <row r="1913" spans="2:2" x14ac:dyDescent="0.25">
      <c r="B1913" s="73"/>
    </row>
    <row r="1914" spans="2:2" x14ac:dyDescent="0.25">
      <c r="B1914" s="73"/>
    </row>
    <row r="1915" spans="2:2" x14ac:dyDescent="0.25">
      <c r="B1915" s="73"/>
    </row>
    <row r="1916" spans="2:2" x14ac:dyDescent="0.25">
      <c r="B1916" s="73"/>
    </row>
    <row r="1917" spans="2:2" x14ac:dyDescent="0.25">
      <c r="B1917" s="73"/>
    </row>
    <row r="1918" spans="2:2" x14ac:dyDescent="0.25">
      <c r="B1918" s="73"/>
    </row>
    <row r="1919" spans="2:2" x14ac:dyDescent="0.25">
      <c r="B1919" s="73"/>
    </row>
    <row r="1920" spans="2:2" x14ac:dyDescent="0.25">
      <c r="B1920" s="73"/>
    </row>
    <row r="1921" spans="2:2" x14ac:dyDescent="0.25">
      <c r="B1921" s="73"/>
    </row>
    <row r="1922" spans="2:2" x14ac:dyDescent="0.25">
      <c r="B1922" s="73"/>
    </row>
    <row r="1923" spans="2:2" x14ac:dyDescent="0.25">
      <c r="B1923" s="73"/>
    </row>
    <row r="1924" spans="2:2" x14ac:dyDescent="0.25">
      <c r="B1924" s="73"/>
    </row>
    <row r="1925" spans="2:2" x14ac:dyDescent="0.25">
      <c r="B1925" s="73"/>
    </row>
    <row r="1926" spans="2:2" x14ac:dyDescent="0.25">
      <c r="B1926" s="73"/>
    </row>
    <row r="1927" spans="2:2" x14ac:dyDescent="0.25">
      <c r="B1927" s="73"/>
    </row>
    <row r="1928" spans="2:2" x14ac:dyDescent="0.25">
      <c r="B1928" s="73"/>
    </row>
    <row r="1929" spans="2:2" x14ac:dyDescent="0.25">
      <c r="B1929" s="73"/>
    </row>
    <row r="1930" spans="2:2" x14ac:dyDescent="0.25">
      <c r="B1930" s="73"/>
    </row>
    <row r="1931" spans="2:2" x14ac:dyDescent="0.25">
      <c r="B1931" s="73"/>
    </row>
    <row r="1932" spans="2:2" x14ac:dyDescent="0.25">
      <c r="B1932" s="73"/>
    </row>
    <row r="1933" spans="2:2" x14ac:dyDescent="0.25">
      <c r="B1933" s="73"/>
    </row>
    <row r="1934" spans="2:2" x14ac:dyDescent="0.25">
      <c r="B1934" s="73"/>
    </row>
    <row r="1935" spans="2:2" x14ac:dyDescent="0.25">
      <c r="B1935" s="73"/>
    </row>
    <row r="1936" spans="2:2" x14ac:dyDescent="0.25">
      <c r="B1936" s="73"/>
    </row>
    <row r="1937" spans="2:2" x14ac:dyDescent="0.25">
      <c r="B1937" s="73"/>
    </row>
    <row r="1938" spans="2:2" x14ac:dyDescent="0.25">
      <c r="B1938" s="73"/>
    </row>
    <row r="1939" spans="2:2" x14ac:dyDescent="0.25">
      <c r="B1939" s="73"/>
    </row>
    <row r="1940" spans="2:2" x14ac:dyDescent="0.25">
      <c r="B1940" s="73"/>
    </row>
    <row r="1941" spans="2:2" x14ac:dyDescent="0.25">
      <c r="B1941" s="73"/>
    </row>
    <row r="1942" spans="2:2" x14ac:dyDescent="0.25">
      <c r="B1942" s="73"/>
    </row>
    <row r="1943" spans="2:2" x14ac:dyDescent="0.25">
      <c r="B1943" s="73"/>
    </row>
    <row r="1944" spans="2:2" x14ac:dyDescent="0.25">
      <c r="B1944" s="73"/>
    </row>
    <row r="1945" spans="2:2" x14ac:dyDescent="0.25">
      <c r="B1945" s="73"/>
    </row>
    <row r="1946" spans="2:2" x14ac:dyDescent="0.25">
      <c r="B1946" s="73"/>
    </row>
    <row r="1947" spans="2:2" x14ac:dyDescent="0.25">
      <c r="B1947" s="73"/>
    </row>
    <row r="1948" spans="2:2" x14ac:dyDescent="0.25">
      <c r="B1948" s="73"/>
    </row>
    <row r="1949" spans="2:2" x14ac:dyDescent="0.25">
      <c r="B1949" s="73"/>
    </row>
    <row r="1950" spans="2:2" x14ac:dyDescent="0.25">
      <c r="B1950" s="73"/>
    </row>
    <row r="1951" spans="2:2" x14ac:dyDescent="0.25">
      <c r="B1951" s="73"/>
    </row>
    <row r="1952" spans="2:2" x14ac:dyDescent="0.25">
      <c r="B1952" s="73"/>
    </row>
    <row r="1953" spans="2:2" x14ac:dyDescent="0.25">
      <c r="B1953" s="73"/>
    </row>
    <row r="1954" spans="2:2" x14ac:dyDescent="0.25">
      <c r="B1954" s="73"/>
    </row>
    <row r="1955" spans="2:2" x14ac:dyDescent="0.25">
      <c r="B1955" s="73"/>
    </row>
    <row r="1956" spans="2:2" x14ac:dyDescent="0.25">
      <c r="B1956" s="73"/>
    </row>
    <row r="1957" spans="2:2" x14ac:dyDescent="0.25">
      <c r="B1957" s="73"/>
    </row>
    <row r="1958" spans="2:2" x14ac:dyDescent="0.25">
      <c r="B1958" s="73"/>
    </row>
    <row r="1959" spans="2:2" x14ac:dyDescent="0.25">
      <c r="B1959" s="73"/>
    </row>
    <row r="1960" spans="2:2" x14ac:dyDescent="0.25">
      <c r="B1960" s="73"/>
    </row>
    <row r="1961" spans="2:2" x14ac:dyDescent="0.25">
      <c r="B1961" s="73"/>
    </row>
    <row r="1962" spans="2:2" x14ac:dyDescent="0.25">
      <c r="B1962" s="73"/>
    </row>
    <row r="1963" spans="2:2" x14ac:dyDescent="0.25">
      <c r="B1963" s="73"/>
    </row>
    <row r="1964" spans="2:2" x14ac:dyDescent="0.25">
      <c r="B1964" s="73"/>
    </row>
    <row r="1965" spans="2:2" x14ac:dyDescent="0.25">
      <c r="B1965" s="73"/>
    </row>
    <row r="1966" spans="2:2" x14ac:dyDescent="0.25">
      <c r="B1966" s="73"/>
    </row>
    <row r="1967" spans="2:2" x14ac:dyDescent="0.25">
      <c r="B1967" s="73"/>
    </row>
    <row r="1968" spans="2:2" x14ac:dyDescent="0.25">
      <c r="B1968" s="73"/>
    </row>
    <row r="1969" spans="2:2" x14ac:dyDescent="0.25">
      <c r="B1969" s="73"/>
    </row>
    <row r="1970" spans="2:2" x14ac:dyDescent="0.25">
      <c r="B1970" s="73"/>
    </row>
    <row r="1971" spans="2:2" x14ac:dyDescent="0.25">
      <c r="B1971" s="73"/>
    </row>
    <row r="1972" spans="2:2" x14ac:dyDescent="0.25">
      <c r="B1972" s="73"/>
    </row>
    <row r="1973" spans="2:2" x14ac:dyDescent="0.25">
      <c r="B1973" s="73"/>
    </row>
    <row r="1974" spans="2:2" x14ac:dyDescent="0.25">
      <c r="B1974" s="73"/>
    </row>
    <row r="1975" spans="2:2" x14ac:dyDescent="0.25">
      <c r="B1975" s="73"/>
    </row>
    <row r="1976" spans="2:2" x14ac:dyDescent="0.25">
      <c r="B1976" s="73"/>
    </row>
    <row r="1977" spans="2:2" x14ac:dyDescent="0.25">
      <c r="B1977" s="73"/>
    </row>
    <row r="1978" spans="2:2" x14ac:dyDescent="0.25">
      <c r="B1978" s="73"/>
    </row>
    <row r="1979" spans="2:2" x14ac:dyDescent="0.25">
      <c r="B1979" s="73"/>
    </row>
    <row r="1980" spans="2:2" x14ac:dyDescent="0.25">
      <c r="B1980" s="73"/>
    </row>
    <row r="1981" spans="2:2" x14ac:dyDescent="0.25">
      <c r="B1981" s="73"/>
    </row>
    <row r="1982" spans="2:2" x14ac:dyDescent="0.25">
      <c r="B1982" s="73"/>
    </row>
    <row r="1983" spans="2:2" x14ac:dyDescent="0.25">
      <c r="B1983" s="73"/>
    </row>
    <row r="1984" spans="2:2" x14ac:dyDescent="0.25">
      <c r="B1984" s="73"/>
    </row>
    <row r="1985" spans="2:2" x14ac:dyDescent="0.25">
      <c r="B1985" s="73"/>
    </row>
    <row r="1986" spans="2:2" x14ac:dyDescent="0.25">
      <c r="B1986" s="73"/>
    </row>
    <row r="1987" spans="2:2" x14ac:dyDescent="0.25">
      <c r="B1987" s="73"/>
    </row>
    <row r="1988" spans="2:2" x14ac:dyDescent="0.25">
      <c r="B1988" s="73"/>
    </row>
    <row r="1989" spans="2:2" x14ac:dyDescent="0.25">
      <c r="B1989" s="73"/>
    </row>
    <row r="1990" spans="2:2" x14ac:dyDescent="0.25">
      <c r="B1990" s="73"/>
    </row>
    <row r="1991" spans="2:2" x14ac:dyDescent="0.25">
      <c r="B1991" s="73"/>
    </row>
    <row r="1992" spans="2:2" x14ac:dyDescent="0.25">
      <c r="B1992" s="73"/>
    </row>
    <row r="1993" spans="2:2" x14ac:dyDescent="0.25">
      <c r="B1993" s="73"/>
    </row>
    <row r="1994" spans="2:2" x14ac:dyDescent="0.25">
      <c r="B1994" s="73"/>
    </row>
    <row r="1995" spans="2:2" x14ac:dyDescent="0.25">
      <c r="B1995" s="73"/>
    </row>
    <row r="1996" spans="2:2" x14ac:dyDescent="0.25">
      <c r="B1996" s="73"/>
    </row>
    <row r="1997" spans="2:2" x14ac:dyDescent="0.25">
      <c r="B1997" s="73"/>
    </row>
    <row r="1998" spans="2:2" x14ac:dyDescent="0.25">
      <c r="B1998" s="73"/>
    </row>
    <row r="1999" spans="2:2" x14ac:dyDescent="0.25">
      <c r="B1999" s="73"/>
    </row>
    <row r="2000" spans="2:2" x14ac:dyDescent="0.25">
      <c r="B2000" s="73"/>
    </row>
    <row r="2001" spans="2:2" x14ac:dyDescent="0.25">
      <c r="B2001" s="73"/>
    </row>
    <row r="2002" spans="2:2" x14ac:dyDescent="0.25">
      <c r="B2002" s="73"/>
    </row>
    <row r="2003" spans="2:2" x14ac:dyDescent="0.25">
      <c r="B2003" s="73"/>
    </row>
    <row r="2004" spans="2:2" x14ac:dyDescent="0.25">
      <c r="B2004" s="73"/>
    </row>
    <row r="2005" spans="2:2" x14ac:dyDescent="0.25">
      <c r="B2005" s="73"/>
    </row>
    <row r="2006" spans="2:2" x14ac:dyDescent="0.25">
      <c r="B2006" s="73"/>
    </row>
    <row r="2007" spans="2:2" x14ac:dyDescent="0.25">
      <c r="B2007" s="73"/>
    </row>
    <row r="2008" spans="2:2" x14ac:dyDescent="0.25">
      <c r="B2008" s="73"/>
    </row>
    <row r="2009" spans="2:2" x14ac:dyDescent="0.25">
      <c r="B2009" s="73"/>
    </row>
    <row r="2010" spans="2:2" x14ac:dyDescent="0.25">
      <c r="B2010" s="73"/>
    </row>
    <row r="2011" spans="2:2" x14ac:dyDescent="0.25">
      <c r="B2011" s="73"/>
    </row>
    <row r="2012" spans="2:2" x14ac:dyDescent="0.25">
      <c r="B2012" s="73"/>
    </row>
    <row r="2013" spans="2:2" x14ac:dyDescent="0.25">
      <c r="B2013" s="73"/>
    </row>
    <row r="2014" spans="2:2" x14ac:dyDescent="0.25">
      <c r="B2014" s="73"/>
    </row>
    <row r="2015" spans="2:2" x14ac:dyDescent="0.25">
      <c r="B2015" s="73"/>
    </row>
    <row r="2016" spans="2:2" x14ac:dyDescent="0.25">
      <c r="B2016" s="73"/>
    </row>
    <row r="2017" spans="2:2" x14ac:dyDescent="0.25">
      <c r="B2017" s="73"/>
    </row>
    <row r="2018" spans="2:2" x14ac:dyDescent="0.25">
      <c r="B2018" s="73"/>
    </row>
    <row r="2019" spans="2:2" x14ac:dyDescent="0.25">
      <c r="B2019" s="73"/>
    </row>
    <row r="2020" spans="2:2" x14ac:dyDescent="0.25">
      <c r="B2020" s="73"/>
    </row>
    <row r="2021" spans="2:2" x14ac:dyDescent="0.25">
      <c r="B2021" s="73"/>
    </row>
    <row r="2022" spans="2:2" x14ac:dyDescent="0.25">
      <c r="B2022" s="73"/>
    </row>
    <row r="2023" spans="2:2" x14ac:dyDescent="0.25">
      <c r="B2023" s="73"/>
    </row>
    <row r="2024" spans="2:2" x14ac:dyDescent="0.25">
      <c r="B2024" s="73"/>
    </row>
    <row r="2025" spans="2:2" x14ac:dyDescent="0.25">
      <c r="B2025" s="73"/>
    </row>
    <row r="2026" spans="2:2" x14ac:dyDescent="0.25">
      <c r="B2026" s="73"/>
    </row>
    <row r="2027" spans="2:2" x14ac:dyDescent="0.25">
      <c r="B2027" s="73"/>
    </row>
    <row r="2028" spans="2:2" x14ac:dyDescent="0.25">
      <c r="B2028" s="73"/>
    </row>
    <row r="2029" spans="2:2" x14ac:dyDescent="0.25">
      <c r="B2029" s="73"/>
    </row>
    <row r="2030" spans="2:2" x14ac:dyDescent="0.25">
      <c r="B2030" s="73"/>
    </row>
    <row r="2031" spans="2:2" x14ac:dyDescent="0.25">
      <c r="B2031" s="73"/>
    </row>
    <row r="2032" spans="2:2" x14ac:dyDescent="0.25">
      <c r="B2032" s="73"/>
    </row>
    <row r="2033" spans="2:2" x14ac:dyDescent="0.25">
      <c r="B2033" s="73"/>
    </row>
    <row r="2034" spans="2:2" x14ac:dyDescent="0.25">
      <c r="B2034" s="73"/>
    </row>
    <row r="2035" spans="2:2" x14ac:dyDescent="0.25">
      <c r="B2035" s="73"/>
    </row>
    <row r="2036" spans="2:2" x14ac:dyDescent="0.25">
      <c r="B2036" s="73"/>
    </row>
    <row r="2037" spans="2:2" x14ac:dyDescent="0.25">
      <c r="B2037" s="73"/>
    </row>
    <row r="2038" spans="2:2" x14ac:dyDescent="0.25">
      <c r="B2038" s="73"/>
    </row>
    <row r="2039" spans="2:2" x14ac:dyDescent="0.25">
      <c r="B2039" s="73"/>
    </row>
    <row r="2040" spans="2:2" x14ac:dyDescent="0.25">
      <c r="B2040" s="73"/>
    </row>
    <row r="2041" spans="2:2" x14ac:dyDescent="0.25">
      <c r="B2041" s="73"/>
    </row>
    <row r="2042" spans="2:2" x14ac:dyDescent="0.25">
      <c r="B2042" s="73"/>
    </row>
    <row r="2043" spans="2:2" x14ac:dyDescent="0.25">
      <c r="B2043" s="73"/>
    </row>
    <row r="2044" spans="2:2" x14ac:dyDescent="0.25">
      <c r="B2044" s="73"/>
    </row>
    <row r="2045" spans="2:2" x14ac:dyDescent="0.25">
      <c r="B2045" s="73"/>
    </row>
    <row r="2046" spans="2:2" x14ac:dyDescent="0.25">
      <c r="B2046" s="73"/>
    </row>
    <row r="2047" spans="2:2" x14ac:dyDescent="0.25">
      <c r="B2047" s="73"/>
    </row>
    <row r="2048" spans="2:2" x14ac:dyDescent="0.25">
      <c r="B2048" s="73"/>
    </row>
    <row r="2049" spans="2:2" x14ac:dyDescent="0.25">
      <c r="B2049" s="73"/>
    </row>
    <row r="2050" spans="2:2" x14ac:dyDescent="0.25">
      <c r="B2050" s="73"/>
    </row>
    <row r="2051" spans="2:2" x14ac:dyDescent="0.25">
      <c r="B2051" s="73"/>
    </row>
    <row r="2052" spans="2:2" x14ac:dyDescent="0.25">
      <c r="B2052" s="73"/>
    </row>
    <row r="2053" spans="2:2" x14ac:dyDescent="0.25">
      <c r="B2053" s="73"/>
    </row>
    <row r="2054" spans="2:2" x14ac:dyDescent="0.25">
      <c r="B2054" s="73"/>
    </row>
    <row r="2055" spans="2:2" x14ac:dyDescent="0.25">
      <c r="B2055" s="73"/>
    </row>
    <row r="2056" spans="2:2" x14ac:dyDescent="0.25">
      <c r="B2056" s="73"/>
    </row>
    <row r="2057" spans="2:2" x14ac:dyDescent="0.25">
      <c r="B2057" s="73"/>
    </row>
    <row r="2058" spans="2:2" x14ac:dyDescent="0.25">
      <c r="B2058" s="73"/>
    </row>
    <row r="2059" spans="2:2" x14ac:dyDescent="0.25">
      <c r="B2059" s="73"/>
    </row>
    <row r="2060" spans="2:2" x14ac:dyDescent="0.25">
      <c r="B2060" s="73"/>
    </row>
    <row r="2061" spans="2:2" x14ac:dyDescent="0.25">
      <c r="B2061" s="73"/>
    </row>
    <row r="2062" spans="2:2" x14ac:dyDescent="0.25">
      <c r="B2062" s="73"/>
    </row>
    <row r="2063" spans="2:2" x14ac:dyDescent="0.25">
      <c r="B2063" s="73"/>
    </row>
    <row r="2064" spans="2:2" x14ac:dyDescent="0.25">
      <c r="B2064" s="73"/>
    </row>
    <row r="2065" spans="2:2" x14ac:dyDescent="0.25">
      <c r="B2065" s="73"/>
    </row>
    <row r="2066" spans="2:2" x14ac:dyDescent="0.25">
      <c r="B2066" s="73"/>
    </row>
    <row r="2067" spans="2:2" x14ac:dyDescent="0.25">
      <c r="B2067" s="73"/>
    </row>
    <row r="2068" spans="2:2" x14ac:dyDescent="0.25">
      <c r="B2068" s="73"/>
    </row>
    <row r="2069" spans="2:2" x14ac:dyDescent="0.25">
      <c r="B2069" s="73"/>
    </row>
    <row r="2070" spans="2:2" x14ac:dyDescent="0.25">
      <c r="B2070" s="73"/>
    </row>
    <row r="2071" spans="2:2" x14ac:dyDescent="0.25">
      <c r="B2071" s="73"/>
    </row>
    <row r="2072" spans="2:2" x14ac:dyDescent="0.25">
      <c r="B2072" s="73"/>
    </row>
    <row r="2073" spans="2:2" x14ac:dyDescent="0.25">
      <c r="B2073" s="73"/>
    </row>
    <row r="2074" spans="2:2" x14ac:dyDescent="0.25">
      <c r="B2074" s="73"/>
    </row>
    <row r="2075" spans="2:2" x14ac:dyDescent="0.25">
      <c r="B2075" s="73"/>
    </row>
    <row r="2076" spans="2:2" x14ac:dyDescent="0.25">
      <c r="B2076" s="73"/>
    </row>
    <row r="2077" spans="2:2" x14ac:dyDescent="0.25">
      <c r="B2077" s="73"/>
    </row>
    <row r="2078" spans="2:2" x14ac:dyDescent="0.25">
      <c r="B2078" s="73"/>
    </row>
    <row r="2079" spans="2:2" x14ac:dyDescent="0.25">
      <c r="B2079" s="73"/>
    </row>
    <row r="2080" spans="2:2" x14ac:dyDescent="0.25">
      <c r="B2080" s="73"/>
    </row>
    <row r="2081" spans="2:2" x14ac:dyDescent="0.25">
      <c r="B2081" s="73"/>
    </row>
    <row r="2082" spans="2:2" x14ac:dyDescent="0.25">
      <c r="B2082" s="73"/>
    </row>
    <row r="2083" spans="2:2" x14ac:dyDescent="0.25">
      <c r="B2083" s="73"/>
    </row>
    <row r="2084" spans="2:2" x14ac:dyDescent="0.25">
      <c r="B2084" s="73"/>
    </row>
    <row r="2085" spans="2:2" x14ac:dyDescent="0.25">
      <c r="B2085" s="73"/>
    </row>
    <row r="2086" spans="2:2" x14ac:dyDescent="0.25">
      <c r="B2086" s="73"/>
    </row>
    <row r="2087" spans="2:2" x14ac:dyDescent="0.25">
      <c r="B2087" s="73"/>
    </row>
    <row r="2088" spans="2:2" x14ac:dyDescent="0.25">
      <c r="B2088" s="73"/>
    </row>
    <row r="2089" spans="2:2" x14ac:dyDescent="0.25">
      <c r="B2089" s="73"/>
    </row>
    <row r="2090" spans="2:2" x14ac:dyDescent="0.25">
      <c r="B2090" s="73"/>
    </row>
    <row r="2091" spans="2:2" x14ac:dyDescent="0.25">
      <c r="B2091" s="73"/>
    </row>
    <row r="2092" spans="2:2" x14ac:dyDescent="0.25">
      <c r="B2092" s="73"/>
    </row>
    <row r="2093" spans="2:2" x14ac:dyDescent="0.25">
      <c r="B2093" s="73"/>
    </row>
    <row r="2094" spans="2:2" x14ac:dyDescent="0.25">
      <c r="B2094" s="73"/>
    </row>
    <row r="2095" spans="2:2" x14ac:dyDescent="0.25">
      <c r="B2095" s="73"/>
    </row>
    <row r="2096" spans="2:2" x14ac:dyDescent="0.25">
      <c r="B2096" s="73"/>
    </row>
    <row r="2097" spans="2:2" x14ac:dyDescent="0.25">
      <c r="B2097" s="73"/>
    </row>
    <row r="2098" spans="2:2" x14ac:dyDescent="0.25">
      <c r="B2098" s="73"/>
    </row>
    <row r="2099" spans="2:2" x14ac:dyDescent="0.25">
      <c r="B2099" s="73"/>
    </row>
    <row r="2100" spans="2:2" x14ac:dyDescent="0.25">
      <c r="B2100" s="73"/>
    </row>
    <row r="2101" spans="2:2" x14ac:dyDescent="0.25">
      <c r="B2101" s="73"/>
    </row>
    <row r="2102" spans="2:2" x14ac:dyDescent="0.25">
      <c r="B2102" s="73"/>
    </row>
    <row r="2103" spans="2:2" x14ac:dyDescent="0.25">
      <c r="B2103" s="73"/>
    </row>
    <row r="2104" spans="2:2" x14ac:dyDescent="0.25">
      <c r="B2104" s="73"/>
    </row>
    <row r="2105" spans="2:2" x14ac:dyDescent="0.25">
      <c r="B2105" s="73"/>
    </row>
    <row r="2106" spans="2:2" x14ac:dyDescent="0.25">
      <c r="B2106" s="73"/>
    </row>
    <row r="2107" spans="2:2" x14ac:dyDescent="0.25">
      <c r="B2107" s="73"/>
    </row>
    <row r="2108" spans="2:2" x14ac:dyDescent="0.25">
      <c r="B2108" s="73"/>
    </row>
    <row r="2109" spans="2:2" x14ac:dyDescent="0.25">
      <c r="B2109" s="73"/>
    </row>
    <row r="2110" spans="2:2" x14ac:dyDescent="0.25">
      <c r="B2110" s="73"/>
    </row>
    <row r="2111" spans="2:2" x14ac:dyDescent="0.25">
      <c r="B2111" s="73"/>
    </row>
    <row r="2112" spans="2:2" x14ac:dyDescent="0.25">
      <c r="B2112" s="73"/>
    </row>
    <row r="2113" spans="2:2" x14ac:dyDescent="0.25">
      <c r="B2113" s="73"/>
    </row>
    <row r="2114" spans="2:2" x14ac:dyDescent="0.25">
      <c r="B2114" s="73"/>
    </row>
    <row r="2115" spans="2:2" x14ac:dyDescent="0.25">
      <c r="B2115" s="73"/>
    </row>
    <row r="2116" spans="2:2" x14ac:dyDescent="0.25">
      <c r="B2116" s="73"/>
    </row>
    <row r="2117" spans="2:2" x14ac:dyDescent="0.25">
      <c r="B2117" s="73"/>
    </row>
    <row r="2118" spans="2:2" x14ac:dyDescent="0.25">
      <c r="B2118" s="73"/>
    </row>
    <row r="2119" spans="2:2" x14ac:dyDescent="0.25">
      <c r="B2119" s="73"/>
    </row>
    <row r="2120" spans="2:2" x14ac:dyDescent="0.25">
      <c r="B2120" s="73"/>
    </row>
    <row r="2121" spans="2:2" x14ac:dyDescent="0.25">
      <c r="B2121" s="73"/>
    </row>
    <row r="2122" spans="2:2" x14ac:dyDescent="0.25">
      <c r="B2122" s="73"/>
    </row>
    <row r="2123" spans="2:2" x14ac:dyDescent="0.25">
      <c r="B2123" s="73"/>
    </row>
    <row r="2124" spans="2:2" x14ac:dyDescent="0.25">
      <c r="B2124" s="73"/>
    </row>
    <row r="2125" spans="2:2" x14ac:dyDescent="0.25">
      <c r="B2125" s="73"/>
    </row>
    <row r="2126" spans="2:2" x14ac:dyDescent="0.25">
      <c r="B2126" s="73"/>
    </row>
    <row r="2127" spans="2:2" x14ac:dyDescent="0.25">
      <c r="B2127" s="73"/>
    </row>
    <row r="2128" spans="2:2" x14ac:dyDescent="0.25">
      <c r="B2128" s="73"/>
    </row>
    <row r="2129" spans="2:2" x14ac:dyDescent="0.25">
      <c r="B2129" s="73"/>
    </row>
    <row r="2130" spans="2:2" x14ac:dyDescent="0.25">
      <c r="B2130" s="73"/>
    </row>
    <row r="2131" spans="2:2" x14ac:dyDescent="0.25">
      <c r="B2131" s="73"/>
    </row>
    <row r="2132" spans="2:2" x14ac:dyDescent="0.25">
      <c r="B2132" s="73"/>
    </row>
    <row r="2133" spans="2:2" x14ac:dyDescent="0.25">
      <c r="B2133" s="73"/>
    </row>
    <row r="2134" spans="2:2" x14ac:dyDescent="0.25">
      <c r="B2134" s="73"/>
    </row>
    <row r="2135" spans="2:2" x14ac:dyDescent="0.25">
      <c r="B2135" s="73"/>
    </row>
    <row r="2136" spans="2:2" x14ac:dyDescent="0.25">
      <c r="B2136" s="73"/>
    </row>
    <row r="2137" spans="2:2" x14ac:dyDescent="0.25">
      <c r="B2137" s="73"/>
    </row>
    <row r="2138" spans="2:2" x14ac:dyDescent="0.25">
      <c r="B2138" s="73"/>
    </row>
    <row r="2139" spans="2:2" x14ac:dyDescent="0.25">
      <c r="B2139" s="73"/>
    </row>
    <row r="2140" spans="2:2" x14ac:dyDescent="0.25">
      <c r="B2140" s="73"/>
    </row>
    <row r="2141" spans="2:2" x14ac:dyDescent="0.25">
      <c r="B2141" s="73"/>
    </row>
    <row r="2142" spans="2:2" x14ac:dyDescent="0.25">
      <c r="B2142" s="73"/>
    </row>
    <row r="2143" spans="2:2" x14ac:dyDescent="0.25">
      <c r="B2143" s="73"/>
    </row>
    <row r="2144" spans="2:2" x14ac:dyDescent="0.25">
      <c r="B2144" s="73"/>
    </row>
    <row r="2145" spans="2:2" x14ac:dyDescent="0.25">
      <c r="B2145" s="73"/>
    </row>
    <row r="2146" spans="2:2" x14ac:dyDescent="0.25">
      <c r="B2146" s="73"/>
    </row>
    <row r="2147" spans="2:2" x14ac:dyDescent="0.25">
      <c r="B2147" s="73"/>
    </row>
    <row r="2148" spans="2:2" x14ac:dyDescent="0.25">
      <c r="B2148" s="73"/>
    </row>
    <row r="2149" spans="2:2" x14ac:dyDescent="0.25">
      <c r="B2149" s="73"/>
    </row>
    <row r="2150" spans="2:2" x14ac:dyDescent="0.25">
      <c r="B2150" s="73"/>
    </row>
    <row r="2151" spans="2:2" x14ac:dyDescent="0.25">
      <c r="B2151" s="73"/>
    </row>
    <row r="2152" spans="2:2" x14ac:dyDescent="0.25">
      <c r="B2152" s="73"/>
    </row>
    <row r="2153" spans="2:2" x14ac:dyDescent="0.25">
      <c r="B2153" s="73"/>
    </row>
    <row r="2154" spans="2:2" x14ac:dyDescent="0.25">
      <c r="B2154" s="73"/>
    </row>
    <row r="2155" spans="2:2" x14ac:dyDescent="0.25">
      <c r="B2155" s="73"/>
    </row>
    <row r="2156" spans="2:2" x14ac:dyDescent="0.25">
      <c r="B2156" s="73"/>
    </row>
    <row r="2157" spans="2:2" x14ac:dyDescent="0.25">
      <c r="B2157" s="73"/>
    </row>
    <row r="2158" spans="2:2" x14ac:dyDescent="0.25">
      <c r="B2158" s="73"/>
    </row>
    <row r="2159" spans="2:2" x14ac:dyDescent="0.25">
      <c r="B2159" s="73"/>
    </row>
    <row r="2160" spans="2:2" x14ac:dyDescent="0.25">
      <c r="B2160" s="73"/>
    </row>
    <row r="2161" spans="2:2" x14ac:dyDescent="0.25">
      <c r="B2161" s="73"/>
    </row>
    <row r="2162" spans="2:2" x14ac:dyDescent="0.25">
      <c r="B2162" s="73"/>
    </row>
    <row r="2163" spans="2:2" x14ac:dyDescent="0.25">
      <c r="B2163" s="73"/>
    </row>
    <row r="2164" spans="2:2" x14ac:dyDescent="0.25">
      <c r="B2164" s="73"/>
    </row>
    <row r="2165" spans="2:2" x14ac:dyDescent="0.25">
      <c r="B2165" s="73"/>
    </row>
    <row r="2166" spans="2:2" x14ac:dyDescent="0.25">
      <c r="B2166" s="73"/>
    </row>
    <row r="2167" spans="2:2" x14ac:dyDescent="0.25">
      <c r="B2167" s="73"/>
    </row>
    <row r="2168" spans="2:2" x14ac:dyDescent="0.25">
      <c r="B2168" s="73"/>
    </row>
    <row r="2169" spans="2:2" x14ac:dyDescent="0.25">
      <c r="B2169" s="73"/>
    </row>
    <row r="2170" spans="2:2" x14ac:dyDescent="0.25">
      <c r="B2170" s="73"/>
    </row>
    <row r="2171" spans="2:2" x14ac:dyDescent="0.25">
      <c r="B2171" s="73"/>
    </row>
    <row r="2172" spans="2:2" x14ac:dyDescent="0.25">
      <c r="B2172" s="73"/>
    </row>
    <row r="2173" spans="2:2" x14ac:dyDescent="0.25">
      <c r="B2173" s="73"/>
    </row>
    <row r="2174" spans="2:2" x14ac:dyDescent="0.25">
      <c r="B2174" s="73"/>
    </row>
    <row r="2175" spans="2:2" x14ac:dyDescent="0.25">
      <c r="B2175" s="73"/>
    </row>
    <row r="2176" spans="2:2" x14ac:dyDescent="0.25">
      <c r="B2176" s="73"/>
    </row>
    <row r="2177" spans="2:2" x14ac:dyDescent="0.25">
      <c r="B2177" s="73"/>
    </row>
    <row r="2178" spans="2:2" x14ac:dyDescent="0.25">
      <c r="B2178" s="73"/>
    </row>
    <row r="2179" spans="2:2" x14ac:dyDescent="0.25">
      <c r="B2179" s="73"/>
    </row>
    <row r="2180" spans="2:2" x14ac:dyDescent="0.25">
      <c r="B2180" s="73"/>
    </row>
    <row r="2181" spans="2:2" x14ac:dyDescent="0.25">
      <c r="B2181" s="73"/>
    </row>
    <row r="2182" spans="2:2" x14ac:dyDescent="0.25">
      <c r="B2182" s="73"/>
    </row>
    <row r="2183" spans="2:2" x14ac:dyDescent="0.25">
      <c r="B2183" s="73"/>
    </row>
    <row r="2184" spans="2:2" x14ac:dyDescent="0.25">
      <c r="B2184" s="73"/>
    </row>
    <row r="2185" spans="2:2" x14ac:dyDescent="0.25">
      <c r="B2185" s="73"/>
    </row>
    <row r="2186" spans="2:2" x14ac:dyDescent="0.25">
      <c r="B2186" s="73"/>
    </row>
    <row r="2187" spans="2:2" x14ac:dyDescent="0.25">
      <c r="B2187" s="73"/>
    </row>
    <row r="2188" spans="2:2" x14ac:dyDescent="0.25">
      <c r="B2188" s="73"/>
    </row>
    <row r="2189" spans="2:2" x14ac:dyDescent="0.25">
      <c r="B2189" s="73"/>
    </row>
    <row r="2190" spans="2:2" x14ac:dyDescent="0.25">
      <c r="B2190" s="73"/>
    </row>
    <row r="2191" spans="2:2" x14ac:dyDescent="0.25">
      <c r="B2191" s="73"/>
    </row>
    <row r="2192" spans="2:2" x14ac:dyDescent="0.25">
      <c r="B2192" s="73"/>
    </row>
    <row r="2193" spans="2:2" x14ac:dyDescent="0.25">
      <c r="B2193" s="73"/>
    </row>
    <row r="2194" spans="2:2" x14ac:dyDescent="0.25">
      <c r="B2194" s="73"/>
    </row>
    <row r="2195" spans="2:2" x14ac:dyDescent="0.25">
      <c r="B2195" s="73"/>
    </row>
    <row r="2196" spans="2:2" x14ac:dyDescent="0.25">
      <c r="B2196" s="73"/>
    </row>
    <row r="2197" spans="2:2" x14ac:dyDescent="0.25">
      <c r="B2197" s="73"/>
    </row>
    <row r="2198" spans="2:2" x14ac:dyDescent="0.25">
      <c r="B2198" s="73"/>
    </row>
    <row r="2199" spans="2:2" x14ac:dyDescent="0.25">
      <c r="B2199" s="73"/>
    </row>
    <row r="2200" spans="2:2" x14ac:dyDescent="0.25">
      <c r="B2200" s="73"/>
    </row>
    <row r="2201" spans="2:2" x14ac:dyDescent="0.25">
      <c r="B2201" s="73"/>
    </row>
    <row r="2202" spans="2:2" x14ac:dyDescent="0.25">
      <c r="B2202" s="73"/>
    </row>
    <row r="2203" spans="2:2" x14ac:dyDescent="0.25">
      <c r="B2203" s="73"/>
    </row>
    <row r="2204" spans="2:2" x14ac:dyDescent="0.25">
      <c r="B2204" s="73"/>
    </row>
    <row r="2205" spans="2:2" x14ac:dyDescent="0.25">
      <c r="B2205" s="73"/>
    </row>
    <row r="2206" spans="2:2" x14ac:dyDescent="0.25">
      <c r="B2206" s="73"/>
    </row>
    <row r="2207" spans="2:2" x14ac:dyDescent="0.25">
      <c r="B2207" s="73"/>
    </row>
    <row r="2208" spans="2:2" x14ac:dyDescent="0.25">
      <c r="B2208" s="73"/>
    </row>
    <row r="2209" spans="2:2" x14ac:dyDescent="0.25">
      <c r="B2209" s="73"/>
    </row>
    <row r="2210" spans="2:2" x14ac:dyDescent="0.25">
      <c r="B2210" s="73"/>
    </row>
    <row r="2211" spans="2:2" x14ac:dyDescent="0.25">
      <c r="B2211" s="73"/>
    </row>
    <row r="2212" spans="2:2" x14ac:dyDescent="0.25">
      <c r="B2212" s="73"/>
    </row>
    <row r="2213" spans="2:2" x14ac:dyDescent="0.25">
      <c r="B2213" s="73"/>
    </row>
    <row r="2214" spans="2:2" x14ac:dyDescent="0.25">
      <c r="B2214" s="73"/>
    </row>
    <row r="2215" spans="2:2" x14ac:dyDescent="0.25">
      <c r="B2215" s="73"/>
    </row>
    <row r="2216" spans="2:2" x14ac:dyDescent="0.25">
      <c r="B2216" s="73"/>
    </row>
    <row r="2217" spans="2:2" x14ac:dyDescent="0.25">
      <c r="B2217" s="73"/>
    </row>
    <row r="2218" spans="2:2" x14ac:dyDescent="0.25">
      <c r="B2218" s="73"/>
    </row>
    <row r="2219" spans="2:2" x14ac:dyDescent="0.25">
      <c r="B2219" s="73"/>
    </row>
    <row r="2220" spans="2:2" x14ac:dyDescent="0.25">
      <c r="B2220" s="73"/>
    </row>
    <row r="2221" spans="2:2" x14ac:dyDescent="0.25">
      <c r="B2221" s="73"/>
    </row>
    <row r="2222" spans="2:2" x14ac:dyDescent="0.25">
      <c r="B2222" s="73"/>
    </row>
    <row r="2223" spans="2:2" x14ac:dyDescent="0.25">
      <c r="B2223" s="73"/>
    </row>
    <row r="2224" spans="2:2" x14ac:dyDescent="0.25">
      <c r="B2224" s="73"/>
    </row>
    <row r="2225" spans="2:2" x14ac:dyDescent="0.25">
      <c r="B2225" s="73"/>
    </row>
    <row r="2226" spans="2:2" x14ac:dyDescent="0.25">
      <c r="B2226" s="73"/>
    </row>
    <row r="2227" spans="2:2" x14ac:dyDescent="0.25">
      <c r="B2227" s="73"/>
    </row>
    <row r="2228" spans="2:2" x14ac:dyDescent="0.25">
      <c r="B2228" s="73"/>
    </row>
    <row r="2229" spans="2:2" x14ac:dyDescent="0.25">
      <c r="B2229" s="73"/>
    </row>
    <row r="2230" spans="2:2" x14ac:dyDescent="0.25">
      <c r="B2230" s="73"/>
    </row>
    <row r="2231" spans="2:2" x14ac:dyDescent="0.25">
      <c r="B2231" s="73"/>
    </row>
    <row r="2232" spans="2:2" x14ac:dyDescent="0.25">
      <c r="B2232" s="73"/>
    </row>
    <row r="2233" spans="2:2" x14ac:dyDescent="0.25">
      <c r="B2233" s="73"/>
    </row>
    <row r="2234" spans="2:2" x14ac:dyDescent="0.25">
      <c r="B2234" s="73"/>
    </row>
    <row r="2235" spans="2:2" x14ac:dyDescent="0.25">
      <c r="B2235" s="73"/>
    </row>
    <row r="2236" spans="2:2" x14ac:dyDescent="0.25">
      <c r="B2236" s="73"/>
    </row>
    <row r="2237" spans="2:2" x14ac:dyDescent="0.25">
      <c r="B2237" s="73"/>
    </row>
    <row r="2238" spans="2:2" x14ac:dyDescent="0.25">
      <c r="B2238" s="73"/>
    </row>
    <row r="2239" spans="2:2" x14ac:dyDescent="0.25">
      <c r="B2239" s="73"/>
    </row>
    <row r="2240" spans="2:2" x14ac:dyDescent="0.25">
      <c r="B2240" s="73"/>
    </row>
    <row r="2241" spans="2:2" x14ac:dyDescent="0.25">
      <c r="B2241" s="73"/>
    </row>
    <row r="2242" spans="2:2" x14ac:dyDescent="0.25">
      <c r="B2242" s="73"/>
    </row>
    <row r="2243" spans="2:2" x14ac:dyDescent="0.25">
      <c r="B2243" s="73"/>
    </row>
    <row r="2244" spans="2:2" x14ac:dyDescent="0.25">
      <c r="B2244" s="73"/>
    </row>
    <row r="2245" spans="2:2" x14ac:dyDescent="0.25">
      <c r="B2245" s="73"/>
    </row>
    <row r="2246" spans="2:2" x14ac:dyDescent="0.25">
      <c r="B2246" s="73"/>
    </row>
    <row r="2247" spans="2:2" x14ac:dyDescent="0.25">
      <c r="B2247" s="73"/>
    </row>
    <row r="2248" spans="2:2" x14ac:dyDescent="0.25">
      <c r="B2248" s="73"/>
    </row>
    <row r="2249" spans="2:2" x14ac:dyDescent="0.25">
      <c r="B2249" s="73"/>
    </row>
    <row r="2250" spans="2:2" x14ac:dyDescent="0.25">
      <c r="B2250" s="73"/>
    </row>
    <row r="2251" spans="2:2" x14ac:dyDescent="0.25">
      <c r="B2251" s="73"/>
    </row>
    <row r="2252" spans="2:2" x14ac:dyDescent="0.25">
      <c r="B2252" s="73"/>
    </row>
    <row r="2253" spans="2:2" x14ac:dyDescent="0.25">
      <c r="B2253" s="73"/>
    </row>
    <row r="2254" spans="2:2" x14ac:dyDescent="0.25">
      <c r="B2254" s="73"/>
    </row>
    <row r="2255" spans="2:2" x14ac:dyDescent="0.25">
      <c r="B2255" s="73"/>
    </row>
    <row r="2256" spans="2:2" x14ac:dyDescent="0.25">
      <c r="B2256" s="73"/>
    </row>
    <row r="2257" spans="2:2" x14ac:dyDescent="0.25">
      <c r="B2257" s="73"/>
    </row>
    <row r="2258" spans="2:2" x14ac:dyDescent="0.25">
      <c r="B2258" s="73"/>
    </row>
    <row r="2259" spans="2:2" x14ac:dyDescent="0.25">
      <c r="B2259" s="73"/>
    </row>
    <row r="2260" spans="2:2" x14ac:dyDescent="0.25">
      <c r="B2260" s="73"/>
    </row>
    <row r="2261" spans="2:2" x14ac:dyDescent="0.25">
      <c r="B2261" s="73"/>
    </row>
    <row r="2262" spans="2:2" x14ac:dyDescent="0.25">
      <c r="B2262" s="73"/>
    </row>
    <row r="2263" spans="2:2" x14ac:dyDescent="0.25">
      <c r="B2263" s="73"/>
    </row>
    <row r="2264" spans="2:2" x14ac:dyDescent="0.25">
      <c r="B2264" s="73"/>
    </row>
    <row r="2265" spans="2:2" x14ac:dyDescent="0.25">
      <c r="B2265" s="73"/>
    </row>
    <row r="2266" spans="2:2" x14ac:dyDescent="0.25">
      <c r="B2266" s="73"/>
    </row>
    <row r="2267" spans="2:2" x14ac:dyDescent="0.25">
      <c r="B2267" s="73"/>
    </row>
    <row r="2268" spans="2:2" x14ac:dyDescent="0.25">
      <c r="B2268" s="73"/>
    </row>
    <row r="2269" spans="2:2" x14ac:dyDescent="0.25">
      <c r="B2269" s="73"/>
    </row>
    <row r="2270" spans="2:2" x14ac:dyDescent="0.25">
      <c r="B2270" s="73"/>
    </row>
    <row r="2271" spans="2:2" x14ac:dyDescent="0.25">
      <c r="B2271" s="73"/>
    </row>
    <row r="2272" spans="2:2" x14ac:dyDescent="0.25">
      <c r="B2272" s="73"/>
    </row>
    <row r="2273" spans="2:2" x14ac:dyDescent="0.25">
      <c r="B2273" s="73"/>
    </row>
    <row r="2274" spans="2:2" x14ac:dyDescent="0.25">
      <c r="B2274" s="73"/>
    </row>
    <row r="2275" spans="2:2" x14ac:dyDescent="0.25">
      <c r="B2275" s="73"/>
    </row>
    <row r="2276" spans="2:2" x14ac:dyDescent="0.25">
      <c r="B2276" s="73"/>
    </row>
    <row r="2277" spans="2:2" x14ac:dyDescent="0.25">
      <c r="B2277" s="73"/>
    </row>
    <row r="2278" spans="2:2" x14ac:dyDescent="0.25">
      <c r="B2278" s="73"/>
    </row>
    <row r="2279" spans="2:2" x14ac:dyDescent="0.25">
      <c r="B2279" s="73"/>
    </row>
    <row r="2280" spans="2:2" x14ac:dyDescent="0.25">
      <c r="B2280" s="73"/>
    </row>
    <row r="2281" spans="2:2" x14ac:dyDescent="0.25">
      <c r="B2281" s="73"/>
    </row>
    <row r="2282" spans="2:2" x14ac:dyDescent="0.25">
      <c r="B2282" s="73"/>
    </row>
    <row r="2283" spans="2:2" x14ac:dyDescent="0.25">
      <c r="B2283" s="73"/>
    </row>
    <row r="2284" spans="2:2" x14ac:dyDescent="0.25">
      <c r="B2284" s="73"/>
    </row>
    <row r="2285" spans="2:2" x14ac:dyDescent="0.25">
      <c r="B2285" s="73"/>
    </row>
    <row r="2286" spans="2:2" x14ac:dyDescent="0.25">
      <c r="B2286" s="73"/>
    </row>
    <row r="2287" spans="2:2" x14ac:dyDescent="0.25">
      <c r="B2287" s="73"/>
    </row>
    <row r="2288" spans="2:2" x14ac:dyDescent="0.25">
      <c r="B2288" s="73"/>
    </row>
    <row r="2289" spans="2:2" x14ac:dyDescent="0.25">
      <c r="B2289" s="73"/>
    </row>
    <row r="2290" spans="2:2" x14ac:dyDescent="0.25">
      <c r="B2290" s="73"/>
    </row>
    <row r="2291" spans="2:2" x14ac:dyDescent="0.25">
      <c r="B2291" s="73"/>
    </row>
    <row r="2292" spans="2:2" x14ac:dyDescent="0.25">
      <c r="B2292" s="73"/>
    </row>
    <row r="2293" spans="2:2" x14ac:dyDescent="0.25">
      <c r="B2293" s="73"/>
    </row>
    <row r="2294" spans="2:2" x14ac:dyDescent="0.25">
      <c r="B2294" s="73"/>
    </row>
    <row r="2295" spans="2:2" x14ac:dyDescent="0.25">
      <c r="B2295" s="73"/>
    </row>
    <row r="2296" spans="2:2" x14ac:dyDescent="0.25">
      <c r="B2296" s="73"/>
    </row>
    <row r="2297" spans="2:2" x14ac:dyDescent="0.25">
      <c r="B2297" s="73"/>
    </row>
    <row r="2298" spans="2:2" x14ac:dyDescent="0.25">
      <c r="B2298" s="73"/>
    </row>
    <row r="2299" spans="2:2" x14ac:dyDescent="0.25">
      <c r="B2299" s="73"/>
    </row>
    <row r="2300" spans="2:2" x14ac:dyDescent="0.25">
      <c r="B2300" s="73"/>
    </row>
    <row r="2301" spans="2:2" x14ac:dyDescent="0.25">
      <c r="B2301" s="73"/>
    </row>
    <row r="2302" spans="2:2" x14ac:dyDescent="0.25">
      <c r="B2302" s="73"/>
    </row>
    <row r="2303" spans="2:2" x14ac:dyDescent="0.25">
      <c r="B2303" s="73"/>
    </row>
    <row r="2304" spans="2:2" x14ac:dyDescent="0.25">
      <c r="B2304" s="73"/>
    </row>
    <row r="2305" spans="2:2" x14ac:dyDescent="0.25">
      <c r="B2305" s="73"/>
    </row>
    <row r="2306" spans="2:2" x14ac:dyDescent="0.25">
      <c r="B2306" s="73"/>
    </row>
    <row r="2307" spans="2:2" x14ac:dyDescent="0.25">
      <c r="B2307" s="73"/>
    </row>
    <row r="2308" spans="2:2" x14ac:dyDescent="0.25">
      <c r="B2308" s="73"/>
    </row>
    <row r="2309" spans="2:2" x14ac:dyDescent="0.25">
      <c r="B2309" s="73"/>
    </row>
    <row r="2310" spans="2:2" x14ac:dyDescent="0.25">
      <c r="B2310" s="73"/>
    </row>
    <row r="2311" spans="2:2" x14ac:dyDescent="0.25">
      <c r="B2311" s="73"/>
    </row>
    <row r="2312" spans="2:2" x14ac:dyDescent="0.25">
      <c r="B2312" s="73"/>
    </row>
    <row r="2313" spans="2:2" x14ac:dyDescent="0.25">
      <c r="B2313" s="73"/>
    </row>
    <row r="2314" spans="2:2" x14ac:dyDescent="0.25">
      <c r="B2314" s="73"/>
    </row>
    <row r="2315" spans="2:2" x14ac:dyDescent="0.25">
      <c r="B2315" s="73"/>
    </row>
    <row r="2316" spans="2:2" x14ac:dyDescent="0.25">
      <c r="B2316" s="73"/>
    </row>
    <row r="2317" spans="2:2" x14ac:dyDescent="0.25">
      <c r="B2317" s="73"/>
    </row>
    <row r="2318" spans="2:2" x14ac:dyDescent="0.25">
      <c r="B2318" s="73"/>
    </row>
    <row r="2319" spans="2:2" x14ac:dyDescent="0.25">
      <c r="B2319" s="73"/>
    </row>
    <row r="2320" spans="2:2" x14ac:dyDescent="0.25">
      <c r="B2320" s="73"/>
    </row>
    <row r="2321" spans="2:2" x14ac:dyDescent="0.25">
      <c r="B2321" s="73"/>
    </row>
    <row r="2322" spans="2:2" x14ac:dyDescent="0.25">
      <c r="B2322" s="73"/>
    </row>
    <row r="2323" spans="2:2" x14ac:dyDescent="0.25">
      <c r="B2323" s="73"/>
    </row>
    <row r="2324" spans="2:2" x14ac:dyDescent="0.25">
      <c r="B2324" s="73"/>
    </row>
    <row r="2325" spans="2:2" x14ac:dyDescent="0.25">
      <c r="B2325" s="73"/>
    </row>
    <row r="2326" spans="2:2" x14ac:dyDescent="0.25">
      <c r="B2326" s="73"/>
    </row>
    <row r="2327" spans="2:2" x14ac:dyDescent="0.25">
      <c r="B2327" s="73"/>
    </row>
    <row r="2328" spans="2:2" x14ac:dyDescent="0.25">
      <c r="B2328" s="73"/>
    </row>
    <row r="2329" spans="2:2" x14ac:dyDescent="0.25">
      <c r="B2329" s="73"/>
    </row>
    <row r="2330" spans="2:2" x14ac:dyDescent="0.25">
      <c r="B2330" s="73"/>
    </row>
    <row r="2331" spans="2:2" x14ac:dyDescent="0.25">
      <c r="B2331" s="73"/>
    </row>
    <row r="2332" spans="2:2" x14ac:dyDescent="0.25">
      <c r="B2332" s="73"/>
    </row>
    <row r="2333" spans="2:2" x14ac:dyDescent="0.25">
      <c r="B2333" s="73"/>
    </row>
    <row r="2334" spans="2:2" x14ac:dyDescent="0.25">
      <c r="B2334" s="73"/>
    </row>
    <row r="2335" spans="2:2" x14ac:dyDescent="0.25">
      <c r="B2335" s="73"/>
    </row>
    <row r="2336" spans="2:2" x14ac:dyDescent="0.25">
      <c r="B2336" s="73"/>
    </row>
    <row r="2337" spans="2:2" x14ac:dyDescent="0.25">
      <c r="B2337" s="73"/>
    </row>
    <row r="2338" spans="2:2" x14ac:dyDescent="0.25">
      <c r="B2338" s="73"/>
    </row>
    <row r="2339" spans="2:2" x14ac:dyDescent="0.25">
      <c r="B2339" s="73"/>
    </row>
    <row r="2340" spans="2:2" x14ac:dyDescent="0.25">
      <c r="B2340" s="73"/>
    </row>
    <row r="2341" spans="2:2" x14ac:dyDescent="0.25">
      <c r="B2341" s="73"/>
    </row>
    <row r="2342" spans="2:2" x14ac:dyDescent="0.25">
      <c r="B2342" s="73"/>
    </row>
    <row r="2343" spans="2:2" x14ac:dyDescent="0.25">
      <c r="B2343" s="73"/>
    </row>
    <row r="2344" spans="2:2" x14ac:dyDescent="0.25">
      <c r="B2344" s="73"/>
    </row>
    <row r="2345" spans="2:2" x14ac:dyDescent="0.25">
      <c r="B2345" s="73"/>
    </row>
    <row r="2346" spans="2:2" x14ac:dyDescent="0.25">
      <c r="B2346" s="73"/>
    </row>
    <row r="2347" spans="2:2" x14ac:dyDescent="0.25">
      <c r="B2347" s="73"/>
    </row>
    <row r="2348" spans="2:2" x14ac:dyDescent="0.25">
      <c r="B2348" s="73"/>
    </row>
    <row r="2349" spans="2:2" x14ac:dyDescent="0.25">
      <c r="B2349" s="73"/>
    </row>
    <row r="2350" spans="2:2" x14ac:dyDescent="0.25">
      <c r="B2350" s="73"/>
    </row>
    <row r="2351" spans="2:2" x14ac:dyDescent="0.25">
      <c r="B2351" s="73"/>
    </row>
    <row r="2352" spans="2:2" x14ac:dyDescent="0.25">
      <c r="B2352" s="73"/>
    </row>
    <row r="2353" spans="2:2" x14ac:dyDescent="0.25">
      <c r="B2353" s="73"/>
    </row>
    <row r="2354" spans="2:2" x14ac:dyDescent="0.25">
      <c r="B2354" s="73"/>
    </row>
    <row r="2355" spans="2:2" x14ac:dyDescent="0.25">
      <c r="B2355" s="73"/>
    </row>
    <row r="2356" spans="2:2" x14ac:dyDescent="0.25">
      <c r="B2356" s="73"/>
    </row>
    <row r="2357" spans="2:2" x14ac:dyDescent="0.25">
      <c r="B2357" s="73"/>
    </row>
    <row r="2358" spans="2:2" x14ac:dyDescent="0.25">
      <c r="B2358" s="73"/>
    </row>
    <row r="2359" spans="2:2" x14ac:dyDescent="0.25">
      <c r="B2359" s="73"/>
    </row>
    <row r="2360" spans="2:2" x14ac:dyDescent="0.25">
      <c r="B2360" s="73"/>
    </row>
    <row r="2361" spans="2:2" x14ac:dyDescent="0.25">
      <c r="B2361" s="73"/>
    </row>
    <row r="2362" spans="2:2" x14ac:dyDescent="0.25">
      <c r="B2362" s="73"/>
    </row>
    <row r="2363" spans="2:2" x14ac:dyDescent="0.25">
      <c r="B2363" s="73"/>
    </row>
    <row r="2364" spans="2:2" x14ac:dyDescent="0.25">
      <c r="B2364" s="73"/>
    </row>
    <row r="2365" spans="2:2" x14ac:dyDescent="0.25">
      <c r="B2365" s="73"/>
    </row>
    <row r="2366" spans="2:2" x14ac:dyDescent="0.25">
      <c r="B2366" s="73"/>
    </row>
    <row r="2367" spans="2:2" x14ac:dyDescent="0.25">
      <c r="B2367" s="73"/>
    </row>
    <row r="2368" spans="2:2" x14ac:dyDescent="0.25">
      <c r="B2368" s="73"/>
    </row>
    <row r="2369" spans="2:2" x14ac:dyDescent="0.25">
      <c r="B2369" s="73"/>
    </row>
    <row r="2370" spans="2:2" x14ac:dyDescent="0.25">
      <c r="B2370" s="73"/>
    </row>
    <row r="2371" spans="2:2" x14ac:dyDescent="0.25">
      <c r="B2371" s="73"/>
    </row>
    <row r="2372" spans="2:2" x14ac:dyDescent="0.25">
      <c r="B2372" s="73"/>
    </row>
    <row r="2373" spans="2:2" x14ac:dyDescent="0.25">
      <c r="B2373" s="73"/>
    </row>
    <row r="2374" spans="2:2" x14ac:dyDescent="0.25">
      <c r="B2374" s="73"/>
    </row>
    <row r="2375" spans="2:2" x14ac:dyDescent="0.25">
      <c r="B2375" s="73"/>
    </row>
    <row r="2376" spans="2:2" x14ac:dyDescent="0.25">
      <c r="B2376" s="73"/>
    </row>
    <row r="2377" spans="2:2" x14ac:dyDescent="0.25">
      <c r="B2377" s="73"/>
    </row>
    <row r="2378" spans="2:2" x14ac:dyDescent="0.25">
      <c r="B2378" s="73"/>
    </row>
    <row r="2379" spans="2:2" x14ac:dyDescent="0.25">
      <c r="B2379" s="73"/>
    </row>
    <row r="2380" spans="2:2" x14ac:dyDescent="0.25">
      <c r="B2380" s="73"/>
    </row>
    <row r="2381" spans="2:2" x14ac:dyDescent="0.25">
      <c r="B2381" s="73"/>
    </row>
    <row r="2382" spans="2:2" x14ac:dyDescent="0.25">
      <c r="B2382" s="73"/>
    </row>
    <row r="2383" spans="2:2" x14ac:dyDescent="0.25">
      <c r="B2383" s="73"/>
    </row>
    <row r="2384" spans="2:2" x14ac:dyDescent="0.25">
      <c r="B2384" s="73"/>
    </row>
    <row r="2385" spans="2:2" x14ac:dyDescent="0.25">
      <c r="B2385" s="73"/>
    </row>
    <row r="2386" spans="2:2" x14ac:dyDescent="0.25">
      <c r="B2386" s="73"/>
    </row>
    <row r="2387" spans="2:2" x14ac:dyDescent="0.25">
      <c r="B2387" s="73"/>
    </row>
    <row r="2388" spans="2:2" x14ac:dyDescent="0.25">
      <c r="B2388" s="73"/>
    </row>
    <row r="2389" spans="2:2" x14ac:dyDescent="0.25">
      <c r="B2389" s="73"/>
    </row>
    <row r="2390" spans="2:2" x14ac:dyDescent="0.25">
      <c r="B2390" s="73"/>
    </row>
    <row r="2391" spans="2:2" x14ac:dyDescent="0.25">
      <c r="B2391" s="73"/>
    </row>
    <row r="2392" spans="2:2" x14ac:dyDescent="0.25">
      <c r="B2392" s="73"/>
    </row>
    <row r="2393" spans="2:2" x14ac:dyDescent="0.25">
      <c r="B2393" s="73"/>
    </row>
    <row r="2394" spans="2:2" x14ac:dyDescent="0.25">
      <c r="B2394" s="73"/>
    </row>
    <row r="2395" spans="2:2" x14ac:dyDescent="0.25">
      <c r="B2395" s="73"/>
    </row>
    <row r="2396" spans="2:2" x14ac:dyDescent="0.25">
      <c r="B2396" s="73"/>
    </row>
    <row r="2397" spans="2:2" x14ac:dyDescent="0.25">
      <c r="B2397" s="73"/>
    </row>
    <row r="2398" spans="2:2" x14ac:dyDescent="0.25">
      <c r="B2398" s="73"/>
    </row>
    <row r="2399" spans="2:2" x14ac:dyDescent="0.25">
      <c r="B2399" s="73"/>
    </row>
    <row r="2400" spans="2:2" x14ac:dyDescent="0.25">
      <c r="B2400" s="73"/>
    </row>
    <row r="2401" spans="2:2" x14ac:dyDescent="0.25">
      <c r="B2401" s="73"/>
    </row>
    <row r="2402" spans="2:2" x14ac:dyDescent="0.25">
      <c r="B2402" s="73"/>
    </row>
    <row r="2403" spans="2:2" x14ac:dyDescent="0.25">
      <c r="B2403" s="73"/>
    </row>
    <row r="2404" spans="2:2" x14ac:dyDescent="0.25">
      <c r="B2404" s="73"/>
    </row>
    <row r="2405" spans="2:2" x14ac:dyDescent="0.25">
      <c r="B2405" s="73"/>
    </row>
    <row r="2406" spans="2:2" x14ac:dyDescent="0.25">
      <c r="B2406" s="73"/>
    </row>
    <row r="2407" spans="2:2" x14ac:dyDescent="0.25">
      <c r="B2407" s="73"/>
    </row>
    <row r="2408" spans="2:2" x14ac:dyDescent="0.25">
      <c r="B2408" s="73"/>
    </row>
    <row r="2409" spans="2:2" x14ac:dyDescent="0.25">
      <c r="B2409" s="73"/>
    </row>
    <row r="2410" spans="2:2" x14ac:dyDescent="0.25">
      <c r="B2410" s="73"/>
    </row>
    <row r="2411" spans="2:2" x14ac:dyDescent="0.25">
      <c r="B2411" s="73"/>
    </row>
    <row r="2412" spans="2:2" x14ac:dyDescent="0.25">
      <c r="B2412" s="73"/>
    </row>
    <row r="2413" spans="2:2" x14ac:dyDescent="0.25">
      <c r="B2413" s="73"/>
    </row>
    <row r="2414" spans="2:2" x14ac:dyDescent="0.25">
      <c r="B2414" s="73"/>
    </row>
    <row r="2415" spans="2:2" x14ac:dyDescent="0.25">
      <c r="B2415" s="73"/>
    </row>
    <row r="2416" spans="2:2" x14ac:dyDescent="0.25">
      <c r="B2416" s="73"/>
    </row>
    <row r="2417" spans="2:2" x14ac:dyDescent="0.25">
      <c r="B2417" s="73"/>
    </row>
    <row r="2418" spans="2:2" x14ac:dyDescent="0.25">
      <c r="B2418" s="73"/>
    </row>
    <row r="2419" spans="2:2" x14ac:dyDescent="0.25">
      <c r="B2419" s="73"/>
    </row>
    <row r="2420" spans="2:2" x14ac:dyDescent="0.25">
      <c r="B2420" s="73"/>
    </row>
    <row r="2421" spans="2:2" x14ac:dyDescent="0.25">
      <c r="B2421" s="73"/>
    </row>
    <row r="2422" spans="2:2" x14ac:dyDescent="0.25">
      <c r="B2422" s="73"/>
    </row>
    <row r="2423" spans="2:2" x14ac:dyDescent="0.25">
      <c r="B2423" s="73"/>
    </row>
    <row r="2424" spans="2:2" x14ac:dyDescent="0.25">
      <c r="B2424" s="73"/>
    </row>
    <row r="2425" spans="2:2" x14ac:dyDescent="0.25">
      <c r="B2425" s="73"/>
    </row>
    <row r="2426" spans="2:2" x14ac:dyDescent="0.25">
      <c r="B2426" s="73"/>
    </row>
    <row r="2427" spans="2:2" x14ac:dyDescent="0.25">
      <c r="B2427" s="73"/>
    </row>
    <row r="2428" spans="2:2" x14ac:dyDescent="0.25">
      <c r="B2428" s="73"/>
    </row>
    <row r="2429" spans="2:2" x14ac:dyDescent="0.25">
      <c r="B2429" s="73"/>
    </row>
    <row r="2430" spans="2:2" x14ac:dyDescent="0.25">
      <c r="B2430" s="73"/>
    </row>
    <row r="2431" spans="2:2" x14ac:dyDescent="0.25">
      <c r="B2431" s="73"/>
    </row>
    <row r="2432" spans="2:2" x14ac:dyDescent="0.25">
      <c r="B2432" s="73"/>
    </row>
    <row r="2433" spans="2:2" x14ac:dyDescent="0.25">
      <c r="B2433" s="73"/>
    </row>
    <row r="2434" spans="2:2" x14ac:dyDescent="0.25">
      <c r="B2434" s="73"/>
    </row>
    <row r="2435" spans="2:2" x14ac:dyDescent="0.25">
      <c r="B2435" s="73"/>
    </row>
    <row r="2436" spans="2:2" x14ac:dyDescent="0.25">
      <c r="B2436" s="73"/>
    </row>
    <row r="2437" spans="2:2" x14ac:dyDescent="0.25">
      <c r="B2437" s="73"/>
    </row>
    <row r="2438" spans="2:2" x14ac:dyDescent="0.25">
      <c r="B2438" s="73"/>
    </row>
    <row r="2439" spans="2:2" x14ac:dyDescent="0.25">
      <c r="B2439" s="73"/>
    </row>
    <row r="2440" spans="2:2" x14ac:dyDescent="0.25">
      <c r="B2440" s="73"/>
    </row>
    <row r="2441" spans="2:2" x14ac:dyDescent="0.25">
      <c r="B2441" s="73"/>
    </row>
    <row r="2442" spans="2:2" x14ac:dyDescent="0.25">
      <c r="B2442" s="73"/>
    </row>
    <row r="2443" spans="2:2" x14ac:dyDescent="0.25">
      <c r="B2443" s="73"/>
    </row>
    <row r="2444" spans="2:2" x14ac:dyDescent="0.25">
      <c r="B2444" s="73"/>
    </row>
    <row r="2445" spans="2:2" x14ac:dyDescent="0.25">
      <c r="B2445" s="73"/>
    </row>
    <row r="2446" spans="2:2" x14ac:dyDescent="0.25">
      <c r="B2446" s="73"/>
    </row>
    <row r="2447" spans="2:2" x14ac:dyDescent="0.25">
      <c r="B2447" s="73"/>
    </row>
    <row r="2448" spans="2:2" x14ac:dyDescent="0.25">
      <c r="B2448" s="73"/>
    </row>
    <row r="2449" spans="2:2" x14ac:dyDescent="0.25">
      <c r="B2449" s="73"/>
    </row>
    <row r="2450" spans="2:2" x14ac:dyDescent="0.25">
      <c r="B2450" s="73"/>
    </row>
    <row r="2451" spans="2:2" x14ac:dyDescent="0.25">
      <c r="B2451" s="73"/>
    </row>
    <row r="2452" spans="2:2" x14ac:dyDescent="0.25">
      <c r="B2452" s="73"/>
    </row>
    <row r="2453" spans="2:2" x14ac:dyDescent="0.25">
      <c r="B2453" s="73"/>
    </row>
    <row r="2454" spans="2:2" x14ac:dyDescent="0.25">
      <c r="B2454" s="73"/>
    </row>
    <row r="2455" spans="2:2" x14ac:dyDescent="0.25">
      <c r="B2455" s="73"/>
    </row>
    <row r="2456" spans="2:2" x14ac:dyDescent="0.25">
      <c r="B2456" s="73"/>
    </row>
    <row r="2457" spans="2:2" x14ac:dyDescent="0.25">
      <c r="B2457" s="73"/>
    </row>
    <row r="2458" spans="2:2" x14ac:dyDescent="0.25">
      <c r="B2458" s="73"/>
    </row>
    <row r="2459" spans="2:2" x14ac:dyDescent="0.25">
      <c r="B2459" s="73"/>
    </row>
    <row r="2460" spans="2:2" x14ac:dyDescent="0.25">
      <c r="B2460" s="73"/>
    </row>
    <row r="2461" spans="2:2" x14ac:dyDescent="0.25">
      <c r="B2461" s="73"/>
    </row>
    <row r="2462" spans="2:2" x14ac:dyDescent="0.25">
      <c r="B2462" s="73"/>
    </row>
    <row r="2463" spans="2:2" x14ac:dyDescent="0.25">
      <c r="B2463" s="73"/>
    </row>
    <row r="2464" spans="2:2" x14ac:dyDescent="0.25">
      <c r="B2464" s="73"/>
    </row>
    <row r="2465" spans="2:2" x14ac:dyDescent="0.25">
      <c r="B2465" s="73"/>
    </row>
    <row r="2466" spans="2:2" x14ac:dyDescent="0.25">
      <c r="B2466" s="73"/>
    </row>
    <row r="2467" spans="2:2" x14ac:dyDescent="0.25">
      <c r="B2467" s="73"/>
    </row>
    <row r="2468" spans="2:2" x14ac:dyDescent="0.25">
      <c r="B2468" s="73"/>
    </row>
    <row r="2469" spans="2:2" x14ac:dyDescent="0.25">
      <c r="B2469" s="73"/>
    </row>
    <row r="2470" spans="2:2" x14ac:dyDescent="0.25">
      <c r="B2470" s="73"/>
    </row>
    <row r="2471" spans="2:2" x14ac:dyDescent="0.25">
      <c r="B2471" s="73"/>
    </row>
    <row r="2472" spans="2:2" x14ac:dyDescent="0.25">
      <c r="B2472" s="73"/>
    </row>
    <row r="2473" spans="2:2" x14ac:dyDescent="0.25">
      <c r="B2473" s="73"/>
    </row>
    <row r="2474" spans="2:2" x14ac:dyDescent="0.25">
      <c r="B2474" s="73"/>
    </row>
    <row r="2475" spans="2:2" x14ac:dyDescent="0.25">
      <c r="B2475" s="73"/>
    </row>
    <row r="2476" spans="2:2" x14ac:dyDescent="0.25">
      <c r="B2476" s="73"/>
    </row>
    <row r="2477" spans="2:2" x14ac:dyDescent="0.25">
      <c r="B2477" s="73"/>
    </row>
    <row r="2478" spans="2:2" x14ac:dyDescent="0.25">
      <c r="B2478" s="73"/>
    </row>
    <row r="2479" spans="2:2" x14ac:dyDescent="0.25">
      <c r="B2479" s="73"/>
    </row>
    <row r="2480" spans="2:2" x14ac:dyDescent="0.25">
      <c r="B2480" s="73"/>
    </row>
    <row r="2481" spans="2:2" x14ac:dyDescent="0.25">
      <c r="B2481" s="73"/>
    </row>
    <row r="2482" spans="2:2" x14ac:dyDescent="0.25">
      <c r="B2482" s="73"/>
    </row>
    <row r="2483" spans="2:2" x14ac:dyDescent="0.25">
      <c r="B2483" s="73"/>
    </row>
    <row r="2484" spans="2:2" x14ac:dyDescent="0.25">
      <c r="B2484" s="73"/>
    </row>
    <row r="2485" spans="2:2" x14ac:dyDescent="0.25">
      <c r="B2485" s="73"/>
    </row>
    <row r="2486" spans="2:2" x14ac:dyDescent="0.25">
      <c r="B2486" s="73"/>
    </row>
    <row r="2487" spans="2:2" x14ac:dyDescent="0.25">
      <c r="B2487" s="73"/>
    </row>
    <row r="2488" spans="2:2" x14ac:dyDescent="0.25">
      <c r="B2488" s="73"/>
    </row>
    <row r="2489" spans="2:2" x14ac:dyDescent="0.25">
      <c r="B2489" s="73"/>
    </row>
    <row r="2490" spans="2:2" x14ac:dyDescent="0.25">
      <c r="B2490" s="73"/>
    </row>
    <row r="2491" spans="2:2" x14ac:dyDescent="0.25">
      <c r="B2491" s="73"/>
    </row>
    <row r="2492" spans="2:2" x14ac:dyDescent="0.25">
      <c r="B2492" s="73"/>
    </row>
    <row r="2493" spans="2:2" x14ac:dyDescent="0.25">
      <c r="B2493" s="73"/>
    </row>
    <row r="2494" spans="2:2" x14ac:dyDescent="0.25">
      <c r="B2494" s="73"/>
    </row>
    <row r="2495" spans="2:2" x14ac:dyDescent="0.25">
      <c r="B2495" s="73"/>
    </row>
    <row r="2496" spans="2:2" x14ac:dyDescent="0.25">
      <c r="B2496" s="73"/>
    </row>
    <row r="2497" spans="2:2" x14ac:dyDescent="0.25">
      <c r="B2497" s="73"/>
    </row>
    <row r="2498" spans="2:2" x14ac:dyDescent="0.25">
      <c r="B2498" s="73"/>
    </row>
    <row r="2499" spans="2:2" x14ac:dyDescent="0.25">
      <c r="B2499" s="73"/>
    </row>
    <row r="2500" spans="2:2" x14ac:dyDescent="0.25">
      <c r="B2500" s="73"/>
    </row>
    <row r="2501" spans="2:2" x14ac:dyDescent="0.25">
      <c r="B2501" s="73"/>
    </row>
    <row r="2502" spans="2:2" x14ac:dyDescent="0.25">
      <c r="B2502" s="73"/>
    </row>
    <row r="2503" spans="2:2" x14ac:dyDescent="0.25">
      <c r="B2503" s="73"/>
    </row>
    <row r="2504" spans="2:2" x14ac:dyDescent="0.25">
      <c r="B2504" s="73"/>
    </row>
    <row r="2505" spans="2:2" x14ac:dyDescent="0.25">
      <c r="B2505" s="73"/>
    </row>
    <row r="2506" spans="2:2" x14ac:dyDescent="0.25">
      <c r="B2506" s="73"/>
    </row>
    <row r="2507" spans="2:2" x14ac:dyDescent="0.25">
      <c r="B2507" s="73"/>
    </row>
    <row r="2508" spans="2:2" x14ac:dyDescent="0.25">
      <c r="B2508" s="73"/>
    </row>
    <row r="2509" spans="2:2" x14ac:dyDescent="0.25">
      <c r="B2509" s="73"/>
    </row>
    <row r="2510" spans="2:2" x14ac:dyDescent="0.25">
      <c r="B2510" s="73"/>
    </row>
    <row r="2511" spans="2:2" x14ac:dyDescent="0.25">
      <c r="B2511" s="73"/>
    </row>
    <row r="2512" spans="2:2" x14ac:dyDescent="0.25">
      <c r="B2512" s="73"/>
    </row>
    <row r="2513" spans="2:2" x14ac:dyDescent="0.25">
      <c r="B2513" s="73"/>
    </row>
    <row r="2514" spans="2:2" x14ac:dyDescent="0.25">
      <c r="B2514" s="73"/>
    </row>
    <row r="2515" spans="2:2" x14ac:dyDescent="0.25">
      <c r="B2515" s="73"/>
    </row>
    <row r="2516" spans="2:2" x14ac:dyDescent="0.25">
      <c r="B2516" s="73"/>
    </row>
    <row r="2517" spans="2:2" x14ac:dyDescent="0.25">
      <c r="B2517" s="73"/>
    </row>
    <row r="2518" spans="2:2" x14ac:dyDescent="0.25">
      <c r="B2518" s="73"/>
    </row>
    <row r="2519" spans="2:2" x14ac:dyDescent="0.25">
      <c r="B2519" s="73"/>
    </row>
    <row r="2520" spans="2:2" x14ac:dyDescent="0.25">
      <c r="B2520" s="73"/>
    </row>
    <row r="2521" spans="2:2" x14ac:dyDescent="0.25">
      <c r="B2521" s="73"/>
    </row>
    <row r="2522" spans="2:2" x14ac:dyDescent="0.25">
      <c r="B2522" s="73"/>
    </row>
    <row r="2523" spans="2:2" x14ac:dyDescent="0.25">
      <c r="B2523" s="73"/>
    </row>
    <row r="2524" spans="2:2" x14ac:dyDescent="0.25">
      <c r="B2524" s="73"/>
    </row>
    <row r="2525" spans="2:2" x14ac:dyDescent="0.25">
      <c r="B2525" s="73"/>
    </row>
    <row r="2526" spans="2:2" x14ac:dyDescent="0.25">
      <c r="B2526" s="73"/>
    </row>
    <row r="2527" spans="2:2" x14ac:dyDescent="0.25">
      <c r="B2527" s="73"/>
    </row>
    <row r="2528" spans="2:2" x14ac:dyDescent="0.25">
      <c r="B2528" s="73"/>
    </row>
    <row r="2529" spans="2:2" x14ac:dyDescent="0.25">
      <c r="B2529" s="73"/>
    </row>
    <row r="2530" spans="2:2" x14ac:dyDescent="0.25">
      <c r="B2530" s="73"/>
    </row>
    <row r="2531" spans="2:2" x14ac:dyDescent="0.25">
      <c r="B2531" s="73"/>
    </row>
    <row r="2532" spans="2:2" x14ac:dyDescent="0.25">
      <c r="B2532" s="73"/>
    </row>
    <row r="2533" spans="2:2" x14ac:dyDescent="0.25">
      <c r="B2533" s="73"/>
    </row>
    <row r="2534" spans="2:2" x14ac:dyDescent="0.25">
      <c r="B2534" s="73"/>
    </row>
    <row r="2535" spans="2:2" x14ac:dyDescent="0.25">
      <c r="B2535" s="73"/>
    </row>
    <row r="2536" spans="2:2" x14ac:dyDescent="0.25">
      <c r="B2536" s="73"/>
    </row>
    <row r="2537" spans="2:2" x14ac:dyDescent="0.25">
      <c r="B2537" s="73"/>
    </row>
    <row r="2538" spans="2:2" x14ac:dyDescent="0.25">
      <c r="B2538" s="73"/>
    </row>
    <row r="2539" spans="2:2" x14ac:dyDescent="0.25">
      <c r="B2539" s="73"/>
    </row>
    <row r="2540" spans="2:2" x14ac:dyDescent="0.25">
      <c r="B2540" s="73"/>
    </row>
    <row r="2541" spans="2:2" x14ac:dyDescent="0.25">
      <c r="B2541" s="73"/>
    </row>
    <row r="2542" spans="2:2" x14ac:dyDescent="0.25">
      <c r="B2542" s="73"/>
    </row>
    <row r="2543" spans="2:2" x14ac:dyDescent="0.25">
      <c r="B2543" s="73"/>
    </row>
    <row r="2544" spans="2:2" x14ac:dyDescent="0.25">
      <c r="B2544" s="73"/>
    </row>
    <row r="2545" spans="2:2" x14ac:dyDescent="0.25">
      <c r="B2545" s="73"/>
    </row>
    <row r="2546" spans="2:2" x14ac:dyDescent="0.25">
      <c r="B2546" s="73"/>
    </row>
    <row r="2547" spans="2:2" x14ac:dyDescent="0.25">
      <c r="B2547" s="73"/>
    </row>
    <row r="2548" spans="2:2" x14ac:dyDescent="0.25">
      <c r="B2548" s="73"/>
    </row>
    <row r="2549" spans="2:2" x14ac:dyDescent="0.25">
      <c r="B2549" s="73"/>
    </row>
    <row r="2550" spans="2:2" x14ac:dyDescent="0.25">
      <c r="B2550" s="73"/>
    </row>
    <row r="2551" spans="2:2" x14ac:dyDescent="0.25">
      <c r="B2551" s="73"/>
    </row>
    <row r="2552" spans="2:2" x14ac:dyDescent="0.25">
      <c r="B2552" s="73"/>
    </row>
    <row r="2553" spans="2:2" x14ac:dyDescent="0.25">
      <c r="B2553" s="73"/>
    </row>
    <row r="2554" spans="2:2" x14ac:dyDescent="0.25">
      <c r="B2554" s="73"/>
    </row>
    <row r="2555" spans="2:2" x14ac:dyDescent="0.25">
      <c r="B2555" s="73"/>
    </row>
    <row r="2556" spans="2:2" x14ac:dyDescent="0.25">
      <c r="B2556" s="73"/>
    </row>
    <row r="2557" spans="2:2" x14ac:dyDescent="0.25">
      <c r="B2557" s="73"/>
    </row>
    <row r="2558" spans="2:2" x14ac:dyDescent="0.25">
      <c r="B2558" s="73"/>
    </row>
    <row r="2559" spans="2:2" x14ac:dyDescent="0.25">
      <c r="B2559" s="73"/>
    </row>
    <row r="2560" spans="2:2" x14ac:dyDescent="0.25">
      <c r="B2560" s="73"/>
    </row>
    <row r="2561" spans="2:2" x14ac:dyDescent="0.25">
      <c r="B2561" s="73"/>
    </row>
    <row r="2562" spans="2:2" x14ac:dyDescent="0.25">
      <c r="B2562" s="73"/>
    </row>
    <row r="2563" spans="2:2" x14ac:dyDescent="0.25">
      <c r="B2563" s="73"/>
    </row>
    <row r="2564" spans="2:2" x14ac:dyDescent="0.25">
      <c r="B2564" s="73"/>
    </row>
    <row r="2565" spans="2:2" x14ac:dyDescent="0.25">
      <c r="B2565" s="73"/>
    </row>
    <row r="2566" spans="2:2" x14ac:dyDescent="0.25">
      <c r="B2566" s="73"/>
    </row>
    <row r="2567" spans="2:2" x14ac:dyDescent="0.25">
      <c r="B2567" s="73"/>
    </row>
    <row r="2568" spans="2:2" x14ac:dyDescent="0.25">
      <c r="B2568" s="73"/>
    </row>
    <row r="2569" spans="2:2" x14ac:dyDescent="0.25">
      <c r="B2569" s="73"/>
    </row>
    <row r="2570" spans="2:2" x14ac:dyDescent="0.25">
      <c r="B2570" s="73"/>
    </row>
    <row r="2571" spans="2:2" x14ac:dyDescent="0.25">
      <c r="B2571" s="73"/>
    </row>
    <row r="2572" spans="2:2" x14ac:dyDescent="0.25">
      <c r="B2572" s="73"/>
    </row>
    <row r="2573" spans="2:2" x14ac:dyDescent="0.25">
      <c r="B2573" s="73"/>
    </row>
    <row r="2574" spans="2:2" x14ac:dyDescent="0.25">
      <c r="B2574" s="73"/>
    </row>
    <row r="2575" spans="2:2" x14ac:dyDescent="0.25">
      <c r="B2575" s="73"/>
    </row>
    <row r="2576" spans="2:2" x14ac:dyDescent="0.25">
      <c r="B2576" s="73"/>
    </row>
    <row r="2577" spans="2:2" x14ac:dyDescent="0.25">
      <c r="B2577" s="73"/>
    </row>
    <row r="2578" spans="2:2" x14ac:dyDescent="0.25">
      <c r="B2578" s="73"/>
    </row>
    <row r="2579" spans="2:2" x14ac:dyDescent="0.25">
      <c r="B2579" s="73"/>
    </row>
    <row r="2580" spans="2:2" x14ac:dyDescent="0.25">
      <c r="B2580" s="73"/>
    </row>
    <row r="2581" spans="2:2" x14ac:dyDescent="0.25">
      <c r="B2581" s="73"/>
    </row>
    <row r="2582" spans="2:2" x14ac:dyDescent="0.25">
      <c r="B2582" s="73"/>
    </row>
    <row r="2583" spans="2:2" x14ac:dyDescent="0.25">
      <c r="B2583" s="73"/>
    </row>
    <row r="2584" spans="2:2" x14ac:dyDescent="0.25">
      <c r="B2584" s="73"/>
    </row>
    <row r="2585" spans="2:2" x14ac:dyDescent="0.25">
      <c r="B2585" s="73"/>
    </row>
    <row r="2586" spans="2:2" x14ac:dyDescent="0.25">
      <c r="B2586" s="73"/>
    </row>
    <row r="2587" spans="2:2" x14ac:dyDescent="0.25">
      <c r="B2587" s="73"/>
    </row>
    <row r="2588" spans="2:2" x14ac:dyDescent="0.25">
      <c r="B2588" s="73"/>
    </row>
    <row r="2589" spans="2:2" x14ac:dyDescent="0.25">
      <c r="B2589" s="73"/>
    </row>
    <row r="2590" spans="2:2" x14ac:dyDescent="0.25">
      <c r="B2590" s="73"/>
    </row>
    <row r="2591" spans="2:2" x14ac:dyDescent="0.25">
      <c r="B2591" s="73"/>
    </row>
    <row r="2592" spans="2:2" x14ac:dyDescent="0.25">
      <c r="B2592" s="73"/>
    </row>
    <row r="2593" spans="2:2" x14ac:dyDescent="0.25">
      <c r="B2593" s="73"/>
    </row>
    <row r="2594" spans="2:2" x14ac:dyDescent="0.25">
      <c r="B2594" s="73"/>
    </row>
    <row r="2595" spans="2:2" x14ac:dyDescent="0.25">
      <c r="B2595" s="73"/>
    </row>
    <row r="2596" spans="2:2" x14ac:dyDescent="0.25">
      <c r="B2596" s="73"/>
    </row>
    <row r="2597" spans="2:2" x14ac:dyDescent="0.25">
      <c r="B2597" s="73"/>
    </row>
    <row r="2598" spans="2:2" x14ac:dyDescent="0.25">
      <c r="B2598" s="73"/>
    </row>
    <row r="2599" spans="2:2" x14ac:dyDescent="0.25">
      <c r="B2599" s="73"/>
    </row>
    <row r="2600" spans="2:2" x14ac:dyDescent="0.25">
      <c r="B2600" s="73"/>
    </row>
    <row r="2601" spans="2:2" x14ac:dyDescent="0.25">
      <c r="B2601" s="73"/>
    </row>
    <row r="2602" spans="2:2" x14ac:dyDescent="0.25">
      <c r="B2602" s="73"/>
    </row>
    <row r="2603" spans="2:2" x14ac:dyDescent="0.25">
      <c r="B2603" s="73"/>
    </row>
    <row r="2604" spans="2:2" x14ac:dyDescent="0.25">
      <c r="B2604" s="73"/>
    </row>
    <row r="2605" spans="2:2" x14ac:dyDescent="0.25">
      <c r="B2605" s="73"/>
    </row>
    <row r="2606" spans="2:2" x14ac:dyDescent="0.25">
      <c r="B2606" s="73"/>
    </row>
    <row r="2607" spans="2:2" x14ac:dyDescent="0.25">
      <c r="B2607" s="73"/>
    </row>
    <row r="2608" spans="2:2" x14ac:dyDescent="0.25">
      <c r="B2608" s="73"/>
    </row>
    <row r="2609" spans="2:2" x14ac:dyDescent="0.25">
      <c r="B2609" s="73"/>
    </row>
    <row r="2610" spans="2:2" x14ac:dyDescent="0.25">
      <c r="B2610" s="73"/>
    </row>
    <row r="2611" spans="2:2" x14ac:dyDescent="0.25">
      <c r="B2611" s="73"/>
    </row>
    <row r="2612" spans="2:2" x14ac:dyDescent="0.25">
      <c r="B2612" s="73"/>
    </row>
    <row r="2613" spans="2:2" x14ac:dyDescent="0.25">
      <c r="B2613" s="73"/>
    </row>
    <row r="2614" spans="2:2" x14ac:dyDescent="0.25">
      <c r="B2614" s="73"/>
    </row>
    <row r="2615" spans="2:2" x14ac:dyDescent="0.25">
      <c r="B2615" s="73"/>
    </row>
    <row r="2616" spans="2:2" x14ac:dyDescent="0.25">
      <c r="B2616" s="73"/>
    </row>
    <row r="2617" spans="2:2" x14ac:dyDescent="0.25">
      <c r="B2617" s="73"/>
    </row>
    <row r="2618" spans="2:2" x14ac:dyDescent="0.25">
      <c r="B2618" s="73"/>
    </row>
    <row r="2619" spans="2:2" x14ac:dyDescent="0.25">
      <c r="B2619" s="73"/>
    </row>
    <row r="2620" spans="2:2" x14ac:dyDescent="0.25">
      <c r="B2620" s="73"/>
    </row>
    <row r="2621" spans="2:2" x14ac:dyDescent="0.25">
      <c r="B2621" s="73"/>
    </row>
    <row r="2622" spans="2:2" x14ac:dyDescent="0.25">
      <c r="B2622" s="73"/>
    </row>
    <row r="2623" spans="2:2" x14ac:dyDescent="0.25">
      <c r="B2623" s="73"/>
    </row>
    <row r="2624" spans="2:2" x14ac:dyDescent="0.25">
      <c r="B2624" s="73"/>
    </row>
    <row r="2625" spans="2:2" x14ac:dyDescent="0.25">
      <c r="B2625" s="73"/>
    </row>
    <row r="2626" spans="2:2" x14ac:dyDescent="0.25">
      <c r="B2626" s="73"/>
    </row>
    <row r="2627" spans="2:2" x14ac:dyDescent="0.25">
      <c r="B2627" s="73"/>
    </row>
    <row r="2628" spans="2:2" x14ac:dyDescent="0.25">
      <c r="B2628" s="73"/>
    </row>
    <row r="2629" spans="2:2" x14ac:dyDescent="0.25">
      <c r="B2629" s="73"/>
    </row>
    <row r="2630" spans="2:2" x14ac:dyDescent="0.25">
      <c r="B2630" s="73"/>
    </row>
    <row r="2631" spans="2:2" x14ac:dyDescent="0.25">
      <c r="B2631" s="73"/>
    </row>
    <row r="2632" spans="2:2" x14ac:dyDescent="0.25">
      <c r="B2632" s="73"/>
    </row>
    <row r="2633" spans="2:2" x14ac:dyDescent="0.25">
      <c r="B2633" s="73"/>
    </row>
    <row r="2634" spans="2:2" x14ac:dyDescent="0.25">
      <c r="B2634" s="73"/>
    </row>
    <row r="2635" spans="2:2" x14ac:dyDescent="0.25">
      <c r="B2635" s="73"/>
    </row>
    <row r="2636" spans="2:2" x14ac:dyDescent="0.25">
      <c r="B2636" s="73"/>
    </row>
    <row r="2637" spans="2:2" x14ac:dyDescent="0.25">
      <c r="B2637" s="73"/>
    </row>
    <row r="2638" spans="2:2" x14ac:dyDescent="0.25">
      <c r="B2638" s="73"/>
    </row>
    <row r="2639" spans="2:2" x14ac:dyDescent="0.25">
      <c r="B2639" s="73"/>
    </row>
    <row r="2640" spans="2:2" x14ac:dyDescent="0.25">
      <c r="B2640" s="73"/>
    </row>
    <row r="2641" spans="2:2" x14ac:dyDescent="0.25">
      <c r="B2641" s="73"/>
    </row>
    <row r="2642" spans="2:2" x14ac:dyDescent="0.25">
      <c r="B2642" s="73"/>
    </row>
    <row r="2643" spans="2:2" x14ac:dyDescent="0.25">
      <c r="B2643" s="73"/>
    </row>
    <row r="2644" spans="2:2" x14ac:dyDescent="0.25">
      <c r="B2644" s="73"/>
    </row>
    <row r="2645" spans="2:2" x14ac:dyDescent="0.25">
      <c r="B2645" s="73"/>
    </row>
    <row r="2646" spans="2:2" x14ac:dyDescent="0.25">
      <c r="B2646" s="73"/>
    </row>
    <row r="2647" spans="2:2" x14ac:dyDescent="0.25">
      <c r="B2647" s="73"/>
    </row>
    <row r="2648" spans="2:2" x14ac:dyDescent="0.25">
      <c r="B2648" s="73"/>
    </row>
    <row r="2649" spans="2:2" x14ac:dyDescent="0.25">
      <c r="B2649" s="73"/>
    </row>
    <row r="2650" spans="2:2" x14ac:dyDescent="0.25">
      <c r="B2650" s="73"/>
    </row>
    <row r="2651" spans="2:2" x14ac:dyDescent="0.25">
      <c r="B2651" s="73"/>
    </row>
    <row r="2652" spans="2:2" x14ac:dyDescent="0.25">
      <c r="B2652" s="73"/>
    </row>
    <row r="2653" spans="2:2" x14ac:dyDescent="0.25">
      <c r="B2653" s="73"/>
    </row>
    <row r="2654" spans="2:2" x14ac:dyDescent="0.25">
      <c r="B2654" s="73"/>
    </row>
    <row r="2655" spans="2:2" x14ac:dyDescent="0.25">
      <c r="B2655" s="73"/>
    </row>
    <row r="2656" spans="2:2" x14ac:dyDescent="0.25">
      <c r="B2656" s="73"/>
    </row>
    <row r="2657" spans="2:2" x14ac:dyDescent="0.25">
      <c r="B2657" s="73"/>
    </row>
    <row r="2658" spans="2:2" x14ac:dyDescent="0.25">
      <c r="B2658" s="73"/>
    </row>
    <row r="2659" spans="2:2" x14ac:dyDescent="0.25">
      <c r="B2659" s="73"/>
    </row>
    <row r="2660" spans="2:2" x14ac:dyDescent="0.25">
      <c r="B2660" s="73"/>
    </row>
    <row r="2661" spans="2:2" x14ac:dyDescent="0.25">
      <c r="B2661" s="73"/>
    </row>
    <row r="2662" spans="2:2" x14ac:dyDescent="0.25">
      <c r="B2662" s="73"/>
    </row>
    <row r="2663" spans="2:2" x14ac:dyDescent="0.25">
      <c r="B2663" s="73"/>
    </row>
    <row r="2664" spans="2:2" x14ac:dyDescent="0.25">
      <c r="B2664" s="73"/>
    </row>
    <row r="2665" spans="2:2" x14ac:dyDescent="0.25">
      <c r="B2665" s="73"/>
    </row>
    <row r="2666" spans="2:2" x14ac:dyDescent="0.25">
      <c r="B2666" s="73"/>
    </row>
    <row r="2667" spans="2:2" x14ac:dyDescent="0.25">
      <c r="B2667" s="73"/>
    </row>
    <row r="2668" spans="2:2" x14ac:dyDescent="0.25">
      <c r="B2668" s="73"/>
    </row>
    <row r="2669" spans="2:2" x14ac:dyDescent="0.25">
      <c r="B2669" s="73"/>
    </row>
    <row r="2670" spans="2:2" x14ac:dyDescent="0.25">
      <c r="B2670" s="73"/>
    </row>
    <row r="2671" spans="2:2" x14ac:dyDescent="0.25">
      <c r="B2671" s="73"/>
    </row>
    <row r="2672" spans="2:2" x14ac:dyDescent="0.25">
      <c r="B2672" s="73"/>
    </row>
    <row r="2673" spans="2:2" x14ac:dyDescent="0.25">
      <c r="B2673" s="73"/>
    </row>
    <row r="2674" spans="2:2" x14ac:dyDescent="0.25">
      <c r="B2674" s="73"/>
    </row>
    <row r="2675" spans="2:2" x14ac:dyDescent="0.25">
      <c r="B2675" s="73"/>
    </row>
    <row r="2676" spans="2:2" x14ac:dyDescent="0.25">
      <c r="B2676" s="73"/>
    </row>
    <row r="2677" spans="2:2" x14ac:dyDescent="0.25">
      <c r="B2677" s="73"/>
    </row>
    <row r="2678" spans="2:2" x14ac:dyDescent="0.25">
      <c r="B2678" s="73"/>
    </row>
    <row r="2679" spans="2:2" x14ac:dyDescent="0.25">
      <c r="B2679" s="73"/>
    </row>
    <row r="2680" spans="2:2" x14ac:dyDescent="0.25">
      <c r="B2680" s="73"/>
    </row>
    <row r="2681" spans="2:2" x14ac:dyDescent="0.25">
      <c r="B2681" s="73"/>
    </row>
    <row r="2682" spans="2:2" x14ac:dyDescent="0.25">
      <c r="B2682" s="73"/>
    </row>
    <row r="2683" spans="2:2" x14ac:dyDescent="0.25">
      <c r="B2683" s="73"/>
    </row>
    <row r="2684" spans="2:2" x14ac:dyDescent="0.25">
      <c r="B2684" s="73"/>
    </row>
    <row r="2685" spans="2:2" x14ac:dyDescent="0.25">
      <c r="B2685" s="73"/>
    </row>
    <row r="2686" spans="2:2" x14ac:dyDescent="0.25">
      <c r="B2686" s="73"/>
    </row>
    <row r="2687" spans="2:2" x14ac:dyDescent="0.25">
      <c r="B2687" s="73"/>
    </row>
    <row r="2688" spans="2:2" x14ac:dyDescent="0.25">
      <c r="B2688" s="73"/>
    </row>
    <row r="2689" spans="2:2" x14ac:dyDescent="0.25">
      <c r="B2689" s="73"/>
    </row>
    <row r="2690" spans="2:2" x14ac:dyDescent="0.25">
      <c r="B2690" s="73"/>
    </row>
    <row r="2691" spans="2:2" x14ac:dyDescent="0.25">
      <c r="B2691" s="73"/>
    </row>
    <row r="2692" spans="2:2" x14ac:dyDescent="0.25">
      <c r="B2692" s="73"/>
    </row>
    <row r="2693" spans="2:2" x14ac:dyDescent="0.25">
      <c r="B2693" s="73"/>
    </row>
    <row r="2694" spans="2:2" x14ac:dyDescent="0.25">
      <c r="B2694" s="73"/>
    </row>
    <row r="2695" spans="2:2" x14ac:dyDescent="0.25">
      <c r="B2695" s="73"/>
    </row>
    <row r="2696" spans="2:2" x14ac:dyDescent="0.25">
      <c r="B2696" s="73"/>
    </row>
    <row r="2697" spans="2:2" x14ac:dyDescent="0.25">
      <c r="B2697" s="73"/>
    </row>
    <row r="2698" spans="2:2" x14ac:dyDescent="0.25">
      <c r="B2698" s="73"/>
    </row>
    <row r="2699" spans="2:2" x14ac:dyDescent="0.25">
      <c r="B2699" s="73"/>
    </row>
    <row r="2700" spans="2:2" x14ac:dyDescent="0.25">
      <c r="B2700" s="73"/>
    </row>
    <row r="2701" spans="2:2" x14ac:dyDescent="0.25">
      <c r="B2701" s="73"/>
    </row>
    <row r="2702" spans="2:2" x14ac:dyDescent="0.25">
      <c r="B2702" s="73"/>
    </row>
    <row r="2703" spans="2:2" x14ac:dyDescent="0.25">
      <c r="B2703" s="73"/>
    </row>
    <row r="2704" spans="2:2" x14ac:dyDescent="0.25">
      <c r="B2704" s="73"/>
    </row>
    <row r="2705" spans="2:2" x14ac:dyDescent="0.25">
      <c r="B2705" s="73"/>
    </row>
    <row r="2706" spans="2:2" x14ac:dyDescent="0.25">
      <c r="B2706" s="73"/>
    </row>
    <row r="2707" spans="2:2" x14ac:dyDescent="0.25">
      <c r="B2707" s="73"/>
    </row>
    <row r="2708" spans="2:2" x14ac:dyDescent="0.25">
      <c r="B2708" s="73"/>
    </row>
    <row r="2709" spans="2:2" x14ac:dyDescent="0.25">
      <c r="B2709" s="73"/>
    </row>
    <row r="2710" spans="2:2" x14ac:dyDescent="0.25">
      <c r="B2710" s="73"/>
    </row>
    <row r="2711" spans="2:2" x14ac:dyDescent="0.25">
      <c r="B2711" s="73"/>
    </row>
    <row r="2712" spans="2:2" x14ac:dyDescent="0.25">
      <c r="B2712" s="73"/>
    </row>
    <row r="2713" spans="2:2" x14ac:dyDescent="0.25">
      <c r="B2713" s="73"/>
    </row>
    <row r="2714" spans="2:2" x14ac:dyDescent="0.25">
      <c r="B2714" s="73"/>
    </row>
    <row r="2715" spans="2:2" x14ac:dyDescent="0.25">
      <c r="B2715" s="73"/>
    </row>
    <row r="2716" spans="2:2" x14ac:dyDescent="0.25">
      <c r="B2716" s="73"/>
    </row>
    <row r="2717" spans="2:2" x14ac:dyDescent="0.25">
      <c r="B2717" s="73"/>
    </row>
    <row r="2718" spans="2:2" x14ac:dyDescent="0.25">
      <c r="B2718" s="73"/>
    </row>
    <row r="2719" spans="2:2" x14ac:dyDescent="0.25">
      <c r="B2719" s="73"/>
    </row>
    <row r="2720" spans="2:2" x14ac:dyDescent="0.25">
      <c r="B2720" s="73"/>
    </row>
    <row r="2721" spans="2:2" x14ac:dyDescent="0.25">
      <c r="B2721" s="73"/>
    </row>
    <row r="2722" spans="2:2" x14ac:dyDescent="0.25">
      <c r="B2722" s="73"/>
    </row>
    <row r="2723" spans="2:2" x14ac:dyDescent="0.25">
      <c r="B2723" s="73"/>
    </row>
    <row r="2724" spans="2:2" x14ac:dyDescent="0.25">
      <c r="B2724" s="73"/>
    </row>
    <row r="2725" spans="2:2" x14ac:dyDescent="0.25">
      <c r="B2725" s="73"/>
    </row>
    <row r="2726" spans="2:2" x14ac:dyDescent="0.25">
      <c r="B2726" s="73"/>
    </row>
    <row r="2727" spans="2:2" x14ac:dyDescent="0.25">
      <c r="B2727" s="73"/>
    </row>
    <row r="2728" spans="2:2" x14ac:dyDescent="0.25">
      <c r="B2728" s="73"/>
    </row>
    <row r="2729" spans="2:2" x14ac:dyDescent="0.25">
      <c r="B2729" s="73"/>
    </row>
    <row r="2730" spans="2:2" x14ac:dyDescent="0.25">
      <c r="B2730" s="73"/>
    </row>
    <row r="2731" spans="2:2" x14ac:dyDescent="0.25">
      <c r="B2731" s="73"/>
    </row>
    <row r="2732" spans="2:2" x14ac:dyDescent="0.25">
      <c r="B2732" s="73"/>
    </row>
    <row r="2733" spans="2:2" x14ac:dyDescent="0.25">
      <c r="B2733" s="73"/>
    </row>
    <row r="2734" spans="2:2" x14ac:dyDescent="0.25">
      <c r="B2734" s="73"/>
    </row>
    <row r="2735" spans="2:2" x14ac:dyDescent="0.25">
      <c r="B2735" s="73"/>
    </row>
    <row r="2736" spans="2:2" x14ac:dyDescent="0.25">
      <c r="B2736" s="73"/>
    </row>
    <row r="2737" spans="2:2" x14ac:dyDescent="0.25">
      <c r="B2737" s="73"/>
    </row>
    <row r="2738" spans="2:2" x14ac:dyDescent="0.25">
      <c r="B2738" s="73"/>
    </row>
    <row r="2739" spans="2:2" x14ac:dyDescent="0.25">
      <c r="B2739" s="73"/>
    </row>
    <row r="2740" spans="2:2" x14ac:dyDescent="0.25">
      <c r="B2740" s="73"/>
    </row>
    <row r="2741" spans="2:2" x14ac:dyDescent="0.25">
      <c r="B2741" s="73"/>
    </row>
    <row r="2742" spans="2:2" x14ac:dyDescent="0.25">
      <c r="B2742" s="73"/>
    </row>
    <row r="2743" spans="2:2" x14ac:dyDescent="0.25">
      <c r="B2743" s="73"/>
    </row>
    <row r="2744" spans="2:2" x14ac:dyDescent="0.25">
      <c r="B2744" s="73"/>
    </row>
    <row r="2745" spans="2:2" x14ac:dyDescent="0.25">
      <c r="B2745" s="73"/>
    </row>
    <row r="2746" spans="2:2" x14ac:dyDescent="0.25">
      <c r="B2746" s="73"/>
    </row>
    <row r="2747" spans="2:2" x14ac:dyDescent="0.25">
      <c r="B2747" s="73"/>
    </row>
    <row r="2748" spans="2:2" x14ac:dyDescent="0.25">
      <c r="B2748" s="73"/>
    </row>
    <row r="2749" spans="2:2" x14ac:dyDescent="0.25">
      <c r="B2749" s="73"/>
    </row>
    <row r="2750" spans="2:2" x14ac:dyDescent="0.25">
      <c r="B2750" s="73"/>
    </row>
    <row r="2751" spans="2:2" x14ac:dyDescent="0.25">
      <c r="B2751" s="73"/>
    </row>
    <row r="2752" spans="2:2" x14ac:dyDescent="0.25">
      <c r="B2752" s="73"/>
    </row>
    <row r="2753" spans="2:2" x14ac:dyDescent="0.25">
      <c r="B2753" s="73"/>
    </row>
    <row r="2754" spans="2:2" x14ac:dyDescent="0.25">
      <c r="B2754" s="73"/>
    </row>
    <row r="2755" spans="2:2" x14ac:dyDescent="0.25">
      <c r="B2755" s="73"/>
    </row>
    <row r="2756" spans="2:2" x14ac:dyDescent="0.25">
      <c r="B2756" s="73"/>
    </row>
    <row r="2757" spans="2:2" x14ac:dyDescent="0.25">
      <c r="B2757" s="73"/>
    </row>
    <row r="2758" spans="2:2" x14ac:dyDescent="0.25">
      <c r="B2758" s="73"/>
    </row>
    <row r="2759" spans="2:2" x14ac:dyDescent="0.25">
      <c r="B2759" s="73"/>
    </row>
    <row r="2760" spans="2:2" x14ac:dyDescent="0.25">
      <c r="B2760" s="73"/>
    </row>
    <row r="2761" spans="2:2" x14ac:dyDescent="0.25">
      <c r="B2761" s="73"/>
    </row>
    <row r="2762" spans="2:2" x14ac:dyDescent="0.25">
      <c r="B2762" s="73"/>
    </row>
    <row r="2763" spans="2:2" x14ac:dyDescent="0.25">
      <c r="B2763" s="73"/>
    </row>
    <row r="2764" spans="2:2" x14ac:dyDescent="0.25">
      <c r="B2764" s="73"/>
    </row>
    <row r="2765" spans="2:2" x14ac:dyDescent="0.25">
      <c r="B2765" s="73"/>
    </row>
    <row r="2766" spans="2:2" x14ac:dyDescent="0.25">
      <c r="B2766" s="73"/>
    </row>
    <row r="2767" spans="2:2" x14ac:dyDescent="0.25">
      <c r="B2767" s="73"/>
    </row>
    <row r="2768" spans="2:2" x14ac:dyDescent="0.25">
      <c r="B2768" s="73"/>
    </row>
    <row r="2769" spans="2:2" x14ac:dyDescent="0.25">
      <c r="B2769" s="73"/>
    </row>
    <row r="2770" spans="2:2" x14ac:dyDescent="0.25">
      <c r="B2770" s="73"/>
    </row>
    <row r="2771" spans="2:2" x14ac:dyDescent="0.25">
      <c r="B2771" s="73"/>
    </row>
    <row r="2772" spans="2:2" x14ac:dyDescent="0.25">
      <c r="B2772" s="73"/>
    </row>
    <row r="2773" spans="2:2" x14ac:dyDescent="0.25">
      <c r="B2773" s="73"/>
    </row>
    <row r="2774" spans="2:2" x14ac:dyDescent="0.25">
      <c r="B2774" s="73"/>
    </row>
    <row r="2775" spans="2:2" x14ac:dyDescent="0.25">
      <c r="B2775" s="73"/>
    </row>
    <row r="2776" spans="2:2" x14ac:dyDescent="0.25">
      <c r="B2776" s="73"/>
    </row>
    <row r="2777" spans="2:2" x14ac:dyDescent="0.25">
      <c r="B2777" s="73"/>
    </row>
    <row r="2778" spans="2:2" x14ac:dyDescent="0.25">
      <c r="B2778" s="73"/>
    </row>
    <row r="2779" spans="2:2" x14ac:dyDescent="0.25">
      <c r="B2779" s="73"/>
    </row>
    <row r="2780" spans="2:2" x14ac:dyDescent="0.25">
      <c r="B2780" s="73"/>
    </row>
    <row r="2781" spans="2:2" x14ac:dyDescent="0.25">
      <c r="B2781" s="73"/>
    </row>
    <row r="2782" spans="2:2" x14ac:dyDescent="0.25">
      <c r="B2782" s="73"/>
    </row>
    <row r="2783" spans="2:2" x14ac:dyDescent="0.25">
      <c r="B2783" s="73"/>
    </row>
    <row r="2784" spans="2:2" x14ac:dyDescent="0.25">
      <c r="B2784" s="73"/>
    </row>
    <row r="2785" spans="2:2" x14ac:dyDescent="0.25">
      <c r="B2785" s="73"/>
    </row>
    <row r="2786" spans="2:2" x14ac:dyDescent="0.25">
      <c r="B2786" s="73"/>
    </row>
    <row r="2787" spans="2:2" x14ac:dyDescent="0.25">
      <c r="B2787" s="73"/>
    </row>
    <row r="2788" spans="2:2" x14ac:dyDescent="0.25">
      <c r="B2788" s="73"/>
    </row>
    <row r="2789" spans="2:2" x14ac:dyDescent="0.25">
      <c r="B2789" s="73"/>
    </row>
    <row r="2790" spans="2:2" x14ac:dyDescent="0.25">
      <c r="B2790" s="73"/>
    </row>
    <row r="2791" spans="2:2" x14ac:dyDescent="0.25">
      <c r="B2791" s="73"/>
    </row>
    <row r="2792" spans="2:2" x14ac:dyDescent="0.25">
      <c r="B2792" s="73"/>
    </row>
    <row r="2793" spans="2:2" x14ac:dyDescent="0.25">
      <c r="B2793" s="73"/>
    </row>
    <row r="2794" spans="2:2" x14ac:dyDescent="0.25">
      <c r="B2794" s="73"/>
    </row>
    <row r="2795" spans="2:2" x14ac:dyDescent="0.25">
      <c r="B2795" s="73"/>
    </row>
    <row r="2796" spans="2:2" x14ac:dyDescent="0.25">
      <c r="B2796" s="73"/>
    </row>
    <row r="2797" spans="2:2" x14ac:dyDescent="0.25">
      <c r="B2797" s="73"/>
    </row>
    <row r="2798" spans="2:2" x14ac:dyDescent="0.25">
      <c r="B2798" s="73"/>
    </row>
    <row r="2799" spans="2:2" x14ac:dyDescent="0.25">
      <c r="B2799" s="73"/>
    </row>
    <row r="2800" spans="2:2" x14ac:dyDescent="0.25">
      <c r="B2800" s="73"/>
    </row>
    <row r="2801" spans="2:2" x14ac:dyDescent="0.25">
      <c r="B2801" s="73"/>
    </row>
    <row r="2802" spans="2:2" x14ac:dyDescent="0.25">
      <c r="B2802" s="73"/>
    </row>
    <row r="2803" spans="2:2" x14ac:dyDescent="0.25">
      <c r="B2803" s="73"/>
    </row>
    <row r="2804" spans="2:2" x14ac:dyDescent="0.25">
      <c r="B2804" s="73"/>
    </row>
    <row r="2805" spans="2:2" x14ac:dyDescent="0.25">
      <c r="B2805" s="73"/>
    </row>
    <row r="2806" spans="2:2" x14ac:dyDescent="0.25">
      <c r="B2806" s="73"/>
    </row>
    <row r="2807" spans="2:2" x14ac:dyDescent="0.25">
      <c r="B2807" s="73"/>
    </row>
    <row r="2808" spans="2:2" x14ac:dyDescent="0.25">
      <c r="B2808" s="73"/>
    </row>
    <row r="2809" spans="2:2" x14ac:dyDescent="0.25">
      <c r="B2809" s="73"/>
    </row>
    <row r="2810" spans="2:2" x14ac:dyDescent="0.25">
      <c r="B2810" s="73"/>
    </row>
    <row r="2811" spans="2:2" x14ac:dyDescent="0.25">
      <c r="B2811" s="73"/>
    </row>
    <row r="2812" spans="2:2" x14ac:dyDescent="0.25">
      <c r="B2812" s="73"/>
    </row>
    <row r="2813" spans="2:2" x14ac:dyDescent="0.25">
      <c r="B2813" s="73"/>
    </row>
    <row r="2814" spans="2:2" x14ac:dyDescent="0.25">
      <c r="B2814" s="73"/>
    </row>
    <row r="2815" spans="2:2" x14ac:dyDescent="0.25">
      <c r="B2815" s="73"/>
    </row>
    <row r="2816" spans="2:2" x14ac:dyDescent="0.25">
      <c r="B2816" s="73"/>
    </row>
    <row r="2817" spans="2:2" x14ac:dyDescent="0.25">
      <c r="B2817" s="73"/>
    </row>
    <row r="2818" spans="2:2" x14ac:dyDescent="0.25">
      <c r="B2818" s="73"/>
    </row>
    <row r="2819" spans="2:2" x14ac:dyDescent="0.25">
      <c r="B2819" s="73"/>
    </row>
    <row r="2820" spans="2:2" x14ac:dyDescent="0.25">
      <c r="B2820" s="73"/>
    </row>
    <row r="2821" spans="2:2" x14ac:dyDescent="0.25">
      <c r="B2821" s="73"/>
    </row>
    <row r="2822" spans="2:2" x14ac:dyDescent="0.25">
      <c r="B2822" s="73"/>
    </row>
    <row r="2823" spans="2:2" x14ac:dyDescent="0.25">
      <c r="B2823" s="73"/>
    </row>
    <row r="2824" spans="2:2" x14ac:dyDescent="0.25">
      <c r="B2824" s="73"/>
    </row>
    <row r="2825" spans="2:2" x14ac:dyDescent="0.25">
      <c r="B2825" s="73"/>
    </row>
    <row r="2826" spans="2:2" x14ac:dyDescent="0.25">
      <c r="B2826" s="73"/>
    </row>
    <row r="2827" spans="2:2" x14ac:dyDescent="0.25">
      <c r="B2827" s="73"/>
    </row>
    <row r="2828" spans="2:2" x14ac:dyDescent="0.25">
      <c r="B2828" s="73"/>
    </row>
    <row r="2829" spans="2:2" x14ac:dyDescent="0.25">
      <c r="B2829" s="73"/>
    </row>
    <row r="2830" spans="2:2" x14ac:dyDescent="0.25">
      <c r="B2830" s="73"/>
    </row>
    <row r="2831" spans="2:2" x14ac:dyDescent="0.25">
      <c r="B2831" s="73"/>
    </row>
    <row r="2832" spans="2:2" x14ac:dyDescent="0.25">
      <c r="B2832" s="73"/>
    </row>
    <row r="2833" spans="2:2" x14ac:dyDescent="0.25">
      <c r="B2833" s="73"/>
    </row>
    <row r="2834" spans="2:2" x14ac:dyDescent="0.25">
      <c r="B2834" s="73"/>
    </row>
    <row r="2835" spans="2:2" x14ac:dyDescent="0.25">
      <c r="B2835" s="73"/>
    </row>
    <row r="2836" spans="2:2" x14ac:dyDescent="0.25">
      <c r="B2836" s="73"/>
    </row>
    <row r="2837" spans="2:2" x14ac:dyDescent="0.25">
      <c r="B2837" s="73"/>
    </row>
    <row r="2838" spans="2:2" x14ac:dyDescent="0.25">
      <c r="B2838" s="73"/>
    </row>
    <row r="2839" spans="2:2" x14ac:dyDescent="0.25">
      <c r="B2839" s="73"/>
    </row>
    <row r="2840" spans="2:2" x14ac:dyDescent="0.25">
      <c r="B2840" s="73"/>
    </row>
    <row r="2841" spans="2:2" x14ac:dyDescent="0.25">
      <c r="B2841" s="73"/>
    </row>
    <row r="2842" spans="2:2" x14ac:dyDescent="0.25">
      <c r="B2842" s="73"/>
    </row>
    <row r="2843" spans="2:2" x14ac:dyDescent="0.25">
      <c r="B2843" s="73"/>
    </row>
    <row r="2844" spans="2:2" x14ac:dyDescent="0.25">
      <c r="B2844" s="73"/>
    </row>
    <row r="2845" spans="2:2" x14ac:dyDescent="0.25">
      <c r="B2845" s="73"/>
    </row>
    <row r="2846" spans="2:2" x14ac:dyDescent="0.25">
      <c r="B2846" s="73"/>
    </row>
    <row r="2847" spans="2:2" x14ac:dyDescent="0.25">
      <c r="B2847" s="73"/>
    </row>
    <row r="2848" spans="2:2" x14ac:dyDescent="0.25">
      <c r="B2848" s="73"/>
    </row>
    <row r="2849" spans="2:2" x14ac:dyDescent="0.25">
      <c r="B2849" s="73"/>
    </row>
    <row r="2850" spans="2:2" x14ac:dyDescent="0.25">
      <c r="B2850" s="73"/>
    </row>
    <row r="2851" spans="2:2" x14ac:dyDescent="0.25">
      <c r="B2851" s="73"/>
    </row>
    <row r="2852" spans="2:2" x14ac:dyDescent="0.25">
      <c r="B2852" s="73"/>
    </row>
    <row r="2853" spans="2:2" x14ac:dyDescent="0.25">
      <c r="B2853" s="73"/>
    </row>
    <row r="2854" spans="2:2" x14ac:dyDescent="0.25">
      <c r="B2854" s="73"/>
    </row>
    <row r="2855" spans="2:2" x14ac:dyDescent="0.25">
      <c r="B2855" s="73"/>
    </row>
    <row r="2856" spans="2:2" x14ac:dyDescent="0.25">
      <c r="B2856" s="73"/>
    </row>
    <row r="2857" spans="2:2" x14ac:dyDescent="0.25">
      <c r="B2857" s="73"/>
    </row>
    <row r="2858" spans="2:2" x14ac:dyDescent="0.25">
      <c r="B2858" s="73"/>
    </row>
    <row r="2859" spans="2:2" x14ac:dyDescent="0.25">
      <c r="B2859" s="73"/>
    </row>
    <row r="2860" spans="2:2" x14ac:dyDescent="0.25">
      <c r="B2860" s="73"/>
    </row>
    <row r="2861" spans="2:2" x14ac:dyDescent="0.25">
      <c r="B2861" s="73"/>
    </row>
    <row r="2862" spans="2:2" x14ac:dyDescent="0.25">
      <c r="B2862" s="73"/>
    </row>
    <row r="2863" spans="2:2" x14ac:dyDescent="0.25">
      <c r="B2863" s="73"/>
    </row>
    <row r="2864" spans="2:2" x14ac:dyDescent="0.25">
      <c r="B2864" s="73"/>
    </row>
    <row r="2865" spans="2:2" x14ac:dyDescent="0.25">
      <c r="B2865" s="73"/>
    </row>
    <row r="2866" spans="2:2" x14ac:dyDescent="0.25">
      <c r="B2866" s="73"/>
    </row>
    <row r="2867" spans="2:2" x14ac:dyDescent="0.25">
      <c r="B2867" s="73"/>
    </row>
    <row r="2868" spans="2:2" x14ac:dyDescent="0.25">
      <c r="B2868" s="73"/>
    </row>
    <row r="2869" spans="2:2" x14ac:dyDescent="0.25">
      <c r="B2869" s="73"/>
    </row>
    <row r="2870" spans="2:2" x14ac:dyDescent="0.25">
      <c r="B2870" s="73"/>
    </row>
    <row r="2871" spans="2:2" x14ac:dyDescent="0.25">
      <c r="B2871" s="73"/>
    </row>
    <row r="2872" spans="2:2" x14ac:dyDescent="0.25">
      <c r="B2872" s="73"/>
    </row>
    <row r="2873" spans="2:2" x14ac:dyDescent="0.25">
      <c r="B2873" s="73"/>
    </row>
    <row r="2874" spans="2:2" x14ac:dyDescent="0.25">
      <c r="B2874" s="73"/>
    </row>
    <row r="2875" spans="2:2" x14ac:dyDescent="0.25">
      <c r="B2875" s="73"/>
    </row>
    <row r="2876" spans="2:2" x14ac:dyDescent="0.25">
      <c r="B2876" s="73"/>
    </row>
    <row r="2877" spans="2:2" x14ac:dyDescent="0.25">
      <c r="B2877" s="73"/>
    </row>
    <row r="2878" spans="2:2" x14ac:dyDescent="0.25">
      <c r="B2878" s="73"/>
    </row>
    <row r="2879" spans="2:2" x14ac:dyDescent="0.25">
      <c r="B2879" s="73"/>
    </row>
    <row r="2880" spans="2:2" x14ac:dyDescent="0.25">
      <c r="B2880" s="73"/>
    </row>
    <row r="2881" spans="2:2" x14ac:dyDescent="0.25">
      <c r="B2881" s="73"/>
    </row>
    <row r="2882" spans="2:2" x14ac:dyDescent="0.25">
      <c r="B2882" s="73"/>
    </row>
    <row r="2883" spans="2:2" x14ac:dyDescent="0.25">
      <c r="B2883" s="73"/>
    </row>
    <row r="2884" spans="2:2" x14ac:dyDescent="0.25">
      <c r="B2884" s="73"/>
    </row>
    <row r="2885" spans="2:2" x14ac:dyDescent="0.25">
      <c r="B2885" s="73"/>
    </row>
    <row r="2886" spans="2:2" x14ac:dyDescent="0.25">
      <c r="B2886" s="73"/>
    </row>
    <row r="2887" spans="2:2" x14ac:dyDescent="0.25">
      <c r="B2887" s="73"/>
    </row>
    <row r="2888" spans="2:2" x14ac:dyDescent="0.25">
      <c r="B2888" s="73"/>
    </row>
    <row r="2889" spans="2:2" x14ac:dyDescent="0.25">
      <c r="B2889" s="73"/>
    </row>
    <row r="2890" spans="2:2" x14ac:dyDescent="0.25">
      <c r="B2890" s="73"/>
    </row>
    <row r="2891" spans="2:2" x14ac:dyDescent="0.25">
      <c r="B2891" s="73"/>
    </row>
    <row r="2892" spans="2:2" x14ac:dyDescent="0.25">
      <c r="B2892" s="73"/>
    </row>
    <row r="2893" spans="2:2" x14ac:dyDescent="0.25">
      <c r="B2893" s="73"/>
    </row>
    <row r="2894" spans="2:2" x14ac:dyDescent="0.25">
      <c r="B2894" s="73"/>
    </row>
    <row r="2895" spans="2:2" x14ac:dyDescent="0.25">
      <c r="B2895" s="73"/>
    </row>
    <row r="2896" spans="2:2" x14ac:dyDescent="0.25">
      <c r="B2896" s="73"/>
    </row>
    <row r="2897" spans="2:2" x14ac:dyDescent="0.25">
      <c r="B2897" s="73"/>
    </row>
    <row r="2898" spans="2:2" x14ac:dyDescent="0.25">
      <c r="B2898" s="73"/>
    </row>
    <row r="2899" spans="2:2" x14ac:dyDescent="0.25">
      <c r="B2899" s="73"/>
    </row>
    <row r="2900" spans="2:2" x14ac:dyDescent="0.25">
      <c r="B2900" s="73"/>
    </row>
    <row r="2901" spans="2:2" x14ac:dyDescent="0.25">
      <c r="B2901" s="73"/>
    </row>
    <row r="2902" spans="2:2" x14ac:dyDescent="0.25">
      <c r="B2902" s="73"/>
    </row>
    <row r="2903" spans="2:2" x14ac:dyDescent="0.25">
      <c r="B2903" s="73"/>
    </row>
    <row r="2904" spans="2:2" x14ac:dyDescent="0.25">
      <c r="B2904" s="73"/>
    </row>
    <row r="2905" spans="2:2" x14ac:dyDescent="0.25">
      <c r="B2905" s="73"/>
    </row>
    <row r="2906" spans="2:2" x14ac:dyDescent="0.25">
      <c r="B2906" s="73"/>
    </row>
    <row r="2907" spans="2:2" x14ac:dyDescent="0.25">
      <c r="B2907" s="73"/>
    </row>
    <row r="2908" spans="2:2" x14ac:dyDescent="0.25">
      <c r="B2908" s="73"/>
    </row>
    <row r="2909" spans="2:2" x14ac:dyDescent="0.25">
      <c r="B2909" s="73"/>
    </row>
    <row r="2910" spans="2:2" x14ac:dyDescent="0.25">
      <c r="B2910" s="73"/>
    </row>
    <row r="2911" spans="2:2" x14ac:dyDescent="0.25">
      <c r="B2911" s="73"/>
    </row>
    <row r="2912" spans="2:2" x14ac:dyDescent="0.25">
      <c r="B2912" s="73"/>
    </row>
    <row r="2913" spans="2:2" x14ac:dyDescent="0.25">
      <c r="B2913" s="73"/>
    </row>
    <row r="2914" spans="2:2" x14ac:dyDescent="0.25">
      <c r="B2914" s="73"/>
    </row>
    <row r="2915" spans="2:2" x14ac:dyDescent="0.25">
      <c r="B2915" s="73"/>
    </row>
    <row r="2916" spans="2:2" x14ac:dyDescent="0.25">
      <c r="B2916" s="73"/>
    </row>
    <row r="2917" spans="2:2" x14ac:dyDescent="0.25">
      <c r="B2917" s="73"/>
    </row>
    <row r="2918" spans="2:2" x14ac:dyDescent="0.25">
      <c r="B2918" s="73"/>
    </row>
    <row r="2919" spans="2:2" x14ac:dyDescent="0.25">
      <c r="B2919" s="73"/>
    </row>
    <row r="2920" spans="2:2" x14ac:dyDescent="0.25">
      <c r="B2920" s="73"/>
    </row>
    <row r="2921" spans="2:2" x14ac:dyDescent="0.25">
      <c r="B2921" s="73"/>
    </row>
    <row r="2922" spans="2:2" x14ac:dyDescent="0.25">
      <c r="B2922" s="73"/>
    </row>
    <row r="2923" spans="2:2" x14ac:dyDescent="0.25">
      <c r="B2923" s="73"/>
    </row>
    <row r="2924" spans="2:2" x14ac:dyDescent="0.25">
      <c r="B2924" s="73"/>
    </row>
    <row r="2925" spans="2:2" x14ac:dyDescent="0.25">
      <c r="B2925" s="73"/>
    </row>
    <row r="2926" spans="2:2" x14ac:dyDescent="0.25">
      <c r="B2926" s="73"/>
    </row>
    <row r="2927" spans="2:2" x14ac:dyDescent="0.25">
      <c r="B2927" s="73"/>
    </row>
    <row r="2928" spans="2:2" x14ac:dyDescent="0.25">
      <c r="B2928" s="73"/>
    </row>
    <row r="2929" spans="2:2" x14ac:dyDescent="0.25">
      <c r="B2929" s="73"/>
    </row>
    <row r="2930" spans="2:2" x14ac:dyDescent="0.25">
      <c r="B2930" s="73"/>
    </row>
    <row r="2931" spans="2:2" x14ac:dyDescent="0.25">
      <c r="B2931" s="73"/>
    </row>
    <row r="2932" spans="2:2" x14ac:dyDescent="0.25">
      <c r="B2932" s="73"/>
    </row>
    <row r="2933" spans="2:2" x14ac:dyDescent="0.25">
      <c r="B2933" s="73"/>
    </row>
    <row r="2934" spans="2:2" x14ac:dyDescent="0.25">
      <c r="B2934" s="73"/>
    </row>
    <row r="2935" spans="2:2" x14ac:dyDescent="0.25">
      <c r="B2935" s="73"/>
    </row>
    <row r="2936" spans="2:2" x14ac:dyDescent="0.25">
      <c r="B2936" s="73"/>
    </row>
    <row r="2937" spans="2:2" x14ac:dyDescent="0.25">
      <c r="B2937" s="73"/>
    </row>
    <row r="2938" spans="2:2" x14ac:dyDescent="0.25">
      <c r="B2938" s="73"/>
    </row>
    <row r="2939" spans="2:2" x14ac:dyDescent="0.25">
      <c r="B2939" s="73"/>
    </row>
    <row r="2940" spans="2:2" x14ac:dyDescent="0.25">
      <c r="B2940" s="73"/>
    </row>
    <row r="2941" spans="2:2" x14ac:dyDescent="0.25">
      <c r="B2941" s="73"/>
    </row>
    <row r="2942" spans="2:2" x14ac:dyDescent="0.25">
      <c r="B2942" s="73"/>
    </row>
    <row r="2943" spans="2:2" x14ac:dyDescent="0.25">
      <c r="B2943" s="73"/>
    </row>
    <row r="2944" spans="2:2" x14ac:dyDescent="0.25">
      <c r="B2944" s="73"/>
    </row>
    <row r="2945" spans="2:2" x14ac:dyDescent="0.25">
      <c r="B2945" s="73"/>
    </row>
    <row r="2946" spans="2:2" x14ac:dyDescent="0.25">
      <c r="B2946" s="73"/>
    </row>
    <row r="2947" spans="2:2" x14ac:dyDescent="0.25">
      <c r="B2947" s="73"/>
    </row>
    <row r="2948" spans="2:2" x14ac:dyDescent="0.25">
      <c r="B2948" s="73"/>
    </row>
    <row r="2949" spans="2:2" x14ac:dyDescent="0.25">
      <c r="B2949" s="73"/>
    </row>
    <row r="2950" spans="2:2" x14ac:dyDescent="0.25">
      <c r="B2950" s="73"/>
    </row>
    <row r="2951" spans="2:2" x14ac:dyDescent="0.25">
      <c r="B2951" s="73"/>
    </row>
    <row r="2952" spans="2:2" x14ac:dyDescent="0.25">
      <c r="B2952" s="73"/>
    </row>
    <row r="2953" spans="2:2" x14ac:dyDescent="0.25">
      <c r="B2953" s="73"/>
    </row>
    <row r="2954" spans="2:2" x14ac:dyDescent="0.25">
      <c r="B2954" s="73"/>
    </row>
    <row r="2955" spans="2:2" x14ac:dyDescent="0.25">
      <c r="B2955" s="73"/>
    </row>
    <row r="2956" spans="2:2" x14ac:dyDescent="0.25">
      <c r="B2956" s="73"/>
    </row>
    <row r="2957" spans="2:2" x14ac:dyDescent="0.25">
      <c r="B2957" s="73"/>
    </row>
    <row r="2958" spans="2:2" x14ac:dyDescent="0.25">
      <c r="B2958" s="73"/>
    </row>
    <row r="2959" spans="2:2" x14ac:dyDescent="0.25">
      <c r="B2959" s="73"/>
    </row>
    <row r="2960" spans="2:2" x14ac:dyDescent="0.25">
      <c r="B2960" s="73"/>
    </row>
    <row r="2961" spans="2:2" x14ac:dyDescent="0.25">
      <c r="B2961" s="73"/>
    </row>
    <row r="2962" spans="2:2" x14ac:dyDescent="0.25">
      <c r="B2962" s="73"/>
    </row>
    <row r="2963" spans="2:2" x14ac:dyDescent="0.25">
      <c r="B2963" s="73"/>
    </row>
    <row r="2964" spans="2:2" x14ac:dyDescent="0.25">
      <c r="B2964" s="73"/>
    </row>
    <row r="2965" spans="2:2" x14ac:dyDescent="0.25">
      <c r="B2965" s="73"/>
    </row>
    <row r="2966" spans="2:2" x14ac:dyDescent="0.25">
      <c r="B2966" s="73"/>
    </row>
    <row r="2967" spans="2:2" x14ac:dyDescent="0.25">
      <c r="B2967" s="73"/>
    </row>
    <row r="2968" spans="2:2" x14ac:dyDescent="0.25">
      <c r="B2968" s="73"/>
    </row>
    <row r="2969" spans="2:2" x14ac:dyDescent="0.25">
      <c r="B2969" s="73"/>
    </row>
    <row r="2970" spans="2:2" x14ac:dyDescent="0.25">
      <c r="B2970" s="73"/>
    </row>
    <row r="2971" spans="2:2" x14ac:dyDescent="0.25">
      <c r="B2971" s="73"/>
    </row>
    <row r="2972" spans="2:2" x14ac:dyDescent="0.25">
      <c r="B2972" s="73"/>
    </row>
    <row r="2973" spans="2:2" x14ac:dyDescent="0.25">
      <c r="B2973" s="73"/>
    </row>
    <row r="2974" spans="2:2" x14ac:dyDescent="0.25">
      <c r="B2974" s="73"/>
    </row>
    <row r="2975" spans="2:2" x14ac:dyDescent="0.25">
      <c r="B2975" s="73"/>
    </row>
    <row r="2976" spans="2:2" x14ac:dyDescent="0.25">
      <c r="B2976" s="73"/>
    </row>
    <row r="2977" spans="2:2" x14ac:dyDescent="0.25">
      <c r="B2977" s="73"/>
    </row>
    <row r="2978" spans="2:2" x14ac:dyDescent="0.25">
      <c r="B2978" s="73"/>
    </row>
    <row r="2979" spans="2:2" x14ac:dyDescent="0.25">
      <c r="B2979" s="73"/>
    </row>
    <row r="2980" spans="2:2" x14ac:dyDescent="0.25">
      <c r="B2980" s="73"/>
    </row>
    <row r="2981" spans="2:2" x14ac:dyDescent="0.25">
      <c r="B2981" s="73"/>
    </row>
    <row r="2982" spans="2:2" x14ac:dyDescent="0.25">
      <c r="B2982" s="73"/>
    </row>
    <row r="2983" spans="2:2" x14ac:dyDescent="0.25">
      <c r="B2983" s="73"/>
    </row>
    <row r="2984" spans="2:2" x14ac:dyDescent="0.25">
      <c r="B2984" s="73"/>
    </row>
    <row r="2985" spans="2:2" x14ac:dyDescent="0.25">
      <c r="B2985" s="73"/>
    </row>
    <row r="2986" spans="2:2" x14ac:dyDescent="0.25">
      <c r="B2986" s="73"/>
    </row>
    <row r="2987" spans="2:2" x14ac:dyDescent="0.25">
      <c r="B2987" s="73"/>
    </row>
    <row r="2988" spans="2:2" x14ac:dyDescent="0.25">
      <c r="B2988" s="73"/>
    </row>
    <row r="2989" spans="2:2" x14ac:dyDescent="0.25">
      <c r="B2989" s="73"/>
    </row>
    <row r="2990" spans="2:2" x14ac:dyDescent="0.25">
      <c r="B2990" s="73"/>
    </row>
    <row r="2991" spans="2:2" x14ac:dyDescent="0.25">
      <c r="B2991" s="73"/>
    </row>
    <row r="2992" spans="2:2" x14ac:dyDescent="0.25">
      <c r="B2992" s="73"/>
    </row>
    <row r="2993" spans="2:2" x14ac:dyDescent="0.25">
      <c r="B2993" s="73"/>
    </row>
    <row r="2994" spans="2:2" x14ac:dyDescent="0.25">
      <c r="B2994" s="73"/>
    </row>
    <row r="2995" spans="2:2" x14ac:dyDescent="0.25">
      <c r="B2995" s="73"/>
    </row>
    <row r="2996" spans="2:2" x14ac:dyDescent="0.25">
      <c r="B2996" s="73"/>
    </row>
    <row r="2997" spans="2:2" x14ac:dyDescent="0.25">
      <c r="B2997" s="73"/>
    </row>
    <row r="2998" spans="2:2" x14ac:dyDescent="0.25">
      <c r="B2998" s="73"/>
    </row>
    <row r="2999" spans="2:2" x14ac:dyDescent="0.25">
      <c r="B2999" s="73"/>
    </row>
    <row r="3000" spans="2:2" x14ac:dyDescent="0.25">
      <c r="B3000" s="73"/>
    </row>
    <row r="3001" spans="2:2" x14ac:dyDescent="0.25">
      <c r="B3001" s="73"/>
    </row>
    <row r="3002" spans="2:2" x14ac:dyDescent="0.25">
      <c r="B3002" s="73"/>
    </row>
    <row r="3003" spans="2:2" x14ac:dyDescent="0.25">
      <c r="B3003" s="73"/>
    </row>
    <row r="3004" spans="2:2" x14ac:dyDescent="0.25">
      <c r="B3004" s="73"/>
    </row>
    <row r="3005" spans="2:2" x14ac:dyDescent="0.25">
      <c r="B3005" s="73"/>
    </row>
    <row r="3006" spans="2:2" x14ac:dyDescent="0.25">
      <c r="B3006" s="73"/>
    </row>
    <row r="3007" spans="2:2" x14ac:dyDescent="0.25">
      <c r="B3007" s="73"/>
    </row>
    <row r="3008" spans="2:2" x14ac:dyDescent="0.25">
      <c r="B3008" s="73"/>
    </row>
    <row r="3009" spans="2:2" x14ac:dyDescent="0.25">
      <c r="B3009" s="73"/>
    </row>
    <row r="3010" spans="2:2" x14ac:dyDescent="0.25">
      <c r="B3010" s="73"/>
    </row>
    <row r="3011" spans="2:2" x14ac:dyDescent="0.25">
      <c r="B3011" s="73"/>
    </row>
    <row r="3012" spans="2:2" x14ac:dyDescent="0.25">
      <c r="B3012" s="73"/>
    </row>
    <row r="3013" spans="2:2" x14ac:dyDescent="0.25">
      <c r="B3013" s="73"/>
    </row>
    <row r="3014" spans="2:2" x14ac:dyDescent="0.25">
      <c r="B3014" s="73"/>
    </row>
    <row r="3015" spans="2:2" x14ac:dyDescent="0.25">
      <c r="B3015" s="73"/>
    </row>
    <row r="3016" spans="2:2" x14ac:dyDescent="0.25">
      <c r="B3016" s="73"/>
    </row>
    <row r="3017" spans="2:2" x14ac:dyDescent="0.25">
      <c r="B3017" s="73"/>
    </row>
    <row r="3018" spans="2:2" x14ac:dyDescent="0.25">
      <c r="B3018" s="73"/>
    </row>
    <row r="3019" spans="2:2" x14ac:dyDescent="0.25">
      <c r="B3019" s="73"/>
    </row>
    <row r="3020" spans="2:2" x14ac:dyDescent="0.25">
      <c r="B3020" s="73"/>
    </row>
    <row r="3021" spans="2:2" x14ac:dyDescent="0.25">
      <c r="B3021" s="73"/>
    </row>
    <row r="3022" spans="2:2" x14ac:dyDescent="0.25">
      <c r="B3022" s="73"/>
    </row>
    <row r="3023" spans="2:2" x14ac:dyDescent="0.25">
      <c r="B3023" s="73"/>
    </row>
    <row r="3024" spans="2:2" x14ac:dyDescent="0.25">
      <c r="B3024" s="73"/>
    </row>
    <row r="3025" spans="2:2" x14ac:dyDescent="0.25">
      <c r="B3025" s="73"/>
    </row>
    <row r="3026" spans="2:2" x14ac:dyDescent="0.25">
      <c r="B3026" s="73"/>
    </row>
    <row r="3027" spans="2:2" x14ac:dyDescent="0.25">
      <c r="B3027" s="73"/>
    </row>
    <row r="3028" spans="2:2" x14ac:dyDescent="0.25">
      <c r="B3028" s="73"/>
    </row>
    <row r="3029" spans="2:2" x14ac:dyDescent="0.25">
      <c r="B3029" s="73"/>
    </row>
    <row r="3030" spans="2:2" x14ac:dyDescent="0.25">
      <c r="B3030" s="73"/>
    </row>
    <row r="3031" spans="2:2" x14ac:dyDescent="0.25">
      <c r="B3031" s="73"/>
    </row>
    <row r="3032" spans="2:2" x14ac:dyDescent="0.25">
      <c r="B3032" s="73"/>
    </row>
    <row r="3033" spans="2:2" x14ac:dyDescent="0.25">
      <c r="B3033" s="73"/>
    </row>
    <row r="3034" spans="2:2" x14ac:dyDescent="0.25">
      <c r="B3034" s="73"/>
    </row>
    <row r="3035" spans="2:2" x14ac:dyDescent="0.25">
      <c r="B3035" s="73"/>
    </row>
    <row r="3036" spans="2:2" x14ac:dyDescent="0.25">
      <c r="B3036" s="73"/>
    </row>
    <row r="3037" spans="2:2" x14ac:dyDescent="0.25">
      <c r="B3037" s="73"/>
    </row>
    <row r="3038" spans="2:2" x14ac:dyDescent="0.25">
      <c r="B3038" s="73"/>
    </row>
    <row r="3039" spans="2:2" x14ac:dyDescent="0.25">
      <c r="B3039" s="73"/>
    </row>
    <row r="3040" spans="2:2" x14ac:dyDescent="0.25">
      <c r="B3040" s="73"/>
    </row>
    <row r="3041" spans="2:2" x14ac:dyDescent="0.25">
      <c r="B3041" s="73"/>
    </row>
    <row r="3042" spans="2:2" x14ac:dyDescent="0.25">
      <c r="B3042" s="73"/>
    </row>
    <row r="3043" spans="2:2" x14ac:dyDescent="0.25">
      <c r="B3043" s="73"/>
    </row>
    <row r="3044" spans="2:2" x14ac:dyDescent="0.25">
      <c r="B3044" s="73"/>
    </row>
    <row r="3045" spans="2:2" x14ac:dyDescent="0.25">
      <c r="B3045" s="73"/>
    </row>
    <row r="3046" spans="2:2" x14ac:dyDescent="0.25">
      <c r="B3046" s="73"/>
    </row>
    <row r="3047" spans="2:2" x14ac:dyDescent="0.25">
      <c r="B3047" s="73"/>
    </row>
    <row r="3048" spans="2:2" x14ac:dyDescent="0.25">
      <c r="B3048" s="73"/>
    </row>
    <row r="3049" spans="2:2" x14ac:dyDescent="0.25">
      <c r="B3049" s="73"/>
    </row>
    <row r="3050" spans="2:2" x14ac:dyDescent="0.25">
      <c r="B3050" s="73"/>
    </row>
    <row r="3051" spans="2:2" x14ac:dyDescent="0.25">
      <c r="B3051" s="73"/>
    </row>
    <row r="3052" spans="2:2" x14ac:dyDescent="0.25">
      <c r="B3052" s="73"/>
    </row>
    <row r="3053" spans="2:2" x14ac:dyDescent="0.25">
      <c r="B3053" s="73"/>
    </row>
    <row r="3054" spans="2:2" x14ac:dyDescent="0.25">
      <c r="B3054" s="73"/>
    </row>
    <row r="3055" spans="2:2" x14ac:dyDescent="0.25">
      <c r="B3055" s="73"/>
    </row>
    <row r="3056" spans="2:2" x14ac:dyDescent="0.25">
      <c r="B3056" s="73"/>
    </row>
    <row r="3057" spans="2:2" x14ac:dyDescent="0.25">
      <c r="B3057" s="73"/>
    </row>
    <row r="3058" spans="2:2" x14ac:dyDescent="0.25">
      <c r="B3058" s="73"/>
    </row>
    <row r="3059" spans="2:2" x14ac:dyDescent="0.25">
      <c r="B3059" s="73"/>
    </row>
    <row r="3060" spans="2:2" x14ac:dyDescent="0.25">
      <c r="B3060" s="73"/>
    </row>
    <row r="3061" spans="2:2" x14ac:dyDescent="0.25">
      <c r="B3061" s="73"/>
    </row>
    <row r="3062" spans="2:2" x14ac:dyDescent="0.25">
      <c r="B3062" s="73"/>
    </row>
    <row r="3063" spans="2:2" x14ac:dyDescent="0.25">
      <c r="B3063" s="73"/>
    </row>
    <row r="3064" spans="2:2" x14ac:dyDescent="0.25">
      <c r="B3064" s="73"/>
    </row>
    <row r="3065" spans="2:2" x14ac:dyDescent="0.25">
      <c r="B3065" s="73"/>
    </row>
    <row r="3066" spans="2:2" x14ac:dyDescent="0.25">
      <c r="B3066" s="73"/>
    </row>
    <row r="3067" spans="2:2" x14ac:dyDescent="0.25">
      <c r="B3067" s="73"/>
    </row>
    <row r="3068" spans="2:2" x14ac:dyDescent="0.25">
      <c r="B3068" s="73"/>
    </row>
    <row r="3069" spans="2:2" x14ac:dyDescent="0.25">
      <c r="B3069" s="73"/>
    </row>
    <row r="3070" spans="2:2" x14ac:dyDescent="0.25">
      <c r="B3070" s="73"/>
    </row>
    <row r="3071" spans="2:2" x14ac:dyDescent="0.25">
      <c r="B3071" s="73"/>
    </row>
    <row r="3072" spans="2:2" x14ac:dyDescent="0.25">
      <c r="B3072" s="73"/>
    </row>
    <row r="3073" spans="2:2" x14ac:dyDescent="0.25">
      <c r="B3073" s="73"/>
    </row>
    <row r="3074" spans="2:2" x14ac:dyDescent="0.25">
      <c r="B3074" s="73"/>
    </row>
    <row r="3075" spans="2:2" x14ac:dyDescent="0.25">
      <c r="B3075" s="73"/>
    </row>
    <row r="3076" spans="2:2" x14ac:dyDescent="0.25">
      <c r="B3076" s="73"/>
    </row>
    <row r="3077" spans="2:2" x14ac:dyDescent="0.25">
      <c r="B3077" s="73"/>
    </row>
    <row r="3078" spans="2:2" x14ac:dyDescent="0.25">
      <c r="B3078" s="73"/>
    </row>
    <row r="3079" spans="2:2" x14ac:dyDescent="0.25">
      <c r="B3079" s="73"/>
    </row>
    <row r="3080" spans="2:2" x14ac:dyDescent="0.25">
      <c r="B3080" s="73"/>
    </row>
    <row r="3081" spans="2:2" x14ac:dyDescent="0.25">
      <c r="B3081" s="73"/>
    </row>
    <row r="3082" spans="2:2" x14ac:dyDescent="0.25">
      <c r="B3082" s="73"/>
    </row>
    <row r="3083" spans="2:2" x14ac:dyDescent="0.25">
      <c r="B3083" s="73"/>
    </row>
    <row r="3084" spans="2:2" x14ac:dyDescent="0.25">
      <c r="B3084" s="73"/>
    </row>
    <row r="3085" spans="2:2" x14ac:dyDescent="0.25">
      <c r="B3085" s="73"/>
    </row>
    <row r="3086" spans="2:2" x14ac:dyDescent="0.25">
      <c r="B3086" s="73"/>
    </row>
    <row r="3087" spans="2:2" x14ac:dyDescent="0.25">
      <c r="B3087" s="73"/>
    </row>
    <row r="3088" spans="2:2" x14ac:dyDescent="0.25">
      <c r="B3088" s="73"/>
    </row>
    <row r="3089" spans="2:2" x14ac:dyDescent="0.25">
      <c r="B3089" s="73"/>
    </row>
    <row r="3090" spans="2:2" x14ac:dyDescent="0.25">
      <c r="B3090" s="73"/>
    </row>
    <row r="3091" spans="2:2" x14ac:dyDescent="0.25">
      <c r="B3091" s="73"/>
    </row>
    <row r="3092" spans="2:2" x14ac:dyDescent="0.25">
      <c r="B3092" s="73"/>
    </row>
    <row r="3093" spans="2:2" x14ac:dyDescent="0.25">
      <c r="B3093" s="73"/>
    </row>
    <row r="3094" spans="2:2" x14ac:dyDescent="0.25">
      <c r="B3094" s="73"/>
    </row>
    <row r="3095" spans="2:2" x14ac:dyDescent="0.25">
      <c r="B3095" s="73"/>
    </row>
    <row r="3096" spans="2:2" x14ac:dyDescent="0.25">
      <c r="B3096" s="73"/>
    </row>
    <row r="3097" spans="2:2" x14ac:dyDescent="0.25">
      <c r="B3097" s="73"/>
    </row>
    <row r="3098" spans="2:2" x14ac:dyDescent="0.25">
      <c r="B3098" s="73"/>
    </row>
    <row r="3099" spans="2:2" x14ac:dyDescent="0.25">
      <c r="B3099" s="73"/>
    </row>
    <row r="3100" spans="2:2" x14ac:dyDescent="0.25">
      <c r="B3100" s="73"/>
    </row>
    <row r="3101" spans="2:2" x14ac:dyDescent="0.25">
      <c r="B3101" s="73"/>
    </row>
    <row r="3102" spans="2:2" x14ac:dyDescent="0.25">
      <c r="B3102" s="73"/>
    </row>
    <row r="3103" spans="2:2" x14ac:dyDescent="0.25">
      <c r="B3103" s="73"/>
    </row>
    <row r="3104" spans="2:2" x14ac:dyDescent="0.25">
      <c r="B3104" s="73"/>
    </row>
    <row r="3105" spans="2:2" x14ac:dyDescent="0.25">
      <c r="B3105" s="73"/>
    </row>
    <row r="3106" spans="2:2" x14ac:dyDescent="0.25">
      <c r="B3106" s="73"/>
    </row>
    <row r="3107" spans="2:2" x14ac:dyDescent="0.25">
      <c r="B3107" s="73"/>
    </row>
    <row r="3108" spans="2:2" x14ac:dyDescent="0.25">
      <c r="B3108" s="73"/>
    </row>
    <row r="3109" spans="2:2" x14ac:dyDescent="0.25">
      <c r="B3109" s="73"/>
    </row>
    <row r="3110" spans="2:2" x14ac:dyDescent="0.25">
      <c r="B3110" s="73"/>
    </row>
    <row r="3111" spans="2:2" x14ac:dyDescent="0.25">
      <c r="B3111" s="73"/>
    </row>
    <row r="3112" spans="2:2" x14ac:dyDescent="0.25">
      <c r="B3112" s="73"/>
    </row>
    <row r="3113" spans="2:2" x14ac:dyDescent="0.25">
      <c r="B3113" s="73"/>
    </row>
    <row r="3114" spans="2:2" x14ac:dyDescent="0.25">
      <c r="B3114" s="73"/>
    </row>
    <row r="3115" spans="2:2" x14ac:dyDescent="0.25">
      <c r="B3115" s="73"/>
    </row>
    <row r="3116" spans="2:2" x14ac:dyDescent="0.25">
      <c r="B3116" s="73"/>
    </row>
    <row r="3117" spans="2:2" x14ac:dyDescent="0.25">
      <c r="B3117" s="73"/>
    </row>
    <row r="3118" spans="2:2" x14ac:dyDescent="0.25">
      <c r="B3118" s="73"/>
    </row>
    <row r="3119" spans="2:2" x14ac:dyDescent="0.25">
      <c r="B3119" s="73"/>
    </row>
    <row r="3120" spans="2:2" x14ac:dyDescent="0.25">
      <c r="B3120" s="73"/>
    </row>
    <row r="3121" spans="2:2" x14ac:dyDescent="0.25">
      <c r="B3121" s="73"/>
    </row>
    <row r="3122" spans="2:2" x14ac:dyDescent="0.25">
      <c r="B3122" s="73"/>
    </row>
    <row r="3123" spans="2:2" x14ac:dyDescent="0.25">
      <c r="B3123" s="73"/>
    </row>
    <row r="3124" spans="2:2" x14ac:dyDescent="0.25">
      <c r="B3124" s="73"/>
    </row>
    <row r="3125" spans="2:2" x14ac:dyDescent="0.25">
      <c r="B3125" s="73"/>
    </row>
    <row r="3126" spans="2:2" x14ac:dyDescent="0.25">
      <c r="B3126" s="73"/>
    </row>
    <row r="3127" spans="2:2" x14ac:dyDescent="0.25">
      <c r="B3127" s="73"/>
    </row>
    <row r="3128" spans="2:2" x14ac:dyDescent="0.25">
      <c r="B3128" s="73"/>
    </row>
    <row r="3129" spans="2:2" x14ac:dyDescent="0.25">
      <c r="B3129" s="73"/>
    </row>
    <row r="3130" spans="2:2" x14ac:dyDescent="0.25">
      <c r="B3130" s="73"/>
    </row>
    <row r="3131" spans="2:2" x14ac:dyDescent="0.25">
      <c r="B3131" s="73"/>
    </row>
    <row r="3132" spans="2:2" x14ac:dyDescent="0.25">
      <c r="B3132" s="73"/>
    </row>
    <row r="3133" spans="2:2" x14ac:dyDescent="0.25">
      <c r="B3133" s="73"/>
    </row>
    <row r="3134" spans="2:2" x14ac:dyDescent="0.25">
      <c r="B3134" s="73"/>
    </row>
    <row r="3135" spans="2:2" x14ac:dyDescent="0.25">
      <c r="B3135" s="73"/>
    </row>
    <row r="3136" spans="2:2" x14ac:dyDescent="0.25">
      <c r="B3136" s="73"/>
    </row>
    <row r="3137" spans="2:2" x14ac:dyDescent="0.25">
      <c r="B3137" s="73"/>
    </row>
    <row r="3138" spans="2:2" x14ac:dyDescent="0.25">
      <c r="B3138" s="73"/>
    </row>
    <row r="3139" spans="2:2" x14ac:dyDescent="0.25">
      <c r="B3139" s="73"/>
    </row>
    <row r="3140" spans="2:2" x14ac:dyDescent="0.25">
      <c r="B3140" s="73"/>
    </row>
    <row r="3141" spans="2:2" x14ac:dyDescent="0.25">
      <c r="B3141" s="73"/>
    </row>
    <row r="3142" spans="2:2" x14ac:dyDescent="0.25">
      <c r="B3142" s="73"/>
    </row>
    <row r="3143" spans="2:2" x14ac:dyDescent="0.25">
      <c r="B3143" s="73"/>
    </row>
    <row r="3144" spans="2:2" x14ac:dyDescent="0.25">
      <c r="B3144" s="73"/>
    </row>
    <row r="3145" spans="2:2" x14ac:dyDescent="0.25">
      <c r="B3145" s="73"/>
    </row>
    <row r="3146" spans="2:2" x14ac:dyDescent="0.25">
      <c r="B3146" s="73"/>
    </row>
    <row r="3147" spans="2:2" x14ac:dyDescent="0.25">
      <c r="B3147" s="73"/>
    </row>
    <row r="3148" spans="2:2" x14ac:dyDescent="0.25">
      <c r="B3148" s="73"/>
    </row>
    <row r="3149" spans="2:2" x14ac:dyDescent="0.25">
      <c r="B3149" s="73"/>
    </row>
    <row r="3150" spans="2:2" x14ac:dyDescent="0.25">
      <c r="B3150" s="73"/>
    </row>
    <row r="3151" spans="2:2" x14ac:dyDescent="0.25">
      <c r="B3151" s="73"/>
    </row>
    <row r="3152" spans="2:2" x14ac:dyDescent="0.25">
      <c r="B3152" s="73"/>
    </row>
    <row r="3153" spans="2:2" x14ac:dyDescent="0.25">
      <c r="B3153" s="73"/>
    </row>
    <row r="3154" spans="2:2" x14ac:dyDescent="0.25">
      <c r="B3154" s="73"/>
    </row>
    <row r="3155" spans="2:2" x14ac:dyDescent="0.25">
      <c r="B3155" s="73"/>
    </row>
    <row r="3156" spans="2:2" x14ac:dyDescent="0.25">
      <c r="B3156" s="73"/>
    </row>
    <row r="3157" spans="2:2" x14ac:dyDescent="0.25">
      <c r="B3157" s="73"/>
    </row>
    <row r="3158" spans="2:2" x14ac:dyDescent="0.25">
      <c r="B3158" s="73"/>
    </row>
    <row r="3159" spans="2:2" x14ac:dyDescent="0.25">
      <c r="B3159" s="73"/>
    </row>
    <row r="3160" spans="2:2" x14ac:dyDescent="0.25">
      <c r="B3160" s="73"/>
    </row>
    <row r="3161" spans="2:2" x14ac:dyDescent="0.25">
      <c r="B3161" s="73"/>
    </row>
    <row r="3162" spans="2:2" x14ac:dyDescent="0.25">
      <c r="B3162" s="73"/>
    </row>
    <row r="3163" spans="2:2" x14ac:dyDescent="0.25">
      <c r="B3163" s="73"/>
    </row>
    <row r="3164" spans="2:2" x14ac:dyDescent="0.25">
      <c r="B3164" s="73"/>
    </row>
    <row r="3165" spans="2:2" x14ac:dyDescent="0.25">
      <c r="B3165" s="73"/>
    </row>
    <row r="3166" spans="2:2" x14ac:dyDescent="0.25">
      <c r="B3166" s="73"/>
    </row>
    <row r="3167" spans="2:2" x14ac:dyDescent="0.25">
      <c r="B3167" s="73"/>
    </row>
    <row r="3168" spans="2:2" x14ac:dyDescent="0.25">
      <c r="B3168" s="73"/>
    </row>
    <row r="3169" spans="2:2" x14ac:dyDescent="0.25">
      <c r="B3169" s="73"/>
    </row>
    <row r="3170" spans="2:2" x14ac:dyDescent="0.25">
      <c r="B3170" s="73"/>
    </row>
    <row r="3171" spans="2:2" x14ac:dyDescent="0.25">
      <c r="B3171" s="73"/>
    </row>
    <row r="3172" spans="2:2" x14ac:dyDescent="0.25">
      <c r="B3172" s="73"/>
    </row>
    <row r="3173" spans="2:2" x14ac:dyDescent="0.25">
      <c r="B3173" s="73"/>
    </row>
    <row r="3174" spans="2:2" x14ac:dyDescent="0.25">
      <c r="B3174" s="73"/>
    </row>
    <row r="3175" spans="2:2" x14ac:dyDescent="0.25">
      <c r="B3175" s="73"/>
    </row>
    <row r="3176" spans="2:2" x14ac:dyDescent="0.25">
      <c r="B3176" s="73"/>
    </row>
    <row r="3177" spans="2:2" x14ac:dyDescent="0.25">
      <c r="B3177" s="73"/>
    </row>
    <row r="3178" spans="2:2" x14ac:dyDescent="0.25">
      <c r="B3178" s="73"/>
    </row>
    <row r="3179" spans="2:2" x14ac:dyDescent="0.25">
      <c r="B3179" s="73"/>
    </row>
    <row r="3180" spans="2:2" x14ac:dyDescent="0.25">
      <c r="B3180" s="73"/>
    </row>
    <row r="3181" spans="2:2" x14ac:dyDescent="0.25">
      <c r="B3181" s="73"/>
    </row>
    <row r="3182" spans="2:2" x14ac:dyDescent="0.25">
      <c r="B3182" s="73"/>
    </row>
    <row r="3183" spans="2:2" x14ac:dyDescent="0.25">
      <c r="B3183" s="73"/>
    </row>
    <row r="3184" spans="2:2" x14ac:dyDescent="0.25">
      <c r="B3184" s="73"/>
    </row>
    <row r="3185" spans="2:2" x14ac:dyDescent="0.25">
      <c r="B3185" s="73"/>
    </row>
    <row r="3186" spans="2:2" x14ac:dyDescent="0.25">
      <c r="B3186" s="73"/>
    </row>
    <row r="3187" spans="2:2" x14ac:dyDescent="0.25">
      <c r="B3187" s="73"/>
    </row>
    <row r="3188" spans="2:2" x14ac:dyDescent="0.25">
      <c r="B3188" s="73"/>
    </row>
    <row r="3189" spans="2:2" x14ac:dyDescent="0.25">
      <c r="B3189" s="73"/>
    </row>
    <row r="3190" spans="2:2" x14ac:dyDescent="0.25">
      <c r="B3190" s="73"/>
    </row>
    <row r="3191" spans="2:2" x14ac:dyDescent="0.25">
      <c r="B3191" s="73"/>
    </row>
    <row r="3192" spans="2:2" x14ac:dyDescent="0.25">
      <c r="B3192" s="73"/>
    </row>
    <row r="3193" spans="2:2" x14ac:dyDescent="0.25">
      <c r="B3193" s="73"/>
    </row>
    <row r="3194" spans="2:2" x14ac:dyDescent="0.25">
      <c r="B3194" s="73"/>
    </row>
    <row r="3195" spans="2:2" x14ac:dyDescent="0.25">
      <c r="B3195" s="73"/>
    </row>
    <row r="3196" spans="2:2" x14ac:dyDescent="0.25">
      <c r="B3196" s="73"/>
    </row>
    <row r="3197" spans="2:2" x14ac:dyDescent="0.25">
      <c r="B3197" s="73"/>
    </row>
    <row r="3198" spans="2:2" x14ac:dyDescent="0.25">
      <c r="B3198" s="73"/>
    </row>
    <row r="3199" spans="2:2" x14ac:dyDescent="0.25">
      <c r="B3199" s="73"/>
    </row>
    <row r="3200" spans="2:2" x14ac:dyDescent="0.25">
      <c r="B3200" s="73"/>
    </row>
    <row r="3201" spans="2:2" x14ac:dyDescent="0.25">
      <c r="B3201" s="73"/>
    </row>
    <row r="3202" spans="2:2" x14ac:dyDescent="0.25">
      <c r="B3202" s="73"/>
    </row>
    <row r="3203" spans="2:2" x14ac:dyDescent="0.25">
      <c r="B3203" s="73"/>
    </row>
    <row r="3204" spans="2:2" x14ac:dyDescent="0.25">
      <c r="B3204" s="73"/>
    </row>
    <row r="3205" spans="2:2" x14ac:dyDescent="0.25">
      <c r="B3205" s="73"/>
    </row>
    <row r="3206" spans="2:2" x14ac:dyDescent="0.25">
      <c r="B3206" s="73"/>
    </row>
    <row r="3207" spans="2:2" x14ac:dyDescent="0.25">
      <c r="B3207" s="73"/>
    </row>
    <row r="3208" spans="2:2" x14ac:dyDescent="0.25">
      <c r="B3208" s="73"/>
    </row>
    <row r="3209" spans="2:2" x14ac:dyDescent="0.25">
      <c r="B3209" s="73"/>
    </row>
    <row r="3210" spans="2:2" x14ac:dyDescent="0.25">
      <c r="B3210" s="73"/>
    </row>
    <row r="3211" spans="2:2" x14ac:dyDescent="0.25">
      <c r="B3211" s="73"/>
    </row>
    <row r="3212" spans="2:2" x14ac:dyDescent="0.25">
      <c r="B3212" s="73"/>
    </row>
    <row r="3213" spans="2:2" x14ac:dyDescent="0.25">
      <c r="B3213" s="73"/>
    </row>
    <row r="3214" spans="2:2" x14ac:dyDescent="0.25">
      <c r="B3214" s="73"/>
    </row>
    <row r="3215" spans="2:2" x14ac:dyDescent="0.25">
      <c r="B3215" s="73"/>
    </row>
    <row r="3216" spans="2:2" x14ac:dyDescent="0.25">
      <c r="B3216" s="73"/>
    </row>
    <row r="3217" spans="2:2" x14ac:dyDescent="0.25">
      <c r="B3217" s="73"/>
    </row>
    <row r="3218" spans="2:2" x14ac:dyDescent="0.25">
      <c r="B3218" s="73"/>
    </row>
    <row r="3219" spans="2:2" x14ac:dyDescent="0.25">
      <c r="B3219" s="73"/>
    </row>
    <row r="3220" spans="2:2" x14ac:dyDescent="0.25">
      <c r="B3220" s="73"/>
    </row>
    <row r="3221" spans="2:2" x14ac:dyDescent="0.25">
      <c r="B3221" s="73"/>
    </row>
    <row r="3222" spans="2:2" x14ac:dyDescent="0.25">
      <c r="B3222" s="73"/>
    </row>
    <row r="3223" spans="2:2" x14ac:dyDescent="0.25">
      <c r="B3223" s="73"/>
    </row>
    <row r="3224" spans="2:2" x14ac:dyDescent="0.25">
      <c r="B3224" s="73"/>
    </row>
    <row r="3225" spans="2:2" x14ac:dyDescent="0.25">
      <c r="B3225" s="73"/>
    </row>
    <row r="3226" spans="2:2" x14ac:dyDescent="0.25">
      <c r="B3226" s="73"/>
    </row>
    <row r="3227" spans="2:2" x14ac:dyDescent="0.25">
      <c r="B3227" s="73"/>
    </row>
    <row r="3228" spans="2:2" x14ac:dyDescent="0.25">
      <c r="B3228" s="73"/>
    </row>
    <row r="3229" spans="2:2" x14ac:dyDescent="0.25">
      <c r="B3229" s="73"/>
    </row>
    <row r="3230" spans="2:2" x14ac:dyDescent="0.25">
      <c r="B3230" s="73"/>
    </row>
    <row r="3231" spans="2:2" x14ac:dyDescent="0.25">
      <c r="B3231" s="73"/>
    </row>
    <row r="3232" spans="2:2" x14ac:dyDescent="0.25">
      <c r="B3232" s="73"/>
    </row>
    <row r="3233" spans="2:2" x14ac:dyDescent="0.25">
      <c r="B3233" s="73"/>
    </row>
    <row r="3234" spans="2:2" x14ac:dyDescent="0.25">
      <c r="B3234" s="73"/>
    </row>
    <row r="3235" spans="2:2" x14ac:dyDescent="0.25">
      <c r="B3235" s="73"/>
    </row>
    <row r="3236" spans="2:2" x14ac:dyDescent="0.25">
      <c r="B3236" s="73"/>
    </row>
    <row r="3237" spans="2:2" x14ac:dyDescent="0.25">
      <c r="B3237" s="73"/>
    </row>
    <row r="3238" spans="2:2" x14ac:dyDescent="0.25">
      <c r="B3238" s="73"/>
    </row>
    <row r="3239" spans="2:2" x14ac:dyDescent="0.25">
      <c r="B3239" s="73"/>
    </row>
    <row r="3240" spans="2:2" x14ac:dyDescent="0.25">
      <c r="B3240" s="73"/>
    </row>
    <row r="3241" spans="2:2" x14ac:dyDescent="0.25">
      <c r="B3241" s="73"/>
    </row>
    <row r="3242" spans="2:2" x14ac:dyDescent="0.25">
      <c r="B3242" s="73"/>
    </row>
    <row r="3243" spans="2:2" x14ac:dyDescent="0.25">
      <c r="B3243" s="73"/>
    </row>
    <row r="3244" spans="2:2" x14ac:dyDescent="0.25">
      <c r="B3244" s="73"/>
    </row>
    <row r="3245" spans="2:2" x14ac:dyDescent="0.25">
      <c r="B3245" s="73"/>
    </row>
    <row r="3246" spans="2:2" x14ac:dyDescent="0.25">
      <c r="B3246" s="73"/>
    </row>
    <row r="3247" spans="2:2" x14ac:dyDescent="0.25">
      <c r="B3247" s="73"/>
    </row>
    <row r="3248" spans="2:2" x14ac:dyDescent="0.25">
      <c r="B3248" s="73"/>
    </row>
    <row r="3249" spans="2:2" x14ac:dyDescent="0.25">
      <c r="B3249" s="73"/>
    </row>
    <row r="3250" spans="2:2" x14ac:dyDescent="0.25">
      <c r="B3250" s="73"/>
    </row>
    <row r="3251" spans="2:2" x14ac:dyDescent="0.25">
      <c r="B3251" s="73"/>
    </row>
    <row r="3252" spans="2:2" x14ac:dyDescent="0.25">
      <c r="B3252" s="73"/>
    </row>
    <row r="3253" spans="2:2" x14ac:dyDescent="0.25">
      <c r="B3253" s="73"/>
    </row>
    <row r="3254" spans="2:2" x14ac:dyDescent="0.25">
      <c r="B3254" s="73"/>
    </row>
    <row r="3255" spans="2:2" x14ac:dyDescent="0.25">
      <c r="B3255" s="73"/>
    </row>
    <row r="3256" spans="2:2" x14ac:dyDescent="0.25">
      <c r="B3256" s="73"/>
    </row>
    <row r="3257" spans="2:2" x14ac:dyDescent="0.25">
      <c r="B3257" s="73"/>
    </row>
    <row r="3258" spans="2:2" x14ac:dyDescent="0.25">
      <c r="B3258" s="73"/>
    </row>
    <row r="3259" spans="2:2" x14ac:dyDescent="0.25">
      <c r="B3259" s="73"/>
    </row>
    <row r="3260" spans="2:2" x14ac:dyDescent="0.25">
      <c r="B3260" s="73"/>
    </row>
    <row r="3261" spans="2:2" x14ac:dyDescent="0.25">
      <c r="B3261" s="73"/>
    </row>
    <row r="3262" spans="2:2" x14ac:dyDescent="0.25">
      <c r="B3262" s="73"/>
    </row>
    <row r="3263" spans="2:2" x14ac:dyDescent="0.25">
      <c r="B3263" s="73"/>
    </row>
    <row r="3264" spans="2:2" x14ac:dyDescent="0.25">
      <c r="B3264" s="73"/>
    </row>
    <row r="3265" spans="2:2" x14ac:dyDescent="0.25">
      <c r="B3265" s="73"/>
    </row>
    <row r="3266" spans="2:2" x14ac:dyDescent="0.25">
      <c r="B3266" s="73"/>
    </row>
    <row r="3267" spans="2:2" x14ac:dyDescent="0.25">
      <c r="B3267" s="73"/>
    </row>
    <row r="3268" spans="2:2" x14ac:dyDescent="0.25">
      <c r="B3268" s="73"/>
    </row>
    <row r="3269" spans="2:2" x14ac:dyDescent="0.25">
      <c r="B3269" s="73"/>
    </row>
    <row r="3270" spans="2:2" x14ac:dyDescent="0.25">
      <c r="B3270" s="73"/>
    </row>
    <row r="3271" spans="2:2" x14ac:dyDescent="0.25">
      <c r="B3271" s="73"/>
    </row>
    <row r="3272" spans="2:2" x14ac:dyDescent="0.25">
      <c r="B3272" s="73"/>
    </row>
    <row r="3273" spans="2:2" x14ac:dyDescent="0.25">
      <c r="B3273" s="73"/>
    </row>
    <row r="3274" spans="2:2" x14ac:dyDescent="0.25">
      <c r="B3274" s="73"/>
    </row>
    <row r="3275" spans="2:2" x14ac:dyDescent="0.25">
      <c r="B3275" s="73"/>
    </row>
    <row r="3276" spans="2:2" x14ac:dyDescent="0.25">
      <c r="B3276" s="73"/>
    </row>
    <row r="3277" spans="2:2" x14ac:dyDescent="0.25">
      <c r="B3277" s="73"/>
    </row>
    <row r="3278" spans="2:2" x14ac:dyDescent="0.25">
      <c r="B3278" s="73"/>
    </row>
    <row r="3279" spans="2:2" x14ac:dyDescent="0.25">
      <c r="B3279" s="73"/>
    </row>
    <row r="3280" spans="2:2" x14ac:dyDescent="0.25">
      <c r="B3280" s="73"/>
    </row>
    <row r="3281" spans="2:2" x14ac:dyDescent="0.25">
      <c r="B3281" s="73"/>
    </row>
    <row r="3282" spans="2:2" x14ac:dyDescent="0.25">
      <c r="B3282" s="73"/>
    </row>
    <row r="3283" spans="2:2" x14ac:dyDescent="0.25">
      <c r="B3283" s="73"/>
    </row>
    <row r="3284" spans="2:2" x14ac:dyDescent="0.25">
      <c r="B3284" s="73"/>
    </row>
    <row r="3285" spans="2:2" x14ac:dyDescent="0.25">
      <c r="B3285" s="73"/>
    </row>
    <row r="3286" spans="2:2" x14ac:dyDescent="0.25">
      <c r="B3286" s="73"/>
    </row>
    <row r="3287" spans="2:2" x14ac:dyDescent="0.25">
      <c r="B3287" s="73"/>
    </row>
    <row r="3288" spans="2:2" x14ac:dyDescent="0.25">
      <c r="B3288" s="73"/>
    </row>
    <row r="3289" spans="2:2" x14ac:dyDescent="0.25">
      <c r="B3289" s="73"/>
    </row>
    <row r="3290" spans="2:2" x14ac:dyDescent="0.25">
      <c r="B3290" s="73"/>
    </row>
    <row r="3291" spans="2:2" x14ac:dyDescent="0.25">
      <c r="B3291" s="73"/>
    </row>
    <row r="3292" spans="2:2" x14ac:dyDescent="0.25">
      <c r="B3292" s="73"/>
    </row>
    <row r="3293" spans="2:2" x14ac:dyDescent="0.25">
      <c r="B3293" s="73"/>
    </row>
    <row r="3294" spans="2:2" x14ac:dyDescent="0.25">
      <c r="B3294" s="73"/>
    </row>
    <row r="3295" spans="2:2" x14ac:dyDescent="0.25">
      <c r="B3295" s="73"/>
    </row>
    <row r="3296" spans="2:2" x14ac:dyDescent="0.25">
      <c r="B3296" s="73"/>
    </row>
    <row r="3297" spans="2:2" x14ac:dyDescent="0.25">
      <c r="B3297" s="73"/>
    </row>
    <row r="3298" spans="2:2" x14ac:dyDescent="0.25">
      <c r="B3298" s="73"/>
    </row>
    <row r="3299" spans="2:2" x14ac:dyDescent="0.25">
      <c r="B3299" s="73"/>
    </row>
    <row r="3300" spans="2:2" x14ac:dyDescent="0.25">
      <c r="B3300" s="73"/>
    </row>
    <row r="3301" spans="2:2" x14ac:dyDescent="0.25">
      <c r="B3301" s="73"/>
    </row>
    <row r="3302" spans="2:2" x14ac:dyDescent="0.25">
      <c r="B3302" s="73"/>
    </row>
    <row r="3303" spans="2:2" x14ac:dyDescent="0.25">
      <c r="B3303" s="73"/>
    </row>
    <row r="3304" spans="2:2" x14ac:dyDescent="0.25">
      <c r="B3304" s="73"/>
    </row>
    <row r="3305" spans="2:2" x14ac:dyDescent="0.25">
      <c r="B3305" s="73"/>
    </row>
    <row r="3306" spans="2:2" x14ac:dyDescent="0.25">
      <c r="B3306" s="73"/>
    </row>
    <row r="3307" spans="2:2" x14ac:dyDescent="0.25">
      <c r="B3307" s="73"/>
    </row>
    <row r="3308" spans="2:2" x14ac:dyDescent="0.25">
      <c r="B3308" s="73"/>
    </row>
    <row r="3309" spans="2:2" x14ac:dyDescent="0.25">
      <c r="B3309" s="73"/>
    </row>
    <row r="3310" spans="2:2" x14ac:dyDescent="0.25">
      <c r="B3310" s="73"/>
    </row>
    <row r="3311" spans="2:2" x14ac:dyDescent="0.25">
      <c r="B3311" s="73"/>
    </row>
    <row r="3312" spans="2:2" x14ac:dyDescent="0.25">
      <c r="B3312" s="73"/>
    </row>
    <row r="3313" spans="2:2" x14ac:dyDescent="0.25">
      <c r="B3313" s="73"/>
    </row>
    <row r="3314" spans="2:2" x14ac:dyDescent="0.25">
      <c r="B3314" s="73"/>
    </row>
    <row r="3315" spans="2:2" x14ac:dyDescent="0.25">
      <c r="B3315" s="73"/>
    </row>
    <row r="3316" spans="2:2" x14ac:dyDescent="0.25">
      <c r="B3316" s="73"/>
    </row>
    <row r="3317" spans="2:2" x14ac:dyDescent="0.25">
      <c r="B3317" s="73"/>
    </row>
    <row r="3318" spans="2:2" x14ac:dyDescent="0.25">
      <c r="B3318" s="73"/>
    </row>
    <row r="3319" spans="2:2" x14ac:dyDescent="0.25">
      <c r="B3319" s="73"/>
    </row>
    <row r="3320" spans="2:2" x14ac:dyDescent="0.25">
      <c r="B3320" s="73"/>
    </row>
    <row r="3321" spans="2:2" x14ac:dyDescent="0.25">
      <c r="B3321" s="73"/>
    </row>
    <row r="3322" spans="2:2" x14ac:dyDescent="0.25">
      <c r="B3322" s="73"/>
    </row>
    <row r="3323" spans="2:2" x14ac:dyDescent="0.25">
      <c r="B3323" s="73"/>
    </row>
    <row r="3324" spans="2:2" x14ac:dyDescent="0.25">
      <c r="B3324" s="73"/>
    </row>
    <row r="3325" spans="2:2" x14ac:dyDescent="0.25">
      <c r="B3325" s="73"/>
    </row>
    <row r="3326" spans="2:2" x14ac:dyDescent="0.25">
      <c r="B3326" s="73"/>
    </row>
    <row r="3327" spans="2:2" x14ac:dyDescent="0.25">
      <c r="B3327" s="73"/>
    </row>
    <row r="3328" spans="2:2" x14ac:dyDescent="0.25">
      <c r="B3328" s="73"/>
    </row>
    <row r="3329" spans="2:2" x14ac:dyDescent="0.25">
      <c r="B3329" s="73"/>
    </row>
    <row r="3330" spans="2:2" x14ac:dyDescent="0.25">
      <c r="B3330" s="73"/>
    </row>
    <row r="3331" spans="2:2" x14ac:dyDescent="0.25">
      <c r="B3331" s="73"/>
    </row>
    <row r="3332" spans="2:2" x14ac:dyDescent="0.25">
      <c r="B3332" s="73"/>
    </row>
    <row r="3333" spans="2:2" x14ac:dyDescent="0.25">
      <c r="B3333" s="73"/>
    </row>
    <row r="3334" spans="2:2" x14ac:dyDescent="0.25">
      <c r="B3334" s="73"/>
    </row>
    <row r="3335" spans="2:2" x14ac:dyDescent="0.25">
      <c r="B3335" s="73"/>
    </row>
    <row r="3336" spans="2:2" x14ac:dyDescent="0.25">
      <c r="B3336" s="73"/>
    </row>
    <row r="3337" spans="2:2" x14ac:dyDescent="0.25">
      <c r="B3337" s="73"/>
    </row>
    <row r="3338" spans="2:2" x14ac:dyDescent="0.25">
      <c r="B3338" s="73"/>
    </row>
    <row r="3339" spans="2:2" x14ac:dyDescent="0.25">
      <c r="B3339" s="73"/>
    </row>
    <row r="3340" spans="2:2" x14ac:dyDescent="0.25">
      <c r="B3340" s="73"/>
    </row>
    <row r="3341" spans="2:2" x14ac:dyDescent="0.25">
      <c r="B3341" s="73"/>
    </row>
    <row r="3342" spans="2:2" x14ac:dyDescent="0.25">
      <c r="B3342" s="73"/>
    </row>
    <row r="3343" spans="2:2" x14ac:dyDescent="0.25">
      <c r="B3343" s="73"/>
    </row>
    <row r="3344" spans="2:2" x14ac:dyDescent="0.25">
      <c r="B3344" s="73"/>
    </row>
    <row r="3345" spans="2:2" x14ac:dyDescent="0.25">
      <c r="B3345" s="73"/>
    </row>
    <row r="3346" spans="2:2" x14ac:dyDescent="0.25">
      <c r="B3346" s="73"/>
    </row>
    <row r="3347" spans="2:2" x14ac:dyDescent="0.25">
      <c r="B3347" s="73"/>
    </row>
    <row r="3348" spans="2:2" x14ac:dyDescent="0.25">
      <c r="B3348" s="73"/>
    </row>
    <row r="3349" spans="2:2" x14ac:dyDescent="0.25">
      <c r="B3349" s="73"/>
    </row>
    <row r="3350" spans="2:2" x14ac:dyDescent="0.25">
      <c r="B3350" s="73"/>
    </row>
    <row r="3351" spans="2:2" x14ac:dyDescent="0.25">
      <c r="B3351" s="73"/>
    </row>
    <row r="3352" spans="2:2" x14ac:dyDescent="0.25">
      <c r="B3352" s="73"/>
    </row>
    <row r="3353" spans="2:2" x14ac:dyDescent="0.25">
      <c r="B3353" s="73"/>
    </row>
    <row r="3354" spans="2:2" x14ac:dyDescent="0.25">
      <c r="B3354" s="73"/>
    </row>
    <row r="3355" spans="2:2" x14ac:dyDescent="0.25">
      <c r="B3355" s="73"/>
    </row>
    <row r="3356" spans="2:2" x14ac:dyDescent="0.25">
      <c r="B3356" s="73"/>
    </row>
    <row r="3357" spans="2:2" x14ac:dyDescent="0.25">
      <c r="B3357" s="73"/>
    </row>
    <row r="3358" spans="2:2" x14ac:dyDescent="0.25">
      <c r="B3358" s="73"/>
    </row>
    <row r="3359" spans="2:2" x14ac:dyDescent="0.25">
      <c r="B3359" s="73"/>
    </row>
    <row r="3360" spans="2:2" x14ac:dyDescent="0.25">
      <c r="B3360" s="73"/>
    </row>
    <row r="3361" spans="2:2" x14ac:dyDescent="0.25">
      <c r="B3361" s="73"/>
    </row>
    <row r="3362" spans="2:2" x14ac:dyDescent="0.25">
      <c r="B3362" s="73"/>
    </row>
    <row r="3363" spans="2:2" x14ac:dyDescent="0.25">
      <c r="B3363" s="73"/>
    </row>
    <row r="3364" spans="2:2" x14ac:dyDescent="0.25">
      <c r="B3364" s="73"/>
    </row>
    <row r="3365" spans="2:2" x14ac:dyDescent="0.25">
      <c r="B3365" s="73"/>
    </row>
    <row r="3366" spans="2:2" x14ac:dyDescent="0.25">
      <c r="B3366" s="73"/>
    </row>
    <row r="3367" spans="2:2" x14ac:dyDescent="0.25">
      <c r="B3367" s="73"/>
    </row>
    <row r="3368" spans="2:2" x14ac:dyDescent="0.25">
      <c r="B3368" s="73"/>
    </row>
    <row r="3369" spans="2:2" x14ac:dyDescent="0.25">
      <c r="B3369" s="73"/>
    </row>
    <row r="3370" spans="2:2" x14ac:dyDescent="0.25">
      <c r="B3370" s="73"/>
    </row>
    <row r="3371" spans="2:2" x14ac:dyDescent="0.25">
      <c r="B3371" s="73"/>
    </row>
    <row r="3372" spans="2:2" x14ac:dyDescent="0.25">
      <c r="B3372" s="73"/>
    </row>
    <row r="3373" spans="2:2" x14ac:dyDescent="0.25">
      <c r="B3373" s="73"/>
    </row>
    <row r="3374" spans="2:2" x14ac:dyDescent="0.25">
      <c r="B3374" s="73"/>
    </row>
    <row r="3375" spans="2:2" x14ac:dyDescent="0.25">
      <c r="B3375" s="73"/>
    </row>
    <row r="3376" spans="2:2" x14ac:dyDescent="0.25">
      <c r="B3376" s="73"/>
    </row>
    <row r="3377" spans="2:2" x14ac:dyDescent="0.25">
      <c r="B3377" s="73"/>
    </row>
    <row r="3378" spans="2:2" x14ac:dyDescent="0.25">
      <c r="B3378" s="73"/>
    </row>
    <row r="3379" spans="2:2" x14ac:dyDescent="0.25">
      <c r="B3379" s="73"/>
    </row>
    <row r="3380" spans="2:2" x14ac:dyDescent="0.25">
      <c r="B3380" s="73"/>
    </row>
    <row r="3381" spans="2:2" x14ac:dyDescent="0.25">
      <c r="B3381" s="73"/>
    </row>
    <row r="3382" spans="2:2" x14ac:dyDescent="0.25">
      <c r="B3382" s="73"/>
    </row>
    <row r="3383" spans="2:2" x14ac:dyDescent="0.25">
      <c r="B3383" s="73"/>
    </row>
    <row r="3384" spans="2:2" x14ac:dyDescent="0.25">
      <c r="B3384" s="73"/>
    </row>
    <row r="3385" spans="2:2" x14ac:dyDescent="0.25">
      <c r="B3385" s="73"/>
    </row>
    <row r="3386" spans="2:2" x14ac:dyDescent="0.25">
      <c r="B3386" s="73"/>
    </row>
    <row r="3387" spans="2:2" x14ac:dyDescent="0.25">
      <c r="B3387" s="73"/>
    </row>
    <row r="3388" spans="2:2" x14ac:dyDescent="0.25">
      <c r="B3388" s="73"/>
    </row>
    <row r="3389" spans="2:2" x14ac:dyDescent="0.25">
      <c r="B3389" s="73"/>
    </row>
    <row r="3390" spans="2:2" x14ac:dyDescent="0.25">
      <c r="B3390" s="73"/>
    </row>
    <row r="3391" spans="2:2" x14ac:dyDescent="0.25">
      <c r="B3391" s="73"/>
    </row>
    <row r="3392" spans="2:2" x14ac:dyDescent="0.25">
      <c r="B3392" s="73"/>
    </row>
    <row r="3393" spans="2:2" x14ac:dyDescent="0.25">
      <c r="B3393" s="73"/>
    </row>
    <row r="3394" spans="2:2" x14ac:dyDescent="0.25">
      <c r="B3394" s="73"/>
    </row>
    <row r="3395" spans="2:2" x14ac:dyDescent="0.25">
      <c r="B3395" s="73"/>
    </row>
    <row r="3396" spans="2:2" x14ac:dyDescent="0.25">
      <c r="B3396" s="73"/>
    </row>
    <row r="3397" spans="2:2" x14ac:dyDescent="0.25">
      <c r="B3397" s="73"/>
    </row>
    <row r="3398" spans="2:2" x14ac:dyDescent="0.25">
      <c r="B3398" s="73"/>
    </row>
    <row r="3399" spans="2:2" x14ac:dyDescent="0.25">
      <c r="B3399" s="73"/>
    </row>
    <row r="3400" spans="2:2" x14ac:dyDescent="0.25">
      <c r="B3400" s="73"/>
    </row>
    <row r="3401" spans="2:2" x14ac:dyDescent="0.25">
      <c r="B3401" s="73"/>
    </row>
    <row r="3402" spans="2:2" x14ac:dyDescent="0.25">
      <c r="B3402" s="73"/>
    </row>
    <row r="3403" spans="2:2" x14ac:dyDescent="0.25">
      <c r="B3403" s="73"/>
    </row>
    <row r="3404" spans="2:2" x14ac:dyDescent="0.25">
      <c r="B3404" s="73"/>
    </row>
    <row r="3405" spans="2:2" x14ac:dyDescent="0.25">
      <c r="B3405" s="73"/>
    </row>
    <row r="3406" spans="2:2" x14ac:dyDescent="0.25">
      <c r="B3406" s="73"/>
    </row>
    <row r="3407" spans="2:2" x14ac:dyDescent="0.25">
      <c r="B3407" s="73"/>
    </row>
    <row r="3408" spans="2:2" x14ac:dyDescent="0.25">
      <c r="B3408" s="73"/>
    </row>
    <row r="3409" spans="2:2" x14ac:dyDescent="0.25">
      <c r="B3409" s="73"/>
    </row>
    <row r="3410" spans="2:2" x14ac:dyDescent="0.25">
      <c r="B3410" s="73"/>
    </row>
    <row r="3411" spans="2:2" x14ac:dyDescent="0.25">
      <c r="B3411" s="73"/>
    </row>
    <row r="3412" spans="2:2" x14ac:dyDescent="0.25">
      <c r="B3412" s="73"/>
    </row>
    <row r="3413" spans="2:2" x14ac:dyDescent="0.25">
      <c r="B3413" s="73"/>
    </row>
    <row r="3414" spans="2:2" x14ac:dyDescent="0.25">
      <c r="B3414" s="73"/>
    </row>
    <row r="3415" spans="2:2" x14ac:dyDescent="0.25">
      <c r="B3415" s="73"/>
    </row>
    <row r="3416" spans="2:2" x14ac:dyDescent="0.25">
      <c r="B3416" s="73"/>
    </row>
    <row r="3417" spans="2:2" x14ac:dyDescent="0.25">
      <c r="B3417" s="73"/>
    </row>
    <row r="3418" spans="2:2" x14ac:dyDescent="0.25">
      <c r="B3418" s="73"/>
    </row>
    <row r="3419" spans="2:2" x14ac:dyDescent="0.25">
      <c r="B3419" s="73"/>
    </row>
    <row r="3420" spans="2:2" x14ac:dyDescent="0.25">
      <c r="B3420" s="73"/>
    </row>
    <row r="3421" spans="2:2" x14ac:dyDescent="0.25">
      <c r="B3421" s="73"/>
    </row>
    <row r="3422" spans="2:2" x14ac:dyDescent="0.25">
      <c r="B3422" s="73"/>
    </row>
    <row r="3423" spans="2:2" x14ac:dyDescent="0.25">
      <c r="B3423" s="73"/>
    </row>
    <row r="3424" spans="2:2" x14ac:dyDescent="0.25">
      <c r="B3424" s="73"/>
    </row>
    <row r="3425" spans="2:2" x14ac:dyDescent="0.25">
      <c r="B3425" s="73"/>
    </row>
    <row r="3426" spans="2:2" x14ac:dyDescent="0.25">
      <c r="B3426" s="73"/>
    </row>
    <row r="3427" spans="2:2" x14ac:dyDescent="0.25">
      <c r="B3427" s="73"/>
    </row>
    <row r="3428" spans="2:2" x14ac:dyDescent="0.25">
      <c r="B3428" s="73"/>
    </row>
    <row r="3429" spans="2:2" x14ac:dyDescent="0.25">
      <c r="B3429" s="73"/>
    </row>
    <row r="3430" spans="2:2" x14ac:dyDescent="0.25">
      <c r="B3430" s="73"/>
    </row>
    <row r="3431" spans="2:2" x14ac:dyDescent="0.25">
      <c r="B3431" s="73"/>
    </row>
    <row r="3432" spans="2:2" x14ac:dyDescent="0.25">
      <c r="B3432" s="73"/>
    </row>
    <row r="3433" spans="2:2" x14ac:dyDescent="0.25">
      <c r="B3433" s="73"/>
    </row>
    <row r="3434" spans="2:2" x14ac:dyDescent="0.25">
      <c r="B3434" s="73"/>
    </row>
    <row r="3435" spans="2:2" x14ac:dyDescent="0.25">
      <c r="B3435" s="73"/>
    </row>
    <row r="3436" spans="2:2" x14ac:dyDescent="0.25">
      <c r="B3436" s="73"/>
    </row>
    <row r="3437" spans="2:2" x14ac:dyDescent="0.25">
      <c r="B3437" s="73"/>
    </row>
    <row r="3438" spans="2:2" x14ac:dyDescent="0.25">
      <c r="B3438" s="73"/>
    </row>
    <row r="3439" spans="2:2" x14ac:dyDescent="0.25">
      <c r="B3439" s="73"/>
    </row>
    <row r="3440" spans="2:2" x14ac:dyDescent="0.25">
      <c r="B3440" s="73"/>
    </row>
    <row r="3441" spans="2:2" x14ac:dyDescent="0.25">
      <c r="B3441" s="73"/>
    </row>
    <row r="3442" spans="2:2" x14ac:dyDescent="0.25">
      <c r="B3442" s="73"/>
    </row>
    <row r="3443" spans="2:2" x14ac:dyDescent="0.25">
      <c r="B3443" s="73"/>
    </row>
    <row r="3444" spans="2:2" x14ac:dyDescent="0.25">
      <c r="B3444" s="73"/>
    </row>
    <row r="3445" spans="2:2" x14ac:dyDescent="0.25">
      <c r="B3445" s="73"/>
    </row>
    <row r="3446" spans="2:2" x14ac:dyDescent="0.25">
      <c r="B3446" s="73"/>
    </row>
    <row r="3447" spans="2:2" x14ac:dyDescent="0.25">
      <c r="B3447" s="73"/>
    </row>
    <row r="3448" spans="2:2" x14ac:dyDescent="0.25">
      <c r="B3448" s="73"/>
    </row>
    <row r="3449" spans="2:2" x14ac:dyDescent="0.25">
      <c r="B3449" s="73"/>
    </row>
    <row r="3450" spans="2:2" x14ac:dyDescent="0.25">
      <c r="B3450" s="73"/>
    </row>
    <row r="3451" spans="2:2" x14ac:dyDescent="0.25">
      <c r="B3451" s="73"/>
    </row>
    <row r="3452" spans="2:2" x14ac:dyDescent="0.25">
      <c r="B3452" s="73"/>
    </row>
    <row r="3453" spans="2:2" x14ac:dyDescent="0.25">
      <c r="B3453" s="73"/>
    </row>
    <row r="3454" spans="2:2" x14ac:dyDescent="0.25">
      <c r="B3454" s="73"/>
    </row>
    <row r="3455" spans="2:2" x14ac:dyDescent="0.25">
      <c r="B3455" s="73"/>
    </row>
    <row r="3456" spans="2:2" x14ac:dyDescent="0.25">
      <c r="B3456" s="73"/>
    </row>
    <row r="3457" spans="2:2" x14ac:dyDescent="0.25">
      <c r="B3457" s="73"/>
    </row>
    <row r="3458" spans="2:2" x14ac:dyDescent="0.25">
      <c r="B3458" s="73"/>
    </row>
    <row r="3459" spans="2:2" x14ac:dyDescent="0.25">
      <c r="B3459" s="73"/>
    </row>
    <row r="3460" spans="2:2" x14ac:dyDescent="0.25">
      <c r="B3460" s="73"/>
    </row>
    <row r="3461" spans="2:2" x14ac:dyDescent="0.25">
      <c r="B3461" s="73"/>
    </row>
    <row r="3462" spans="2:2" x14ac:dyDescent="0.25">
      <c r="B3462" s="73"/>
    </row>
    <row r="3463" spans="2:2" x14ac:dyDescent="0.25">
      <c r="B3463" s="73"/>
    </row>
    <row r="3464" spans="2:2" x14ac:dyDescent="0.25">
      <c r="B3464" s="73"/>
    </row>
    <row r="3465" spans="2:2" x14ac:dyDescent="0.25">
      <c r="B3465" s="73"/>
    </row>
    <row r="3466" spans="2:2" x14ac:dyDescent="0.25">
      <c r="B3466" s="73"/>
    </row>
    <row r="3467" spans="2:2" x14ac:dyDescent="0.25">
      <c r="B3467" s="73"/>
    </row>
    <row r="3468" spans="2:2" x14ac:dyDescent="0.25">
      <c r="B3468" s="73"/>
    </row>
    <row r="3469" spans="2:2" x14ac:dyDescent="0.25">
      <c r="B3469" s="73"/>
    </row>
    <row r="3470" spans="2:2" x14ac:dyDescent="0.25">
      <c r="B3470" s="73"/>
    </row>
    <row r="3471" spans="2:2" x14ac:dyDescent="0.25">
      <c r="B3471" s="73"/>
    </row>
    <row r="3472" spans="2:2" x14ac:dyDescent="0.25">
      <c r="B3472" s="73"/>
    </row>
    <row r="3473" spans="2:2" x14ac:dyDescent="0.25">
      <c r="B3473" s="73"/>
    </row>
    <row r="3474" spans="2:2" x14ac:dyDescent="0.25">
      <c r="B3474" s="73"/>
    </row>
    <row r="3475" spans="2:2" x14ac:dyDescent="0.25">
      <c r="B3475" s="73"/>
    </row>
    <row r="3476" spans="2:2" x14ac:dyDescent="0.25">
      <c r="B3476" s="73"/>
    </row>
    <row r="3477" spans="2:2" x14ac:dyDescent="0.25">
      <c r="B3477" s="73"/>
    </row>
    <row r="3478" spans="2:2" x14ac:dyDescent="0.25">
      <c r="B3478" s="73"/>
    </row>
    <row r="3479" spans="2:2" x14ac:dyDescent="0.25">
      <c r="B3479" s="73"/>
    </row>
    <row r="3480" spans="2:2" x14ac:dyDescent="0.25">
      <c r="B3480" s="73"/>
    </row>
    <row r="3481" spans="2:2" x14ac:dyDescent="0.25">
      <c r="B3481" s="73"/>
    </row>
    <row r="3482" spans="2:2" x14ac:dyDescent="0.25">
      <c r="B3482" s="73"/>
    </row>
    <row r="3483" spans="2:2" x14ac:dyDescent="0.25">
      <c r="B3483" s="73"/>
    </row>
    <row r="3484" spans="2:2" x14ac:dyDescent="0.25">
      <c r="B3484" s="73"/>
    </row>
    <row r="3485" spans="2:2" x14ac:dyDescent="0.25">
      <c r="B3485" s="73"/>
    </row>
    <row r="3486" spans="2:2" x14ac:dyDescent="0.25">
      <c r="B3486" s="73"/>
    </row>
    <row r="3487" spans="2:2" x14ac:dyDescent="0.25">
      <c r="B3487" s="73"/>
    </row>
    <row r="3488" spans="2:2" x14ac:dyDescent="0.25">
      <c r="B3488" s="73"/>
    </row>
    <row r="3489" spans="2:2" x14ac:dyDescent="0.25">
      <c r="B3489" s="73"/>
    </row>
    <row r="3490" spans="2:2" x14ac:dyDescent="0.25">
      <c r="B3490" s="73"/>
    </row>
    <row r="3491" spans="2:2" x14ac:dyDescent="0.25">
      <c r="B3491" s="73"/>
    </row>
    <row r="3492" spans="2:2" x14ac:dyDescent="0.25">
      <c r="B3492" s="73"/>
    </row>
    <row r="3493" spans="2:2" x14ac:dyDescent="0.25">
      <c r="B3493" s="73"/>
    </row>
    <row r="3494" spans="2:2" x14ac:dyDescent="0.25">
      <c r="B3494" s="73"/>
    </row>
    <row r="3495" spans="2:2" x14ac:dyDescent="0.25">
      <c r="B3495" s="73"/>
    </row>
    <row r="3496" spans="2:2" x14ac:dyDescent="0.25">
      <c r="B3496" s="73"/>
    </row>
    <row r="3497" spans="2:2" x14ac:dyDescent="0.25">
      <c r="B3497" s="73"/>
    </row>
    <row r="3498" spans="2:2" x14ac:dyDescent="0.25">
      <c r="B3498" s="73"/>
    </row>
    <row r="3499" spans="2:2" x14ac:dyDescent="0.25">
      <c r="B3499" s="73"/>
    </row>
    <row r="3500" spans="2:2" x14ac:dyDescent="0.25">
      <c r="B3500" s="73"/>
    </row>
    <row r="3501" spans="2:2" x14ac:dyDescent="0.25">
      <c r="B3501" s="73"/>
    </row>
    <row r="3502" spans="2:2" x14ac:dyDescent="0.25">
      <c r="B3502" s="73"/>
    </row>
    <row r="3503" spans="2:2" x14ac:dyDescent="0.25">
      <c r="B3503" s="73"/>
    </row>
    <row r="3504" spans="2:2" x14ac:dyDescent="0.25">
      <c r="B3504" s="73"/>
    </row>
    <row r="3505" spans="2:2" x14ac:dyDescent="0.25">
      <c r="B3505" s="73"/>
    </row>
    <row r="3506" spans="2:2" x14ac:dyDescent="0.25">
      <c r="B3506" s="73"/>
    </row>
    <row r="3507" spans="2:2" x14ac:dyDescent="0.25">
      <c r="B3507" s="73"/>
    </row>
    <row r="3508" spans="2:2" x14ac:dyDescent="0.25">
      <c r="B3508" s="73"/>
    </row>
    <row r="3509" spans="2:2" x14ac:dyDescent="0.25">
      <c r="B3509" s="73"/>
    </row>
    <row r="3510" spans="2:2" x14ac:dyDescent="0.25">
      <c r="B3510" s="73"/>
    </row>
    <row r="3511" spans="2:2" x14ac:dyDescent="0.25">
      <c r="B3511" s="73"/>
    </row>
    <row r="3512" spans="2:2" x14ac:dyDescent="0.25">
      <c r="B3512" s="73"/>
    </row>
    <row r="3513" spans="2:2" x14ac:dyDescent="0.25">
      <c r="B3513" s="73"/>
    </row>
    <row r="3514" spans="2:2" x14ac:dyDescent="0.25">
      <c r="B3514" s="73"/>
    </row>
    <row r="3515" spans="2:2" x14ac:dyDescent="0.25">
      <c r="B3515" s="73"/>
    </row>
    <row r="3516" spans="2:2" x14ac:dyDescent="0.25">
      <c r="B3516" s="73"/>
    </row>
    <row r="3517" spans="2:2" x14ac:dyDescent="0.25">
      <c r="B3517" s="73"/>
    </row>
    <row r="3518" spans="2:2" x14ac:dyDescent="0.25">
      <c r="B3518" s="73"/>
    </row>
    <row r="3519" spans="2:2" x14ac:dyDescent="0.25">
      <c r="B3519" s="73"/>
    </row>
    <row r="3520" spans="2:2" x14ac:dyDescent="0.25">
      <c r="B3520" s="73"/>
    </row>
    <row r="3521" spans="2:2" x14ac:dyDescent="0.25">
      <c r="B3521" s="73"/>
    </row>
    <row r="3522" spans="2:2" x14ac:dyDescent="0.25">
      <c r="B3522" s="73"/>
    </row>
    <row r="3523" spans="2:2" x14ac:dyDescent="0.25">
      <c r="B3523" s="73"/>
    </row>
    <row r="3524" spans="2:2" x14ac:dyDescent="0.25">
      <c r="B3524" s="73"/>
    </row>
    <row r="3525" spans="2:2" x14ac:dyDescent="0.25">
      <c r="B3525" s="73"/>
    </row>
    <row r="3526" spans="2:2" x14ac:dyDescent="0.25">
      <c r="B3526" s="73"/>
    </row>
    <row r="3527" spans="2:2" x14ac:dyDescent="0.25">
      <c r="B3527" s="73"/>
    </row>
    <row r="3528" spans="2:2" x14ac:dyDescent="0.25">
      <c r="B3528" s="73"/>
    </row>
    <row r="3529" spans="2:2" x14ac:dyDescent="0.25">
      <c r="B3529" s="73"/>
    </row>
    <row r="3530" spans="2:2" x14ac:dyDescent="0.25">
      <c r="B3530" s="73"/>
    </row>
    <row r="3531" spans="2:2" x14ac:dyDescent="0.25">
      <c r="B3531" s="73"/>
    </row>
    <row r="3532" spans="2:2" x14ac:dyDescent="0.25">
      <c r="B3532" s="73"/>
    </row>
    <row r="3533" spans="2:2" x14ac:dyDescent="0.25">
      <c r="B3533" s="73"/>
    </row>
    <row r="3534" spans="2:2" x14ac:dyDescent="0.25">
      <c r="B3534" s="73"/>
    </row>
    <row r="3535" spans="2:2" x14ac:dyDescent="0.25">
      <c r="B3535" s="73"/>
    </row>
    <row r="3536" spans="2:2" x14ac:dyDescent="0.25">
      <c r="B3536" s="73"/>
    </row>
    <row r="3537" spans="2:2" x14ac:dyDescent="0.25">
      <c r="B3537" s="73"/>
    </row>
    <row r="3538" spans="2:2" x14ac:dyDescent="0.25">
      <c r="B3538" s="73"/>
    </row>
    <row r="3539" spans="2:2" x14ac:dyDescent="0.25">
      <c r="B3539" s="73"/>
    </row>
    <row r="3540" spans="2:2" x14ac:dyDescent="0.25">
      <c r="B3540" s="73"/>
    </row>
    <row r="3541" spans="2:2" x14ac:dyDescent="0.25">
      <c r="B3541" s="73"/>
    </row>
    <row r="3542" spans="2:2" x14ac:dyDescent="0.25">
      <c r="B3542" s="73"/>
    </row>
    <row r="3543" spans="2:2" x14ac:dyDescent="0.25">
      <c r="B3543" s="73"/>
    </row>
    <row r="3544" spans="2:2" x14ac:dyDescent="0.25">
      <c r="B3544" s="73"/>
    </row>
    <row r="3545" spans="2:2" x14ac:dyDescent="0.25">
      <c r="B3545" s="73"/>
    </row>
    <row r="3546" spans="2:2" x14ac:dyDescent="0.25">
      <c r="B3546" s="73"/>
    </row>
    <row r="3547" spans="2:2" x14ac:dyDescent="0.25">
      <c r="B3547" s="73"/>
    </row>
    <row r="3548" spans="2:2" x14ac:dyDescent="0.25">
      <c r="B3548" s="73"/>
    </row>
    <row r="3549" spans="2:2" x14ac:dyDescent="0.25">
      <c r="B3549" s="73"/>
    </row>
    <row r="3550" spans="2:2" x14ac:dyDescent="0.25">
      <c r="B3550" s="73"/>
    </row>
    <row r="3551" spans="2:2" x14ac:dyDescent="0.25">
      <c r="B3551" s="73"/>
    </row>
    <row r="3552" spans="2:2" x14ac:dyDescent="0.25">
      <c r="B3552" s="73"/>
    </row>
    <row r="3553" spans="2:2" x14ac:dyDescent="0.25">
      <c r="B3553" s="73"/>
    </row>
    <row r="3554" spans="2:2" x14ac:dyDescent="0.25">
      <c r="B3554" s="73"/>
    </row>
    <row r="3555" spans="2:2" x14ac:dyDescent="0.25">
      <c r="B3555" s="73"/>
    </row>
    <row r="3556" spans="2:2" x14ac:dyDescent="0.25">
      <c r="B3556" s="73"/>
    </row>
    <row r="3557" spans="2:2" x14ac:dyDescent="0.25">
      <c r="B3557" s="73"/>
    </row>
    <row r="3558" spans="2:2" x14ac:dyDescent="0.25">
      <c r="B3558" s="73"/>
    </row>
    <row r="3559" spans="2:2" x14ac:dyDescent="0.25">
      <c r="B3559" s="73"/>
    </row>
    <row r="3560" spans="2:2" x14ac:dyDescent="0.25">
      <c r="B3560" s="73"/>
    </row>
    <row r="3561" spans="2:2" x14ac:dyDescent="0.25">
      <c r="B3561" s="73"/>
    </row>
    <row r="3562" spans="2:2" x14ac:dyDescent="0.25">
      <c r="B3562" s="73"/>
    </row>
    <row r="3563" spans="2:2" x14ac:dyDescent="0.25">
      <c r="B3563" s="73"/>
    </row>
    <row r="3564" spans="2:2" x14ac:dyDescent="0.25">
      <c r="B3564" s="73"/>
    </row>
    <row r="3565" spans="2:2" x14ac:dyDescent="0.25">
      <c r="B3565" s="73"/>
    </row>
    <row r="3566" spans="2:2" x14ac:dyDescent="0.25">
      <c r="B3566" s="73"/>
    </row>
    <row r="3567" spans="2:2" x14ac:dyDescent="0.25">
      <c r="B3567" s="73"/>
    </row>
    <row r="3568" spans="2:2" x14ac:dyDescent="0.25">
      <c r="B3568" s="73"/>
    </row>
    <row r="3569" spans="2:2" x14ac:dyDescent="0.25">
      <c r="B3569" s="73"/>
    </row>
    <row r="3570" spans="2:2" x14ac:dyDescent="0.25">
      <c r="B3570" s="73"/>
    </row>
    <row r="3571" spans="2:2" x14ac:dyDescent="0.25">
      <c r="B3571" s="73"/>
    </row>
    <row r="3572" spans="2:2" x14ac:dyDescent="0.25">
      <c r="B3572" s="73"/>
    </row>
    <row r="3573" spans="2:2" x14ac:dyDescent="0.25">
      <c r="B3573" s="73"/>
    </row>
    <row r="3574" spans="2:2" x14ac:dyDescent="0.25">
      <c r="B3574" s="73"/>
    </row>
    <row r="3575" spans="2:2" x14ac:dyDescent="0.25">
      <c r="B3575" s="73"/>
    </row>
    <row r="3576" spans="2:2" x14ac:dyDescent="0.25">
      <c r="B3576" s="73"/>
    </row>
    <row r="3577" spans="2:2" x14ac:dyDescent="0.25">
      <c r="B3577" s="73"/>
    </row>
    <row r="3578" spans="2:2" x14ac:dyDescent="0.25">
      <c r="B3578" s="73"/>
    </row>
    <row r="3579" spans="2:2" x14ac:dyDescent="0.25">
      <c r="B3579" s="73"/>
    </row>
    <row r="3580" spans="2:2" x14ac:dyDescent="0.25">
      <c r="B3580" s="73"/>
    </row>
    <row r="3581" spans="2:2" x14ac:dyDescent="0.25">
      <c r="B3581" s="73"/>
    </row>
    <row r="3582" spans="2:2" x14ac:dyDescent="0.25">
      <c r="B3582" s="73"/>
    </row>
    <row r="3583" spans="2:2" x14ac:dyDescent="0.25">
      <c r="B3583" s="73"/>
    </row>
    <row r="3584" spans="2:2" x14ac:dyDescent="0.25">
      <c r="B3584" s="73"/>
    </row>
    <row r="3585" spans="2:2" x14ac:dyDescent="0.25">
      <c r="B3585" s="73"/>
    </row>
    <row r="3586" spans="2:2" x14ac:dyDescent="0.25">
      <c r="B3586" s="73"/>
    </row>
    <row r="3587" spans="2:2" x14ac:dyDescent="0.25">
      <c r="B3587" s="73"/>
    </row>
    <row r="3588" spans="2:2" x14ac:dyDescent="0.25">
      <c r="B3588" s="73"/>
    </row>
    <row r="3589" spans="2:2" x14ac:dyDescent="0.25">
      <c r="B3589" s="73"/>
    </row>
    <row r="3590" spans="2:2" x14ac:dyDescent="0.25">
      <c r="B3590" s="73"/>
    </row>
    <row r="3591" spans="2:2" x14ac:dyDescent="0.25">
      <c r="B3591" s="73"/>
    </row>
    <row r="3592" spans="2:2" x14ac:dyDescent="0.25">
      <c r="B3592" s="73"/>
    </row>
    <row r="3593" spans="2:2" x14ac:dyDescent="0.25">
      <c r="B3593" s="73"/>
    </row>
    <row r="3594" spans="2:2" x14ac:dyDescent="0.25">
      <c r="B3594" s="73"/>
    </row>
    <row r="3595" spans="2:2" x14ac:dyDescent="0.25">
      <c r="B3595" s="73"/>
    </row>
    <row r="3596" spans="2:2" x14ac:dyDescent="0.25">
      <c r="B3596" s="73"/>
    </row>
    <row r="3597" spans="2:2" x14ac:dyDescent="0.25">
      <c r="B3597" s="73"/>
    </row>
    <row r="3598" spans="2:2" x14ac:dyDescent="0.25">
      <c r="B3598" s="73"/>
    </row>
    <row r="3599" spans="2:2" x14ac:dyDescent="0.25">
      <c r="B3599" s="73"/>
    </row>
    <row r="3600" spans="2:2" x14ac:dyDescent="0.25">
      <c r="B3600" s="73"/>
    </row>
    <row r="3601" spans="2:2" x14ac:dyDescent="0.25">
      <c r="B3601" s="73"/>
    </row>
    <row r="3602" spans="2:2" x14ac:dyDescent="0.25">
      <c r="B3602" s="73"/>
    </row>
    <row r="3603" spans="2:2" x14ac:dyDescent="0.25">
      <c r="B3603" s="73"/>
    </row>
    <row r="3604" spans="2:2" x14ac:dyDescent="0.25">
      <c r="B3604" s="73"/>
    </row>
    <row r="3605" spans="2:2" x14ac:dyDescent="0.25">
      <c r="B3605" s="73"/>
    </row>
    <row r="3606" spans="2:2" x14ac:dyDescent="0.25">
      <c r="B3606" s="73"/>
    </row>
    <row r="3607" spans="2:2" x14ac:dyDescent="0.25">
      <c r="B3607" s="73"/>
    </row>
    <row r="3608" spans="2:2" x14ac:dyDescent="0.25">
      <c r="B3608" s="73"/>
    </row>
    <row r="3609" spans="2:2" x14ac:dyDescent="0.25">
      <c r="B3609" s="73"/>
    </row>
    <row r="3610" spans="2:2" x14ac:dyDescent="0.25">
      <c r="B3610" s="73"/>
    </row>
    <row r="3611" spans="2:2" x14ac:dyDescent="0.25">
      <c r="B3611" s="73"/>
    </row>
    <row r="3612" spans="2:2" x14ac:dyDescent="0.25">
      <c r="B3612" s="73"/>
    </row>
    <row r="3613" spans="2:2" x14ac:dyDescent="0.25">
      <c r="B3613" s="73"/>
    </row>
    <row r="3614" spans="2:2" x14ac:dyDescent="0.25">
      <c r="B3614" s="73"/>
    </row>
    <row r="3615" spans="2:2" x14ac:dyDescent="0.25">
      <c r="B3615" s="73"/>
    </row>
    <row r="3616" spans="2:2" x14ac:dyDescent="0.25">
      <c r="B3616" s="73"/>
    </row>
    <row r="3617" spans="2:2" x14ac:dyDescent="0.25">
      <c r="B3617" s="73"/>
    </row>
    <row r="3618" spans="2:2" x14ac:dyDescent="0.25">
      <c r="B3618" s="73"/>
    </row>
    <row r="3619" spans="2:2" x14ac:dyDescent="0.25">
      <c r="B3619" s="73"/>
    </row>
    <row r="3620" spans="2:2" x14ac:dyDescent="0.25">
      <c r="B3620" s="73"/>
    </row>
    <row r="3621" spans="2:2" x14ac:dyDescent="0.25">
      <c r="B3621" s="73"/>
    </row>
    <row r="3622" spans="2:2" x14ac:dyDescent="0.25">
      <c r="B3622" s="73"/>
    </row>
    <row r="3623" spans="2:2" x14ac:dyDescent="0.25">
      <c r="B3623" s="73"/>
    </row>
    <row r="3624" spans="2:2" x14ac:dyDescent="0.25">
      <c r="B3624" s="73"/>
    </row>
    <row r="3625" spans="2:2" x14ac:dyDescent="0.25">
      <c r="B3625" s="73"/>
    </row>
    <row r="3626" spans="2:2" x14ac:dyDescent="0.25">
      <c r="B3626" s="73"/>
    </row>
    <row r="3627" spans="2:2" x14ac:dyDescent="0.25">
      <c r="B3627" s="73"/>
    </row>
    <row r="3628" spans="2:2" x14ac:dyDescent="0.25">
      <c r="B3628" s="73"/>
    </row>
    <row r="3629" spans="2:2" x14ac:dyDescent="0.25">
      <c r="B3629" s="73"/>
    </row>
    <row r="3630" spans="2:2" x14ac:dyDescent="0.25">
      <c r="B3630" s="73"/>
    </row>
    <row r="3631" spans="2:2" x14ac:dyDescent="0.25">
      <c r="B3631" s="73"/>
    </row>
    <row r="3632" spans="2:2" x14ac:dyDescent="0.25">
      <c r="B3632" s="73"/>
    </row>
    <row r="3633" spans="2:2" x14ac:dyDescent="0.25">
      <c r="B3633" s="73"/>
    </row>
    <row r="3634" spans="2:2" x14ac:dyDescent="0.25">
      <c r="B3634" s="73"/>
    </row>
    <row r="3635" spans="2:2" x14ac:dyDescent="0.25">
      <c r="B3635" s="73"/>
    </row>
    <row r="3636" spans="2:2" x14ac:dyDescent="0.25">
      <c r="B3636" s="73"/>
    </row>
    <row r="3637" spans="2:2" x14ac:dyDescent="0.25">
      <c r="B3637" s="73"/>
    </row>
    <row r="3638" spans="2:2" x14ac:dyDescent="0.25">
      <c r="B3638" s="73"/>
    </row>
    <row r="3639" spans="2:2" x14ac:dyDescent="0.25">
      <c r="B3639" s="73"/>
    </row>
    <row r="3640" spans="2:2" x14ac:dyDescent="0.25">
      <c r="B3640" s="73"/>
    </row>
    <row r="3641" spans="2:2" x14ac:dyDescent="0.25">
      <c r="B3641" s="73"/>
    </row>
    <row r="3642" spans="2:2" x14ac:dyDescent="0.25">
      <c r="B3642" s="73"/>
    </row>
    <row r="3643" spans="2:2" x14ac:dyDescent="0.25">
      <c r="B3643" s="73"/>
    </row>
    <row r="3644" spans="2:2" x14ac:dyDescent="0.25">
      <c r="B3644" s="73"/>
    </row>
    <row r="3645" spans="2:2" x14ac:dyDescent="0.25">
      <c r="B3645" s="73"/>
    </row>
    <row r="3646" spans="2:2" x14ac:dyDescent="0.25">
      <c r="B3646" s="73"/>
    </row>
    <row r="3647" spans="2:2" x14ac:dyDescent="0.25">
      <c r="B3647" s="73"/>
    </row>
    <row r="3648" spans="2:2" x14ac:dyDescent="0.25">
      <c r="B3648" s="73"/>
    </row>
    <row r="3649" spans="2:2" x14ac:dyDescent="0.25">
      <c r="B3649" s="73"/>
    </row>
    <row r="3650" spans="2:2" x14ac:dyDescent="0.25">
      <c r="B3650" s="73"/>
    </row>
    <row r="3651" spans="2:2" x14ac:dyDescent="0.25">
      <c r="B3651" s="73"/>
    </row>
    <row r="3652" spans="2:2" x14ac:dyDescent="0.25">
      <c r="B3652" s="73"/>
    </row>
    <row r="3653" spans="2:2" x14ac:dyDescent="0.25">
      <c r="B3653" s="73"/>
    </row>
    <row r="3654" spans="2:2" x14ac:dyDescent="0.25">
      <c r="B3654" s="73"/>
    </row>
    <row r="3655" spans="2:2" x14ac:dyDescent="0.25">
      <c r="B3655" s="73"/>
    </row>
    <row r="3656" spans="2:2" x14ac:dyDescent="0.25">
      <c r="B3656" s="73"/>
    </row>
    <row r="3657" spans="2:2" x14ac:dyDescent="0.25">
      <c r="B3657" s="73"/>
    </row>
    <row r="3658" spans="2:2" x14ac:dyDescent="0.25">
      <c r="B3658" s="73"/>
    </row>
    <row r="3659" spans="2:2" x14ac:dyDescent="0.25">
      <c r="B3659" s="73"/>
    </row>
    <row r="3660" spans="2:2" x14ac:dyDescent="0.25">
      <c r="B3660" s="73"/>
    </row>
    <row r="3661" spans="2:2" x14ac:dyDescent="0.25">
      <c r="B3661" s="73"/>
    </row>
    <row r="3662" spans="2:2" x14ac:dyDescent="0.25">
      <c r="B3662" s="73"/>
    </row>
    <row r="3663" spans="2:2" x14ac:dyDescent="0.25">
      <c r="B3663" s="73"/>
    </row>
    <row r="3664" spans="2:2" x14ac:dyDescent="0.25">
      <c r="B3664" s="73"/>
    </row>
    <row r="3665" spans="2:2" x14ac:dyDescent="0.25">
      <c r="B3665" s="73"/>
    </row>
    <row r="3666" spans="2:2" x14ac:dyDescent="0.25">
      <c r="B3666" s="73"/>
    </row>
    <row r="3667" spans="2:2" x14ac:dyDescent="0.25">
      <c r="B3667" s="73"/>
    </row>
    <row r="3668" spans="2:2" x14ac:dyDescent="0.25">
      <c r="B3668" s="73"/>
    </row>
    <row r="3669" spans="2:2" x14ac:dyDescent="0.25">
      <c r="B3669" s="73"/>
    </row>
    <row r="3670" spans="2:2" x14ac:dyDescent="0.25">
      <c r="B3670" s="73"/>
    </row>
    <row r="3671" spans="2:2" x14ac:dyDescent="0.25">
      <c r="B3671" s="73"/>
    </row>
    <row r="3672" spans="2:2" x14ac:dyDescent="0.25">
      <c r="B3672" s="73"/>
    </row>
    <row r="3673" spans="2:2" x14ac:dyDescent="0.25">
      <c r="B3673" s="73"/>
    </row>
    <row r="3674" spans="2:2" x14ac:dyDescent="0.25">
      <c r="B3674" s="73"/>
    </row>
    <row r="3675" spans="2:2" x14ac:dyDescent="0.25">
      <c r="B3675" s="73"/>
    </row>
    <row r="3676" spans="2:2" x14ac:dyDescent="0.25">
      <c r="B3676" s="73"/>
    </row>
    <row r="3677" spans="2:2" x14ac:dyDescent="0.25">
      <c r="B3677" s="73"/>
    </row>
    <row r="3678" spans="2:2" x14ac:dyDescent="0.25">
      <c r="B3678" s="73"/>
    </row>
    <row r="3679" spans="2:2" x14ac:dyDescent="0.25">
      <c r="B3679" s="73"/>
    </row>
    <row r="3680" spans="2:2" x14ac:dyDescent="0.25">
      <c r="B3680" s="73"/>
    </row>
    <row r="3681" spans="2:2" x14ac:dyDescent="0.25">
      <c r="B3681" s="73"/>
    </row>
    <row r="3682" spans="2:2" x14ac:dyDescent="0.25">
      <c r="B3682" s="73"/>
    </row>
    <row r="3683" spans="2:2" x14ac:dyDescent="0.25">
      <c r="B3683" s="73"/>
    </row>
    <row r="3684" spans="2:2" x14ac:dyDescent="0.25">
      <c r="B3684" s="73"/>
    </row>
    <row r="3685" spans="2:2" x14ac:dyDescent="0.25">
      <c r="B3685" s="73"/>
    </row>
    <row r="3686" spans="2:2" x14ac:dyDescent="0.25">
      <c r="B3686" s="73"/>
    </row>
    <row r="3687" spans="2:2" x14ac:dyDescent="0.25">
      <c r="B3687" s="73"/>
    </row>
    <row r="3688" spans="2:2" x14ac:dyDescent="0.25">
      <c r="B3688" s="73"/>
    </row>
    <row r="3689" spans="2:2" x14ac:dyDescent="0.25">
      <c r="B3689" s="73"/>
    </row>
    <row r="3690" spans="2:2" x14ac:dyDescent="0.25">
      <c r="B3690" s="73"/>
    </row>
    <row r="3691" spans="2:2" x14ac:dyDescent="0.25">
      <c r="B3691" s="73"/>
    </row>
    <row r="3692" spans="2:2" x14ac:dyDescent="0.25">
      <c r="B3692" s="73"/>
    </row>
    <row r="3693" spans="2:2" x14ac:dyDescent="0.25">
      <c r="B3693" s="73"/>
    </row>
    <row r="3694" spans="2:2" x14ac:dyDescent="0.25">
      <c r="B3694" s="73"/>
    </row>
    <row r="3695" spans="2:2" x14ac:dyDescent="0.25">
      <c r="B3695" s="73"/>
    </row>
    <row r="3696" spans="2:2" x14ac:dyDescent="0.25">
      <c r="B3696" s="73"/>
    </row>
    <row r="3697" spans="2:2" x14ac:dyDescent="0.25">
      <c r="B3697" s="73"/>
    </row>
    <row r="3698" spans="2:2" x14ac:dyDescent="0.25">
      <c r="B3698" s="73"/>
    </row>
    <row r="3699" spans="2:2" x14ac:dyDescent="0.25">
      <c r="B3699" s="73"/>
    </row>
    <row r="3700" spans="2:2" x14ac:dyDescent="0.25">
      <c r="B3700" s="73"/>
    </row>
    <row r="3701" spans="2:2" x14ac:dyDescent="0.25">
      <c r="B3701" s="73"/>
    </row>
    <row r="3702" spans="2:2" x14ac:dyDescent="0.25">
      <c r="B3702" s="73"/>
    </row>
    <row r="3703" spans="2:2" x14ac:dyDescent="0.25">
      <c r="B3703" s="73"/>
    </row>
    <row r="3704" spans="2:2" x14ac:dyDescent="0.25">
      <c r="B3704" s="73"/>
    </row>
    <row r="3705" spans="2:2" x14ac:dyDescent="0.25">
      <c r="B3705" s="73"/>
    </row>
    <row r="3706" spans="2:2" x14ac:dyDescent="0.25">
      <c r="B3706" s="73"/>
    </row>
    <row r="3707" spans="2:2" x14ac:dyDescent="0.25">
      <c r="B3707" s="73"/>
    </row>
    <row r="3708" spans="2:2" x14ac:dyDescent="0.25">
      <c r="B3708" s="73"/>
    </row>
    <row r="3709" spans="2:2" x14ac:dyDescent="0.25">
      <c r="B3709" s="73"/>
    </row>
    <row r="3710" spans="2:2" x14ac:dyDescent="0.25">
      <c r="B3710" s="73"/>
    </row>
    <row r="3711" spans="2:2" x14ac:dyDescent="0.25">
      <c r="B3711" s="73"/>
    </row>
    <row r="3712" spans="2:2" x14ac:dyDescent="0.25">
      <c r="B3712" s="73"/>
    </row>
    <row r="3713" spans="2:2" x14ac:dyDescent="0.25">
      <c r="B3713" s="73"/>
    </row>
    <row r="3714" spans="2:2" x14ac:dyDescent="0.25">
      <c r="B3714" s="73"/>
    </row>
    <row r="3715" spans="2:2" x14ac:dyDescent="0.25">
      <c r="B3715" s="73"/>
    </row>
    <row r="3716" spans="2:2" x14ac:dyDescent="0.25">
      <c r="B3716" s="73"/>
    </row>
    <row r="3717" spans="2:2" x14ac:dyDescent="0.25">
      <c r="B3717" s="73"/>
    </row>
    <row r="3718" spans="2:2" x14ac:dyDescent="0.25">
      <c r="B3718" s="73"/>
    </row>
    <row r="3719" spans="2:2" x14ac:dyDescent="0.25">
      <c r="B3719" s="73"/>
    </row>
    <row r="3720" spans="2:2" x14ac:dyDescent="0.25">
      <c r="B3720" s="73"/>
    </row>
    <row r="3721" spans="2:2" x14ac:dyDescent="0.25">
      <c r="B3721" s="73"/>
    </row>
    <row r="3722" spans="2:2" x14ac:dyDescent="0.25">
      <c r="B3722" s="73"/>
    </row>
    <row r="3723" spans="2:2" x14ac:dyDescent="0.25">
      <c r="B3723" s="73"/>
    </row>
    <row r="3724" spans="2:2" x14ac:dyDescent="0.25">
      <c r="B3724" s="73"/>
    </row>
    <row r="3725" spans="2:2" x14ac:dyDescent="0.25">
      <c r="B3725" s="73"/>
    </row>
    <row r="3726" spans="2:2" x14ac:dyDescent="0.25">
      <c r="B3726" s="73"/>
    </row>
    <row r="3727" spans="2:2" x14ac:dyDescent="0.25">
      <c r="B3727" s="73"/>
    </row>
    <row r="3728" spans="2:2" x14ac:dyDescent="0.25">
      <c r="B3728" s="73"/>
    </row>
    <row r="3729" spans="2:2" x14ac:dyDescent="0.25">
      <c r="B3729" s="73"/>
    </row>
    <row r="3730" spans="2:2" x14ac:dyDescent="0.25">
      <c r="B3730" s="73"/>
    </row>
    <row r="3731" spans="2:2" x14ac:dyDescent="0.25">
      <c r="B3731" s="73"/>
    </row>
    <row r="3732" spans="2:2" x14ac:dyDescent="0.25">
      <c r="B3732" s="73"/>
    </row>
    <row r="3733" spans="2:2" x14ac:dyDescent="0.25">
      <c r="B3733" s="73"/>
    </row>
    <row r="3734" spans="2:2" x14ac:dyDescent="0.25">
      <c r="B3734" s="73"/>
    </row>
    <row r="3735" spans="2:2" x14ac:dyDescent="0.25">
      <c r="B3735" s="73"/>
    </row>
    <row r="3736" spans="2:2" x14ac:dyDescent="0.25">
      <c r="B3736" s="73"/>
    </row>
    <row r="3737" spans="2:2" x14ac:dyDescent="0.25">
      <c r="B3737" s="73"/>
    </row>
    <row r="3738" spans="2:2" x14ac:dyDescent="0.25">
      <c r="B3738" s="73"/>
    </row>
    <row r="3739" spans="2:2" x14ac:dyDescent="0.25">
      <c r="B3739" s="73"/>
    </row>
    <row r="3740" spans="2:2" x14ac:dyDescent="0.25">
      <c r="B3740" s="73"/>
    </row>
    <row r="3741" spans="2:2" x14ac:dyDescent="0.25">
      <c r="B3741" s="73"/>
    </row>
    <row r="3742" spans="2:2" x14ac:dyDescent="0.25">
      <c r="B3742" s="73"/>
    </row>
    <row r="3743" spans="2:2" x14ac:dyDescent="0.25">
      <c r="B3743" s="73"/>
    </row>
    <row r="3744" spans="2:2" x14ac:dyDescent="0.25">
      <c r="B3744" s="73"/>
    </row>
    <row r="3745" spans="2:2" x14ac:dyDescent="0.25">
      <c r="B3745" s="73"/>
    </row>
    <row r="3746" spans="2:2" x14ac:dyDescent="0.25">
      <c r="B3746" s="73"/>
    </row>
    <row r="3747" spans="2:2" x14ac:dyDescent="0.25">
      <c r="B3747" s="73"/>
    </row>
    <row r="3748" spans="2:2" x14ac:dyDescent="0.25">
      <c r="B3748" s="73"/>
    </row>
    <row r="3749" spans="2:2" x14ac:dyDescent="0.25">
      <c r="B3749" s="73"/>
    </row>
    <row r="3750" spans="2:2" x14ac:dyDescent="0.25">
      <c r="B3750" s="73"/>
    </row>
    <row r="3751" spans="2:2" x14ac:dyDescent="0.25">
      <c r="B3751" s="73"/>
    </row>
    <row r="3752" spans="2:2" x14ac:dyDescent="0.25">
      <c r="B3752" s="73"/>
    </row>
    <row r="3753" spans="2:2" x14ac:dyDescent="0.25">
      <c r="B3753" s="73"/>
    </row>
    <row r="3754" spans="2:2" x14ac:dyDescent="0.25">
      <c r="B3754" s="73"/>
    </row>
    <row r="3755" spans="2:2" x14ac:dyDescent="0.25">
      <c r="B3755" s="73"/>
    </row>
    <row r="3756" spans="2:2" x14ac:dyDescent="0.25">
      <c r="B3756" s="73"/>
    </row>
    <row r="3757" spans="2:2" x14ac:dyDescent="0.25">
      <c r="B3757" s="73"/>
    </row>
    <row r="3758" spans="2:2" x14ac:dyDescent="0.25">
      <c r="B3758" s="73"/>
    </row>
    <row r="3759" spans="2:2" x14ac:dyDescent="0.25">
      <c r="B3759" s="73"/>
    </row>
    <row r="3760" spans="2:2" x14ac:dyDescent="0.25">
      <c r="B3760" s="73"/>
    </row>
    <row r="3761" spans="2:2" x14ac:dyDescent="0.25">
      <c r="B3761" s="73"/>
    </row>
    <row r="3762" spans="2:2" x14ac:dyDescent="0.25">
      <c r="B3762" s="73"/>
    </row>
    <row r="3763" spans="2:2" x14ac:dyDescent="0.25">
      <c r="B3763" s="73"/>
    </row>
    <row r="3764" spans="2:2" x14ac:dyDescent="0.25">
      <c r="B3764" s="73"/>
    </row>
    <row r="3765" spans="2:2" x14ac:dyDescent="0.25">
      <c r="B3765" s="73"/>
    </row>
    <row r="3766" spans="2:2" x14ac:dyDescent="0.25">
      <c r="B3766" s="73"/>
    </row>
    <row r="3767" spans="2:2" x14ac:dyDescent="0.25">
      <c r="B3767" s="73"/>
    </row>
    <row r="3768" spans="2:2" x14ac:dyDescent="0.25">
      <c r="B3768" s="73"/>
    </row>
    <row r="3769" spans="2:2" x14ac:dyDescent="0.25">
      <c r="B3769" s="73"/>
    </row>
    <row r="3770" spans="2:2" x14ac:dyDescent="0.25">
      <c r="B3770" s="73"/>
    </row>
    <row r="3771" spans="2:2" x14ac:dyDescent="0.25">
      <c r="B3771" s="73"/>
    </row>
    <row r="3772" spans="2:2" x14ac:dyDescent="0.25">
      <c r="B3772" s="73"/>
    </row>
    <row r="3773" spans="2:2" x14ac:dyDescent="0.25">
      <c r="B3773" s="73"/>
    </row>
    <row r="3774" spans="2:2" x14ac:dyDescent="0.25">
      <c r="B3774" s="73"/>
    </row>
    <row r="3775" spans="2:2" x14ac:dyDescent="0.25">
      <c r="B3775" s="73"/>
    </row>
    <row r="3776" spans="2:2" x14ac:dyDescent="0.25">
      <c r="B3776" s="73"/>
    </row>
    <row r="3777" spans="2:2" x14ac:dyDescent="0.25">
      <c r="B3777" s="73"/>
    </row>
    <row r="3778" spans="2:2" x14ac:dyDescent="0.25">
      <c r="B3778" s="73"/>
    </row>
    <row r="3779" spans="2:2" x14ac:dyDescent="0.25">
      <c r="B3779" s="73"/>
    </row>
    <row r="3780" spans="2:2" x14ac:dyDescent="0.25">
      <c r="B3780" s="73"/>
    </row>
    <row r="3781" spans="2:2" x14ac:dyDescent="0.25">
      <c r="B3781" s="73"/>
    </row>
    <row r="3782" spans="2:2" x14ac:dyDescent="0.25">
      <c r="B3782" s="73"/>
    </row>
    <row r="3783" spans="2:2" x14ac:dyDescent="0.25">
      <c r="B3783" s="73"/>
    </row>
    <row r="3784" spans="2:2" x14ac:dyDescent="0.25">
      <c r="B3784" s="73"/>
    </row>
    <row r="3785" spans="2:2" x14ac:dyDescent="0.25">
      <c r="B3785" s="73"/>
    </row>
    <row r="3786" spans="2:2" x14ac:dyDescent="0.25">
      <c r="B3786" s="73"/>
    </row>
    <row r="3787" spans="2:2" x14ac:dyDescent="0.25">
      <c r="B3787" s="73"/>
    </row>
    <row r="3788" spans="2:2" x14ac:dyDescent="0.25">
      <c r="B3788" s="73"/>
    </row>
    <row r="3789" spans="2:2" x14ac:dyDescent="0.25">
      <c r="B3789" s="73"/>
    </row>
    <row r="3790" spans="2:2" x14ac:dyDescent="0.25">
      <c r="B3790" s="73"/>
    </row>
    <row r="3791" spans="2:2" x14ac:dyDescent="0.25">
      <c r="B3791" s="73"/>
    </row>
    <row r="3792" spans="2:2" x14ac:dyDescent="0.25">
      <c r="B3792" s="73"/>
    </row>
    <row r="3793" spans="2:2" x14ac:dyDescent="0.25">
      <c r="B3793" s="73"/>
    </row>
    <row r="3794" spans="2:2" x14ac:dyDescent="0.25">
      <c r="B3794" s="73"/>
    </row>
    <row r="3795" spans="2:2" x14ac:dyDescent="0.25">
      <c r="B3795" s="73"/>
    </row>
    <row r="3796" spans="2:2" x14ac:dyDescent="0.25">
      <c r="B3796" s="73"/>
    </row>
    <row r="3797" spans="2:2" x14ac:dyDescent="0.25">
      <c r="B3797" s="73"/>
    </row>
    <row r="3798" spans="2:2" x14ac:dyDescent="0.25">
      <c r="B3798" s="73"/>
    </row>
    <row r="3799" spans="2:2" x14ac:dyDescent="0.25">
      <c r="B3799" s="73"/>
    </row>
    <row r="3800" spans="2:2" x14ac:dyDescent="0.25">
      <c r="B3800" s="73"/>
    </row>
    <row r="3801" spans="2:2" x14ac:dyDescent="0.25">
      <c r="B3801" s="73"/>
    </row>
    <row r="3802" spans="2:2" x14ac:dyDescent="0.25">
      <c r="B3802" s="73"/>
    </row>
    <row r="3803" spans="2:2" x14ac:dyDescent="0.25">
      <c r="B3803" s="73"/>
    </row>
    <row r="3804" spans="2:2" x14ac:dyDescent="0.25">
      <c r="B3804" s="73"/>
    </row>
    <row r="3805" spans="2:2" x14ac:dyDescent="0.25">
      <c r="B3805" s="73"/>
    </row>
    <row r="3806" spans="2:2" x14ac:dyDescent="0.25">
      <c r="B3806" s="73"/>
    </row>
    <row r="3807" spans="2:2" x14ac:dyDescent="0.25">
      <c r="B3807" s="73"/>
    </row>
    <row r="3808" spans="2:2" x14ac:dyDescent="0.25">
      <c r="B3808" s="73"/>
    </row>
    <row r="3809" spans="2:2" x14ac:dyDescent="0.25">
      <c r="B3809" s="73"/>
    </row>
    <row r="3810" spans="2:2" x14ac:dyDescent="0.25">
      <c r="B3810" s="73"/>
    </row>
    <row r="3811" spans="2:2" x14ac:dyDescent="0.25">
      <c r="B3811" s="73"/>
    </row>
    <row r="3812" spans="2:2" x14ac:dyDescent="0.25">
      <c r="B3812" s="73"/>
    </row>
    <row r="3813" spans="2:2" x14ac:dyDescent="0.25">
      <c r="B3813" s="73"/>
    </row>
    <row r="3814" spans="2:2" x14ac:dyDescent="0.25">
      <c r="B3814" s="73"/>
    </row>
    <row r="3815" spans="2:2" x14ac:dyDescent="0.25">
      <c r="B3815" s="73"/>
    </row>
    <row r="3816" spans="2:2" x14ac:dyDescent="0.25">
      <c r="B3816" s="73"/>
    </row>
    <row r="3817" spans="2:2" x14ac:dyDescent="0.25">
      <c r="B3817" s="73"/>
    </row>
    <row r="3818" spans="2:2" x14ac:dyDescent="0.25">
      <c r="B3818" s="73"/>
    </row>
    <row r="3819" spans="2:2" x14ac:dyDescent="0.25">
      <c r="B3819" s="73"/>
    </row>
    <row r="3820" spans="2:2" x14ac:dyDescent="0.25">
      <c r="B3820" s="73"/>
    </row>
    <row r="3821" spans="2:2" x14ac:dyDescent="0.25">
      <c r="B3821" s="73"/>
    </row>
    <row r="3822" spans="2:2" x14ac:dyDescent="0.25">
      <c r="B3822" s="73"/>
    </row>
    <row r="3823" spans="2:2" x14ac:dyDescent="0.25">
      <c r="B3823" s="73"/>
    </row>
    <row r="3824" spans="2:2" x14ac:dyDescent="0.25">
      <c r="B3824" s="73"/>
    </row>
    <row r="3825" spans="2:2" x14ac:dyDescent="0.25">
      <c r="B3825" s="73"/>
    </row>
    <row r="3826" spans="2:2" x14ac:dyDescent="0.25">
      <c r="B3826" s="73"/>
    </row>
    <row r="3827" spans="2:2" x14ac:dyDescent="0.25">
      <c r="B3827" s="73"/>
    </row>
    <row r="3828" spans="2:2" x14ac:dyDescent="0.25">
      <c r="B3828" s="73"/>
    </row>
    <row r="3829" spans="2:2" x14ac:dyDescent="0.25">
      <c r="B3829" s="73"/>
    </row>
    <row r="3830" spans="2:2" x14ac:dyDescent="0.25">
      <c r="B3830" s="73"/>
    </row>
    <row r="3831" spans="2:2" x14ac:dyDescent="0.25">
      <c r="B3831" s="73"/>
    </row>
    <row r="3832" spans="2:2" x14ac:dyDescent="0.25">
      <c r="B3832" s="73"/>
    </row>
    <row r="3833" spans="2:2" x14ac:dyDescent="0.25">
      <c r="B3833" s="73"/>
    </row>
    <row r="3834" spans="2:2" x14ac:dyDescent="0.25">
      <c r="B3834" s="73"/>
    </row>
    <row r="3835" spans="2:2" x14ac:dyDescent="0.25">
      <c r="B3835" s="73"/>
    </row>
    <row r="3836" spans="2:2" x14ac:dyDescent="0.25">
      <c r="B3836" s="73"/>
    </row>
    <row r="3837" spans="2:2" x14ac:dyDescent="0.25">
      <c r="B3837" s="73"/>
    </row>
    <row r="3838" spans="2:2" x14ac:dyDescent="0.25">
      <c r="B3838" s="73"/>
    </row>
    <row r="3839" spans="2:2" x14ac:dyDescent="0.25">
      <c r="B3839" s="73"/>
    </row>
    <row r="3840" spans="2:2" x14ac:dyDescent="0.25">
      <c r="B3840" s="73"/>
    </row>
    <row r="3841" spans="2:2" x14ac:dyDescent="0.25">
      <c r="B3841" s="73"/>
    </row>
    <row r="3842" spans="2:2" x14ac:dyDescent="0.25">
      <c r="B3842" s="73"/>
    </row>
    <row r="3843" spans="2:2" x14ac:dyDescent="0.25">
      <c r="B3843" s="73"/>
    </row>
    <row r="3844" spans="2:2" x14ac:dyDescent="0.25">
      <c r="B3844" s="73"/>
    </row>
    <row r="3845" spans="2:2" x14ac:dyDescent="0.25">
      <c r="B3845" s="73"/>
    </row>
    <row r="3846" spans="2:2" x14ac:dyDescent="0.25">
      <c r="B3846" s="73"/>
    </row>
    <row r="3847" spans="2:2" x14ac:dyDescent="0.25">
      <c r="B3847" s="73"/>
    </row>
    <row r="3848" spans="2:2" x14ac:dyDescent="0.25">
      <c r="B3848" s="73"/>
    </row>
    <row r="3849" spans="2:2" x14ac:dyDescent="0.25">
      <c r="B3849" s="73"/>
    </row>
    <row r="3850" spans="2:2" x14ac:dyDescent="0.25">
      <c r="B3850" s="73"/>
    </row>
    <row r="3851" spans="2:2" x14ac:dyDescent="0.25">
      <c r="B3851" s="73"/>
    </row>
    <row r="3852" spans="2:2" x14ac:dyDescent="0.25">
      <c r="B3852" s="73"/>
    </row>
    <row r="3853" spans="2:2" x14ac:dyDescent="0.25">
      <c r="B3853" s="73"/>
    </row>
    <row r="3854" spans="2:2" x14ac:dyDescent="0.25">
      <c r="B3854" s="73"/>
    </row>
    <row r="3855" spans="2:2" x14ac:dyDescent="0.25">
      <c r="B3855" s="73"/>
    </row>
    <row r="3856" spans="2:2" x14ac:dyDescent="0.25">
      <c r="B3856" s="73"/>
    </row>
    <row r="3857" spans="2:2" x14ac:dyDescent="0.25">
      <c r="B3857" s="73"/>
    </row>
    <row r="3858" spans="2:2" x14ac:dyDescent="0.25">
      <c r="B3858" s="73"/>
    </row>
    <row r="3859" spans="2:2" x14ac:dyDescent="0.25">
      <c r="B3859" s="73"/>
    </row>
    <row r="3860" spans="2:2" x14ac:dyDescent="0.25">
      <c r="B3860" s="73"/>
    </row>
    <row r="3861" spans="2:2" x14ac:dyDescent="0.25">
      <c r="B3861" s="73"/>
    </row>
    <row r="3862" spans="2:2" x14ac:dyDescent="0.25">
      <c r="B3862" s="73"/>
    </row>
    <row r="3863" spans="2:2" x14ac:dyDescent="0.25">
      <c r="B3863" s="73"/>
    </row>
    <row r="3864" spans="2:2" x14ac:dyDescent="0.25">
      <c r="B3864" s="73"/>
    </row>
    <row r="3865" spans="2:2" x14ac:dyDescent="0.25">
      <c r="B3865" s="73"/>
    </row>
    <row r="3866" spans="2:2" x14ac:dyDescent="0.25">
      <c r="B3866" s="73"/>
    </row>
    <row r="3867" spans="2:2" x14ac:dyDescent="0.25">
      <c r="B3867" s="73"/>
    </row>
    <row r="3868" spans="2:2" x14ac:dyDescent="0.25">
      <c r="B3868" s="73"/>
    </row>
    <row r="3869" spans="2:2" x14ac:dyDescent="0.25">
      <c r="B3869" s="73"/>
    </row>
    <row r="3870" spans="2:2" x14ac:dyDescent="0.25">
      <c r="B3870" s="73"/>
    </row>
    <row r="3871" spans="2:2" x14ac:dyDescent="0.25">
      <c r="B3871" s="73"/>
    </row>
    <row r="3872" spans="2:2" x14ac:dyDescent="0.25">
      <c r="B3872" s="73"/>
    </row>
    <row r="3873" spans="2:2" x14ac:dyDescent="0.25">
      <c r="B3873" s="73"/>
    </row>
    <row r="3874" spans="2:2" x14ac:dyDescent="0.25">
      <c r="B3874" s="73"/>
    </row>
    <row r="3875" spans="2:2" x14ac:dyDescent="0.25">
      <c r="B3875" s="73"/>
    </row>
    <row r="3876" spans="2:2" x14ac:dyDescent="0.25">
      <c r="B3876" s="73"/>
    </row>
    <row r="3877" spans="2:2" x14ac:dyDescent="0.25">
      <c r="B3877" s="73"/>
    </row>
    <row r="3878" spans="2:2" x14ac:dyDescent="0.25">
      <c r="B3878" s="73"/>
    </row>
    <row r="3879" spans="2:2" x14ac:dyDescent="0.25">
      <c r="B3879" s="73"/>
    </row>
    <row r="3880" spans="2:2" x14ac:dyDescent="0.25">
      <c r="B3880" s="73"/>
    </row>
    <row r="3881" spans="2:2" x14ac:dyDescent="0.25">
      <c r="B3881" s="73"/>
    </row>
    <row r="3882" spans="2:2" x14ac:dyDescent="0.25">
      <c r="B3882" s="73"/>
    </row>
    <row r="3883" spans="2:2" x14ac:dyDescent="0.25">
      <c r="B3883" s="73"/>
    </row>
    <row r="3884" spans="2:2" x14ac:dyDescent="0.25">
      <c r="B3884" s="73"/>
    </row>
    <row r="3885" spans="2:2" x14ac:dyDescent="0.25">
      <c r="B3885" s="73"/>
    </row>
    <row r="3886" spans="2:2" x14ac:dyDescent="0.25">
      <c r="B3886" s="73"/>
    </row>
    <row r="3887" spans="2:2" x14ac:dyDescent="0.25">
      <c r="B3887" s="73"/>
    </row>
    <row r="3888" spans="2:2" x14ac:dyDescent="0.25">
      <c r="B3888" s="73"/>
    </row>
    <row r="3889" spans="2:2" x14ac:dyDescent="0.25">
      <c r="B3889" s="73"/>
    </row>
    <row r="3890" spans="2:2" x14ac:dyDescent="0.25">
      <c r="B3890" s="73"/>
    </row>
    <row r="3891" spans="2:2" x14ac:dyDescent="0.25">
      <c r="B3891" s="73"/>
    </row>
    <row r="3892" spans="2:2" x14ac:dyDescent="0.25">
      <c r="B3892" s="73"/>
    </row>
    <row r="3893" spans="2:2" x14ac:dyDescent="0.25">
      <c r="B3893" s="73"/>
    </row>
    <row r="3894" spans="2:2" x14ac:dyDescent="0.25">
      <c r="B3894" s="73"/>
    </row>
    <row r="3895" spans="2:2" x14ac:dyDescent="0.25">
      <c r="B3895" s="73"/>
    </row>
    <row r="3896" spans="2:2" x14ac:dyDescent="0.25">
      <c r="B3896" s="73"/>
    </row>
    <row r="3897" spans="2:2" x14ac:dyDescent="0.25">
      <c r="B3897" s="73"/>
    </row>
    <row r="3898" spans="2:2" x14ac:dyDescent="0.25">
      <c r="B3898" s="73"/>
    </row>
    <row r="3899" spans="2:2" x14ac:dyDescent="0.25">
      <c r="B3899" s="73"/>
    </row>
    <row r="3900" spans="2:2" x14ac:dyDescent="0.25">
      <c r="B3900" s="73"/>
    </row>
    <row r="3901" spans="2:2" x14ac:dyDescent="0.25">
      <c r="B3901" s="73"/>
    </row>
    <row r="3902" spans="2:2" x14ac:dyDescent="0.25">
      <c r="B3902" s="73"/>
    </row>
    <row r="3903" spans="2:2" x14ac:dyDescent="0.25">
      <c r="B3903" s="73"/>
    </row>
    <row r="3904" spans="2:2" x14ac:dyDescent="0.25">
      <c r="B3904" s="73"/>
    </row>
    <row r="3905" spans="2:2" x14ac:dyDescent="0.25">
      <c r="B3905" s="73"/>
    </row>
    <row r="3906" spans="2:2" x14ac:dyDescent="0.25">
      <c r="B3906" s="73"/>
    </row>
    <row r="3907" spans="2:2" x14ac:dyDescent="0.25">
      <c r="B3907" s="73"/>
    </row>
    <row r="3908" spans="2:2" x14ac:dyDescent="0.25">
      <c r="B3908" s="73"/>
    </row>
    <row r="3909" spans="2:2" x14ac:dyDescent="0.25">
      <c r="B3909" s="73"/>
    </row>
    <row r="3910" spans="2:2" x14ac:dyDescent="0.25">
      <c r="B3910" s="73"/>
    </row>
    <row r="3911" spans="2:2" x14ac:dyDescent="0.25">
      <c r="B3911" s="73"/>
    </row>
    <row r="3912" spans="2:2" x14ac:dyDescent="0.25">
      <c r="B3912" s="73"/>
    </row>
    <row r="3913" spans="2:2" x14ac:dyDescent="0.25">
      <c r="B3913" s="73"/>
    </row>
    <row r="3914" spans="2:2" x14ac:dyDescent="0.25">
      <c r="B3914" s="73"/>
    </row>
    <row r="3915" spans="2:2" x14ac:dyDescent="0.25">
      <c r="B3915" s="73"/>
    </row>
    <row r="3916" spans="2:2" x14ac:dyDescent="0.25">
      <c r="B3916" s="73"/>
    </row>
    <row r="3917" spans="2:2" x14ac:dyDescent="0.25">
      <c r="B3917" s="73"/>
    </row>
    <row r="3918" spans="2:2" x14ac:dyDescent="0.25">
      <c r="B3918" s="73"/>
    </row>
    <row r="3919" spans="2:2" x14ac:dyDescent="0.25">
      <c r="B3919" s="73"/>
    </row>
    <row r="3920" spans="2:2" x14ac:dyDescent="0.25">
      <c r="B3920" s="73"/>
    </row>
    <row r="3921" spans="2:2" x14ac:dyDescent="0.25">
      <c r="B3921" s="73"/>
    </row>
    <row r="3922" spans="2:2" x14ac:dyDescent="0.25">
      <c r="B3922" s="73"/>
    </row>
    <row r="3923" spans="2:2" x14ac:dyDescent="0.25">
      <c r="B3923" s="73"/>
    </row>
    <row r="3924" spans="2:2" x14ac:dyDescent="0.25">
      <c r="B3924" s="73"/>
    </row>
    <row r="3925" spans="2:2" x14ac:dyDescent="0.25">
      <c r="B3925" s="73"/>
    </row>
    <row r="3926" spans="2:2" x14ac:dyDescent="0.25">
      <c r="B3926" s="73"/>
    </row>
    <row r="3927" spans="2:2" x14ac:dyDescent="0.25">
      <c r="B3927" s="73"/>
    </row>
    <row r="3928" spans="2:2" x14ac:dyDescent="0.25">
      <c r="B3928" s="73"/>
    </row>
    <row r="3929" spans="2:2" x14ac:dyDescent="0.25">
      <c r="B3929" s="73"/>
    </row>
    <row r="3930" spans="2:2" x14ac:dyDescent="0.25">
      <c r="B3930" s="73"/>
    </row>
    <row r="3931" spans="2:2" x14ac:dyDescent="0.25">
      <c r="B3931" s="73"/>
    </row>
    <row r="3932" spans="2:2" x14ac:dyDescent="0.25">
      <c r="B3932" s="73"/>
    </row>
    <row r="3933" spans="2:2" x14ac:dyDescent="0.25">
      <c r="B3933" s="73"/>
    </row>
    <row r="3934" spans="2:2" x14ac:dyDescent="0.25">
      <c r="B3934" s="73"/>
    </row>
    <row r="3935" spans="2:2" x14ac:dyDescent="0.25">
      <c r="B3935" s="73"/>
    </row>
    <row r="3936" spans="2:2" x14ac:dyDescent="0.25">
      <c r="B3936" s="73"/>
    </row>
    <row r="3937" spans="2:2" x14ac:dyDescent="0.25">
      <c r="B3937" s="73"/>
    </row>
    <row r="3938" spans="2:2" x14ac:dyDescent="0.25">
      <c r="B3938" s="73"/>
    </row>
    <row r="3939" spans="2:2" x14ac:dyDescent="0.25">
      <c r="B3939" s="73"/>
    </row>
    <row r="3940" spans="2:2" x14ac:dyDescent="0.25">
      <c r="B3940" s="73"/>
    </row>
    <row r="3941" spans="2:2" x14ac:dyDescent="0.25">
      <c r="B3941" s="73"/>
    </row>
    <row r="3942" spans="2:2" x14ac:dyDescent="0.25">
      <c r="B3942" s="73"/>
    </row>
    <row r="3943" spans="2:2" x14ac:dyDescent="0.25">
      <c r="B3943" s="73"/>
    </row>
    <row r="3944" spans="2:2" x14ac:dyDescent="0.25">
      <c r="B3944" s="73"/>
    </row>
    <row r="3945" spans="2:2" x14ac:dyDescent="0.25">
      <c r="B3945" s="73"/>
    </row>
    <row r="3946" spans="2:2" x14ac:dyDescent="0.25">
      <c r="B3946" s="73"/>
    </row>
    <row r="3947" spans="2:2" x14ac:dyDescent="0.25">
      <c r="B3947" s="73"/>
    </row>
    <row r="3948" spans="2:2" x14ac:dyDescent="0.25">
      <c r="B3948" s="73"/>
    </row>
    <row r="3949" spans="2:2" x14ac:dyDescent="0.25">
      <c r="B3949" s="73"/>
    </row>
    <row r="3950" spans="2:2" x14ac:dyDescent="0.25">
      <c r="B3950" s="73"/>
    </row>
    <row r="3951" spans="2:2" x14ac:dyDescent="0.25">
      <c r="B3951" s="73"/>
    </row>
    <row r="3952" spans="2:2" x14ac:dyDescent="0.25">
      <c r="B3952" s="73"/>
    </row>
    <row r="3953" spans="2:2" x14ac:dyDescent="0.25">
      <c r="B3953" s="73"/>
    </row>
    <row r="3954" spans="2:2" x14ac:dyDescent="0.25">
      <c r="B3954" s="73"/>
    </row>
    <row r="3955" spans="2:2" x14ac:dyDescent="0.25">
      <c r="B3955" s="73"/>
    </row>
    <row r="3956" spans="2:2" x14ac:dyDescent="0.25">
      <c r="B3956" s="73"/>
    </row>
    <row r="3957" spans="2:2" x14ac:dyDescent="0.25">
      <c r="B3957" s="73"/>
    </row>
    <row r="3958" spans="2:2" x14ac:dyDescent="0.25">
      <c r="B3958" s="73"/>
    </row>
    <row r="3959" spans="2:2" x14ac:dyDescent="0.25">
      <c r="B3959" s="73"/>
    </row>
    <row r="3960" spans="2:2" x14ac:dyDescent="0.25">
      <c r="B3960" s="73"/>
    </row>
    <row r="3961" spans="2:2" x14ac:dyDescent="0.25">
      <c r="B3961" s="73"/>
    </row>
    <row r="3962" spans="2:2" x14ac:dyDescent="0.25">
      <c r="B3962" s="73"/>
    </row>
    <row r="3963" spans="2:2" x14ac:dyDescent="0.25">
      <c r="B3963" s="73"/>
    </row>
    <row r="3964" spans="2:2" x14ac:dyDescent="0.25">
      <c r="B3964" s="73"/>
    </row>
    <row r="3965" spans="2:2" x14ac:dyDescent="0.25">
      <c r="B3965" s="73"/>
    </row>
    <row r="3966" spans="2:2" x14ac:dyDescent="0.25">
      <c r="B3966" s="73"/>
    </row>
    <row r="3967" spans="2:2" x14ac:dyDescent="0.25">
      <c r="B3967" s="73"/>
    </row>
    <row r="3968" spans="2:2" x14ac:dyDescent="0.25">
      <c r="B3968" s="73"/>
    </row>
    <row r="3969" spans="2:2" x14ac:dyDescent="0.25">
      <c r="B3969" s="73"/>
    </row>
    <row r="3970" spans="2:2" x14ac:dyDescent="0.25">
      <c r="B3970" s="73"/>
    </row>
    <row r="3971" spans="2:2" x14ac:dyDescent="0.25">
      <c r="B3971" s="73"/>
    </row>
    <row r="3972" spans="2:2" x14ac:dyDescent="0.25">
      <c r="B3972" s="73"/>
    </row>
    <row r="3973" spans="2:2" x14ac:dyDescent="0.25">
      <c r="B3973" s="73"/>
    </row>
    <row r="3974" spans="2:2" x14ac:dyDescent="0.25">
      <c r="B3974" s="73"/>
    </row>
    <row r="3975" spans="2:2" x14ac:dyDescent="0.25">
      <c r="B3975" s="73"/>
    </row>
    <row r="3976" spans="2:2" x14ac:dyDescent="0.25">
      <c r="B3976" s="73"/>
    </row>
    <row r="3977" spans="2:2" x14ac:dyDescent="0.25">
      <c r="B3977" s="73"/>
    </row>
    <row r="3978" spans="2:2" x14ac:dyDescent="0.25">
      <c r="B3978" s="73"/>
    </row>
    <row r="3979" spans="2:2" x14ac:dyDescent="0.25">
      <c r="B3979" s="73"/>
    </row>
    <row r="3980" spans="2:2" x14ac:dyDescent="0.25">
      <c r="B3980" s="73"/>
    </row>
    <row r="3981" spans="2:2" x14ac:dyDescent="0.25">
      <c r="B3981" s="73"/>
    </row>
    <row r="3982" spans="2:2" x14ac:dyDescent="0.25">
      <c r="B3982" s="73"/>
    </row>
    <row r="3983" spans="2:2" x14ac:dyDescent="0.25">
      <c r="B3983" s="73"/>
    </row>
    <row r="3984" spans="2:2" x14ac:dyDescent="0.25">
      <c r="B3984" s="73"/>
    </row>
    <row r="3985" spans="2:2" x14ac:dyDescent="0.25">
      <c r="B3985" s="73"/>
    </row>
    <row r="3986" spans="2:2" x14ac:dyDescent="0.25">
      <c r="B3986" s="73"/>
    </row>
    <row r="3987" spans="2:2" x14ac:dyDescent="0.25">
      <c r="B3987" s="73"/>
    </row>
    <row r="3988" spans="2:2" x14ac:dyDescent="0.25">
      <c r="B3988" s="73"/>
    </row>
    <row r="3989" spans="2:2" x14ac:dyDescent="0.25">
      <c r="B3989" s="73"/>
    </row>
    <row r="3990" spans="2:2" x14ac:dyDescent="0.25">
      <c r="B3990" s="73"/>
    </row>
    <row r="3991" spans="2:2" x14ac:dyDescent="0.25">
      <c r="B3991" s="73"/>
    </row>
    <row r="3992" spans="2:2" x14ac:dyDescent="0.25">
      <c r="B3992" s="73"/>
    </row>
    <row r="3993" spans="2:2" x14ac:dyDescent="0.25">
      <c r="B3993" s="73"/>
    </row>
    <row r="3994" spans="2:2" x14ac:dyDescent="0.25">
      <c r="B3994" s="73"/>
    </row>
    <row r="3995" spans="2:2" x14ac:dyDescent="0.25">
      <c r="B3995" s="73"/>
    </row>
    <row r="3996" spans="2:2" x14ac:dyDescent="0.25">
      <c r="B3996" s="73"/>
    </row>
    <row r="3997" spans="2:2" x14ac:dyDescent="0.25">
      <c r="B3997" s="73"/>
    </row>
    <row r="3998" spans="2:2" x14ac:dyDescent="0.25">
      <c r="B3998" s="73"/>
    </row>
    <row r="3999" spans="2:2" x14ac:dyDescent="0.25">
      <c r="B3999" s="73"/>
    </row>
    <row r="4000" spans="2:2" x14ac:dyDescent="0.25">
      <c r="B4000" s="73"/>
    </row>
    <row r="4001" spans="2:2" x14ac:dyDescent="0.25">
      <c r="B4001" s="73"/>
    </row>
    <row r="4002" spans="2:2" x14ac:dyDescent="0.25">
      <c r="B4002" s="73"/>
    </row>
    <row r="4003" spans="2:2" x14ac:dyDescent="0.25">
      <c r="B4003" s="73"/>
    </row>
    <row r="4004" spans="2:2" x14ac:dyDescent="0.25">
      <c r="B4004" s="73"/>
    </row>
    <row r="4005" spans="2:2" x14ac:dyDescent="0.25">
      <c r="B4005" s="73"/>
    </row>
    <row r="4006" spans="2:2" x14ac:dyDescent="0.25">
      <c r="B4006" s="73"/>
    </row>
    <row r="4007" spans="2:2" x14ac:dyDescent="0.25">
      <c r="B4007" s="73"/>
    </row>
    <row r="4008" spans="2:2" x14ac:dyDescent="0.25">
      <c r="B4008" s="73"/>
    </row>
    <row r="4009" spans="2:2" x14ac:dyDescent="0.25">
      <c r="B4009" s="73"/>
    </row>
    <row r="4010" spans="2:2" x14ac:dyDescent="0.25">
      <c r="B4010" s="73"/>
    </row>
    <row r="4011" spans="2:2" x14ac:dyDescent="0.25">
      <c r="B4011" s="73"/>
    </row>
    <row r="4012" spans="2:2" x14ac:dyDescent="0.25">
      <c r="B4012" s="73"/>
    </row>
    <row r="4013" spans="2:2" x14ac:dyDescent="0.25">
      <c r="B4013" s="73"/>
    </row>
    <row r="4014" spans="2:2" x14ac:dyDescent="0.25">
      <c r="B4014" s="73"/>
    </row>
    <row r="4015" spans="2:2" x14ac:dyDescent="0.25">
      <c r="B4015" s="73"/>
    </row>
    <row r="4016" spans="2:2" x14ac:dyDescent="0.25">
      <c r="B4016" s="73"/>
    </row>
    <row r="4017" spans="2:2" x14ac:dyDescent="0.25">
      <c r="B4017" s="73"/>
    </row>
    <row r="4018" spans="2:2" x14ac:dyDescent="0.25">
      <c r="B4018" s="73"/>
    </row>
    <row r="4019" spans="2:2" x14ac:dyDescent="0.25">
      <c r="B4019" s="73"/>
    </row>
    <row r="4020" spans="2:2" x14ac:dyDescent="0.25">
      <c r="B4020" s="73"/>
    </row>
    <row r="4021" spans="2:2" x14ac:dyDescent="0.25">
      <c r="B4021" s="73"/>
    </row>
    <row r="4022" spans="2:2" x14ac:dyDescent="0.25">
      <c r="B4022" s="73"/>
    </row>
    <row r="4023" spans="2:2" x14ac:dyDescent="0.25">
      <c r="B4023" s="73"/>
    </row>
    <row r="4024" spans="2:2" x14ac:dyDescent="0.25">
      <c r="B4024" s="73"/>
    </row>
    <row r="4025" spans="2:2" x14ac:dyDescent="0.25">
      <c r="B4025" s="73"/>
    </row>
    <row r="4026" spans="2:2" x14ac:dyDescent="0.25">
      <c r="B4026" s="73"/>
    </row>
    <row r="4027" spans="2:2" x14ac:dyDescent="0.25">
      <c r="B4027" s="73"/>
    </row>
    <row r="4028" spans="2:2" x14ac:dyDescent="0.25">
      <c r="B4028" s="73"/>
    </row>
    <row r="4029" spans="2:2" x14ac:dyDescent="0.25">
      <c r="B4029" s="73"/>
    </row>
    <row r="4030" spans="2:2" x14ac:dyDescent="0.25">
      <c r="B4030" s="73"/>
    </row>
    <row r="4031" spans="2:2" x14ac:dyDescent="0.25">
      <c r="B4031" s="73"/>
    </row>
    <row r="4032" spans="2:2" x14ac:dyDescent="0.25">
      <c r="B4032" s="73"/>
    </row>
    <row r="4033" spans="2:2" x14ac:dyDescent="0.25">
      <c r="B4033" s="73"/>
    </row>
    <row r="4034" spans="2:2" x14ac:dyDescent="0.25">
      <c r="B4034" s="73"/>
    </row>
    <row r="4035" spans="2:2" x14ac:dyDescent="0.25">
      <c r="B4035" s="73"/>
    </row>
    <row r="4036" spans="2:2" x14ac:dyDescent="0.25">
      <c r="B4036" s="73"/>
    </row>
    <row r="4037" spans="2:2" x14ac:dyDescent="0.25">
      <c r="B4037" s="73"/>
    </row>
    <row r="4038" spans="2:2" x14ac:dyDescent="0.25">
      <c r="B4038" s="73"/>
    </row>
    <row r="4039" spans="2:2" x14ac:dyDescent="0.25">
      <c r="B4039" s="73"/>
    </row>
    <row r="4040" spans="2:2" x14ac:dyDescent="0.25">
      <c r="B4040" s="73"/>
    </row>
    <row r="4041" spans="2:2" x14ac:dyDescent="0.25">
      <c r="B4041" s="73"/>
    </row>
    <row r="4042" spans="2:2" x14ac:dyDescent="0.25">
      <c r="B4042" s="73"/>
    </row>
    <row r="4043" spans="2:2" x14ac:dyDescent="0.25">
      <c r="B4043" s="73"/>
    </row>
    <row r="4044" spans="2:2" x14ac:dyDescent="0.25">
      <c r="B4044" s="73"/>
    </row>
    <row r="4045" spans="2:2" x14ac:dyDescent="0.25">
      <c r="B4045" s="73"/>
    </row>
    <row r="4046" spans="2:2" x14ac:dyDescent="0.25">
      <c r="B4046" s="73"/>
    </row>
    <row r="4047" spans="2:2" x14ac:dyDescent="0.25">
      <c r="B4047" s="73"/>
    </row>
    <row r="4048" spans="2:2" x14ac:dyDescent="0.25">
      <c r="B4048" s="73"/>
    </row>
    <row r="4049" spans="2:2" x14ac:dyDescent="0.25">
      <c r="B4049" s="73"/>
    </row>
    <row r="4050" spans="2:2" x14ac:dyDescent="0.25">
      <c r="B4050" s="73"/>
    </row>
    <row r="4051" spans="2:2" x14ac:dyDescent="0.25">
      <c r="B4051" s="73"/>
    </row>
    <row r="4052" spans="2:2" x14ac:dyDescent="0.25">
      <c r="B4052" s="73"/>
    </row>
    <row r="4053" spans="2:2" x14ac:dyDescent="0.25">
      <c r="B4053" s="73"/>
    </row>
    <row r="4054" spans="2:2" x14ac:dyDescent="0.25">
      <c r="B4054" s="73"/>
    </row>
    <row r="4055" spans="2:2" x14ac:dyDescent="0.25">
      <c r="B4055" s="73"/>
    </row>
    <row r="4056" spans="2:2" x14ac:dyDescent="0.25">
      <c r="B4056" s="73"/>
    </row>
    <row r="4057" spans="2:2" x14ac:dyDescent="0.25">
      <c r="B4057" s="73"/>
    </row>
    <row r="4058" spans="2:2" x14ac:dyDescent="0.25">
      <c r="B4058" s="73"/>
    </row>
    <row r="4059" spans="2:2" x14ac:dyDescent="0.25">
      <c r="B4059" s="73"/>
    </row>
    <row r="4060" spans="2:2" x14ac:dyDescent="0.25">
      <c r="B4060" s="73"/>
    </row>
    <row r="4061" spans="2:2" x14ac:dyDescent="0.25">
      <c r="B4061" s="73"/>
    </row>
    <row r="4062" spans="2:2" x14ac:dyDescent="0.25">
      <c r="B4062" s="73"/>
    </row>
    <row r="4063" spans="2:2" x14ac:dyDescent="0.25">
      <c r="B4063" s="73"/>
    </row>
    <row r="4064" spans="2:2" x14ac:dyDescent="0.25">
      <c r="B4064" s="73"/>
    </row>
    <row r="4065" spans="2:2" x14ac:dyDescent="0.25">
      <c r="B4065" s="73"/>
    </row>
    <row r="4066" spans="2:2" x14ac:dyDescent="0.25">
      <c r="B4066" s="73"/>
    </row>
    <row r="4067" spans="2:2" x14ac:dyDescent="0.25">
      <c r="B4067" s="73"/>
    </row>
    <row r="4068" spans="2:2" x14ac:dyDescent="0.25">
      <c r="B4068" s="73"/>
    </row>
    <row r="4069" spans="2:2" x14ac:dyDescent="0.25">
      <c r="B4069" s="73"/>
    </row>
    <row r="4070" spans="2:2" x14ac:dyDescent="0.25">
      <c r="B4070" s="73"/>
    </row>
    <row r="4071" spans="2:2" x14ac:dyDescent="0.25">
      <c r="B4071" s="73"/>
    </row>
    <row r="4072" spans="2:2" x14ac:dyDescent="0.25">
      <c r="B4072" s="73"/>
    </row>
    <row r="4073" spans="2:2" x14ac:dyDescent="0.25">
      <c r="B4073" s="73"/>
    </row>
    <row r="4074" spans="2:2" x14ac:dyDescent="0.25">
      <c r="B4074" s="73"/>
    </row>
    <row r="4075" spans="2:2" x14ac:dyDescent="0.25">
      <c r="B4075" s="73"/>
    </row>
    <row r="4076" spans="2:2" x14ac:dyDescent="0.25">
      <c r="B4076" s="73"/>
    </row>
    <row r="4077" spans="2:2" x14ac:dyDescent="0.25">
      <c r="B4077" s="73"/>
    </row>
    <row r="4078" spans="2:2" x14ac:dyDescent="0.25">
      <c r="B4078" s="73"/>
    </row>
    <row r="4079" spans="2:2" x14ac:dyDescent="0.25">
      <c r="B4079" s="73"/>
    </row>
    <row r="4080" spans="2:2" x14ac:dyDescent="0.25">
      <c r="B4080" s="73"/>
    </row>
    <row r="4081" spans="2:2" x14ac:dyDescent="0.25">
      <c r="B4081" s="73"/>
    </row>
    <row r="4082" spans="2:2" x14ac:dyDescent="0.25">
      <c r="B4082" s="73"/>
    </row>
    <row r="4083" spans="2:2" x14ac:dyDescent="0.25">
      <c r="B4083" s="73"/>
    </row>
    <row r="4084" spans="2:2" x14ac:dyDescent="0.25">
      <c r="B4084" s="73"/>
    </row>
    <row r="4085" spans="2:2" x14ac:dyDescent="0.25">
      <c r="B4085" s="73"/>
    </row>
    <row r="4086" spans="2:2" x14ac:dyDescent="0.25">
      <c r="B4086" s="73"/>
    </row>
    <row r="4087" spans="2:2" x14ac:dyDescent="0.25">
      <c r="B4087" s="73"/>
    </row>
    <row r="4088" spans="2:2" x14ac:dyDescent="0.25">
      <c r="B4088" s="73"/>
    </row>
    <row r="4089" spans="2:2" x14ac:dyDescent="0.25">
      <c r="B4089" s="73"/>
    </row>
    <row r="4090" spans="2:2" x14ac:dyDescent="0.25">
      <c r="B4090" s="73"/>
    </row>
    <row r="4091" spans="2:2" x14ac:dyDescent="0.25">
      <c r="B4091" s="73"/>
    </row>
    <row r="4092" spans="2:2" x14ac:dyDescent="0.25">
      <c r="B4092" s="73"/>
    </row>
    <row r="4093" spans="2:2" x14ac:dyDescent="0.25">
      <c r="B4093" s="73"/>
    </row>
    <row r="4094" spans="2:2" x14ac:dyDescent="0.25">
      <c r="B4094" s="73"/>
    </row>
    <row r="4095" spans="2:2" x14ac:dyDescent="0.25">
      <c r="B4095" s="73"/>
    </row>
    <row r="4096" spans="2:2" x14ac:dyDescent="0.25">
      <c r="B4096" s="73"/>
    </row>
    <row r="4097" spans="2:2" x14ac:dyDescent="0.25">
      <c r="B4097" s="73"/>
    </row>
    <row r="4098" spans="2:2" x14ac:dyDescent="0.25">
      <c r="B4098" s="73"/>
    </row>
    <row r="4099" spans="2:2" x14ac:dyDescent="0.25">
      <c r="B4099" s="73"/>
    </row>
    <row r="4100" spans="2:2" x14ac:dyDescent="0.25">
      <c r="B4100" s="73"/>
    </row>
    <row r="4101" spans="2:2" x14ac:dyDescent="0.25">
      <c r="B4101" s="73"/>
    </row>
    <row r="4102" spans="2:2" x14ac:dyDescent="0.25">
      <c r="B4102" s="73"/>
    </row>
    <row r="4103" spans="2:2" x14ac:dyDescent="0.25">
      <c r="B4103" s="73"/>
    </row>
    <row r="4104" spans="2:2" x14ac:dyDescent="0.25">
      <c r="B4104" s="73"/>
    </row>
    <row r="4105" spans="2:2" x14ac:dyDescent="0.25">
      <c r="B4105" s="73"/>
    </row>
    <row r="4106" spans="2:2" x14ac:dyDescent="0.25">
      <c r="B4106" s="73"/>
    </row>
    <row r="4107" spans="2:2" x14ac:dyDescent="0.25">
      <c r="B4107" s="73"/>
    </row>
    <row r="4108" spans="2:2" x14ac:dyDescent="0.25">
      <c r="B4108" s="73"/>
    </row>
    <row r="4109" spans="2:2" x14ac:dyDescent="0.25">
      <c r="B4109" s="73"/>
    </row>
    <row r="4110" spans="2:2" x14ac:dyDescent="0.25">
      <c r="B4110" s="73"/>
    </row>
    <row r="4111" spans="2:2" x14ac:dyDescent="0.25">
      <c r="B4111" s="73"/>
    </row>
    <row r="4112" spans="2:2" x14ac:dyDescent="0.25">
      <c r="B4112" s="73"/>
    </row>
    <row r="4113" spans="2:2" x14ac:dyDescent="0.25">
      <c r="B4113" s="73"/>
    </row>
    <row r="4114" spans="2:2" x14ac:dyDescent="0.25">
      <c r="B4114" s="73"/>
    </row>
    <row r="4115" spans="2:2" x14ac:dyDescent="0.25">
      <c r="B4115" s="73"/>
    </row>
    <row r="4116" spans="2:2" x14ac:dyDescent="0.25">
      <c r="B4116" s="73"/>
    </row>
    <row r="4117" spans="2:2" x14ac:dyDescent="0.25">
      <c r="B4117" s="73"/>
    </row>
    <row r="4118" spans="2:2" x14ac:dyDescent="0.25">
      <c r="B4118" s="73"/>
    </row>
    <row r="4119" spans="2:2" x14ac:dyDescent="0.25">
      <c r="B4119" s="73"/>
    </row>
    <row r="4120" spans="2:2" x14ac:dyDescent="0.25">
      <c r="B4120" s="73"/>
    </row>
    <row r="4121" spans="2:2" x14ac:dyDescent="0.25">
      <c r="B4121" s="73"/>
    </row>
    <row r="4122" spans="2:2" x14ac:dyDescent="0.25">
      <c r="B4122" s="73"/>
    </row>
    <row r="4123" spans="2:2" x14ac:dyDescent="0.25">
      <c r="B4123" s="73"/>
    </row>
    <row r="4124" spans="2:2" x14ac:dyDescent="0.25">
      <c r="B4124" s="73"/>
    </row>
    <row r="4125" spans="2:2" x14ac:dyDescent="0.25">
      <c r="B4125" s="73"/>
    </row>
    <row r="4126" spans="2:2" x14ac:dyDescent="0.25">
      <c r="B4126" s="73"/>
    </row>
    <row r="4127" spans="2:2" x14ac:dyDescent="0.25">
      <c r="B4127" s="73"/>
    </row>
    <row r="4128" spans="2:2" x14ac:dyDescent="0.25">
      <c r="B4128" s="73"/>
    </row>
    <row r="4129" spans="2:2" x14ac:dyDescent="0.25">
      <c r="B4129" s="73"/>
    </row>
    <row r="4130" spans="2:2" x14ac:dyDescent="0.25">
      <c r="B4130" s="73"/>
    </row>
    <row r="4131" spans="2:2" x14ac:dyDescent="0.25">
      <c r="B4131" s="73"/>
    </row>
    <row r="4132" spans="2:2" x14ac:dyDescent="0.25">
      <c r="B4132" s="73"/>
    </row>
    <row r="4133" spans="2:2" x14ac:dyDescent="0.25">
      <c r="B4133" s="73"/>
    </row>
    <row r="4134" spans="2:2" x14ac:dyDescent="0.25">
      <c r="B4134" s="73"/>
    </row>
    <row r="4135" spans="2:2" x14ac:dyDescent="0.25">
      <c r="B4135" s="73"/>
    </row>
    <row r="4136" spans="2:2" x14ac:dyDescent="0.25">
      <c r="B4136" s="73"/>
    </row>
    <row r="4137" spans="2:2" x14ac:dyDescent="0.25">
      <c r="B4137" s="73"/>
    </row>
    <row r="4138" spans="2:2" x14ac:dyDescent="0.25">
      <c r="B4138" s="73"/>
    </row>
    <row r="4139" spans="2:2" x14ac:dyDescent="0.25">
      <c r="B4139" s="73"/>
    </row>
    <row r="4140" spans="2:2" x14ac:dyDescent="0.25">
      <c r="B4140" s="73"/>
    </row>
    <row r="4141" spans="2:2" x14ac:dyDescent="0.25">
      <c r="B4141" s="73"/>
    </row>
    <row r="4142" spans="2:2" x14ac:dyDescent="0.25">
      <c r="B4142" s="73"/>
    </row>
    <row r="4143" spans="2:2" x14ac:dyDescent="0.25">
      <c r="B4143" s="73"/>
    </row>
    <row r="4144" spans="2:2" x14ac:dyDescent="0.25">
      <c r="B4144" s="73"/>
    </row>
    <row r="4145" spans="2:2" x14ac:dyDescent="0.25">
      <c r="B4145" s="73"/>
    </row>
    <row r="4146" spans="2:2" x14ac:dyDescent="0.25">
      <c r="B4146" s="73"/>
    </row>
    <row r="4147" spans="2:2" x14ac:dyDescent="0.25">
      <c r="B4147" s="73"/>
    </row>
    <row r="4148" spans="2:2" x14ac:dyDescent="0.25">
      <c r="B4148" s="73"/>
    </row>
    <row r="4149" spans="2:2" x14ac:dyDescent="0.25">
      <c r="B4149" s="73"/>
    </row>
    <row r="4150" spans="2:2" x14ac:dyDescent="0.25">
      <c r="B4150" s="73"/>
    </row>
    <row r="4151" spans="2:2" x14ac:dyDescent="0.25">
      <c r="B4151" s="73"/>
    </row>
    <row r="4152" spans="2:2" x14ac:dyDescent="0.25">
      <c r="B4152" s="73"/>
    </row>
    <row r="4153" spans="2:2" x14ac:dyDescent="0.25">
      <c r="B4153" s="73"/>
    </row>
    <row r="4154" spans="2:2" x14ac:dyDescent="0.25">
      <c r="B4154" s="73"/>
    </row>
    <row r="4155" spans="2:2" x14ac:dyDescent="0.25">
      <c r="B4155" s="73"/>
    </row>
    <row r="4156" spans="2:2" x14ac:dyDescent="0.25">
      <c r="B4156" s="73"/>
    </row>
    <row r="4157" spans="2:2" x14ac:dyDescent="0.25">
      <c r="B4157" s="73"/>
    </row>
    <row r="4158" spans="2:2" x14ac:dyDescent="0.25">
      <c r="B4158" s="73"/>
    </row>
    <row r="4159" spans="2:2" x14ac:dyDescent="0.25">
      <c r="B4159" s="73"/>
    </row>
    <row r="4160" spans="2:2" x14ac:dyDescent="0.25">
      <c r="B4160" s="73"/>
    </row>
    <row r="4161" spans="2:2" x14ac:dyDescent="0.25">
      <c r="B4161" s="73"/>
    </row>
    <row r="4162" spans="2:2" x14ac:dyDescent="0.25">
      <c r="B4162" s="73"/>
    </row>
    <row r="4163" spans="2:2" x14ac:dyDescent="0.25">
      <c r="B4163" s="73"/>
    </row>
    <row r="4164" spans="2:2" x14ac:dyDescent="0.25">
      <c r="B4164" s="73"/>
    </row>
    <row r="4165" spans="2:2" x14ac:dyDescent="0.25">
      <c r="B4165" s="73"/>
    </row>
    <row r="4166" spans="2:2" x14ac:dyDescent="0.25">
      <c r="B4166" s="73"/>
    </row>
    <row r="4167" spans="2:2" x14ac:dyDescent="0.25">
      <c r="B4167" s="73"/>
    </row>
    <row r="4168" spans="2:2" x14ac:dyDescent="0.25">
      <c r="B4168" s="73"/>
    </row>
    <row r="4169" spans="2:2" x14ac:dyDescent="0.25">
      <c r="B4169" s="73"/>
    </row>
    <row r="4170" spans="2:2" x14ac:dyDescent="0.25">
      <c r="B4170" s="73"/>
    </row>
    <row r="4171" spans="2:2" x14ac:dyDescent="0.25">
      <c r="B4171" s="73"/>
    </row>
    <row r="4172" spans="2:2" x14ac:dyDescent="0.25">
      <c r="B4172" s="73"/>
    </row>
    <row r="4173" spans="2:2" x14ac:dyDescent="0.25">
      <c r="B4173" s="73"/>
    </row>
    <row r="4174" spans="2:2" x14ac:dyDescent="0.25">
      <c r="B4174" s="73"/>
    </row>
    <row r="4175" spans="2:2" x14ac:dyDescent="0.25">
      <c r="B4175" s="73"/>
    </row>
    <row r="4176" spans="2:2" x14ac:dyDescent="0.25">
      <c r="B4176" s="73"/>
    </row>
    <row r="4177" spans="2:2" x14ac:dyDescent="0.25">
      <c r="B4177" s="73"/>
    </row>
    <row r="4178" spans="2:2" x14ac:dyDescent="0.25">
      <c r="B4178" s="73"/>
    </row>
    <row r="4179" spans="2:2" x14ac:dyDescent="0.25">
      <c r="B4179" s="73"/>
    </row>
    <row r="4180" spans="2:2" x14ac:dyDescent="0.25">
      <c r="B4180" s="73"/>
    </row>
    <row r="4181" spans="2:2" x14ac:dyDescent="0.25">
      <c r="B4181" s="73"/>
    </row>
    <row r="4182" spans="2:2" x14ac:dyDescent="0.25">
      <c r="B4182" s="73"/>
    </row>
    <row r="4183" spans="2:2" x14ac:dyDescent="0.25">
      <c r="B4183" s="73"/>
    </row>
    <row r="4184" spans="2:2" x14ac:dyDescent="0.25">
      <c r="B4184" s="73"/>
    </row>
    <row r="4185" spans="2:2" x14ac:dyDescent="0.25">
      <c r="B4185" s="73"/>
    </row>
    <row r="4186" spans="2:2" x14ac:dyDescent="0.25">
      <c r="B4186" s="73"/>
    </row>
    <row r="4187" spans="2:2" x14ac:dyDescent="0.25">
      <c r="B4187" s="73"/>
    </row>
    <row r="4188" spans="2:2" x14ac:dyDescent="0.25">
      <c r="B4188" s="73"/>
    </row>
    <row r="4189" spans="2:2" x14ac:dyDescent="0.25">
      <c r="B4189" s="73"/>
    </row>
    <row r="4190" spans="2:2" x14ac:dyDescent="0.25">
      <c r="B4190" s="73"/>
    </row>
    <row r="4191" spans="2:2" x14ac:dyDescent="0.25">
      <c r="B4191" s="73"/>
    </row>
    <row r="4192" spans="2:2" x14ac:dyDescent="0.25">
      <c r="B4192" s="73"/>
    </row>
    <row r="4193" spans="2:2" x14ac:dyDescent="0.25">
      <c r="B4193" s="73"/>
    </row>
    <row r="4194" spans="2:2" x14ac:dyDescent="0.25">
      <c r="B4194" s="73"/>
    </row>
    <row r="4195" spans="2:2" x14ac:dyDescent="0.25">
      <c r="B4195" s="73"/>
    </row>
    <row r="4196" spans="2:2" x14ac:dyDescent="0.25">
      <c r="B4196" s="73"/>
    </row>
    <row r="4197" spans="2:2" x14ac:dyDescent="0.25">
      <c r="B4197" s="73"/>
    </row>
    <row r="4198" spans="2:2" x14ac:dyDescent="0.25">
      <c r="B4198" s="73"/>
    </row>
    <row r="4199" spans="2:2" x14ac:dyDescent="0.25">
      <c r="B4199" s="73"/>
    </row>
    <row r="4200" spans="2:2" x14ac:dyDescent="0.25">
      <c r="B4200" s="73"/>
    </row>
    <row r="4201" spans="2:2" x14ac:dyDescent="0.25">
      <c r="B4201" s="73"/>
    </row>
    <row r="4202" spans="2:2" x14ac:dyDescent="0.25">
      <c r="B4202" s="73"/>
    </row>
    <row r="4203" spans="2:2" x14ac:dyDescent="0.25">
      <c r="B4203" s="73"/>
    </row>
    <row r="4204" spans="2:2" x14ac:dyDescent="0.25">
      <c r="B4204" s="73"/>
    </row>
    <row r="4205" spans="2:2" x14ac:dyDescent="0.25">
      <c r="B4205" s="73"/>
    </row>
    <row r="4206" spans="2:2" x14ac:dyDescent="0.25">
      <c r="B4206" s="73"/>
    </row>
    <row r="4207" spans="2:2" x14ac:dyDescent="0.25">
      <c r="B4207" s="73"/>
    </row>
    <row r="4208" spans="2:2" x14ac:dyDescent="0.25">
      <c r="B4208" s="73"/>
    </row>
    <row r="4209" spans="2:2" x14ac:dyDescent="0.25">
      <c r="B4209" s="73"/>
    </row>
    <row r="4210" spans="2:2" x14ac:dyDescent="0.25">
      <c r="B4210" s="73"/>
    </row>
    <row r="4211" spans="2:2" x14ac:dyDescent="0.25">
      <c r="B4211" s="73"/>
    </row>
    <row r="4212" spans="2:2" x14ac:dyDescent="0.25">
      <c r="B4212" s="73"/>
    </row>
    <row r="4213" spans="2:2" x14ac:dyDescent="0.25">
      <c r="B4213" s="73"/>
    </row>
    <row r="4214" spans="2:2" x14ac:dyDescent="0.25">
      <c r="B4214" s="73"/>
    </row>
    <row r="4215" spans="2:2" x14ac:dyDescent="0.25">
      <c r="B4215" s="73"/>
    </row>
    <row r="4216" spans="2:2" x14ac:dyDescent="0.25">
      <c r="B4216" s="73"/>
    </row>
    <row r="4217" spans="2:2" x14ac:dyDescent="0.25">
      <c r="B4217" s="73"/>
    </row>
    <row r="4218" spans="2:2" x14ac:dyDescent="0.25">
      <c r="B4218" s="73"/>
    </row>
    <row r="4219" spans="2:2" x14ac:dyDescent="0.25">
      <c r="B4219" s="73"/>
    </row>
    <row r="4220" spans="2:2" x14ac:dyDescent="0.25">
      <c r="B4220" s="73"/>
    </row>
    <row r="4221" spans="2:2" x14ac:dyDescent="0.25">
      <c r="B4221" s="73"/>
    </row>
    <row r="4222" spans="2:2" x14ac:dyDescent="0.25">
      <c r="B4222" s="73"/>
    </row>
    <row r="4223" spans="2:2" x14ac:dyDescent="0.25">
      <c r="B4223" s="73"/>
    </row>
    <row r="4224" spans="2:2" x14ac:dyDescent="0.25">
      <c r="B4224" s="73"/>
    </row>
    <row r="4225" spans="2:2" x14ac:dyDescent="0.25">
      <c r="B4225" s="73"/>
    </row>
    <row r="4226" spans="2:2" x14ac:dyDescent="0.25">
      <c r="B4226" s="73"/>
    </row>
    <row r="4227" spans="2:2" x14ac:dyDescent="0.25">
      <c r="B4227" s="73"/>
    </row>
    <row r="4228" spans="2:2" x14ac:dyDescent="0.25">
      <c r="B4228" s="73"/>
    </row>
    <row r="4229" spans="2:2" x14ac:dyDescent="0.25">
      <c r="B4229" s="73"/>
    </row>
    <row r="4230" spans="2:2" x14ac:dyDescent="0.25">
      <c r="B4230" s="73"/>
    </row>
    <row r="4231" spans="2:2" x14ac:dyDescent="0.25">
      <c r="B4231" s="73"/>
    </row>
    <row r="4232" spans="2:2" x14ac:dyDescent="0.25">
      <c r="B4232" s="73"/>
    </row>
    <row r="4233" spans="2:2" x14ac:dyDescent="0.25">
      <c r="B4233" s="73"/>
    </row>
    <row r="4234" spans="2:2" x14ac:dyDescent="0.25">
      <c r="B4234" s="73"/>
    </row>
    <row r="4235" spans="2:2" x14ac:dyDescent="0.25">
      <c r="B4235" s="73"/>
    </row>
    <row r="4236" spans="2:2" x14ac:dyDescent="0.25">
      <c r="B4236" s="73"/>
    </row>
    <row r="4237" spans="2:2" x14ac:dyDescent="0.25">
      <c r="B4237" s="73"/>
    </row>
    <row r="4238" spans="2:2" x14ac:dyDescent="0.25">
      <c r="B4238" s="73"/>
    </row>
    <row r="4239" spans="2:2" x14ac:dyDescent="0.25">
      <c r="B4239" s="73"/>
    </row>
    <row r="4240" spans="2:2" x14ac:dyDescent="0.25">
      <c r="B4240" s="73"/>
    </row>
    <row r="4241" spans="2:2" x14ac:dyDescent="0.25">
      <c r="B4241" s="73"/>
    </row>
    <row r="4242" spans="2:2" x14ac:dyDescent="0.25">
      <c r="B4242" s="73"/>
    </row>
    <row r="4243" spans="2:2" x14ac:dyDescent="0.25">
      <c r="B4243" s="73"/>
    </row>
    <row r="4244" spans="2:2" x14ac:dyDescent="0.25">
      <c r="B4244" s="73"/>
    </row>
    <row r="4245" spans="2:2" x14ac:dyDescent="0.25">
      <c r="B4245" s="73"/>
    </row>
    <row r="4246" spans="2:2" x14ac:dyDescent="0.25">
      <c r="B4246" s="73"/>
    </row>
    <row r="4247" spans="2:2" x14ac:dyDescent="0.25">
      <c r="B4247" s="73"/>
    </row>
    <row r="4248" spans="2:2" x14ac:dyDescent="0.25">
      <c r="B4248" s="73"/>
    </row>
    <row r="4249" spans="2:2" x14ac:dyDescent="0.25">
      <c r="B4249" s="73"/>
    </row>
    <row r="4250" spans="2:2" x14ac:dyDescent="0.25">
      <c r="B4250" s="73"/>
    </row>
    <row r="4251" spans="2:2" x14ac:dyDescent="0.25">
      <c r="B4251" s="73"/>
    </row>
    <row r="4252" spans="2:2" x14ac:dyDescent="0.25">
      <c r="B4252" s="73"/>
    </row>
    <row r="4253" spans="2:2" x14ac:dyDescent="0.25">
      <c r="B4253" s="73"/>
    </row>
    <row r="4254" spans="2:2" x14ac:dyDescent="0.25">
      <c r="B4254" s="73"/>
    </row>
    <row r="4255" spans="2:2" x14ac:dyDescent="0.25">
      <c r="B4255" s="73"/>
    </row>
    <row r="4256" spans="2:2" x14ac:dyDescent="0.25">
      <c r="B4256" s="73"/>
    </row>
    <row r="4257" spans="2:2" x14ac:dyDescent="0.25">
      <c r="B4257" s="73"/>
    </row>
    <row r="4258" spans="2:2" x14ac:dyDescent="0.25">
      <c r="B4258" s="73"/>
    </row>
    <row r="4259" spans="2:2" x14ac:dyDescent="0.25">
      <c r="B4259" s="73"/>
    </row>
    <row r="4260" spans="2:2" x14ac:dyDescent="0.25">
      <c r="B4260" s="73"/>
    </row>
    <row r="4261" spans="2:2" x14ac:dyDescent="0.25">
      <c r="B4261" s="73"/>
    </row>
    <row r="4262" spans="2:2" x14ac:dyDescent="0.25">
      <c r="B4262" s="73"/>
    </row>
    <row r="4263" spans="2:2" x14ac:dyDescent="0.25">
      <c r="B4263" s="73"/>
    </row>
    <row r="4264" spans="2:2" x14ac:dyDescent="0.25">
      <c r="B4264" s="73"/>
    </row>
    <row r="4265" spans="2:2" x14ac:dyDescent="0.25">
      <c r="B4265" s="73"/>
    </row>
    <row r="4266" spans="2:2" x14ac:dyDescent="0.25">
      <c r="B4266" s="73"/>
    </row>
    <row r="4267" spans="2:2" x14ac:dyDescent="0.25">
      <c r="B4267" s="73"/>
    </row>
    <row r="4268" spans="2:2" x14ac:dyDescent="0.25">
      <c r="B4268" s="73"/>
    </row>
    <row r="4269" spans="2:2" x14ac:dyDescent="0.25">
      <c r="B4269" s="73"/>
    </row>
    <row r="4270" spans="2:2" x14ac:dyDescent="0.25">
      <c r="B4270" s="73"/>
    </row>
    <row r="4271" spans="2:2" x14ac:dyDescent="0.25">
      <c r="B4271" s="73"/>
    </row>
    <row r="4272" spans="2:2" x14ac:dyDescent="0.25">
      <c r="B4272" s="73"/>
    </row>
    <row r="4273" spans="2:2" x14ac:dyDescent="0.25">
      <c r="B4273" s="73"/>
    </row>
    <row r="4274" spans="2:2" x14ac:dyDescent="0.25">
      <c r="B4274" s="73"/>
    </row>
    <row r="4275" spans="2:2" x14ac:dyDescent="0.25">
      <c r="B4275" s="73"/>
    </row>
    <row r="4276" spans="2:2" x14ac:dyDescent="0.25">
      <c r="B4276" s="73"/>
    </row>
    <row r="4277" spans="2:2" x14ac:dyDescent="0.25">
      <c r="B4277" s="73"/>
    </row>
    <row r="4278" spans="2:2" x14ac:dyDescent="0.25">
      <c r="B4278" s="73"/>
    </row>
    <row r="4279" spans="2:2" x14ac:dyDescent="0.25">
      <c r="B4279" s="73"/>
    </row>
    <row r="4280" spans="2:2" x14ac:dyDescent="0.25">
      <c r="B4280" s="73"/>
    </row>
    <row r="4281" spans="2:2" x14ac:dyDescent="0.25">
      <c r="B4281" s="73"/>
    </row>
    <row r="4282" spans="2:2" x14ac:dyDescent="0.25">
      <c r="B4282" s="73"/>
    </row>
    <row r="4283" spans="2:2" x14ac:dyDescent="0.25">
      <c r="B4283" s="73"/>
    </row>
    <row r="4284" spans="2:2" x14ac:dyDescent="0.25">
      <c r="B4284" s="73"/>
    </row>
    <row r="4285" spans="2:2" x14ac:dyDescent="0.25">
      <c r="B4285" s="73"/>
    </row>
    <row r="4286" spans="2:2" x14ac:dyDescent="0.25">
      <c r="B4286" s="73"/>
    </row>
    <row r="4287" spans="2:2" x14ac:dyDescent="0.25">
      <c r="B4287" s="73"/>
    </row>
    <row r="4288" spans="2:2" x14ac:dyDescent="0.25">
      <c r="B4288" s="73"/>
    </row>
    <row r="4289" spans="2:2" x14ac:dyDescent="0.25">
      <c r="B4289" s="73"/>
    </row>
    <row r="4290" spans="2:2" x14ac:dyDescent="0.25">
      <c r="B4290" s="73"/>
    </row>
    <row r="4291" spans="2:2" x14ac:dyDescent="0.25">
      <c r="B4291" s="73"/>
    </row>
    <row r="4292" spans="2:2" x14ac:dyDescent="0.25">
      <c r="B4292" s="73"/>
    </row>
    <row r="4293" spans="2:2" x14ac:dyDescent="0.25">
      <c r="B4293" s="73"/>
    </row>
    <row r="4294" spans="2:2" x14ac:dyDescent="0.25">
      <c r="B4294" s="73"/>
    </row>
    <row r="4295" spans="2:2" x14ac:dyDescent="0.25">
      <c r="B4295" s="73"/>
    </row>
    <row r="4296" spans="2:2" x14ac:dyDescent="0.25">
      <c r="B4296" s="73"/>
    </row>
    <row r="4297" spans="2:2" x14ac:dyDescent="0.25">
      <c r="B4297" s="73"/>
    </row>
    <row r="4298" spans="2:2" x14ac:dyDescent="0.25">
      <c r="B4298" s="73"/>
    </row>
    <row r="4299" spans="2:2" x14ac:dyDescent="0.25">
      <c r="B4299" s="73"/>
    </row>
    <row r="4300" spans="2:2" x14ac:dyDescent="0.25">
      <c r="B4300" s="73"/>
    </row>
    <row r="4301" spans="2:2" x14ac:dyDescent="0.25">
      <c r="B4301" s="73"/>
    </row>
    <row r="4302" spans="2:2" x14ac:dyDescent="0.25">
      <c r="B4302" s="73"/>
    </row>
    <row r="4303" spans="2:2" x14ac:dyDescent="0.25">
      <c r="B4303" s="73"/>
    </row>
    <row r="4304" spans="2:2" x14ac:dyDescent="0.25">
      <c r="B4304" s="73"/>
    </row>
    <row r="4305" spans="2:2" x14ac:dyDescent="0.25">
      <c r="B4305" s="73"/>
    </row>
    <row r="4306" spans="2:2" x14ac:dyDescent="0.25">
      <c r="B4306" s="73"/>
    </row>
    <row r="4307" spans="2:2" x14ac:dyDescent="0.25">
      <c r="B4307" s="73"/>
    </row>
    <row r="4308" spans="2:2" x14ac:dyDescent="0.25">
      <c r="B4308" s="73"/>
    </row>
    <row r="4309" spans="2:2" x14ac:dyDescent="0.25">
      <c r="B4309" s="73"/>
    </row>
    <row r="4310" spans="2:2" x14ac:dyDescent="0.25">
      <c r="B4310" s="73"/>
    </row>
    <row r="4311" spans="2:2" x14ac:dyDescent="0.25">
      <c r="B4311" s="73"/>
    </row>
    <row r="4312" spans="2:2" x14ac:dyDescent="0.25">
      <c r="B4312" s="73"/>
    </row>
    <row r="4313" spans="2:2" x14ac:dyDescent="0.25">
      <c r="B4313" s="73"/>
    </row>
    <row r="4314" spans="2:2" x14ac:dyDescent="0.25">
      <c r="B4314" s="73"/>
    </row>
    <row r="4315" spans="2:2" x14ac:dyDescent="0.25">
      <c r="B4315" s="73"/>
    </row>
    <row r="4316" spans="2:2" x14ac:dyDescent="0.25">
      <c r="B4316" s="73"/>
    </row>
    <row r="4317" spans="2:2" x14ac:dyDescent="0.25">
      <c r="B4317" s="73"/>
    </row>
    <row r="4318" spans="2:2" x14ac:dyDescent="0.25">
      <c r="B4318" s="73"/>
    </row>
    <row r="4319" spans="2:2" x14ac:dyDescent="0.25">
      <c r="B4319" s="73"/>
    </row>
    <row r="4320" spans="2:2" x14ac:dyDescent="0.25">
      <c r="B4320" s="73"/>
    </row>
    <row r="4321" spans="2:2" x14ac:dyDescent="0.25">
      <c r="B4321" s="73"/>
    </row>
    <row r="4322" spans="2:2" x14ac:dyDescent="0.25">
      <c r="B4322" s="73"/>
    </row>
    <row r="4323" spans="2:2" x14ac:dyDescent="0.25">
      <c r="B4323" s="73"/>
    </row>
    <row r="4324" spans="2:2" x14ac:dyDescent="0.25">
      <c r="B4324" s="73"/>
    </row>
    <row r="4325" spans="2:2" x14ac:dyDescent="0.25">
      <c r="B4325" s="73"/>
    </row>
    <row r="4326" spans="2:2" x14ac:dyDescent="0.25">
      <c r="B4326" s="73"/>
    </row>
    <row r="4327" spans="2:2" x14ac:dyDescent="0.25">
      <c r="B4327" s="73"/>
    </row>
    <row r="4328" spans="2:2" x14ac:dyDescent="0.25">
      <c r="B4328" s="73"/>
    </row>
    <row r="4329" spans="2:2" x14ac:dyDescent="0.25">
      <c r="B4329" s="73"/>
    </row>
    <row r="4330" spans="2:2" x14ac:dyDescent="0.25">
      <c r="B4330" s="73"/>
    </row>
    <row r="4331" spans="2:2" x14ac:dyDescent="0.25">
      <c r="B4331" s="73"/>
    </row>
    <row r="4332" spans="2:2" x14ac:dyDescent="0.25">
      <c r="B4332" s="73"/>
    </row>
    <row r="4333" spans="2:2" x14ac:dyDescent="0.25">
      <c r="B4333" s="73"/>
    </row>
    <row r="4334" spans="2:2" x14ac:dyDescent="0.25">
      <c r="B4334" s="73"/>
    </row>
    <row r="4335" spans="2:2" x14ac:dyDescent="0.25">
      <c r="B4335" s="73"/>
    </row>
    <row r="4336" spans="2:2" x14ac:dyDescent="0.25">
      <c r="B4336" s="73"/>
    </row>
    <row r="4337" spans="2:2" x14ac:dyDescent="0.25">
      <c r="B4337" s="73"/>
    </row>
    <row r="4338" spans="2:2" x14ac:dyDescent="0.25">
      <c r="B4338" s="73"/>
    </row>
    <row r="4339" spans="2:2" x14ac:dyDescent="0.25">
      <c r="B4339" s="73"/>
    </row>
    <row r="4340" spans="2:2" x14ac:dyDescent="0.25">
      <c r="B4340" s="73"/>
    </row>
    <row r="4341" spans="2:2" x14ac:dyDescent="0.25">
      <c r="B4341" s="73"/>
    </row>
    <row r="4342" spans="2:2" x14ac:dyDescent="0.25">
      <c r="B4342" s="73"/>
    </row>
    <row r="4343" spans="2:2" x14ac:dyDescent="0.25">
      <c r="B4343" s="73"/>
    </row>
    <row r="4344" spans="2:2" x14ac:dyDescent="0.25">
      <c r="B4344" s="73"/>
    </row>
    <row r="4345" spans="2:2" x14ac:dyDescent="0.25">
      <c r="B4345" s="73"/>
    </row>
    <row r="4346" spans="2:2" x14ac:dyDescent="0.25">
      <c r="B4346" s="73"/>
    </row>
    <row r="4347" spans="2:2" x14ac:dyDescent="0.25">
      <c r="B4347" s="73"/>
    </row>
    <row r="4348" spans="2:2" x14ac:dyDescent="0.25">
      <c r="B4348" s="73"/>
    </row>
    <row r="4349" spans="2:2" x14ac:dyDescent="0.25">
      <c r="B4349" s="73"/>
    </row>
    <row r="4350" spans="2:2" x14ac:dyDescent="0.25">
      <c r="B4350" s="73"/>
    </row>
    <row r="4351" spans="2:2" x14ac:dyDescent="0.25">
      <c r="B4351" s="73"/>
    </row>
    <row r="4352" spans="2:2" x14ac:dyDescent="0.25">
      <c r="B4352" s="73"/>
    </row>
    <row r="4353" spans="2:2" x14ac:dyDescent="0.25">
      <c r="B4353" s="73"/>
    </row>
    <row r="4354" spans="2:2" x14ac:dyDescent="0.25">
      <c r="B4354" s="73"/>
    </row>
    <row r="4355" spans="2:2" x14ac:dyDescent="0.25">
      <c r="B4355" s="73"/>
    </row>
    <row r="4356" spans="2:2" x14ac:dyDescent="0.25">
      <c r="B4356" s="73"/>
    </row>
    <row r="4357" spans="2:2" x14ac:dyDescent="0.25">
      <c r="B4357" s="73"/>
    </row>
    <row r="4358" spans="2:2" x14ac:dyDescent="0.25">
      <c r="B4358" s="73"/>
    </row>
    <row r="4359" spans="2:2" x14ac:dyDescent="0.25">
      <c r="B4359" s="73"/>
    </row>
    <row r="4360" spans="2:2" x14ac:dyDescent="0.25">
      <c r="B4360" s="73"/>
    </row>
    <row r="4361" spans="2:2" x14ac:dyDescent="0.25">
      <c r="B4361" s="73"/>
    </row>
    <row r="4362" spans="2:2" x14ac:dyDescent="0.25">
      <c r="B4362" s="73"/>
    </row>
    <row r="4363" spans="2:2" x14ac:dyDescent="0.25">
      <c r="B4363" s="73"/>
    </row>
    <row r="4364" spans="2:2" x14ac:dyDescent="0.25">
      <c r="B4364" s="73"/>
    </row>
    <row r="4365" spans="2:2" x14ac:dyDescent="0.25">
      <c r="B4365" s="73"/>
    </row>
    <row r="4366" spans="2:2" x14ac:dyDescent="0.25">
      <c r="B4366" s="73"/>
    </row>
    <row r="4367" spans="2:2" x14ac:dyDescent="0.25">
      <c r="B4367" s="73"/>
    </row>
    <row r="4368" spans="2:2" x14ac:dyDescent="0.25">
      <c r="B4368" s="73"/>
    </row>
    <row r="4369" spans="2:2" x14ac:dyDescent="0.25">
      <c r="B4369" s="73"/>
    </row>
    <row r="4370" spans="2:2" x14ac:dyDescent="0.25">
      <c r="B4370" s="73"/>
    </row>
    <row r="4371" spans="2:2" x14ac:dyDescent="0.25">
      <c r="B4371" s="73"/>
    </row>
    <row r="4372" spans="2:2" x14ac:dyDescent="0.25">
      <c r="B4372" s="73"/>
    </row>
    <row r="4373" spans="2:2" x14ac:dyDescent="0.25">
      <c r="B4373" s="73"/>
    </row>
    <row r="4374" spans="2:2" x14ac:dyDescent="0.25">
      <c r="B4374" s="73"/>
    </row>
    <row r="4375" spans="2:2" x14ac:dyDescent="0.25">
      <c r="B4375" s="73"/>
    </row>
    <row r="4376" spans="2:2" x14ac:dyDescent="0.25">
      <c r="B4376" s="73"/>
    </row>
    <row r="4377" spans="2:2" x14ac:dyDescent="0.25">
      <c r="B4377" s="73"/>
    </row>
    <row r="4378" spans="2:2" x14ac:dyDescent="0.25">
      <c r="B4378" s="73"/>
    </row>
    <row r="4379" spans="2:2" x14ac:dyDescent="0.25">
      <c r="B4379" s="73"/>
    </row>
    <row r="4380" spans="2:2" x14ac:dyDescent="0.25">
      <c r="B4380" s="73"/>
    </row>
    <row r="4381" spans="2:2" x14ac:dyDescent="0.25">
      <c r="B4381" s="73"/>
    </row>
    <row r="4382" spans="2:2" x14ac:dyDescent="0.25">
      <c r="B4382" s="73"/>
    </row>
    <row r="4383" spans="2:2" x14ac:dyDescent="0.25">
      <c r="B4383" s="73"/>
    </row>
    <row r="4384" spans="2:2" x14ac:dyDescent="0.25">
      <c r="B4384" s="73"/>
    </row>
    <row r="4385" spans="2:2" x14ac:dyDescent="0.25">
      <c r="B4385" s="73"/>
    </row>
    <row r="4386" spans="2:2" x14ac:dyDescent="0.25">
      <c r="B4386" s="73"/>
    </row>
    <row r="4387" spans="2:2" x14ac:dyDescent="0.25">
      <c r="B4387" s="73"/>
    </row>
    <row r="4388" spans="2:2" x14ac:dyDescent="0.25">
      <c r="B4388" s="73"/>
    </row>
    <row r="4389" spans="2:2" x14ac:dyDescent="0.25">
      <c r="B4389" s="73"/>
    </row>
    <row r="4390" spans="2:2" x14ac:dyDescent="0.25">
      <c r="B4390" s="73"/>
    </row>
    <row r="4391" spans="2:2" x14ac:dyDescent="0.25">
      <c r="B4391" s="73"/>
    </row>
    <row r="4392" spans="2:2" x14ac:dyDescent="0.25">
      <c r="B4392" s="73"/>
    </row>
    <row r="4393" spans="2:2" x14ac:dyDescent="0.25">
      <c r="B4393" s="73"/>
    </row>
    <row r="4394" spans="2:2" x14ac:dyDescent="0.25">
      <c r="B4394" s="73"/>
    </row>
    <row r="4395" spans="2:2" x14ac:dyDescent="0.25">
      <c r="B4395" s="73"/>
    </row>
    <row r="4396" spans="2:2" x14ac:dyDescent="0.25">
      <c r="B4396" s="73"/>
    </row>
    <row r="4397" spans="2:2" x14ac:dyDescent="0.25">
      <c r="B4397" s="73"/>
    </row>
    <row r="4398" spans="2:2" x14ac:dyDescent="0.25">
      <c r="B4398" s="73"/>
    </row>
    <row r="4399" spans="2:2" x14ac:dyDescent="0.25">
      <c r="B4399" s="73"/>
    </row>
    <row r="4400" spans="2:2" x14ac:dyDescent="0.25">
      <c r="B4400" s="73"/>
    </row>
    <row r="4401" spans="2:2" x14ac:dyDescent="0.25">
      <c r="B4401" s="73"/>
    </row>
    <row r="4402" spans="2:2" x14ac:dyDescent="0.25">
      <c r="B4402" s="73"/>
    </row>
    <row r="4403" spans="2:2" x14ac:dyDescent="0.25">
      <c r="B4403" s="73"/>
    </row>
    <row r="4404" spans="2:2" x14ac:dyDescent="0.25">
      <c r="B4404" s="73"/>
    </row>
    <row r="4405" spans="2:2" x14ac:dyDescent="0.25">
      <c r="B4405" s="73"/>
    </row>
    <row r="4406" spans="2:2" x14ac:dyDescent="0.25">
      <c r="B4406" s="73"/>
    </row>
    <row r="4407" spans="2:2" x14ac:dyDescent="0.25">
      <c r="B4407" s="73"/>
    </row>
    <row r="4408" spans="2:2" x14ac:dyDescent="0.25">
      <c r="B4408" s="73"/>
    </row>
    <row r="4409" spans="2:2" x14ac:dyDescent="0.25">
      <c r="B4409" s="73"/>
    </row>
    <row r="4410" spans="2:2" x14ac:dyDescent="0.25">
      <c r="B4410" s="73"/>
    </row>
    <row r="4411" spans="2:2" x14ac:dyDescent="0.25">
      <c r="B4411" s="73"/>
    </row>
    <row r="4412" spans="2:2" x14ac:dyDescent="0.25">
      <c r="B4412" s="73"/>
    </row>
    <row r="4413" spans="2:2" x14ac:dyDescent="0.25">
      <c r="B4413" s="73"/>
    </row>
    <row r="4414" spans="2:2" x14ac:dyDescent="0.25">
      <c r="B4414" s="73"/>
    </row>
    <row r="4415" spans="2:2" x14ac:dyDescent="0.25">
      <c r="B4415" s="73"/>
    </row>
    <row r="4416" spans="2:2" x14ac:dyDescent="0.25">
      <c r="B4416" s="73"/>
    </row>
    <row r="4417" spans="2:2" x14ac:dyDescent="0.25">
      <c r="B4417" s="73"/>
    </row>
    <row r="4418" spans="2:2" x14ac:dyDescent="0.25">
      <c r="B4418" s="73"/>
    </row>
    <row r="4419" spans="2:2" x14ac:dyDescent="0.25">
      <c r="B4419" s="73"/>
    </row>
    <row r="4420" spans="2:2" x14ac:dyDescent="0.25">
      <c r="B4420" s="73"/>
    </row>
    <row r="4421" spans="2:2" x14ac:dyDescent="0.25">
      <c r="B4421" s="73"/>
    </row>
    <row r="4422" spans="2:2" x14ac:dyDescent="0.25">
      <c r="B4422" s="73"/>
    </row>
    <row r="4423" spans="2:2" x14ac:dyDescent="0.25">
      <c r="B4423" s="73"/>
    </row>
    <row r="4424" spans="2:2" x14ac:dyDescent="0.25">
      <c r="B4424" s="73"/>
    </row>
    <row r="4425" spans="2:2" x14ac:dyDescent="0.25">
      <c r="B4425" s="73"/>
    </row>
    <row r="4426" spans="2:2" x14ac:dyDescent="0.25">
      <c r="B4426" s="73"/>
    </row>
    <row r="4427" spans="2:2" x14ac:dyDescent="0.25">
      <c r="B4427" s="73"/>
    </row>
    <row r="4428" spans="2:2" x14ac:dyDescent="0.25">
      <c r="B4428" s="73"/>
    </row>
    <row r="4429" spans="2:2" x14ac:dyDescent="0.25">
      <c r="B4429" s="73"/>
    </row>
    <row r="4430" spans="2:2" x14ac:dyDescent="0.25">
      <c r="B4430" s="73"/>
    </row>
    <row r="4431" spans="2:2" x14ac:dyDescent="0.25">
      <c r="B4431" s="73"/>
    </row>
    <row r="4432" spans="2:2" x14ac:dyDescent="0.25">
      <c r="B4432" s="73"/>
    </row>
    <row r="4433" spans="2:2" x14ac:dyDescent="0.25">
      <c r="B4433" s="73"/>
    </row>
    <row r="4434" spans="2:2" x14ac:dyDescent="0.25">
      <c r="B4434" s="73"/>
    </row>
    <row r="4435" spans="2:2" x14ac:dyDescent="0.25">
      <c r="B4435" s="73"/>
    </row>
    <row r="4436" spans="2:2" x14ac:dyDescent="0.25">
      <c r="B4436" s="73"/>
    </row>
    <row r="4437" spans="2:2" x14ac:dyDescent="0.25">
      <c r="B4437" s="73"/>
    </row>
    <row r="4438" spans="2:2" x14ac:dyDescent="0.25">
      <c r="B4438" s="73"/>
    </row>
    <row r="4439" spans="2:2" x14ac:dyDescent="0.25">
      <c r="B4439" s="73"/>
    </row>
    <row r="4440" spans="2:2" x14ac:dyDescent="0.25">
      <c r="B4440" s="73"/>
    </row>
    <row r="4441" spans="2:2" x14ac:dyDescent="0.25">
      <c r="B4441" s="73"/>
    </row>
    <row r="4442" spans="2:2" x14ac:dyDescent="0.25">
      <c r="B4442" s="73"/>
    </row>
    <row r="4443" spans="2:2" x14ac:dyDescent="0.25">
      <c r="B4443" s="73"/>
    </row>
    <row r="4444" spans="2:2" x14ac:dyDescent="0.25">
      <c r="B4444" s="73"/>
    </row>
    <row r="4445" spans="2:2" x14ac:dyDescent="0.25">
      <c r="B4445" s="73"/>
    </row>
    <row r="4446" spans="2:2" x14ac:dyDescent="0.25">
      <c r="B4446" s="73"/>
    </row>
    <row r="4447" spans="2:2" x14ac:dyDescent="0.25">
      <c r="B4447" s="73"/>
    </row>
    <row r="4448" spans="2:2" x14ac:dyDescent="0.25">
      <c r="B4448" s="73"/>
    </row>
    <row r="4449" spans="2:2" x14ac:dyDescent="0.25">
      <c r="B4449" s="73"/>
    </row>
    <row r="4450" spans="2:2" x14ac:dyDescent="0.25">
      <c r="B4450" s="73"/>
    </row>
    <row r="4451" spans="2:2" x14ac:dyDescent="0.25">
      <c r="B4451" s="73"/>
    </row>
    <row r="4452" spans="2:2" x14ac:dyDescent="0.25">
      <c r="B4452" s="73"/>
    </row>
    <row r="4453" spans="2:2" x14ac:dyDescent="0.25">
      <c r="B4453" s="73"/>
    </row>
    <row r="4454" spans="2:2" x14ac:dyDescent="0.25">
      <c r="B4454" s="73"/>
    </row>
    <row r="4455" spans="2:2" x14ac:dyDescent="0.25">
      <c r="B4455" s="73"/>
    </row>
    <row r="4456" spans="2:2" x14ac:dyDescent="0.25">
      <c r="B4456" s="73"/>
    </row>
    <row r="4457" spans="2:2" x14ac:dyDescent="0.25">
      <c r="B4457" s="73"/>
    </row>
    <row r="4458" spans="2:2" x14ac:dyDescent="0.25">
      <c r="B4458" s="73"/>
    </row>
    <row r="4459" spans="2:2" x14ac:dyDescent="0.25">
      <c r="B4459" s="73"/>
    </row>
    <row r="4460" spans="2:2" x14ac:dyDescent="0.25">
      <c r="B4460" s="73"/>
    </row>
    <row r="4461" spans="2:2" x14ac:dyDescent="0.25">
      <c r="B4461" s="73"/>
    </row>
    <row r="4462" spans="2:2" x14ac:dyDescent="0.25">
      <c r="B4462" s="73"/>
    </row>
    <row r="4463" spans="2:2" x14ac:dyDescent="0.25">
      <c r="B4463" s="73"/>
    </row>
    <row r="4464" spans="2:2" x14ac:dyDescent="0.25">
      <c r="B4464" s="73"/>
    </row>
    <row r="4465" spans="2:2" x14ac:dyDescent="0.25">
      <c r="B4465" s="73"/>
    </row>
    <row r="4466" spans="2:2" x14ac:dyDescent="0.25">
      <c r="B4466" s="73"/>
    </row>
    <row r="4467" spans="2:2" x14ac:dyDescent="0.25">
      <c r="B4467" s="73"/>
    </row>
    <row r="4468" spans="2:2" x14ac:dyDescent="0.25">
      <c r="B4468" s="73"/>
    </row>
    <row r="4469" spans="2:2" x14ac:dyDescent="0.25">
      <c r="B4469" s="73"/>
    </row>
    <row r="4470" spans="2:2" x14ac:dyDescent="0.25">
      <c r="B4470" s="73"/>
    </row>
    <row r="4471" spans="2:2" x14ac:dyDescent="0.25">
      <c r="B4471" s="73"/>
    </row>
    <row r="4472" spans="2:2" x14ac:dyDescent="0.25">
      <c r="B4472" s="73"/>
    </row>
    <row r="4473" spans="2:2" x14ac:dyDescent="0.25">
      <c r="B4473" s="73"/>
    </row>
    <row r="4474" spans="2:2" x14ac:dyDescent="0.25">
      <c r="B4474" s="73"/>
    </row>
    <row r="4475" spans="2:2" x14ac:dyDescent="0.25">
      <c r="B4475" s="73"/>
    </row>
    <row r="4476" spans="2:2" x14ac:dyDescent="0.25">
      <c r="B4476" s="73"/>
    </row>
    <row r="4477" spans="2:2" x14ac:dyDescent="0.25">
      <c r="B4477" s="73"/>
    </row>
    <row r="4478" spans="2:2" x14ac:dyDescent="0.25">
      <c r="B4478" s="73"/>
    </row>
    <row r="4479" spans="2:2" x14ac:dyDescent="0.25">
      <c r="B4479" s="73"/>
    </row>
    <row r="4480" spans="2:2" x14ac:dyDescent="0.25">
      <c r="B4480" s="73"/>
    </row>
    <row r="4481" spans="2:2" x14ac:dyDescent="0.25">
      <c r="B4481" s="73"/>
    </row>
    <row r="4482" spans="2:2" x14ac:dyDescent="0.25">
      <c r="B4482" s="73"/>
    </row>
    <row r="4483" spans="2:2" x14ac:dyDescent="0.25">
      <c r="B4483" s="73"/>
    </row>
    <row r="4484" spans="2:2" x14ac:dyDescent="0.25">
      <c r="B4484" s="73"/>
    </row>
    <row r="4485" spans="2:2" x14ac:dyDescent="0.25">
      <c r="B4485" s="73"/>
    </row>
    <row r="4486" spans="2:2" x14ac:dyDescent="0.25">
      <c r="B4486" s="73"/>
    </row>
    <row r="4487" spans="2:2" x14ac:dyDescent="0.25">
      <c r="B4487" s="73"/>
    </row>
    <row r="4488" spans="2:2" x14ac:dyDescent="0.25">
      <c r="B4488" s="73"/>
    </row>
    <row r="4489" spans="2:2" x14ac:dyDescent="0.25">
      <c r="B4489" s="73"/>
    </row>
    <row r="4490" spans="2:2" x14ac:dyDescent="0.25">
      <c r="B4490" s="73"/>
    </row>
    <row r="4491" spans="2:2" x14ac:dyDescent="0.25">
      <c r="B4491" s="73"/>
    </row>
    <row r="4492" spans="2:2" x14ac:dyDescent="0.25">
      <c r="B4492" s="73"/>
    </row>
    <row r="4493" spans="2:2" x14ac:dyDescent="0.25">
      <c r="B4493" s="73"/>
    </row>
    <row r="4494" spans="2:2" x14ac:dyDescent="0.25">
      <c r="B4494" s="73"/>
    </row>
    <row r="4495" spans="2:2" x14ac:dyDescent="0.25">
      <c r="B4495" s="73"/>
    </row>
    <row r="4496" spans="2:2" x14ac:dyDescent="0.25">
      <c r="B4496" s="73"/>
    </row>
    <row r="4497" spans="2:2" x14ac:dyDescent="0.25">
      <c r="B4497" s="73"/>
    </row>
    <row r="4498" spans="2:2" x14ac:dyDescent="0.25">
      <c r="B4498" s="73"/>
    </row>
    <row r="4499" spans="2:2" x14ac:dyDescent="0.25">
      <c r="B4499" s="73"/>
    </row>
    <row r="4500" spans="2:2" x14ac:dyDescent="0.25">
      <c r="B4500" s="73"/>
    </row>
    <row r="4501" spans="2:2" x14ac:dyDescent="0.25">
      <c r="B4501" s="73"/>
    </row>
    <row r="4502" spans="2:2" x14ac:dyDescent="0.25">
      <c r="B4502" s="73"/>
    </row>
    <row r="4503" spans="2:2" x14ac:dyDescent="0.25">
      <c r="B4503" s="73"/>
    </row>
    <row r="4504" spans="2:2" x14ac:dyDescent="0.25">
      <c r="B4504" s="73"/>
    </row>
    <row r="4505" spans="2:2" x14ac:dyDescent="0.25">
      <c r="B4505" s="73"/>
    </row>
    <row r="4506" spans="2:2" x14ac:dyDescent="0.25">
      <c r="B4506" s="73"/>
    </row>
    <row r="4507" spans="2:2" x14ac:dyDescent="0.25">
      <c r="B4507" s="73"/>
    </row>
    <row r="4508" spans="2:2" x14ac:dyDescent="0.25">
      <c r="B4508" s="73"/>
    </row>
    <row r="4509" spans="2:2" x14ac:dyDescent="0.25">
      <c r="B4509" s="73"/>
    </row>
    <row r="4510" spans="2:2" x14ac:dyDescent="0.25">
      <c r="B4510" s="73"/>
    </row>
    <row r="4511" spans="2:2" x14ac:dyDescent="0.25">
      <c r="B4511" s="73"/>
    </row>
    <row r="4512" spans="2:2" x14ac:dyDescent="0.25">
      <c r="B4512" s="73"/>
    </row>
    <row r="4513" spans="2:2" x14ac:dyDescent="0.25">
      <c r="B4513" s="73"/>
    </row>
    <row r="4514" spans="2:2" x14ac:dyDescent="0.25">
      <c r="B4514" s="73"/>
    </row>
    <row r="4515" spans="2:2" x14ac:dyDescent="0.25">
      <c r="B4515" s="73"/>
    </row>
    <row r="4516" spans="2:2" x14ac:dyDescent="0.25">
      <c r="B4516" s="73"/>
    </row>
    <row r="4517" spans="2:2" x14ac:dyDescent="0.25">
      <c r="B4517" s="73"/>
    </row>
    <row r="4518" spans="2:2" x14ac:dyDescent="0.25">
      <c r="B4518" s="73"/>
    </row>
    <row r="4519" spans="2:2" x14ac:dyDescent="0.25">
      <c r="B4519" s="73"/>
    </row>
    <row r="4520" spans="2:2" x14ac:dyDescent="0.25">
      <c r="B4520" s="73"/>
    </row>
    <row r="4521" spans="2:2" x14ac:dyDescent="0.25">
      <c r="B4521" s="73"/>
    </row>
    <row r="4522" spans="2:2" x14ac:dyDescent="0.25">
      <c r="B4522" s="73"/>
    </row>
    <row r="4523" spans="2:2" x14ac:dyDescent="0.25">
      <c r="B4523" s="73"/>
    </row>
    <row r="4524" spans="2:2" x14ac:dyDescent="0.25">
      <c r="B4524" s="73"/>
    </row>
    <row r="4525" spans="2:2" x14ac:dyDescent="0.25">
      <c r="B4525" s="73"/>
    </row>
    <row r="4526" spans="2:2" x14ac:dyDescent="0.25">
      <c r="B4526" s="73"/>
    </row>
    <row r="4527" spans="2:2" x14ac:dyDescent="0.25">
      <c r="B4527" s="73"/>
    </row>
    <row r="4528" spans="2:2" x14ac:dyDescent="0.25">
      <c r="B4528" s="73"/>
    </row>
    <row r="4529" spans="2:2" x14ac:dyDescent="0.25">
      <c r="B4529" s="73"/>
    </row>
    <row r="4530" spans="2:2" x14ac:dyDescent="0.25">
      <c r="B4530" s="73"/>
    </row>
    <row r="4531" spans="2:2" x14ac:dyDescent="0.25">
      <c r="B4531" s="73"/>
    </row>
    <row r="4532" spans="2:2" x14ac:dyDescent="0.25">
      <c r="B4532" s="73"/>
    </row>
    <row r="4533" spans="2:2" x14ac:dyDescent="0.25">
      <c r="B4533" s="73"/>
    </row>
    <row r="4534" spans="2:2" x14ac:dyDescent="0.25">
      <c r="B4534" s="73"/>
    </row>
    <row r="4535" spans="2:2" x14ac:dyDescent="0.25">
      <c r="B4535" s="73"/>
    </row>
    <row r="4536" spans="2:2" x14ac:dyDescent="0.25">
      <c r="B4536" s="73"/>
    </row>
    <row r="4537" spans="2:2" x14ac:dyDescent="0.25">
      <c r="B4537" s="73"/>
    </row>
    <row r="4538" spans="2:2" x14ac:dyDescent="0.25">
      <c r="B4538" s="73"/>
    </row>
    <row r="4539" spans="2:2" x14ac:dyDescent="0.25">
      <c r="B4539" s="73"/>
    </row>
    <row r="4540" spans="2:2" x14ac:dyDescent="0.25">
      <c r="B4540" s="73"/>
    </row>
    <row r="4541" spans="2:2" x14ac:dyDescent="0.25">
      <c r="B4541" s="73"/>
    </row>
    <row r="4542" spans="2:2" x14ac:dyDescent="0.25">
      <c r="B4542" s="73"/>
    </row>
    <row r="4543" spans="2:2" x14ac:dyDescent="0.25">
      <c r="B4543" s="73"/>
    </row>
    <row r="4544" spans="2:2" x14ac:dyDescent="0.25">
      <c r="B4544" s="73"/>
    </row>
    <row r="4545" spans="2:2" x14ac:dyDescent="0.25">
      <c r="B4545" s="73"/>
    </row>
    <row r="4546" spans="2:2" x14ac:dyDescent="0.25">
      <c r="B4546" s="73"/>
    </row>
    <row r="4547" spans="2:2" x14ac:dyDescent="0.25">
      <c r="B4547" s="73"/>
    </row>
    <row r="4548" spans="2:2" x14ac:dyDescent="0.25">
      <c r="B4548" s="73"/>
    </row>
    <row r="4549" spans="2:2" x14ac:dyDescent="0.25">
      <c r="B4549" s="73"/>
    </row>
    <row r="4550" spans="2:2" x14ac:dyDescent="0.25">
      <c r="B4550" s="73"/>
    </row>
    <row r="4551" spans="2:2" x14ac:dyDescent="0.25">
      <c r="B4551" s="73"/>
    </row>
    <row r="4552" spans="2:2" x14ac:dyDescent="0.25">
      <c r="B4552" s="73"/>
    </row>
    <row r="4553" spans="2:2" x14ac:dyDescent="0.25">
      <c r="B4553" s="73"/>
    </row>
    <row r="4554" spans="2:2" x14ac:dyDescent="0.25">
      <c r="B4554" s="73"/>
    </row>
    <row r="4555" spans="2:2" x14ac:dyDescent="0.25">
      <c r="B4555" s="73"/>
    </row>
    <row r="4556" spans="2:2" x14ac:dyDescent="0.25">
      <c r="B4556" s="73"/>
    </row>
    <row r="4557" spans="2:2" x14ac:dyDescent="0.25">
      <c r="B4557" s="73"/>
    </row>
    <row r="4558" spans="2:2" x14ac:dyDescent="0.25">
      <c r="B4558" s="73"/>
    </row>
    <row r="4559" spans="2:2" x14ac:dyDescent="0.25">
      <c r="B4559" s="73"/>
    </row>
    <row r="4560" spans="2:2" x14ac:dyDescent="0.25">
      <c r="B4560" s="73"/>
    </row>
    <row r="4561" spans="2:2" x14ac:dyDescent="0.25">
      <c r="B4561" s="73"/>
    </row>
    <row r="4562" spans="2:2" x14ac:dyDescent="0.25">
      <c r="B4562" s="73"/>
    </row>
    <row r="4563" spans="2:2" x14ac:dyDescent="0.25">
      <c r="B4563" s="73"/>
    </row>
    <row r="4564" spans="2:2" x14ac:dyDescent="0.25">
      <c r="B4564" s="73"/>
    </row>
    <row r="4565" spans="2:2" x14ac:dyDescent="0.25">
      <c r="B4565" s="73"/>
    </row>
    <row r="4566" spans="2:2" x14ac:dyDescent="0.25">
      <c r="B4566" s="73"/>
    </row>
    <row r="4567" spans="2:2" x14ac:dyDescent="0.25">
      <c r="B4567" s="73"/>
    </row>
    <row r="4568" spans="2:2" x14ac:dyDescent="0.25">
      <c r="B4568" s="73"/>
    </row>
    <row r="4569" spans="2:2" x14ac:dyDescent="0.25">
      <c r="B4569" s="73"/>
    </row>
    <row r="4570" spans="2:2" x14ac:dyDescent="0.25">
      <c r="B4570" s="73"/>
    </row>
    <row r="4571" spans="2:2" x14ac:dyDescent="0.25">
      <c r="B4571" s="73"/>
    </row>
    <row r="4572" spans="2:2" x14ac:dyDescent="0.25">
      <c r="B4572" s="73"/>
    </row>
    <row r="4573" spans="2:2" x14ac:dyDescent="0.25">
      <c r="B4573" s="73"/>
    </row>
    <row r="4574" spans="2:2" x14ac:dyDescent="0.25">
      <c r="B4574" s="73"/>
    </row>
    <row r="4575" spans="2:2" x14ac:dyDescent="0.25">
      <c r="B4575" s="73"/>
    </row>
    <row r="4576" spans="2:2" x14ac:dyDescent="0.25">
      <c r="B4576" s="73"/>
    </row>
    <row r="4577" spans="2:2" x14ac:dyDescent="0.25">
      <c r="B4577" s="73"/>
    </row>
    <row r="4578" spans="2:2" x14ac:dyDescent="0.25">
      <c r="B4578" s="73"/>
    </row>
    <row r="4579" spans="2:2" x14ac:dyDescent="0.25">
      <c r="B4579" s="73"/>
    </row>
    <row r="4580" spans="2:2" x14ac:dyDescent="0.25">
      <c r="B4580" s="73"/>
    </row>
    <row r="4581" spans="2:2" x14ac:dyDescent="0.25">
      <c r="B4581" s="73"/>
    </row>
    <row r="4582" spans="2:2" x14ac:dyDescent="0.25">
      <c r="B4582" s="73"/>
    </row>
    <row r="4583" spans="2:2" x14ac:dyDescent="0.25">
      <c r="B4583" s="73"/>
    </row>
    <row r="4584" spans="2:2" x14ac:dyDescent="0.25">
      <c r="B4584" s="73"/>
    </row>
    <row r="4585" spans="2:2" x14ac:dyDescent="0.25">
      <c r="B4585" s="73"/>
    </row>
    <row r="4586" spans="2:2" x14ac:dyDescent="0.25">
      <c r="B4586" s="73"/>
    </row>
    <row r="4587" spans="2:2" x14ac:dyDescent="0.25">
      <c r="B4587" s="73"/>
    </row>
    <row r="4588" spans="2:2" x14ac:dyDescent="0.25">
      <c r="B4588" s="73"/>
    </row>
    <row r="4589" spans="2:2" x14ac:dyDescent="0.25">
      <c r="B4589" s="73"/>
    </row>
    <row r="4590" spans="2:2" x14ac:dyDescent="0.25">
      <c r="B4590" s="73"/>
    </row>
    <row r="4591" spans="2:2" x14ac:dyDescent="0.25">
      <c r="B4591" s="73"/>
    </row>
    <row r="4592" spans="2:2" x14ac:dyDescent="0.25">
      <c r="B4592" s="73"/>
    </row>
    <row r="4593" spans="2:2" x14ac:dyDescent="0.25">
      <c r="B4593" s="73"/>
    </row>
    <row r="4594" spans="2:2" x14ac:dyDescent="0.25">
      <c r="B4594" s="73"/>
    </row>
    <row r="4595" spans="2:2" x14ac:dyDescent="0.25">
      <c r="B4595" s="73"/>
    </row>
    <row r="4596" spans="2:2" x14ac:dyDescent="0.25">
      <c r="B4596" s="73"/>
    </row>
    <row r="4597" spans="2:2" x14ac:dyDescent="0.25">
      <c r="B4597" s="73"/>
    </row>
    <row r="4598" spans="2:2" x14ac:dyDescent="0.25">
      <c r="B4598" s="73"/>
    </row>
    <row r="4599" spans="2:2" x14ac:dyDescent="0.25">
      <c r="B4599" s="73"/>
    </row>
    <row r="4600" spans="2:2" x14ac:dyDescent="0.25">
      <c r="B4600" s="73"/>
    </row>
    <row r="4601" spans="2:2" x14ac:dyDescent="0.25">
      <c r="B4601" s="73"/>
    </row>
    <row r="4602" spans="2:2" x14ac:dyDescent="0.25">
      <c r="B4602" s="73"/>
    </row>
    <row r="4603" spans="2:2" x14ac:dyDescent="0.25">
      <c r="B4603" s="73"/>
    </row>
    <row r="4604" spans="2:2" x14ac:dyDescent="0.25">
      <c r="B4604" s="73"/>
    </row>
    <row r="4605" spans="2:2" x14ac:dyDescent="0.25">
      <c r="B4605" s="73"/>
    </row>
    <row r="4606" spans="2:2" x14ac:dyDescent="0.25">
      <c r="B4606" s="73"/>
    </row>
    <row r="4607" spans="2:2" x14ac:dyDescent="0.25">
      <c r="B4607" s="73"/>
    </row>
    <row r="4608" spans="2:2" x14ac:dyDescent="0.25">
      <c r="B4608" s="73"/>
    </row>
    <row r="4609" spans="2:2" x14ac:dyDescent="0.25">
      <c r="B4609" s="73"/>
    </row>
    <row r="4610" spans="2:2" x14ac:dyDescent="0.25">
      <c r="B4610" s="73"/>
    </row>
    <row r="4611" spans="2:2" x14ac:dyDescent="0.25">
      <c r="B4611" s="73"/>
    </row>
    <row r="4612" spans="2:2" x14ac:dyDescent="0.25">
      <c r="B4612" s="73"/>
    </row>
    <row r="4613" spans="2:2" x14ac:dyDescent="0.25">
      <c r="B4613" s="73"/>
    </row>
    <row r="4614" spans="2:2" x14ac:dyDescent="0.25">
      <c r="B4614" s="73"/>
    </row>
    <row r="4615" spans="2:2" x14ac:dyDescent="0.25">
      <c r="B4615" s="73"/>
    </row>
    <row r="4616" spans="2:2" x14ac:dyDescent="0.25">
      <c r="B4616" s="73"/>
    </row>
    <row r="4617" spans="2:2" x14ac:dyDescent="0.25">
      <c r="B4617" s="73"/>
    </row>
    <row r="4618" spans="2:2" x14ac:dyDescent="0.25">
      <c r="B4618" s="73"/>
    </row>
    <row r="4619" spans="2:2" x14ac:dyDescent="0.25">
      <c r="B4619" s="73"/>
    </row>
    <row r="4620" spans="2:2" x14ac:dyDescent="0.25">
      <c r="B4620" s="73"/>
    </row>
    <row r="4621" spans="2:2" x14ac:dyDescent="0.25">
      <c r="B4621" s="73"/>
    </row>
    <row r="4622" spans="2:2" x14ac:dyDescent="0.25">
      <c r="B4622" s="73"/>
    </row>
    <row r="4623" spans="2:2" x14ac:dyDescent="0.25">
      <c r="B4623" s="73"/>
    </row>
    <row r="4624" spans="2:2" x14ac:dyDescent="0.25">
      <c r="B4624" s="73"/>
    </row>
    <row r="4625" spans="2:2" x14ac:dyDescent="0.25">
      <c r="B4625" s="73"/>
    </row>
    <row r="4626" spans="2:2" x14ac:dyDescent="0.25">
      <c r="B4626" s="73"/>
    </row>
    <row r="4627" spans="2:2" x14ac:dyDescent="0.25">
      <c r="B4627" s="73"/>
    </row>
    <row r="4628" spans="2:2" x14ac:dyDescent="0.25">
      <c r="B4628" s="73"/>
    </row>
    <row r="4629" spans="2:2" x14ac:dyDescent="0.25">
      <c r="B4629" s="73"/>
    </row>
    <row r="4630" spans="2:2" x14ac:dyDescent="0.25">
      <c r="B4630" s="73"/>
    </row>
    <row r="4631" spans="2:2" x14ac:dyDescent="0.25">
      <c r="B4631" s="73"/>
    </row>
    <row r="4632" spans="2:2" x14ac:dyDescent="0.25">
      <c r="B4632" s="73"/>
    </row>
    <row r="4633" spans="2:2" x14ac:dyDescent="0.25">
      <c r="B4633" s="73"/>
    </row>
    <row r="4634" spans="2:2" x14ac:dyDescent="0.25">
      <c r="B4634" s="73"/>
    </row>
    <row r="4635" spans="2:2" x14ac:dyDescent="0.25">
      <c r="B4635" s="73"/>
    </row>
    <row r="4636" spans="2:2" x14ac:dyDescent="0.25">
      <c r="B4636" s="73"/>
    </row>
    <row r="4637" spans="2:2" x14ac:dyDescent="0.25">
      <c r="B4637" s="73"/>
    </row>
    <row r="4638" spans="2:2" x14ac:dyDescent="0.25">
      <c r="B4638" s="73"/>
    </row>
    <row r="4639" spans="2:2" x14ac:dyDescent="0.25">
      <c r="B4639" s="73"/>
    </row>
    <row r="4640" spans="2:2" x14ac:dyDescent="0.25">
      <c r="B4640" s="73"/>
    </row>
    <row r="4641" spans="2:2" x14ac:dyDescent="0.25">
      <c r="B4641" s="73"/>
    </row>
    <row r="4642" spans="2:2" x14ac:dyDescent="0.25">
      <c r="B4642" s="73"/>
    </row>
    <row r="4643" spans="2:2" x14ac:dyDescent="0.25">
      <c r="B4643" s="73"/>
    </row>
    <row r="4644" spans="2:2" x14ac:dyDescent="0.25">
      <c r="B4644" s="73"/>
    </row>
    <row r="4645" spans="2:2" x14ac:dyDescent="0.25">
      <c r="B4645" s="73"/>
    </row>
    <row r="4646" spans="2:2" x14ac:dyDescent="0.25">
      <c r="B4646" s="73"/>
    </row>
    <row r="4647" spans="2:2" x14ac:dyDescent="0.25">
      <c r="B4647" s="73"/>
    </row>
    <row r="4648" spans="2:2" x14ac:dyDescent="0.25">
      <c r="B4648" s="73"/>
    </row>
    <row r="4649" spans="2:2" x14ac:dyDescent="0.25">
      <c r="B4649" s="73"/>
    </row>
    <row r="4650" spans="2:2" x14ac:dyDescent="0.25">
      <c r="B4650" s="73"/>
    </row>
    <row r="4651" spans="2:2" x14ac:dyDescent="0.25">
      <c r="B4651" s="73"/>
    </row>
    <row r="4652" spans="2:2" x14ac:dyDescent="0.25">
      <c r="B4652" s="73"/>
    </row>
    <row r="4653" spans="2:2" x14ac:dyDescent="0.25">
      <c r="B4653" s="73"/>
    </row>
    <row r="4654" spans="2:2" x14ac:dyDescent="0.25">
      <c r="B4654" s="73"/>
    </row>
    <row r="4655" spans="2:2" x14ac:dyDescent="0.25">
      <c r="B4655" s="73"/>
    </row>
    <row r="4656" spans="2:2" x14ac:dyDescent="0.25">
      <c r="B4656" s="73"/>
    </row>
    <row r="4657" spans="2:2" x14ac:dyDescent="0.25">
      <c r="B4657" s="73"/>
    </row>
    <row r="4658" spans="2:2" x14ac:dyDescent="0.25">
      <c r="B4658" s="73"/>
    </row>
    <row r="4659" spans="2:2" x14ac:dyDescent="0.25">
      <c r="B4659" s="73"/>
    </row>
    <row r="4660" spans="2:2" x14ac:dyDescent="0.25">
      <c r="B4660" s="73"/>
    </row>
    <row r="4661" spans="2:2" x14ac:dyDescent="0.25">
      <c r="B4661" s="73"/>
    </row>
    <row r="4662" spans="2:2" x14ac:dyDescent="0.25">
      <c r="B4662" s="73"/>
    </row>
    <row r="4663" spans="2:2" x14ac:dyDescent="0.25">
      <c r="B4663" s="73"/>
    </row>
    <row r="4664" spans="2:2" x14ac:dyDescent="0.25">
      <c r="B4664" s="73"/>
    </row>
    <row r="4665" spans="2:2" x14ac:dyDescent="0.25">
      <c r="B4665" s="73"/>
    </row>
    <row r="4666" spans="2:2" x14ac:dyDescent="0.25">
      <c r="B4666" s="73"/>
    </row>
    <row r="4667" spans="2:2" x14ac:dyDescent="0.25">
      <c r="B4667" s="73"/>
    </row>
    <row r="4668" spans="2:2" x14ac:dyDescent="0.25">
      <c r="B4668" s="73"/>
    </row>
    <row r="4669" spans="2:2" x14ac:dyDescent="0.25">
      <c r="B4669" s="73"/>
    </row>
    <row r="4670" spans="2:2" x14ac:dyDescent="0.25">
      <c r="B4670" s="73"/>
    </row>
    <row r="4671" spans="2:2" x14ac:dyDescent="0.25">
      <c r="B4671" s="73"/>
    </row>
    <row r="4672" spans="2:2" x14ac:dyDescent="0.25">
      <c r="B4672" s="73"/>
    </row>
    <row r="4673" spans="2:2" x14ac:dyDescent="0.25">
      <c r="B4673" s="73"/>
    </row>
    <row r="4674" spans="2:2" x14ac:dyDescent="0.25">
      <c r="B4674" s="73"/>
    </row>
    <row r="4675" spans="2:2" x14ac:dyDescent="0.25">
      <c r="B4675" s="73"/>
    </row>
    <row r="4676" spans="2:2" x14ac:dyDescent="0.25">
      <c r="B4676" s="73"/>
    </row>
    <row r="4677" spans="2:2" x14ac:dyDescent="0.25">
      <c r="B4677" s="73"/>
    </row>
    <row r="4678" spans="2:2" x14ac:dyDescent="0.25">
      <c r="B4678" s="73"/>
    </row>
    <row r="4679" spans="2:2" x14ac:dyDescent="0.25">
      <c r="B4679" s="73"/>
    </row>
    <row r="4680" spans="2:2" x14ac:dyDescent="0.25">
      <c r="B4680" s="73"/>
    </row>
    <row r="4681" spans="2:2" x14ac:dyDescent="0.25">
      <c r="B4681" s="73"/>
    </row>
    <row r="4682" spans="2:2" x14ac:dyDescent="0.25">
      <c r="B4682" s="73"/>
    </row>
    <row r="4683" spans="2:2" x14ac:dyDescent="0.25">
      <c r="B4683" s="73"/>
    </row>
    <row r="4684" spans="2:2" x14ac:dyDescent="0.25">
      <c r="B4684" s="73"/>
    </row>
    <row r="4685" spans="2:2" x14ac:dyDescent="0.25">
      <c r="B4685" s="73"/>
    </row>
    <row r="4686" spans="2:2" x14ac:dyDescent="0.25">
      <c r="B4686" s="73"/>
    </row>
    <row r="4687" spans="2:2" x14ac:dyDescent="0.25">
      <c r="B4687" s="73"/>
    </row>
    <row r="4688" spans="2:2" x14ac:dyDescent="0.25">
      <c r="B4688" s="73"/>
    </row>
    <row r="4689" spans="2:2" x14ac:dyDescent="0.25">
      <c r="B4689" s="73"/>
    </row>
    <row r="4690" spans="2:2" x14ac:dyDescent="0.25">
      <c r="B4690" s="73"/>
    </row>
    <row r="4691" spans="2:2" x14ac:dyDescent="0.25">
      <c r="B4691" s="73"/>
    </row>
    <row r="4692" spans="2:2" x14ac:dyDescent="0.25">
      <c r="B4692" s="73"/>
    </row>
    <row r="4693" spans="2:2" x14ac:dyDescent="0.25">
      <c r="B4693" s="73"/>
    </row>
    <row r="4694" spans="2:2" x14ac:dyDescent="0.25">
      <c r="B4694" s="73"/>
    </row>
    <row r="4695" spans="2:2" x14ac:dyDescent="0.25">
      <c r="B4695" s="73"/>
    </row>
    <row r="4696" spans="2:2" x14ac:dyDescent="0.25">
      <c r="B4696" s="73"/>
    </row>
    <row r="4697" spans="2:2" x14ac:dyDescent="0.25">
      <c r="B4697" s="73"/>
    </row>
    <row r="4698" spans="2:2" x14ac:dyDescent="0.25">
      <c r="B4698" s="73"/>
    </row>
    <row r="4699" spans="2:2" x14ac:dyDescent="0.25">
      <c r="B4699" s="73"/>
    </row>
    <row r="4700" spans="2:2" x14ac:dyDescent="0.25">
      <c r="B4700" s="73"/>
    </row>
    <row r="4701" spans="2:2" x14ac:dyDescent="0.25">
      <c r="B4701" s="73"/>
    </row>
    <row r="4702" spans="2:2" x14ac:dyDescent="0.25">
      <c r="B4702" s="73"/>
    </row>
    <row r="4703" spans="2:2" x14ac:dyDescent="0.25">
      <c r="B4703" s="73"/>
    </row>
    <row r="4704" spans="2:2" x14ac:dyDescent="0.25">
      <c r="B4704" s="73"/>
    </row>
    <row r="4705" spans="2:2" x14ac:dyDescent="0.25">
      <c r="B4705" s="73"/>
    </row>
    <row r="4706" spans="2:2" x14ac:dyDescent="0.25">
      <c r="B4706" s="73"/>
    </row>
    <row r="4707" spans="2:2" x14ac:dyDescent="0.25">
      <c r="B4707" s="73"/>
    </row>
    <row r="4708" spans="2:2" x14ac:dyDescent="0.25">
      <c r="B4708" s="73"/>
    </row>
    <row r="4709" spans="2:2" x14ac:dyDescent="0.25">
      <c r="B4709" s="73"/>
    </row>
    <row r="4710" spans="2:2" x14ac:dyDescent="0.25">
      <c r="B4710" s="73"/>
    </row>
    <row r="4711" spans="2:2" x14ac:dyDescent="0.25">
      <c r="B4711" s="73"/>
    </row>
    <row r="4712" spans="2:2" x14ac:dyDescent="0.25">
      <c r="B4712" s="73"/>
    </row>
    <row r="4713" spans="2:2" x14ac:dyDescent="0.25">
      <c r="B4713" s="73"/>
    </row>
    <row r="4714" spans="2:2" x14ac:dyDescent="0.25">
      <c r="B4714" s="73"/>
    </row>
    <row r="4715" spans="2:2" x14ac:dyDescent="0.25">
      <c r="B4715" s="73"/>
    </row>
    <row r="4716" spans="2:2" x14ac:dyDescent="0.25">
      <c r="B4716" s="73"/>
    </row>
    <row r="4717" spans="2:2" x14ac:dyDescent="0.25">
      <c r="B4717" s="73"/>
    </row>
    <row r="4718" spans="2:2" x14ac:dyDescent="0.25">
      <c r="B4718" s="73"/>
    </row>
    <row r="4719" spans="2:2" x14ac:dyDescent="0.25">
      <c r="B4719" s="73"/>
    </row>
    <row r="4720" spans="2:2" x14ac:dyDescent="0.25">
      <c r="B4720" s="73"/>
    </row>
    <row r="4721" spans="2:2" x14ac:dyDescent="0.25">
      <c r="B4721" s="73"/>
    </row>
    <row r="4722" spans="2:2" x14ac:dyDescent="0.25">
      <c r="B4722" s="73"/>
    </row>
    <row r="4723" spans="2:2" x14ac:dyDescent="0.25">
      <c r="B4723" s="73"/>
    </row>
    <row r="4724" spans="2:2" x14ac:dyDescent="0.25">
      <c r="B4724" s="73"/>
    </row>
    <row r="4725" spans="2:2" x14ac:dyDescent="0.25">
      <c r="B4725" s="73"/>
    </row>
    <row r="4726" spans="2:2" x14ac:dyDescent="0.25">
      <c r="B4726" s="73"/>
    </row>
    <row r="4727" spans="2:2" x14ac:dyDescent="0.25">
      <c r="B4727" s="73"/>
    </row>
    <row r="4728" spans="2:2" x14ac:dyDescent="0.25">
      <c r="B4728" s="73"/>
    </row>
    <row r="4729" spans="2:2" x14ac:dyDescent="0.25">
      <c r="B4729" s="73"/>
    </row>
    <row r="4730" spans="2:2" x14ac:dyDescent="0.25">
      <c r="B4730" s="73"/>
    </row>
    <row r="4731" spans="2:2" x14ac:dyDescent="0.25">
      <c r="B4731" s="73"/>
    </row>
    <row r="4732" spans="2:2" x14ac:dyDescent="0.25">
      <c r="B4732" s="73"/>
    </row>
    <row r="4733" spans="2:2" x14ac:dyDescent="0.25">
      <c r="B4733" s="73"/>
    </row>
    <row r="4734" spans="2:2" x14ac:dyDescent="0.25">
      <c r="B4734" s="73"/>
    </row>
    <row r="4735" spans="2:2" x14ac:dyDescent="0.25">
      <c r="B4735" s="73"/>
    </row>
    <row r="4736" spans="2:2" x14ac:dyDescent="0.25">
      <c r="B4736" s="73"/>
    </row>
    <row r="4737" spans="2:2" x14ac:dyDescent="0.25">
      <c r="B4737" s="73"/>
    </row>
    <row r="4738" spans="2:2" x14ac:dyDescent="0.25">
      <c r="B4738" s="73"/>
    </row>
    <row r="4739" spans="2:2" x14ac:dyDescent="0.25">
      <c r="B4739" s="73"/>
    </row>
    <row r="4740" spans="2:2" x14ac:dyDescent="0.25">
      <c r="B4740" s="73"/>
    </row>
    <row r="4741" spans="2:2" x14ac:dyDescent="0.25">
      <c r="B4741" s="73"/>
    </row>
    <row r="4742" spans="2:2" x14ac:dyDescent="0.25">
      <c r="B4742" s="73"/>
    </row>
    <row r="4743" spans="2:2" x14ac:dyDescent="0.25">
      <c r="B4743" s="73"/>
    </row>
    <row r="4744" spans="2:2" x14ac:dyDescent="0.25">
      <c r="B4744" s="73"/>
    </row>
    <row r="4745" spans="2:2" x14ac:dyDescent="0.25">
      <c r="B4745" s="73"/>
    </row>
    <row r="4746" spans="2:2" x14ac:dyDescent="0.25">
      <c r="B4746" s="73"/>
    </row>
    <row r="4747" spans="2:2" x14ac:dyDescent="0.25">
      <c r="B4747" s="73"/>
    </row>
    <row r="4748" spans="2:2" x14ac:dyDescent="0.25">
      <c r="B4748" s="73"/>
    </row>
    <row r="4749" spans="2:2" x14ac:dyDescent="0.25">
      <c r="B4749" s="73"/>
    </row>
    <row r="4750" spans="2:2" x14ac:dyDescent="0.25">
      <c r="B4750" s="73"/>
    </row>
    <row r="4751" spans="2:2" x14ac:dyDescent="0.25">
      <c r="B4751" s="73"/>
    </row>
    <row r="4752" spans="2:2" x14ac:dyDescent="0.25">
      <c r="B4752" s="73"/>
    </row>
    <row r="4753" spans="2:2" x14ac:dyDescent="0.25">
      <c r="B4753" s="73"/>
    </row>
    <row r="4754" spans="2:2" x14ac:dyDescent="0.25">
      <c r="B4754" s="73"/>
    </row>
    <row r="4755" spans="2:2" x14ac:dyDescent="0.25">
      <c r="B4755" s="73"/>
    </row>
    <row r="4756" spans="2:2" x14ac:dyDescent="0.25">
      <c r="B4756" s="73"/>
    </row>
    <row r="4757" spans="2:2" x14ac:dyDescent="0.25">
      <c r="B4757" s="73"/>
    </row>
    <row r="4758" spans="2:2" x14ac:dyDescent="0.25">
      <c r="B4758" s="73"/>
    </row>
    <row r="4759" spans="2:2" x14ac:dyDescent="0.25">
      <c r="B4759" s="73"/>
    </row>
    <row r="4760" spans="2:2" x14ac:dyDescent="0.25">
      <c r="B4760" s="73"/>
    </row>
    <row r="4761" spans="2:2" x14ac:dyDescent="0.25">
      <c r="B4761" s="73"/>
    </row>
    <row r="4762" spans="2:2" x14ac:dyDescent="0.25">
      <c r="B4762" s="73"/>
    </row>
    <row r="4763" spans="2:2" x14ac:dyDescent="0.25">
      <c r="B4763" s="73"/>
    </row>
    <row r="4764" spans="2:2" x14ac:dyDescent="0.25">
      <c r="B4764" s="73"/>
    </row>
    <row r="4765" spans="2:2" x14ac:dyDescent="0.25">
      <c r="B4765" s="73"/>
    </row>
    <row r="4766" spans="2:2" x14ac:dyDescent="0.25">
      <c r="B4766" s="73"/>
    </row>
    <row r="4767" spans="2:2" x14ac:dyDescent="0.25">
      <c r="B4767" s="73"/>
    </row>
    <row r="4768" spans="2:2" x14ac:dyDescent="0.25">
      <c r="B4768" s="73"/>
    </row>
    <row r="4769" spans="2:2" x14ac:dyDescent="0.25">
      <c r="B4769" s="73"/>
    </row>
    <row r="4770" spans="2:2" x14ac:dyDescent="0.25">
      <c r="B4770" s="73"/>
    </row>
    <row r="4771" spans="2:2" x14ac:dyDescent="0.25">
      <c r="B4771" s="73"/>
    </row>
    <row r="4772" spans="2:2" x14ac:dyDescent="0.25">
      <c r="B4772" s="73"/>
    </row>
    <row r="4773" spans="2:2" x14ac:dyDescent="0.25">
      <c r="B4773" s="73"/>
    </row>
    <row r="4774" spans="2:2" x14ac:dyDescent="0.25">
      <c r="B4774" s="73"/>
    </row>
    <row r="4775" spans="2:2" x14ac:dyDescent="0.25">
      <c r="B4775" s="73"/>
    </row>
    <row r="4776" spans="2:2" x14ac:dyDescent="0.25">
      <c r="B4776" s="73"/>
    </row>
    <row r="4777" spans="2:2" x14ac:dyDescent="0.25">
      <c r="B4777" s="73"/>
    </row>
    <row r="4778" spans="2:2" x14ac:dyDescent="0.25">
      <c r="B4778" s="73"/>
    </row>
    <row r="4779" spans="2:2" x14ac:dyDescent="0.25">
      <c r="B4779" s="73"/>
    </row>
    <row r="4780" spans="2:2" x14ac:dyDescent="0.25">
      <c r="B4780" s="73"/>
    </row>
    <row r="4781" spans="2:2" x14ac:dyDescent="0.25">
      <c r="B4781" s="73"/>
    </row>
    <row r="4782" spans="2:2" x14ac:dyDescent="0.25">
      <c r="B4782" s="73"/>
    </row>
    <row r="4783" spans="2:2" x14ac:dyDescent="0.25">
      <c r="B4783" s="73"/>
    </row>
    <row r="4784" spans="2:2" x14ac:dyDescent="0.25">
      <c r="B4784" s="73"/>
    </row>
    <row r="4785" spans="2:2" x14ac:dyDescent="0.25">
      <c r="B4785" s="73"/>
    </row>
    <row r="4786" spans="2:2" x14ac:dyDescent="0.25">
      <c r="B4786" s="73"/>
    </row>
    <row r="4787" spans="2:2" x14ac:dyDescent="0.25">
      <c r="B4787" s="73"/>
    </row>
    <row r="4788" spans="2:2" x14ac:dyDescent="0.25">
      <c r="B4788" s="73"/>
    </row>
    <row r="4789" spans="2:2" x14ac:dyDescent="0.25">
      <c r="B4789" s="73"/>
    </row>
    <row r="4790" spans="2:2" x14ac:dyDescent="0.25">
      <c r="B4790" s="73"/>
    </row>
    <row r="4791" spans="2:2" x14ac:dyDescent="0.25">
      <c r="B4791" s="73"/>
    </row>
    <row r="4792" spans="2:2" x14ac:dyDescent="0.25">
      <c r="B4792" s="73"/>
    </row>
    <row r="4793" spans="2:2" x14ac:dyDescent="0.25">
      <c r="B4793" s="73"/>
    </row>
    <row r="4794" spans="2:2" x14ac:dyDescent="0.25">
      <c r="B4794" s="73"/>
    </row>
    <row r="4795" spans="2:2" x14ac:dyDescent="0.25">
      <c r="B4795" s="73"/>
    </row>
    <row r="4796" spans="2:2" x14ac:dyDescent="0.25">
      <c r="B4796" s="73"/>
    </row>
    <row r="4797" spans="2:2" x14ac:dyDescent="0.25">
      <c r="B4797" s="73"/>
    </row>
    <row r="4798" spans="2:2" x14ac:dyDescent="0.25">
      <c r="B4798" s="73"/>
    </row>
    <row r="4799" spans="2:2" x14ac:dyDescent="0.25">
      <c r="B4799" s="73"/>
    </row>
    <row r="4800" spans="2:2" x14ac:dyDescent="0.25">
      <c r="B4800" s="73"/>
    </row>
    <row r="4801" spans="2:2" x14ac:dyDescent="0.25">
      <c r="B4801" s="73"/>
    </row>
    <row r="4802" spans="2:2" x14ac:dyDescent="0.25">
      <c r="B4802" s="73"/>
    </row>
    <row r="4803" spans="2:2" x14ac:dyDescent="0.25">
      <c r="B4803" s="73"/>
    </row>
    <row r="4804" spans="2:2" x14ac:dyDescent="0.25">
      <c r="B4804" s="73"/>
    </row>
    <row r="4805" spans="2:2" x14ac:dyDescent="0.25">
      <c r="B4805" s="73"/>
    </row>
    <row r="4806" spans="2:2" x14ac:dyDescent="0.25">
      <c r="B4806" s="73"/>
    </row>
    <row r="4807" spans="2:2" x14ac:dyDescent="0.25">
      <c r="B4807" s="73"/>
    </row>
    <row r="4808" spans="2:2" x14ac:dyDescent="0.25">
      <c r="B4808" s="73"/>
    </row>
    <row r="4809" spans="2:2" x14ac:dyDescent="0.25">
      <c r="B4809" s="73"/>
    </row>
    <row r="4810" spans="2:2" x14ac:dyDescent="0.25">
      <c r="B4810" s="73"/>
    </row>
    <row r="4811" spans="2:2" x14ac:dyDescent="0.25">
      <c r="B4811" s="73"/>
    </row>
    <row r="4812" spans="2:2" x14ac:dyDescent="0.25">
      <c r="B4812" s="73"/>
    </row>
    <row r="4813" spans="2:2" x14ac:dyDescent="0.25">
      <c r="B4813" s="73"/>
    </row>
    <row r="4814" spans="2:2" x14ac:dyDescent="0.25">
      <c r="B4814" s="73"/>
    </row>
    <row r="4815" spans="2:2" x14ac:dyDescent="0.25">
      <c r="B4815" s="73"/>
    </row>
    <row r="4816" spans="2:2" x14ac:dyDescent="0.25">
      <c r="B4816" s="73"/>
    </row>
    <row r="4817" spans="2:2" x14ac:dyDescent="0.25">
      <c r="B4817" s="73"/>
    </row>
    <row r="4818" spans="2:2" x14ac:dyDescent="0.25">
      <c r="B4818" s="73"/>
    </row>
    <row r="4819" spans="2:2" x14ac:dyDescent="0.25">
      <c r="B4819" s="73"/>
    </row>
    <row r="4820" spans="2:2" x14ac:dyDescent="0.25">
      <c r="B4820" s="73"/>
    </row>
    <row r="4821" spans="2:2" x14ac:dyDescent="0.25">
      <c r="B4821" s="73"/>
    </row>
    <row r="4822" spans="2:2" x14ac:dyDescent="0.25">
      <c r="B4822" s="73"/>
    </row>
    <row r="4823" spans="2:2" x14ac:dyDescent="0.25">
      <c r="B4823" s="73"/>
    </row>
    <row r="4824" spans="2:2" x14ac:dyDescent="0.25">
      <c r="B4824" s="73"/>
    </row>
    <row r="4825" spans="2:2" x14ac:dyDescent="0.25">
      <c r="B4825" s="73"/>
    </row>
    <row r="4826" spans="2:2" x14ac:dyDescent="0.25">
      <c r="B4826" s="73"/>
    </row>
    <row r="4827" spans="2:2" x14ac:dyDescent="0.25">
      <c r="B4827" s="73"/>
    </row>
    <row r="4828" spans="2:2" x14ac:dyDescent="0.25">
      <c r="B4828" s="73"/>
    </row>
    <row r="4829" spans="2:2" x14ac:dyDescent="0.25">
      <c r="B4829" s="73"/>
    </row>
    <row r="4830" spans="2:2" x14ac:dyDescent="0.25">
      <c r="B4830" s="73"/>
    </row>
    <row r="4831" spans="2:2" x14ac:dyDescent="0.25">
      <c r="B4831" s="73"/>
    </row>
    <row r="4832" spans="2:2" x14ac:dyDescent="0.25">
      <c r="B4832" s="73"/>
    </row>
    <row r="4833" spans="2:2" x14ac:dyDescent="0.25">
      <c r="B4833" s="73"/>
    </row>
    <row r="4834" spans="2:2" x14ac:dyDescent="0.25">
      <c r="B4834" s="73"/>
    </row>
    <row r="4835" spans="2:2" x14ac:dyDescent="0.25">
      <c r="B4835" s="73"/>
    </row>
    <row r="4836" spans="2:2" x14ac:dyDescent="0.25">
      <c r="B4836" s="73"/>
    </row>
    <row r="4837" spans="2:2" x14ac:dyDescent="0.25">
      <c r="B4837" s="73"/>
    </row>
    <row r="4838" spans="2:2" x14ac:dyDescent="0.25">
      <c r="B4838" s="73"/>
    </row>
    <row r="4839" spans="2:2" x14ac:dyDescent="0.25">
      <c r="B4839" s="73"/>
    </row>
    <row r="4840" spans="2:2" x14ac:dyDescent="0.25">
      <c r="B4840" s="73"/>
    </row>
    <row r="4841" spans="2:2" x14ac:dyDescent="0.25">
      <c r="B4841" s="73"/>
    </row>
    <row r="4842" spans="2:2" x14ac:dyDescent="0.25">
      <c r="B4842" s="73"/>
    </row>
    <row r="4843" spans="2:2" x14ac:dyDescent="0.25">
      <c r="B4843" s="73"/>
    </row>
    <row r="4844" spans="2:2" x14ac:dyDescent="0.25">
      <c r="B4844" s="73"/>
    </row>
    <row r="4845" spans="2:2" x14ac:dyDescent="0.25">
      <c r="B4845" s="73"/>
    </row>
    <row r="4846" spans="2:2" x14ac:dyDescent="0.25">
      <c r="B4846" s="73"/>
    </row>
    <row r="4847" spans="2:2" x14ac:dyDescent="0.25">
      <c r="B4847" s="73"/>
    </row>
    <row r="4848" spans="2:2" x14ac:dyDescent="0.25">
      <c r="B4848" s="73"/>
    </row>
    <row r="4849" spans="2:2" x14ac:dyDescent="0.25">
      <c r="B4849" s="73"/>
    </row>
    <row r="4850" spans="2:2" x14ac:dyDescent="0.25">
      <c r="B4850" s="73"/>
    </row>
    <row r="4851" spans="2:2" x14ac:dyDescent="0.25">
      <c r="B4851" s="73"/>
    </row>
    <row r="4852" spans="2:2" x14ac:dyDescent="0.25">
      <c r="B4852" s="73"/>
    </row>
    <row r="4853" spans="2:2" x14ac:dyDescent="0.25">
      <c r="B4853" s="73"/>
    </row>
    <row r="4854" spans="2:2" x14ac:dyDescent="0.25">
      <c r="B4854" s="73"/>
    </row>
    <row r="4855" spans="2:2" x14ac:dyDescent="0.25">
      <c r="B4855" s="73"/>
    </row>
    <row r="4856" spans="2:2" x14ac:dyDescent="0.25">
      <c r="B4856" s="73"/>
    </row>
    <row r="4857" spans="2:2" x14ac:dyDescent="0.25">
      <c r="B4857" s="73"/>
    </row>
    <row r="4858" spans="2:2" x14ac:dyDescent="0.25">
      <c r="B4858" s="73"/>
    </row>
    <row r="4859" spans="2:2" x14ac:dyDescent="0.25">
      <c r="B4859" s="73"/>
    </row>
    <row r="4860" spans="2:2" x14ac:dyDescent="0.25">
      <c r="B4860" s="73"/>
    </row>
    <row r="4861" spans="2:2" x14ac:dyDescent="0.25">
      <c r="B4861" s="73"/>
    </row>
    <row r="4862" spans="2:2" x14ac:dyDescent="0.25">
      <c r="B4862" s="73"/>
    </row>
    <row r="4863" spans="2:2" x14ac:dyDescent="0.25">
      <c r="B4863" s="73"/>
    </row>
    <row r="4864" spans="2:2" x14ac:dyDescent="0.25">
      <c r="B4864" s="73"/>
    </row>
    <row r="4865" spans="2:2" x14ac:dyDescent="0.25">
      <c r="B4865" s="73"/>
    </row>
    <row r="4866" spans="2:2" x14ac:dyDescent="0.25">
      <c r="B4866" s="73"/>
    </row>
    <row r="4867" spans="2:2" x14ac:dyDescent="0.25">
      <c r="B4867" s="73"/>
    </row>
    <row r="4868" spans="2:2" x14ac:dyDescent="0.25">
      <c r="B4868" s="73"/>
    </row>
    <row r="4869" spans="2:2" x14ac:dyDescent="0.25">
      <c r="B4869" s="73"/>
    </row>
    <row r="4870" spans="2:2" x14ac:dyDescent="0.25">
      <c r="B4870" s="73"/>
    </row>
    <row r="4871" spans="2:2" x14ac:dyDescent="0.25">
      <c r="B4871" s="73"/>
    </row>
    <row r="4872" spans="2:2" x14ac:dyDescent="0.25">
      <c r="B4872" s="73"/>
    </row>
    <row r="4873" spans="2:2" x14ac:dyDescent="0.25">
      <c r="B4873" s="73"/>
    </row>
    <row r="4874" spans="2:2" x14ac:dyDescent="0.25">
      <c r="B4874" s="73"/>
    </row>
    <row r="4875" spans="2:2" x14ac:dyDescent="0.25">
      <c r="B4875" s="73"/>
    </row>
    <row r="4876" spans="2:2" x14ac:dyDescent="0.25">
      <c r="B4876" s="73"/>
    </row>
    <row r="4877" spans="2:2" x14ac:dyDescent="0.25">
      <c r="B4877" s="73"/>
    </row>
    <row r="4878" spans="2:2" x14ac:dyDescent="0.25">
      <c r="B4878" s="73"/>
    </row>
    <row r="4879" spans="2:2" x14ac:dyDescent="0.25">
      <c r="B4879" s="73"/>
    </row>
    <row r="4880" spans="2:2" x14ac:dyDescent="0.25">
      <c r="B4880" s="73"/>
    </row>
    <row r="4881" spans="2:2" x14ac:dyDescent="0.25">
      <c r="B4881" s="73"/>
    </row>
    <row r="4882" spans="2:2" x14ac:dyDescent="0.25">
      <c r="B4882" s="73"/>
    </row>
    <row r="4883" spans="2:2" x14ac:dyDescent="0.25">
      <c r="B4883" s="73"/>
    </row>
    <row r="4884" spans="2:2" x14ac:dyDescent="0.25">
      <c r="B4884" s="73"/>
    </row>
    <row r="4885" spans="2:2" x14ac:dyDescent="0.25">
      <c r="B4885" s="73"/>
    </row>
    <row r="4886" spans="2:2" x14ac:dyDescent="0.25">
      <c r="B4886" s="73"/>
    </row>
    <row r="4887" spans="2:2" x14ac:dyDescent="0.25">
      <c r="B4887" s="73"/>
    </row>
    <row r="4888" spans="2:2" x14ac:dyDescent="0.25">
      <c r="B4888" s="73"/>
    </row>
    <row r="4889" spans="2:2" x14ac:dyDescent="0.25">
      <c r="B4889" s="73"/>
    </row>
    <row r="4890" spans="2:2" x14ac:dyDescent="0.25">
      <c r="B4890" s="73"/>
    </row>
    <row r="4891" spans="2:2" x14ac:dyDescent="0.25">
      <c r="B4891" s="73"/>
    </row>
    <row r="4892" spans="2:2" x14ac:dyDescent="0.25">
      <c r="B4892" s="73"/>
    </row>
    <row r="4893" spans="2:2" x14ac:dyDescent="0.25">
      <c r="B4893" s="73"/>
    </row>
    <row r="4894" spans="2:2" x14ac:dyDescent="0.25">
      <c r="B4894" s="73"/>
    </row>
    <row r="4895" spans="2:2" x14ac:dyDescent="0.25">
      <c r="B4895" s="73"/>
    </row>
    <row r="4896" spans="2:2" x14ac:dyDescent="0.25">
      <c r="B4896" s="73"/>
    </row>
    <row r="4897" spans="2:2" x14ac:dyDescent="0.25">
      <c r="B4897" s="73"/>
    </row>
    <row r="4898" spans="2:2" x14ac:dyDescent="0.25">
      <c r="B4898" s="73"/>
    </row>
    <row r="4899" spans="2:2" x14ac:dyDescent="0.25">
      <c r="B4899" s="73"/>
    </row>
    <row r="4900" spans="2:2" x14ac:dyDescent="0.25">
      <c r="B4900" s="73"/>
    </row>
    <row r="4901" spans="2:2" x14ac:dyDescent="0.25">
      <c r="B4901" s="73"/>
    </row>
    <row r="4902" spans="2:2" x14ac:dyDescent="0.25">
      <c r="B4902" s="73"/>
    </row>
    <row r="4903" spans="2:2" x14ac:dyDescent="0.25">
      <c r="B4903" s="73"/>
    </row>
    <row r="4904" spans="2:2" x14ac:dyDescent="0.25">
      <c r="B4904" s="73"/>
    </row>
    <row r="4905" spans="2:2" x14ac:dyDescent="0.25">
      <c r="B4905" s="73"/>
    </row>
    <row r="4906" spans="2:2" x14ac:dyDescent="0.25">
      <c r="B4906" s="73"/>
    </row>
    <row r="4907" spans="2:2" x14ac:dyDescent="0.25">
      <c r="B4907" s="73"/>
    </row>
    <row r="4908" spans="2:2" x14ac:dyDescent="0.25">
      <c r="B4908" s="73"/>
    </row>
    <row r="4909" spans="2:2" x14ac:dyDescent="0.25">
      <c r="B4909" s="73"/>
    </row>
    <row r="4910" spans="2:2" x14ac:dyDescent="0.25">
      <c r="B4910" s="73"/>
    </row>
    <row r="4911" spans="2:2" x14ac:dyDescent="0.25">
      <c r="B4911" s="73"/>
    </row>
    <row r="4912" spans="2:2" x14ac:dyDescent="0.25">
      <c r="B4912" s="73"/>
    </row>
    <row r="4913" spans="2:2" x14ac:dyDescent="0.25">
      <c r="B4913" s="73"/>
    </row>
    <row r="4914" spans="2:2" x14ac:dyDescent="0.25">
      <c r="B4914" s="73"/>
    </row>
    <row r="4915" spans="2:2" x14ac:dyDescent="0.25">
      <c r="B4915" s="73"/>
    </row>
    <row r="4916" spans="2:2" x14ac:dyDescent="0.25">
      <c r="B4916" s="73"/>
    </row>
    <row r="4917" spans="2:2" x14ac:dyDescent="0.25">
      <c r="B4917" s="73"/>
    </row>
    <row r="4918" spans="2:2" x14ac:dyDescent="0.25">
      <c r="B4918" s="73"/>
    </row>
    <row r="4919" spans="2:2" x14ac:dyDescent="0.25">
      <c r="B4919" s="73"/>
    </row>
    <row r="4920" spans="2:2" x14ac:dyDescent="0.25">
      <c r="B4920" s="73"/>
    </row>
    <row r="4921" spans="2:2" x14ac:dyDescent="0.25">
      <c r="B4921" s="73"/>
    </row>
    <row r="4922" spans="2:2" x14ac:dyDescent="0.25">
      <c r="B4922" s="73"/>
    </row>
    <row r="4923" spans="2:2" x14ac:dyDescent="0.25">
      <c r="B4923" s="73"/>
    </row>
    <row r="4924" spans="2:2" x14ac:dyDescent="0.25">
      <c r="B4924" s="73"/>
    </row>
    <row r="4925" spans="2:2" x14ac:dyDescent="0.25">
      <c r="B4925" s="73"/>
    </row>
    <row r="4926" spans="2:2" x14ac:dyDescent="0.25">
      <c r="B4926" s="73"/>
    </row>
    <row r="4927" spans="2:2" x14ac:dyDescent="0.25">
      <c r="B4927" s="73"/>
    </row>
    <row r="4928" spans="2:2" x14ac:dyDescent="0.25">
      <c r="B4928" s="73"/>
    </row>
    <row r="4929" spans="2:2" x14ac:dyDescent="0.25">
      <c r="B4929" s="73"/>
    </row>
    <row r="4930" spans="2:2" x14ac:dyDescent="0.25">
      <c r="B4930" s="73"/>
    </row>
    <row r="4931" spans="2:2" x14ac:dyDescent="0.25">
      <c r="B4931" s="73"/>
    </row>
    <row r="4932" spans="2:2" x14ac:dyDescent="0.25">
      <c r="B4932" s="73"/>
    </row>
    <row r="4933" spans="2:2" x14ac:dyDescent="0.25">
      <c r="B4933" s="73"/>
    </row>
    <row r="4934" spans="2:2" x14ac:dyDescent="0.25">
      <c r="B4934" s="73"/>
    </row>
    <row r="4935" spans="2:2" x14ac:dyDescent="0.25">
      <c r="B4935" s="73"/>
    </row>
    <row r="4936" spans="2:2" x14ac:dyDescent="0.25">
      <c r="B4936" s="73"/>
    </row>
    <row r="4937" spans="2:2" x14ac:dyDescent="0.25">
      <c r="B4937" s="73"/>
    </row>
    <row r="4938" spans="2:2" x14ac:dyDescent="0.25">
      <c r="B4938" s="73"/>
    </row>
    <row r="4939" spans="2:2" x14ac:dyDescent="0.25">
      <c r="B4939" s="73"/>
    </row>
    <row r="4940" spans="2:2" x14ac:dyDescent="0.25">
      <c r="B4940" s="73"/>
    </row>
    <row r="4941" spans="2:2" x14ac:dyDescent="0.25">
      <c r="B4941" s="73"/>
    </row>
    <row r="4942" spans="2:2" x14ac:dyDescent="0.25">
      <c r="B4942" s="73"/>
    </row>
    <row r="4943" spans="2:2" x14ac:dyDescent="0.25">
      <c r="B4943" s="73"/>
    </row>
    <row r="4944" spans="2:2" x14ac:dyDescent="0.25">
      <c r="B4944" s="73"/>
    </row>
    <row r="4945" spans="2:2" x14ac:dyDescent="0.25">
      <c r="B4945" s="73"/>
    </row>
    <row r="4946" spans="2:2" x14ac:dyDescent="0.25">
      <c r="B4946" s="73"/>
    </row>
    <row r="4947" spans="2:2" x14ac:dyDescent="0.25">
      <c r="B4947" s="73"/>
    </row>
    <row r="4948" spans="2:2" x14ac:dyDescent="0.25">
      <c r="B4948" s="73"/>
    </row>
    <row r="4949" spans="2:2" x14ac:dyDescent="0.25">
      <c r="B4949" s="73"/>
    </row>
    <row r="4950" spans="2:2" x14ac:dyDescent="0.25">
      <c r="B4950" s="73"/>
    </row>
    <row r="4951" spans="2:2" x14ac:dyDescent="0.25">
      <c r="B4951" s="73"/>
    </row>
    <row r="4952" spans="2:2" x14ac:dyDescent="0.25">
      <c r="B4952" s="73"/>
    </row>
    <row r="4953" spans="2:2" x14ac:dyDescent="0.25">
      <c r="B4953" s="73"/>
    </row>
    <row r="4954" spans="2:2" x14ac:dyDescent="0.25">
      <c r="B4954" s="73"/>
    </row>
    <row r="4955" spans="2:2" x14ac:dyDescent="0.25">
      <c r="B4955" s="73"/>
    </row>
    <row r="4956" spans="2:2" x14ac:dyDescent="0.25">
      <c r="B4956" s="73"/>
    </row>
    <row r="4957" spans="2:2" x14ac:dyDescent="0.25">
      <c r="B4957" s="73"/>
    </row>
    <row r="4958" spans="2:2" x14ac:dyDescent="0.25">
      <c r="B4958" s="73"/>
    </row>
    <row r="4959" spans="2:2" x14ac:dyDescent="0.25">
      <c r="B4959" s="73"/>
    </row>
    <row r="4960" spans="2:2" x14ac:dyDescent="0.25">
      <c r="B4960" s="73"/>
    </row>
    <row r="4961" spans="2:2" x14ac:dyDescent="0.25">
      <c r="B4961" s="73"/>
    </row>
    <row r="4962" spans="2:2" x14ac:dyDescent="0.25">
      <c r="B4962" s="73"/>
    </row>
    <row r="4963" spans="2:2" x14ac:dyDescent="0.25">
      <c r="B4963" s="73"/>
    </row>
    <row r="4964" spans="2:2" x14ac:dyDescent="0.25">
      <c r="B4964" s="73"/>
    </row>
    <row r="4965" spans="2:2" x14ac:dyDescent="0.25">
      <c r="B4965" s="73"/>
    </row>
    <row r="4966" spans="2:2" x14ac:dyDescent="0.25">
      <c r="B4966" s="73"/>
    </row>
    <row r="4967" spans="2:2" x14ac:dyDescent="0.25">
      <c r="B4967" s="73"/>
    </row>
    <row r="4968" spans="2:2" x14ac:dyDescent="0.25">
      <c r="B4968" s="73"/>
    </row>
    <row r="4969" spans="2:2" x14ac:dyDescent="0.25">
      <c r="B4969" s="73"/>
    </row>
    <row r="4970" spans="2:2" x14ac:dyDescent="0.25">
      <c r="B4970" s="73"/>
    </row>
    <row r="4971" spans="2:2" x14ac:dyDescent="0.25">
      <c r="B4971" s="73"/>
    </row>
    <row r="4972" spans="2:2" x14ac:dyDescent="0.25">
      <c r="B4972" s="73"/>
    </row>
    <row r="4973" spans="2:2" x14ac:dyDescent="0.25">
      <c r="B4973" s="73"/>
    </row>
    <row r="4974" spans="2:2" x14ac:dyDescent="0.25">
      <c r="B4974" s="73"/>
    </row>
    <row r="4975" spans="2:2" x14ac:dyDescent="0.25">
      <c r="B4975" s="73"/>
    </row>
    <row r="4976" spans="2:2" x14ac:dyDescent="0.25">
      <c r="B4976" s="73"/>
    </row>
    <row r="4977" spans="2:2" x14ac:dyDescent="0.25">
      <c r="B4977" s="73"/>
    </row>
    <row r="4978" spans="2:2" x14ac:dyDescent="0.25">
      <c r="B4978" s="73"/>
    </row>
    <row r="4979" spans="2:2" x14ac:dyDescent="0.25">
      <c r="B4979" s="73"/>
    </row>
    <row r="4980" spans="2:2" x14ac:dyDescent="0.25">
      <c r="B4980" s="73"/>
    </row>
    <row r="4981" spans="2:2" x14ac:dyDescent="0.25">
      <c r="B4981" s="73"/>
    </row>
    <row r="4982" spans="2:2" x14ac:dyDescent="0.25">
      <c r="B4982" s="73"/>
    </row>
    <row r="4983" spans="2:2" x14ac:dyDescent="0.25">
      <c r="B4983" s="73"/>
    </row>
    <row r="4984" spans="2:2" x14ac:dyDescent="0.25">
      <c r="B4984" s="73"/>
    </row>
    <row r="4985" spans="2:2" x14ac:dyDescent="0.25">
      <c r="B4985" s="73"/>
    </row>
    <row r="4986" spans="2:2" x14ac:dyDescent="0.25">
      <c r="B4986" s="73"/>
    </row>
    <row r="4987" spans="2:2" x14ac:dyDescent="0.25">
      <c r="B4987" s="73"/>
    </row>
    <row r="4988" spans="2:2" x14ac:dyDescent="0.25">
      <c r="B4988" s="73"/>
    </row>
    <row r="4989" spans="2:2" x14ac:dyDescent="0.25">
      <c r="B4989" s="73"/>
    </row>
    <row r="4990" spans="2:2" x14ac:dyDescent="0.25">
      <c r="B4990" s="73"/>
    </row>
    <row r="4991" spans="2:2" x14ac:dyDescent="0.25">
      <c r="B4991" s="73"/>
    </row>
    <row r="4992" spans="2:2" x14ac:dyDescent="0.25">
      <c r="B4992" s="73"/>
    </row>
    <row r="4993" spans="2:2" x14ac:dyDescent="0.25">
      <c r="B4993" s="73"/>
    </row>
    <row r="4994" spans="2:2" x14ac:dyDescent="0.25">
      <c r="B4994" s="73"/>
    </row>
    <row r="4995" spans="2:2" x14ac:dyDescent="0.25">
      <c r="B4995" s="73"/>
    </row>
    <row r="4996" spans="2:2" x14ac:dyDescent="0.25">
      <c r="B4996" s="73"/>
    </row>
    <row r="4997" spans="2:2" x14ac:dyDescent="0.25">
      <c r="B4997" s="73"/>
    </row>
    <row r="4998" spans="2:2" x14ac:dyDescent="0.25">
      <c r="B4998" s="73"/>
    </row>
    <row r="4999" spans="2:2" x14ac:dyDescent="0.25">
      <c r="B4999" s="73"/>
    </row>
    <row r="5000" spans="2:2" x14ac:dyDescent="0.25">
      <c r="B5000" s="73"/>
    </row>
    <row r="5001" spans="2:2" x14ac:dyDescent="0.25">
      <c r="B5001" s="73"/>
    </row>
    <row r="5002" spans="2:2" x14ac:dyDescent="0.25">
      <c r="B5002" s="73"/>
    </row>
    <row r="5003" spans="2:2" x14ac:dyDescent="0.25">
      <c r="B5003" s="73"/>
    </row>
    <row r="5004" spans="2:2" x14ac:dyDescent="0.25">
      <c r="B5004" s="73"/>
    </row>
    <row r="5005" spans="2:2" x14ac:dyDescent="0.25">
      <c r="B5005" s="73"/>
    </row>
    <row r="5006" spans="2:2" x14ac:dyDescent="0.25">
      <c r="B5006" s="73"/>
    </row>
    <row r="5007" spans="2:2" x14ac:dyDescent="0.25">
      <c r="B5007" s="73"/>
    </row>
    <row r="5008" spans="2:2" x14ac:dyDescent="0.25">
      <c r="B5008" s="73"/>
    </row>
    <row r="5009" spans="2:2" x14ac:dyDescent="0.25">
      <c r="B5009" s="73"/>
    </row>
    <row r="5010" spans="2:2" x14ac:dyDescent="0.25">
      <c r="B5010" s="73"/>
    </row>
    <row r="5011" spans="2:2" x14ac:dyDescent="0.25">
      <c r="B5011" s="73"/>
    </row>
    <row r="5012" spans="2:2" x14ac:dyDescent="0.25">
      <c r="B5012" s="73"/>
    </row>
    <row r="5013" spans="2:2" x14ac:dyDescent="0.25">
      <c r="B5013" s="73"/>
    </row>
    <row r="5014" spans="2:2" x14ac:dyDescent="0.25">
      <c r="B5014" s="73"/>
    </row>
    <row r="5015" spans="2:2" x14ac:dyDescent="0.25">
      <c r="B5015" s="73"/>
    </row>
    <row r="5016" spans="2:2" x14ac:dyDescent="0.25">
      <c r="B5016" s="73"/>
    </row>
    <row r="5017" spans="2:2" x14ac:dyDescent="0.25">
      <c r="B5017" s="73"/>
    </row>
    <row r="5018" spans="2:2" x14ac:dyDescent="0.25">
      <c r="B5018" s="73"/>
    </row>
    <row r="5019" spans="2:2" x14ac:dyDescent="0.25">
      <c r="B5019" s="73"/>
    </row>
    <row r="5020" spans="2:2" x14ac:dyDescent="0.25">
      <c r="B5020" s="73"/>
    </row>
    <row r="5021" spans="2:2" x14ac:dyDescent="0.25">
      <c r="B5021" s="73"/>
    </row>
    <row r="5022" spans="2:2" x14ac:dyDescent="0.25">
      <c r="B5022" s="73"/>
    </row>
    <row r="5023" spans="2:2" x14ac:dyDescent="0.25">
      <c r="B5023" s="73"/>
    </row>
    <row r="5024" spans="2:2" x14ac:dyDescent="0.25">
      <c r="B5024" s="73"/>
    </row>
    <row r="5025" spans="2:2" x14ac:dyDescent="0.25">
      <c r="B5025" s="73"/>
    </row>
    <row r="5026" spans="2:2" x14ac:dyDescent="0.25">
      <c r="B5026" s="73"/>
    </row>
    <row r="5027" spans="2:2" x14ac:dyDescent="0.25">
      <c r="B5027" s="73"/>
    </row>
    <row r="5028" spans="2:2" x14ac:dyDescent="0.25">
      <c r="B5028" s="73"/>
    </row>
    <row r="5029" spans="2:2" x14ac:dyDescent="0.25">
      <c r="B5029" s="73"/>
    </row>
    <row r="5030" spans="2:2" x14ac:dyDescent="0.25">
      <c r="B5030" s="73"/>
    </row>
    <row r="5031" spans="2:2" x14ac:dyDescent="0.25">
      <c r="B5031" s="73"/>
    </row>
    <row r="5032" spans="2:2" x14ac:dyDescent="0.25">
      <c r="B5032" s="73"/>
    </row>
    <row r="5033" spans="2:2" x14ac:dyDescent="0.25">
      <c r="B5033" s="73"/>
    </row>
    <row r="5034" spans="2:2" x14ac:dyDescent="0.25">
      <c r="B5034" s="73"/>
    </row>
    <row r="5035" spans="2:2" x14ac:dyDescent="0.25">
      <c r="B5035" s="73"/>
    </row>
    <row r="5036" spans="2:2" x14ac:dyDescent="0.25">
      <c r="B5036" s="73"/>
    </row>
    <row r="5037" spans="2:2" x14ac:dyDescent="0.25">
      <c r="B5037" s="73"/>
    </row>
    <row r="5038" spans="2:2" x14ac:dyDescent="0.25">
      <c r="B5038" s="73"/>
    </row>
    <row r="5039" spans="2:2" x14ac:dyDescent="0.25">
      <c r="B5039" s="73"/>
    </row>
    <row r="5040" spans="2:2" x14ac:dyDescent="0.25">
      <c r="B5040" s="73"/>
    </row>
    <row r="5041" spans="2:2" x14ac:dyDescent="0.25">
      <c r="B5041" s="73"/>
    </row>
    <row r="5042" spans="2:2" x14ac:dyDescent="0.25">
      <c r="B5042" s="73"/>
    </row>
    <row r="5043" spans="2:2" x14ac:dyDescent="0.25">
      <c r="B5043" s="73"/>
    </row>
    <row r="5044" spans="2:2" x14ac:dyDescent="0.25">
      <c r="B5044" s="73"/>
    </row>
    <row r="5045" spans="2:2" x14ac:dyDescent="0.25">
      <c r="B5045" s="73"/>
    </row>
    <row r="5046" spans="2:2" x14ac:dyDescent="0.25">
      <c r="B5046" s="73"/>
    </row>
    <row r="5047" spans="2:2" x14ac:dyDescent="0.25">
      <c r="B5047" s="73"/>
    </row>
    <row r="5048" spans="2:2" x14ac:dyDescent="0.25">
      <c r="B5048" s="73"/>
    </row>
    <row r="5049" spans="2:2" x14ac:dyDescent="0.25">
      <c r="B5049" s="73"/>
    </row>
    <row r="5050" spans="2:2" x14ac:dyDescent="0.25">
      <c r="B5050" s="73"/>
    </row>
    <row r="5051" spans="2:2" x14ac:dyDescent="0.25">
      <c r="B5051" s="73"/>
    </row>
    <row r="5052" spans="2:2" x14ac:dyDescent="0.25">
      <c r="B5052" s="73"/>
    </row>
    <row r="5053" spans="2:2" x14ac:dyDescent="0.25">
      <c r="B5053" s="73"/>
    </row>
    <row r="5054" spans="2:2" x14ac:dyDescent="0.25">
      <c r="B5054" s="73"/>
    </row>
    <row r="5055" spans="2:2" x14ac:dyDescent="0.25">
      <c r="B5055" s="73"/>
    </row>
    <row r="5056" spans="2:2" x14ac:dyDescent="0.25">
      <c r="B5056" s="73"/>
    </row>
    <row r="5057" spans="2:2" x14ac:dyDescent="0.25">
      <c r="B5057" s="73"/>
    </row>
    <row r="5058" spans="2:2" x14ac:dyDescent="0.25">
      <c r="B5058" s="73"/>
    </row>
    <row r="5059" spans="2:2" x14ac:dyDescent="0.25">
      <c r="B5059" s="73"/>
    </row>
    <row r="5060" spans="2:2" x14ac:dyDescent="0.25">
      <c r="B5060" s="73"/>
    </row>
    <row r="5061" spans="2:2" x14ac:dyDescent="0.25">
      <c r="B5061" s="73"/>
    </row>
    <row r="5062" spans="2:2" x14ac:dyDescent="0.25">
      <c r="B5062" s="73"/>
    </row>
    <row r="5063" spans="2:2" x14ac:dyDescent="0.25">
      <c r="B5063" s="73"/>
    </row>
    <row r="5064" spans="2:2" x14ac:dyDescent="0.25">
      <c r="B5064" s="73"/>
    </row>
    <row r="5065" spans="2:2" x14ac:dyDescent="0.25">
      <c r="B5065" s="73"/>
    </row>
    <row r="5066" spans="2:2" x14ac:dyDescent="0.25">
      <c r="B5066" s="73"/>
    </row>
    <row r="5067" spans="2:2" x14ac:dyDescent="0.25">
      <c r="B5067" s="73"/>
    </row>
    <row r="5068" spans="2:2" x14ac:dyDescent="0.25">
      <c r="B5068" s="73"/>
    </row>
    <row r="5069" spans="2:2" x14ac:dyDescent="0.25">
      <c r="B5069" s="73"/>
    </row>
    <row r="5070" spans="2:2" x14ac:dyDescent="0.25">
      <c r="B5070" s="73"/>
    </row>
    <row r="5071" spans="2:2" x14ac:dyDescent="0.25">
      <c r="B5071" s="73"/>
    </row>
    <row r="5072" spans="2:2" x14ac:dyDescent="0.25">
      <c r="B5072" s="73"/>
    </row>
    <row r="5073" spans="2:2" x14ac:dyDescent="0.25">
      <c r="B5073" s="73"/>
    </row>
    <row r="5074" spans="2:2" x14ac:dyDescent="0.25">
      <c r="B5074" s="73"/>
    </row>
    <row r="5075" spans="2:2" x14ac:dyDescent="0.25">
      <c r="B5075" s="73"/>
    </row>
    <row r="5076" spans="2:2" x14ac:dyDescent="0.25">
      <c r="B5076" s="73"/>
    </row>
    <row r="5077" spans="2:2" x14ac:dyDescent="0.25">
      <c r="B5077" s="73"/>
    </row>
    <row r="5078" spans="2:2" x14ac:dyDescent="0.25">
      <c r="B5078" s="73"/>
    </row>
    <row r="5079" spans="2:2" x14ac:dyDescent="0.25">
      <c r="B5079" s="73"/>
    </row>
    <row r="5080" spans="2:2" x14ac:dyDescent="0.25">
      <c r="B5080" s="73"/>
    </row>
    <row r="5081" spans="2:2" x14ac:dyDescent="0.25">
      <c r="B5081" s="73"/>
    </row>
    <row r="5082" spans="2:2" x14ac:dyDescent="0.25">
      <c r="B5082" s="73"/>
    </row>
    <row r="5083" spans="2:2" x14ac:dyDescent="0.25">
      <c r="B5083" s="73"/>
    </row>
    <row r="5084" spans="2:2" x14ac:dyDescent="0.25">
      <c r="B5084" s="73"/>
    </row>
    <row r="5085" spans="2:2" x14ac:dyDescent="0.25">
      <c r="B5085" s="73"/>
    </row>
    <row r="5086" spans="2:2" x14ac:dyDescent="0.25">
      <c r="B5086" s="73"/>
    </row>
    <row r="5087" spans="2:2" x14ac:dyDescent="0.25">
      <c r="B5087" s="73"/>
    </row>
    <row r="5088" spans="2:2" x14ac:dyDescent="0.25">
      <c r="B5088" s="73"/>
    </row>
    <row r="5089" spans="2:2" x14ac:dyDescent="0.25">
      <c r="B5089" s="73"/>
    </row>
    <row r="5090" spans="2:2" x14ac:dyDescent="0.25">
      <c r="B5090" s="73"/>
    </row>
    <row r="5091" spans="2:2" x14ac:dyDescent="0.25">
      <c r="B5091" s="73"/>
    </row>
    <row r="5092" spans="2:2" x14ac:dyDescent="0.25">
      <c r="B5092" s="73"/>
    </row>
    <row r="5093" spans="2:2" x14ac:dyDescent="0.25">
      <c r="B5093" s="73"/>
    </row>
    <row r="5094" spans="2:2" x14ac:dyDescent="0.25">
      <c r="B5094" s="73"/>
    </row>
    <row r="5095" spans="2:2" x14ac:dyDescent="0.25">
      <c r="B5095" s="73"/>
    </row>
    <row r="5096" spans="2:2" x14ac:dyDescent="0.25">
      <c r="B5096" s="73"/>
    </row>
    <row r="5097" spans="2:2" x14ac:dyDescent="0.25">
      <c r="B5097" s="73"/>
    </row>
    <row r="5098" spans="2:2" x14ac:dyDescent="0.25">
      <c r="B5098" s="73"/>
    </row>
    <row r="5099" spans="2:2" x14ac:dyDescent="0.25">
      <c r="B5099" s="73"/>
    </row>
    <row r="5100" spans="2:2" x14ac:dyDescent="0.25">
      <c r="B5100" s="73"/>
    </row>
    <row r="5101" spans="2:2" x14ac:dyDescent="0.25">
      <c r="B5101" s="73"/>
    </row>
    <row r="5102" spans="2:2" x14ac:dyDescent="0.25">
      <c r="B5102" s="73"/>
    </row>
    <row r="5103" spans="2:2" x14ac:dyDescent="0.25">
      <c r="B5103" s="73"/>
    </row>
    <row r="5104" spans="2:2" x14ac:dyDescent="0.25">
      <c r="B5104" s="73"/>
    </row>
    <row r="5105" spans="2:2" x14ac:dyDescent="0.25">
      <c r="B5105" s="73"/>
    </row>
    <row r="5106" spans="2:2" x14ac:dyDescent="0.25">
      <c r="B5106" s="73"/>
    </row>
    <row r="5107" spans="2:2" x14ac:dyDescent="0.25">
      <c r="B5107" s="73"/>
    </row>
    <row r="5108" spans="2:2" x14ac:dyDescent="0.25">
      <c r="B5108" s="73"/>
    </row>
    <row r="5109" spans="2:2" x14ac:dyDescent="0.25">
      <c r="B5109" s="73"/>
    </row>
    <row r="5110" spans="2:2" x14ac:dyDescent="0.25">
      <c r="B5110" s="73"/>
    </row>
    <row r="5111" spans="2:2" x14ac:dyDescent="0.25">
      <c r="B5111" s="73"/>
    </row>
    <row r="5112" spans="2:2" x14ac:dyDescent="0.25">
      <c r="B5112" s="73"/>
    </row>
    <row r="5113" spans="2:2" x14ac:dyDescent="0.25">
      <c r="B5113" s="73"/>
    </row>
    <row r="5114" spans="2:2" x14ac:dyDescent="0.25">
      <c r="B5114" s="73"/>
    </row>
    <row r="5115" spans="2:2" x14ac:dyDescent="0.25">
      <c r="B5115" s="73"/>
    </row>
    <row r="5116" spans="2:2" x14ac:dyDescent="0.25">
      <c r="B5116" s="73"/>
    </row>
    <row r="5117" spans="2:2" x14ac:dyDescent="0.25">
      <c r="B5117" s="73"/>
    </row>
    <row r="5118" spans="2:2" x14ac:dyDescent="0.25">
      <c r="B5118" s="73"/>
    </row>
    <row r="5119" spans="2:2" x14ac:dyDescent="0.25">
      <c r="B5119" s="73"/>
    </row>
    <row r="5120" spans="2:2" x14ac:dyDescent="0.25">
      <c r="B5120" s="73"/>
    </row>
    <row r="5121" spans="2:2" x14ac:dyDescent="0.25">
      <c r="B5121" s="73"/>
    </row>
    <row r="5122" spans="2:2" x14ac:dyDescent="0.25">
      <c r="B5122" s="73"/>
    </row>
    <row r="5123" spans="2:2" x14ac:dyDescent="0.25">
      <c r="B5123" s="73"/>
    </row>
    <row r="5124" spans="2:2" x14ac:dyDescent="0.25">
      <c r="B5124" s="73"/>
    </row>
    <row r="5125" spans="2:2" x14ac:dyDescent="0.25">
      <c r="B5125" s="73"/>
    </row>
    <row r="5126" spans="2:2" x14ac:dyDescent="0.25">
      <c r="B5126" s="73"/>
    </row>
    <row r="5127" spans="2:2" x14ac:dyDescent="0.25">
      <c r="B5127" s="73"/>
    </row>
    <row r="5128" spans="2:2" x14ac:dyDescent="0.25">
      <c r="B5128" s="73"/>
    </row>
    <row r="5129" spans="2:2" x14ac:dyDescent="0.25">
      <c r="B5129" s="73"/>
    </row>
    <row r="5130" spans="2:2" x14ac:dyDescent="0.25">
      <c r="B5130" s="73"/>
    </row>
    <row r="5131" spans="2:2" x14ac:dyDescent="0.25">
      <c r="B5131" s="73"/>
    </row>
    <row r="5132" spans="2:2" x14ac:dyDescent="0.25">
      <c r="B5132" s="73"/>
    </row>
    <row r="5133" spans="2:2" x14ac:dyDescent="0.25">
      <c r="B5133" s="73"/>
    </row>
    <row r="5134" spans="2:2" x14ac:dyDescent="0.25">
      <c r="B5134" s="73"/>
    </row>
    <row r="5135" spans="2:2" x14ac:dyDescent="0.25">
      <c r="B5135" s="73"/>
    </row>
    <row r="5136" spans="2:2" x14ac:dyDescent="0.25">
      <c r="B5136" s="73"/>
    </row>
    <row r="5137" spans="2:2" x14ac:dyDescent="0.25">
      <c r="B5137" s="73"/>
    </row>
    <row r="5138" spans="2:2" x14ac:dyDescent="0.25">
      <c r="B5138" s="73"/>
    </row>
    <row r="5139" spans="2:2" x14ac:dyDescent="0.25">
      <c r="B5139" s="73"/>
    </row>
    <row r="5140" spans="2:2" x14ac:dyDescent="0.25">
      <c r="B5140" s="73"/>
    </row>
    <row r="5141" spans="2:2" x14ac:dyDescent="0.25">
      <c r="B5141" s="73"/>
    </row>
    <row r="5142" spans="2:2" x14ac:dyDescent="0.25">
      <c r="B5142" s="73"/>
    </row>
    <row r="5143" spans="2:2" x14ac:dyDescent="0.25">
      <c r="B5143" s="73"/>
    </row>
    <row r="5144" spans="2:2" x14ac:dyDescent="0.25">
      <c r="B5144" s="73"/>
    </row>
    <row r="5145" spans="2:2" x14ac:dyDescent="0.25">
      <c r="B5145" s="73"/>
    </row>
    <row r="5146" spans="2:2" x14ac:dyDescent="0.25">
      <c r="B5146" s="73"/>
    </row>
    <row r="5147" spans="2:2" x14ac:dyDescent="0.25">
      <c r="B5147" s="73"/>
    </row>
    <row r="5148" spans="2:2" x14ac:dyDescent="0.25">
      <c r="B5148" s="73"/>
    </row>
    <row r="5149" spans="2:2" x14ac:dyDescent="0.25">
      <c r="B5149" s="73"/>
    </row>
    <row r="5150" spans="2:2" x14ac:dyDescent="0.25">
      <c r="B5150" s="73"/>
    </row>
    <row r="5151" spans="2:2" x14ac:dyDescent="0.25">
      <c r="B5151" s="73"/>
    </row>
    <row r="5152" spans="2:2" x14ac:dyDescent="0.25">
      <c r="B5152" s="73"/>
    </row>
    <row r="5153" spans="2:2" x14ac:dyDescent="0.25">
      <c r="B5153" s="73"/>
    </row>
    <row r="5154" spans="2:2" x14ac:dyDescent="0.25">
      <c r="B5154" s="73"/>
    </row>
    <row r="5155" spans="2:2" x14ac:dyDescent="0.25">
      <c r="B5155" s="73"/>
    </row>
    <row r="5156" spans="2:2" x14ac:dyDescent="0.25">
      <c r="B5156" s="73"/>
    </row>
    <row r="5157" spans="2:2" x14ac:dyDescent="0.25">
      <c r="B5157" s="73"/>
    </row>
    <row r="5158" spans="2:2" x14ac:dyDescent="0.25">
      <c r="B5158" s="73"/>
    </row>
    <row r="5159" spans="2:2" x14ac:dyDescent="0.25">
      <c r="B5159" s="73"/>
    </row>
    <row r="5160" spans="2:2" x14ac:dyDescent="0.25">
      <c r="B5160" s="73"/>
    </row>
    <row r="5161" spans="2:2" x14ac:dyDescent="0.25">
      <c r="B5161" s="73"/>
    </row>
    <row r="5162" spans="2:2" x14ac:dyDescent="0.25">
      <c r="B5162" s="73"/>
    </row>
    <row r="5163" spans="2:2" x14ac:dyDescent="0.25">
      <c r="B5163" s="73"/>
    </row>
    <row r="5164" spans="2:2" x14ac:dyDescent="0.25">
      <c r="B5164" s="73"/>
    </row>
    <row r="5165" spans="2:2" x14ac:dyDescent="0.25">
      <c r="B5165" s="73"/>
    </row>
    <row r="5166" spans="2:2" x14ac:dyDescent="0.25">
      <c r="B5166" s="73"/>
    </row>
    <row r="5167" spans="2:2" x14ac:dyDescent="0.25">
      <c r="B5167" s="73"/>
    </row>
    <row r="5168" spans="2:2" x14ac:dyDescent="0.25">
      <c r="B5168" s="73"/>
    </row>
    <row r="5169" spans="2:2" x14ac:dyDescent="0.25">
      <c r="B5169" s="73"/>
    </row>
    <row r="5170" spans="2:2" x14ac:dyDescent="0.25">
      <c r="B5170" s="73"/>
    </row>
    <row r="5171" spans="2:2" x14ac:dyDescent="0.25">
      <c r="B5171" s="73"/>
    </row>
    <row r="5172" spans="2:2" x14ac:dyDescent="0.25">
      <c r="B5172" s="73"/>
    </row>
    <row r="5173" spans="2:2" x14ac:dyDescent="0.25">
      <c r="B5173" s="73"/>
    </row>
    <row r="5174" spans="2:2" x14ac:dyDescent="0.25">
      <c r="B5174" s="73"/>
    </row>
    <row r="5175" spans="2:2" x14ac:dyDescent="0.25">
      <c r="B5175" s="73"/>
    </row>
    <row r="5176" spans="2:2" x14ac:dyDescent="0.25">
      <c r="B5176" s="73"/>
    </row>
    <row r="5177" spans="2:2" x14ac:dyDescent="0.25">
      <c r="B5177" s="73"/>
    </row>
    <row r="5178" spans="2:2" x14ac:dyDescent="0.25">
      <c r="B5178" s="73"/>
    </row>
    <row r="5179" spans="2:2" x14ac:dyDescent="0.25">
      <c r="B5179" s="73"/>
    </row>
    <row r="5180" spans="2:2" x14ac:dyDescent="0.25">
      <c r="B5180" s="73"/>
    </row>
    <row r="5181" spans="2:2" x14ac:dyDescent="0.25">
      <c r="B5181" s="73"/>
    </row>
    <row r="5182" spans="2:2" x14ac:dyDescent="0.25">
      <c r="B5182" s="73"/>
    </row>
    <row r="5183" spans="2:2" x14ac:dyDescent="0.25">
      <c r="B5183" s="73"/>
    </row>
    <row r="5184" spans="2:2" x14ac:dyDescent="0.25">
      <c r="B5184" s="73"/>
    </row>
    <row r="5185" spans="2:2" x14ac:dyDescent="0.25">
      <c r="B5185" s="73"/>
    </row>
    <row r="5186" spans="2:2" x14ac:dyDescent="0.25">
      <c r="B5186" s="73"/>
    </row>
    <row r="5187" spans="2:2" x14ac:dyDescent="0.25">
      <c r="B5187" s="73"/>
    </row>
    <row r="5188" spans="2:2" x14ac:dyDescent="0.25">
      <c r="B5188" s="73"/>
    </row>
    <row r="5189" spans="2:2" x14ac:dyDescent="0.25">
      <c r="B5189" s="73"/>
    </row>
    <row r="5190" spans="2:2" x14ac:dyDescent="0.25">
      <c r="B5190" s="73"/>
    </row>
    <row r="5191" spans="2:2" x14ac:dyDescent="0.25">
      <c r="B5191" s="73"/>
    </row>
    <row r="5192" spans="2:2" x14ac:dyDescent="0.25">
      <c r="B5192" s="73"/>
    </row>
    <row r="5193" spans="2:2" x14ac:dyDescent="0.25">
      <c r="B5193" s="73"/>
    </row>
    <row r="5194" spans="2:2" x14ac:dyDescent="0.25">
      <c r="B5194" s="73"/>
    </row>
    <row r="5195" spans="2:2" x14ac:dyDescent="0.25">
      <c r="B5195" s="73"/>
    </row>
    <row r="5196" spans="2:2" x14ac:dyDescent="0.25">
      <c r="B5196" s="73"/>
    </row>
    <row r="5197" spans="2:2" x14ac:dyDescent="0.25">
      <c r="B5197" s="73"/>
    </row>
    <row r="5198" spans="2:2" x14ac:dyDescent="0.25">
      <c r="B5198" s="73"/>
    </row>
    <row r="5199" spans="2:2" x14ac:dyDescent="0.25">
      <c r="B5199" s="73"/>
    </row>
    <row r="5200" spans="2:2" x14ac:dyDescent="0.25">
      <c r="B5200" s="73"/>
    </row>
    <row r="5201" spans="2:2" x14ac:dyDescent="0.25">
      <c r="B5201" s="73"/>
    </row>
    <row r="5202" spans="2:2" x14ac:dyDescent="0.25">
      <c r="B5202" s="73"/>
    </row>
    <row r="5203" spans="2:2" x14ac:dyDescent="0.25">
      <c r="B5203" s="73"/>
    </row>
    <row r="5204" spans="2:2" x14ac:dyDescent="0.25">
      <c r="B5204" s="73"/>
    </row>
    <row r="5205" spans="2:2" x14ac:dyDescent="0.25">
      <c r="B5205" s="73"/>
    </row>
    <row r="5206" spans="2:2" x14ac:dyDescent="0.25">
      <c r="B5206" s="73"/>
    </row>
    <row r="5207" spans="2:2" x14ac:dyDescent="0.25">
      <c r="B5207" s="73"/>
    </row>
    <row r="5208" spans="2:2" x14ac:dyDescent="0.25">
      <c r="B5208" s="73"/>
    </row>
    <row r="5209" spans="2:2" x14ac:dyDescent="0.25">
      <c r="B5209" s="73"/>
    </row>
    <row r="5210" spans="2:2" x14ac:dyDescent="0.25">
      <c r="B5210" s="73"/>
    </row>
    <row r="5211" spans="2:2" x14ac:dyDescent="0.25">
      <c r="B5211" s="73"/>
    </row>
    <row r="5212" spans="2:2" x14ac:dyDescent="0.25">
      <c r="B5212" s="73"/>
    </row>
    <row r="5213" spans="2:2" x14ac:dyDescent="0.25">
      <c r="B5213" s="73"/>
    </row>
    <row r="5214" spans="2:2" x14ac:dyDescent="0.25">
      <c r="B5214" s="73"/>
    </row>
    <row r="5215" spans="2:2" x14ac:dyDescent="0.25">
      <c r="B5215" s="73"/>
    </row>
    <row r="5216" spans="2:2" x14ac:dyDescent="0.25">
      <c r="B5216" s="73"/>
    </row>
    <row r="5217" spans="2:2" x14ac:dyDescent="0.25">
      <c r="B5217" s="73"/>
    </row>
    <row r="5218" spans="2:2" x14ac:dyDescent="0.25">
      <c r="B5218" s="73"/>
    </row>
    <row r="5219" spans="2:2" x14ac:dyDescent="0.25">
      <c r="B5219" s="73"/>
    </row>
    <row r="5220" spans="2:2" x14ac:dyDescent="0.25">
      <c r="B5220" s="73"/>
    </row>
    <row r="5221" spans="2:2" x14ac:dyDescent="0.25">
      <c r="B5221" s="73"/>
    </row>
    <row r="5222" spans="2:2" x14ac:dyDescent="0.25">
      <c r="B5222" s="73"/>
    </row>
    <row r="5223" spans="2:2" x14ac:dyDescent="0.25">
      <c r="B5223" s="73"/>
    </row>
    <row r="5224" spans="2:2" x14ac:dyDescent="0.25">
      <c r="B5224" s="73"/>
    </row>
    <row r="5225" spans="2:2" x14ac:dyDescent="0.25">
      <c r="B5225" s="73"/>
    </row>
    <row r="5226" spans="2:2" x14ac:dyDescent="0.25">
      <c r="B5226" s="73"/>
    </row>
    <row r="5227" spans="2:2" x14ac:dyDescent="0.25">
      <c r="B5227" s="73"/>
    </row>
    <row r="5228" spans="2:2" x14ac:dyDescent="0.25">
      <c r="B5228" s="73"/>
    </row>
    <row r="5229" spans="2:2" x14ac:dyDescent="0.25">
      <c r="B5229" s="73"/>
    </row>
    <row r="5230" spans="2:2" x14ac:dyDescent="0.25">
      <c r="B5230" s="73"/>
    </row>
    <row r="5231" spans="2:2" x14ac:dyDescent="0.25">
      <c r="B5231" s="73"/>
    </row>
    <row r="5232" spans="2:2" x14ac:dyDescent="0.25">
      <c r="B5232" s="73"/>
    </row>
    <row r="5233" spans="2:2" x14ac:dyDescent="0.25">
      <c r="B5233" s="73"/>
    </row>
    <row r="5234" spans="2:2" x14ac:dyDescent="0.25">
      <c r="B5234" s="73"/>
    </row>
    <row r="5235" spans="2:2" x14ac:dyDescent="0.25">
      <c r="B5235" s="73"/>
    </row>
    <row r="5236" spans="2:2" x14ac:dyDescent="0.25">
      <c r="B5236" s="73"/>
    </row>
    <row r="5237" spans="2:2" x14ac:dyDescent="0.25">
      <c r="B5237" s="73"/>
    </row>
    <row r="5238" spans="2:2" x14ac:dyDescent="0.25">
      <c r="B5238" s="73"/>
    </row>
    <row r="5239" spans="2:2" x14ac:dyDescent="0.25">
      <c r="B5239" s="73"/>
    </row>
    <row r="5240" spans="2:2" x14ac:dyDescent="0.25">
      <c r="B5240" s="73"/>
    </row>
    <row r="5241" spans="2:2" x14ac:dyDescent="0.25">
      <c r="B5241" s="73"/>
    </row>
    <row r="5242" spans="2:2" x14ac:dyDescent="0.25">
      <c r="B5242" s="73"/>
    </row>
    <row r="5243" spans="2:2" x14ac:dyDescent="0.25">
      <c r="B5243" s="73"/>
    </row>
    <row r="5244" spans="2:2" x14ac:dyDescent="0.25">
      <c r="B5244" s="73"/>
    </row>
    <row r="5245" spans="2:2" x14ac:dyDescent="0.25">
      <c r="B5245" s="73"/>
    </row>
    <row r="5246" spans="2:2" x14ac:dyDescent="0.25">
      <c r="B5246" s="73"/>
    </row>
    <row r="5247" spans="2:2" x14ac:dyDescent="0.25">
      <c r="B5247" s="73"/>
    </row>
    <row r="5248" spans="2:2" x14ac:dyDescent="0.25">
      <c r="B5248" s="73"/>
    </row>
    <row r="5249" spans="2:2" x14ac:dyDescent="0.25">
      <c r="B5249" s="73"/>
    </row>
    <row r="5250" spans="2:2" x14ac:dyDescent="0.25">
      <c r="B5250" s="73"/>
    </row>
    <row r="5251" spans="2:2" x14ac:dyDescent="0.25">
      <c r="B5251" s="73"/>
    </row>
    <row r="5252" spans="2:2" x14ac:dyDescent="0.25">
      <c r="B5252" s="73"/>
    </row>
    <row r="5253" spans="2:2" x14ac:dyDescent="0.25">
      <c r="B5253" s="73"/>
    </row>
    <row r="5254" spans="2:2" x14ac:dyDescent="0.25">
      <c r="B5254" s="73"/>
    </row>
    <row r="5255" spans="2:2" x14ac:dyDescent="0.25">
      <c r="B5255" s="73"/>
    </row>
    <row r="5256" spans="2:2" x14ac:dyDescent="0.25">
      <c r="B5256" s="73"/>
    </row>
    <row r="5257" spans="2:2" x14ac:dyDescent="0.25">
      <c r="B5257" s="73"/>
    </row>
    <row r="5258" spans="2:2" x14ac:dyDescent="0.25">
      <c r="B5258" s="73"/>
    </row>
    <row r="5259" spans="2:2" x14ac:dyDescent="0.25">
      <c r="B5259" s="73"/>
    </row>
    <row r="5260" spans="2:2" x14ac:dyDescent="0.25">
      <c r="B5260" s="73"/>
    </row>
    <row r="5261" spans="2:2" x14ac:dyDescent="0.25">
      <c r="B5261" s="73"/>
    </row>
    <row r="5262" spans="2:2" x14ac:dyDescent="0.25">
      <c r="B5262" s="73"/>
    </row>
    <row r="5263" spans="2:2" x14ac:dyDescent="0.25">
      <c r="B5263" s="73"/>
    </row>
    <row r="5264" spans="2:2" x14ac:dyDescent="0.25">
      <c r="B5264" s="73"/>
    </row>
    <row r="5265" spans="2:2" x14ac:dyDescent="0.25">
      <c r="B5265" s="73"/>
    </row>
    <row r="5266" spans="2:2" x14ac:dyDescent="0.25">
      <c r="B5266" s="73"/>
    </row>
    <row r="5267" spans="2:2" x14ac:dyDescent="0.25">
      <c r="B5267" s="73"/>
    </row>
    <row r="5268" spans="2:2" x14ac:dyDescent="0.25">
      <c r="B5268" s="73"/>
    </row>
    <row r="5269" spans="2:2" x14ac:dyDescent="0.25">
      <c r="B5269" s="73"/>
    </row>
    <row r="5270" spans="2:2" x14ac:dyDescent="0.25">
      <c r="B5270" s="73"/>
    </row>
    <row r="5271" spans="2:2" x14ac:dyDescent="0.25">
      <c r="B5271" s="73"/>
    </row>
    <row r="5272" spans="2:2" x14ac:dyDescent="0.25">
      <c r="B5272" s="73"/>
    </row>
    <row r="5273" spans="2:2" x14ac:dyDescent="0.25">
      <c r="B5273" s="73"/>
    </row>
    <row r="5274" spans="2:2" x14ac:dyDescent="0.25">
      <c r="B5274" s="73"/>
    </row>
    <row r="5275" spans="2:2" x14ac:dyDescent="0.25">
      <c r="B5275" s="73"/>
    </row>
    <row r="5276" spans="2:2" x14ac:dyDescent="0.25">
      <c r="B5276" s="73"/>
    </row>
    <row r="5277" spans="2:2" x14ac:dyDescent="0.25">
      <c r="B5277" s="73"/>
    </row>
    <row r="5278" spans="2:2" x14ac:dyDescent="0.25">
      <c r="B5278" s="73"/>
    </row>
    <row r="5279" spans="2:2" x14ac:dyDescent="0.25">
      <c r="B5279" s="73"/>
    </row>
    <row r="5280" spans="2:2" x14ac:dyDescent="0.25">
      <c r="B5280" s="73"/>
    </row>
    <row r="5281" spans="2:2" x14ac:dyDescent="0.25">
      <c r="B5281" s="73"/>
    </row>
    <row r="5282" spans="2:2" x14ac:dyDescent="0.25">
      <c r="B5282" s="73"/>
    </row>
    <row r="5283" spans="2:2" x14ac:dyDescent="0.25">
      <c r="B5283" s="73"/>
    </row>
    <row r="5284" spans="2:2" x14ac:dyDescent="0.25">
      <c r="B5284" s="73"/>
    </row>
    <row r="5285" spans="2:2" x14ac:dyDescent="0.25">
      <c r="B5285" s="73"/>
    </row>
    <row r="5286" spans="2:2" x14ac:dyDescent="0.25">
      <c r="B5286" s="73"/>
    </row>
    <row r="5287" spans="2:2" x14ac:dyDescent="0.25">
      <c r="B5287" s="73"/>
    </row>
    <row r="5288" spans="2:2" x14ac:dyDescent="0.25">
      <c r="B5288" s="73"/>
    </row>
    <row r="5289" spans="2:2" x14ac:dyDescent="0.25">
      <c r="B5289" s="73"/>
    </row>
    <row r="5290" spans="2:2" x14ac:dyDescent="0.25">
      <c r="B5290" s="73"/>
    </row>
    <row r="5291" spans="2:2" x14ac:dyDescent="0.25">
      <c r="B5291" s="73"/>
    </row>
    <row r="5292" spans="2:2" x14ac:dyDescent="0.25">
      <c r="B5292" s="73"/>
    </row>
    <row r="5293" spans="2:2" x14ac:dyDescent="0.25">
      <c r="B5293" s="73"/>
    </row>
    <row r="5294" spans="2:2" x14ac:dyDescent="0.25">
      <c r="B5294" s="73"/>
    </row>
    <row r="5295" spans="2:2" x14ac:dyDescent="0.25">
      <c r="B5295" s="73"/>
    </row>
    <row r="5296" spans="2:2" x14ac:dyDescent="0.25">
      <c r="B5296" s="73"/>
    </row>
    <row r="5297" spans="2:2" x14ac:dyDescent="0.25">
      <c r="B5297" s="73"/>
    </row>
    <row r="5298" spans="2:2" x14ac:dyDescent="0.25">
      <c r="B5298" s="73"/>
    </row>
    <row r="5299" spans="2:2" x14ac:dyDescent="0.25">
      <c r="B5299" s="73"/>
    </row>
    <row r="5300" spans="2:2" x14ac:dyDescent="0.25">
      <c r="B5300" s="73"/>
    </row>
    <row r="5301" spans="2:2" x14ac:dyDescent="0.25">
      <c r="B5301" s="73"/>
    </row>
    <row r="5302" spans="2:2" x14ac:dyDescent="0.25">
      <c r="B5302" s="73"/>
    </row>
    <row r="5303" spans="2:2" x14ac:dyDescent="0.25">
      <c r="B5303" s="73"/>
    </row>
    <row r="5304" spans="2:2" x14ac:dyDescent="0.25">
      <c r="B5304" s="73"/>
    </row>
    <row r="5305" spans="2:2" x14ac:dyDescent="0.25">
      <c r="B5305" s="73"/>
    </row>
    <row r="5306" spans="2:2" x14ac:dyDescent="0.25">
      <c r="B5306" s="73"/>
    </row>
    <row r="5307" spans="2:2" x14ac:dyDescent="0.25">
      <c r="B5307" s="73"/>
    </row>
    <row r="5308" spans="2:2" x14ac:dyDescent="0.25">
      <c r="B5308" s="73"/>
    </row>
    <row r="5309" spans="2:2" x14ac:dyDescent="0.25">
      <c r="B5309" s="73"/>
    </row>
    <row r="5310" spans="2:2" x14ac:dyDescent="0.25">
      <c r="B5310" s="73"/>
    </row>
    <row r="5311" spans="2:2" x14ac:dyDescent="0.25">
      <c r="B5311" s="73"/>
    </row>
    <row r="5312" spans="2:2" x14ac:dyDescent="0.25">
      <c r="B5312" s="73"/>
    </row>
    <row r="5313" spans="2:2" x14ac:dyDescent="0.25">
      <c r="B5313" s="73"/>
    </row>
    <row r="5314" spans="2:2" x14ac:dyDescent="0.25">
      <c r="B5314" s="73"/>
    </row>
    <row r="5315" spans="2:2" x14ac:dyDescent="0.25">
      <c r="B5315" s="73"/>
    </row>
    <row r="5316" spans="2:2" x14ac:dyDescent="0.25">
      <c r="B5316" s="73"/>
    </row>
    <row r="5317" spans="2:2" x14ac:dyDescent="0.25">
      <c r="B5317" s="73"/>
    </row>
    <row r="5318" spans="2:2" x14ac:dyDescent="0.25">
      <c r="B5318" s="73"/>
    </row>
    <row r="5319" spans="2:2" x14ac:dyDescent="0.25">
      <c r="B5319" s="73"/>
    </row>
    <row r="5320" spans="2:2" x14ac:dyDescent="0.25">
      <c r="B5320" s="73"/>
    </row>
    <row r="5321" spans="2:2" x14ac:dyDescent="0.25">
      <c r="B5321" s="73"/>
    </row>
    <row r="5322" spans="2:2" x14ac:dyDescent="0.25">
      <c r="B5322" s="73"/>
    </row>
    <row r="5323" spans="2:2" x14ac:dyDescent="0.25">
      <c r="B5323" s="73"/>
    </row>
    <row r="5324" spans="2:2" x14ac:dyDescent="0.25">
      <c r="B5324" s="73"/>
    </row>
    <row r="5325" spans="2:2" x14ac:dyDescent="0.25">
      <c r="B5325" s="73"/>
    </row>
    <row r="5326" spans="2:2" x14ac:dyDescent="0.25">
      <c r="B5326" s="73"/>
    </row>
    <row r="5327" spans="2:2" x14ac:dyDescent="0.25">
      <c r="B5327" s="73"/>
    </row>
    <row r="5328" spans="2:2" x14ac:dyDescent="0.25">
      <c r="B5328" s="73"/>
    </row>
    <row r="5329" spans="2:2" x14ac:dyDescent="0.25">
      <c r="B5329" s="73"/>
    </row>
    <row r="5330" spans="2:2" x14ac:dyDescent="0.25">
      <c r="B5330" s="73"/>
    </row>
    <row r="5331" spans="2:2" x14ac:dyDescent="0.25">
      <c r="B5331" s="73"/>
    </row>
    <row r="5332" spans="2:2" x14ac:dyDescent="0.25">
      <c r="B5332" s="73"/>
    </row>
    <row r="5333" spans="2:2" x14ac:dyDescent="0.25">
      <c r="B5333" s="73"/>
    </row>
    <row r="5334" spans="2:2" x14ac:dyDescent="0.25">
      <c r="B5334" s="73"/>
    </row>
    <row r="5335" spans="2:2" x14ac:dyDescent="0.25">
      <c r="B5335" s="73"/>
    </row>
    <row r="5336" spans="2:2" x14ac:dyDescent="0.25">
      <c r="B5336" s="73"/>
    </row>
    <row r="5337" spans="2:2" x14ac:dyDescent="0.25">
      <c r="B5337" s="73"/>
    </row>
    <row r="5338" spans="2:2" x14ac:dyDescent="0.25">
      <c r="B5338" s="73"/>
    </row>
    <row r="5339" spans="2:2" x14ac:dyDescent="0.25">
      <c r="B5339" s="73"/>
    </row>
    <row r="5340" spans="2:2" x14ac:dyDescent="0.25">
      <c r="B5340" s="73"/>
    </row>
    <row r="5341" spans="2:2" x14ac:dyDescent="0.25">
      <c r="B5341" s="73"/>
    </row>
    <row r="5342" spans="2:2" x14ac:dyDescent="0.25">
      <c r="B5342" s="73"/>
    </row>
    <row r="5343" spans="2:2" x14ac:dyDescent="0.25">
      <c r="B5343" s="73"/>
    </row>
    <row r="5344" spans="2:2" x14ac:dyDescent="0.25">
      <c r="B5344" s="73"/>
    </row>
    <row r="5345" spans="2:2" x14ac:dyDescent="0.25">
      <c r="B5345" s="73"/>
    </row>
    <row r="5346" spans="2:2" x14ac:dyDescent="0.25">
      <c r="B5346" s="73"/>
    </row>
    <row r="5347" spans="2:2" x14ac:dyDescent="0.25">
      <c r="B5347" s="73"/>
    </row>
    <row r="5348" spans="2:2" x14ac:dyDescent="0.25">
      <c r="B5348" s="73"/>
    </row>
    <row r="5349" spans="2:2" x14ac:dyDescent="0.25">
      <c r="B5349" s="73"/>
    </row>
    <row r="5350" spans="2:2" x14ac:dyDescent="0.25">
      <c r="B5350" s="73"/>
    </row>
    <row r="5351" spans="2:2" x14ac:dyDescent="0.25">
      <c r="B5351" s="73"/>
    </row>
    <row r="5352" spans="2:2" x14ac:dyDescent="0.25">
      <c r="B5352" s="73"/>
    </row>
    <row r="5353" spans="2:2" x14ac:dyDescent="0.25">
      <c r="B5353" s="73"/>
    </row>
    <row r="5354" spans="2:2" x14ac:dyDescent="0.25">
      <c r="B5354" s="73"/>
    </row>
    <row r="5355" spans="2:2" x14ac:dyDescent="0.25">
      <c r="B5355" s="73"/>
    </row>
    <row r="5356" spans="2:2" x14ac:dyDescent="0.25">
      <c r="B5356" s="73"/>
    </row>
    <row r="5357" spans="2:2" x14ac:dyDescent="0.25">
      <c r="B5357" s="73"/>
    </row>
    <row r="5358" spans="2:2" x14ac:dyDescent="0.25">
      <c r="B5358" s="73"/>
    </row>
    <row r="5359" spans="2:2" x14ac:dyDescent="0.25">
      <c r="B5359" s="73"/>
    </row>
    <row r="5360" spans="2:2" x14ac:dyDescent="0.25">
      <c r="B5360" s="73"/>
    </row>
    <row r="5361" spans="2:2" x14ac:dyDescent="0.25">
      <c r="B5361" s="73"/>
    </row>
    <row r="5362" spans="2:2" x14ac:dyDescent="0.25">
      <c r="B5362" s="73"/>
    </row>
    <row r="5363" spans="2:2" x14ac:dyDescent="0.25">
      <c r="B5363" s="73"/>
    </row>
    <row r="5364" spans="2:2" x14ac:dyDescent="0.25">
      <c r="B5364" s="73"/>
    </row>
    <row r="5365" spans="2:2" x14ac:dyDescent="0.25">
      <c r="B5365" s="73"/>
    </row>
    <row r="5366" spans="2:2" x14ac:dyDescent="0.25">
      <c r="B5366" s="73"/>
    </row>
    <row r="5367" spans="2:2" x14ac:dyDescent="0.25">
      <c r="B5367" s="73"/>
    </row>
    <row r="5368" spans="2:2" x14ac:dyDescent="0.25">
      <c r="B5368" s="73"/>
    </row>
    <row r="5369" spans="2:2" x14ac:dyDescent="0.25">
      <c r="B5369" s="73"/>
    </row>
    <row r="5370" spans="2:2" x14ac:dyDescent="0.25">
      <c r="B5370" s="73"/>
    </row>
    <row r="5371" spans="2:2" x14ac:dyDescent="0.25">
      <c r="B5371" s="73"/>
    </row>
    <row r="5372" spans="2:2" x14ac:dyDescent="0.25">
      <c r="B5372" s="73"/>
    </row>
    <row r="5373" spans="2:2" x14ac:dyDescent="0.25">
      <c r="B5373" s="73"/>
    </row>
    <row r="5374" spans="2:2" x14ac:dyDescent="0.25">
      <c r="B5374" s="73"/>
    </row>
    <row r="5375" spans="2:2" x14ac:dyDescent="0.25">
      <c r="B5375" s="73"/>
    </row>
    <row r="5376" spans="2:2" x14ac:dyDescent="0.25">
      <c r="B5376" s="73"/>
    </row>
    <row r="5377" spans="2:2" x14ac:dyDescent="0.25">
      <c r="B5377" s="73"/>
    </row>
    <row r="5378" spans="2:2" x14ac:dyDescent="0.25">
      <c r="B5378" s="73"/>
    </row>
    <row r="5379" spans="2:2" x14ac:dyDescent="0.25">
      <c r="B5379" s="73"/>
    </row>
    <row r="5380" spans="2:2" x14ac:dyDescent="0.25">
      <c r="B5380" s="73"/>
    </row>
    <row r="5381" spans="2:2" x14ac:dyDescent="0.25">
      <c r="B5381" s="73"/>
    </row>
    <row r="5382" spans="2:2" x14ac:dyDescent="0.25">
      <c r="B5382" s="73"/>
    </row>
    <row r="5383" spans="2:2" x14ac:dyDescent="0.25">
      <c r="B5383" s="73"/>
    </row>
    <row r="5384" spans="2:2" x14ac:dyDescent="0.25">
      <c r="B5384" s="73"/>
    </row>
    <row r="5385" spans="2:2" x14ac:dyDescent="0.25">
      <c r="B5385" s="73"/>
    </row>
    <row r="5386" spans="2:2" x14ac:dyDescent="0.25">
      <c r="B5386" s="73"/>
    </row>
    <row r="5387" spans="2:2" x14ac:dyDescent="0.25">
      <c r="B5387" s="73"/>
    </row>
    <row r="5388" spans="2:2" x14ac:dyDescent="0.25">
      <c r="B5388" s="73"/>
    </row>
    <row r="5389" spans="2:2" x14ac:dyDescent="0.25">
      <c r="B5389" s="73"/>
    </row>
    <row r="5390" spans="2:2" x14ac:dyDescent="0.25">
      <c r="B5390" s="73"/>
    </row>
    <row r="5391" spans="2:2" x14ac:dyDescent="0.25">
      <c r="B5391" s="73"/>
    </row>
    <row r="5392" spans="2:2" x14ac:dyDescent="0.25">
      <c r="B5392" s="73"/>
    </row>
    <row r="5393" spans="2:2" x14ac:dyDescent="0.25">
      <c r="B5393" s="73"/>
    </row>
    <row r="5394" spans="2:2" x14ac:dyDescent="0.25">
      <c r="B5394" s="73"/>
    </row>
    <row r="5395" spans="2:2" x14ac:dyDescent="0.25">
      <c r="B5395" s="73"/>
    </row>
    <row r="5396" spans="2:2" x14ac:dyDescent="0.25">
      <c r="B5396" s="73"/>
    </row>
    <row r="5397" spans="2:2" x14ac:dyDescent="0.25">
      <c r="B5397" s="73"/>
    </row>
    <row r="5398" spans="2:2" x14ac:dyDescent="0.25">
      <c r="B5398" s="73"/>
    </row>
    <row r="5399" spans="2:2" x14ac:dyDescent="0.25">
      <c r="B5399" s="73"/>
    </row>
    <row r="5400" spans="2:2" x14ac:dyDescent="0.25">
      <c r="B5400" s="73"/>
    </row>
    <row r="5401" spans="2:2" x14ac:dyDescent="0.25">
      <c r="B5401" s="73"/>
    </row>
    <row r="5402" spans="2:2" x14ac:dyDescent="0.25">
      <c r="B5402" s="73"/>
    </row>
    <row r="5403" spans="2:2" x14ac:dyDescent="0.25">
      <c r="B5403" s="73"/>
    </row>
    <row r="5404" spans="2:2" x14ac:dyDescent="0.25">
      <c r="B5404" s="73"/>
    </row>
    <row r="5405" spans="2:2" x14ac:dyDescent="0.25">
      <c r="B5405" s="73"/>
    </row>
    <row r="5406" spans="2:2" x14ac:dyDescent="0.25">
      <c r="B5406" s="73"/>
    </row>
    <row r="5407" spans="2:2" x14ac:dyDescent="0.25">
      <c r="B5407" s="73"/>
    </row>
    <row r="5408" spans="2:2" x14ac:dyDescent="0.25">
      <c r="B5408" s="73"/>
    </row>
    <row r="5409" spans="2:2" x14ac:dyDescent="0.25">
      <c r="B5409" s="73"/>
    </row>
    <row r="5410" spans="2:2" x14ac:dyDescent="0.25">
      <c r="B5410" s="73"/>
    </row>
    <row r="5411" spans="2:2" x14ac:dyDescent="0.25">
      <c r="B5411" s="73"/>
    </row>
    <row r="5412" spans="2:2" x14ac:dyDescent="0.25">
      <c r="B5412" s="73"/>
    </row>
    <row r="5413" spans="2:2" x14ac:dyDescent="0.25">
      <c r="B5413" s="73"/>
    </row>
    <row r="5414" spans="2:2" x14ac:dyDescent="0.25">
      <c r="B5414" s="73"/>
    </row>
    <row r="5415" spans="2:2" x14ac:dyDescent="0.25">
      <c r="B5415" s="73"/>
    </row>
    <row r="5416" spans="2:2" x14ac:dyDescent="0.25">
      <c r="B5416" s="73"/>
    </row>
    <row r="5417" spans="2:2" x14ac:dyDescent="0.25">
      <c r="B5417" s="73"/>
    </row>
    <row r="5418" spans="2:2" x14ac:dyDescent="0.25">
      <c r="B5418" s="73"/>
    </row>
    <row r="5419" spans="2:2" x14ac:dyDescent="0.25">
      <c r="B5419" s="73"/>
    </row>
    <row r="5420" spans="2:2" x14ac:dyDescent="0.25">
      <c r="B5420" s="73"/>
    </row>
    <row r="5421" spans="2:2" x14ac:dyDescent="0.25">
      <c r="B5421" s="73"/>
    </row>
    <row r="5422" spans="2:2" x14ac:dyDescent="0.25">
      <c r="B5422" s="73"/>
    </row>
    <row r="5423" spans="2:2" x14ac:dyDescent="0.25">
      <c r="B5423" s="73"/>
    </row>
    <row r="5424" spans="2:2" x14ac:dyDescent="0.25">
      <c r="B5424" s="73"/>
    </row>
    <row r="5425" spans="2:2" x14ac:dyDescent="0.25">
      <c r="B5425" s="73"/>
    </row>
    <row r="5426" spans="2:2" x14ac:dyDescent="0.25">
      <c r="B5426" s="73"/>
    </row>
    <row r="5427" spans="2:2" x14ac:dyDescent="0.25">
      <c r="B5427" s="73"/>
    </row>
    <row r="5428" spans="2:2" x14ac:dyDescent="0.25">
      <c r="B5428" s="73"/>
    </row>
    <row r="5429" spans="2:2" x14ac:dyDescent="0.25">
      <c r="B5429" s="73"/>
    </row>
    <row r="5430" spans="2:2" x14ac:dyDescent="0.25">
      <c r="B5430" s="73"/>
    </row>
    <row r="5431" spans="2:2" x14ac:dyDescent="0.25">
      <c r="B5431" s="73"/>
    </row>
    <row r="5432" spans="2:2" x14ac:dyDescent="0.25">
      <c r="B5432" s="73"/>
    </row>
    <row r="5433" spans="2:2" x14ac:dyDescent="0.25">
      <c r="B5433" s="73"/>
    </row>
    <row r="5434" spans="2:2" x14ac:dyDescent="0.25">
      <c r="B5434" s="73"/>
    </row>
    <row r="5435" spans="2:2" x14ac:dyDescent="0.25">
      <c r="B5435" s="73"/>
    </row>
    <row r="5436" spans="2:2" x14ac:dyDescent="0.25">
      <c r="B5436" s="73"/>
    </row>
    <row r="5437" spans="2:2" x14ac:dyDescent="0.25">
      <c r="B5437" s="73"/>
    </row>
    <row r="5438" spans="2:2" x14ac:dyDescent="0.25">
      <c r="B5438" s="73"/>
    </row>
    <row r="5439" spans="2:2" x14ac:dyDescent="0.25">
      <c r="B5439" s="73"/>
    </row>
    <row r="5440" spans="2:2" x14ac:dyDescent="0.25">
      <c r="B5440" s="73"/>
    </row>
    <row r="5441" spans="2:2" x14ac:dyDescent="0.25">
      <c r="B5441" s="73"/>
    </row>
    <row r="5442" spans="2:2" x14ac:dyDescent="0.25">
      <c r="B5442" s="73"/>
    </row>
    <row r="5443" spans="2:2" x14ac:dyDescent="0.25">
      <c r="B5443" s="73"/>
    </row>
    <row r="5444" spans="2:2" x14ac:dyDescent="0.25">
      <c r="B5444" s="73"/>
    </row>
    <row r="5445" spans="2:2" x14ac:dyDescent="0.25">
      <c r="B5445" s="73"/>
    </row>
    <row r="5446" spans="2:2" x14ac:dyDescent="0.25">
      <c r="B5446" s="73"/>
    </row>
    <row r="5447" spans="2:2" x14ac:dyDescent="0.25">
      <c r="B5447" s="73"/>
    </row>
    <row r="5448" spans="2:2" x14ac:dyDescent="0.25">
      <c r="B5448" s="73"/>
    </row>
    <row r="5449" spans="2:2" x14ac:dyDescent="0.25">
      <c r="B5449" s="73"/>
    </row>
    <row r="5450" spans="2:2" x14ac:dyDescent="0.25">
      <c r="B5450" s="73"/>
    </row>
    <row r="5451" spans="2:2" x14ac:dyDescent="0.25">
      <c r="B5451" s="73"/>
    </row>
    <row r="5452" spans="2:2" x14ac:dyDescent="0.25">
      <c r="B5452" s="73"/>
    </row>
    <row r="5453" spans="2:2" x14ac:dyDescent="0.25">
      <c r="B5453" s="73"/>
    </row>
    <row r="5454" spans="2:2" x14ac:dyDescent="0.25">
      <c r="B5454" s="73"/>
    </row>
    <row r="5455" spans="2:2" x14ac:dyDescent="0.25">
      <c r="B5455" s="73"/>
    </row>
    <row r="5456" spans="2:2" x14ac:dyDescent="0.25">
      <c r="B5456" s="73"/>
    </row>
    <row r="5457" spans="2:2" x14ac:dyDescent="0.25">
      <c r="B5457" s="73"/>
    </row>
    <row r="5458" spans="2:2" x14ac:dyDescent="0.25">
      <c r="B5458" s="73"/>
    </row>
    <row r="5459" spans="2:2" x14ac:dyDescent="0.25">
      <c r="B5459" s="73"/>
    </row>
    <row r="5460" spans="2:2" x14ac:dyDescent="0.25">
      <c r="B5460" s="73"/>
    </row>
    <row r="5461" spans="2:2" x14ac:dyDescent="0.25">
      <c r="B5461" s="73"/>
    </row>
    <row r="5462" spans="2:2" x14ac:dyDescent="0.25">
      <c r="B5462" s="73"/>
    </row>
    <row r="5463" spans="2:2" x14ac:dyDescent="0.25">
      <c r="B5463" s="73"/>
    </row>
    <row r="5464" spans="2:2" x14ac:dyDescent="0.25">
      <c r="B5464" s="73"/>
    </row>
    <row r="5465" spans="2:2" x14ac:dyDescent="0.25">
      <c r="B5465" s="73"/>
    </row>
    <row r="5466" spans="2:2" x14ac:dyDescent="0.25">
      <c r="B5466" s="73"/>
    </row>
    <row r="5467" spans="2:2" x14ac:dyDescent="0.25">
      <c r="B5467" s="73"/>
    </row>
    <row r="5468" spans="2:2" x14ac:dyDescent="0.25">
      <c r="B5468" s="73"/>
    </row>
    <row r="5469" spans="2:2" x14ac:dyDescent="0.25">
      <c r="B5469" s="73"/>
    </row>
    <row r="5470" spans="2:2" x14ac:dyDescent="0.25">
      <c r="B5470" s="73"/>
    </row>
    <row r="5471" spans="2:2" x14ac:dyDescent="0.25">
      <c r="B5471" s="73"/>
    </row>
    <row r="5472" spans="2:2" x14ac:dyDescent="0.25">
      <c r="B5472" s="73"/>
    </row>
    <row r="5473" spans="2:2" x14ac:dyDescent="0.25">
      <c r="B5473" s="73"/>
    </row>
    <row r="5474" spans="2:2" x14ac:dyDescent="0.25">
      <c r="B5474" s="73"/>
    </row>
    <row r="5475" spans="2:2" x14ac:dyDescent="0.25">
      <c r="B5475" s="73"/>
    </row>
    <row r="5476" spans="2:2" x14ac:dyDescent="0.25">
      <c r="B5476" s="73"/>
    </row>
    <row r="5477" spans="2:2" x14ac:dyDescent="0.25">
      <c r="B5477" s="73"/>
    </row>
    <row r="5478" spans="2:2" x14ac:dyDescent="0.25">
      <c r="B5478" s="73"/>
    </row>
    <row r="5479" spans="2:2" x14ac:dyDescent="0.25">
      <c r="B5479" s="73"/>
    </row>
    <row r="5480" spans="2:2" x14ac:dyDescent="0.25">
      <c r="B5480" s="73"/>
    </row>
    <row r="5481" spans="2:2" x14ac:dyDescent="0.25">
      <c r="B5481" s="73"/>
    </row>
    <row r="5482" spans="2:2" x14ac:dyDescent="0.25">
      <c r="B5482" s="73"/>
    </row>
    <row r="5483" spans="2:2" x14ac:dyDescent="0.25">
      <c r="B5483" s="73"/>
    </row>
    <row r="5484" spans="2:2" x14ac:dyDescent="0.25">
      <c r="B5484" s="73"/>
    </row>
    <row r="5485" spans="2:2" x14ac:dyDescent="0.25">
      <c r="B5485" s="73"/>
    </row>
    <row r="5486" spans="2:2" x14ac:dyDescent="0.25">
      <c r="B5486" s="73"/>
    </row>
    <row r="5487" spans="2:2" x14ac:dyDescent="0.25">
      <c r="B5487" s="73"/>
    </row>
    <row r="5488" spans="2:2" x14ac:dyDescent="0.25">
      <c r="B5488" s="73"/>
    </row>
    <row r="5489" spans="2:2" x14ac:dyDescent="0.25">
      <c r="B5489" s="73"/>
    </row>
    <row r="5490" spans="2:2" x14ac:dyDescent="0.25">
      <c r="B5490" s="73"/>
    </row>
    <row r="5491" spans="2:2" x14ac:dyDescent="0.25">
      <c r="B5491" s="73"/>
    </row>
    <row r="5492" spans="2:2" x14ac:dyDescent="0.25">
      <c r="B5492" s="73"/>
    </row>
    <row r="5493" spans="2:2" x14ac:dyDescent="0.25">
      <c r="B5493" s="73"/>
    </row>
    <row r="5494" spans="2:2" x14ac:dyDescent="0.25">
      <c r="B5494" s="73"/>
    </row>
    <row r="5495" spans="2:2" x14ac:dyDescent="0.25">
      <c r="B5495" s="73"/>
    </row>
    <row r="5496" spans="2:2" x14ac:dyDescent="0.25">
      <c r="B5496" s="73"/>
    </row>
    <row r="5497" spans="2:2" x14ac:dyDescent="0.25">
      <c r="B5497" s="73"/>
    </row>
    <row r="5498" spans="2:2" x14ac:dyDescent="0.25">
      <c r="B5498" s="73"/>
    </row>
    <row r="5499" spans="2:2" x14ac:dyDescent="0.25">
      <c r="B5499" s="73"/>
    </row>
    <row r="5500" spans="2:2" x14ac:dyDescent="0.25">
      <c r="B5500" s="73"/>
    </row>
    <row r="5501" spans="2:2" x14ac:dyDescent="0.25">
      <c r="B5501" s="73"/>
    </row>
    <row r="5502" spans="2:2" x14ac:dyDescent="0.25">
      <c r="B5502" s="73"/>
    </row>
    <row r="5503" spans="2:2" x14ac:dyDescent="0.25">
      <c r="B5503" s="73"/>
    </row>
    <row r="5504" spans="2:2" x14ac:dyDescent="0.25">
      <c r="B5504" s="73"/>
    </row>
    <row r="5505" spans="2:2" x14ac:dyDescent="0.25">
      <c r="B5505" s="73"/>
    </row>
    <row r="5506" spans="2:2" x14ac:dyDescent="0.25">
      <c r="B5506" s="73"/>
    </row>
    <row r="5507" spans="2:2" x14ac:dyDescent="0.25">
      <c r="B5507" s="73"/>
    </row>
    <row r="5508" spans="2:2" x14ac:dyDescent="0.25">
      <c r="B5508" s="73"/>
    </row>
    <row r="5509" spans="2:2" x14ac:dyDescent="0.25">
      <c r="B5509" s="73"/>
    </row>
    <row r="5510" spans="2:2" x14ac:dyDescent="0.25">
      <c r="B5510" s="73"/>
    </row>
    <row r="5511" spans="2:2" x14ac:dyDescent="0.25">
      <c r="B5511" s="73"/>
    </row>
    <row r="5512" spans="2:2" x14ac:dyDescent="0.25">
      <c r="B5512" s="73"/>
    </row>
    <row r="5513" spans="2:2" x14ac:dyDescent="0.25">
      <c r="B5513" s="73"/>
    </row>
    <row r="5514" spans="2:2" x14ac:dyDescent="0.25">
      <c r="B5514" s="73"/>
    </row>
    <row r="5515" spans="2:2" x14ac:dyDescent="0.25">
      <c r="B5515" s="73"/>
    </row>
    <row r="5516" spans="2:2" x14ac:dyDescent="0.25">
      <c r="B5516" s="73"/>
    </row>
    <row r="5517" spans="2:2" x14ac:dyDescent="0.25">
      <c r="B5517" s="73"/>
    </row>
    <row r="5518" spans="2:2" x14ac:dyDescent="0.25">
      <c r="B5518" s="73"/>
    </row>
    <row r="5519" spans="2:2" x14ac:dyDescent="0.25">
      <c r="B5519" s="73"/>
    </row>
    <row r="5520" spans="2:2" x14ac:dyDescent="0.25">
      <c r="B5520" s="73"/>
    </row>
    <row r="5521" spans="2:2" x14ac:dyDescent="0.25">
      <c r="B5521" s="73"/>
    </row>
    <row r="5522" spans="2:2" x14ac:dyDescent="0.25">
      <c r="B5522" s="73"/>
    </row>
    <row r="5523" spans="2:2" x14ac:dyDescent="0.25">
      <c r="B5523" s="73"/>
    </row>
    <row r="5524" spans="2:2" x14ac:dyDescent="0.25">
      <c r="B5524" s="73"/>
    </row>
    <row r="5525" spans="2:2" x14ac:dyDescent="0.25">
      <c r="B5525" s="73"/>
    </row>
    <row r="5526" spans="2:2" x14ac:dyDescent="0.25">
      <c r="B5526" s="73"/>
    </row>
    <row r="5527" spans="2:2" x14ac:dyDescent="0.25">
      <c r="B5527" s="73"/>
    </row>
    <row r="5528" spans="2:2" x14ac:dyDescent="0.25">
      <c r="B5528" s="73"/>
    </row>
    <row r="5529" spans="2:2" x14ac:dyDescent="0.25">
      <c r="B5529" s="73"/>
    </row>
    <row r="5530" spans="2:2" x14ac:dyDescent="0.25">
      <c r="B5530" s="73"/>
    </row>
    <row r="5531" spans="2:2" x14ac:dyDescent="0.25">
      <c r="B5531" s="73"/>
    </row>
    <row r="5532" spans="2:2" x14ac:dyDescent="0.25">
      <c r="B5532" s="73"/>
    </row>
    <row r="5533" spans="2:2" x14ac:dyDescent="0.25">
      <c r="B5533" s="73"/>
    </row>
    <row r="5534" spans="2:2" x14ac:dyDescent="0.25">
      <c r="B5534" s="73"/>
    </row>
    <row r="5535" spans="2:2" x14ac:dyDescent="0.25">
      <c r="B5535" s="73"/>
    </row>
    <row r="5536" spans="2:2" x14ac:dyDescent="0.25">
      <c r="B5536" s="73"/>
    </row>
    <row r="5537" spans="2:2" x14ac:dyDescent="0.25">
      <c r="B5537" s="73"/>
    </row>
    <row r="5538" spans="2:2" x14ac:dyDescent="0.25">
      <c r="B5538" s="73"/>
    </row>
    <row r="5539" spans="2:2" x14ac:dyDescent="0.25">
      <c r="B5539" s="73"/>
    </row>
    <row r="5540" spans="2:2" x14ac:dyDescent="0.25">
      <c r="B5540" s="73"/>
    </row>
    <row r="5541" spans="2:2" x14ac:dyDescent="0.25">
      <c r="B5541" s="73"/>
    </row>
    <row r="5542" spans="2:2" x14ac:dyDescent="0.25">
      <c r="B5542" s="73"/>
    </row>
    <row r="5543" spans="2:2" x14ac:dyDescent="0.25">
      <c r="B5543" s="73"/>
    </row>
    <row r="5544" spans="2:2" x14ac:dyDescent="0.25">
      <c r="B5544" s="73"/>
    </row>
    <row r="5545" spans="2:2" x14ac:dyDescent="0.25">
      <c r="B5545" s="73"/>
    </row>
    <row r="5546" spans="2:2" x14ac:dyDescent="0.25">
      <c r="B5546" s="73"/>
    </row>
    <row r="5547" spans="2:2" x14ac:dyDescent="0.25">
      <c r="B5547" s="73"/>
    </row>
    <row r="5548" spans="2:2" x14ac:dyDescent="0.25">
      <c r="B5548" s="73"/>
    </row>
    <row r="5549" spans="2:2" x14ac:dyDescent="0.25">
      <c r="B5549" s="73"/>
    </row>
    <row r="5550" spans="2:2" x14ac:dyDescent="0.25">
      <c r="B5550" s="73"/>
    </row>
    <row r="5551" spans="2:2" x14ac:dyDescent="0.25">
      <c r="B5551" s="73"/>
    </row>
    <row r="5552" spans="2:2" x14ac:dyDescent="0.25">
      <c r="B5552" s="73"/>
    </row>
    <row r="5553" spans="2:2" x14ac:dyDescent="0.25">
      <c r="B5553" s="73"/>
    </row>
    <row r="5554" spans="2:2" x14ac:dyDescent="0.25">
      <c r="B5554" s="73"/>
    </row>
    <row r="5555" spans="2:2" x14ac:dyDescent="0.25">
      <c r="B5555" s="73"/>
    </row>
    <row r="5556" spans="2:2" x14ac:dyDescent="0.25">
      <c r="B5556" s="73"/>
    </row>
    <row r="5557" spans="2:2" x14ac:dyDescent="0.25">
      <c r="B5557" s="73"/>
    </row>
    <row r="5558" spans="2:2" x14ac:dyDescent="0.25">
      <c r="B5558" s="73"/>
    </row>
    <row r="5559" spans="2:2" x14ac:dyDescent="0.25">
      <c r="B5559" s="73"/>
    </row>
    <row r="5560" spans="2:2" x14ac:dyDescent="0.25">
      <c r="B5560" s="73"/>
    </row>
    <row r="5561" spans="2:2" x14ac:dyDescent="0.25">
      <c r="B5561" s="73"/>
    </row>
    <row r="5562" spans="2:2" x14ac:dyDescent="0.25">
      <c r="B5562" s="73"/>
    </row>
    <row r="5563" spans="2:2" x14ac:dyDescent="0.25">
      <c r="B5563" s="73"/>
    </row>
    <row r="5564" spans="2:2" x14ac:dyDescent="0.25">
      <c r="B5564" s="73"/>
    </row>
    <row r="5565" spans="2:2" x14ac:dyDescent="0.25">
      <c r="B5565" s="73"/>
    </row>
    <row r="5566" spans="2:2" x14ac:dyDescent="0.25">
      <c r="B5566" s="73"/>
    </row>
    <row r="5567" spans="2:2" x14ac:dyDescent="0.25">
      <c r="B5567" s="73"/>
    </row>
    <row r="5568" spans="2:2" x14ac:dyDescent="0.25">
      <c r="B5568" s="73"/>
    </row>
    <row r="5569" spans="2:2" x14ac:dyDescent="0.25">
      <c r="B5569" s="73"/>
    </row>
    <row r="5570" spans="2:2" x14ac:dyDescent="0.25">
      <c r="B5570" s="73"/>
    </row>
    <row r="5571" spans="2:2" x14ac:dyDescent="0.25">
      <c r="B5571" s="73"/>
    </row>
    <row r="5572" spans="2:2" x14ac:dyDescent="0.25">
      <c r="B5572" s="73"/>
    </row>
    <row r="5573" spans="2:2" x14ac:dyDescent="0.25">
      <c r="B5573" s="73"/>
    </row>
    <row r="5574" spans="2:2" x14ac:dyDescent="0.25">
      <c r="B5574" s="73"/>
    </row>
    <row r="5575" spans="2:2" x14ac:dyDescent="0.25">
      <c r="B5575" s="73"/>
    </row>
    <row r="5576" spans="2:2" x14ac:dyDescent="0.25">
      <c r="B5576" s="73"/>
    </row>
    <row r="5577" spans="2:2" x14ac:dyDescent="0.25">
      <c r="B5577" s="73"/>
    </row>
    <row r="5578" spans="2:2" x14ac:dyDescent="0.25">
      <c r="B5578" s="73"/>
    </row>
    <row r="5579" spans="2:2" x14ac:dyDescent="0.25">
      <c r="B5579" s="73"/>
    </row>
    <row r="5580" spans="2:2" x14ac:dyDescent="0.25">
      <c r="B5580" s="73"/>
    </row>
    <row r="5581" spans="2:2" x14ac:dyDescent="0.25">
      <c r="B5581" s="73"/>
    </row>
    <row r="5582" spans="2:2" x14ac:dyDescent="0.25">
      <c r="B5582" s="73"/>
    </row>
    <row r="5583" spans="2:2" x14ac:dyDescent="0.25">
      <c r="B5583" s="73"/>
    </row>
    <row r="5584" spans="2:2" x14ac:dyDescent="0.25">
      <c r="B5584" s="73"/>
    </row>
    <row r="5585" spans="2:2" x14ac:dyDescent="0.25">
      <c r="B5585" s="73"/>
    </row>
    <row r="5586" spans="2:2" x14ac:dyDescent="0.25">
      <c r="B5586" s="73"/>
    </row>
    <row r="5587" spans="2:2" x14ac:dyDescent="0.25">
      <c r="B5587" s="73"/>
    </row>
    <row r="5588" spans="2:2" x14ac:dyDescent="0.25">
      <c r="B5588" s="73"/>
    </row>
    <row r="5589" spans="2:2" x14ac:dyDescent="0.25">
      <c r="B5589" s="73"/>
    </row>
    <row r="5590" spans="2:2" x14ac:dyDescent="0.25">
      <c r="B5590" s="73"/>
    </row>
    <row r="5591" spans="2:2" x14ac:dyDescent="0.25">
      <c r="B5591" s="73"/>
    </row>
    <row r="5592" spans="2:2" x14ac:dyDescent="0.25">
      <c r="B5592" s="73"/>
    </row>
    <row r="5593" spans="2:2" x14ac:dyDescent="0.25">
      <c r="B5593" s="73"/>
    </row>
    <row r="5594" spans="2:2" x14ac:dyDescent="0.25">
      <c r="B5594" s="73"/>
    </row>
    <row r="5595" spans="2:2" x14ac:dyDescent="0.25">
      <c r="B5595" s="73"/>
    </row>
    <row r="5596" spans="2:2" x14ac:dyDescent="0.25">
      <c r="B5596" s="73"/>
    </row>
    <row r="5597" spans="2:2" x14ac:dyDescent="0.25">
      <c r="B5597" s="73"/>
    </row>
    <row r="5598" spans="2:2" x14ac:dyDescent="0.25">
      <c r="B5598" s="73"/>
    </row>
    <row r="5599" spans="2:2" x14ac:dyDescent="0.25">
      <c r="B5599" s="73"/>
    </row>
    <row r="5600" spans="2:2" x14ac:dyDescent="0.25">
      <c r="B5600" s="73"/>
    </row>
    <row r="5601" spans="2:2" x14ac:dyDescent="0.25">
      <c r="B5601" s="73"/>
    </row>
    <row r="5602" spans="2:2" x14ac:dyDescent="0.25">
      <c r="B5602" s="73"/>
    </row>
    <row r="5603" spans="2:2" x14ac:dyDescent="0.25">
      <c r="B5603" s="73"/>
    </row>
    <row r="5604" spans="2:2" x14ac:dyDescent="0.25">
      <c r="B5604" s="73"/>
    </row>
    <row r="5605" spans="2:2" x14ac:dyDescent="0.25">
      <c r="B5605" s="73"/>
    </row>
    <row r="5606" spans="2:2" x14ac:dyDescent="0.25">
      <c r="B5606" s="73"/>
    </row>
    <row r="5607" spans="2:2" x14ac:dyDescent="0.25">
      <c r="B5607" s="73"/>
    </row>
    <row r="5608" spans="2:2" x14ac:dyDescent="0.25">
      <c r="B5608" s="73"/>
    </row>
    <row r="5609" spans="2:2" x14ac:dyDescent="0.25">
      <c r="B5609" s="73"/>
    </row>
    <row r="5610" spans="2:2" x14ac:dyDescent="0.25">
      <c r="B5610" s="73"/>
    </row>
    <row r="5611" spans="2:2" x14ac:dyDescent="0.25">
      <c r="B5611" s="73"/>
    </row>
    <row r="5612" spans="2:2" x14ac:dyDescent="0.25">
      <c r="B5612" s="73"/>
    </row>
    <row r="5613" spans="2:2" x14ac:dyDescent="0.25">
      <c r="B5613" s="73"/>
    </row>
    <row r="5614" spans="2:2" x14ac:dyDescent="0.25">
      <c r="B5614" s="73"/>
    </row>
    <row r="5615" spans="2:2" x14ac:dyDescent="0.25">
      <c r="B5615" s="73"/>
    </row>
    <row r="5616" spans="2:2" x14ac:dyDescent="0.25">
      <c r="B5616" s="73"/>
    </row>
    <row r="5617" spans="2:2" x14ac:dyDescent="0.25">
      <c r="B5617" s="73"/>
    </row>
    <row r="5618" spans="2:2" x14ac:dyDescent="0.25">
      <c r="B5618" s="73"/>
    </row>
    <row r="5619" spans="2:2" x14ac:dyDescent="0.25">
      <c r="B5619" s="73"/>
    </row>
    <row r="5620" spans="2:2" x14ac:dyDescent="0.25">
      <c r="B5620" s="73"/>
    </row>
    <row r="5621" spans="2:2" x14ac:dyDescent="0.25">
      <c r="B5621" s="73"/>
    </row>
    <row r="5622" spans="2:2" x14ac:dyDescent="0.25">
      <c r="B5622" s="73"/>
    </row>
    <row r="5623" spans="2:2" x14ac:dyDescent="0.25">
      <c r="B5623" s="73"/>
    </row>
    <row r="5624" spans="2:2" x14ac:dyDescent="0.25">
      <c r="B5624" s="73"/>
    </row>
    <row r="5625" spans="2:2" x14ac:dyDescent="0.25">
      <c r="B5625" s="73"/>
    </row>
    <row r="5626" spans="2:2" x14ac:dyDescent="0.25">
      <c r="B5626" s="73"/>
    </row>
    <row r="5627" spans="2:2" x14ac:dyDescent="0.25">
      <c r="B5627" s="73"/>
    </row>
    <row r="5628" spans="2:2" x14ac:dyDescent="0.25">
      <c r="B5628" s="73"/>
    </row>
    <row r="5629" spans="2:2" x14ac:dyDescent="0.25">
      <c r="B5629" s="73"/>
    </row>
    <row r="5630" spans="2:2" x14ac:dyDescent="0.25">
      <c r="B5630" s="73"/>
    </row>
    <row r="5631" spans="2:2" x14ac:dyDescent="0.25">
      <c r="B5631" s="73"/>
    </row>
    <row r="5632" spans="2:2" x14ac:dyDescent="0.25">
      <c r="B5632" s="73"/>
    </row>
    <row r="5633" spans="2:2" x14ac:dyDescent="0.25">
      <c r="B5633" s="73"/>
    </row>
    <row r="5634" spans="2:2" x14ac:dyDescent="0.25">
      <c r="B5634" s="73"/>
    </row>
    <row r="5635" spans="2:2" x14ac:dyDescent="0.25">
      <c r="B5635" s="73"/>
    </row>
    <row r="5636" spans="2:2" x14ac:dyDescent="0.25">
      <c r="B5636" s="73"/>
    </row>
    <row r="5637" spans="2:2" x14ac:dyDescent="0.25">
      <c r="B5637" s="73"/>
    </row>
    <row r="5638" spans="2:2" x14ac:dyDescent="0.25">
      <c r="B5638" s="73"/>
    </row>
    <row r="5639" spans="2:2" x14ac:dyDescent="0.25">
      <c r="B5639" s="73"/>
    </row>
    <row r="5640" spans="2:2" x14ac:dyDescent="0.25">
      <c r="B5640" s="73"/>
    </row>
    <row r="5641" spans="2:2" x14ac:dyDescent="0.25">
      <c r="B5641" s="73"/>
    </row>
    <row r="5642" spans="2:2" x14ac:dyDescent="0.25">
      <c r="B5642" s="73"/>
    </row>
    <row r="5643" spans="2:2" x14ac:dyDescent="0.25">
      <c r="B5643" s="73"/>
    </row>
    <row r="5644" spans="2:2" x14ac:dyDescent="0.25">
      <c r="B5644" s="73"/>
    </row>
    <row r="5645" spans="2:2" x14ac:dyDescent="0.25">
      <c r="B5645" s="73"/>
    </row>
    <row r="5646" spans="2:2" x14ac:dyDescent="0.25">
      <c r="B5646" s="73"/>
    </row>
    <row r="5647" spans="2:2" x14ac:dyDescent="0.25">
      <c r="B5647" s="73"/>
    </row>
    <row r="5648" spans="2:2" x14ac:dyDescent="0.25">
      <c r="B5648" s="73"/>
    </row>
    <row r="5649" spans="2:2" x14ac:dyDescent="0.25">
      <c r="B5649" s="73"/>
    </row>
    <row r="5650" spans="2:2" x14ac:dyDescent="0.25">
      <c r="B5650" s="73"/>
    </row>
    <row r="5651" spans="2:2" x14ac:dyDescent="0.25">
      <c r="B5651" s="73"/>
    </row>
    <row r="5652" spans="2:2" x14ac:dyDescent="0.25">
      <c r="B5652" s="73"/>
    </row>
    <row r="5653" spans="2:2" x14ac:dyDescent="0.25">
      <c r="B5653" s="73"/>
    </row>
    <row r="5654" spans="2:2" x14ac:dyDescent="0.25">
      <c r="B5654" s="73"/>
    </row>
    <row r="5655" spans="2:2" x14ac:dyDescent="0.25">
      <c r="B5655" s="73"/>
    </row>
    <row r="5656" spans="2:2" x14ac:dyDescent="0.25">
      <c r="B5656" s="73"/>
    </row>
    <row r="5657" spans="2:2" x14ac:dyDescent="0.25">
      <c r="B5657" s="73"/>
    </row>
    <row r="5658" spans="2:2" x14ac:dyDescent="0.25">
      <c r="B5658" s="73"/>
    </row>
    <row r="5659" spans="2:2" x14ac:dyDescent="0.25">
      <c r="B5659" s="73"/>
    </row>
    <row r="5660" spans="2:2" x14ac:dyDescent="0.25">
      <c r="B5660" s="73"/>
    </row>
    <row r="5661" spans="2:2" x14ac:dyDescent="0.25">
      <c r="B5661" s="73"/>
    </row>
    <row r="5662" spans="2:2" x14ac:dyDescent="0.25">
      <c r="B5662" s="73"/>
    </row>
    <row r="5663" spans="2:2" x14ac:dyDescent="0.25">
      <c r="B5663" s="73"/>
    </row>
    <row r="5664" spans="2:2" x14ac:dyDescent="0.25">
      <c r="B5664" s="73"/>
    </row>
    <row r="5665" spans="2:2" x14ac:dyDescent="0.25">
      <c r="B5665" s="73"/>
    </row>
    <row r="5666" spans="2:2" x14ac:dyDescent="0.25">
      <c r="B5666" s="73"/>
    </row>
    <row r="5667" spans="2:2" x14ac:dyDescent="0.25">
      <c r="B5667" s="73"/>
    </row>
    <row r="5668" spans="2:2" x14ac:dyDescent="0.25">
      <c r="B5668" s="73"/>
    </row>
    <row r="5669" spans="2:2" x14ac:dyDescent="0.25">
      <c r="B5669" s="73"/>
    </row>
    <row r="5670" spans="2:2" x14ac:dyDescent="0.25">
      <c r="B5670" s="73"/>
    </row>
    <row r="5671" spans="2:2" x14ac:dyDescent="0.25">
      <c r="B5671" s="73"/>
    </row>
    <row r="5672" spans="2:2" x14ac:dyDescent="0.25">
      <c r="B5672" s="73"/>
    </row>
    <row r="5673" spans="2:2" x14ac:dyDescent="0.25">
      <c r="B5673" s="73"/>
    </row>
    <row r="5674" spans="2:2" x14ac:dyDescent="0.25">
      <c r="B5674" s="73"/>
    </row>
    <row r="5675" spans="2:2" x14ac:dyDescent="0.25">
      <c r="B5675" s="73"/>
    </row>
    <row r="5676" spans="2:2" x14ac:dyDescent="0.25">
      <c r="B5676" s="73"/>
    </row>
    <row r="5677" spans="2:2" x14ac:dyDescent="0.25">
      <c r="B5677" s="73"/>
    </row>
    <row r="5678" spans="2:2" x14ac:dyDescent="0.25">
      <c r="B5678" s="73"/>
    </row>
    <row r="5679" spans="2:2" x14ac:dyDescent="0.25">
      <c r="B5679" s="73"/>
    </row>
    <row r="5680" spans="2:2" x14ac:dyDescent="0.25">
      <c r="B5680" s="73"/>
    </row>
    <row r="5681" spans="2:2" x14ac:dyDescent="0.25">
      <c r="B5681" s="73"/>
    </row>
    <row r="5682" spans="2:2" x14ac:dyDescent="0.25">
      <c r="B5682" s="73"/>
    </row>
    <row r="5683" spans="2:2" x14ac:dyDescent="0.25">
      <c r="B5683" s="73"/>
    </row>
    <row r="5684" spans="2:2" x14ac:dyDescent="0.25">
      <c r="B5684" s="73"/>
    </row>
    <row r="5685" spans="2:2" x14ac:dyDescent="0.25">
      <c r="B5685" s="73"/>
    </row>
    <row r="5686" spans="2:2" x14ac:dyDescent="0.25">
      <c r="B5686" s="73"/>
    </row>
    <row r="5687" spans="2:2" x14ac:dyDescent="0.25">
      <c r="B5687" s="73"/>
    </row>
    <row r="5688" spans="2:2" x14ac:dyDescent="0.25">
      <c r="B5688" s="73"/>
    </row>
    <row r="5689" spans="2:2" x14ac:dyDescent="0.25">
      <c r="B5689" s="73"/>
    </row>
    <row r="5690" spans="2:2" x14ac:dyDescent="0.25">
      <c r="B5690" s="73"/>
    </row>
    <row r="5691" spans="2:2" x14ac:dyDescent="0.25">
      <c r="B5691" s="73"/>
    </row>
    <row r="5692" spans="2:2" x14ac:dyDescent="0.25">
      <c r="B5692" s="73"/>
    </row>
    <row r="5693" spans="2:2" x14ac:dyDescent="0.25">
      <c r="B5693" s="73"/>
    </row>
    <row r="5694" spans="2:2" x14ac:dyDescent="0.25">
      <c r="B5694" s="73"/>
    </row>
    <row r="5695" spans="2:2" x14ac:dyDescent="0.25">
      <c r="B5695" s="73"/>
    </row>
    <row r="5696" spans="2:2" x14ac:dyDescent="0.25">
      <c r="B5696" s="73"/>
    </row>
    <row r="5697" spans="2:2" x14ac:dyDescent="0.25">
      <c r="B5697" s="73"/>
    </row>
    <row r="5698" spans="2:2" x14ac:dyDescent="0.25">
      <c r="B5698" s="73"/>
    </row>
    <row r="5699" spans="2:2" x14ac:dyDescent="0.25">
      <c r="B5699" s="73"/>
    </row>
    <row r="5700" spans="2:2" x14ac:dyDescent="0.25">
      <c r="B5700" s="73"/>
    </row>
    <row r="5701" spans="2:2" x14ac:dyDescent="0.25">
      <c r="B5701" s="73"/>
    </row>
    <row r="5702" spans="2:2" x14ac:dyDescent="0.25">
      <c r="B5702" s="73"/>
    </row>
    <row r="5703" spans="2:2" x14ac:dyDescent="0.25">
      <c r="B5703" s="73"/>
    </row>
    <row r="5704" spans="2:2" x14ac:dyDescent="0.25">
      <c r="B5704" s="73"/>
    </row>
    <row r="5705" spans="2:2" x14ac:dyDescent="0.25">
      <c r="B5705" s="73"/>
    </row>
    <row r="5706" spans="2:2" x14ac:dyDescent="0.25">
      <c r="B5706" s="73"/>
    </row>
    <row r="5707" spans="2:2" x14ac:dyDescent="0.25">
      <c r="B5707" s="73"/>
    </row>
    <row r="5708" spans="2:2" x14ac:dyDescent="0.25">
      <c r="B5708" s="73"/>
    </row>
    <row r="5709" spans="2:2" x14ac:dyDescent="0.25">
      <c r="B5709" s="73"/>
    </row>
    <row r="5710" spans="2:2" x14ac:dyDescent="0.25">
      <c r="B5710" s="73"/>
    </row>
    <row r="5711" spans="2:2" x14ac:dyDescent="0.25">
      <c r="B5711" s="73"/>
    </row>
    <row r="5712" spans="2:2" x14ac:dyDescent="0.25">
      <c r="B5712" s="73"/>
    </row>
    <row r="5713" spans="2:2" x14ac:dyDescent="0.25">
      <c r="B5713" s="73"/>
    </row>
    <row r="5714" spans="2:2" x14ac:dyDescent="0.25">
      <c r="B5714" s="73"/>
    </row>
    <row r="5715" spans="2:2" x14ac:dyDescent="0.25">
      <c r="B5715" s="73"/>
    </row>
    <row r="5716" spans="2:2" x14ac:dyDescent="0.25">
      <c r="B5716" s="73"/>
    </row>
    <row r="5717" spans="2:2" x14ac:dyDescent="0.25">
      <c r="B5717" s="73"/>
    </row>
    <row r="5718" spans="2:2" x14ac:dyDescent="0.25">
      <c r="B5718" s="73"/>
    </row>
    <row r="5719" spans="2:2" x14ac:dyDescent="0.25">
      <c r="B5719" s="73"/>
    </row>
    <row r="5720" spans="2:2" x14ac:dyDescent="0.25">
      <c r="B5720" s="73"/>
    </row>
    <row r="5721" spans="2:2" x14ac:dyDescent="0.25">
      <c r="B5721" s="73"/>
    </row>
    <row r="5722" spans="2:2" x14ac:dyDescent="0.25">
      <c r="B5722" s="73"/>
    </row>
    <row r="5723" spans="2:2" x14ac:dyDescent="0.25">
      <c r="B5723" s="73"/>
    </row>
    <row r="5724" spans="2:2" x14ac:dyDescent="0.25">
      <c r="B5724" s="73"/>
    </row>
    <row r="5725" spans="2:2" x14ac:dyDescent="0.25">
      <c r="B5725" s="73"/>
    </row>
    <row r="5726" spans="2:2" x14ac:dyDescent="0.25">
      <c r="B5726" s="73"/>
    </row>
    <row r="5727" spans="2:2" x14ac:dyDescent="0.25">
      <c r="B5727" s="73"/>
    </row>
    <row r="5728" spans="2:2" x14ac:dyDescent="0.25">
      <c r="B5728" s="73"/>
    </row>
    <row r="5729" spans="2:2" x14ac:dyDescent="0.25">
      <c r="B5729" s="73"/>
    </row>
    <row r="5730" spans="2:2" x14ac:dyDescent="0.25">
      <c r="B5730" s="73"/>
    </row>
    <row r="5731" spans="2:2" x14ac:dyDescent="0.25">
      <c r="B5731" s="73"/>
    </row>
    <row r="5732" spans="2:2" x14ac:dyDescent="0.25">
      <c r="B5732" s="73"/>
    </row>
    <row r="5733" spans="2:2" x14ac:dyDescent="0.25">
      <c r="B5733" s="73"/>
    </row>
    <row r="5734" spans="2:2" x14ac:dyDescent="0.25">
      <c r="B5734" s="73"/>
    </row>
    <row r="5735" spans="2:2" x14ac:dyDescent="0.25">
      <c r="B5735" s="73"/>
    </row>
    <row r="5736" spans="2:2" x14ac:dyDescent="0.25">
      <c r="B5736" s="73"/>
    </row>
    <row r="5737" spans="2:2" x14ac:dyDescent="0.25">
      <c r="B5737" s="73"/>
    </row>
    <row r="5738" spans="2:2" x14ac:dyDescent="0.25">
      <c r="B5738" s="73"/>
    </row>
    <row r="5739" spans="2:2" x14ac:dyDescent="0.25">
      <c r="B5739" s="73"/>
    </row>
    <row r="5740" spans="2:2" x14ac:dyDescent="0.25">
      <c r="B5740" s="73"/>
    </row>
    <row r="5741" spans="2:2" x14ac:dyDescent="0.25">
      <c r="B5741" s="73"/>
    </row>
    <row r="5742" spans="2:2" x14ac:dyDescent="0.25">
      <c r="B5742" s="73"/>
    </row>
    <row r="5743" spans="2:2" x14ac:dyDescent="0.25">
      <c r="B5743" s="73"/>
    </row>
    <row r="5744" spans="2:2" x14ac:dyDescent="0.25">
      <c r="B5744" s="73"/>
    </row>
    <row r="5745" spans="2:2" x14ac:dyDescent="0.25">
      <c r="B5745" s="73"/>
    </row>
    <row r="5746" spans="2:2" x14ac:dyDescent="0.25">
      <c r="B5746" s="73"/>
    </row>
    <row r="5747" spans="2:2" x14ac:dyDescent="0.25">
      <c r="B5747" s="73"/>
    </row>
    <row r="5748" spans="2:2" x14ac:dyDescent="0.25">
      <c r="B5748" s="73"/>
    </row>
    <row r="5749" spans="2:2" x14ac:dyDescent="0.25">
      <c r="B5749" s="73"/>
    </row>
    <row r="5750" spans="2:2" x14ac:dyDescent="0.25">
      <c r="B5750" s="73"/>
    </row>
    <row r="5751" spans="2:2" x14ac:dyDescent="0.25">
      <c r="B5751" s="73"/>
    </row>
    <row r="5752" spans="2:2" x14ac:dyDescent="0.25">
      <c r="B5752" s="73"/>
    </row>
    <row r="5753" spans="2:2" x14ac:dyDescent="0.25">
      <c r="B5753" s="73"/>
    </row>
    <row r="5754" spans="2:2" x14ac:dyDescent="0.25">
      <c r="B5754" s="73"/>
    </row>
    <row r="5755" spans="2:2" x14ac:dyDescent="0.25">
      <c r="B5755" s="73"/>
    </row>
    <row r="5756" spans="2:2" x14ac:dyDescent="0.25">
      <c r="B5756" s="73"/>
    </row>
    <row r="5757" spans="2:2" x14ac:dyDescent="0.25">
      <c r="B5757" s="73"/>
    </row>
    <row r="5758" spans="2:2" x14ac:dyDescent="0.25">
      <c r="B5758" s="73"/>
    </row>
    <row r="5759" spans="2:2" x14ac:dyDescent="0.25">
      <c r="B5759" s="73"/>
    </row>
    <row r="5760" spans="2:2" x14ac:dyDescent="0.25">
      <c r="B5760" s="73"/>
    </row>
    <row r="5761" spans="2:2" x14ac:dyDescent="0.25">
      <c r="B5761" s="73"/>
    </row>
    <row r="5762" spans="2:2" x14ac:dyDescent="0.25">
      <c r="B5762" s="73"/>
    </row>
    <row r="5763" spans="2:2" x14ac:dyDescent="0.25">
      <c r="B5763" s="73"/>
    </row>
    <row r="5764" spans="2:2" x14ac:dyDescent="0.25">
      <c r="B5764" s="73"/>
    </row>
    <row r="5765" spans="2:2" x14ac:dyDescent="0.25">
      <c r="B5765" s="73"/>
    </row>
    <row r="5766" spans="2:2" x14ac:dyDescent="0.25">
      <c r="B5766" s="73"/>
    </row>
    <row r="5767" spans="2:2" x14ac:dyDescent="0.25">
      <c r="B5767" s="73"/>
    </row>
    <row r="5768" spans="2:2" x14ac:dyDescent="0.25">
      <c r="B5768" s="73"/>
    </row>
    <row r="5769" spans="2:2" x14ac:dyDescent="0.25">
      <c r="B5769" s="73"/>
    </row>
    <row r="5770" spans="2:2" x14ac:dyDescent="0.25">
      <c r="B5770" s="73"/>
    </row>
    <row r="5771" spans="2:2" x14ac:dyDescent="0.25">
      <c r="B5771" s="73"/>
    </row>
    <row r="5772" spans="2:2" x14ac:dyDescent="0.25">
      <c r="B5772" s="73"/>
    </row>
    <row r="5773" spans="2:2" x14ac:dyDescent="0.25">
      <c r="B5773" s="73"/>
    </row>
    <row r="5774" spans="2:2" x14ac:dyDescent="0.25">
      <c r="B5774" s="73"/>
    </row>
    <row r="5775" spans="2:2" x14ac:dyDescent="0.25">
      <c r="B5775" s="73"/>
    </row>
    <row r="5776" spans="2:2" x14ac:dyDescent="0.25">
      <c r="B5776" s="73"/>
    </row>
    <row r="5777" spans="2:2" x14ac:dyDescent="0.25">
      <c r="B5777" s="73"/>
    </row>
    <row r="5778" spans="2:2" x14ac:dyDescent="0.25">
      <c r="B5778" s="73"/>
    </row>
    <row r="5779" spans="2:2" x14ac:dyDescent="0.25">
      <c r="B5779" s="73"/>
    </row>
    <row r="5780" spans="2:2" x14ac:dyDescent="0.25">
      <c r="B5780" s="73"/>
    </row>
    <row r="5781" spans="2:2" x14ac:dyDescent="0.25">
      <c r="B5781" s="73"/>
    </row>
    <row r="5782" spans="2:2" x14ac:dyDescent="0.25">
      <c r="B5782" s="73"/>
    </row>
    <row r="5783" spans="2:2" x14ac:dyDescent="0.25">
      <c r="B5783" s="73"/>
    </row>
    <row r="5784" spans="2:2" x14ac:dyDescent="0.25">
      <c r="B5784" s="73"/>
    </row>
    <row r="5785" spans="2:2" x14ac:dyDescent="0.25">
      <c r="B5785" s="73"/>
    </row>
    <row r="5786" spans="2:2" x14ac:dyDescent="0.25">
      <c r="B5786" s="73"/>
    </row>
    <row r="5787" spans="2:2" x14ac:dyDescent="0.25">
      <c r="B5787" s="73"/>
    </row>
    <row r="5788" spans="2:2" x14ac:dyDescent="0.25">
      <c r="B5788" s="73"/>
    </row>
    <row r="5789" spans="2:2" x14ac:dyDescent="0.25">
      <c r="B5789" s="73"/>
    </row>
    <row r="5790" spans="2:2" x14ac:dyDescent="0.25">
      <c r="B5790" s="73"/>
    </row>
    <row r="5791" spans="2:2" x14ac:dyDescent="0.25">
      <c r="B5791" s="73"/>
    </row>
    <row r="5792" spans="2:2" x14ac:dyDescent="0.25">
      <c r="B5792" s="73"/>
    </row>
    <row r="5793" spans="2:2" x14ac:dyDescent="0.25">
      <c r="B5793" s="73"/>
    </row>
    <row r="5794" spans="2:2" x14ac:dyDescent="0.25">
      <c r="B5794" s="73"/>
    </row>
    <row r="5795" spans="2:2" x14ac:dyDescent="0.25">
      <c r="B5795" s="73"/>
    </row>
    <row r="5796" spans="2:2" x14ac:dyDescent="0.25">
      <c r="B5796" s="73"/>
    </row>
    <row r="5797" spans="2:2" x14ac:dyDescent="0.25">
      <c r="B5797" s="73"/>
    </row>
    <row r="5798" spans="2:2" x14ac:dyDescent="0.25">
      <c r="B5798" s="73"/>
    </row>
    <row r="5799" spans="2:2" x14ac:dyDescent="0.25">
      <c r="B5799" s="73"/>
    </row>
    <row r="5800" spans="2:2" x14ac:dyDescent="0.25">
      <c r="B5800" s="73"/>
    </row>
    <row r="5801" spans="2:2" x14ac:dyDescent="0.25">
      <c r="B5801" s="73"/>
    </row>
    <row r="5802" spans="2:2" x14ac:dyDescent="0.25">
      <c r="B5802" s="73"/>
    </row>
    <row r="5803" spans="2:2" x14ac:dyDescent="0.25">
      <c r="B5803" s="73"/>
    </row>
    <row r="5804" spans="2:2" x14ac:dyDescent="0.25">
      <c r="B5804" s="73"/>
    </row>
    <row r="5805" spans="2:2" x14ac:dyDescent="0.25">
      <c r="B5805" s="73"/>
    </row>
    <row r="5806" spans="2:2" x14ac:dyDescent="0.25">
      <c r="B5806" s="73"/>
    </row>
    <row r="5807" spans="2:2" x14ac:dyDescent="0.25">
      <c r="B5807" s="73"/>
    </row>
    <row r="5808" spans="2:2" x14ac:dyDescent="0.25">
      <c r="B5808" s="73"/>
    </row>
    <row r="5809" spans="2:2" x14ac:dyDescent="0.25">
      <c r="B5809" s="73"/>
    </row>
    <row r="5810" spans="2:2" x14ac:dyDescent="0.25">
      <c r="B5810" s="73"/>
    </row>
    <row r="5811" spans="2:2" x14ac:dyDescent="0.25">
      <c r="B5811" s="73"/>
    </row>
    <row r="5812" spans="2:2" x14ac:dyDescent="0.25">
      <c r="B5812" s="73"/>
    </row>
    <row r="5813" spans="2:2" x14ac:dyDescent="0.25">
      <c r="B5813" s="73"/>
    </row>
    <row r="5814" spans="2:2" x14ac:dyDescent="0.25">
      <c r="B5814" s="73"/>
    </row>
    <row r="5815" spans="2:2" x14ac:dyDescent="0.25">
      <c r="B5815" s="73"/>
    </row>
    <row r="5816" spans="2:2" x14ac:dyDescent="0.25">
      <c r="B5816" s="73"/>
    </row>
    <row r="5817" spans="2:2" x14ac:dyDescent="0.25">
      <c r="B5817" s="73"/>
    </row>
    <row r="5818" spans="2:2" x14ac:dyDescent="0.25">
      <c r="B5818" s="73"/>
    </row>
    <row r="5819" spans="2:2" x14ac:dyDescent="0.25">
      <c r="B5819" s="73"/>
    </row>
    <row r="5820" spans="2:2" x14ac:dyDescent="0.25">
      <c r="B5820" s="73"/>
    </row>
    <row r="5821" spans="2:2" x14ac:dyDescent="0.25">
      <c r="B5821" s="73"/>
    </row>
    <row r="5822" spans="2:2" x14ac:dyDescent="0.25">
      <c r="B5822" s="73"/>
    </row>
    <row r="5823" spans="2:2" x14ac:dyDescent="0.25">
      <c r="B5823" s="73"/>
    </row>
    <row r="5824" spans="2:2" x14ac:dyDescent="0.25">
      <c r="B5824" s="73"/>
    </row>
    <row r="5825" spans="2:2" x14ac:dyDescent="0.25">
      <c r="B5825" s="73"/>
    </row>
    <row r="5826" spans="2:2" x14ac:dyDescent="0.25">
      <c r="B5826" s="73"/>
    </row>
    <row r="5827" spans="2:2" x14ac:dyDescent="0.25">
      <c r="B5827" s="73"/>
    </row>
    <row r="5828" spans="2:2" x14ac:dyDescent="0.25">
      <c r="B5828" s="73"/>
    </row>
    <row r="5829" spans="2:2" x14ac:dyDescent="0.25">
      <c r="B5829" s="73"/>
    </row>
    <row r="5830" spans="2:2" x14ac:dyDescent="0.25">
      <c r="B5830" s="73"/>
    </row>
    <row r="5831" spans="2:2" x14ac:dyDescent="0.25">
      <c r="B5831" s="73"/>
    </row>
    <row r="5832" spans="2:2" x14ac:dyDescent="0.25">
      <c r="B5832" s="73"/>
    </row>
    <row r="5833" spans="2:2" x14ac:dyDescent="0.25">
      <c r="B5833" s="73"/>
    </row>
    <row r="5834" spans="2:2" x14ac:dyDescent="0.25">
      <c r="B5834" s="73"/>
    </row>
    <row r="5835" spans="2:2" x14ac:dyDescent="0.25">
      <c r="B5835" s="73"/>
    </row>
    <row r="5836" spans="2:2" x14ac:dyDescent="0.25">
      <c r="B5836" s="73"/>
    </row>
    <row r="5837" spans="2:2" x14ac:dyDescent="0.25">
      <c r="B5837" s="73"/>
    </row>
    <row r="5838" spans="2:2" x14ac:dyDescent="0.25">
      <c r="B5838" s="73"/>
    </row>
    <row r="5839" spans="2:2" x14ac:dyDescent="0.25">
      <c r="B5839" s="73"/>
    </row>
    <row r="5840" spans="2:2" x14ac:dyDescent="0.25">
      <c r="B5840" s="73"/>
    </row>
    <row r="5841" spans="2:2" x14ac:dyDescent="0.25">
      <c r="B5841" s="73"/>
    </row>
    <row r="5842" spans="2:2" x14ac:dyDescent="0.25">
      <c r="B5842" s="73"/>
    </row>
    <row r="5843" spans="2:2" x14ac:dyDescent="0.25">
      <c r="B5843" s="73"/>
    </row>
    <row r="5844" spans="2:2" x14ac:dyDescent="0.25">
      <c r="B5844" s="73"/>
    </row>
    <row r="5845" spans="2:2" x14ac:dyDescent="0.25">
      <c r="B5845" s="73"/>
    </row>
    <row r="5846" spans="2:2" x14ac:dyDescent="0.25">
      <c r="B5846" s="73"/>
    </row>
    <row r="5847" spans="2:2" x14ac:dyDescent="0.25">
      <c r="B5847" s="73"/>
    </row>
    <row r="5848" spans="2:2" x14ac:dyDescent="0.25">
      <c r="B5848" s="73"/>
    </row>
    <row r="5849" spans="2:2" x14ac:dyDescent="0.25">
      <c r="B5849" s="73"/>
    </row>
    <row r="5850" spans="2:2" x14ac:dyDescent="0.25">
      <c r="B5850" s="73"/>
    </row>
    <row r="5851" spans="2:2" x14ac:dyDescent="0.25">
      <c r="B5851" s="73"/>
    </row>
    <row r="5852" spans="2:2" x14ac:dyDescent="0.25">
      <c r="B5852" s="73"/>
    </row>
    <row r="5853" spans="2:2" x14ac:dyDescent="0.25">
      <c r="B5853" s="73"/>
    </row>
    <row r="5854" spans="2:2" x14ac:dyDescent="0.25">
      <c r="B5854" s="73"/>
    </row>
    <row r="5855" spans="2:2" x14ac:dyDescent="0.25">
      <c r="B5855" s="73"/>
    </row>
    <row r="5856" spans="2:2" x14ac:dyDescent="0.25">
      <c r="B5856" s="73"/>
    </row>
    <row r="5857" spans="2:2" x14ac:dyDescent="0.25">
      <c r="B5857" s="73"/>
    </row>
    <row r="5858" spans="2:2" x14ac:dyDescent="0.25">
      <c r="B5858" s="73"/>
    </row>
    <row r="5859" spans="2:2" x14ac:dyDescent="0.25">
      <c r="B5859" s="73"/>
    </row>
    <row r="5860" spans="2:2" x14ac:dyDescent="0.25">
      <c r="B5860" s="73"/>
    </row>
    <row r="5861" spans="2:2" x14ac:dyDescent="0.25">
      <c r="B5861" s="73"/>
    </row>
    <row r="5862" spans="2:2" x14ac:dyDescent="0.25">
      <c r="B5862" s="73"/>
    </row>
    <row r="5863" spans="2:2" x14ac:dyDescent="0.25">
      <c r="B5863" s="73"/>
    </row>
    <row r="5864" spans="2:2" x14ac:dyDescent="0.25">
      <c r="B5864" s="73"/>
    </row>
    <row r="5865" spans="2:2" x14ac:dyDescent="0.25">
      <c r="B5865" s="73"/>
    </row>
    <row r="5866" spans="2:2" x14ac:dyDescent="0.25">
      <c r="B5866" s="73"/>
    </row>
    <row r="5867" spans="2:2" x14ac:dyDescent="0.25">
      <c r="B5867" s="73"/>
    </row>
    <row r="5868" spans="2:2" x14ac:dyDescent="0.25">
      <c r="B5868" s="73"/>
    </row>
    <row r="5869" spans="2:2" x14ac:dyDescent="0.25">
      <c r="B5869" s="73"/>
    </row>
    <row r="5870" spans="2:2" x14ac:dyDescent="0.25">
      <c r="B5870" s="73"/>
    </row>
    <row r="5871" spans="2:2" x14ac:dyDescent="0.25">
      <c r="B5871" s="73"/>
    </row>
    <row r="5872" spans="2:2" x14ac:dyDescent="0.25">
      <c r="B5872" s="73"/>
    </row>
    <row r="5873" spans="2:2" x14ac:dyDescent="0.25">
      <c r="B5873" s="73"/>
    </row>
    <row r="5874" spans="2:2" x14ac:dyDescent="0.25">
      <c r="B5874" s="73"/>
    </row>
    <row r="5875" spans="2:2" x14ac:dyDescent="0.25">
      <c r="B5875" s="73"/>
    </row>
    <row r="5876" spans="2:2" x14ac:dyDescent="0.25">
      <c r="B5876" s="73"/>
    </row>
    <row r="5877" spans="2:2" x14ac:dyDescent="0.25">
      <c r="B5877" s="73"/>
    </row>
    <row r="5878" spans="2:2" x14ac:dyDescent="0.25">
      <c r="B5878" s="73"/>
    </row>
    <row r="5879" spans="2:2" x14ac:dyDescent="0.25">
      <c r="B5879" s="73"/>
    </row>
    <row r="5880" spans="2:2" x14ac:dyDescent="0.25">
      <c r="B5880" s="73"/>
    </row>
    <row r="5881" spans="2:2" x14ac:dyDescent="0.25">
      <c r="B5881" s="73"/>
    </row>
    <row r="5882" spans="2:2" x14ac:dyDescent="0.25">
      <c r="B5882" s="73"/>
    </row>
    <row r="5883" spans="2:2" x14ac:dyDescent="0.25">
      <c r="B5883" s="73"/>
    </row>
    <row r="5884" spans="2:2" x14ac:dyDescent="0.25">
      <c r="B5884" s="73"/>
    </row>
    <row r="5885" spans="2:2" x14ac:dyDescent="0.25">
      <c r="B5885" s="73"/>
    </row>
    <row r="5886" spans="2:2" x14ac:dyDescent="0.25">
      <c r="B5886" s="73"/>
    </row>
    <row r="5887" spans="2:2" x14ac:dyDescent="0.25">
      <c r="B5887" s="73"/>
    </row>
    <row r="5888" spans="2:2" x14ac:dyDescent="0.25">
      <c r="B5888" s="73"/>
    </row>
    <row r="5889" spans="2:2" x14ac:dyDescent="0.25">
      <c r="B5889" s="73"/>
    </row>
    <row r="5890" spans="2:2" x14ac:dyDescent="0.25">
      <c r="B5890" s="73"/>
    </row>
    <row r="5891" spans="2:2" x14ac:dyDescent="0.25">
      <c r="B5891" s="73"/>
    </row>
    <row r="5892" spans="2:2" x14ac:dyDescent="0.25">
      <c r="B5892" s="73"/>
    </row>
    <row r="5893" spans="2:2" x14ac:dyDescent="0.25">
      <c r="B5893" s="73"/>
    </row>
    <row r="5894" spans="2:2" x14ac:dyDescent="0.25">
      <c r="B5894" s="73"/>
    </row>
    <row r="5895" spans="2:2" x14ac:dyDescent="0.25">
      <c r="B5895" s="73"/>
    </row>
    <row r="5896" spans="2:2" x14ac:dyDescent="0.25">
      <c r="B5896" s="73"/>
    </row>
    <row r="5897" spans="2:2" x14ac:dyDescent="0.25">
      <c r="B5897" s="73"/>
    </row>
    <row r="5898" spans="2:2" x14ac:dyDescent="0.25">
      <c r="B5898" s="73"/>
    </row>
    <row r="5899" spans="2:2" x14ac:dyDescent="0.25">
      <c r="B5899" s="73"/>
    </row>
    <row r="5900" spans="2:2" x14ac:dyDescent="0.25">
      <c r="B5900" s="73"/>
    </row>
    <row r="5901" spans="2:2" x14ac:dyDescent="0.25">
      <c r="B5901" s="73"/>
    </row>
    <row r="5902" spans="2:2" x14ac:dyDescent="0.25">
      <c r="B5902" s="73"/>
    </row>
    <row r="5903" spans="2:2" x14ac:dyDescent="0.25">
      <c r="B5903" s="73"/>
    </row>
    <row r="5904" spans="2:2" x14ac:dyDescent="0.25">
      <c r="B5904" s="73"/>
    </row>
    <row r="5905" spans="2:2" x14ac:dyDescent="0.25">
      <c r="B5905" s="73"/>
    </row>
    <row r="5906" spans="2:2" x14ac:dyDescent="0.25">
      <c r="B5906" s="73"/>
    </row>
    <row r="5907" spans="2:2" x14ac:dyDescent="0.25">
      <c r="B5907" s="73"/>
    </row>
    <row r="5908" spans="2:2" x14ac:dyDescent="0.25">
      <c r="B5908" s="73"/>
    </row>
    <row r="5909" spans="2:2" x14ac:dyDescent="0.25">
      <c r="B5909" s="73"/>
    </row>
    <row r="5910" spans="2:2" x14ac:dyDescent="0.25">
      <c r="B5910" s="73"/>
    </row>
    <row r="5911" spans="2:2" x14ac:dyDescent="0.25">
      <c r="B5911" s="73"/>
    </row>
    <row r="5912" spans="2:2" x14ac:dyDescent="0.25">
      <c r="B5912" s="73"/>
    </row>
    <row r="5913" spans="2:2" x14ac:dyDescent="0.25">
      <c r="B5913" s="73"/>
    </row>
    <row r="5914" spans="2:2" x14ac:dyDescent="0.25">
      <c r="B5914" s="73"/>
    </row>
    <row r="5915" spans="2:2" x14ac:dyDescent="0.25">
      <c r="B5915" s="73"/>
    </row>
    <row r="5916" spans="2:2" x14ac:dyDescent="0.25">
      <c r="B5916" s="73"/>
    </row>
    <row r="5917" spans="2:2" x14ac:dyDescent="0.25">
      <c r="B5917" s="73"/>
    </row>
    <row r="5918" spans="2:2" x14ac:dyDescent="0.25">
      <c r="B5918" s="73"/>
    </row>
    <row r="5919" spans="2:2" x14ac:dyDescent="0.25">
      <c r="B5919" s="73"/>
    </row>
    <row r="5920" spans="2:2" x14ac:dyDescent="0.25">
      <c r="B5920" s="73"/>
    </row>
    <row r="5921" spans="2:2" x14ac:dyDescent="0.25">
      <c r="B5921" s="73"/>
    </row>
    <row r="5922" spans="2:2" x14ac:dyDescent="0.25">
      <c r="B5922" s="73"/>
    </row>
    <row r="5923" spans="2:2" x14ac:dyDescent="0.25">
      <c r="B5923" s="73"/>
    </row>
    <row r="5924" spans="2:2" x14ac:dyDescent="0.25">
      <c r="B5924" s="73"/>
    </row>
    <row r="5925" spans="2:2" x14ac:dyDescent="0.25">
      <c r="B5925" s="73"/>
    </row>
    <row r="5926" spans="2:2" x14ac:dyDescent="0.25">
      <c r="B5926" s="73"/>
    </row>
    <row r="5927" spans="2:2" x14ac:dyDescent="0.25">
      <c r="B5927" s="73"/>
    </row>
    <row r="5928" spans="2:2" x14ac:dyDescent="0.25">
      <c r="B5928" s="73"/>
    </row>
    <row r="5929" spans="2:2" x14ac:dyDescent="0.25">
      <c r="B5929" s="73"/>
    </row>
    <row r="5930" spans="2:2" x14ac:dyDescent="0.25">
      <c r="B5930" s="73"/>
    </row>
    <row r="5931" spans="2:2" x14ac:dyDescent="0.25">
      <c r="B5931" s="73"/>
    </row>
    <row r="5932" spans="2:2" x14ac:dyDescent="0.25">
      <c r="B5932" s="73"/>
    </row>
    <row r="5933" spans="2:2" x14ac:dyDescent="0.25">
      <c r="B5933" s="73"/>
    </row>
    <row r="5934" spans="2:2" x14ac:dyDescent="0.25">
      <c r="B5934" s="73"/>
    </row>
    <row r="5935" spans="2:2" x14ac:dyDescent="0.25">
      <c r="B5935" s="73"/>
    </row>
    <row r="5936" spans="2:2" x14ac:dyDescent="0.25">
      <c r="B5936" s="73"/>
    </row>
    <row r="5937" spans="2:2" x14ac:dyDescent="0.25">
      <c r="B5937" s="73"/>
    </row>
    <row r="5938" spans="2:2" x14ac:dyDescent="0.25">
      <c r="B5938" s="73"/>
    </row>
    <row r="5939" spans="2:2" x14ac:dyDescent="0.25">
      <c r="B5939" s="73"/>
    </row>
    <row r="5940" spans="2:2" x14ac:dyDescent="0.25">
      <c r="B5940" s="73"/>
    </row>
    <row r="5941" spans="2:2" x14ac:dyDescent="0.25">
      <c r="B5941" s="73"/>
    </row>
    <row r="5942" spans="2:2" x14ac:dyDescent="0.25">
      <c r="B5942" s="73"/>
    </row>
    <row r="5943" spans="2:2" x14ac:dyDescent="0.25">
      <c r="B5943" s="73"/>
    </row>
    <row r="5944" spans="2:2" x14ac:dyDescent="0.25">
      <c r="B5944" s="73"/>
    </row>
    <row r="5945" spans="2:2" x14ac:dyDescent="0.25">
      <c r="B5945" s="73"/>
    </row>
    <row r="5946" spans="2:2" x14ac:dyDescent="0.25">
      <c r="B5946" s="73"/>
    </row>
    <row r="5947" spans="2:2" x14ac:dyDescent="0.25">
      <c r="B5947" s="73"/>
    </row>
    <row r="5948" spans="2:2" x14ac:dyDescent="0.25">
      <c r="B5948" s="73"/>
    </row>
    <row r="5949" spans="2:2" x14ac:dyDescent="0.25">
      <c r="B5949" s="73"/>
    </row>
    <row r="5950" spans="2:2" x14ac:dyDescent="0.25">
      <c r="B5950" s="73"/>
    </row>
    <row r="5951" spans="2:2" x14ac:dyDescent="0.25">
      <c r="B5951" s="73"/>
    </row>
    <row r="5952" spans="2:2" x14ac:dyDescent="0.25">
      <c r="B5952" s="73"/>
    </row>
    <row r="5953" spans="2:2" x14ac:dyDescent="0.25">
      <c r="B5953" s="73"/>
    </row>
    <row r="5954" spans="2:2" x14ac:dyDescent="0.25">
      <c r="B5954" s="73"/>
    </row>
    <row r="5955" spans="2:2" x14ac:dyDescent="0.25">
      <c r="B5955" s="73"/>
    </row>
    <row r="5956" spans="2:2" x14ac:dyDescent="0.25">
      <c r="B5956" s="73"/>
    </row>
    <row r="5957" spans="2:2" x14ac:dyDescent="0.25">
      <c r="B5957" s="73"/>
    </row>
    <row r="5958" spans="2:2" x14ac:dyDescent="0.25">
      <c r="B5958" s="73"/>
    </row>
    <row r="5959" spans="2:2" x14ac:dyDescent="0.25">
      <c r="B5959" s="73"/>
    </row>
    <row r="5960" spans="2:2" x14ac:dyDescent="0.25">
      <c r="B5960" s="73"/>
    </row>
    <row r="5961" spans="2:2" x14ac:dyDescent="0.25">
      <c r="B5961" s="73"/>
    </row>
    <row r="5962" spans="2:2" x14ac:dyDescent="0.25">
      <c r="B5962" s="73"/>
    </row>
    <row r="5963" spans="2:2" x14ac:dyDescent="0.25">
      <c r="B5963" s="73"/>
    </row>
    <row r="5964" spans="2:2" x14ac:dyDescent="0.25">
      <c r="B5964" s="73"/>
    </row>
    <row r="5965" spans="2:2" x14ac:dyDescent="0.25">
      <c r="B5965" s="73"/>
    </row>
    <row r="5966" spans="2:2" x14ac:dyDescent="0.25">
      <c r="B5966" s="73"/>
    </row>
    <row r="5967" spans="2:2" x14ac:dyDescent="0.25">
      <c r="B5967" s="73"/>
    </row>
    <row r="5968" spans="2:2" x14ac:dyDescent="0.25">
      <c r="B5968" s="73"/>
    </row>
    <row r="5969" spans="2:2" x14ac:dyDescent="0.25">
      <c r="B5969" s="73"/>
    </row>
    <row r="5970" spans="2:2" x14ac:dyDescent="0.25">
      <c r="B5970" s="73"/>
    </row>
    <row r="5971" spans="2:2" x14ac:dyDescent="0.25">
      <c r="B5971" s="73"/>
    </row>
    <row r="5972" spans="2:2" x14ac:dyDescent="0.25">
      <c r="B5972" s="73"/>
    </row>
    <row r="5973" spans="2:2" x14ac:dyDescent="0.25">
      <c r="B5973" s="73"/>
    </row>
    <row r="5974" spans="2:2" x14ac:dyDescent="0.25">
      <c r="B5974" s="73"/>
    </row>
    <row r="5975" spans="2:2" x14ac:dyDescent="0.25">
      <c r="B5975" s="73"/>
    </row>
    <row r="5976" spans="2:2" x14ac:dyDescent="0.25">
      <c r="B5976" s="73"/>
    </row>
    <row r="5977" spans="2:2" x14ac:dyDescent="0.25">
      <c r="B5977" s="73"/>
    </row>
    <row r="5978" spans="2:2" x14ac:dyDescent="0.25">
      <c r="B5978" s="73"/>
    </row>
    <row r="5979" spans="2:2" x14ac:dyDescent="0.25">
      <c r="B5979" s="73"/>
    </row>
    <row r="5980" spans="2:2" x14ac:dyDescent="0.25">
      <c r="B5980" s="73"/>
    </row>
    <row r="5981" spans="2:2" x14ac:dyDescent="0.25">
      <c r="B5981" s="73"/>
    </row>
    <row r="5982" spans="2:2" x14ac:dyDescent="0.25">
      <c r="B5982" s="73"/>
    </row>
    <row r="5983" spans="2:2" x14ac:dyDescent="0.25">
      <c r="B5983" s="73"/>
    </row>
    <row r="5984" spans="2:2" x14ac:dyDescent="0.25">
      <c r="B5984" s="73"/>
    </row>
    <row r="5985" spans="2:2" x14ac:dyDescent="0.25">
      <c r="B5985" s="73"/>
    </row>
    <row r="5986" spans="2:2" x14ac:dyDescent="0.25">
      <c r="B5986" s="73"/>
    </row>
    <row r="5987" spans="2:2" x14ac:dyDescent="0.25">
      <c r="B5987" s="73"/>
    </row>
    <row r="5988" spans="2:2" x14ac:dyDescent="0.25">
      <c r="B5988" s="73"/>
    </row>
    <row r="5989" spans="2:2" x14ac:dyDescent="0.25">
      <c r="B5989" s="73"/>
    </row>
    <row r="5990" spans="2:2" x14ac:dyDescent="0.25">
      <c r="B5990" s="73"/>
    </row>
    <row r="5991" spans="2:2" x14ac:dyDescent="0.25">
      <c r="B5991" s="73"/>
    </row>
    <row r="5992" spans="2:2" x14ac:dyDescent="0.25">
      <c r="B5992" s="73"/>
    </row>
    <row r="5993" spans="2:2" x14ac:dyDescent="0.25">
      <c r="B5993" s="73"/>
    </row>
    <row r="5994" spans="2:2" x14ac:dyDescent="0.25">
      <c r="B5994" s="73"/>
    </row>
    <row r="5995" spans="2:2" x14ac:dyDescent="0.25">
      <c r="B5995" s="73"/>
    </row>
    <row r="5996" spans="2:2" x14ac:dyDescent="0.25">
      <c r="B5996" s="73"/>
    </row>
    <row r="5997" spans="2:2" x14ac:dyDescent="0.25">
      <c r="B5997" s="73"/>
    </row>
    <row r="5998" spans="2:2" x14ac:dyDescent="0.25">
      <c r="B5998" s="73"/>
    </row>
    <row r="5999" spans="2:2" x14ac:dyDescent="0.25">
      <c r="B5999" s="73"/>
    </row>
    <row r="6000" spans="2:2" x14ac:dyDescent="0.25">
      <c r="B6000" s="73"/>
    </row>
    <row r="6001" spans="2:2" x14ac:dyDescent="0.25">
      <c r="B6001" s="73"/>
    </row>
    <row r="6002" spans="2:2" x14ac:dyDescent="0.25">
      <c r="B6002" s="73"/>
    </row>
    <row r="6003" spans="2:2" x14ac:dyDescent="0.25">
      <c r="B6003" s="73"/>
    </row>
    <row r="6004" spans="2:2" x14ac:dyDescent="0.25">
      <c r="B6004" s="73"/>
    </row>
    <row r="6005" spans="2:2" x14ac:dyDescent="0.25">
      <c r="B6005" s="73"/>
    </row>
    <row r="6006" spans="2:2" x14ac:dyDescent="0.25">
      <c r="B6006" s="73"/>
    </row>
    <row r="6007" spans="2:2" x14ac:dyDescent="0.25">
      <c r="B6007" s="73"/>
    </row>
    <row r="6008" spans="2:2" x14ac:dyDescent="0.25">
      <c r="B6008" s="73"/>
    </row>
    <row r="6009" spans="2:2" x14ac:dyDescent="0.25">
      <c r="B6009" s="73"/>
    </row>
    <row r="6010" spans="2:2" x14ac:dyDescent="0.25">
      <c r="B6010" s="73"/>
    </row>
    <row r="6011" spans="2:2" x14ac:dyDescent="0.25">
      <c r="B6011" s="73"/>
    </row>
    <row r="6012" spans="2:2" x14ac:dyDescent="0.25">
      <c r="B6012" s="73"/>
    </row>
    <row r="6013" spans="2:2" x14ac:dyDescent="0.25">
      <c r="B6013" s="73"/>
    </row>
    <row r="6014" spans="2:2" x14ac:dyDescent="0.25">
      <c r="B6014" s="73"/>
    </row>
    <row r="6015" spans="2:2" x14ac:dyDescent="0.25">
      <c r="B6015" s="73"/>
    </row>
    <row r="6016" spans="2:2" x14ac:dyDescent="0.25">
      <c r="B6016" s="73"/>
    </row>
    <row r="6017" spans="2:2" x14ac:dyDescent="0.25">
      <c r="B6017" s="73"/>
    </row>
    <row r="6018" spans="2:2" x14ac:dyDescent="0.25">
      <c r="B6018" s="73"/>
    </row>
    <row r="6019" spans="2:2" x14ac:dyDescent="0.25">
      <c r="B6019" s="73"/>
    </row>
    <row r="6020" spans="2:2" x14ac:dyDescent="0.25">
      <c r="B6020" s="73"/>
    </row>
    <row r="6021" spans="2:2" x14ac:dyDescent="0.25">
      <c r="B6021" s="73"/>
    </row>
    <row r="6022" spans="2:2" x14ac:dyDescent="0.25">
      <c r="B6022" s="73"/>
    </row>
    <row r="6023" spans="2:2" x14ac:dyDescent="0.25">
      <c r="B6023" s="73"/>
    </row>
    <row r="6024" spans="2:2" x14ac:dyDescent="0.25">
      <c r="B6024" s="73"/>
    </row>
    <row r="6025" spans="2:2" x14ac:dyDescent="0.25">
      <c r="B6025" s="73"/>
    </row>
    <row r="6026" spans="2:2" x14ac:dyDescent="0.25">
      <c r="B6026" s="73"/>
    </row>
    <row r="6027" spans="2:2" x14ac:dyDescent="0.25">
      <c r="B6027" s="73"/>
    </row>
    <row r="6028" spans="2:2" x14ac:dyDescent="0.25">
      <c r="B6028" s="73"/>
    </row>
    <row r="6029" spans="2:2" x14ac:dyDescent="0.25">
      <c r="B6029" s="73"/>
    </row>
    <row r="6030" spans="2:2" x14ac:dyDescent="0.25">
      <c r="B6030" s="73"/>
    </row>
    <row r="6031" spans="2:2" x14ac:dyDescent="0.25">
      <c r="B6031" s="73"/>
    </row>
    <row r="6032" spans="2:2" x14ac:dyDescent="0.25">
      <c r="B6032" s="73"/>
    </row>
    <row r="6033" spans="2:2" x14ac:dyDescent="0.25">
      <c r="B6033" s="73"/>
    </row>
    <row r="6034" spans="2:2" x14ac:dyDescent="0.25">
      <c r="B6034" s="73"/>
    </row>
    <row r="6035" spans="2:2" x14ac:dyDescent="0.25">
      <c r="B6035" s="73"/>
    </row>
    <row r="6036" spans="2:2" x14ac:dyDescent="0.25">
      <c r="B6036" s="73"/>
    </row>
    <row r="6037" spans="2:2" x14ac:dyDescent="0.25">
      <c r="B6037" s="73"/>
    </row>
    <row r="6038" spans="2:2" x14ac:dyDescent="0.25">
      <c r="B6038" s="73"/>
    </row>
    <row r="6039" spans="2:2" x14ac:dyDescent="0.25">
      <c r="B6039" s="73"/>
    </row>
    <row r="6040" spans="2:2" x14ac:dyDescent="0.25">
      <c r="B6040" s="73"/>
    </row>
    <row r="6041" spans="2:2" x14ac:dyDescent="0.25">
      <c r="B6041" s="73"/>
    </row>
    <row r="6042" spans="2:2" x14ac:dyDescent="0.25">
      <c r="B6042" s="73"/>
    </row>
    <row r="6043" spans="2:2" x14ac:dyDescent="0.25">
      <c r="B6043" s="73"/>
    </row>
    <row r="6044" spans="2:2" x14ac:dyDescent="0.25">
      <c r="B6044" s="73"/>
    </row>
    <row r="6045" spans="2:2" x14ac:dyDescent="0.25">
      <c r="B6045" s="73"/>
    </row>
    <row r="6046" spans="2:2" x14ac:dyDescent="0.25">
      <c r="B6046" s="73"/>
    </row>
    <row r="6047" spans="2:2" x14ac:dyDescent="0.25">
      <c r="B6047" s="73"/>
    </row>
    <row r="6048" spans="2:2" x14ac:dyDescent="0.25">
      <c r="B6048" s="73"/>
    </row>
    <row r="6049" spans="2:2" x14ac:dyDescent="0.25">
      <c r="B6049" s="73"/>
    </row>
    <row r="6050" spans="2:2" x14ac:dyDescent="0.25">
      <c r="B6050" s="73"/>
    </row>
    <row r="6051" spans="2:2" x14ac:dyDescent="0.25">
      <c r="B6051" s="73"/>
    </row>
    <row r="6052" spans="2:2" x14ac:dyDescent="0.25">
      <c r="B6052" s="73"/>
    </row>
    <row r="6053" spans="2:2" x14ac:dyDescent="0.25">
      <c r="B6053" s="73"/>
    </row>
    <row r="6054" spans="2:2" x14ac:dyDescent="0.25">
      <c r="B6054" s="73"/>
    </row>
    <row r="6055" spans="2:2" x14ac:dyDescent="0.25">
      <c r="B6055" s="73"/>
    </row>
    <row r="6056" spans="2:2" x14ac:dyDescent="0.25">
      <c r="B6056" s="73"/>
    </row>
    <row r="6057" spans="2:2" x14ac:dyDescent="0.25">
      <c r="B6057" s="73"/>
    </row>
    <row r="6058" spans="2:2" x14ac:dyDescent="0.25">
      <c r="B6058" s="73"/>
    </row>
    <row r="6059" spans="2:2" x14ac:dyDescent="0.25">
      <c r="B6059" s="73"/>
    </row>
    <row r="6060" spans="2:2" x14ac:dyDescent="0.25">
      <c r="B6060" s="73"/>
    </row>
    <row r="6061" spans="2:2" x14ac:dyDescent="0.25">
      <c r="B6061" s="73"/>
    </row>
    <row r="6062" spans="2:2" x14ac:dyDescent="0.25">
      <c r="B6062" s="73"/>
    </row>
    <row r="6063" spans="2:2" x14ac:dyDescent="0.25">
      <c r="B6063" s="73"/>
    </row>
    <row r="6064" spans="2:2" x14ac:dyDescent="0.25">
      <c r="B6064" s="73"/>
    </row>
    <row r="6065" spans="2:2" x14ac:dyDescent="0.25">
      <c r="B6065" s="73"/>
    </row>
    <row r="6066" spans="2:2" x14ac:dyDescent="0.25">
      <c r="B6066" s="73"/>
    </row>
    <row r="6067" spans="2:2" x14ac:dyDescent="0.25">
      <c r="B6067" s="73"/>
    </row>
    <row r="6068" spans="2:2" x14ac:dyDescent="0.25">
      <c r="B6068" s="73"/>
    </row>
    <row r="6069" spans="2:2" x14ac:dyDescent="0.25">
      <c r="B6069" s="73"/>
    </row>
    <row r="6070" spans="2:2" x14ac:dyDescent="0.25">
      <c r="B6070" s="73"/>
    </row>
    <row r="6071" spans="2:2" x14ac:dyDescent="0.25">
      <c r="B6071" s="73"/>
    </row>
    <row r="6072" spans="2:2" x14ac:dyDescent="0.25">
      <c r="B6072" s="73"/>
    </row>
    <row r="6073" spans="2:2" x14ac:dyDescent="0.25">
      <c r="B6073" s="73"/>
    </row>
    <row r="6074" spans="2:2" x14ac:dyDescent="0.25">
      <c r="B6074" s="73"/>
    </row>
    <row r="6075" spans="2:2" x14ac:dyDescent="0.25">
      <c r="B6075" s="73"/>
    </row>
    <row r="6076" spans="2:2" x14ac:dyDescent="0.25">
      <c r="B6076" s="73"/>
    </row>
    <row r="6077" spans="2:2" x14ac:dyDescent="0.25">
      <c r="B6077" s="73"/>
    </row>
    <row r="6078" spans="2:2" x14ac:dyDescent="0.25">
      <c r="B6078" s="73"/>
    </row>
    <row r="6079" spans="2:2" x14ac:dyDescent="0.25">
      <c r="B6079" s="73"/>
    </row>
    <row r="6080" spans="2:2" x14ac:dyDescent="0.25">
      <c r="B6080" s="73"/>
    </row>
    <row r="6081" spans="2:2" x14ac:dyDescent="0.25">
      <c r="B6081" s="73"/>
    </row>
    <row r="6082" spans="2:2" x14ac:dyDescent="0.25">
      <c r="B6082" s="73"/>
    </row>
    <row r="6083" spans="2:2" x14ac:dyDescent="0.25">
      <c r="B6083" s="73"/>
    </row>
    <row r="6084" spans="2:2" x14ac:dyDescent="0.25">
      <c r="B6084" s="73"/>
    </row>
    <row r="6085" spans="2:2" x14ac:dyDescent="0.25">
      <c r="B6085" s="73"/>
    </row>
    <row r="6086" spans="2:2" x14ac:dyDescent="0.25">
      <c r="B6086" s="73"/>
    </row>
    <row r="6087" spans="2:2" x14ac:dyDescent="0.25">
      <c r="B6087" s="73"/>
    </row>
    <row r="6088" spans="2:2" x14ac:dyDescent="0.25">
      <c r="B6088" s="73"/>
    </row>
    <row r="6089" spans="2:2" x14ac:dyDescent="0.25">
      <c r="B6089" s="73"/>
    </row>
    <row r="6090" spans="2:2" x14ac:dyDescent="0.25">
      <c r="B6090" s="73"/>
    </row>
    <row r="6091" spans="2:2" x14ac:dyDescent="0.25">
      <c r="B6091" s="73"/>
    </row>
    <row r="6092" spans="2:2" x14ac:dyDescent="0.25">
      <c r="B6092" s="73"/>
    </row>
    <row r="6093" spans="2:2" x14ac:dyDescent="0.25">
      <c r="B6093" s="73"/>
    </row>
    <row r="6094" spans="2:2" x14ac:dyDescent="0.25">
      <c r="B6094" s="73"/>
    </row>
    <row r="6095" spans="2:2" x14ac:dyDescent="0.25">
      <c r="B6095" s="73"/>
    </row>
    <row r="6096" spans="2:2" x14ac:dyDescent="0.25">
      <c r="B6096" s="73"/>
    </row>
    <row r="6097" spans="2:2" x14ac:dyDescent="0.25">
      <c r="B6097" s="73"/>
    </row>
    <row r="6098" spans="2:2" x14ac:dyDescent="0.25">
      <c r="B6098" s="73"/>
    </row>
    <row r="6099" spans="2:2" x14ac:dyDescent="0.25">
      <c r="B6099" s="73"/>
    </row>
    <row r="6100" spans="2:2" x14ac:dyDescent="0.25">
      <c r="B6100" s="73"/>
    </row>
    <row r="6101" spans="2:2" x14ac:dyDescent="0.25">
      <c r="B6101" s="73"/>
    </row>
    <row r="6102" spans="2:2" x14ac:dyDescent="0.25">
      <c r="B6102" s="73"/>
    </row>
    <row r="6103" spans="2:2" x14ac:dyDescent="0.25">
      <c r="B6103" s="73"/>
    </row>
    <row r="6104" spans="2:2" x14ac:dyDescent="0.25">
      <c r="B6104" s="73"/>
    </row>
    <row r="6105" spans="2:2" x14ac:dyDescent="0.25">
      <c r="B6105" s="73"/>
    </row>
    <row r="6106" spans="2:2" x14ac:dyDescent="0.25">
      <c r="B6106" s="73"/>
    </row>
    <row r="6107" spans="2:2" x14ac:dyDescent="0.25">
      <c r="B6107" s="73"/>
    </row>
    <row r="6108" spans="2:2" x14ac:dyDescent="0.25">
      <c r="B6108" s="73"/>
    </row>
    <row r="6109" spans="2:2" x14ac:dyDescent="0.25">
      <c r="B6109" s="73"/>
    </row>
    <row r="6110" spans="2:2" x14ac:dyDescent="0.25">
      <c r="B6110" s="73"/>
    </row>
    <row r="6111" spans="2:2" x14ac:dyDescent="0.25">
      <c r="B6111" s="73"/>
    </row>
    <row r="6112" spans="2:2" x14ac:dyDescent="0.25">
      <c r="B6112" s="73"/>
    </row>
    <row r="6113" spans="2:2" x14ac:dyDescent="0.25">
      <c r="B6113" s="73"/>
    </row>
    <row r="6114" spans="2:2" x14ac:dyDescent="0.25">
      <c r="B6114" s="73"/>
    </row>
    <row r="6115" spans="2:2" x14ac:dyDescent="0.25">
      <c r="B6115" s="73"/>
    </row>
    <row r="6116" spans="2:2" x14ac:dyDescent="0.25">
      <c r="B6116" s="73"/>
    </row>
    <row r="6117" spans="2:2" x14ac:dyDescent="0.25">
      <c r="B6117" s="73"/>
    </row>
    <row r="6118" spans="2:2" x14ac:dyDescent="0.25">
      <c r="B6118" s="73"/>
    </row>
    <row r="6119" spans="2:2" x14ac:dyDescent="0.25">
      <c r="B6119" s="73"/>
    </row>
    <row r="6120" spans="2:2" x14ac:dyDescent="0.25">
      <c r="B6120" s="73"/>
    </row>
    <row r="6121" spans="2:2" x14ac:dyDescent="0.25">
      <c r="B6121" s="73"/>
    </row>
    <row r="6122" spans="2:2" x14ac:dyDescent="0.25">
      <c r="B6122" s="73"/>
    </row>
    <row r="6123" spans="2:2" x14ac:dyDescent="0.25">
      <c r="B6123" s="73"/>
    </row>
    <row r="6124" spans="2:2" x14ac:dyDescent="0.25">
      <c r="B6124" s="73"/>
    </row>
    <row r="6125" spans="2:2" x14ac:dyDescent="0.25">
      <c r="B6125" s="73"/>
    </row>
    <row r="6126" spans="2:2" x14ac:dyDescent="0.25">
      <c r="B6126" s="73"/>
    </row>
    <row r="6127" spans="2:2" x14ac:dyDescent="0.25">
      <c r="B6127" s="73"/>
    </row>
    <row r="6128" spans="2:2" x14ac:dyDescent="0.25">
      <c r="B6128" s="73"/>
    </row>
    <row r="6129" spans="2:2" x14ac:dyDescent="0.25">
      <c r="B6129" s="73"/>
    </row>
    <row r="6130" spans="2:2" x14ac:dyDescent="0.25">
      <c r="B6130" s="73"/>
    </row>
    <row r="6131" spans="2:2" x14ac:dyDescent="0.25">
      <c r="B6131" s="73"/>
    </row>
    <row r="6132" spans="2:2" x14ac:dyDescent="0.25">
      <c r="B6132" s="73"/>
    </row>
    <row r="6133" spans="2:2" x14ac:dyDescent="0.25">
      <c r="B6133" s="73"/>
    </row>
    <row r="6134" spans="2:2" x14ac:dyDescent="0.25">
      <c r="B6134" s="73"/>
    </row>
    <row r="6135" spans="2:2" x14ac:dyDescent="0.25">
      <c r="B6135" s="73"/>
    </row>
    <row r="6136" spans="2:2" x14ac:dyDescent="0.25">
      <c r="B6136" s="73"/>
    </row>
    <row r="6137" spans="2:2" x14ac:dyDescent="0.25">
      <c r="B6137" s="73"/>
    </row>
    <row r="6138" spans="2:2" x14ac:dyDescent="0.25">
      <c r="B6138" s="73"/>
    </row>
    <row r="6139" spans="2:2" x14ac:dyDescent="0.25">
      <c r="B6139" s="73"/>
    </row>
    <row r="6140" spans="2:2" x14ac:dyDescent="0.25">
      <c r="B6140" s="73"/>
    </row>
    <row r="6141" spans="2:2" x14ac:dyDescent="0.25">
      <c r="B6141" s="73"/>
    </row>
    <row r="6142" spans="2:2" x14ac:dyDescent="0.25">
      <c r="B6142" s="73"/>
    </row>
    <row r="6143" spans="2:2" x14ac:dyDescent="0.25">
      <c r="B6143" s="73"/>
    </row>
    <row r="6144" spans="2:2" x14ac:dyDescent="0.25">
      <c r="B6144" s="73"/>
    </row>
    <row r="6145" spans="2:2" x14ac:dyDescent="0.25">
      <c r="B6145" s="73"/>
    </row>
    <row r="6146" spans="2:2" x14ac:dyDescent="0.25">
      <c r="B6146" s="73"/>
    </row>
    <row r="6147" spans="2:2" x14ac:dyDescent="0.25">
      <c r="B6147" s="73"/>
    </row>
    <row r="6148" spans="2:2" x14ac:dyDescent="0.25">
      <c r="B6148" s="73"/>
    </row>
    <row r="6149" spans="2:2" x14ac:dyDescent="0.25">
      <c r="B6149" s="73"/>
    </row>
    <row r="6150" spans="2:2" x14ac:dyDescent="0.25">
      <c r="B6150" s="73"/>
    </row>
    <row r="6151" spans="2:2" x14ac:dyDescent="0.25">
      <c r="B6151" s="73"/>
    </row>
    <row r="6152" spans="2:2" x14ac:dyDescent="0.25">
      <c r="B6152" s="73"/>
    </row>
    <row r="6153" spans="2:2" x14ac:dyDescent="0.25">
      <c r="B6153" s="73"/>
    </row>
    <row r="6154" spans="2:2" x14ac:dyDescent="0.25">
      <c r="B6154" s="73"/>
    </row>
    <row r="6155" spans="2:2" x14ac:dyDescent="0.25">
      <c r="B6155" s="73"/>
    </row>
    <row r="6156" spans="2:2" x14ac:dyDescent="0.25">
      <c r="B6156" s="73"/>
    </row>
    <row r="6157" spans="2:2" x14ac:dyDescent="0.25">
      <c r="B6157" s="73"/>
    </row>
    <row r="6158" spans="2:2" x14ac:dyDescent="0.25">
      <c r="B6158" s="73"/>
    </row>
    <row r="6159" spans="2:2" x14ac:dyDescent="0.25">
      <c r="B6159" s="73"/>
    </row>
    <row r="6160" spans="2:2" x14ac:dyDescent="0.25">
      <c r="B6160" s="73"/>
    </row>
    <row r="6161" spans="2:2" x14ac:dyDescent="0.25">
      <c r="B6161" s="73"/>
    </row>
    <row r="6162" spans="2:2" x14ac:dyDescent="0.25">
      <c r="B6162" s="73"/>
    </row>
    <row r="6163" spans="2:2" x14ac:dyDescent="0.25">
      <c r="B6163" s="73"/>
    </row>
    <row r="6164" spans="2:2" x14ac:dyDescent="0.25">
      <c r="B6164" s="73"/>
    </row>
    <row r="6165" spans="2:2" x14ac:dyDescent="0.25">
      <c r="B6165" s="73"/>
    </row>
    <row r="6166" spans="2:2" x14ac:dyDescent="0.25">
      <c r="B6166" s="73"/>
    </row>
    <row r="6167" spans="2:2" x14ac:dyDescent="0.25">
      <c r="B6167" s="73"/>
    </row>
    <row r="6168" spans="2:2" x14ac:dyDescent="0.25">
      <c r="B6168" s="73"/>
    </row>
    <row r="6169" spans="2:2" x14ac:dyDescent="0.25">
      <c r="B6169" s="73"/>
    </row>
    <row r="6170" spans="2:2" x14ac:dyDescent="0.25">
      <c r="B6170" s="73"/>
    </row>
    <row r="6171" spans="2:2" x14ac:dyDescent="0.25">
      <c r="B6171" s="73"/>
    </row>
    <row r="6172" spans="2:2" x14ac:dyDescent="0.25">
      <c r="B6172" s="73"/>
    </row>
    <row r="6173" spans="2:2" x14ac:dyDescent="0.25">
      <c r="B6173" s="73"/>
    </row>
    <row r="6174" spans="2:2" x14ac:dyDescent="0.25">
      <c r="B6174" s="73"/>
    </row>
    <row r="6175" spans="2:2" x14ac:dyDescent="0.25">
      <c r="B6175" s="73"/>
    </row>
    <row r="6176" spans="2:2" x14ac:dyDescent="0.25">
      <c r="B6176" s="73"/>
    </row>
    <row r="6177" spans="2:2" x14ac:dyDescent="0.25">
      <c r="B6177" s="73"/>
    </row>
    <row r="6178" spans="2:2" x14ac:dyDescent="0.25">
      <c r="B6178" s="73"/>
    </row>
    <row r="6179" spans="2:2" x14ac:dyDescent="0.25">
      <c r="B6179" s="73"/>
    </row>
    <row r="6180" spans="2:2" x14ac:dyDescent="0.25">
      <c r="B6180" s="73"/>
    </row>
    <row r="6181" spans="2:2" x14ac:dyDescent="0.25">
      <c r="B6181" s="73"/>
    </row>
    <row r="6182" spans="2:2" x14ac:dyDescent="0.25">
      <c r="B6182" s="73"/>
    </row>
    <row r="6183" spans="2:2" x14ac:dyDescent="0.25">
      <c r="B6183" s="73"/>
    </row>
    <row r="6184" spans="2:2" x14ac:dyDescent="0.25">
      <c r="B6184" s="73"/>
    </row>
    <row r="6185" spans="2:2" x14ac:dyDescent="0.25">
      <c r="B6185" s="73"/>
    </row>
    <row r="6186" spans="2:2" x14ac:dyDescent="0.25">
      <c r="B6186" s="73"/>
    </row>
    <row r="6187" spans="2:2" x14ac:dyDescent="0.25">
      <c r="B6187" s="73"/>
    </row>
    <row r="6188" spans="2:2" x14ac:dyDescent="0.25">
      <c r="B6188" s="73"/>
    </row>
    <row r="6189" spans="2:2" x14ac:dyDescent="0.25">
      <c r="B6189" s="73"/>
    </row>
    <row r="6190" spans="2:2" x14ac:dyDescent="0.25">
      <c r="B6190" s="73"/>
    </row>
    <row r="6191" spans="2:2" x14ac:dyDescent="0.25">
      <c r="B6191" s="73"/>
    </row>
    <row r="6192" spans="2:2" x14ac:dyDescent="0.25">
      <c r="B6192" s="73"/>
    </row>
    <row r="6193" spans="2:2" x14ac:dyDescent="0.25">
      <c r="B6193" s="73"/>
    </row>
    <row r="6194" spans="2:2" x14ac:dyDescent="0.25">
      <c r="B6194" s="73"/>
    </row>
    <row r="6195" spans="2:2" x14ac:dyDescent="0.25">
      <c r="B6195" s="73"/>
    </row>
    <row r="6196" spans="2:2" x14ac:dyDescent="0.25">
      <c r="B6196" s="73"/>
    </row>
    <row r="6197" spans="2:2" x14ac:dyDescent="0.25">
      <c r="B6197" s="73"/>
    </row>
    <row r="6198" spans="2:2" x14ac:dyDescent="0.25">
      <c r="B6198" s="73"/>
    </row>
    <row r="6199" spans="2:2" x14ac:dyDescent="0.25">
      <c r="B6199" s="73"/>
    </row>
    <row r="6200" spans="2:2" x14ac:dyDescent="0.25">
      <c r="B6200" s="73"/>
    </row>
    <row r="6201" spans="2:2" x14ac:dyDescent="0.25">
      <c r="B6201" s="73"/>
    </row>
    <row r="6202" spans="2:2" x14ac:dyDescent="0.25">
      <c r="B6202" s="73"/>
    </row>
    <row r="6203" spans="2:2" x14ac:dyDescent="0.25">
      <c r="B6203" s="73"/>
    </row>
    <row r="6204" spans="2:2" x14ac:dyDescent="0.25">
      <c r="B6204" s="73"/>
    </row>
    <row r="6205" spans="2:2" x14ac:dyDescent="0.25">
      <c r="B6205" s="73"/>
    </row>
    <row r="6206" spans="2:2" x14ac:dyDescent="0.25">
      <c r="B6206" s="73"/>
    </row>
    <row r="6207" spans="2:2" x14ac:dyDescent="0.25">
      <c r="B6207" s="73"/>
    </row>
    <row r="6208" spans="2:2" x14ac:dyDescent="0.25">
      <c r="B6208" s="73"/>
    </row>
    <row r="6209" spans="2:2" x14ac:dyDescent="0.25">
      <c r="B6209" s="73"/>
    </row>
    <row r="6210" spans="2:2" x14ac:dyDescent="0.25">
      <c r="B6210" s="73"/>
    </row>
    <row r="6211" spans="2:2" x14ac:dyDescent="0.25">
      <c r="B6211" s="73"/>
    </row>
    <row r="6212" spans="2:2" x14ac:dyDescent="0.25">
      <c r="B6212" s="73"/>
    </row>
    <row r="6213" spans="2:2" x14ac:dyDescent="0.25">
      <c r="B6213" s="73"/>
    </row>
    <row r="6214" spans="2:2" x14ac:dyDescent="0.25">
      <c r="B6214" s="73"/>
    </row>
    <row r="6215" spans="2:2" x14ac:dyDescent="0.25">
      <c r="B6215" s="73"/>
    </row>
    <row r="6216" spans="2:2" x14ac:dyDescent="0.25">
      <c r="B6216" s="73"/>
    </row>
    <row r="6217" spans="2:2" x14ac:dyDescent="0.25">
      <c r="B6217" s="73"/>
    </row>
    <row r="6218" spans="2:2" x14ac:dyDescent="0.25">
      <c r="B6218" s="73"/>
    </row>
    <row r="6219" spans="2:2" x14ac:dyDescent="0.25">
      <c r="B6219" s="73"/>
    </row>
    <row r="6220" spans="2:2" x14ac:dyDescent="0.25">
      <c r="B6220" s="73"/>
    </row>
    <row r="6221" spans="2:2" x14ac:dyDescent="0.25">
      <c r="B6221" s="73"/>
    </row>
    <row r="6222" spans="2:2" x14ac:dyDescent="0.25">
      <c r="B6222" s="73"/>
    </row>
    <row r="6223" spans="2:2" x14ac:dyDescent="0.25">
      <c r="B6223" s="73"/>
    </row>
    <row r="6224" spans="2:2" x14ac:dyDescent="0.25">
      <c r="B6224" s="73"/>
    </row>
    <row r="6225" spans="2:2" x14ac:dyDescent="0.25">
      <c r="B6225" s="73"/>
    </row>
    <row r="6226" spans="2:2" x14ac:dyDescent="0.25">
      <c r="B6226" s="73"/>
    </row>
    <row r="6227" spans="2:2" x14ac:dyDescent="0.25">
      <c r="B6227" s="73"/>
    </row>
    <row r="6228" spans="2:2" x14ac:dyDescent="0.25">
      <c r="B6228" s="73"/>
    </row>
    <row r="6229" spans="2:2" x14ac:dyDescent="0.25">
      <c r="B6229" s="73"/>
    </row>
    <row r="6230" spans="2:2" x14ac:dyDescent="0.25">
      <c r="B6230" s="73"/>
    </row>
    <row r="6231" spans="2:2" x14ac:dyDescent="0.25">
      <c r="B6231" s="73"/>
    </row>
    <row r="6232" spans="2:2" x14ac:dyDescent="0.25">
      <c r="B6232" s="73"/>
    </row>
    <row r="6233" spans="2:2" x14ac:dyDescent="0.25">
      <c r="B6233" s="73"/>
    </row>
    <row r="6234" spans="2:2" x14ac:dyDescent="0.25">
      <c r="B6234" s="73"/>
    </row>
    <row r="6235" spans="2:2" x14ac:dyDescent="0.25">
      <c r="B6235" s="73"/>
    </row>
    <row r="6236" spans="2:2" x14ac:dyDescent="0.25">
      <c r="B6236" s="73"/>
    </row>
    <row r="6237" spans="2:2" x14ac:dyDescent="0.25">
      <c r="B6237" s="73"/>
    </row>
    <row r="6238" spans="2:2" x14ac:dyDescent="0.25">
      <c r="B6238" s="73"/>
    </row>
    <row r="6239" spans="2:2" x14ac:dyDescent="0.25">
      <c r="B6239" s="73"/>
    </row>
    <row r="6240" spans="2:2" x14ac:dyDescent="0.25">
      <c r="B6240" s="73"/>
    </row>
    <row r="6241" spans="2:2" x14ac:dyDescent="0.25">
      <c r="B6241" s="73"/>
    </row>
    <row r="6242" spans="2:2" x14ac:dyDescent="0.25">
      <c r="B6242" s="73"/>
    </row>
    <row r="6243" spans="2:2" x14ac:dyDescent="0.25">
      <c r="B6243" s="73"/>
    </row>
    <row r="6244" spans="2:2" x14ac:dyDescent="0.25">
      <c r="B6244" s="73"/>
    </row>
    <row r="6245" spans="2:2" x14ac:dyDescent="0.25">
      <c r="B6245" s="73"/>
    </row>
    <row r="6246" spans="2:2" x14ac:dyDescent="0.25">
      <c r="B6246" s="73"/>
    </row>
    <row r="6247" spans="2:2" x14ac:dyDescent="0.25">
      <c r="B6247" s="73"/>
    </row>
    <row r="6248" spans="2:2" x14ac:dyDescent="0.25">
      <c r="B6248" s="73"/>
    </row>
    <row r="6249" spans="2:2" x14ac:dyDescent="0.25">
      <c r="B6249" s="73"/>
    </row>
    <row r="6250" spans="2:2" x14ac:dyDescent="0.25">
      <c r="B6250" s="73"/>
    </row>
    <row r="6251" spans="2:2" x14ac:dyDescent="0.25">
      <c r="B6251" s="73"/>
    </row>
    <row r="6252" spans="2:2" x14ac:dyDescent="0.25">
      <c r="B6252" s="73"/>
    </row>
    <row r="6253" spans="2:2" x14ac:dyDescent="0.25">
      <c r="B6253" s="73"/>
    </row>
    <row r="6254" spans="2:2" x14ac:dyDescent="0.25">
      <c r="B6254" s="73"/>
    </row>
    <row r="6255" spans="2:2" x14ac:dyDescent="0.25">
      <c r="B6255" s="73"/>
    </row>
    <row r="6256" spans="2:2" x14ac:dyDescent="0.25">
      <c r="B6256" s="73"/>
    </row>
    <row r="6257" spans="2:2" x14ac:dyDescent="0.25">
      <c r="B6257" s="73"/>
    </row>
    <row r="6258" spans="2:2" x14ac:dyDescent="0.25">
      <c r="B6258" s="73"/>
    </row>
    <row r="6259" spans="2:2" x14ac:dyDescent="0.25">
      <c r="B6259" s="73"/>
    </row>
    <row r="6260" spans="2:2" x14ac:dyDescent="0.25">
      <c r="B6260" s="73"/>
    </row>
    <row r="6261" spans="2:2" x14ac:dyDescent="0.25">
      <c r="B6261" s="73"/>
    </row>
    <row r="6262" spans="2:2" x14ac:dyDescent="0.25">
      <c r="B6262" s="73"/>
    </row>
    <row r="6263" spans="2:2" x14ac:dyDescent="0.25">
      <c r="B6263" s="73"/>
    </row>
    <row r="6264" spans="2:2" x14ac:dyDescent="0.25">
      <c r="B6264" s="73"/>
    </row>
    <row r="6265" spans="2:2" x14ac:dyDescent="0.25">
      <c r="B6265" s="73"/>
    </row>
    <row r="6266" spans="2:2" x14ac:dyDescent="0.25">
      <c r="B6266" s="73"/>
    </row>
    <row r="6267" spans="2:2" x14ac:dyDescent="0.25">
      <c r="B6267" s="73"/>
    </row>
    <row r="6268" spans="2:2" x14ac:dyDescent="0.25">
      <c r="B6268" s="73"/>
    </row>
    <row r="6269" spans="2:2" x14ac:dyDescent="0.25">
      <c r="B6269" s="73"/>
    </row>
    <row r="6270" spans="2:2" x14ac:dyDescent="0.25">
      <c r="B6270" s="73"/>
    </row>
    <row r="6271" spans="2:2" x14ac:dyDescent="0.25">
      <c r="B6271" s="73"/>
    </row>
    <row r="6272" spans="2:2" x14ac:dyDescent="0.25">
      <c r="B6272" s="73"/>
    </row>
    <row r="6273" spans="2:2" x14ac:dyDescent="0.25">
      <c r="B6273" s="73"/>
    </row>
    <row r="6274" spans="2:2" x14ac:dyDescent="0.25">
      <c r="B6274" s="73"/>
    </row>
    <row r="6275" spans="2:2" x14ac:dyDescent="0.25">
      <c r="B6275" s="73"/>
    </row>
    <row r="6276" spans="2:2" x14ac:dyDescent="0.25">
      <c r="B6276" s="73"/>
    </row>
    <row r="6277" spans="2:2" x14ac:dyDescent="0.25">
      <c r="B6277" s="73"/>
    </row>
    <row r="6278" spans="2:2" x14ac:dyDescent="0.25">
      <c r="B6278" s="73"/>
    </row>
    <row r="6279" spans="2:2" x14ac:dyDescent="0.25">
      <c r="B6279" s="73"/>
    </row>
    <row r="6280" spans="2:2" x14ac:dyDescent="0.25">
      <c r="B6280" s="73"/>
    </row>
    <row r="6281" spans="2:2" x14ac:dyDescent="0.25">
      <c r="B6281" s="73"/>
    </row>
    <row r="6282" spans="2:2" x14ac:dyDescent="0.25">
      <c r="B6282" s="73"/>
    </row>
    <row r="6283" spans="2:2" x14ac:dyDescent="0.25">
      <c r="B6283" s="73"/>
    </row>
    <row r="6284" spans="2:2" x14ac:dyDescent="0.25">
      <c r="B6284" s="73"/>
    </row>
    <row r="6285" spans="2:2" x14ac:dyDescent="0.25">
      <c r="B6285" s="73"/>
    </row>
    <row r="6286" spans="2:2" x14ac:dyDescent="0.25">
      <c r="B6286" s="73"/>
    </row>
    <row r="6287" spans="2:2" x14ac:dyDescent="0.25">
      <c r="B6287" s="73"/>
    </row>
    <row r="6288" spans="2:2" x14ac:dyDescent="0.25">
      <c r="B6288" s="73"/>
    </row>
    <row r="6289" spans="2:2" x14ac:dyDescent="0.25">
      <c r="B6289" s="73"/>
    </row>
    <row r="6290" spans="2:2" x14ac:dyDescent="0.25">
      <c r="B6290" s="73"/>
    </row>
    <row r="6291" spans="2:2" x14ac:dyDescent="0.25">
      <c r="B6291" s="73"/>
    </row>
    <row r="6292" spans="2:2" x14ac:dyDescent="0.25">
      <c r="B6292" s="73"/>
    </row>
    <row r="6293" spans="2:2" x14ac:dyDescent="0.25">
      <c r="B6293" s="73"/>
    </row>
    <row r="6294" spans="2:2" x14ac:dyDescent="0.25">
      <c r="B6294" s="73"/>
    </row>
    <row r="6295" spans="2:2" x14ac:dyDescent="0.25">
      <c r="B6295" s="73"/>
    </row>
    <row r="6296" spans="2:2" x14ac:dyDescent="0.25">
      <c r="B6296" s="73"/>
    </row>
    <row r="6297" spans="2:2" x14ac:dyDescent="0.25">
      <c r="B6297" s="73"/>
    </row>
    <row r="6298" spans="2:2" x14ac:dyDescent="0.25">
      <c r="B6298" s="73"/>
    </row>
    <row r="6299" spans="2:2" x14ac:dyDescent="0.25">
      <c r="B6299" s="73"/>
    </row>
    <row r="6300" spans="2:2" x14ac:dyDescent="0.25">
      <c r="B6300" s="73"/>
    </row>
    <row r="6301" spans="2:2" x14ac:dyDescent="0.25">
      <c r="B6301" s="73"/>
    </row>
    <row r="6302" spans="2:2" x14ac:dyDescent="0.25">
      <c r="B6302" s="73"/>
    </row>
    <row r="6303" spans="2:2" x14ac:dyDescent="0.25">
      <c r="B6303" s="73"/>
    </row>
    <row r="6304" spans="2:2" x14ac:dyDescent="0.25">
      <c r="B6304" s="73"/>
    </row>
    <row r="6305" spans="2:2" x14ac:dyDescent="0.25">
      <c r="B6305" s="73"/>
    </row>
    <row r="6306" spans="2:2" x14ac:dyDescent="0.25">
      <c r="B6306" s="73"/>
    </row>
    <row r="6307" spans="2:2" x14ac:dyDescent="0.25">
      <c r="B6307" s="73"/>
    </row>
    <row r="6308" spans="2:2" x14ac:dyDescent="0.25">
      <c r="B6308" s="73"/>
    </row>
    <row r="6309" spans="2:2" x14ac:dyDescent="0.25">
      <c r="B6309" s="73"/>
    </row>
    <row r="6310" spans="2:2" x14ac:dyDescent="0.25">
      <c r="B6310" s="73"/>
    </row>
    <row r="6311" spans="2:2" x14ac:dyDescent="0.25">
      <c r="B6311" s="73"/>
    </row>
    <row r="6312" spans="2:2" x14ac:dyDescent="0.25">
      <c r="B6312" s="73"/>
    </row>
    <row r="6313" spans="2:2" x14ac:dyDescent="0.25">
      <c r="B6313" s="73"/>
    </row>
    <row r="6314" spans="2:2" x14ac:dyDescent="0.25">
      <c r="B6314" s="73"/>
    </row>
    <row r="6315" spans="2:2" x14ac:dyDescent="0.25">
      <c r="B6315" s="73"/>
    </row>
    <row r="6316" spans="2:2" x14ac:dyDescent="0.25">
      <c r="B6316" s="73"/>
    </row>
    <row r="6317" spans="2:2" x14ac:dyDescent="0.25">
      <c r="B6317" s="73"/>
    </row>
    <row r="6318" spans="2:2" x14ac:dyDescent="0.25">
      <c r="B6318" s="73"/>
    </row>
    <row r="6319" spans="2:2" x14ac:dyDescent="0.25">
      <c r="B6319" s="73"/>
    </row>
    <row r="6320" spans="2:2" x14ac:dyDescent="0.25">
      <c r="B6320" s="73"/>
    </row>
    <row r="6321" spans="2:2" x14ac:dyDescent="0.25">
      <c r="B6321" s="73"/>
    </row>
    <row r="6322" spans="2:2" x14ac:dyDescent="0.25">
      <c r="B6322" s="73"/>
    </row>
    <row r="6323" spans="2:2" x14ac:dyDescent="0.25">
      <c r="B6323" s="73"/>
    </row>
    <row r="6324" spans="2:2" x14ac:dyDescent="0.25">
      <c r="B6324" s="73"/>
    </row>
    <row r="6325" spans="2:2" x14ac:dyDescent="0.25">
      <c r="B6325" s="73"/>
    </row>
    <row r="6326" spans="2:2" x14ac:dyDescent="0.25">
      <c r="B6326" s="73"/>
    </row>
    <row r="6327" spans="2:2" x14ac:dyDescent="0.25">
      <c r="B6327" s="73"/>
    </row>
    <row r="6328" spans="2:2" x14ac:dyDescent="0.25">
      <c r="B6328" s="73"/>
    </row>
    <row r="6329" spans="2:2" x14ac:dyDescent="0.25">
      <c r="B6329" s="73"/>
    </row>
    <row r="6330" spans="2:2" x14ac:dyDescent="0.25">
      <c r="B6330" s="73"/>
    </row>
    <row r="6331" spans="2:2" x14ac:dyDescent="0.25">
      <c r="B6331" s="73"/>
    </row>
    <row r="6332" spans="2:2" x14ac:dyDescent="0.25">
      <c r="B6332" s="73"/>
    </row>
    <row r="6333" spans="2:2" x14ac:dyDescent="0.25">
      <c r="B6333" s="73"/>
    </row>
    <row r="6334" spans="2:2" x14ac:dyDescent="0.25">
      <c r="B6334" s="73"/>
    </row>
    <row r="6335" spans="2:2" x14ac:dyDescent="0.25">
      <c r="B6335" s="73"/>
    </row>
    <row r="6336" spans="2:2" x14ac:dyDescent="0.25">
      <c r="B6336" s="73"/>
    </row>
    <row r="6337" spans="2:2" x14ac:dyDescent="0.25">
      <c r="B6337" s="73"/>
    </row>
    <row r="6338" spans="2:2" x14ac:dyDescent="0.25">
      <c r="B6338" s="73"/>
    </row>
    <row r="6339" spans="2:2" x14ac:dyDescent="0.25">
      <c r="B6339" s="73"/>
    </row>
    <row r="6340" spans="2:2" x14ac:dyDescent="0.25">
      <c r="B6340" s="73"/>
    </row>
    <row r="6341" spans="2:2" x14ac:dyDescent="0.25">
      <c r="B6341" s="73"/>
    </row>
    <row r="6342" spans="2:2" x14ac:dyDescent="0.25">
      <c r="B6342" s="73"/>
    </row>
    <row r="6343" spans="2:2" x14ac:dyDescent="0.25">
      <c r="B6343" s="73"/>
    </row>
    <row r="6344" spans="2:2" x14ac:dyDescent="0.25">
      <c r="B6344" s="73"/>
    </row>
    <row r="6345" spans="2:2" x14ac:dyDescent="0.25">
      <c r="B6345" s="73"/>
    </row>
    <row r="6346" spans="2:2" x14ac:dyDescent="0.25">
      <c r="B6346" s="73"/>
    </row>
    <row r="6347" spans="2:2" x14ac:dyDescent="0.25">
      <c r="B6347" s="73"/>
    </row>
    <row r="6348" spans="2:2" x14ac:dyDescent="0.25">
      <c r="B6348" s="73"/>
    </row>
    <row r="6349" spans="2:2" x14ac:dyDescent="0.25">
      <c r="B6349" s="73"/>
    </row>
    <row r="6350" spans="2:2" x14ac:dyDescent="0.25">
      <c r="B6350" s="73"/>
    </row>
    <row r="6351" spans="2:2" x14ac:dyDescent="0.25">
      <c r="B6351" s="73"/>
    </row>
    <row r="6352" spans="2:2" x14ac:dyDescent="0.25">
      <c r="B6352" s="73"/>
    </row>
    <row r="6353" spans="2:2" x14ac:dyDescent="0.25">
      <c r="B6353" s="73"/>
    </row>
    <row r="6354" spans="2:2" x14ac:dyDescent="0.25">
      <c r="B6354" s="73"/>
    </row>
    <row r="6355" spans="2:2" x14ac:dyDescent="0.25">
      <c r="B6355" s="73"/>
    </row>
    <row r="6356" spans="2:2" x14ac:dyDescent="0.25">
      <c r="B6356" s="73"/>
    </row>
    <row r="6357" spans="2:2" x14ac:dyDescent="0.25">
      <c r="B6357" s="73"/>
    </row>
    <row r="6358" spans="2:2" x14ac:dyDescent="0.25">
      <c r="B6358" s="73"/>
    </row>
    <row r="6359" spans="2:2" x14ac:dyDescent="0.25">
      <c r="B6359" s="73"/>
    </row>
    <row r="6360" spans="2:2" x14ac:dyDescent="0.25">
      <c r="B6360" s="73"/>
    </row>
    <row r="6361" spans="2:2" x14ac:dyDescent="0.25">
      <c r="B6361" s="73"/>
    </row>
    <row r="6362" spans="2:2" x14ac:dyDescent="0.25">
      <c r="B6362" s="73"/>
    </row>
    <row r="6363" spans="2:2" x14ac:dyDescent="0.25">
      <c r="B6363" s="73"/>
    </row>
    <row r="6364" spans="2:2" x14ac:dyDescent="0.25">
      <c r="B6364" s="73"/>
    </row>
    <row r="6365" spans="2:2" x14ac:dyDescent="0.25">
      <c r="B6365" s="73"/>
    </row>
    <row r="6366" spans="2:2" x14ac:dyDescent="0.25">
      <c r="B6366" s="73"/>
    </row>
    <row r="6367" spans="2:2" x14ac:dyDescent="0.25">
      <c r="B6367" s="73"/>
    </row>
    <row r="6368" spans="2:2" x14ac:dyDescent="0.25">
      <c r="B6368" s="73"/>
    </row>
    <row r="6369" spans="2:2" x14ac:dyDescent="0.25">
      <c r="B6369" s="73"/>
    </row>
    <row r="6370" spans="2:2" x14ac:dyDescent="0.25">
      <c r="B6370" s="73"/>
    </row>
    <row r="6371" spans="2:2" x14ac:dyDescent="0.25">
      <c r="B6371" s="73"/>
    </row>
    <row r="6372" spans="2:2" x14ac:dyDescent="0.25">
      <c r="B6372" s="73"/>
    </row>
    <row r="6373" spans="2:2" x14ac:dyDescent="0.25">
      <c r="B6373" s="73"/>
    </row>
    <row r="6374" spans="2:2" x14ac:dyDescent="0.25">
      <c r="B6374" s="73"/>
    </row>
    <row r="6375" spans="2:2" x14ac:dyDescent="0.25">
      <c r="B6375" s="73"/>
    </row>
    <row r="6376" spans="2:2" x14ac:dyDescent="0.25">
      <c r="B6376" s="73"/>
    </row>
    <row r="6377" spans="2:2" x14ac:dyDescent="0.25">
      <c r="B6377" s="73"/>
    </row>
    <row r="6378" spans="2:2" x14ac:dyDescent="0.25">
      <c r="B6378" s="73"/>
    </row>
    <row r="6379" spans="2:2" x14ac:dyDescent="0.25">
      <c r="B6379" s="73"/>
    </row>
    <row r="6380" spans="2:2" x14ac:dyDescent="0.25">
      <c r="B6380" s="73"/>
    </row>
    <row r="6381" spans="2:2" x14ac:dyDescent="0.25">
      <c r="B6381" s="73"/>
    </row>
    <row r="6382" spans="2:2" x14ac:dyDescent="0.25">
      <c r="B6382" s="73"/>
    </row>
    <row r="6383" spans="2:2" x14ac:dyDescent="0.25">
      <c r="B6383" s="73"/>
    </row>
    <row r="6384" spans="2:2" x14ac:dyDescent="0.25">
      <c r="B6384" s="73"/>
    </row>
    <row r="6385" spans="2:2" x14ac:dyDescent="0.25">
      <c r="B6385" s="73"/>
    </row>
    <row r="6386" spans="2:2" x14ac:dyDescent="0.25">
      <c r="B6386" s="73"/>
    </row>
    <row r="6387" spans="2:2" x14ac:dyDescent="0.25">
      <c r="B6387" s="73"/>
    </row>
    <row r="6388" spans="2:2" x14ac:dyDescent="0.25">
      <c r="B6388" s="73"/>
    </row>
    <row r="6389" spans="2:2" x14ac:dyDescent="0.25">
      <c r="B6389" s="73"/>
    </row>
    <row r="6390" spans="2:2" x14ac:dyDescent="0.25">
      <c r="B6390" s="73"/>
    </row>
    <row r="6391" spans="2:2" x14ac:dyDescent="0.25">
      <c r="B6391" s="73"/>
    </row>
    <row r="6392" spans="2:2" x14ac:dyDescent="0.25">
      <c r="B6392" s="73"/>
    </row>
    <row r="6393" spans="2:2" x14ac:dyDescent="0.25">
      <c r="B6393" s="73"/>
    </row>
    <row r="6394" spans="2:2" x14ac:dyDescent="0.25">
      <c r="B6394" s="73"/>
    </row>
    <row r="6395" spans="2:2" x14ac:dyDescent="0.25">
      <c r="B6395" s="73"/>
    </row>
    <row r="6396" spans="2:2" x14ac:dyDescent="0.25">
      <c r="B6396" s="73"/>
    </row>
    <row r="6397" spans="2:2" x14ac:dyDescent="0.25">
      <c r="B6397" s="73"/>
    </row>
    <row r="6398" spans="2:2" x14ac:dyDescent="0.25">
      <c r="B6398" s="73"/>
    </row>
    <row r="6399" spans="2:2" x14ac:dyDescent="0.25">
      <c r="B6399" s="73"/>
    </row>
    <row r="6400" spans="2:2" x14ac:dyDescent="0.25">
      <c r="B6400" s="73"/>
    </row>
    <row r="6401" spans="2:2" x14ac:dyDescent="0.25">
      <c r="B6401" s="73"/>
    </row>
    <row r="6402" spans="2:2" x14ac:dyDescent="0.25">
      <c r="B6402" s="73"/>
    </row>
    <row r="6403" spans="2:2" x14ac:dyDescent="0.25">
      <c r="B6403" s="73"/>
    </row>
    <row r="6404" spans="2:2" x14ac:dyDescent="0.25">
      <c r="B6404" s="73"/>
    </row>
    <row r="6405" spans="2:2" x14ac:dyDescent="0.25">
      <c r="B6405" s="73"/>
    </row>
    <row r="6406" spans="2:2" x14ac:dyDescent="0.25">
      <c r="B6406" s="73"/>
    </row>
    <row r="6407" spans="2:2" x14ac:dyDescent="0.25">
      <c r="B6407" s="73"/>
    </row>
    <row r="6408" spans="2:2" x14ac:dyDescent="0.25">
      <c r="B6408" s="73"/>
    </row>
    <row r="6409" spans="2:2" x14ac:dyDescent="0.25">
      <c r="B6409" s="73"/>
    </row>
    <row r="6410" spans="2:2" x14ac:dyDescent="0.25">
      <c r="B6410" s="73"/>
    </row>
    <row r="6411" spans="2:2" x14ac:dyDescent="0.25">
      <c r="B6411" s="73"/>
    </row>
    <row r="6412" spans="2:2" x14ac:dyDescent="0.25">
      <c r="B6412" s="73"/>
    </row>
    <row r="6413" spans="2:2" x14ac:dyDescent="0.25">
      <c r="B6413" s="73"/>
    </row>
    <row r="6414" spans="2:2" x14ac:dyDescent="0.25">
      <c r="B6414" s="73"/>
    </row>
    <row r="6415" spans="2:2" x14ac:dyDescent="0.25">
      <c r="B6415" s="73"/>
    </row>
    <row r="6416" spans="2:2" x14ac:dyDescent="0.25">
      <c r="B6416" s="73"/>
    </row>
    <row r="6417" spans="2:2" x14ac:dyDescent="0.25">
      <c r="B6417" s="73"/>
    </row>
    <row r="6418" spans="2:2" x14ac:dyDescent="0.25">
      <c r="B6418" s="73"/>
    </row>
    <row r="6419" spans="2:2" x14ac:dyDescent="0.25">
      <c r="B6419" s="73"/>
    </row>
    <row r="6420" spans="2:2" x14ac:dyDescent="0.25">
      <c r="B6420" s="73"/>
    </row>
    <row r="6421" spans="2:2" x14ac:dyDescent="0.25">
      <c r="B6421" s="73"/>
    </row>
    <row r="6422" spans="2:2" x14ac:dyDescent="0.25">
      <c r="B6422" s="73"/>
    </row>
    <row r="6423" spans="2:2" x14ac:dyDescent="0.25">
      <c r="B6423" s="73"/>
    </row>
    <row r="6424" spans="2:2" x14ac:dyDescent="0.25">
      <c r="B6424" s="73"/>
    </row>
    <row r="6425" spans="2:2" x14ac:dyDescent="0.25">
      <c r="B6425" s="73"/>
    </row>
    <row r="6426" spans="2:2" x14ac:dyDescent="0.25">
      <c r="B6426" s="73"/>
    </row>
    <row r="6427" spans="2:2" x14ac:dyDescent="0.25">
      <c r="B6427" s="73"/>
    </row>
    <row r="6428" spans="2:2" x14ac:dyDescent="0.25">
      <c r="B6428" s="73"/>
    </row>
    <row r="6429" spans="2:2" x14ac:dyDescent="0.25">
      <c r="B6429" s="73"/>
    </row>
    <row r="6430" spans="2:2" x14ac:dyDescent="0.25">
      <c r="B6430" s="73"/>
    </row>
    <row r="6431" spans="2:2" x14ac:dyDescent="0.25">
      <c r="B6431" s="73"/>
    </row>
    <row r="6432" spans="2:2" x14ac:dyDescent="0.25">
      <c r="B6432" s="73"/>
    </row>
    <row r="6433" spans="2:2" x14ac:dyDescent="0.25">
      <c r="B6433" s="73"/>
    </row>
    <row r="6434" spans="2:2" x14ac:dyDescent="0.25">
      <c r="B6434" s="73"/>
    </row>
    <row r="6435" spans="2:2" x14ac:dyDescent="0.25">
      <c r="B6435" s="73"/>
    </row>
    <row r="6436" spans="2:2" x14ac:dyDescent="0.25">
      <c r="B6436" s="73"/>
    </row>
    <row r="6437" spans="2:2" x14ac:dyDescent="0.25">
      <c r="B6437" s="73"/>
    </row>
    <row r="6438" spans="2:2" x14ac:dyDescent="0.25">
      <c r="B6438" s="73"/>
    </row>
    <row r="6439" spans="2:2" x14ac:dyDescent="0.25">
      <c r="B6439" s="73"/>
    </row>
    <row r="6440" spans="2:2" x14ac:dyDescent="0.25">
      <c r="B6440" s="73"/>
    </row>
    <row r="6441" spans="2:2" x14ac:dyDescent="0.25">
      <c r="B6441" s="73"/>
    </row>
    <row r="6442" spans="2:2" x14ac:dyDescent="0.25">
      <c r="B6442" s="73"/>
    </row>
    <row r="6443" spans="2:2" x14ac:dyDescent="0.25">
      <c r="B6443" s="73"/>
    </row>
    <row r="6444" spans="2:2" x14ac:dyDescent="0.25">
      <c r="B6444" s="73"/>
    </row>
    <row r="6445" spans="2:2" x14ac:dyDescent="0.25">
      <c r="B6445" s="73"/>
    </row>
    <row r="6446" spans="2:2" x14ac:dyDescent="0.25">
      <c r="B6446" s="73"/>
    </row>
    <row r="6447" spans="2:2" x14ac:dyDescent="0.25">
      <c r="B6447" s="73"/>
    </row>
    <row r="6448" spans="2:2" x14ac:dyDescent="0.25">
      <c r="B6448" s="73"/>
    </row>
    <row r="6449" spans="2:2" x14ac:dyDescent="0.25">
      <c r="B6449" s="73"/>
    </row>
    <row r="6450" spans="2:2" x14ac:dyDescent="0.25">
      <c r="B6450" s="73"/>
    </row>
    <row r="6451" spans="2:2" x14ac:dyDescent="0.25">
      <c r="B6451" s="73"/>
    </row>
    <row r="6452" spans="2:2" x14ac:dyDescent="0.25">
      <c r="B6452" s="73"/>
    </row>
    <row r="6453" spans="2:2" x14ac:dyDescent="0.25">
      <c r="B6453" s="73"/>
    </row>
    <row r="6454" spans="2:2" x14ac:dyDescent="0.25">
      <c r="B6454" s="73"/>
    </row>
    <row r="6455" spans="2:2" x14ac:dyDescent="0.25">
      <c r="B6455" s="73"/>
    </row>
    <row r="6456" spans="2:2" x14ac:dyDescent="0.25">
      <c r="B6456" s="73"/>
    </row>
    <row r="6457" spans="2:2" x14ac:dyDescent="0.25">
      <c r="B6457" s="73"/>
    </row>
    <row r="6458" spans="2:2" x14ac:dyDescent="0.25">
      <c r="B6458" s="73"/>
    </row>
    <row r="6459" spans="2:2" x14ac:dyDescent="0.25">
      <c r="B6459" s="73"/>
    </row>
    <row r="6460" spans="2:2" x14ac:dyDescent="0.25">
      <c r="B6460" s="73"/>
    </row>
    <row r="6461" spans="2:2" x14ac:dyDescent="0.25">
      <c r="B6461" s="73"/>
    </row>
    <row r="6462" spans="2:2" x14ac:dyDescent="0.25">
      <c r="B6462" s="73"/>
    </row>
    <row r="6463" spans="2:2" x14ac:dyDescent="0.25">
      <c r="B6463" s="73"/>
    </row>
    <row r="6464" spans="2:2" x14ac:dyDescent="0.25">
      <c r="B6464" s="73"/>
    </row>
    <row r="6465" spans="2:2" x14ac:dyDescent="0.25">
      <c r="B6465" s="73"/>
    </row>
    <row r="6466" spans="2:2" x14ac:dyDescent="0.25">
      <c r="B6466" s="73"/>
    </row>
    <row r="6467" spans="2:2" x14ac:dyDescent="0.25">
      <c r="B6467" s="73"/>
    </row>
    <row r="6468" spans="2:2" x14ac:dyDescent="0.25">
      <c r="B6468" s="73"/>
    </row>
    <row r="6469" spans="2:2" x14ac:dyDescent="0.25">
      <c r="B6469" s="73"/>
    </row>
    <row r="6470" spans="2:2" x14ac:dyDescent="0.25">
      <c r="B6470" s="73"/>
    </row>
    <row r="6471" spans="2:2" x14ac:dyDescent="0.25">
      <c r="B6471" s="73"/>
    </row>
    <row r="6472" spans="2:2" x14ac:dyDescent="0.25">
      <c r="B6472" s="73"/>
    </row>
    <row r="6473" spans="2:2" x14ac:dyDescent="0.25">
      <c r="B6473" s="73"/>
    </row>
    <row r="6474" spans="2:2" x14ac:dyDescent="0.25">
      <c r="B6474" s="73"/>
    </row>
    <row r="6475" spans="2:2" x14ac:dyDescent="0.25">
      <c r="B6475" s="73"/>
    </row>
    <row r="6476" spans="2:2" x14ac:dyDescent="0.25">
      <c r="B6476" s="73"/>
    </row>
    <row r="6477" spans="2:2" x14ac:dyDescent="0.25">
      <c r="B6477" s="73"/>
    </row>
    <row r="6478" spans="2:2" x14ac:dyDescent="0.25">
      <c r="B6478" s="73"/>
    </row>
    <row r="6479" spans="2:2" x14ac:dyDescent="0.25">
      <c r="B6479" s="73"/>
    </row>
    <row r="6480" spans="2:2" x14ac:dyDescent="0.25">
      <c r="B6480" s="73"/>
    </row>
    <row r="6481" spans="2:2" x14ac:dyDescent="0.25">
      <c r="B6481" s="73"/>
    </row>
    <row r="6482" spans="2:2" x14ac:dyDescent="0.25">
      <c r="B6482" s="73"/>
    </row>
    <row r="6483" spans="2:2" x14ac:dyDescent="0.25">
      <c r="B6483" s="73"/>
    </row>
    <row r="6484" spans="2:2" x14ac:dyDescent="0.25">
      <c r="B6484" s="73"/>
    </row>
    <row r="6485" spans="2:2" x14ac:dyDescent="0.25">
      <c r="B6485" s="73"/>
    </row>
    <row r="6486" spans="2:2" x14ac:dyDescent="0.25">
      <c r="B6486" s="73"/>
    </row>
    <row r="6487" spans="2:2" x14ac:dyDescent="0.25">
      <c r="B6487" s="73"/>
    </row>
    <row r="6488" spans="2:2" x14ac:dyDescent="0.25">
      <c r="B6488" s="73"/>
    </row>
    <row r="6489" spans="2:2" x14ac:dyDescent="0.25">
      <c r="B6489" s="73"/>
    </row>
    <row r="6490" spans="2:2" x14ac:dyDescent="0.25">
      <c r="B6490" s="73"/>
    </row>
    <row r="6491" spans="2:2" x14ac:dyDescent="0.25">
      <c r="B6491" s="73"/>
    </row>
    <row r="6492" spans="2:2" x14ac:dyDescent="0.25">
      <c r="B6492" s="73"/>
    </row>
    <row r="6493" spans="2:2" x14ac:dyDescent="0.25">
      <c r="B6493" s="73"/>
    </row>
    <row r="6494" spans="2:2" x14ac:dyDescent="0.25">
      <c r="B6494" s="73"/>
    </row>
    <row r="6495" spans="2:2" x14ac:dyDescent="0.25">
      <c r="B6495" s="73"/>
    </row>
    <row r="6496" spans="2:2" x14ac:dyDescent="0.25">
      <c r="B6496" s="73"/>
    </row>
    <row r="6497" spans="2:2" x14ac:dyDescent="0.25">
      <c r="B6497" s="73"/>
    </row>
    <row r="6498" spans="2:2" x14ac:dyDescent="0.25">
      <c r="B6498" s="73"/>
    </row>
    <row r="6499" spans="2:2" x14ac:dyDescent="0.25">
      <c r="B6499" s="73"/>
    </row>
    <row r="6500" spans="2:2" x14ac:dyDescent="0.25">
      <c r="B6500" s="73"/>
    </row>
    <row r="6501" spans="2:2" x14ac:dyDescent="0.25">
      <c r="B6501" s="73"/>
    </row>
    <row r="6502" spans="2:2" x14ac:dyDescent="0.25">
      <c r="B6502" s="73"/>
    </row>
    <row r="6503" spans="2:2" x14ac:dyDescent="0.25">
      <c r="B6503" s="73"/>
    </row>
    <row r="6504" spans="2:2" x14ac:dyDescent="0.25">
      <c r="B6504" s="73"/>
    </row>
    <row r="6505" spans="2:2" x14ac:dyDescent="0.25">
      <c r="B6505" s="73"/>
    </row>
    <row r="6506" spans="2:2" x14ac:dyDescent="0.25">
      <c r="B6506" s="73"/>
    </row>
    <row r="6507" spans="2:2" x14ac:dyDescent="0.25">
      <c r="B6507" s="73"/>
    </row>
    <row r="6508" spans="2:2" x14ac:dyDescent="0.25">
      <c r="B6508" s="73"/>
    </row>
    <row r="6509" spans="2:2" x14ac:dyDescent="0.25">
      <c r="B6509" s="73"/>
    </row>
    <row r="6510" spans="2:2" x14ac:dyDescent="0.25">
      <c r="B6510" s="73"/>
    </row>
    <row r="6511" spans="2:2" x14ac:dyDescent="0.25">
      <c r="B6511" s="73"/>
    </row>
    <row r="6512" spans="2:2" x14ac:dyDescent="0.25">
      <c r="B6512" s="73"/>
    </row>
    <row r="6513" spans="2:2" x14ac:dyDescent="0.25">
      <c r="B6513" s="73"/>
    </row>
    <row r="6514" spans="2:2" x14ac:dyDescent="0.25">
      <c r="B6514" s="73"/>
    </row>
    <row r="6515" spans="2:2" x14ac:dyDescent="0.25">
      <c r="B6515" s="73"/>
    </row>
    <row r="6516" spans="2:2" x14ac:dyDescent="0.25">
      <c r="B6516" s="73"/>
    </row>
    <row r="6517" spans="2:2" x14ac:dyDescent="0.25">
      <c r="B6517" s="73"/>
    </row>
    <row r="6518" spans="2:2" x14ac:dyDescent="0.25">
      <c r="B6518" s="73"/>
    </row>
    <row r="6519" spans="2:2" x14ac:dyDescent="0.25">
      <c r="B6519" s="73"/>
    </row>
    <row r="6520" spans="2:2" x14ac:dyDescent="0.25">
      <c r="B6520" s="73"/>
    </row>
    <row r="6521" spans="2:2" x14ac:dyDescent="0.25">
      <c r="B6521" s="73"/>
    </row>
    <row r="6522" spans="2:2" x14ac:dyDescent="0.25">
      <c r="B6522" s="73"/>
    </row>
    <row r="6523" spans="2:2" x14ac:dyDescent="0.25">
      <c r="B6523" s="73"/>
    </row>
    <row r="6524" spans="2:2" x14ac:dyDescent="0.25">
      <c r="B6524" s="73"/>
    </row>
    <row r="6525" spans="2:2" x14ac:dyDescent="0.25">
      <c r="B6525" s="73"/>
    </row>
    <row r="6526" spans="2:2" x14ac:dyDescent="0.25">
      <c r="B6526" s="73"/>
    </row>
    <row r="6527" spans="2:2" x14ac:dyDescent="0.25">
      <c r="B6527" s="73"/>
    </row>
    <row r="6528" spans="2:2" x14ac:dyDescent="0.25">
      <c r="B6528" s="73"/>
    </row>
    <row r="6529" spans="2:2" x14ac:dyDescent="0.25">
      <c r="B6529" s="73"/>
    </row>
    <row r="6530" spans="2:2" x14ac:dyDescent="0.25">
      <c r="B6530" s="73"/>
    </row>
    <row r="6531" spans="2:2" x14ac:dyDescent="0.25">
      <c r="B6531" s="73"/>
    </row>
    <row r="6532" spans="2:2" x14ac:dyDescent="0.25">
      <c r="B6532" s="73"/>
    </row>
    <row r="6533" spans="2:2" x14ac:dyDescent="0.25">
      <c r="B6533" s="73"/>
    </row>
    <row r="6534" spans="2:2" x14ac:dyDescent="0.25">
      <c r="B6534" s="73"/>
    </row>
    <row r="6535" spans="2:2" x14ac:dyDescent="0.25">
      <c r="B6535" s="73"/>
    </row>
    <row r="6536" spans="2:2" x14ac:dyDescent="0.25">
      <c r="B6536" s="73"/>
    </row>
    <row r="6537" spans="2:2" x14ac:dyDescent="0.25">
      <c r="B6537" s="73"/>
    </row>
    <row r="6538" spans="2:2" x14ac:dyDescent="0.25">
      <c r="B6538" s="73"/>
    </row>
    <row r="6539" spans="2:2" x14ac:dyDescent="0.25">
      <c r="B6539" s="73"/>
    </row>
    <row r="6540" spans="2:2" x14ac:dyDescent="0.25">
      <c r="B6540" s="73"/>
    </row>
    <row r="6541" spans="2:2" x14ac:dyDescent="0.25">
      <c r="B6541" s="73"/>
    </row>
    <row r="6542" spans="2:2" x14ac:dyDescent="0.25">
      <c r="B6542" s="73"/>
    </row>
    <row r="6543" spans="2:2" x14ac:dyDescent="0.25">
      <c r="B6543" s="73"/>
    </row>
    <row r="6544" spans="2:2" x14ac:dyDescent="0.25">
      <c r="B6544" s="73"/>
    </row>
    <row r="6545" spans="2:2" x14ac:dyDescent="0.25">
      <c r="B6545" s="73"/>
    </row>
    <row r="6546" spans="2:2" x14ac:dyDescent="0.25">
      <c r="B6546" s="73"/>
    </row>
    <row r="6547" spans="2:2" x14ac:dyDescent="0.25">
      <c r="B6547" s="73"/>
    </row>
    <row r="6548" spans="2:2" x14ac:dyDescent="0.25">
      <c r="B6548" s="73"/>
    </row>
    <row r="6549" spans="2:2" x14ac:dyDescent="0.25">
      <c r="B6549" s="73"/>
    </row>
    <row r="6550" spans="2:2" x14ac:dyDescent="0.25">
      <c r="B6550" s="73"/>
    </row>
    <row r="6551" spans="2:2" x14ac:dyDescent="0.25">
      <c r="B6551" s="73"/>
    </row>
    <row r="6552" spans="2:2" x14ac:dyDescent="0.25">
      <c r="B6552" s="73"/>
    </row>
    <row r="6553" spans="2:2" x14ac:dyDescent="0.25">
      <c r="B6553" s="73"/>
    </row>
    <row r="6554" spans="2:2" x14ac:dyDescent="0.25">
      <c r="B6554" s="73"/>
    </row>
    <row r="6555" spans="2:2" x14ac:dyDescent="0.25">
      <c r="B6555" s="73"/>
    </row>
    <row r="6556" spans="2:2" x14ac:dyDescent="0.25">
      <c r="B6556" s="73"/>
    </row>
    <row r="6557" spans="2:2" x14ac:dyDescent="0.25">
      <c r="B6557" s="73"/>
    </row>
    <row r="6558" spans="2:2" x14ac:dyDescent="0.25">
      <c r="B6558" s="73"/>
    </row>
    <row r="6559" spans="2:2" x14ac:dyDescent="0.25">
      <c r="B6559" s="73"/>
    </row>
    <row r="6560" spans="2:2" x14ac:dyDescent="0.25">
      <c r="B6560" s="73"/>
    </row>
    <row r="6561" spans="2:2" x14ac:dyDescent="0.25">
      <c r="B6561" s="73"/>
    </row>
    <row r="6562" spans="2:2" x14ac:dyDescent="0.25">
      <c r="B6562" s="73"/>
    </row>
    <row r="6563" spans="2:2" x14ac:dyDescent="0.25">
      <c r="B6563" s="73"/>
    </row>
    <row r="6564" spans="2:2" x14ac:dyDescent="0.25">
      <c r="B6564" s="73"/>
    </row>
    <row r="6565" spans="2:2" x14ac:dyDescent="0.25">
      <c r="B6565" s="73"/>
    </row>
    <row r="6566" spans="2:2" x14ac:dyDescent="0.25">
      <c r="B6566" s="73"/>
    </row>
    <row r="6567" spans="2:2" x14ac:dyDescent="0.25">
      <c r="B6567" s="73"/>
    </row>
    <row r="6568" spans="2:2" x14ac:dyDescent="0.25">
      <c r="B6568" s="73"/>
    </row>
    <row r="6569" spans="2:2" x14ac:dyDescent="0.25">
      <c r="B6569" s="73"/>
    </row>
    <row r="6570" spans="2:2" x14ac:dyDescent="0.25">
      <c r="B6570" s="73"/>
    </row>
    <row r="6571" spans="2:2" x14ac:dyDescent="0.25">
      <c r="B6571" s="73"/>
    </row>
    <row r="6572" spans="2:2" x14ac:dyDescent="0.25">
      <c r="B6572" s="73"/>
    </row>
    <row r="6573" spans="2:2" x14ac:dyDescent="0.25">
      <c r="B6573" s="73"/>
    </row>
    <row r="6574" spans="2:2" x14ac:dyDescent="0.25">
      <c r="B6574" s="73"/>
    </row>
    <row r="6575" spans="2:2" x14ac:dyDescent="0.25">
      <c r="B6575" s="73"/>
    </row>
    <row r="6576" spans="2:2" x14ac:dyDescent="0.25">
      <c r="B6576" s="73"/>
    </row>
    <row r="6577" spans="2:2" x14ac:dyDescent="0.25">
      <c r="B6577" s="73"/>
    </row>
    <row r="6578" spans="2:2" x14ac:dyDescent="0.25">
      <c r="B6578" s="73"/>
    </row>
    <row r="6579" spans="2:2" x14ac:dyDescent="0.25">
      <c r="B6579" s="73"/>
    </row>
    <row r="6580" spans="2:2" x14ac:dyDescent="0.25">
      <c r="B6580" s="73"/>
    </row>
    <row r="6581" spans="2:2" x14ac:dyDescent="0.25">
      <c r="B6581" s="73"/>
    </row>
    <row r="6582" spans="2:2" x14ac:dyDescent="0.25">
      <c r="B6582" s="73"/>
    </row>
    <row r="6583" spans="2:2" x14ac:dyDescent="0.25">
      <c r="B6583" s="73"/>
    </row>
    <row r="6584" spans="2:2" x14ac:dyDescent="0.25">
      <c r="B6584" s="73"/>
    </row>
    <row r="6585" spans="2:2" x14ac:dyDescent="0.25">
      <c r="B6585" s="73"/>
    </row>
    <row r="6586" spans="2:2" x14ac:dyDescent="0.25">
      <c r="B6586" s="73"/>
    </row>
    <row r="6587" spans="2:2" x14ac:dyDescent="0.25">
      <c r="B6587" s="73"/>
    </row>
    <row r="6588" spans="2:2" x14ac:dyDescent="0.25">
      <c r="B6588" s="73"/>
    </row>
    <row r="6589" spans="2:2" x14ac:dyDescent="0.25">
      <c r="B6589" s="73"/>
    </row>
    <row r="6590" spans="2:2" x14ac:dyDescent="0.25">
      <c r="B6590" s="73"/>
    </row>
    <row r="6591" spans="2:2" x14ac:dyDescent="0.25">
      <c r="B6591" s="73"/>
    </row>
    <row r="6592" spans="2:2" x14ac:dyDescent="0.25">
      <c r="B6592" s="73"/>
    </row>
    <row r="6593" spans="2:2" x14ac:dyDescent="0.25">
      <c r="B6593" s="73"/>
    </row>
    <row r="6594" spans="2:2" x14ac:dyDescent="0.25">
      <c r="B6594" s="73"/>
    </row>
    <row r="6595" spans="2:2" x14ac:dyDescent="0.25">
      <c r="B6595" s="73"/>
    </row>
    <row r="6596" spans="2:2" x14ac:dyDescent="0.25">
      <c r="B6596" s="73"/>
    </row>
    <row r="6597" spans="2:2" x14ac:dyDescent="0.25">
      <c r="B6597" s="73"/>
    </row>
    <row r="6598" spans="2:2" x14ac:dyDescent="0.25">
      <c r="B6598" s="73"/>
    </row>
    <row r="6599" spans="2:2" x14ac:dyDescent="0.25">
      <c r="B6599" s="73"/>
    </row>
    <row r="6600" spans="2:2" x14ac:dyDescent="0.25">
      <c r="B6600" s="73"/>
    </row>
    <row r="6601" spans="2:2" x14ac:dyDescent="0.25">
      <c r="B6601" s="73"/>
    </row>
    <row r="6602" spans="2:2" x14ac:dyDescent="0.25">
      <c r="B6602" s="73"/>
    </row>
    <row r="6603" spans="2:2" x14ac:dyDescent="0.25">
      <c r="B6603" s="73"/>
    </row>
    <row r="6604" spans="2:2" x14ac:dyDescent="0.25">
      <c r="B6604" s="73"/>
    </row>
    <row r="6605" spans="2:2" x14ac:dyDescent="0.25">
      <c r="B6605" s="73"/>
    </row>
    <row r="6606" spans="2:2" x14ac:dyDescent="0.25">
      <c r="B6606" s="73"/>
    </row>
    <row r="6607" spans="2:2" x14ac:dyDescent="0.25">
      <c r="B6607" s="73"/>
    </row>
    <row r="6608" spans="2:2" x14ac:dyDescent="0.25">
      <c r="B6608" s="73"/>
    </row>
    <row r="6609" spans="2:2" x14ac:dyDescent="0.25">
      <c r="B6609" s="73"/>
    </row>
    <row r="6610" spans="2:2" x14ac:dyDescent="0.25">
      <c r="B6610" s="73"/>
    </row>
    <row r="6611" spans="2:2" x14ac:dyDescent="0.25">
      <c r="B6611" s="73"/>
    </row>
    <row r="6612" spans="2:2" x14ac:dyDescent="0.25">
      <c r="B6612" s="73"/>
    </row>
    <row r="6613" spans="2:2" x14ac:dyDescent="0.25">
      <c r="B6613" s="73"/>
    </row>
    <row r="6614" spans="2:2" x14ac:dyDescent="0.25">
      <c r="B6614" s="73"/>
    </row>
    <row r="6615" spans="2:2" x14ac:dyDescent="0.25">
      <c r="B6615" s="73"/>
    </row>
    <row r="6616" spans="2:2" x14ac:dyDescent="0.25">
      <c r="B6616" s="73"/>
    </row>
    <row r="6617" spans="2:2" x14ac:dyDescent="0.25">
      <c r="B6617" s="73"/>
    </row>
    <row r="6618" spans="2:2" x14ac:dyDescent="0.25">
      <c r="B6618" s="73"/>
    </row>
    <row r="6619" spans="2:2" x14ac:dyDescent="0.25">
      <c r="B6619" s="73"/>
    </row>
    <row r="6620" spans="2:2" x14ac:dyDescent="0.25">
      <c r="B6620" s="73"/>
    </row>
    <row r="6621" spans="2:2" x14ac:dyDescent="0.25">
      <c r="B6621" s="73"/>
    </row>
    <row r="6622" spans="2:2" x14ac:dyDescent="0.25">
      <c r="B6622" s="73"/>
    </row>
    <row r="6623" spans="2:2" x14ac:dyDescent="0.25">
      <c r="B6623" s="73"/>
    </row>
    <row r="6624" spans="2:2" x14ac:dyDescent="0.25">
      <c r="B6624" s="73"/>
    </row>
    <row r="6625" spans="2:2" x14ac:dyDescent="0.25">
      <c r="B6625" s="73"/>
    </row>
    <row r="6626" spans="2:2" x14ac:dyDescent="0.25">
      <c r="B6626" s="73"/>
    </row>
    <row r="6627" spans="2:2" x14ac:dyDescent="0.25">
      <c r="B6627" s="73"/>
    </row>
    <row r="6628" spans="2:2" x14ac:dyDescent="0.25">
      <c r="B6628" s="73"/>
    </row>
    <row r="6629" spans="2:2" x14ac:dyDescent="0.25">
      <c r="B6629" s="73"/>
    </row>
    <row r="6630" spans="2:2" x14ac:dyDescent="0.25">
      <c r="B6630" s="73"/>
    </row>
    <row r="6631" spans="2:2" x14ac:dyDescent="0.25">
      <c r="B6631" s="73"/>
    </row>
    <row r="6632" spans="2:2" x14ac:dyDescent="0.25">
      <c r="B6632" s="73"/>
    </row>
    <row r="6633" spans="2:2" x14ac:dyDescent="0.25">
      <c r="B6633" s="73"/>
    </row>
    <row r="6634" spans="2:2" x14ac:dyDescent="0.25">
      <c r="B6634" s="73"/>
    </row>
    <row r="6635" spans="2:2" x14ac:dyDescent="0.25">
      <c r="B6635" s="73"/>
    </row>
    <row r="6636" spans="2:2" x14ac:dyDescent="0.25">
      <c r="B6636" s="73"/>
    </row>
    <row r="6637" spans="2:2" x14ac:dyDescent="0.25">
      <c r="B6637" s="73"/>
    </row>
    <row r="6638" spans="2:2" x14ac:dyDescent="0.25">
      <c r="B6638" s="73"/>
    </row>
    <row r="6639" spans="2:2" x14ac:dyDescent="0.25">
      <c r="B6639" s="73"/>
    </row>
    <row r="6640" spans="2:2" x14ac:dyDescent="0.25">
      <c r="B6640" s="73"/>
    </row>
    <row r="6641" spans="2:2" x14ac:dyDescent="0.25">
      <c r="B6641" s="73"/>
    </row>
    <row r="6642" spans="2:2" x14ac:dyDescent="0.25">
      <c r="B6642" s="73"/>
    </row>
    <row r="6643" spans="2:2" x14ac:dyDescent="0.25">
      <c r="B6643" s="73"/>
    </row>
    <row r="6644" spans="2:2" x14ac:dyDescent="0.25">
      <c r="B6644" s="73"/>
    </row>
    <row r="6645" spans="2:2" x14ac:dyDescent="0.25">
      <c r="B6645" s="73"/>
    </row>
    <row r="6646" spans="2:2" x14ac:dyDescent="0.25">
      <c r="B6646" s="73"/>
    </row>
    <row r="6647" spans="2:2" x14ac:dyDescent="0.25">
      <c r="B6647" s="73"/>
    </row>
    <row r="6648" spans="2:2" x14ac:dyDescent="0.25">
      <c r="B6648" s="73"/>
    </row>
    <row r="6649" spans="2:2" x14ac:dyDescent="0.25">
      <c r="B6649" s="73"/>
    </row>
    <row r="6650" spans="2:2" x14ac:dyDescent="0.25">
      <c r="B6650" s="73"/>
    </row>
    <row r="6651" spans="2:2" x14ac:dyDescent="0.25">
      <c r="B6651" s="73"/>
    </row>
    <row r="6652" spans="2:2" x14ac:dyDescent="0.25">
      <c r="B6652" s="73"/>
    </row>
    <row r="6653" spans="2:2" x14ac:dyDescent="0.25">
      <c r="B6653" s="73"/>
    </row>
    <row r="6654" spans="2:2" x14ac:dyDescent="0.25">
      <c r="B6654" s="73"/>
    </row>
    <row r="6655" spans="2:2" x14ac:dyDescent="0.25">
      <c r="B6655" s="73"/>
    </row>
    <row r="6656" spans="2:2" x14ac:dyDescent="0.25">
      <c r="B6656" s="73"/>
    </row>
    <row r="6657" spans="2:2" x14ac:dyDescent="0.25">
      <c r="B6657" s="73"/>
    </row>
    <row r="6658" spans="2:2" x14ac:dyDescent="0.25">
      <c r="B6658" s="73"/>
    </row>
    <row r="6659" spans="2:2" x14ac:dyDescent="0.25">
      <c r="B6659" s="73"/>
    </row>
    <row r="6660" spans="2:2" x14ac:dyDescent="0.25">
      <c r="B6660" s="73"/>
    </row>
    <row r="6661" spans="2:2" x14ac:dyDescent="0.25">
      <c r="B6661" s="73"/>
    </row>
    <row r="6662" spans="2:2" x14ac:dyDescent="0.25">
      <c r="B6662" s="73"/>
    </row>
    <row r="6663" spans="2:2" x14ac:dyDescent="0.25">
      <c r="B6663" s="73"/>
    </row>
    <row r="6664" spans="2:2" x14ac:dyDescent="0.25">
      <c r="B6664" s="73"/>
    </row>
    <row r="6665" spans="2:2" x14ac:dyDescent="0.25">
      <c r="B6665" s="73"/>
    </row>
    <row r="6666" spans="2:2" x14ac:dyDescent="0.25">
      <c r="B6666" s="73"/>
    </row>
    <row r="6667" spans="2:2" x14ac:dyDescent="0.25">
      <c r="B6667" s="73"/>
    </row>
    <row r="6668" spans="2:2" x14ac:dyDescent="0.25">
      <c r="B6668" s="73"/>
    </row>
    <row r="6669" spans="2:2" x14ac:dyDescent="0.25">
      <c r="B6669" s="73"/>
    </row>
    <row r="6670" spans="2:2" x14ac:dyDescent="0.25">
      <c r="B6670" s="73"/>
    </row>
    <row r="6671" spans="2:2" x14ac:dyDescent="0.25">
      <c r="B6671" s="73"/>
    </row>
    <row r="6672" spans="2:2" x14ac:dyDescent="0.25">
      <c r="B6672" s="73"/>
    </row>
    <row r="6673" spans="2:2" x14ac:dyDescent="0.25">
      <c r="B6673" s="73"/>
    </row>
    <row r="6674" spans="2:2" x14ac:dyDescent="0.25">
      <c r="B6674" s="73"/>
    </row>
    <row r="6675" spans="2:2" x14ac:dyDescent="0.25">
      <c r="B6675" s="73"/>
    </row>
    <row r="6676" spans="2:2" x14ac:dyDescent="0.25">
      <c r="B6676" s="73"/>
    </row>
    <row r="6677" spans="2:2" x14ac:dyDescent="0.25">
      <c r="B6677" s="73"/>
    </row>
    <row r="6678" spans="2:2" x14ac:dyDescent="0.25">
      <c r="B6678" s="73"/>
    </row>
    <row r="6679" spans="2:2" x14ac:dyDescent="0.25">
      <c r="B6679" s="73"/>
    </row>
    <row r="6680" spans="2:2" x14ac:dyDescent="0.25">
      <c r="B6680" s="73"/>
    </row>
    <row r="6681" spans="2:2" x14ac:dyDescent="0.25">
      <c r="B6681" s="73"/>
    </row>
    <row r="6682" spans="2:2" x14ac:dyDescent="0.25">
      <c r="B6682" s="73"/>
    </row>
    <row r="6683" spans="2:2" x14ac:dyDescent="0.25">
      <c r="B6683" s="73"/>
    </row>
    <row r="6684" spans="2:2" x14ac:dyDescent="0.25">
      <c r="B6684" s="73"/>
    </row>
    <row r="6685" spans="2:2" x14ac:dyDescent="0.25">
      <c r="B6685" s="73"/>
    </row>
    <row r="6686" spans="2:2" x14ac:dyDescent="0.25">
      <c r="B6686" s="73"/>
    </row>
    <row r="6687" spans="2:2" x14ac:dyDescent="0.25">
      <c r="B6687" s="73"/>
    </row>
    <row r="6688" spans="2:2" x14ac:dyDescent="0.25">
      <c r="B6688" s="73"/>
    </row>
    <row r="6689" spans="2:2" x14ac:dyDescent="0.25">
      <c r="B6689" s="73"/>
    </row>
    <row r="6690" spans="2:2" x14ac:dyDescent="0.25">
      <c r="B6690" s="73"/>
    </row>
    <row r="6691" spans="2:2" x14ac:dyDescent="0.25">
      <c r="B6691" s="73"/>
    </row>
    <row r="6692" spans="2:2" x14ac:dyDescent="0.25">
      <c r="B6692" s="73"/>
    </row>
    <row r="6693" spans="2:2" x14ac:dyDescent="0.25">
      <c r="B6693" s="73"/>
    </row>
    <row r="6694" spans="2:2" x14ac:dyDescent="0.25">
      <c r="B6694" s="73"/>
    </row>
    <row r="6695" spans="2:2" x14ac:dyDescent="0.25">
      <c r="B6695" s="73"/>
    </row>
    <row r="6696" spans="2:2" x14ac:dyDescent="0.25">
      <c r="B6696" s="73"/>
    </row>
    <row r="6697" spans="2:2" x14ac:dyDescent="0.25">
      <c r="B6697" s="73"/>
    </row>
    <row r="6698" spans="2:2" x14ac:dyDescent="0.25">
      <c r="B6698" s="73"/>
    </row>
    <row r="6699" spans="2:2" x14ac:dyDescent="0.25">
      <c r="B6699" s="73"/>
    </row>
    <row r="6700" spans="2:2" x14ac:dyDescent="0.25">
      <c r="B6700" s="73"/>
    </row>
    <row r="6701" spans="2:2" x14ac:dyDescent="0.25">
      <c r="B6701" s="73"/>
    </row>
    <row r="6702" spans="2:2" x14ac:dyDescent="0.25">
      <c r="B6702" s="73"/>
    </row>
    <row r="6703" spans="2:2" x14ac:dyDescent="0.25">
      <c r="B6703" s="73"/>
    </row>
    <row r="6704" spans="2:2" x14ac:dyDescent="0.25">
      <c r="B6704" s="73"/>
    </row>
    <row r="6705" spans="2:2" x14ac:dyDescent="0.25">
      <c r="B6705" s="73"/>
    </row>
    <row r="6706" spans="2:2" x14ac:dyDescent="0.25">
      <c r="B6706" s="73"/>
    </row>
    <row r="6707" spans="2:2" x14ac:dyDescent="0.25">
      <c r="B6707" s="73"/>
    </row>
    <row r="6708" spans="2:2" x14ac:dyDescent="0.25">
      <c r="B6708" s="73"/>
    </row>
    <row r="6709" spans="2:2" x14ac:dyDescent="0.25">
      <c r="B6709" s="73"/>
    </row>
    <row r="6710" spans="2:2" x14ac:dyDescent="0.25">
      <c r="B6710" s="73"/>
    </row>
    <row r="6711" spans="2:2" x14ac:dyDescent="0.25">
      <c r="B6711" s="73"/>
    </row>
    <row r="6712" spans="2:2" x14ac:dyDescent="0.25">
      <c r="B6712" s="73"/>
    </row>
    <row r="6713" spans="2:2" x14ac:dyDescent="0.25">
      <c r="B6713" s="73"/>
    </row>
    <row r="6714" spans="2:2" x14ac:dyDescent="0.25">
      <c r="B6714" s="73"/>
    </row>
    <row r="6715" spans="2:2" x14ac:dyDescent="0.25">
      <c r="B6715" s="73"/>
    </row>
    <row r="6716" spans="2:2" x14ac:dyDescent="0.25">
      <c r="B6716" s="73"/>
    </row>
    <row r="6717" spans="2:2" x14ac:dyDescent="0.25">
      <c r="B6717" s="73"/>
    </row>
    <row r="6718" spans="2:2" x14ac:dyDescent="0.25">
      <c r="B6718" s="73"/>
    </row>
    <row r="6719" spans="2:2" x14ac:dyDescent="0.25">
      <c r="B6719" s="73"/>
    </row>
    <row r="6720" spans="2:2" x14ac:dyDescent="0.25">
      <c r="B6720" s="73"/>
    </row>
    <row r="6721" spans="2:2" x14ac:dyDescent="0.25">
      <c r="B6721" s="73"/>
    </row>
    <row r="6722" spans="2:2" x14ac:dyDescent="0.25">
      <c r="B6722" s="73"/>
    </row>
    <row r="6723" spans="2:2" x14ac:dyDescent="0.25">
      <c r="B6723" s="73"/>
    </row>
    <row r="6724" spans="2:2" x14ac:dyDescent="0.25">
      <c r="B6724" s="73"/>
    </row>
    <row r="6725" spans="2:2" x14ac:dyDescent="0.25">
      <c r="B6725" s="73"/>
    </row>
    <row r="6726" spans="2:2" x14ac:dyDescent="0.25">
      <c r="B6726" s="73"/>
    </row>
    <row r="6727" spans="2:2" x14ac:dyDescent="0.25">
      <c r="B6727" s="73"/>
    </row>
    <row r="6728" spans="2:2" x14ac:dyDescent="0.25">
      <c r="B6728" s="73"/>
    </row>
    <row r="6729" spans="2:2" x14ac:dyDescent="0.25">
      <c r="B6729" s="73"/>
    </row>
    <row r="6730" spans="2:2" x14ac:dyDescent="0.25">
      <c r="B6730" s="73"/>
    </row>
    <row r="6731" spans="2:2" x14ac:dyDescent="0.25">
      <c r="B6731" s="73"/>
    </row>
    <row r="6732" spans="2:2" x14ac:dyDescent="0.25">
      <c r="B6732" s="73"/>
    </row>
    <row r="6733" spans="2:2" x14ac:dyDescent="0.25">
      <c r="B6733" s="73"/>
    </row>
    <row r="6734" spans="2:2" x14ac:dyDescent="0.25">
      <c r="B6734" s="73"/>
    </row>
    <row r="6735" spans="2:2" x14ac:dyDescent="0.25">
      <c r="B6735" s="73"/>
    </row>
    <row r="6736" spans="2:2" x14ac:dyDescent="0.25">
      <c r="B6736" s="73"/>
    </row>
    <row r="6737" spans="2:2" x14ac:dyDescent="0.25">
      <c r="B6737" s="73"/>
    </row>
    <row r="6738" spans="2:2" x14ac:dyDescent="0.25">
      <c r="B6738" s="73"/>
    </row>
    <row r="6739" spans="2:2" x14ac:dyDescent="0.25">
      <c r="B6739" s="73"/>
    </row>
    <row r="6740" spans="2:2" x14ac:dyDescent="0.25">
      <c r="B6740" s="73"/>
    </row>
    <row r="6741" spans="2:2" x14ac:dyDescent="0.25">
      <c r="B6741" s="73"/>
    </row>
    <row r="6742" spans="2:2" x14ac:dyDescent="0.25">
      <c r="B6742" s="73"/>
    </row>
    <row r="6743" spans="2:2" x14ac:dyDescent="0.25">
      <c r="B6743" s="73"/>
    </row>
    <row r="6744" spans="2:2" x14ac:dyDescent="0.25">
      <c r="B6744" s="73"/>
    </row>
    <row r="6745" spans="2:2" x14ac:dyDescent="0.25">
      <c r="B6745" s="73"/>
    </row>
    <row r="6746" spans="2:2" x14ac:dyDescent="0.25">
      <c r="B6746" s="73"/>
    </row>
    <row r="6747" spans="2:2" x14ac:dyDescent="0.25">
      <c r="B6747" s="73"/>
    </row>
    <row r="6748" spans="2:2" x14ac:dyDescent="0.25">
      <c r="B6748" s="73"/>
    </row>
    <row r="6749" spans="2:2" x14ac:dyDescent="0.25">
      <c r="B6749" s="73"/>
    </row>
    <row r="6750" spans="2:2" x14ac:dyDescent="0.25">
      <c r="B6750" s="73"/>
    </row>
    <row r="6751" spans="2:2" x14ac:dyDescent="0.25">
      <c r="B6751" s="73"/>
    </row>
    <row r="6752" spans="2:2" x14ac:dyDescent="0.25">
      <c r="B6752" s="73"/>
    </row>
    <row r="6753" spans="2:2" x14ac:dyDescent="0.25">
      <c r="B6753" s="73"/>
    </row>
    <row r="6754" spans="2:2" x14ac:dyDescent="0.25">
      <c r="B6754" s="73"/>
    </row>
    <row r="6755" spans="2:2" x14ac:dyDescent="0.25">
      <c r="B6755" s="73"/>
    </row>
    <row r="6756" spans="2:2" x14ac:dyDescent="0.25">
      <c r="B6756" s="73"/>
    </row>
    <row r="6757" spans="2:2" x14ac:dyDescent="0.25">
      <c r="B6757" s="73"/>
    </row>
    <row r="6758" spans="2:2" x14ac:dyDescent="0.25">
      <c r="B6758" s="73"/>
    </row>
    <row r="6759" spans="2:2" x14ac:dyDescent="0.25">
      <c r="B6759" s="73"/>
    </row>
    <row r="6760" spans="2:2" x14ac:dyDescent="0.25">
      <c r="B6760" s="73"/>
    </row>
    <row r="6761" spans="2:2" x14ac:dyDescent="0.25">
      <c r="B6761" s="73"/>
    </row>
    <row r="6762" spans="2:2" x14ac:dyDescent="0.25">
      <c r="B6762" s="73"/>
    </row>
    <row r="6763" spans="2:2" x14ac:dyDescent="0.25">
      <c r="B6763" s="73"/>
    </row>
    <row r="6764" spans="2:2" x14ac:dyDescent="0.25">
      <c r="B6764" s="73"/>
    </row>
    <row r="6765" spans="2:2" x14ac:dyDescent="0.25">
      <c r="B6765" s="73"/>
    </row>
    <row r="6766" spans="2:2" x14ac:dyDescent="0.25">
      <c r="B6766" s="73"/>
    </row>
    <row r="6767" spans="2:2" x14ac:dyDescent="0.25">
      <c r="B6767" s="73"/>
    </row>
    <row r="6768" spans="2:2" x14ac:dyDescent="0.25">
      <c r="B6768" s="73"/>
    </row>
    <row r="6769" spans="2:2" x14ac:dyDescent="0.25">
      <c r="B6769" s="73"/>
    </row>
    <row r="6770" spans="2:2" x14ac:dyDescent="0.25">
      <c r="B6770" s="73"/>
    </row>
    <row r="6771" spans="2:2" x14ac:dyDescent="0.25">
      <c r="B6771" s="73"/>
    </row>
    <row r="6772" spans="2:2" x14ac:dyDescent="0.25">
      <c r="B6772" s="73"/>
    </row>
    <row r="6773" spans="2:2" x14ac:dyDescent="0.25">
      <c r="B6773" s="73"/>
    </row>
    <row r="6774" spans="2:2" x14ac:dyDescent="0.25">
      <c r="B6774" s="73"/>
    </row>
    <row r="6775" spans="2:2" x14ac:dyDescent="0.25">
      <c r="B6775" s="73"/>
    </row>
    <row r="6776" spans="2:2" x14ac:dyDescent="0.25">
      <c r="B6776" s="73"/>
    </row>
    <row r="6777" spans="2:2" x14ac:dyDescent="0.25">
      <c r="B6777" s="73"/>
    </row>
    <row r="6778" spans="2:2" x14ac:dyDescent="0.25">
      <c r="B6778" s="73"/>
    </row>
    <row r="6779" spans="2:2" x14ac:dyDescent="0.25">
      <c r="B6779" s="73"/>
    </row>
    <row r="6780" spans="2:2" x14ac:dyDescent="0.25">
      <c r="B6780" s="73"/>
    </row>
    <row r="6781" spans="2:2" x14ac:dyDescent="0.25">
      <c r="B6781" s="73"/>
    </row>
    <row r="6782" spans="2:2" x14ac:dyDescent="0.25">
      <c r="B6782" s="73"/>
    </row>
    <row r="6783" spans="2:2" x14ac:dyDescent="0.25">
      <c r="B6783" s="73"/>
    </row>
    <row r="6784" spans="2:2" x14ac:dyDescent="0.25">
      <c r="B6784" s="73"/>
    </row>
    <row r="6785" spans="2:2" x14ac:dyDescent="0.25">
      <c r="B6785" s="73"/>
    </row>
    <row r="6786" spans="2:2" x14ac:dyDescent="0.25">
      <c r="B6786" s="73"/>
    </row>
    <row r="6787" spans="2:2" x14ac:dyDescent="0.25">
      <c r="B6787" s="73"/>
    </row>
    <row r="6788" spans="2:2" x14ac:dyDescent="0.25">
      <c r="B6788" s="73"/>
    </row>
    <row r="6789" spans="2:2" x14ac:dyDescent="0.25">
      <c r="B6789" s="73"/>
    </row>
    <row r="6790" spans="2:2" x14ac:dyDescent="0.25">
      <c r="B6790" s="73"/>
    </row>
    <row r="6791" spans="2:2" x14ac:dyDescent="0.25">
      <c r="B6791" s="73"/>
    </row>
    <row r="6792" spans="2:2" x14ac:dyDescent="0.25">
      <c r="B6792" s="73"/>
    </row>
    <row r="6793" spans="2:2" x14ac:dyDescent="0.25">
      <c r="B6793" s="73"/>
    </row>
    <row r="6794" spans="2:2" x14ac:dyDescent="0.25">
      <c r="B6794" s="73"/>
    </row>
    <row r="6795" spans="2:2" x14ac:dyDescent="0.25">
      <c r="B6795" s="73"/>
    </row>
    <row r="6796" spans="2:2" x14ac:dyDescent="0.25">
      <c r="B6796" s="73"/>
    </row>
    <row r="6797" spans="2:2" x14ac:dyDescent="0.25">
      <c r="B6797" s="73"/>
    </row>
    <row r="6798" spans="2:2" x14ac:dyDescent="0.25">
      <c r="B6798" s="73"/>
    </row>
    <row r="6799" spans="2:2" x14ac:dyDescent="0.25">
      <c r="B6799" s="73"/>
    </row>
    <row r="6800" spans="2:2" x14ac:dyDescent="0.25">
      <c r="B6800" s="73"/>
    </row>
    <row r="6801" spans="2:2" x14ac:dyDescent="0.25">
      <c r="B6801" s="73"/>
    </row>
    <row r="6802" spans="2:2" x14ac:dyDescent="0.25">
      <c r="B6802" s="73"/>
    </row>
    <row r="6803" spans="2:2" x14ac:dyDescent="0.25">
      <c r="B6803" s="73"/>
    </row>
    <row r="6804" spans="2:2" x14ac:dyDescent="0.25">
      <c r="B6804" s="73"/>
    </row>
    <row r="6805" spans="2:2" x14ac:dyDescent="0.25">
      <c r="B6805" s="73"/>
    </row>
    <row r="6806" spans="2:2" x14ac:dyDescent="0.25">
      <c r="B6806" s="73"/>
    </row>
    <row r="6807" spans="2:2" x14ac:dyDescent="0.25">
      <c r="B6807" s="73"/>
    </row>
    <row r="6808" spans="2:2" x14ac:dyDescent="0.25">
      <c r="B6808" s="73"/>
    </row>
    <row r="6809" spans="2:2" x14ac:dyDescent="0.25">
      <c r="B6809" s="73"/>
    </row>
    <row r="6810" spans="2:2" x14ac:dyDescent="0.25">
      <c r="B6810" s="73"/>
    </row>
    <row r="6811" spans="2:2" x14ac:dyDescent="0.25">
      <c r="B6811" s="73"/>
    </row>
    <row r="6812" spans="2:2" x14ac:dyDescent="0.25">
      <c r="B6812" s="73"/>
    </row>
    <row r="6813" spans="2:2" x14ac:dyDescent="0.25">
      <c r="B6813" s="73"/>
    </row>
    <row r="6814" spans="2:2" x14ac:dyDescent="0.25">
      <c r="B6814" s="73"/>
    </row>
    <row r="6815" spans="2:2" x14ac:dyDescent="0.25">
      <c r="B6815" s="73"/>
    </row>
    <row r="6816" spans="2:2" x14ac:dyDescent="0.25">
      <c r="B6816" s="73"/>
    </row>
    <row r="6817" spans="2:2" x14ac:dyDescent="0.25">
      <c r="B6817" s="73"/>
    </row>
    <row r="6818" spans="2:2" x14ac:dyDescent="0.25">
      <c r="B6818" s="73"/>
    </row>
    <row r="6819" spans="2:2" x14ac:dyDescent="0.25">
      <c r="B6819" s="73"/>
    </row>
    <row r="6820" spans="2:2" x14ac:dyDescent="0.25">
      <c r="B6820" s="73"/>
    </row>
    <row r="6821" spans="2:2" x14ac:dyDescent="0.25">
      <c r="B6821" s="73"/>
    </row>
    <row r="6822" spans="2:2" x14ac:dyDescent="0.25">
      <c r="B6822" s="73"/>
    </row>
    <row r="6823" spans="2:2" x14ac:dyDescent="0.25">
      <c r="B6823" s="73"/>
    </row>
    <row r="6824" spans="2:2" x14ac:dyDescent="0.25">
      <c r="B6824" s="73"/>
    </row>
    <row r="6825" spans="2:2" x14ac:dyDescent="0.25">
      <c r="B6825" s="73"/>
    </row>
    <row r="6826" spans="2:2" x14ac:dyDescent="0.25">
      <c r="B6826" s="73"/>
    </row>
    <row r="6827" spans="2:2" x14ac:dyDescent="0.25">
      <c r="B6827" s="73"/>
    </row>
    <row r="6828" spans="2:2" x14ac:dyDescent="0.25">
      <c r="B6828" s="73"/>
    </row>
    <row r="6829" spans="2:2" x14ac:dyDescent="0.25">
      <c r="B6829" s="73"/>
    </row>
    <row r="6830" spans="2:2" x14ac:dyDescent="0.25">
      <c r="B6830" s="73"/>
    </row>
    <row r="6831" spans="2:2" x14ac:dyDescent="0.25">
      <c r="B6831" s="73"/>
    </row>
    <row r="6832" spans="2:2" x14ac:dyDescent="0.25">
      <c r="B6832" s="73"/>
    </row>
    <row r="6833" spans="2:2" x14ac:dyDescent="0.25">
      <c r="B6833" s="73"/>
    </row>
    <row r="6834" spans="2:2" x14ac:dyDescent="0.25">
      <c r="B6834" s="73"/>
    </row>
    <row r="6835" spans="2:2" x14ac:dyDescent="0.25">
      <c r="B6835" s="73"/>
    </row>
    <row r="6836" spans="2:2" x14ac:dyDescent="0.25">
      <c r="B6836" s="73"/>
    </row>
    <row r="6837" spans="2:2" x14ac:dyDescent="0.25">
      <c r="B6837" s="73"/>
    </row>
    <row r="6838" spans="2:2" x14ac:dyDescent="0.25">
      <c r="B6838" s="73"/>
    </row>
    <row r="6839" spans="2:2" x14ac:dyDescent="0.25">
      <c r="B6839" s="73"/>
    </row>
    <row r="6840" spans="2:2" x14ac:dyDescent="0.25">
      <c r="B6840" s="73"/>
    </row>
    <row r="6841" spans="2:2" x14ac:dyDescent="0.25">
      <c r="B6841" s="73"/>
    </row>
    <row r="6842" spans="2:2" x14ac:dyDescent="0.25">
      <c r="B6842" s="73"/>
    </row>
    <row r="6843" spans="2:2" x14ac:dyDescent="0.25">
      <c r="B6843" s="73"/>
    </row>
    <row r="6844" spans="2:2" x14ac:dyDescent="0.25">
      <c r="B6844" s="73"/>
    </row>
    <row r="6845" spans="2:2" x14ac:dyDescent="0.25">
      <c r="B6845" s="73"/>
    </row>
    <row r="6846" spans="2:2" x14ac:dyDescent="0.25">
      <c r="B6846" s="73"/>
    </row>
    <row r="6847" spans="2:2" x14ac:dyDescent="0.25">
      <c r="B6847" s="73"/>
    </row>
    <row r="6848" spans="2:2" x14ac:dyDescent="0.25">
      <c r="B6848" s="73"/>
    </row>
    <row r="6849" spans="2:2" x14ac:dyDescent="0.25">
      <c r="B6849" s="73"/>
    </row>
    <row r="6850" spans="2:2" x14ac:dyDescent="0.25">
      <c r="B6850" s="73"/>
    </row>
    <row r="6851" spans="2:2" x14ac:dyDescent="0.25">
      <c r="B6851" s="73"/>
    </row>
    <row r="6852" spans="2:2" x14ac:dyDescent="0.25">
      <c r="B6852" s="73"/>
    </row>
    <row r="6853" spans="2:2" x14ac:dyDescent="0.25">
      <c r="B6853" s="73"/>
    </row>
    <row r="6854" spans="2:2" x14ac:dyDescent="0.25">
      <c r="B6854" s="73"/>
    </row>
    <row r="6855" spans="2:2" x14ac:dyDescent="0.25">
      <c r="B6855" s="73"/>
    </row>
    <row r="6856" spans="2:2" x14ac:dyDescent="0.25">
      <c r="B6856" s="73"/>
    </row>
    <row r="6857" spans="2:2" x14ac:dyDescent="0.25">
      <c r="B6857" s="73"/>
    </row>
    <row r="6858" spans="2:2" x14ac:dyDescent="0.25">
      <c r="B6858" s="73"/>
    </row>
    <row r="6859" spans="2:2" x14ac:dyDescent="0.25">
      <c r="B6859" s="73"/>
    </row>
    <row r="6860" spans="2:2" x14ac:dyDescent="0.25">
      <c r="B6860" s="73"/>
    </row>
    <row r="6861" spans="2:2" x14ac:dyDescent="0.25">
      <c r="B6861" s="73"/>
    </row>
    <row r="6862" spans="2:2" x14ac:dyDescent="0.25">
      <c r="B6862" s="73"/>
    </row>
    <row r="6863" spans="2:2" x14ac:dyDescent="0.25">
      <c r="B6863" s="73"/>
    </row>
    <row r="6864" spans="2:2" x14ac:dyDescent="0.25">
      <c r="B6864" s="73"/>
    </row>
    <row r="6865" spans="2:2" x14ac:dyDescent="0.25">
      <c r="B6865" s="73"/>
    </row>
    <row r="6866" spans="2:2" x14ac:dyDescent="0.25">
      <c r="B6866" s="73"/>
    </row>
    <row r="6867" spans="2:2" x14ac:dyDescent="0.25">
      <c r="B6867" s="73"/>
    </row>
    <row r="6868" spans="2:2" x14ac:dyDescent="0.25">
      <c r="B6868" s="73"/>
    </row>
    <row r="6869" spans="2:2" x14ac:dyDescent="0.25">
      <c r="B6869" s="73"/>
    </row>
    <row r="6870" spans="2:2" x14ac:dyDescent="0.25">
      <c r="B6870" s="73"/>
    </row>
    <row r="6871" spans="2:2" x14ac:dyDescent="0.25">
      <c r="B6871" s="73"/>
    </row>
    <row r="6872" spans="2:2" x14ac:dyDescent="0.25">
      <c r="B6872" s="73"/>
    </row>
    <row r="6873" spans="2:2" x14ac:dyDescent="0.25">
      <c r="B6873" s="73"/>
    </row>
    <row r="6874" spans="2:2" x14ac:dyDescent="0.25">
      <c r="B6874" s="73"/>
    </row>
    <row r="6875" spans="2:2" x14ac:dyDescent="0.25">
      <c r="B6875" s="73"/>
    </row>
    <row r="6876" spans="2:2" x14ac:dyDescent="0.25">
      <c r="B6876" s="73"/>
    </row>
    <row r="6877" spans="2:2" x14ac:dyDescent="0.25">
      <c r="B6877" s="73"/>
    </row>
    <row r="6878" spans="2:2" x14ac:dyDescent="0.25">
      <c r="B6878" s="73"/>
    </row>
    <row r="6879" spans="2:2" x14ac:dyDescent="0.25">
      <c r="B6879" s="73"/>
    </row>
    <row r="6880" spans="2:2" x14ac:dyDescent="0.25">
      <c r="B6880" s="73"/>
    </row>
    <row r="6881" spans="2:2" x14ac:dyDescent="0.25">
      <c r="B6881" s="73"/>
    </row>
    <row r="6882" spans="2:2" x14ac:dyDescent="0.25">
      <c r="B6882" s="73"/>
    </row>
    <row r="6883" spans="2:2" x14ac:dyDescent="0.25">
      <c r="B6883" s="73"/>
    </row>
    <row r="6884" spans="2:2" x14ac:dyDescent="0.25">
      <c r="B6884" s="73"/>
    </row>
    <row r="6885" spans="2:2" x14ac:dyDescent="0.25">
      <c r="B6885" s="73"/>
    </row>
    <row r="6886" spans="2:2" x14ac:dyDescent="0.25">
      <c r="B6886" s="73"/>
    </row>
    <row r="6887" spans="2:2" x14ac:dyDescent="0.25">
      <c r="B6887" s="73"/>
    </row>
    <row r="6888" spans="2:2" x14ac:dyDescent="0.25">
      <c r="B6888" s="73"/>
    </row>
    <row r="6889" spans="2:2" x14ac:dyDescent="0.25">
      <c r="B6889" s="73"/>
    </row>
    <row r="6890" spans="2:2" x14ac:dyDescent="0.25">
      <c r="B6890" s="73"/>
    </row>
    <row r="6891" spans="2:2" x14ac:dyDescent="0.25">
      <c r="B6891" s="73"/>
    </row>
    <row r="6892" spans="2:2" x14ac:dyDescent="0.25">
      <c r="B6892" s="73"/>
    </row>
    <row r="6893" spans="2:2" x14ac:dyDescent="0.25">
      <c r="B6893" s="73"/>
    </row>
    <row r="6894" spans="2:2" x14ac:dyDescent="0.25">
      <c r="B6894" s="73"/>
    </row>
    <row r="6895" spans="2:2" x14ac:dyDescent="0.25">
      <c r="B6895" s="73"/>
    </row>
    <row r="6896" spans="2:2" x14ac:dyDescent="0.25">
      <c r="B6896" s="73"/>
    </row>
    <row r="6897" spans="2:2" x14ac:dyDescent="0.25">
      <c r="B6897" s="73"/>
    </row>
    <row r="6898" spans="2:2" x14ac:dyDescent="0.25">
      <c r="B6898" s="73"/>
    </row>
    <row r="6899" spans="2:2" x14ac:dyDescent="0.25">
      <c r="B6899" s="73"/>
    </row>
    <row r="6900" spans="2:2" x14ac:dyDescent="0.25">
      <c r="B6900" s="73"/>
    </row>
    <row r="6901" spans="2:2" x14ac:dyDescent="0.25">
      <c r="B6901" s="73"/>
    </row>
    <row r="6902" spans="2:2" x14ac:dyDescent="0.25">
      <c r="B6902" s="73"/>
    </row>
    <row r="6903" spans="2:2" x14ac:dyDescent="0.25">
      <c r="B6903" s="73"/>
    </row>
    <row r="6904" spans="2:2" x14ac:dyDescent="0.25">
      <c r="B6904" s="73"/>
    </row>
    <row r="6905" spans="2:2" x14ac:dyDescent="0.25">
      <c r="B6905" s="73"/>
    </row>
    <row r="6906" spans="2:2" x14ac:dyDescent="0.25">
      <c r="B6906" s="73"/>
    </row>
    <row r="6907" spans="2:2" x14ac:dyDescent="0.25">
      <c r="B6907" s="73"/>
    </row>
    <row r="6908" spans="2:2" x14ac:dyDescent="0.25">
      <c r="B6908" s="73"/>
    </row>
    <row r="6909" spans="2:2" x14ac:dyDescent="0.25">
      <c r="B6909" s="73"/>
    </row>
    <row r="6910" spans="2:2" x14ac:dyDescent="0.25">
      <c r="B6910" s="73"/>
    </row>
    <row r="6911" spans="2:2" x14ac:dyDescent="0.25">
      <c r="B6911" s="73"/>
    </row>
    <row r="6912" spans="2:2" x14ac:dyDescent="0.25">
      <c r="B6912" s="73"/>
    </row>
    <row r="6913" spans="2:2" x14ac:dyDescent="0.25">
      <c r="B6913" s="73"/>
    </row>
    <row r="6914" spans="2:2" x14ac:dyDescent="0.25">
      <c r="B6914" s="73"/>
    </row>
    <row r="6915" spans="2:2" x14ac:dyDescent="0.25">
      <c r="B6915" s="73"/>
    </row>
    <row r="6916" spans="2:2" x14ac:dyDescent="0.25">
      <c r="B6916" s="73"/>
    </row>
    <row r="6917" spans="2:2" x14ac:dyDescent="0.25">
      <c r="B6917" s="73"/>
    </row>
    <row r="6918" spans="2:2" x14ac:dyDescent="0.25">
      <c r="B6918" s="73"/>
    </row>
    <row r="6919" spans="2:2" x14ac:dyDescent="0.25">
      <c r="B6919" s="73"/>
    </row>
    <row r="6920" spans="2:2" x14ac:dyDescent="0.25">
      <c r="B6920" s="73"/>
    </row>
    <row r="6921" spans="2:2" x14ac:dyDescent="0.25">
      <c r="B6921" s="73"/>
    </row>
    <row r="6922" spans="2:2" x14ac:dyDescent="0.25">
      <c r="B6922" s="73"/>
    </row>
    <row r="6923" spans="2:2" x14ac:dyDescent="0.25">
      <c r="B6923" s="73"/>
    </row>
    <row r="6924" spans="2:2" x14ac:dyDescent="0.25">
      <c r="B6924" s="73"/>
    </row>
    <row r="6925" spans="2:2" x14ac:dyDescent="0.25">
      <c r="B6925" s="73"/>
    </row>
    <row r="6926" spans="2:2" x14ac:dyDescent="0.25">
      <c r="B6926" s="73"/>
    </row>
    <row r="6927" spans="2:2" x14ac:dyDescent="0.25">
      <c r="B6927" s="73"/>
    </row>
    <row r="6928" spans="2:2" x14ac:dyDescent="0.25">
      <c r="B6928" s="73"/>
    </row>
    <row r="6929" spans="2:2" x14ac:dyDescent="0.25">
      <c r="B6929" s="73"/>
    </row>
    <row r="6930" spans="2:2" x14ac:dyDescent="0.25">
      <c r="B6930" s="73"/>
    </row>
    <row r="6931" spans="2:2" x14ac:dyDescent="0.25">
      <c r="B6931" s="73"/>
    </row>
    <row r="6932" spans="2:2" x14ac:dyDescent="0.25">
      <c r="B6932" s="73"/>
    </row>
    <row r="6933" spans="2:2" x14ac:dyDescent="0.25">
      <c r="B6933" s="73"/>
    </row>
    <row r="6934" spans="2:2" x14ac:dyDescent="0.25">
      <c r="B6934" s="73"/>
    </row>
    <row r="6935" spans="2:2" x14ac:dyDescent="0.25">
      <c r="B6935" s="73"/>
    </row>
    <row r="6936" spans="2:2" x14ac:dyDescent="0.25">
      <c r="B6936" s="73"/>
    </row>
    <row r="6937" spans="2:2" x14ac:dyDescent="0.25">
      <c r="B6937" s="73"/>
    </row>
    <row r="6938" spans="2:2" x14ac:dyDescent="0.25">
      <c r="B6938" s="73"/>
    </row>
    <row r="6939" spans="2:2" x14ac:dyDescent="0.25">
      <c r="B6939" s="73"/>
    </row>
    <row r="6940" spans="2:2" x14ac:dyDescent="0.25">
      <c r="B6940" s="73"/>
    </row>
    <row r="6941" spans="2:2" x14ac:dyDescent="0.25">
      <c r="B6941" s="73"/>
    </row>
    <row r="6942" spans="2:2" x14ac:dyDescent="0.25">
      <c r="B6942" s="73"/>
    </row>
    <row r="6943" spans="2:2" x14ac:dyDescent="0.25">
      <c r="B6943" s="73"/>
    </row>
    <row r="6944" spans="2:2" x14ac:dyDescent="0.25">
      <c r="B6944" s="73"/>
    </row>
    <row r="6945" spans="2:2" x14ac:dyDescent="0.25">
      <c r="B6945" s="73"/>
    </row>
    <row r="6946" spans="2:2" x14ac:dyDescent="0.25">
      <c r="B6946" s="73"/>
    </row>
    <row r="6947" spans="2:2" x14ac:dyDescent="0.25">
      <c r="B6947" s="73"/>
    </row>
    <row r="6948" spans="2:2" x14ac:dyDescent="0.25">
      <c r="B6948" s="73"/>
    </row>
    <row r="6949" spans="2:2" x14ac:dyDescent="0.25">
      <c r="B6949" s="73"/>
    </row>
    <row r="6950" spans="2:2" x14ac:dyDescent="0.25">
      <c r="B6950" s="73"/>
    </row>
    <row r="6951" spans="2:2" x14ac:dyDescent="0.25">
      <c r="B6951" s="73"/>
    </row>
    <row r="6952" spans="2:2" x14ac:dyDescent="0.25">
      <c r="B6952" s="73"/>
    </row>
    <row r="6953" spans="2:2" x14ac:dyDescent="0.25">
      <c r="B6953" s="73"/>
    </row>
    <row r="6954" spans="2:2" x14ac:dyDescent="0.25">
      <c r="B6954" s="73"/>
    </row>
    <row r="6955" spans="2:2" x14ac:dyDescent="0.25">
      <c r="B6955" s="73"/>
    </row>
    <row r="6956" spans="2:2" x14ac:dyDescent="0.25">
      <c r="B6956" s="73"/>
    </row>
    <row r="6957" spans="2:2" x14ac:dyDescent="0.25">
      <c r="B6957" s="73"/>
    </row>
    <row r="6958" spans="2:2" x14ac:dyDescent="0.25">
      <c r="B6958" s="73"/>
    </row>
    <row r="6959" spans="2:2" x14ac:dyDescent="0.25">
      <c r="B6959" s="73"/>
    </row>
    <row r="6960" spans="2:2" x14ac:dyDescent="0.25">
      <c r="B6960" s="73"/>
    </row>
    <row r="6961" spans="2:2" x14ac:dyDescent="0.25">
      <c r="B6961" s="73"/>
    </row>
    <row r="6962" spans="2:2" x14ac:dyDescent="0.25">
      <c r="B6962" s="73"/>
    </row>
    <row r="6963" spans="2:2" x14ac:dyDescent="0.25">
      <c r="B6963" s="73"/>
    </row>
    <row r="6964" spans="2:2" x14ac:dyDescent="0.25">
      <c r="B6964" s="73"/>
    </row>
    <row r="6965" spans="2:2" x14ac:dyDescent="0.25">
      <c r="B6965" s="73"/>
    </row>
    <row r="6966" spans="2:2" x14ac:dyDescent="0.25">
      <c r="B6966" s="73"/>
    </row>
    <row r="6967" spans="2:2" x14ac:dyDescent="0.25">
      <c r="B6967" s="73"/>
    </row>
    <row r="6968" spans="2:2" x14ac:dyDescent="0.25">
      <c r="B6968" s="73"/>
    </row>
    <row r="6969" spans="2:2" x14ac:dyDescent="0.25">
      <c r="B6969" s="73"/>
    </row>
    <row r="6970" spans="2:2" x14ac:dyDescent="0.25">
      <c r="B6970" s="73"/>
    </row>
    <row r="6971" spans="2:2" x14ac:dyDescent="0.25">
      <c r="B6971" s="73"/>
    </row>
    <row r="6972" spans="2:2" x14ac:dyDescent="0.25">
      <c r="B6972" s="73"/>
    </row>
    <row r="6973" spans="2:2" x14ac:dyDescent="0.25">
      <c r="B6973" s="73"/>
    </row>
    <row r="6974" spans="2:2" x14ac:dyDescent="0.25">
      <c r="B6974" s="73"/>
    </row>
    <row r="6975" spans="2:2" x14ac:dyDescent="0.25">
      <c r="B6975" s="73"/>
    </row>
    <row r="6976" spans="2:2" x14ac:dyDescent="0.25">
      <c r="B6976" s="73"/>
    </row>
    <row r="6977" spans="2:2" x14ac:dyDescent="0.25">
      <c r="B6977" s="73"/>
    </row>
    <row r="6978" spans="2:2" x14ac:dyDescent="0.25">
      <c r="B6978" s="73"/>
    </row>
    <row r="6979" spans="2:2" x14ac:dyDescent="0.25">
      <c r="B6979" s="73"/>
    </row>
    <row r="6980" spans="2:2" x14ac:dyDescent="0.25">
      <c r="B6980" s="73"/>
    </row>
    <row r="6981" spans="2:2" x14ac:dyDescent="0.25">
      <c r="B6981" s="73"/>
    </row>
    <row r="6982" spans="2:2" x14ac:dyDescent="0.25">
      <c r="B6982" s="73"/>
    </row>
    <row r="6983" spans="2:2" x14ac:dyDescent="0.25">
      <c r="B6983" s="73"/>
    </row>
    <row r="6984" spans="2:2" x14ac:dyDescent="0.25">
      <c r="B6984" s="73"/>
    </row>
    <row r="6985" spans="2:2" x14ac:dyDescent="0.25">
      <c r="B6985" s="73"/>
    </row>
    <row r="6986" spans="2:2" x14ac:dyDescent="0.25">
      <c r="B6986" s="73"/>
    </row>
    <row r="6987" spans="2:2" x14ac:dyDescent="0.25">
      <c r="B6987" s="73"/>
    </row>
    <row r="6988" spans="2:2" x14ac:dyDescent="0.25">
      <c r="B6988" s="73"/>
    </row>
    <row r="6989" spans="2:2" x14ac:dyDescent="0.25">
      <c r="B6989" s="73"/>
    </row>
    <row r="6990" spans="2:2" x14ac:dyDescent="0.25">
      <c r="B6990" s="73"/>
    </row>
    <row r="6991" spans="2:2" x14ac:dyDescent="0.25">
      <c r="B6991" s="73"/>
    </row>
    <row r="6992" spans="2:2" x14ac:dyDescent="0.25">
      <c r="B6992" s="73"/>
    </row>
    <row r="6993" spans="2:2" x14ac:dyDescent="0.25">
      <c r="B6993" s="73"/>
    </row>
    <row r="6994" spans="2:2" x14ac:dyDescent="0.25">
      <c r="B6994" s="73"/>
    </row>
    <row r="6995" spans="2:2" x14ac:dyDescent="0.25">
      <c r="B6995" s="73"/>
    </row>
    <row r="6996" spans="2:2" x14ac:dyDescent="0.25">
      <c r="B6996" s="73"/>
    </row>
    <row r="6997" spans="2:2" x14ac:dyDescent="0.25">
      <c r="B6997" s="73"/>
    </row>
    <row r="6998" spans="2:2" x14ac:dyDescent="0.25">
      <c r="B6998" s="73"/>
    </row>
    <row r="6999" spans="2:2" x14ac:dyDescent="0.25">
      <c r="B6999" s="73"/>
    </row>
    <row r="7000" spans="2:2" x14ac:dyDescent="0.25">
      <c r="B7000" s="73"/>
    </row>
    <row r="7001" spans="2:2" x14ac:dyDescent="0.25">
      <c r="B7001" s="73"/>
    </row>
    <row r="7002" spans="2:2" x14ac:dyDescent="0.25">
      <c r="B7002" s="73"/>
    </row>
    <row r="7003" spans="2:2" x14ac:dyDescent="0.25">
      <c r="B7003" s="73"/>
    </row>
    <row r="7004" spans="2:2" x14ac:dyDescent="0.25">
      <c r="B7004" s="73"/>
    </row>
    <row r="7005" spans="2:2" x14ac:dyDescent="0.25">
      <c r="B7005" s="73"/>
    </row>
    <row r="7006" spans="2:2" x14ac:dyDescent="0.25">
      <c r="B7006" s="73"/>
    </row>
    <row r="7007" spans="2:2" x14ac:dyDescent="0.25">
      <c r="B7007" s="73"/>
    </row>
    <row r="7008" spans="2:2" x14ac:dyDescent="0.25">
      <c r="B7008" s="73"/>
    </row>
    <row r="7009" spans="2:2" x14ac:dyDescent="0.25">
      <c r="B7009" s="73"/>
    </row>
    <row r="7010" spans="2:2" x14ac:dyDescent="0.25">
      <c r="B7010" s="73"/>
    </row>
    <row r="7011" spans="2:2" x14ac:dyDescent="0.25">
      <c r="B7011" s="73"/>
    </row>
    <row r="7012" spans="2:2" x14ac:dyDescent="0.25">
      <c r="B7012" s="73"/>
    </row>
    <row r="7013" spans="2:2" x14ac:dyDescent="0.25">
      <c r="B7013" s="73"/>
    </row>
    <row r="7014" spans="2:2" x14ac:dyDescent="0.25">
      <c r="B7014" s="73"/>
    </row>
    <row r="7015" spans="2:2" x14ac:dyDescent="0.25">
      <c r="B7015" s="73"/>
    </row>
    <row r="7016" spans="2:2" x14ac:dyDescent="0.25">
      <c r="B7016" s="73"/>
    </row>
    <row r="7017" spans="2:2" x14ac:dyDescent="0.25">
      <c r="B7017" s="73"/>
    </row>
    <row r="7018" spans="2:2" x14ac:dyDescent="0.25">
      <c r="B7018" s="73"/>
    </row>
    <row r="7019" spans="2:2" x14ac:dyDescent="0.25">
      <c r="B7019" s="73"/>
    </row>
    <row r="7020" spans="2:2" x14ac:dyDescent="0.25">
      <c r="B7020" s="73"/>
    </row>
    <row r="7021" spans="2:2" x14ac:dyDescent="0.25">
      <c r="B7021" s="73"/>
    </row>
    <row r="7022" spans="2:2" x14ac:dyDescent="0.25">
      <c r="B7022" s="73"/>
    </row>
    <row r="7023" spans="2:2" x14ac:dyDescent="0.25">
      <c r="B7023" s="73"/>
    </row>
    <row r="7024" spans="2:2" x14ac:dyDescent="0.25">
      <c r="B7024" s="73"/>
    </row>
    <row r="7025" spans="2:2" x14ac:dyDescent="0.25">
      <c r="B7025" s="73"/>
    </row>
    <row r="7026" spans="2:2" x14ac:dyDescent="0.25">
      <c r="B7026" s="73"/>
    </row>
    <row r="7027" spans="2:2" x14ac:dyDescent="0.25">
      <c r="B7027" s="73"/>
    </row>
    <row r="7028" spans="2:2" x14ac:dyDescent="0.25">
      <c r="B7028" s="73"/>
    </row>
    <row r="7029" spans="2:2" x14ac:dyDescent="0.25">
      <c r="B7029" s="73"/>
    </row>
    <row r="7030" spans="2:2" x14ac:dyDescent="0.25">
      <c r="B7030" s="73"/>
    </row>
    <row r="7031" spans="2:2" x14ac:dyDescent="0.25">
      <c r="B7031" s="73"/>
    </row>
    <row r="7032" spans="2:2" x14ac:dyDescent="0.25">
      <c r="B7032" s="73"/>
    </row>
    <row r="7033" spans="2:2" x14ac:dyDescent="0.25">
      <c r="B7033" s="73"/>
    </row>
    <row r="7034" spans="2:2" x14ac:dyDescent="0.25">
      <c r="B7034" s="73"/>
    </row>
    <row r="7035" spans="2:2" x14ac:dyDescent="0.25">
      <c r="B7035" s="73"/>
    </row>
    <row r="7036" spans="2:2" x14ac:dyDescent="0.25">
      <c r="B7036" s="73"/>
    </row>
    <row r="7037" spans="2:2" x14ac:dyDescent="0.25">
      <c r="B7037" s="73"/>
    </row>
    <row r="7038" spans="2:2" x14ac:dyDescent="0.25">
      <c r="B7038" s="73"/>
    </row>
    <row r="7039" spans="2:2" x14ac:dyDescent="0.25">
      <c r="B7039" s="73"/>
    </row>
    <row r="7040" spans="2:2" x14ac:dyDescent="0.25">
      <c r="B7040" s="73"/>
    </row>
    <row r="7041" spans="2:2" x14ac:dyDescent="0.25">
      <c r="B7041" s="73"/>
    </row>
    <row r="7042" spans="2:2" x14ac:dyDescent="0.25">
      <c r="B7042" s="73"/>
    </row>
    <row r="7043" spans="2:2" x14ac:dyDescent="0.25">
      <c r="B7043" s="73"/>
    </row>
    <row r="7044" spans="2:2" x14ac:dyDescent="0.25">
      <c r="B7044" s="73"/>
    </row>
    <row r="7045" spans="2:2" x14ac:dyDescent="0.25">
      <c r="B7045" s="73"/>
    </row>
    <row r="7046" spans="2:2" x14ac:dyDescent="0.25">
      <c r="B7046" s="73"/>
    </row>
    <row r="7047" spans="2:2" x14ac:dyDescent="0.25">
      <c r="B7047" s="73"/>
    </row>
    <row r="7048" spans="2:2" x14ac:dyDescent="0.25">
      <c r="B7048" s="73"/>
    </row>
    <row r="7049" spans="2:2" x14ac:dyDescent="0.25">
      <c r="B7049" s="73"/>
    </row>
    <row r="7050" spans="2:2" x14ac:dyDescent="0.25">
      <c r="B7050" s="73"/>
    </row>
    <row r="7051" spans="2:2" x14ac:dyDescent="0.25">
      <c r="B7051" s="73"/>
    </row>
    <row r="7052" spans="2:2" x14ac:dyDescent="0.25">
      <c r="B7052" s="73"/>
    </row>
    <row r="7053" spans="2:2" x14ac:dyDescent="0.25">
      <c r="B7053" s="73"/>
    </row>
    <row r="7054" spans="2:2" x14ac:dyDescent="0.25">
      <c r="B7054" s="73"/>
    </row>
    <row r="7055" spans="2:2" x14ac:dyDescent="0.25">
      <c r="B7055" s="73"/>
    </row>
    <row r="7056" spans="2:2" x14ac:dyDescent="0.25">
      <c r="B7056" s="73"/>
    </row>
    <row r="7057" spans="2:2" x14ac:dyDescent="0.25">
      <c r="B7057" s="73"/>
    </row>
    <row r="7058" spans="2:2" x14ac:dyDescent="0.25">
      <c r="B7058" s="73"/>
    </row>
    <row r="7059" spans="2:2" x14ac:dyDescent="0.25">
      <c r="B7059" s="73"/>
    </row>
    <row r="7060" spans="2:2" x14ac:dyDescent="0.25">
      <c r="B7060" s="73"/>
    </row>
    <row r="7061" spans="2:2" x14ac:dyDescent="0.25">
      <c r="B7061" s="73"/>
    </row>
    <row r="7062" spans="2:2" x14ac:dyDescent="0.25">
      <c r="B7062" s="73"/>
    </row>
    <row r="7063" spans="2:2" x14ac:dyDescent="0.25">
      <c r="B7063" s="73"/>
    </row>
    <row r="7064" spans="2:2" x14ac:dyDescent="0.25">
      <c r="B7064" s="73"/>
    </row>
    <row r="7065" spans="2:2" x14ac:dyDescent="0.25">
      <c r="B7065" s="73"/>
    </row>
    <row r="7066" spans="2:2" x14ac:dyDescent="0.25">
      <c r="B7066" s="73"/>
    </row>
    <row r="7067" spans="2:2" x14ac:dyDescent="0.25">
      <c r="B7067" s="73"/>
    </row>
    <row r="7068" spans="2:2" x14ac:dyDescent="0.25">
      <c r="B7068" s="73"/>
    </row>
    <row r="7069" spans="2:2" x14ac:dyDescent="0.25">
      <c r="B7069" s="73"/>
    </row>
    <row r="7070" spans="2:2" x14ac:dyDescent="0.25">
      <c r="B7070" s="73"/>
    </row>
    <row r="7071" spans="2:2" x14ac:dyDescent="0.25">
      <c r="B7071" s="73"/>
    </row>
    <row r="7072" spans="2:2" x14ac:dyDescent="0.25">
      <c r="B7072" s="73"/>
    </row>
    <row r="7073" spans="2:2" x14ac:dyDescent="0.25">
      <c r="B7073" s="73"/>
    </row>
    <row r="7074" spans="2:2" x14ac:dyDescent="0.25">
      <c r="B7074" s="73"/>
    </row>
    <row r="7075" spans="2:2" x14ac:dyDescent="0.25">
      <c r="B7075" s="73"/>
    </row>
    <row r="7076" spans="2:2" x14ac:dyDescent="0.25">
      <c r="B7076" s="73"/>
    </row>
    <row r="7077" spans="2:2" x14ac:dyDescent="0.25">
      <c r="B7077" s="73"/>
    </row>
    <row r="7078" spans="2:2" x14ac:dyDescent="0.25">
      <c r="B7078" s="73"/>
    </row>
    <row r="7079" spans="2:2" x14ac:dyDescent="0.25">
      <c r="B7079" s="73"/>
    </row>
    <row r="7080" spans="2:2" x14ac:dyDescent="0.25">
      <c r="B7080" s="73"/>
    </row>
    <row r="7081" spans="2:2" x14ac:dyDescent="0.25">
      <c r="B7081" s="73"/>
    </row>
    <row r="7082" spans="2:2" x14ac:dyDescent="0.25">
      <c r="B7082" s="73"/>
    </row>
    <row r="7083" spans="2:2" x14ac:dyDescent="0.25">
      <c r="B7083" s="73"/>
    </row>
    <row r="7084" spans="2:2" x14ac:dyDescent="0.25">
      <c r="B7084" s="73"/>
    </row>
    <row r="7085" spans="2:2" x14ac:dyDescent="0.25">
      <c r="B7085" s="73"/>
    </row>
    <row r="7086" spans="2:2" x14ac:dyDescent="0.25">
      <c r="B7086" s="73"/>
    </row>
    <row r="7087" spans="2:2" x14ac:dyDescent="0.25">
      <c r="B7087" s="73"/>
    </row>
    <row r="7088" spans="2:2" x14ac:dyDescent="0.25">
      <c r="B7088" s="73"/>
    </row>
    <row r="7089" spans="2:2" x14ac:dyDescent="0.25">
      <c r="B7089" s="73"/>
    </row>
    <row r="7090" spans="2:2" x14ac:dyDescent="0.25">
      <c r="B7090" s="73"/>
    </row>
    <row r="7091" spans="2:2" x14ac:dyDescent="0.25">
      <c r="B7091" s="73"/>
    </row>
    <row r="7092" spans="2:2" x14ac:dyDescent="0.25">
      <c r="B7092" s="73"/>
    </row>
    <row r="7093" spans="2:2" x14ac:dyDescent="0.25">
      <c r="B7093" s="73"/>
    </row>
    <row r="7094" spans="2:2" x14ac:dyDescent="0.25">
      <c r="B7094" s="73"/>
    </row>
    <row r="7095" spans="2:2" x14ac:dyDescent="0.25">
      <c r="B7095" s="73"/>
    </row>
    <row r="7096" spans="2:2" x14ac:dyDescent="0.25">
      <c r="B7096" s="73"/>
    </row>
    <row r="7097" spans="2:2" x14ac:dyDescent="0.25">
      <c r="B7097" s="73"/>
    </row>
    <row r="7098" spans="2:2" x14ac:dyDescent="0.25">
      <c r="B7098" s="73"/>
    </row>
    <row r="7099" spans="2:2" x14ac:dyDescent="0.25">
      <c r="B7099" s="73"/>
    </row>
    <row r="7100" spans="2:2" x14ac:dyDescent="0.25">
      <c r="B7100" s="73"/>
    </row>
    <row r="7101" spans="2:2" x14ac:dyDescent="0.25">
      <c r="B7101" s="73"/>
    </row>
    <row r="7102" spans="2:2" x14ac:dyDescent="0.25">
      <c r="B7102" s="73"/>
    </row>
    <row r="7103" spans="2:2" x14ac:dyDescent="0.25">
      <c r="B7103" s="73"/>
    </row>
    <row r="7104" spans="2:2" x14ac:dyDescent="0.25">
      <c r="B7104" s="73"/>
    </row>
    <row r="7105" spans="2:2" x14ac:dyDescent="0.25">
      <c r="B7105" s="73"/>
    </row>
    <row r="7106" spans="2:2" x14ac:dyDescent="0.25">
      <c r="B7106" s="73"/>
    </row>
    <row r="7107" spans="2:2" x14ac:dyDescent="0.25">
      <c r="B7107" s="73"/>
    </row>
    <row r="7108" spans="2:2" x14ac:dyDescent="0.25">
      <c r="B7108" s="73"/>
    </row>
    <row r="7109" spans="2:2" x14ac:dyDescent="0.25">
      <c r="B7109" s="73"/>
    </row>
    <row r="7110" spans="2:2" x14ac:dyDescent="0.25">
      <c r="B7110" s="73"/>
    </row>
    <row r="7111" spans="2:2" x14ac:dyDescent="0.25">
      <c r="B7111" s="73"/>
    </row>
    <row r="7112" spans="2:2" x14ac:dyDescent="0.25">
      <c r="B7112" s="73"/>
    </row>
    <row r="7113" spans="2:2" x14ac:dyDescent="0.25">
      <c r="B7113" s="73"/>
    </row>
    <row r="7114" spans="2:2" x14ac:dyDescent="0.25">
      <c r="B7114" s="73"/>
    </row>
    <row r="7115" spans="2:2" x14ac:dyDescent="0.25">
      <c r="B7115" s="73"/>
    </row>
    <row r="7116" spans="2:2" x14ac:dyDescent="0.25">
      <c r="B7116" s="73"/>
    </row>
    <row r="7117" spans="2:2" x14ac:dyDescent="0.25">
      <c r="B7117" s="73"/>
    </row>
    <row r="7118" spans="2:2" x14ac:dyDescent="0.25">
      <c r="B7118" s="73"/>
    </row>
    <row r="7119" spans="2:2" x14ac:dyDescent="0.25">
      <c r="B7119" s="73"/>
    </row>
    <row r="7120" spans="2:2" x14ac:dyDescent="0.25">
      <c r="B7120" s="73"/>
    </row>
    <row r="7121" spans="2:2" x14ac:dyDescent="0.25">
      <c r="B7121" s="73"/>
    </row>
    <row r="7122" spans="2:2" x14ac:dyDescent="0.25">
      <c r="B7122" s="73"/>
    </row>
    <row r="7123" spans="2:2" x14ac:dyDescent="0.25">
      <c r="B7123" s="73"/>
    </row>
    <row r="7124" spans="2:2" x14ac:dyDescent="0.25">
      <c r="B7124" s="73"/>
    </row>
    <row r="7125" spans="2:2" x14ac:dyDescent="0.25">
      <c r="B7125" s="73"/>
    </row>
    <row r="7126" spans="2:2" x14ac:dyDescent="0.25">
      <c r="B7126" s="73"/>
    </row>
    <row r="7127" spans="2:2" x14ac:dyDescent="0.25">
      <c r="B7127" s="73"/>
    </row>
    <row r="7128" spans="2:2" x14ac:dyDescent="0.25">
      <c r="B7128" s="73"/>
    </row>
    <row r="7129" spans="2:2" x14ac:dyDescent="0.25">
      <c r="B7129" s="73"/>
    </row>
    <row r="7130" spans="2:2" x14ac:dyDescent="0.25">
      <c r="B7130" s="73"/>
    </row>
    <row r="7131" spans="2:2" x14ac:dyDescent="0.25">
      <c r="B7131" s="73"/>
    </row>
    <row r="7132" spans="2:2" x14ac:dyDescent="0.25">
      <c r="B7132" s="73"/>
    </row>
    <row r="7133" spans="2:2" x14ac:dyDescent="0.25">
      <c r="B7133" s="73"/>
    </row>
    <row r="7134" spans="2:2" x14ac:dyDescent="0.25">
      <c r="B7134" s="73"/>
    </row>
    <row r="7135" spans="2:2" x14ac:dyDescent="0.25">
      <c r="B7135" s="73"/>
    </row>
    <row r="7136" spans="2:2" x14ac:dyDescent="0.25">
      <c r="B7136" s="73"/>
    </row>
    <row r="7137" spans="2:2" x14ac:dyDescent="0.25">
      <c r="B7137" s="73"/>
    </row>
    <row r="7138" spans="2:2" x14ac:dyDescent="0.25">
      <c r="B7138" s="73"/>
    </row>
    <row r="7139" spans="2:2" x14ac:dyDescent="0.25">
      <c r="B7139" s="73"/>
    </row>
    <row r="7140" spans="2:2" x14ac:dyDescent="0.25">
      <c r="B7140" s="73"/>
    </row>
    <row r="7141" spans="2:2" x14ac:dyDescent="0.25">
      <c r="B7141" s="73"/>
    </row>
    <row r="7142" spans="2:2" x14ac:dyDescent="0.25">
      <c r="B7142" s="73"/>
    </row>
    <row r="7143" spans="2:2" x14ac:dyDescent="0.25">
      <c r="B7143" s="73"/>
    </row>
    <row r="7144" spans="2:2" x14ac:dyDescent="0.25">
      <c r="B7144" s="73"/>
    </row>
    <row r="7145" spans="2:2" x14ac:dyDescent="0.25">
      <c r="B7145" s="73"/>
    </row>
    <row r="7146" spans="2:2" x14ac:dyDescent="0.25">
      <c r="B7146" s="73"/>
    </row>
    <row r="7147" spans="2:2" x14ac:dyDescent="0.25">
      <c r="B7147" s="73"/>
    </row>
    <row r="7148" spans="2:2" x14ac:dyDescent="0.25">
      <c r="B7148" s="73"/>
    </row>
    <row r="7149" spans="2:2" x14ac:dyDescent="0.25">
      <c r="B7149" s="73"/>
    </row>
    <row r="7150" spans="2:2" x14ac:dyDescent="0.25">
      <c r="B7150" s="73"/>
    </row>
    <row r="7151" spans="2:2" x14ac:dyDescent="0.25">
      <c r="B7151" s="73"/>
    </row>
    <row r="7152" spans="2:2" x14ac:dyDescent="0.25">
      <c r="B7152" s="73"/>
    </row>
    <row r="7153" spans="2:2" x14ac:dyDescent="0.25">
      <c r="B7153" s="73"/>
    </row>
    <row r="7154" spans="2:2" x14ac:dyDescent="0.25">
      <c r="B7154" s="73"/>
    </row>
    <row r="7155" spans="2:2" x14ac:dyDescent="0.25">
      <c r="B7155" s="73"/>
    </row>
    <row r="7156" spans="2:2" x14ac:dyDescent="0.25">
      <c r="B7156" s="73"/>
    </row>
    <row r="7157" spans="2:2" x14ac:dyDescent="0.25">
      <c r="B7157" s="73"/>
    </row>
    <row r="7158" spans="2:2" x14ac:dyDescent="0.25">
      <c r="B7158" s="73"/>
    </row>
    <row r="7159" spans="2:2" x14ac:dyDescent="0.25">
      <c r="B7159" s="73"/>
    </row>
    <row r="7160" spans="2:2" x14ac:dyDescent="0.25">
      <c r="B7160" s="73"/>
    </row>
    <row r="7161" spans="2:2" x14ac:dyDescent="0.25">
      <c r="B7161" s="73"/>
    </row>
    <row r="7162" spans="2:2" x14ac:dyDescent="0.25">
      <c r="B7162" s="73"/>
    </row>
    <row r="7163" spans="2:2" x14ac:dyDescent="0.25">
      <c r="B7163" s="73"/>
    </row>
    <row r="7164" spans="2:2" x14ac:dyDescent="0.25">
      <c r="B7164" s="73"/>
    </row>
    <row r="7165" spans="2:2" x14ac:dyDescent="0.25">
      <c r="B7165" s="73"/>
    </row>
    <row r="7166" spans="2:2" x14ac:dyDescent="0.25">
      <c r="B7166" s="73"/>
    </row>
    <row r="7167" spans="2:2" x14ac:dyDescent="0.25">
      <c r="B7167" s="73"/>
    </row>
    <row r="7168" spans="2:2" x14ac:dyDescent="0.25">
      <c r="B7168" s="73"/>
    </row>
    <row r="7169" spans="2:2" x14ac:dyDescent="0.25">
      <c r="B7169" s="73"/>
    </row>
    <row r="7170" spans="2:2" x14ac:dyDescent="0.25">
      <c r="B7170" s="73"/>
    </row>
    <row r="7171" spans="2:2" x14ac:dyDescent="0.25">
      <c r="B7171" s="73"/>
    </row>
    <row r="7172" spans="2:2" x14ac:dyDescent="0.25">
      <c r="B7172" s="73"/>
    </row>
    <row r="7173" spans="2:2" x14ac:dyDescent="0.25">
      <c r="B7173" s="73"/>
    </row>
    <row r="7174" spans="2:2" x14ac:dyDescent="0.25">
      <c r="B7174" s="73"/>
    </row>
    <row r="7175" spans="2:2" x14ac:dyDescent="0.25">
      <c r="B7175" s="73"/>
    </row>
    <row r="7176" spans="2:2" x14ac:dyDescent="0.25">
      <c r="B7176" s="73"/>
    </row>
    <row r="7177" spans="2:2" x14ac:dyDescent="0.25">
      <c r="B7177" s="73"/>
    </row>
    <row r="7178" spans="2:2" x14ac:dyDescent="0.25">
      <c r="B7178" s="73"/>
    </row>
    <row r="7179" spans="2:2" x14ac:dyDescent="0.25">
      <c r="B7179" s="73"/>
    </row>
    <row r="7180" spans="2:2" x14ac:dyDescent="0.25">
      <c r="B7180" s="73"/>
    </row>
    <row r="7181" spans="2:2" x14ac:dyDescent="0.25">
      <c r="B7181" s="73"/>
    </row>
    <row r="7182" spans="2:2" x14ac:dyDescent="0.25">
      <c r="B7182" s="73"/>
    </row>
    <row r="7183" spans="2:2" x14ac:dyDescent="0.25">
      <c r="B7183" s="73"/>
    </row>
    <row r="7184" spans="2:2" x14ac:dyDescent="0.25">
      <c r="B7184" s="73"/>
    </row>
    <row r="7185" spans="2:2" x14ac:dyDescent="0.25">
      <c r="B7185" s="73"/>
    </row>
    <row r="7186" spans="2:2" x14ac:dyDescent="0.25">
      <c r="B7186" s="73"/>
    </row>
    <row r="7187" spans="2:2" x14ac:dyDescent="0.25">
      <c r="B7187" s="73"/>
    </row>
    <row r="7188" spans="2:2" x14ac:dyDescent="0.25">
      <c r="B7188" s="73"/>
    </row>
    <row r="7189" spans="2:2" x14ac:dyDescent="0.25">
      <c r="B7189" s="73"/>
    </row>
    <row r="7190" spans="2:2" x14ac:dyDescent="0.25">
      <c r="B7190" s="73"/>
    </row>
    <row r="7191" spans="2:2" x14ac:dyDescent="0.25">
      <c r="B7191" s="73"/>
    </row>
    <row r="7192" spans="2:2" x14ac:dyDescent="0.25">
      <c r="B7192" s="73"/>
    </row>
    <row r="7193" spans="2:2" x14ac:dyDescent="0.25">
      <c r="B7193" s="73"/>
    </row>
    <row r="7194" spans="2:2" x14ac:dyDescent="0.25">
      <c r="B7194" s="73"/>
    </row>
    <row r="7195" spans="2:2" x14ac:dyDescent="0.25">
      <c r="B7195" s="73"/>
    </row>
    <row r="7196" spans="2:2" x14ac:dyDescent="0.25">
      <c r="B7196" s="73"/>
    </row>
    <row r="7197" spans="2:2" x14ac:dyDescent="0.25">
      <c r="B7197" s="73"/>
    </row>
    <row r="7198" spans="2:2" x14ac:dyDescent="0.25">
      <c r="B7198" s="73"/>
    </row>
    <row r="7199" spans="2:2" x14ac:dyDescent="0.25">
      <c r="B7199" s="73"/>
    </row>
    <row r="7200" spans="2:2" x14ac:dyDescent="0.25">
      <c r="B7200" s="73"/>
    </row>
    <row r="7201" spans="2:2" x14ac:dyDescent="0.25">
      <c r="B7201" s="73"/>
    </row>
    <row r="7202" spans="2:2" x14ac:dyDescent="0.25">
      <c r="B7202" s="73"/>
    </row>
    <row r="7203" spans="2:2" x14ac:dyDescent="0.25">
      <c r="B7203" s="73"/>
    </row>
    <row r="7204" spans="2:2" x14ac:dyDescent="0.25">
      <c r="B7204" s="73"/>
    </row>
    <row r="7205" spans="2:2" x14ac:dyDescent="0.25">
      <c r="B7205" s="73"/>
    </row>
    <row r="7206" spans="2:2" x14ac:dyDescent="0.25">
      <c r="B7206" s="73"/>
    </row>
    <row r="7207" spans="2:2" x14ac:dyDescent="0.25">
      <c r="B7207" s="73"/>
    </row>
    <row r="7208" spans="2:2" x14ac:dyDescent="0.25">
      <c r="B7208" s="73"/>
    </row>
    <row r="7209" spans="2:2" x14ac:dyDescent="0.25">
      <c r="B7209" s="73"/>
    </row>
    <row r="7210" spans="2:2" x14ac:dyDescent="0.25">
      <c r="B7210" s="73"/>
    </row>
    <row r="7211" spans="2:2" x14ac:dyDescent="0.25">
      <c r="B7211" s="73"/>
    </row>
    <row r="7212" spans="2:2" x14ac:dyDescent="0.25">
      <c r="B7212" s="73"/>
    </row>
    <row r="7213" spans="2:2" x14ac:dyDescent="0.25">
      <c r="B7213" s="73"/>
    </row>
    <row r="7214" spans="2:2" x14ac:dyDescent="0.25">
      <c r="B7214" s="73"/>
    </row>
    <row r="7215" spans="2:2" x14ac:dyDescent="0.25">
      <c r="B7215" s="73"/>
    </row>
    <row r="7216" spans="2:2" x14ac:dyDescent="0.25">
      <c r="B7216" s="73"/>
    </row>
    <row r="7217" spans="2:2" x14ac:dyDescent="0.25">
      <c r="B7217" s="73"/>
    </row>
    <row r="7218" spans="2:2" x14ac:dyDescent="0.25">
      <c r="B7218" s="73"/>
    </row>
    <row r="7219" spans="2:2" x14ac:dyDescent="0.25">
      <c r="B7219" s="73"/>
    </row>
    <row r="7220" spans="2:2" x14ac:dyDescent="0.25">
      <c r="B7220" s="73"/>
    </row>
    <row r="7221" spans="2:2" x14ac:dyDescent="0.25">
      <c r="B7221" s="73"/>
    </row>
    <row r="7222" spans="2:2" x14ac:dyDescent="0.25">
      <c r="B7222" s="73"/>
    </row>
    <row r="7223" spans="2:2" x14ac:dyDescent="0.25">
      <c r="B7223" s="73"/>
    </row>
    <row r="7224" spans="2:2" x14ac:dyDescent="0.25">
      <c r="B7224" s="73"/>
    </row>
    <row r="7225" spans="2:2" x14ac:dyDescent="0.25">
      <c r="B7225" s="73"/>
    </row>
    <row r="7226" spans="2:2" x14ac:dyDescent="0.25">
      <c r="B7226" s="73"/>
    </row>
    <row r="7227" spans="2:2" x14ac:dyDescent="0.25">
      <c r="B7227" s="73"/>
    </row>
    <row r="7228" spans="2:2" x14ac:dyDescent="0.25">
      <c r="B7228" s="73"/>
    </row>
    <row r="7229" spans="2:2" x14ac:dyDescent="0.25">
      <c r="B7229" s="73"/>
    </row>
    <row r="7230" spans="2:2" x14ac:dyDescent="0.25">
      <c r="B7230" s="73"/>
    </row>
    <row r="7231" spans="2:2" x14ac:dyDescent="0.25">
      <c r="B7231" s="73"/>
    </row>
    <row r="7232" spans="2:2" x14ac:dyDescent="0.25">
      <c r="B7232" s="73"/>
    </row>
    <row r="7233" spans="2:2" x14ac:dyDescent="0.25">
      <c r="B7233" s="73"/>
    </row>
    <row r="7234" spans="2:2" x14ac:dyDescent="0.25">
      <c r="B7234" s="73"/>
    </row>
    <row r="7235" spans="2:2" x14ac:dyDescent="0.25">
      <c r="B7235" s="73"/>
    </row>
    <row r="7236" spans="2:2" x14ac:dyDescent="0.25">
      <c r="B7236" s="73"/>
    </row>
    <row r="7237" spans="2:2" x14ac:dyDescent="0.25">
      <c r="B7237" s="73"/>
    </row>
    <row r="7238" spans="2:2" x14ac:dyDescent="0.25">
      <c r="B7238" s="73"/>
    </row>
    <row r="7239" spans="2:2" x14ac:dyDescent="0.25">
      <c r="B7239" s="73"/>
    </row>
    <row r="7240" spans="2:2" x14ac:dyDescent="0.25">
      <c r="B7240" s="73"/>
    </row>
    <row r="7241" spans="2:2" x14ac:dyDescent="0.25">
      <c r="B7241" s="73"/>
    </row>
    <row r="7242" spans="2:2" x14ac:dyDescent="0.25">
      <c r="B7242" s="73"/>
    </row>
    <row r="7243" spans="2:2" x14ac:dyDescent="0.25">
      <c r="B7243" s="73"/>
    </row>
    <row r="7244" spans="2:2" x14ac:dyDescent="0.25">
      <c r="B7244" s="73"/>
    </row>
    <row r="7245" spans="2:2" x14ac:dyDescent="0.25">
      <c r="B7245" s="73"/>
    </row>
    <row r="7246" spans="2:2" x14ac:dyDescent="0.25">
      <c r="B7246" s="73"/>
    </row>
    <row r="7247" spans="2:2" x14ac:dyDescent="0.25">
      <c r="B7247" s="73"/>
    </row>
    <row r="7248" spans="2:2" x14ac:dyDescent="0.25">
      <c r="B7248" s="73"/>
    </row>
    <row r="7249" spans="2:2" x14ac:dyDescent="0.25">
      <c r="B7249" s="73"/>
    </row>
    <row r="7250" spans="2:2" x14ac:dyDescent="0.25">
      <c r="B7250" s="73"/>
    </row>
    <row r="7251" spans="2:2" x14ac:dyDescent="0.25">
      <c r="B7251" s="73"/>
    </row>
    <row r="7252" spans="2:2" x14ac:dyDescent="0.25">
      <c r="B7252" s="73"/>
    </row>
    <row r="7253" spans="2:2" x14ac:dyDescent="0.25">
      <c r="B7253" s="73"/>
    </row>
    <row r="7254" spans="2:2" x14ac:dyDescent="0.25">
      <c r="B7254" s="73"/>
    </row>
    <row r="7255" spans="2:2" x14ac:dyDescent="0.25">
      <c r="B7255" s="73"/>
    </row>
    <row r="7256" spans="2:2" x14ac:dyDescent="0.25">
      <c r="B7256" s="73"/>
    </row>
    <row r="7257" spans="2:2" x14ac:dyDescent="0.25">
      <c r="B7257" s="73"/>
    </row>
    <row r="7258" spans="2:2" x14ac:dyDescent="0.25">
      <c r="B7258" s="73"/>
    </row>
    <row r="7259" spans="2:2" x14ac:dyDescent="0.25">
      <c r="B7259" s="73"/>
    </row>
    <row r="7260" spans="2:2" x14ac:dyDescent="0.25">
      <c r="B7260" s="73"/>
    </row>
    <row r="7261" spans="2:2" x14ac:dyDescent="0.25">
      <c r="B7261" s="73"/>
    </row>
    <row r="7262" spans="2:2" x14ac:dyDescent="0.25">
      <c r="B7262" s="73"/>
    </row>
    <row r="7263" spans="2:2" x14ac:dyDescent="0.25">
      <c r="B7263" s="73"/>
    </row>
    <row r="7264" spans="2:2" x14ac:dyDescent="0.25">
      <c r="B7264" s="73"/>
    </row>
    <row r="7265" spans="2:2" x14ac:dyDescent="0.25">
      <c r="B7265" s="73"/>
    </row>
    <row r="7266" spans="2:2" x14ac:dyDescent="0.25">
      <c r="B7266" s="73"/>
    </row>
    <row r="7267" spans="2:2" x14ac:dyDescent="0.25">
      <c r="B7267" s="73"/>
    </row>
    <row r="7268" spans="2:2" x14ac:dyDescent="0.25">
      <c r="B7268" s="73"/>
    </row>
    <row r="7269" spans="2:2" x14ac:dyDescent="0.25">
      <c r="B7269" s="73"/>
    </row>
    <row r="7270" spans="2:2" x14ac:dyDescent="0.25">
      <c r="B7270" s="73"/>
    </row>
    <row r="7271" spans="2:2" x14ac:dyDescent="0.25">
      <c r="B7271" s="73"/>
    </row>
    <row r="7272" spans="2:2" x14ac:dyDescent="0.25">
      <c r="B7272" s="73"/>
    </row>
    <row r="7273" spans="2:2" x14ac:dyDescent="0.25">
      <c r="B7273" s="73"/>
    </row>
    <row r="7274" spans="2:2" x14ac:dyDescent="0.25">
      <c r="B7274" s="73"/>
    </row>
    <row r="7275" spans="2:2" x14ac:dyDescent="0.25">
      <c r="B7275" s="73"/>
    </row>
    <row r="7276" spans="2:2" x14ac:dyDescent="0.25">
      <c r="B7276" s="73"/>
    </row>
    <row r="7277" spans="2:2" x14ac:dyDescent="0.25">
      <c r="B7277" s="73"/>
    </row>
    <row r="7278" spans="2:2" x14ac:dyDescent="0.25">
      <c r="B7278" s="73"/>
    </row>
    <row r="7279" spans="2:2" x14ac:dyDescent="0.25">
      <c r="B7279" s="73"/>
    </row>
    <row r="7280" spans="2:2" x14ac:dyDescent="0.25">
      <c r="B7280" s="73"/>
    </row>
    <row r="7281" spans="2:2" x14ac:dyDescent="0.25">
      <c r="B7281" s="73"/>
    </row>
    <row r="7282" spans="2:2" x14ac:dyDescent="0.25">
      <c r="B7282" s="73"/>
    </row>
    <row r="7283" spans="2:2" x14ac:dyDescent="0.25">
      <c r="B7283" s="73"/>
    </row>
    <row r="7284" spans="2:2" x14ac:dyDescent="0.25">
      <c r="B7284" s="73"/>
    </row>
    <row r="7285" spans="2:2" x14ac:dyDescent="0.25">
      <c r="B7285" s="73"/>
    </row>
    <row r="7286" spans="2:2" x14ac:dyDescent="0.25">
      <c r="B7286" s="73"/>
    </row>
    <row r="7287" spans="2:2" x14ac:dyDescent="0.25">
      <c r="B7287" s="73"/>
    </row>
    <row r="7288" spans="2:2" x14ac:dyDescent="0.25">
      <c r="B7288" s="73"/>
    </row>
    <row r="7289" spans="2:2" x14ac:dyDescent="0.25">
      <c r="B7289" s="73"/>
    </row>
    <row r="7290" spans="2:2" x14ac:dyDescent="0.25">
      <c r="B7290" s="73"/>
    </row>
    <row r="7291" spans="2:2" x14ac:dyDescent="0.25">
      <c r="B7291" s="73"/>
    </row>
    <row r="7292" spans="2:2" x14ac:dyDescent="0.25">
      <c r="B7292" s="73"/>
    </row>
    <row r="7293" spans="2:2" x14ac:dyDescent="0.25">
      <c r="B7293" s="73"/>
    </row>
    <row r="7294" spans="2:2" x14ac:dyDescent="0.25">
      <c r="B7294" s="73"/>
    </row>
    <row r="7295" spans="2:2" x14ac:dyDescent="0.25">
      <c r="B7295" s="73"/>
    </row>
    <row r="7296" spans="2:2" x14ac:dyDescent="0.25">
      <c r="B7296" s="73"/>
    </row>
    <row r="7297" spans="2:2" x14ac:dyDescent="0.25">
      <c r="B7297" s="73"/>
    </row>
    <row r="7298" spans="2:2" x14ac:dyDescent="0.25">
      <c r="B7298" s="73"/>
    </row>
    <row r="7299" spans="2:2" x14ac:dyDescent="0.25">
      <c r="B7299" s="73"/>
    </row>
    <row r="7300" spans="2:2" x14ac:dyDescent="0.25">
      <c r="B7300" s="73"/>
    </row>
    <row r="7301" spans="2:2" x14ac:dyDescent="0.25">
      <c r="B7301" s="73"/>
    </row>
    <row r="7302" spans="2:2" x14ac:dyDescent="0.25">
      <c r="B7302" s="73"/>
    </row>
    <row r="7303" spans="2:2" x14ac:dyDescent="0.25">
      <c r="B7303" s="73"/>
    </row>
    <row r="7304" spans="2:2" x14ac:dyDescent="0.25">
      <c r="B7304" s="73"/>
    </row>
    <row r="7305" spans="2:2" x14ac:dyDescent="0.25">
      <c r="B7305" s="73"/>
    </row>
    <row r="7306" spans="2:2" x14ac:dyDescent="0.25">
      <c r="B7306" s="73"/>
    </row>
    <row r="7307" spans="2:2" x14ac:dyDescent="0.25">
      <c r="B7307" s="73"/>
    </row>
    <row r="7308" spans="2:2" x14ac:dyDescent="0.25">
      <c r="B7308" s="73"/>
    </row>
    <row r="7309" spans="2:2" x14ac:dyDescent="0.25">
      <c r="B7309" s="73"/>
    </row>
    <row r="7310" spans="2:2" x14ac:dyDescent="0.25">
      <c r="B7310" s="73"/>
    </row>
    <row r="7311" spans="2:2" x14ac:dyDescent="0.25">
      <c r="B7311" s="73"/>
    </row>
    <row r="7312" spans="2:2" x14ac:dyDescent="0.25">
      <c r="B7312" s="73"/>
    </row>
    <row r="7313" spans="2:2" x14ac:dyDescent="0.25">
      <c r="B7313" s="73"/>
    </row>
    <row r="7314" spans="2:2" x14ac:dyDescent="0.25">
      <c r="B7314" s="73"/>
    </row>
    <row r="7315" spans="2:2" x14ac:dyDescent="0.25">
      <c r="B7315" s="73"/>
    </row>
    <row r="7316" spans="2:2" x14ac:dyDescent="0.25">
      <c r="B7316" s="73"/>
    </row>
    <row r="7317" spans="2:2" x14ac:dyDescent="0.25">
      <c r="B7317" s="73"/>
    </row>
    <row r="7318" spans="2:2" x14ac:dyDescent="0.25">
      <c r="B7318" s="73"/>
    </row>
    <row r="7319" spans="2:2" x14ac:dyDescent="0.25">
      <c r="B7319" s="73"/>
    </row>
    <row r="7320" spans="2:2" x14ac:dyDescent="0.25">
      <c r="B7320" s="73"/>
    </row>
    <row r="7321" spans="2:2" x14ac:dyDescent="0.25">
      <c r="B7321" s="73"/>
    </row>
    <row r="7322" spans="2:2" x14ac:dyDescent="0.25">
      <c r="B7322" s="73"/>
    </row>
    <row r="7323" spans="2:2" x14ac:dyDescent="0.25">
      <c r="B7323" s="73"/>
    </row>
    <row r="7324" spans="2:2" x14ac:dyDescent="0.25">
      <c r="B7324" s="73"/>
    </row>
    <row r="7325" spans="2:2" x14ac:dyDescent="0.25">
      <c r="B7325" s="73"/>
    </row>
    <row r="7326" spans="2:2" x14ac:dyDescent="0.25">
      <c r="B7326" s="73"/>
    </row>
    <row r="7327" spans="2:2" x14ac:dyDescent="0.25">
      <c r="B7327" s="73"/>
    </row>
    <row r="7328" spans="2:2" x14ac:dyDescent="0.25">
      <c r="B7328" s="73"/>
    </row>
    <row r="7329" spans="2:2" x14ac:dyDescent="0.25">
      <c r="B7329" s="73"/>
    </row>
    <row r="7330" spans="2:2" x14ac:dyDescent="0.25">
      <c r="B7330" s="73"/>
    </row>
    <row r="7331" spans="2:2" x14ac:dyDescent="0.25">
      <c r="B7331" s="73"/>
    </row>
    <row r="7332" spans="2:2" x14ac:dyDescent="0.25">
      <c r="B7332" s="73"/>
    </row>
    <row r="7333" spans="2:2" x14ac:dyDescent="0.25">
      <c r="B7333" s="73"/>
    </row>
    <row r="7334" spans="2:2" x14ac:dyDescent="0.25">
      <c r="B7334" s="73"/>
    </row>
    <row r="7335" spans="2:2" x14ac:dyDescent="0.25">
      <c r="B7335" s="73"/>
    </row>
    <row r="7336" spans="2:2" x14ac:dyDescent="0.25">
      <c r="B7336" s="73"/>
    </row>
    <row r="7337" spans="2:2" x14ac:dyDescent="0.25">
      <c r="B7337" s="73"/>
    </row>
    <row r="7338" spans="2:2" x14ac:dyDescent="0.25">
      <c r="B7338" s="73"/>
    </row>
    <row r="7339" spans="2:2" x14ac:dyDescent="0.25">
      <c r="B7339" s="73"/>
    </row>
    <row r="7340" spans="2:2" x14ac:dyDescent="0.25">
      <c r="B7340" s="73"/>
    </row>
    <row r="7341" spans="2:2" x14ac:dyDescent="0.25">
      <c r="B7341" s="73"/>
    </row>
    <row r="7342" spans="2:2" x14ac:dyDescent="0.25">
      <c r="B7342" s="73"/>
    </row>
    <row r="7343" spans="2:2" x14ac:dyDescent="0.25">
      <c r="B7343" s="73"/>
    </row>
    <row r="7344" spans="2:2" x14ac:dyDescent="0.25">
      <c r="B7344" s="73"/>
    </row>
    <row r="7345" spans="2:2" x14ac:dyDescent="0.25">
      <c r="B7345" s="73"/>
    </row>
    <row r="7346" spans="2:2" x14ac:dyDescent="0.25">
      <c r="B7346" s="73"/>
    </row>
    <row r="7347" spans="2:2" x14ac:dyDescent="0.25">
      <c r="B7347" s="73"/>
    </row>
    <row r="7348" spans="2:2" x14ac:dyDescent="0.25">
      <c r="B7348" s="73"/>
    </row>
    <row r="7349" spans="2:2" x14ac:dyDescent="0.25">
      <c r="B7349" s="73"/>
    </row>
    <row r="7350" spans="2:2" x14ac:dyDescent="0.25">
      <c r="B7350" s="73"/>
    </row>
    <row r="7351" spans="2:2" x14ac:dyDescent="0.25">
      <c r="B7351" s="73"/>
    </row>
    <row r="7352" spans="2:2" x14ac:dyDescent="0.25">
      <c r="B7352" s="73"/>
    </row>
    <row r="7353" spans="2:2" x14ac:dyDescent="0.25">
      <c r="B7353" s="73"/>
    </row>
    <row r="7354" spans="2:2" x14ac:dyDescent="0.25">
      <c r="B7354" s="73"/>
    </row>
    <row r="7355" spans="2:2" x14ac:dyDescent="0.25">
      <c r="B7355" s="73"/>
    </row>
    <row r="7356" spans="2:2" x14ac:dyDescent="0.25">
      <c r="B7356" s="73"/>
    </row>
    <row r="7357" spans="2:2" x14ac:dyDescent="0.25">
      <c r="B7357" s="73"/>
    </row>
    <row r="7358" spans="2:2" x14ac:dyDescent="0.25">
      <c r="B7358" s="73"/>
    </row>
    <row r="7359" spans="2:2" x14ac:dyDescent="0.25">
      <c r="B7359" s="73"/>
    </row>
    <row r="7360" spans="2:2" x14ac:dyDescent="0.25">
      <c r="B7360" s="73"/>
    </row>
    <row r="7361" spans="2:2" x14ac:dyDescent="0.25">
      <c r="B7361" s="73"/>
    </row>
    <row r="7362" spans="2:2" x14ac:dyDescent="0.25">
      <c r="B7362" s="73"/>
    </row>
    <row r="7363" spans="2:2" x14ac:dyDescent="0.25">
      <c r="B7363" s="73"/>
    </row>
    <row r="7364" spans="2:2" x14ac:dyDescent="0.25">
      <c r="B7364" s="73"/>
    </row>
    <row r="7365" spans="2:2" x14ac:dyDescent="0.25">
      <c r="B7365" s="73"/>
    </row>
    <row r="7366" spans="2:2" x14ac:dyDescent="0.25">
      <c r="B7366" s="73"/>
    </row>
    <row r="7367" spans="2:2" x14ac:dyDescent="0.25">
      <c r="B7367" s="73"/>
    </row>
    <row r="7368" spans="2:2" x14ac:dyDescent="0.25">
      <c r="B7368" s="73"/>
    </row>
    <row r="7369" spans="2:2" x14ac:dyDescent="0.25">
      <c r="B7369" s="73"/>
    </row>
    <row r="7370" spans="2:2" x14ac:dyDescent="0.25">
      <c r="B7370" s="73"/>
    </row>
    <row r="7371" spans="2:2" x14ac:dyDescent="0.25">
      <c r="B7371" s="73"/>
    </row>
    <row r="7372" spans="2:2" x14ac:dyDescent="0.25">
      <c r="B7372" s="73"/>
    </row>
    <row r="7373" spans="2:2" x14ac:dyDescent="0.25">
      <c r="B7373" s="73"/>
    </row>
    <row r="7374" spans="2:2" x14ac:dyDescent="0.25">
      <c r="B7374" s="73"/>
    </row>
    <row r="7375" spans="2:2" x14ac:dyDescent="0.25">
      <c r="B7375" s="73"/>
    </row>
    <row r="7376" spans="2:2" x14ac:dyDescent="0.25">
      <c r="B7376" s="73"/>
    </row>
    <row r="7377" spans="2:2" x14ac:dyDescent="0.25">
      <c r="B7377" s="73"/>
    </row>
    <row r="7378" spans="2:2" x14ac:dyDescent="0.25">
      <c r="B7378" s="73"/>
    </row>
    <row r="7379" spans="2:2" x14ac:dyDescent="0.25">
      <c r="B7379" s="73"/>
    </row>
    <row r="7380" spans="2:2" x14ac:dyDescent="0.25">
      <c r="B7380" s="73"/>
    </row>
    <row r="7381" spans="2:2" x14ac:dyDescent="0.25">
      <c r="B7381" s="73"/>
    </row>
    <row r="7382" spans="2:2" x14ac:dyDescent="0.25">
      <c r="B7382" s="73"/>
    </row>
    <row r="7383" spans="2:2" x14ac:dyDescent="0.25">
      <c r="B7383" s="73"/>
    </row>
    <row r="7384" spans="2:2" x14ac:dyDescent="0.25">
      <c r="B7384" s="73"/>
    </row>
    <row r="7385" spans="2:2" x14ac:dyDescent="0.25">
      <c r="B7385" s="73"/>
    </row>
    <row r="7386" spans="2:2" x14ac:dyDescent="0.25">
      <c r="B7386" s="73"/>
    </row>
    <row r="7387" spans="2:2" x14ac:dyDescent="0.25">
      <c r="B7387" s="73"/>
    </row>
    <row r="7388" spans="2:2" x14ac:dyDescent="0.25">
      <c r="B7388" s="73"/>
    </row>
    <row r="7389" spans="2:2" x14ac:dyDescent="0.25">
      <c r="B7389" s="73"/>
    </row>
    <row r="7390" spans="2:2" x14ac:dyDescent="0.25">
      <c r="B7390" s="73"/>
    </row>
    <row r="7391" spans="2:2" x14ac:dyDescent="0.25">
      <c r="B7391" s="73"/>
    </row>
    <row r="7392" spans="2:2" x14ac:dyDescent="0.25">
      <c r="B7392" s="73"/>
    </row>
    <row r="7393" spans="2:2" x14ac:dyDescent="0.25">
      <c r="B7393" s="73"/>
    </row>
    <row r="7394" spans="2:2" x14ac:dyDescent="0.25">
      <c r="B7394" s="73"/>
    </row>
    <row r="7395" spans="2:2" x14ac:dyDescent="0.25">
      <c r="B7395" s="73"/>
    </row>
    <row r="7396" spans="2:2" x14ac:dyDescent="0.25">
      <c r="B7396" s="73"/>
    </row>
    <row r="7397" spans="2:2" x14ac:dyDescent="0.25">
      <c r="B7397" s="73"/>
    </row>
    <row r="7398" spans="2:2" x14ac:dyDescent="0.25">
      <c r="B7398" s="73"/>
    </row>
    <row r="7399" spans="2:2" x14ac:dyDescent="0.25">
      <c r="B7399" s="73"/>
    </row>
    <row r="7400" spans="2:2" x14ac:dyDescent="0.25">
      <c r="B7400" s="73"/>
    </row>
    <row r="7401" spans="2:2" x14ac:dyDescent="0.25">
      <c r="B7401" s="73"/>
    </row>
    <row r="7402" spans="2:2" x14ac:dyDescent="0.25">
      <c r="B7402" s="73"/>
    </row>
    <row r="7403" spans="2:2" x14ac:dyDescent="0.25">
      <c r="B7403" s="73"/>
    </row>
    <row r="7404" spans="2:2" x14ac:dyDescent="0.25">
      <c r="B7404" s="73"/>
    </row>
    <row r="7405" spans="2:2" x14ac:dyDescent="0.25">
      <c r="B7405" s="73"/>
    </row>
    <row r="7406" spans="2:2" x14ac:dyDescent="0.25">
      <c r="B7406" s="73"/>
    </row>
    <row r="7407" spans="2:2" x14ac:dyDescent="0.25">
      <c r="B7407" s="73"/>
    </row>
    <row r="7408" spans="2:2" x14ac:dyDescent="0.25">
      <c r="B7408" s="73"/>
    </row>
    <row r="7409" spans="2:2" x14ac:dyDescent="0.25">
      <c r="B7409" s="73"/>
    </row>
    <row r="7410" spans="2:2" x14ac:dyDescent="0.25">
      <c r="B7410" s="73"/>
    </row>
    <row r="7411" spans="2:2" x14ac:dyDescent="0.25">
      <c r="B7411" s="73"/>
    </row>
    <row r="7412" spans="2:2" x14ac:dyDescent="0.25">
      <c r="B7412" s="73"/>
    </row>
    <row r="7413" spans="2:2" x14ac:dyDescent="0.25">
      <c r="B7413" s="73"/>
    </row>
    <row r="7414" spans="2:2" x14ac:dyDescent="0.25">
      <c r="B7414" s="73"/>
    </row>
    <row r="7415" spans="2:2" x14ac:dyDescent="0.25">
      <c r="B7415" s="73"/>
    </row>
    <row r="7416" spans="2:2" x14ac:dyDescent="0.25">
      <c r="B7416" s="73"/>
    </row>
    <row r="7417" spans="2:2" x14ac:dyDescent="0.25">
      <c r="B7417" s="73"/>
    </row>
    <row r="7418" spans="2:2" x14ac:dyDescent="0.25">
      <c r="B7418" s="73"/>
    </row>
    <row r="7419" spans="2:2" x14ac:dyDescent="0.25">
      <c r="B7419" s="73"/>
    </row>
    <row r="7420" spans="2:2" x14ac:dyDescent="0.25">
      <c r="B7420" s="73"/>
    </row>
    <row r="7421" spans="2:2" x14ac:dyDescent="0.25">
      <c r="B7421" s="73"/>
    </row>
    <row r="7422" spans="2:2" x14ac:dyDescent="0.25">
      <c r="B7422" s="73"/>
    </row>
    <row r="7423" spans="2:2" x14ac:dyDescent="0.25">
      <c r="B7423" s="73"/>
    </row>
    <row r="7424" spans="2:2" x14ac:dyDescent="0.25">
      <c r="B7424" s="73"/>
    </row>
    <row r="7425" spans="2:2" x14ac:dyDescent="0.25">
      <c r="B7425" s="73"/>
    </row>
    <row r="7426" spans="2:2" x14ac:dyDescent="0.25">
      <c r="B7426" s="73"/>
    </row>
    <row r="7427" spans="2:2" x14ac:dyDescent="0.25">
      <c r="B7427" s="73"/>
    </row>
    <row r="7428" spans="2:2" x14ac:dyDescent="0.25">
      <c r="B7428" s="73"/>
    </row>
    <row r="7429" spans="2:2" x14ac:dyDescent="0.25">
      <c r="B7429" s="73"/>
    </row>
    <row r="7430" spans="2:2" x14ac:dyDescent="0.25">
      <c r="B7430" s="73"/>
    </row>
    <row r="7431" spans="2:2" x14ac:dyDescent="0.25">
      <c r="B7431" s="73"/>
    </row>
    <row r="7432" spans="2:2" x14ac:dyDescent="0.25">
      <c r="B7432" s="73"/>
    </row>
    <row r="7433" spans="2:2" x14ac:dyDescent="0.25">
      <c r="B7433" s="73"/>
    </row>
    <row r="7434" spans="2:2" x14ac:dyDescent="0.25">
      <c r="B7434" s="73"/>
    </row>
    <row r="7435" spans="2:2" x14ac:dyDescent="0.25">
      <c r="B7435" s="73"/>
    </row>
    <row r="7436" spans="2:2" x14ac:dyDescent="0.25">
      <c r="B7436" s="73"/>
    </row>
    <row r="7437" spans="2:2" x14ac:dyDescent="0.25">
      <c r="B7437" s="73"/>
    </row>
    <row r="7438" spans="2:2" x14ac:dyDescent="0.25">
      <c r="B7438" s="73"/>
    </row>
    <row r="7439" spans="2:2" x14ac:dyDescent="0.25">
      <c r="B7439" s="73"/>
    </row>
    <row r="7440" spans="2:2" x14ac:dyDescent="0.25">
      <c r="B7440" s="73"/>
    </row>
    <row r="7441" spans="2:2" x14ac:dyDescent="0.25">
      <c r="B7441" s="73"/>
    </row>
    <row r="7442" spans="2:2" x14ac:dyDescent="0.25">
      <c r="B7442" s="73"/>
    </row>
    <row r="7443" spans="2:2" x14ac:dyDescent="0.25">
      <c r="B7443" s="73"/>
    </row>
    <row r="7444" spans="2:2" x14ac:dyDescent="0.25">
      <c r="B7444" s="73"/>
    </row>
    <row r="7445" spans="2:2" x14ac:dyDescent="0.25">
      <c r="B7445" s="73"/>
    </row>
    <row r="7446" spans="2:2" x14ac:dyDescent="0.25">
      <c r="B7446" s="73"/>
    </row>
    <row r="7447" spans="2:2" x14ac:dyDescent="0.25">
      <c r="B7447" s="73"/>
    </row>
    <row r="7448" spans="2:2" x14ac:dyDescent="0.25">
      <c r="B7448" s="73"/>
    </row>
    <row r="7449" spans="2:2" x14ac:dyDescent="0.25">
      <c r="B7449" s="73"/>
    </row>
    <row r="7450" spans="2:2" x14ac:dyDescent="0.25">
      <c r="B7450" s="73"/>
    </row>
    <row r="7451" spans="2:2" x14ac:dyDescent="0.25">
      <c r="B7451" s="73"/>
    </row>
    <row r="7452" spans="2:2" x14ac:dyDescent="0.25">
      <c r="B7452" s="73"/>
    </row>
    <row r="7453" spans="2:2" x14ac:dyDescent="0.25">
      <c r="B7453" s="73"/>
    </row>
    <row r="7454" spans="2:2" x14ac:dyDescent="0.25">
      <c r="B7454" s="73"/>
    </row>
    <row r="7455" spans="2:2" x14ac:dyDescent="0.25">
      <c r="B7455" s="73"/>
    </row>
    <row r="7456" spans="2:2" x14ac:dyDescent="0.25">
      <c r="B7456" s="73"/>
    </row>
    <row r="7457" spans="2:2" x14ac:dyDescent="0.25">
      <c r="B7457" s="73"/>
    </row>
    <row r="7458" spans="2:2" x14ac:dyDescent="0.25">
      <c r="B7458" s="73"/>
    </row>
    <row r="7459" spans="2:2" x14ac:dyDescent="0.25">
      <c r="B7459" s="73"/>
    </row>
    <row r="7460" spans="2:2" x14ac:dyDescent="0.25">
      <c r="B7460" s="73"/>
    </row>
    <row r="7461" spans="2:2" x14ac:dyDescent="0.25">
      <c r="B7461" s="73"/>
    </row>
    <row r="7462" spans="2:2" x14ac:dyDescent="0.25">
      <c r="B7462" s="73"/>
    </row>
    <row r="7463" spans="2:2" x14ac:dyDescent="0.25">
      <c r="B7463" s="73"/>
    </row>
    <row r="7464" spans="2:2" x14ac:dyDescent="0.25">
      <c r="B7464" s="73"/>
    </row>
    <row r="7465" spans="2:2" x14ac:dyDescent="0.25">
      <c r="B7465" s="73"/>
    </row>
    <row r="7466" spans="2:2" x14ac:dyDescent="0.25">
      <c r="B7466" s="73"/>
    </row>
    <row r="7467" spans="2:2" x14ac:dyDescent="0.25">
      <c r="B7467" s="73"/>
    </row>
    <row r="7468" spans="2:2" x14ac:dyDescent="0.25">
      <c r="B7468" s="73"/>
    </row>
    <row r="7469" spans="2:2" x14ac:dyDescent="0.25">
      <c r="B7469" s="73"/>
    </row>
    <row r="7470" spans="2:2" x14ac:dyDescent="0.25">
      <c r="B7470" s="73"/>
    </row>
    <row r="7471" spans="2:2" x14ac:dyDescent="0.25">
      <c r="B7471" s="73"/>
    </row>
    <row r="7472" spans="2:2" x14ac:dyDescent="0.25">
      <c r="B7472" s="73"/>
    </row>
    <row r="7473" spans="2:2" x14ac:dyDescent="0.25">
      <c r="B7473" s="73"/>
    </row>
    <row r="7474" spans="2:2" x14ac:dyDescent="0.25">
      <c r="B7474" s="73"/>
    </row>
    <row r="7475" spans="2:2" x14ac:dyDescent="0.25">
      <c r="B7475" s="73"/>
    </row>
    <row r="7476" spans="2:2" x14ac:dyDescent="0.25">
      <c r="B7476" s="73"/>
    </row>
    <row r="7477" spans="2:2" x14ac:dyDescent="0.25">
      <c r="B7477" s="73"/>
    </row>
    <row r="7478" spans="2:2" x14ac:dyDescent="0.25">
      <c r="B7478" s="73"/>
    </row>
    <row r="7479" spans="2:2" x14ac:dyDescent="0.25">
      <c r="B7479" s="73"/>
    </row>
    <row r="7480" spans="2:2" x14ac:dyDescent="0.25">
      <c r="B7480" s="73"/>
    </row>
    <row r="7481" spans="2:2" x14ac:dyDescent="0.25">
      <c r="B7481" s="73"/>
    </row>
    <row r="7482" spans="2:2" x14ac:dyDescent="0.25">
      <c r="B7482" s="73"/>
    </row>
    <row r="7483" spans="2:2" x14ac:dyDescent="0.25">
      <c r="B7483" s="73"/>
    </row>
    <row r="7484" spans="2:2" x14ac:dyDescent="0.25">
      <c r="B7484" s="73"/>
    </row>
    <row r="7485" spans="2:2" x14ac:dyDescent="0.25">
      <c r="B7485" s="73"/>
    </row>
    <row r="7486" spans="2:2" x14ac:dyDescent="0.25">
      <c r="B7486" s="73"/>
    </row>
    <row r="7487" spans="2:2" x14ac:dyDescent="0.25">
      <c r="B7487" s="73"/>
    </row>
    <row r="7488" spans="2:2" x14ac:dyDescent="0.25">
      <c r="B7488" s="73"/>
    </row>
    <row r="7489" spans="2:2" x14ac:dyDescent="0.25">
      <c r="B7489" s="73"/>
    </row>
    <row r="7490" spans="2:2" x14ac:dyDescent="0.25">
      <c r="B7490" s="73"/>
    </row>
    <row r="7491" spans="2:2" x14ac:dyDescent="0.25">
      <c r="B7491" s="73"/>
    </row>
    <row r="7492" spans="2:2" x14ac:dyDescent="0.25">
      <c r="B7492" s="73"/>
    </row>
    <row r="7493" spans="2:2" x14ac:dyDescent="0.25">
      <c r="B7493" s="73"/>
    </row>
    <row r="7494" spans="2:2" x14ac:dyDescent="0.25">
      <c r="B7494" s="73"/>
    </row>
    <row r="7495" spans="2:2" x14ac:dyDescent="0.25">
      <c r="B7495" s="73"/>
    </row>
    <row r="7496" spans="2:2" x14ac:dyDescent="0.25">
      <c r="B7496" s="73"/>
    </row>
    <row r="7497" spans="2:2" x14ac:dyDescent="0.25">
      <c r="B7497" s="73"/>
    </row>
    <row r="7498" spans="2:2" x14ac:dyDescent="0.25">
      <c r="B7498" s="73"/>
    </row>
    <row r="7499" spans="2:2" x14ac:dyDescent="0.25">
      <c r="B7499" s="73"/>
    </row>
    <row r="7500" spans="2:2" x14ac:dyDescent="0.25">
      <c r="B7500" s="73"/>
    </row>
    <row r="7501" spans="2:2" x14ac:dyDescent="0.25">
      <c r="B7501" s="73"/>
    </row>
    <row r="7502" spans="2:2" x14ac:dyDescent="0.25">
      <c r="B7502" s="73"/>
    </row>
    <row r="7503" spans="2:2" x14ac:dyDescent="0.25">
      <c r="B7503" s="73"/>
    </row>
    <row r="7504" spans="2:2" x14ac:dyDescent="0.25">
      <c r="B7504" s="73"/>
    </row>
    <row r="7505" spans="2:2" x14ac:dyDescent="0.25">
      <c r="B7505" s="73"/>
    </row>
    <row r="7506" spans="2:2" x14ac:dyDescent="0.25">
      <c r="B7506" s="73"/>
    </row>
    <row r="7507" spans="2:2" x14ac:dyDescent="0.25">
      <c r="B7507" s="73"/>
    </row>
    <row r="7508" spans="2:2" x14ac:dyDescent="0.25">
      <c r="B7508" s="73"/>
    </row>
    <row r="7509" spans="2:2" x14ac:dyDescent="0.25">
      <c r="B7509" s="73"/>
    </row>
    <row r="7510" spans="2:2" x14ac:dyDescent="0.25">
      <c r="B7510" s="73"/>
    </row>
    <row r="7511" spans="2:2" x14ac:dyDescent="0.25">
      <c r="B7511" s="73"/>
    </row>
    <row r="7512" spans="2:2" x14ac:dyDescent="0.25">
      <c r="B7512" s="73"/>
    </row>
    <row r="7513" spans="2:2" x14ac:dyDescent="0.25">
      <c r="B7513" s="73"/>
    </row>
    <row r="7514" spans="2:2" x14ac:dyDescent="0.25">
      <c r="B7514" s="73"/>
    </row>
    <row r="7515" spans="2:2" x14ac:dyDescent="0.25">
      <c r="B7515" s="73"/>
    </row>
    <row r="7516" spans="2:2" x14ac:dyDescent="0.25">
      <c r="B7516" s="73"/>
    </row>
    <row r="7517" spans="2:2" x14ac:dyDescent="0.25">
      <c r="B7517" s="73"/>
    </row>
    <row r="7518" spans="2:2" x14ac:dyDescent="0.25">
      <c r="B7518" s="73"/>
    </row>
    <row r="7519" spans="2:2" x14ac:dyDescent="0.25">
      <c r="B7519" s="73"/>
    </row>
    <row r="7520" spans="2:2" x14ac:dyDescent="0.25">
      <c r="B7520" s="73"/>
    </row>
    <row r="7521" spans="2:2" x14ac:dyDescent="0.25">
      <c r="B7521" s="73"/>
    </row>
    <row r="7522" spans="2:2" x14ac:dyDescent="0.25">
      <c r="B7522" s="73"/>
    </row>
    <row r="7523" spans="2:2" x14ac:dyDescent="0.25">
      <c r="B7523" s="73"/>
    </row>
    <row r="7524" spans="2:2" x14ac:dyDescent="0.25">
      <c r="B7524" s="73"/>
    </row>
    <row r="7525" spans="2:2" x14ac:dyDescent="0.25">
      <c r="B7525" s="73"/>
    </row>
    <row r="7526" spans="2:2" x14ac:dyDescent="0.25">
      <c r="B7526" s="73"/>
    </row>
    <row r="7527" spans="2:2" x14ac:dyDescent="0.25">
      <c r="B7527" s="73"/>
    </row>
    <row r="7528" spans="2:2" x14ac:dyDescent="0.25">
      <c r="B7528" s="73"/>
    </row>
    <row r="7529" spans="2:2" x14ac:dyDescent="0.25">
      <c r="B7529" s="73"/>
    </row>
    <row r="7530" spans="2:2" x14ac:dyDescent="0.25">
      <c r="B7530" s="73"/>
    </row>
    <row r="7531" spans="2:2" x14ac:dyDescent="0.25">
      <c r="B7531" s="73"/>
    </row>
    <row r="7532" spans="2:2" x14ac:dyDescent="0.25">
      <c r="B7532" s="73"/>
    </row>
    <row r="7533" spans="2:2" x14ac:dyDescent="0.25">
      <c r="B7533" s="73"/>
    </row>
    <row r="7534" spans="2:2" x14ac:dyDescent="0.25">
      <c r="B7534" s="73"/>
    </row>
    <row r="7535" spans="2:2" x14ac:dyDescent="0.25">
      <c r="B7535" s="73"/>
    </row>
    <row r="7536" spans="2:2" x14ac:dyDescent="0.25">
      <c r="B7536" s="73"/>
    </row>
    <row r="7537" spans="2:2" x14ac:dyDescent="0.25">
      <c r="B7537" s="73"/>
    </row>
    <row r="7538" spans="2:2" x14ac:dyDescent="0.25">
      <c r="B7538" s="73"/>
    </row>
    <row r="7539" spans="2:2" x14ac:dyDescent="0.25">
      <c r="B7539" s="73"/>
    </row>
    <row r="7540" spans="2:2" x14ac:dyDescent="0.25">
      <c r="B7540" s="73"/>
    </row>
    <row r="7541" spans="2:2" x14ac:dyDescent="0.25">
      <c r="B7541" s="73"/>
    </row>
    <row r="7542" spans="2:2" x14ac:dyDescent="0.25">
      <c r="B7542" s="73"/>
    </row>
    <row r="7543" spans="2:2" x14ac:dyDescent="0.25">
      <c r="B7543" s="73"/>
    </row>
    <row r="7544" spans="2:2" x14ac:dyDescent="0.25">
      <c r="B7544" s="73"/>
    </row>
    <row r="7545" spans="2:2" x14ac:dyDescent="0.25">
      <c r="B7545" s="73"/>
    </row>
    <row r="7546" spans="2:2" x14ac:dyDescent="0.25">
      <c r="B7546" s="73"/>
    </row>
    <row r="7547" spans="2:2" x14ac:dyDescent="0.25">
      <c r="B7547" s="73"/>
    </row>
    <row r="7548" spans="2:2" x14ac:dyDescent="0.25">
      <c r="B7548" s="73"/>
    </row>
    <row r="7549" spans="2:2" x14ac:dyDescent="0.25">
      <c r="B7549" s="73"/>
    </row>
    <row r="7550" spans="2:2" x14ac:dyDescent="0.25">
      <c r="B7550" s="73"/>
    </row>
    <row r="7551" spans="2:2" x14ac:dyDescent="0.25">
      <c r="B7551" s="73"/>
    </row>
    <row r="7552" spans="2:2" x14ac:dyDescent="0.25">
      <c r="B7552" s="73"/>
    </row>
    <row r="7553" spans="2:2" x14ac:dyDescent="0.25">
      <c r="B7553" s="73"/>
    </row>
    <row r="7554" spans="2:2" x14ac:dyDescent="0.25">
      <c r="B7554" s="73"/>
    </row>
    <row r="7555" spans="2:2" x14ac:dyDescent="0.25">
      <c r="B7555" s="73"/>
    </row>
    <row r="7556" spans="2:2" x14ac:dyDescent="0.25">
      <c r="B7556" s="73"/>
    </row>
    <row r="7557" spans="2:2" x14ac:dyDescent="0.25">
      <c r="B7557" s="73"/>
    </row>
    <row r="7558" spans="2:2" x14ac:dyDescent="0.25">
      <c r="B7558" s="73"/>
    </row>
    <row r="7559" spans="2:2" x14ac:dyDescent="0.25">
      <c r="B7559" s="73"/>
    </row>
    <row r="7560" spans="2:2" x14ac:dyDescent="0.25">
      <c r="B7560" s="73"/>
    </row>
    <row r="7561" spans="2:2" x14ac:dyDescent="0.25">
      <c r="B7561" s="73"/>
    </row>
    <row r="7562" spans="2:2" x14ac:dyDescent="0.25">
      <c r="B7562" s="73"/>
    </row>
    <row r="7563" spans="2:2" x14ac:dyDescent="0.25">
      <c r="B7563" s="73"/>
    </row>
    <row r="7564" spans="2:2" x14ac:dyDescent="0.25">
      <c r="B7564" s="73"/>
    </row>
    <row r="7565" spans="2:2" x14ac:dyDescent="0.25">
      <c r="B7565" s="73"/>
    </row>
    <row r="7566" spans="2:2" x14ac:dyDescent="0.25">
      <c r="B7566" s="73"/>
    </row>
    <row r="7567" spans="2:2" x14ac:dyDescent="0.25">
      <c r="B7567" s="73"/>
    </row>
    <row r="7568" spans="2:2" x14ac:dyDescent="0.25">
      <c r="B7568" s="73"/>
    </row>
    <row r="7569" spans="2:2" x14ac:dyDescent="0.25">
      <c r="B7569" s="73"/>
    </row>
    <row r="7570" spans="2:2" x14ac:dyDescent="0.25">
      <c r="B7570" s="73"/>
    </row>
    <row r="7571" spans="2:2" x14ac:dyDescent="0.25">
      <c r="B7571" s="73"/>
    </row>
    <row r="7572" spans="2:2" x14ac:dyDescent="0.25">
      <c r="B7572" s="73"/>
    </row>
    <row r="7573" spans="2:2" x14ac:dyDescent="0.25">
      <c r="B7573" s="73"/>
    </row>
    <row r="7574" spans="2:2" x14ac:dyDescent="0.25">
      <c r="B7574" s="73"/>
    </row>
    <row r="7575" spans="2:2" x14ac:dyDescent="0.25">
      <c r="B7575" s="73"/>
    </row>
    <row r="7576" spans="2:2" x14ac:dyDescent="0.25">
      <c r="B7576" s="73"/>
    </row>
    <row r="7577" spans="2:2" x14ac:dyDescent="0.25">
      <c r="B7577" s="73"/>
    </row>
    <row r="7578" spans="2:2" x14ac:dyDescent="0.25">
      <c r="B7578" s="73"/>
    </row>
    <row r="7579" spans="2:2" x14ac:dyDescent="0.25">
      <c r="B7579" s="73"/>
    </row>
    <row r="7580" spans="2:2" x14ac:dyDescent="0.25">
      <c r="B7580" s="73"/>
    </row>
    <row r="7581" spans="2:2" x14ac:dyDescent="0.25">
      <c r="B7581" s="73"/>
    </row>
    <row r="7582" spans="2:2" x14ac:dyDescent="0.25">
      <c r="B7582" s="73"/>
    </row>
    <row r="7583" spans="2:2" x14ac:dyDescent="0.25">
      <c r="B7583" s="73"/>
    </row>
    <row r="7584" spans="2:2" x14ac:dyDescent="0.25">
      <c r="B7584" s="73"/>
    </row>
    <row r="7585" spans="2:2" x14ac:dyDescent="0.25">
      <c r="B7585" s="73"/>
    </row>
    <row r="7586" spans="2:2" x14ac:dyDescent="0.25">
      <c r="B7586" s="73"/>
    </row>
    <row r="7587" spans="2:2" x14ac:dyDescent="0.25">
      <c r="B7587" s="73"/>
    </row>
    <row r="7588" spans="2:2" x14ac:dyDescent="0.25">
      <c r="B7588" s="73"/>
    </row>
    <row r="7589" spans="2:2" x14ac:dyDescent="0.25">
      <c r="B7589" s="73"/>
    </row>
    <row r="7590" spans="2:2" x14ac:dyDescent="0.25">
      <c r="B7590" s="73"/>
    </row>
    <row r="7591" spans="2:2" x14ac:dyDescent="0.25">
      <c r="B7591" s="73"/>
    </row>
    <row r="7592" spans="2:2" x14ac:dyDescent="0.25">
      <c r="B7592" s="73"/>
    </row>
    <row r="7593" spans="2:2" x14ac:dyDescent="0.25">
      <c r="B7593" s="73"/>
    </row>
    <row r="7594" spans="2:2" x14ac:dyDescent="0.25">
      <c r="B7594" s="73"/>
    </row>
    <row r="7595" spans="2:2" x14ac:dyDescent="0.25">
      <c r="B7595" s="73"/>
    </row>
    <row r="7596" spans="2:2" x14ac:dyDescent="0.25">
      <c r="B7596" s="73"/>
    </row>
    <row r="7597" spans="2:2" x14ac:dyDescent="0.25">
      <c r="B7597" s="73"/>
    </row>
    <row r="7598" spans="2:2" x14ac:dyDescent="0.25">
      <c r="B7598" s="73"/>
    </row>
    <row r="7599" spans="2:2" x14ac:dyDescent="0.25">
      <c r="B7599" s="73"/>
    </row>
    <row r="7600" spans="2:2" x14ac:dyDescent="0.25">
      <c r="B7600" s="73"/>
    </row>
    <row r="7601" spans="2:2" x14ac:dyDescent="0.25">
      <c r="B7601" s="73"/>
    </row>
    <row r="7602" spans="2:2" x14ac:dyDescent="0.25">
      <c r="B7602" s="73"/>
    </row>
    <row r="7603" spans="2:2" x14ac:dyDescent="0.25">
      <c r="B7603" s="73"/>
    </row>
    <row r="7604" spans="2:2" x14ac:dyDescent="0.25">
      <c r="B7604" s="73"/>
    </row>
    <row r="7605" spans="2:2" x14ac:dyDescent="0.25">
      <c r="B7605" s="73"/>
    </row>
    <row r="7606" spans="2:2" x14ac:dyDescent="0.25">
      <c r="B7606" s="73"/>
    </row>
    <row r="7607" spans="2:2" x14ac:dyDescent="0.25">
      <c r="B7607" s="73"/>
    </row>
    <row r="7608" spans="2:2" x14ac:dyDescent="0.25">
      <c r="B7608" s="73"/>
    </row>
    <row r="7609" spans="2:2" x14ac:dyDescent="0.25">
      <c r="B7609" s="73"/>
    </row>
    <row r="7610" spans="2:2" x14ac:dyDescent="0.25">
      <c r="B7610" s="73"/>
    </row>
    <row r="7611" spans="2:2" x14ac:dyDescent="0.25">
      <c r="B7611" s="73"/>
    </row>
    <row r="7612" spans="2:2" x14ac:dyDescent="0.25">
      <c r="B7612" s="73"/>
    </row>
    <row r="7613" spans="2:2" x14ac:dyDescent="0.25">
      <c r="B7613" s="73"/>
    </row>
    <row r="7614" spans="2:2" x14ac:dyDescent="0.25">
      <c r="B7614" s="73"/>
    </row>
    <row r="7615" spans="2:2" x14ac:dyDescent="0.25">
      <c r="B7615" s="73"/>
    </row>
    <row r="7616" spans="2:2" x14ac:dyDescent="0.25">
      <c r="B7616" s="73"/>
    </row>
    <row r="7617" spans="2:2" x14ac:dyDescent="0.25">
      <c r="B7617" s="73"/>
    </row>
    <row r="7618" spans="2:2" x14ac:dyDescent="0.25">
      <c r="B7618" s="73"/>
    </row>
    <row r="7619" spans="2:2" x14ac:dyDescent="0.25">
      <c r="B7619" s="73"/>
    </row>
    <row r="7620" spans="2:2" x14ac:dyDescent="0.25">
      <c r="B7620" s="73"/>
    </row>
    <row r="7621" spans="2:2" x14ac:dyDescent="0.25">
      <c r="B7621" s="73"/>
    </row>
    <row r="7622" spans="2:2" x14ac:dyDescent="0.25">
      <c r="B7622" s="73"/>
    </row>
    <row r="7623" spans="2:2" x14ac:dyDescent="0.25">
      <c r="B7623" s="73"/>
    </row>
    <row r="7624" spans="2:2" x14ac:dyDescent="0.25">
      <c r="B7624" s="73"/>
    </row>
    <row r="7625" spans="2:2" x14ac:dyDescent="0.25">
      <c r="B7625" s="73"/>
    </row>
    <row r="7626" spans="2:2" x14ac:dyDescent="0.25">
      <c r="B7626" s="73"/>
    </row>
    <row r="7627" spans="2:2" x14ac:dyDescent="0.25">
      <c r="B7627" s="73"/>
    </row>
    <row r="7628" spans="2:2" x14ac:dyDescent="0.25">
      <c r="B7628" s="73"/>
    </row>
    <row r="7629" spans="2:2" x14ac:dyDescent="0.25">
      <c r="B7629" s="73"/>
    </row>
    <row r="7630" spans="2:2" x14ac:dyDescent="0.25">
      <c r="B7630" s="73"/>
    </row>
    <row r="7631" spans="2:2" x14ac:dyDescent="0.25">
      <c r="B7631" s="73"/>
    </row>
    <row r="7632" spans="2:2" x14ac:dyDescent="0.25">
      <c r="B7632" s="73"/>
    </row>
    <row r="7633" spans="2:2" x14ac:dyDescent="0.25">
      <c r="B7633" s="73"/>
    </row>
    <row r="7634" spans="2:2" x14ac:dyDescent="0.25">
      <c r="B7634" s="73"/>
    </row>
    <row r="7635" spans="2:2" x14ac:dyDescent="0.25">
      <c r="B7635" s="73"/>
    </row>
    <row r="7636" spans="2:2" x14ac:dyDescent="0.25">
      <c r="B7636" s="73"/>
    </row>
    <row r="7637" spans="2:2" x14ac:dyDescent="0.25">
      <c r="B7637" s="73"/>
    </row>
    <row r="7638" spans="2:2" x14ac:dyDescent="0.25">
      <c r="B7638" s="73"/>
    </row>
    <row r="7639" spans="2:2" x14ac:dyDescent="0.25">
      <c r="B7639" s="73"/>
    </row>
    <row r="7640" spans="2:2" x14ac:dyDescent="0.25">
      <c r="B7640" s="73"/>
    </row>
    <row r="7641" spans="2:2" x14ac:dyDescent="0.25">
      <c r="B7641" s="73"/>
    </row>
    <row r="7642" spans="2:2" x14ac:dyDescent="0.25">
      <c r="B7642" s="73"/>
    </row>
    <row r="7643" spans="2:2" x14ac:dyDescent="0.25">
      <c r="B7643" s="73"/>
    </row>
    <row r="7644" spans="2:2" x14ac:dyDescent="0.25">
      <c r="B7644" s="73"/>
    </row>
    <row r="7645" spans="2:2" x14ac:dyDescent="0.25">
      <c r="B7645" s="73"/>
    </row>
    <row r="7646" spans="2:2" x14ac:dyDescent="0.25">
      <c r="B7646" s="73"/>
    </row>
    <row r="7647" spans="2:2" x14ac:dyDescent="0.25">
      <c r="B7647" s="73"/>
    </row>
    <row r="7648" spans="2:2" x14ac:dyDescent="0.25">
      <c r="B7648" s="73"/>
    </row>
    <row r="7649" spans="2:2" x14ac:dyDescent="0.25">
      <c r="B7649" s="73"/>
    </row>
    <row r="7650" spans="2:2" x14ac:dyDescent="0.25">
      <c r="B7650" s="73"/>
    </row>
    <row r="7651" spans="2:2" x14ac:dyDescent="0.25">
      <c r="B7651" s="73"/>
    </row>
    <row r="7652" spans="2:2" x14ac:dyDescent="0.25">
      <c r="B7652" s="73"/>
    </row>
    <row r="7653" spans="2:2" x14ac:dyDescent="0.25">
      <c r="B7653" s="73"/>
    </row>
    <row r="7654" spans="2:2" x14ac:dyDescent="0.25">
      <c r="B7654" s="73"/>
    </row>
    <row r="7655" spans="2:2" x14ac:dyDescent="0.25">
      <c r="B7655" s="73"/>
    </row>
    <row r="7656" spans="2:2" x14ac:dyDescent="0.25">
      <c r="B7656" s="73"/>
    </row>
    <row r="7657" spans="2:2" x14ac:dyDescent="0.25">
      <c r="B7657" s="73"/>
    </row>
    <row r="7658" spans="2:2" x14ac:dyDescent="0.25">
      <c r="B7658" s="73"/>
    </row>
    <row r="7659" spans="2:2" x14ac:dyDescent="0.25">
      <c r="B7659" s="73"/>
    </row>
    <row r="7660" spans="2:2" x14ac:dyDescent="0.25">
      <c r="B7660" s="73"/>
    </row>
    <row r="7661" spans="2:2" x14ac:dyDescent="0.25">
      <c r="B7661" s="73"/>
    </row>
    <row r="7662" spans="2:2" x14ac:dyDescent="0.25">
      <c r="B7662" s="73"/>
    </row>
    <row r="7663" spans="2:2" x14ac:dyDescent="0.25">
      <c r="B7663" s="73"/>
    </row>
    <row r="7664" spans="2:2" x14ac:dyDescent="0.25">
      <c r="B7664" s="73"/>
    </row>
    <row r="7665" spans="2:2" x14ac:dyDescent="0.25">
      <c r="B7665" s="73"/>
    </row>
    <row r="7666" spans="2:2" x14ac:dyDescent="0.25">
      <c r="B7666" s="73"/>
    </row>
    <row r="7667" spans="2:2" x14ac:dyDescent="0.25">
      <c r="B7667" s="73"/>
    </row>
    <row r="7668" spans="2:2" x14ac:dyDescent="0.25">
      <c r="B7668" s="73"/>
    </row>
    <row r="7669" spans="2:2" x14ac:dyDescent="0.25">
      <c r="B7669" s="73"/>
    </row>
    <row r="7670" spans="2:2" x14ac:dyDescent="0.25">
      <c r="B7670" s="73"/>
    </row>
    <row r="7671" spans="2:2" x14ac:dyDescent="0.25">
      <c r="B7671" s="73"/>
    </row>
    <row r="7672" spans="2:2" x14ac:dyDescent="0.25">
      <c r="B7672" s="73"/>
    </row>
    <row r="7673" spans="2:2" x14ac:dyDescent="0.25">
      <c r="B7673" s="73"/>
    </row>
    <row r="7674" spans="2:2" x14ac:dyDescent="0.25">
      <c r="B7674" s="73"/>
    </row>
    <row r="7675" spans="2:2" x14ac:dyDescent="0.25">
      <c r="B7675" s="73"/>
    </row>
    <row r="7676" spans="2:2" x14ac:dyDescent="0.25">
      <c r="B7676" s="73"/>
    </row>
    <row r="7677" spans="2:2" x14ac:dyDescent="0.25">
      <c r="B7677" s="73"/>
    </row>
    <row r="7678" spans="2:2" x14ac:dyDescent="0.25">
      <c r="B7678" s="73"/>
    </row>
    <row r="7679" spans="2:2" x14ac:dyDescent="0.25">
      <c r="B7679" s="73"/>
    </row>
    <row r="7680" spans="2:2" x14ac:dyDescent="0.25">
      <c r="B7680" s="73"/>
    </row>
    <row r="7681" spans="2:2" x14ac:dyDescent="0.25">
      <c r="B7681" s="73"/>
    </row>
    <row r="7682" spans="2:2" x14ac:dyDescent="0.25">
      <c r="B7682" s="73"/>
    </row>
    <row r="7683" spans="2:2" x14ac:dyDescent="0.25">
      <c r="B7683" s="73"/>
    </row>
    <row r="7684" spans="2:2" x14ac:dyDescent="0.25">
      <c r="B7684" s="73"/>
    </row>
    <row r="7685" spans="2:2" x14ac:dyDescent="0.25">
      <c r="B7685" s="73"/>
    </row>
    <row r="7686" spans="2:2" x14ac:dyDescent="0.25">
      <c r="B7686" s="73"/>
    </row>
    <row r="7687" spans="2:2" x14ac:dyDescent="0.25">
      <c r="B7687" s="73"/>
    </row>
    <row r="7688" spans="2:2" x14ac:dyDescent="0.25">
      <c r="B7688" s="73"/>
    </row>
    <row r="7689" spans="2:2" x14ac:dyDescent="0.25">
      <c r="B7689" s="73"/>
    </row>
    <row r="7690" spans="2:2" x14ac:dyDescent="0.25">
      <c r="B7690" s="73"/>
    </row>
    <row r="7691" spans="2:2" x14ac:dyDescent="0.25">
      <c r="B7691" s="73"/>
    </row>
    <row r="7692" spans="2:2" x14ac:dyDescent="0.25">
      <c r="B7692" s="73"/>
    </row>
    <row r="7693" spans="2:2" x14ac:dyDescent="0.25">
      <c r="B7693" s="73"/>
    </row>
    <row r="7694" spans="2:2" x14ac:dyDescent="0.25">
      <c r="B7694" s="73"/>
    </row>
    <row r="7695" spans="2:2" x14ac:dyDescent="0.25">
      <c r="B7695" s="73"/>
    </row>
    <row r="7696" spans="2:2" x14ac:dyDescent="0.25">
      <c r="B7696" s="73"/>
    </row>
    <row r="7697" spans="2:2" x14ac:dyDescent="0.25">
      <c r="B7697" s="73"/>
    </row>
    <row r="7698" spans="2:2" x14ac:dyDescent="0.25">
      <c r="B7698" s="73"/>
    </row>
    <row r="7699" spans="2:2" x14ac:dyDescent="0.25">
      <c r="B7699" s="73"/>
    </row>
    <row r="7700" spans="2:2" x14ac:dyDescent="0.25">
      <c r="B7700" s="73"/>
    </row>
    <row r="7701" spans="2:2" x14ac:dyDescent="0.25">
      <c r="B7701" s="73"/>
    </row>
    <row r="7702" spans="2:2" x14ac:dyDescent="0.25">
      <c r="B7702" s="73"/>
    </row>
    <row r="7703" spans="2:2" x14ac:dyDescent="0.25">
      <c r="B7703" s="73"/>
    </row>
    <row r="7704" spans="2:2" x14ac:dyDescent="0.25">
      <c r="B7704" s="73"/>
    </row>
    <row r="7705" spans="2:2" x14ac:dyDescent="0.25">
      <c r="B7705" s="73"/>
    </row>
    <row r="7706" spans="2:2" x14ac:dyDescent="0.25">
      <c r="B7706" s="73"/>
    </row>
    <row r="7707" spans="2:2" x14ac:dyDescent="0.25">
      <c r="B7707" s="73"/>
    </row>
    <row r="7708" spans="2:2" x14ac:dyDescent="0.25">
      <c r="B7708" s="73"/>
    </row>
    <row r="7709" spans="2:2" x14ac:dyDescent="0.25">
      <c r="B7709" s="73"/>
    </row>
    <row r="7710" spans="2:2" x14ac:dyDescent="0.25">
      <c r="B7710" s="73"/>
    </row>
    <row r="7711" spans="2:2" x14ac:dyDescent="0.25">
      <c r="B7711" s="73"/>
    </row>
    <row r="7712" spans="2:2" x14ac:dyDescent="0.25">
      <c r="B7712" s="73"/>
    </row>
    <row r="7713" spans="2:2" x14ac:dyDescent="0.25">
      <c r="B7713" s="73"/>
    </row>
    <row r="7714" spans="2:2" x14ac:dyDescent="0.25">
      <c r="B7714" s="73"/>
    </row>
    <row r="7715" spans="2:2" x14ac:dyDescent="0.25">
      <c r="B7715" s="73"/>
    </row>
    <row r="7716" spans="2:2" x14ac:dyDescent="0.25">
      <c r="B7716" s="73"/>
    </row>
    <row r="7717" spans="2:2" x14ac:dyDescent="0.25">
      <c r="B7717" s="73"/>
    </row>
    <row r="7718" spans="2:2" x14ac:dyDescent="0.25">
      <c r="B7718" s="73"/>
    </row>
    <row r="7719" spans="2:2" x14ac:dyDescent="0.25">
      <c r="B7719" s="73"/>
    </row>
    <row r="7720" spans="2:2" x14ac:dyDescent="0.25">
      <c r="B7720" s="73"/>
    </row>
    <row r="7721" spans="2:2" x14ac:dyDescent="0.25">
      <c r="B7721" s="73"/>
    </row>
    <row r="7722" spans="2:2" x14ac:dyDescent="0.25">
      <c r="B7722" s="73"/>
    </row>
    <row r="7723" spans="2:2" x14ac:dyDescent="0.25">
      <c r="B7723" s="73"/>
    </row>
    <row r="7724" spans="2:2" x14ac:dyDescent="0.25">
      <c r="B7724" s="73"/>
    </row>
    <row r="7725" spans="2:2" x14ac:dyDescent="0.25">
      <c r="B7725" s="73"/>
    </row>
    <row r="7726" spans="2:2" x14ac:dyDescent="0.25">
      <c r="B7726" s="73"/>
    </row>
    <row r="7727" spans="2:2" x14ac:dyDescent="0.25">
      <c r="B7727" s="73"/>
    </row>
    <row r="7728" spans="2:2" x14ac:dyDescent="0.25">
      <c r="B7728" s="73"/>
    </row>
    <row r="7729" spans="2:2" x14ac:dyDescent="0.25">
      <c r="B7729" s="73"/>
    </row>
    <row r="7730" spans="2:2" x14ac:dyDescent="0.25">
      <c r="B7730" s="73"/>
    </row>
    <row r="7731" spans="2:2" x14ac:dyDescent="0.25">
      <c r="B7731" s="73"/>
    </row>
    <row r="7732" spans="2:2" x14ac:dyDescent="0.25">
      <c r="B7732" s="73"/>
    </row>
    <row r="7733" spans="2:2" x14ac:dyDescent="0.25">
      <c r="B7733" s="73"/>
    </row>
    <row r="7734" spans="2:2" x14ac:dyDescent="0.25">
      <c r="B7734" s="73"/>
    </row>
    <row r="7735" spans="2:2" x14ac:dyDescent="0.25">
      <c r="B7735" s="73"/>
    </row>
    <row r="7736" spans="2:2" x14ac:dyDescent="0.25">
      <c r="B7736" s="73"/>
    </row>
    <row r="7737" spans="2:2" x14ac:dyDescent="0.25">
      <c r="B7737" s="73"/>
    </row>
    <row r="7738" spans="2:2" x14ac:dyDescent="0.25">
      <c r="B7738" s="73"/>
    </row>
    <row r="7739" spans="2:2" x14ac:dyDescent="0.25">
      <c r="B7739" s="73"/>
    </row>
    <row r="7740" spans="2:2" x14ac:dyDescent="0.25">
      <c r="B7740" s="73"/>
    </row>
    <row r="7741" spans="2:2" x14ac:dyDescent="0.25">
      <c r="B7741" s="73"/>
    </row>
    <row r="7742" spans="2:2" x14ac:dyDescent="0.25">
      <c r="B7742" s="73"/>
    </row>
    <row r="7743" spans="2:2" x14ac:dyDescent="0.25">
      <c r="B7743" s="73"/>
    </row>
    <row r="7744" spans="2:2" x14ac:dyDescent="0.25">
      <c r="B7744" s="73"/>
    </row>
    <row r="7745" spans="2:2" x14ac:dyDescent="0.25">
      <c r="B7745" s="73"/>
    </row>
    <row r="7746" spans="2:2" x14ac:dyDescent="0.25">
      <c r="B7746" s="73"/>
    </row>
    <row r="7747" spans="2:2" x14ac:dyDescent="0.25">
      <c r="B7747" s="73"/>
    </row>
    <row r="7748" spans="2:2" x14ac:dyDescent="0.25">
      <c r="B7748" s="73"/>
    </row>
    <row r="7749" spans="2:2" x14ac:dyDescent="0.25">
      <c r="B7749" s="73"/>
    </row>
    <row r="7750" spans="2:2" x14ac:dyDescent="0.25">
      <c r="B7750" s="73"/>
    </row>
    <row r="7751" spans="2:2" x14ac:dyDescent="0.25">
      <c r="B7751" s="73"/>
    </row>
    <row r="7752" spans="2:2" x14ac:dyDescent="0.25">
      <c r="B7752" s="73"/>
    </row>
    <row r="7753" spans="2:2" x14ac:dyDescent="0.25">
      <c r="B7753" s="73"/>
    </row>
    <row r="7754" spans="2:2" x14ac:dyDescent="0.25">
      <c r="B7754" s="73"/>
    </row>
    <row r="7755" spans="2:2" x14ac:dyDescent="0.25">
      <c r="B7755" s="73"/>
    </row>
    <row r="7756" spans="2:2" x14ac:dyDescent="0.25">
      <c r="B7756" s="73"/>
    </row>
    <row r="7757" spans="2:2" x14ac:dyDescent="0.25">
      <c r="B7757" s="73"/>
    </row>
    <row r="7758" spans="2:2" x14ac:dyDescent="0.25">
      <c r="B7758" s="73"/>
    </row>
    <row r="7759" spans="2:2" x14ac:dyDescent="0.25">
      <c r="B7759" s="73"/>
    </row>
    <row r="7760" spans="2:2" x14ac:dyDescent="0.25">
      <c r="B7760" s="73"/>
    </row>
    <row r="7761" spans="2:2" x14ac:dyDescent="0.25">
      <c r="B7761" s="73"/>
    </row>
    <row r="7762" spans="2:2" x14ac:dyDescent="0.25">
      <c r="B7762" s="73"/>
    </row>
    <row r="7763" spans="2:2" x14ac:dyDescent="0.25">
      <c r="B7763" s="73"/>
    </row>
    <row r="7764" spans="2:2" x14ac:dyDescent="0.25">
      <c r="B7764" s="73"/>
    </row>
    <row r="7765" spans="2:2" x14ac:dyDescent="0.25">
      <c r="B7765" s="73"/>
    </row>
    <row r="7766" spans="2:2" x14ac:dyDescent="0.25">
      <c r="B7766" s="73"/>
    </row>
    <row r="7767" spans="2:2" x14ac:dyDescent="0.25">
      <c r="B7767" s="73"/>
    </row>
    <row r="7768" spans="2:2" x14ac:dyDescent="0.25">
      <c r="B7768" s="73"/>
    </row>
    <row r="7769" spans="2:2" x14ac:dyDescent="0.25">
      <c r="B7769" s="73"/>
    </row>
    <row r="7770" spans="2:2" x14ac:dyDescent="0.25">
      <c r="B7770" s="73"/>
    </row>
    <row r="7771" spans="2:2" x14ac:dyDescent="0.25">
      <c r="B7771" s="73"/>
    </row>
    <row r="7772" spans="2:2" x14ac:dyDescent="0.25">
      <c r="B7772" s="73"/>
    </row>
    <row r="7773" spans="2:2" x14ac:dyDescent="0.25">
      <c r="B7773" s="73"/>
    </row>
    <row r="7774" spans="2:2" x14ac:dyDescent="0.25">
      <c r="B7774" s="73"/>
    </row>
    <row r="7775" spans="2:2" x14ac:dyDescent="0.25">
      <c r="B7775" s="73"/>
    </row>
    <row r="7776" spans="2:2" x14ac:dyDescent="0.25">
      <c r="B7776" s="73"/>
    </row>
    <row r="7777" spans="2:2" x14ac:dyDescent="0.25">
      <c r="B7777" s="73"/>
    </row>
    <row r="7778" spans="2:2" x14ac:dyDescent="0.25">
      <c r="B7778" s="73"/>
    </row>
    <row r="7779" spans="2:2" x14ac:dyDescent="0.25">
      <c r="B7779" s="73"/>
    </row>
    <row r="7780" spans="2:2" x14ac:dyDescent="0.25">
      <c r="B7780" s="73"/>
    </row>
    <row r="7781" spans="2:2" x14ac:dyDescent="0.25">
      <c r="B7781" s="73"/>
    </row>
    <row r="7782" spans="2:2" x14ac:dyDescent="0.25">
      <c r="B7782" s="73"/>
    </row>
    <row r="7783" spans="2:2" x14ac:dyDescent="0.25">
      <c r="B7783" s="73"/>
    </row>
    <row r="7784" spans="2:2" x14ac:dyDescent="0.25">
      <c r="B7784" s="73"/>
    </row>
    <row r="7785" spans="2:2" x14ac:dyDescent="0.25">
      <c r="B7785" s="73"/>
    </row>
    <row r="7786" spans="2:2" x14ac:dyDescent="0.25">
      <c r="B7786" s="73"/>
    </row>
    <row r="7787" spans="2:2" x14ac:dyDescent="0.25">
      <c r="B7787" s="73"/>
    </row>
    <row r="7788" spans="2:2" x14ac:dyDescent="0.25">
      <c r="B7788" s="73"/>
    </row>
    <row r="7789" spans="2:2" x14ac:dyDescent="0.25">
      <c r="B7789" s="73"/>
    </row>
    <row r="7790" spans="2:2" x14ac:dyDescent="0.25">
      <c r="B7790" s="73"/>
    </row>
    <row r="7791" spans="2:2" x14ac:dyDescent="0.25">
      <c r="B7791" s="73"/>
    </row>
    <row r="7792" spans="2:2" x14ac:dyDescent="0.25">
      <c r="B7792" s="73"/>
    </row>
    <row r="7793" spans="2:2" x14ac:dyDescent="0.25">
      <c r="B7793" s="73"/>
    </row>
    <row r="7794" spans="2:2" x14ac:dyDescent="0.25">
      <c r="B7794" s="73"/>
    </row>
    <row r="7795" spans="2:2" x14ac:dyDescent="0.25">
      <c r="B7795" s="73"/>
    </row>
    <row r="7796" spans="2:2" x14ac:dyDescent="0.25">
      <c r="B7796" s="73"/>
    </row>
    <row r="7797" spans="2:2" x14ac:dyDescent="0.25">
      <c r="B7797" s="73"/>
    </row>
    <row r="7798" spans="2:2" x14ac:dyDescent="0.25">
      <c r="B7798" s="73"/>
    </row>
    <row r="7799" spans="2:2" x14ac:dyDescent="0.25">
      <c r="B7799" s="73"/>
    </row>
    <row r="7800" spans="2:2" x14ac:dyDescent="0.25">
      <c r="B7800" s="73"/>
    </row>
    <row r="7801" spans="2:2" x14ac:dyDescent="0.25">
      <c r="B7801" s="73"/>
    </row>
    <row r="7802" spans="2:2" x14ac:dyDescent="0.25">
      <c r="B7802" s="73"/>
    </row>
    <row r="7803" spans="2:2" x14ac:dyDescent="0.25">
      <c r="B7803" s="73"/>
    </row>
    <row r="7804" spans="2:2" x14ac:dyDescent="0.25">
      <c r="B7804" s="73"/>
    </row>
    <row r="7805" spans="2:2" x14ac:dyDescent="0.25">
      <c r="B7805" s="73"/>
    </row>
    <row r="7806" spans="2:2" x14ac:dyDescent="0.25">
      <c r="B7806" s="73"/>
    </row>
    <row r="7807" spans="2:2" x14ac:dyDescent="0.25">
      <c r="B7807" s="73"/>
    </row>
    <row r="7808" spans="2:2" x14ac:dyDescent="0.25">
      <c r="B7808" s="73"/>
    </row>
    <row r="7809" spans="2:2" x14ac:dyDescent="0.25">
      <c r="B7809" s="73"/>
    </row>
    <row r="7810" spans="2:2" x14ac:dyDescent="0.25">
      <c r="B7810" s="73"/>
    </row>
    <row r="7811" spans="2:2" x14ac:dyDescent="0.25">
      <c r="B7811" s="73"/>
    </row>
    <row r="7812" spans="2:2" x14ac:dyDescent="0.25">
      <c r="B7812" s="73"/>
    </row>
    <row r="7813" spans="2:2" x14ac:dyDescent="0.25">
      <c r="B7813" s="73"/>
    </row>
    <row r="7814" spans="2:2" x14ac:dyDescent="0.25">
      <c r="B7814" s="73"/>
    </row>
    <row r="7815" spans="2:2" x14ac:dyDescent="0.25">
      <c r="B7815" s="73"/>
    </row>
    <row r="7816" spans="2:2" x14ac:dyDescent="0.25">
      <c r="B7816" s="73"/>
    </row>
    <row r="7817" spans="2:2" x14ac:dyDescent="0.25">
      <c r="B7817" s="73"/>
    </row>
    <row r="7818" spans="2:2" x14ac:dyDescent="0.25">
      <c r="B7818" s="73"/>
    </row>
    <row r="7819" spans="2:2" x14ac:dyDescent="0.25">
      <c r="B7819" s="73"/>
    </row>
    <row r="7820" spans="2:2" x14ac:dyDescent="0.25">
      <c r="B7820" s="73"/>
    </row>
    <row r="7821" spans="2:2" x14ac:dyDescent="0.25">
      <c r="B7821" s="73"/>
    </row>
    <row r="7822" spans="2:2" x14ac:dyDescent="0.25">
      <c r="B7822" s="73"/>
    </row>
    <row r="7823" spans="2:2" x14ac:dyDescent="0.25">
      <c r="B7823" s="73"/>
    </row>
    <row r="7824" spans="2:2" x14ac:dyDescent="0.25">
      <c r="B7824" s="73"/>
    </row>
    <row r="7825" spans="2:2" x14ac:dyDescent="0.25">
      <c r="B7825" s="73"/>
    </row>
    <row r="7826" spans="2:2" x14ac:dyDescent="0.25">
      <c r="B7826" s="73"/>
    </row>
    <row r="7827" spans="2:2" x14ac:dyDescent="0.25">
      <c r="B7827" s="73"/>
    </row>
    <row r="7828" spans="2:2" x14ac:dyDescent="0.25">
      <c r="B7828" s="73"/>
    </row>
    <row r="7829" spans="2:2" x14ac:dyDescent="0.25">
      <c r="B7829" s="73"/>
    </row>
    <row r="7830" spans="2:2" x14ac:dyDescent="0.25">
      <c r="B7830" s="73"/>
    </row>
    <row r="7831" spans="2:2" x14ac:dyDescent="0.25">
      <c r="B7831" s="73"/>
    </row>
    <row r="7832" spans="2:2" x14ac:dyDescent="0.25">
      <c r="B7832" s="73"/>
    </row>
    <row r="7833" spans="2:2" x14ac:dyDescent="0.25">
      <c r="B7833" s="73"/>
    </row>
    <row r="7834" spans="2:2" x14ac:dyDescent="0.25">
      <c r="B7834" s="73"/>
    </row>
    <row r="7835" spans="2:2" x14ac:dyDescent="0.25">
      <c r="B7835" s="73"/>
    </row>
    <row r="7836" spans="2:2" x14ac:dyDescent="0.25">
      <c r="B7836" s="73"/>
    </row>
    <row r="7837" spans="2:2" x14ac:dyDescent="0.25">
      <c r="B7837" s="73"/>
    </row>
    <row r="7838" spans="2:2" x14ac:dyDescent="0.25">
      <c r="B7838" s="73"/>
    </row>
    <row r="7839" spans="2:2" x14ac:dyDescent="0.25">
      <c r="B7839" s="73"/>
    </row>
    <row r="7840" spans="2:2" x14ac:dyDescent="0.25">
      <c r="B7840" s="73"/>
    </row>
    <row r="7841" spans="2:2" x14ac:dyDescent="0.25">
      <c r="B7841" s="73"/>
    </row>
    <row r="7842" spans="2:2" x14ac:dyDescent="0.25">
      <c r="B7842" s="73"/>
    </row>
    <row r="7843" spans="2:2" x14ac:dyDescent="0.25">
      <c r="B7843" s="73"/>
    </row>
    <row r="7844" spans="2:2" x14ac:dyDescent="0.25">
      <c r="B7844" s="73"/>
    </row>
    <row r="7845" spans="2:2" x14ac:dyDescent="0.25">
      <c r="B7845" s="73"/>
    </row>
    <row r="7846" spans="2:2" x14ac:dyDescent="0.25">
      <c r="B7846" s="73"/>
    </row>
    <row r="7847" spans="2:2" x14ac:dyDescent="0.25">
      <c r="B7847" s="73"/>
    </row>
    <row r="7848" spans="2:2" x14ac:dyDescent="0.25">
      <c r="B7848" s="73"/>
    </row>
    <row r="7849" spans="2:2" x14ac:dyDescent="0.25">
      <c r="B7849" s="73"/>
    </row>
    <row r="7850" spans="2:2" x14ac:dyDescent="0.25">
      <c r="B7850" s="73"/>
    </row>
    <row r="7851" spans="2:2" x14ac:dyDescent="0.25">
      <c r="B7851" s="73"/>
    </row>
    <row r="7852" spans="2:2" x14ac:dyDescent="0.25">
      <c r="B7852" s="73"/>
    </row>
    <row r="7853" spans="2:2" x14ac:dyDescent="0.25">
      <c r="B7853" s="73"/>
    </row>
    <row r="7854" spans="2:2" x14ac:dyDescent="0.25">
      <c r="B7854" s="73"/>
    </row>
    <row r="7855" spans="2:2" x14ac:dyDescent="0.25">
      <c r="B7855" s="73"/>
    </row>
    <row r="7856" spans="2:2" x14ac:dyDescent="0.25">
      <c r="B7856" s="73"/>
    </row>
    <row r="7857" spans="2:2" x14ac:dyDescent="0.25">
      <c r="B7857" s="73"/>
    </row>
    <row r="7858" spans="2:2" x14ac:dyDescent="0.25">
      <c r="B7858" s="73"/>
    </row>
    <row r="7859" spans="2:2" x14ac:dyDescent="0.25">
      <c r="B7859" s="73"/>
    </row>
    <row r="7860" spans="2:2" x14ac:dyDescent="0.25">
      <c r="B7860" s="73"/>
    </row>
    <row r="7861" spans="2:2" x14ac:dyDescent="0.25">
      <c r="B7861" s="73"/>
    </row>
    <row r="7862" spans="2:2" x14ac:dyDescent="0.25">
      <c r="B7862" s="73"/>
    </row>
    <row r="7863" spans="2:2" x14ac:dyDescent="0.25">
      <c r="B7863" s="73"/>
    </row>
    <row r="7864" spans="2:2" x14ac:dyDescent="0.25">
      <c r="B7864" s="73"/>
    </row>
    <row r="7865" spans="2:2" x14ac:dyDescent="0.25">
      <c r="B7865" s="73"/>
    </row>
    <row r="7866" spans="2:2" x14ac:dyDescent="0.25">
      <c r="B7866" s="73"/>
    </row>
    <row r="7867" spans="2:2" x14ac:dyDescent="0.25">
      <c r="B7867" s="73"/>
    </row>
    <row r="7868" spans="2:2" x14ac:dyDescent="0.25">
      <c r="B7868" s="73"/>
    </row>
    <row r="7869" spans="2:2" x14ac:dyDescent="0.25">
      <c r="B7869" s="73"/>
    </row>
    <row r="7870" spans="2:2" x14ac:dyDescent="0.25">
      <c r="B7870" s="73"/>
    </row>
    <row r="7871" spans="2:2" x14ac:dyDescent="0.25">
      <c r="B7871" s="73"/>
    </row>
    <row r="7872" spans="2:2" x14ac:dyDescent="0.25">
      <c r="B7872" s="73"/>
    </row>
    <row r="7873" spans="2:2" x14ac:dyDescent="0.25">
      <c r="B7873" s="73"/>
    </row>
    <row r="7874" spans="2:2" x14ac:dyDescent="0.25">
      <c r="B7874" s="73"/>
    </row>
    <row r="7875" spans="2:2" x14ac:dyDescent="0.25">
      <c r="B7875" s="73"/>
    </row>
    <row r="7876" spans="2:2" x14ac:dyDescent="0.25">
      <c r="B7876" s="73"/>
    </row>
    <row r="7877" spans="2:2" x14ac:dyDescent="0.25">
      <c r="B7877" s="73"/>
    </row>
    <row r="7878" spans="2:2" x14ac:dyDescent="0.25">
      <c r="B7878" s="73"/>
    </row>
    <row r="7879" spans="2:2" x14ac:dyDescent="0.25">
      <c r="B7879" s="73"/>
    </row>
    <row r="7880" spans="2:2" x14ac:dyDescent="0.25">
      <c r="B7880" s="73"/>
    </row>
    <row r="7881" spans="2:2" x14ac:dyDescent="0.25">
      <c r="B7881" s="73"/>
    </row>
    <row r="7882" spans="2:2" x14ac:dyDescent="0.25">
      <c r="B7882" s="73"/>
    </row>
    <row r="7883" spans="2:2" x14ac:dyDescent="0.25">
      <c r="B7883" s="73"/>
    </row>
    <row r="7884" spans="2:2" x14ac:dyDescent="0.25">
      <c r="B7884" s="73"/>
    </row>
    <row r="7885" spans="2:2" x14ac:dyDescent="0.25">
      <c r="B7885" s="73"/>
    </row>
    <row r="7886" spans="2:2" x14ac:dyDescent="0.25">
      <c r="B7886" s="73"/>
    </row>
    <row r="7887" spans="2:2" x14ac:dyDescent="0.25">
      <c r="B7887" s="73"/>
    </row>
    <row r="7888" spans="2:2" x14ac:dyDescent="0.25">
      <c r="B7888" s="73"/>
    </row>
    <row r="7889" spans="2:2" x14ac:dyDescent="0.25">
      <c r="B7889" s="73"/>
    </row>
    <row r="7890" spans="2:2" x14ac:dyDescent="0.25">
      <c r="B7890" s="73"/>
    </row>
    <row r="7891" spans="2:2" x14ac:dyDescent="0.25">
      <c r="B7891" s="73"/>
    </row>
    <row r="7892" spans="2:2" x14ac:dyDescent="0.25">
      <c r="B7892" s="73"/>
    </row>
    <row r="7893" spans="2:2" x14ac:dyDescent="0.25">
      <c r="B7893" s="73"/>
    </row>
    <row r="7894" spans="2:2" x14ac:dyDescent="0.25">
      <c r="B7894" s="73"/>
    </row>
    <row r="7895" spans="2:2" x14ac:dyDescent="0.25">
      <c r="B7895" s="73"/>
    </row>
    <row r="7896" spans="2:2" x14ac:dyDescent="0.25">
      <c r="B7896" s="73"/>
    </row>
    <row r="7897" spans="2:2" x14ac:dyDescent="0.25">
      <c r="B7897" s="73"/>
    </row>
    <row r="7898" spans="2:2" x14ac:dyDescent="0.25">
      <c r="B7898" s="73"/>
    </row>
    <row r="7899" spans="2:2" x14ac:dyDescent="0.25">
      <c r="B7899" s="73"/>
    </row>
    <row r="7900" spans="2:2" x14ac:dyDescent="0.25">
      <c r="B7900" s="73"/>
    </row>
    <row r="7901" spans="2:2" x14ac:dyDescent="0.25">
      <c r="B7901" s="73"/>
    </row>
    <row r="7902" spans="2:2" x14ac:dyDescent="0.25">
      <c r="B7902" s="73"/>
    </row>
    <row r="7903" spans="2:2" x14ac:dyDescent="0.25">
      <c r="B7903" s="73"/>
    </row>
    <row r="7904" spans="2:2" x14ac:dyDescent="0.25">
      <c r="B7904" s="73"/>
    </row>
    <row r="7905" spans="2:2" x14ac:dyDescent="0.25">
      <c r="B7905" s="73"/>
    </row>
    <row r="7906" spans="2:2" x14ac:dyDescent="0.25">
      <c r="B7906" s="73"/>
    </row>
    <row r="7907" spans="2:2" x14ac:dyDescent="0.25">
      <c r="B7907" s="73"/>
    </row>
    <row r="7908" spans="2:2" x14ac:dyDescent="0.25">
      <c r="B7908" s="73"/>
    </row>
    <row r="7909" spans="2:2" x14ac:dyDescent="0.25">
      <c r="B7909" s="73"/>
    </row>
    <row r="7910" spans="2:2" x14ac:dyDescent="0.25">
      <c r="B7910" s="73"/>
    </row>
    <row r="7911" spans="2:2" x14ac:dyDescent="0.25">
      <c r="B7911" s="73"/>
    </row>
    <row r="7912" spans="2:2" x14ac:dyDescent="0.25">
      <c r="B7912" s="73"/>
    </row>
    <row r="7913" spans="2:2" x14ac:dyDescent="0.25">
      <c r="B7913" s="73"/>
    </row>
    <row r="7914" spans="2:2" x14ac:dyDescent="0.25">
      <c r="B7914" s="73"/>
    </row>
    <row r="7915" spans="2:2" x14ac:dyDescent="0.25">
      <c r="B7915" s="73"/>
    </row>
    <row r="7916" spans="2:2" x14ac:dyDescent="0.25">
      <c r="B7916" s="73"/>
    </row>
    <row r="7917" spans="2:2" x14ac:dyDescent="0.25">
      <c r="B7917" s="73"/>
    </row>
    <row r="7918" spans="2:2" x14ac:dyDescent="0.25">
      <c r="B7918" s="73"/>
    </row>
    <row r="7919" spans="2:2" x14ac:dyDescent="0.25">
      <c r="B7919" s="73"/>
    </row>
    <row r="7920" spans="2:2" x14ac:dyDescent="0.25">
      <c r="B7920" s="73"/>
    </row>
    <row r="7921" spans="2:2" x14ac:dyDescent="0.25">
      <c r="B7921" s="73"/>
    </row>
    <row r="7922" spans="2:2" x14ac:dyDescent="0.25">
      <c r="B7922" s="73"/>
    </row>
    <row r="7923" spans="2:2" x14ac:dyDescent="0.25">
      <c r="B7923" s="73"/>
    </row>
    <row r="7924" spans="2:2" x14ac:dyDescent="0.25">
      <c r="B7924" s="73"/>
    </row>
    <row r="7925" spans="2:2" x14ac:dyDescent="0.25">
      <c r="B7925" s="73"/>
    </row>
    <row r="7926" spans="2:2" x14ac:dyDescent="0.25">
      <c r="B7926" s="73"/>
    </row>
    <row r="7927" spans="2:2" x14ac:dyDescent="0.25">
      <c r="B7927" s="73"/>
    </row>
    <row r="7928" spans="2:2" x14ac:dyDescent="0.25">
      <c r="B7928" s="73"/>
    </row>
    <row r="7929" spans="2:2" x14ac:dyDescent="0.25">
      <c r="B7929" s="73"/>
    </row>
    <row r="7930" spans="2:2" x14ac:dyDescent="0.25">
      <c r="B7930" s="73"/>
    </row>
    <row r="7931" spans="2:2" x14ac:dyDescent="0.25">
      <c r="B7931" s="73"/>
    </row>
    <row r="7932" spans="2:2" x14ac:dyDescent="0.25">
      <c r="B7932" s="73"/>
    </row>
    <row r="7933" spans="2:2" x14ac:dyDescent="0.25">
      <c r="B7933" s="73"/>
    </row>
    <row r="7934" spans="2:2" x14ac:dyDescent="0.25">
      <c r="B7934" s="73"/>
    </row>
    <row r="7935" spans="2:2" x14ac:dyDescent="0.25">
      <c r="B7935" s="73"/>
    </row>
    <row r="7936" spans="2:2" x14ac:dyDescent="0.25">
      <c r="B7936" s="73"/>
    </row>
    <row r="7937" spans="2:2" x14ac:dyDescent="0.25">
      <c r="B7937" s="73"/>
    </row>
    <row r="7938" spans="2:2" x14ac:dyDescent="0.25">
      <c r="B7938" s="73"/>
    </row>
    <row r="7939" spans="2:2" x14ac:dyDescent="0.25">
      <c r="B7939" s="73"/>
    </row>
    <row r="7940" spans="2:2" x14ac:dyDescent="0.25">
      <c r="B7940" s="73"/>
    </row>
    <row r="7941" spans="2:2" x14ac:dyDescent="0.25">
      <c r="B7941" s="73"/>
    </row>
    <row r="7942" spans="2:2" x14ac:dyDescent="0.25">
      <c r="B7942" s="73"/>
    </row>
    <row r="7943" spans="2:2" x14ac:dyDescent="0.25">
      <c r="B7943" s="73"/>
    </row>
    <row r="7944" spans="2:2" x14ac:dyDescent="0.25">
      <c r="B7944" s="73"/>
    </row>
    <row r="7945" spans="2:2" x14ac:dyDescent="0.25">
      <c r="B7945" s="73"/>
    </row>
    <row r="7946" spans="2:2" x14ac:dyDescent="0.25">
      <c r="B7946" s="73"/>
    </row>
    <row r="7947" spans="2:2" x14ac:dyDescent="0.25">
      <c r="B7947" s="73"/>
    </row>
    <row r="7948" spans="2:2" x14ac:dyDescent="0.25">
      <c r="B7948" s="73"/>
    </row>
    <row r="7949" spans="2:2" x14ac:dyDescent="0.25">
      <c r="B7949" s="73"/>
    </row>
    <row r="7950" spans="2:2" x14ac:dyDescent="0.25">
      <c r="B7950" s="73"/>
    </row>
    <row r="7951" spans="2:2" x14ac:dyDescent="0.25">
      <c r="B7951" s="73"/>
    </row>
    <row r="7952" spans="2:2" x14ac:dyDescent="0.25">
      <c r="B7952" s="73"/>
    </row>
    <row r="7953" spans="2:2" x14ac:dyDescent="0.25">
      <c r="B7953" s="73"/>
    </row>
    <row r="7954" spans="2:2" x14ac:dyDescent="0.25">
      <c r="B7954" s="73"/>
    </row>
    <row r="7955" spans="2:2" x14ac:dyDescent="0.25">
      <c r="B7955" s="73"/>
    </row>
    <row r="7956" spans="2:2" x14ac:dyDescent="0.25">
      <c r="B7956" s="73"/>
    </row>
    <row r="7957" spans="2:2" x14ac:dyDescent="0.25">
      <c r="B7957" s="73"/>
    </row>
    <row r="7958" spans="2:2" x14ac:dyDescent="0.25">
      <c r="B7958" s="73"/>
    </row>
    <row r="7959" spans="2:2" x14ac:dyDescent="0.25">
      <c r="B7959" s="73"/>
    </row>
    <row r="7960" spans="2:2" x14ac:dyDescent="0.25">
      <c r="B7960" s="73"/>
    </row>
    <row r="7961" spans="2:2" x14ac:dyDescent="0.25">
      <c r="B7961" s="73"/>
    </row>
    <row r="7962" spans="2:2" x14ac:dyDescent="0.25">
      <c r="B7962" s="73"/>
    </row>
    <row r="7963" spans="2:2" x14ac:dyDescent="0.25">
      <c r="B7963" s="73"/>
    </row>
    <row r="7964" spans="2:2" x14ac:dyDescent="0.25">
      <c r="B7964" s="73"/>
    </row>
    <row r="7965" spans="2:2" x14ac:dyDescent="0.25">
      <c r="B7965" s="73"/>
    </row>
    <row r="7966" spans="2:2" x14ac:dyDescent="0.25">
      <c r="B7966" s="73"/>
    </row>
    <row r="7967" spans="2:2" x14ac:dyDescent="0.25">
      <c r="B7967" s="73"/>
    </row>
    <row r="7968" spans="2:2" x14ac:dyDescent="0.25">
      <c r="B7968" s="73"/>
    </row>
    <row r="7969" spans="2:2" x14ac:dyDescent="0.25">
      <c r="B7969" s="73"/>
    </row>
    <row r="7970" spans="2:2" x14ac:dyDescent="0.25">
      <c r="B7970" s="73"/>
    </row>
    <row r="7971" spans="2:2" x14ac:dyDescent="0.25">
      <c r="B7971" s="73"/>
    </row>
    <row r="7972" spans="2:2" x14ac:dyDescent="0.25">
      <c r="B7972" s="73"/>
    </row>
    <row r="7973" spans="2:2" x14ac:dyDescent="0.25">
      <c r="B7973" s="73"/>
    </row>
    <row r="7974" spans="2:2" x14ac:dyDescent="0.25">
      <c r="B7974" s="73"/>
    </row>
    <row r="7975" spans="2:2" x14ac:dyDescent="0.25">
      <c r="B7975" s="73"/>
    </row>
    <row r="7976" spans="2:2" x14ac:dyDescent="0.25">
      <c r="B7976" s="73"/>
    </row>
    <row r="7977" spans="2:2" x14ac:dyDescent="0.25">
      <c r="B7977" s="73"/>
    </row>
    <row r="7978" spans="2:2" x14ac:dyDescent="0.25">
      <c r="B7978" s="73"/>
    </row>
    <row r="7979" spans="2:2" x14ac:dyDescent="0.25">
      <c r="B7979" s="73"/>
    </row>
    <row r="7980" spans="2:2" x14ac:dyDescent="0.25">
      <c r="B7980" s="73"/>
    </row>
    <row r="7981" spans="2:2" x14ac:dyDescent="0.25">
      <c r="B7981" s="73"/>
    </row>
    <row r="7982" spans="2:2" x14ac:dyDescent="0.25">
      <c r="B7982" s="73"/>
    </row>
    <row r="7983" spans="2:2" x14ac:dyDescent="0.25">
      <c r="B7983" s="73"/>
    </row>
    <row r="7984" spans="2:2" x14ac:dyDescent="0.25">
      <c r="B7984" s="73"/>
    </row>
    <row r="7985" spans="2:2" x14ac:dyDescent="0.25">
      <c r="B7985" s="73"/>
    </row>
    <row r="7986" spans="2:2" x14ac:dyDescent="0.25">
      <c r="B7986" s="73"/>
    </row>
    <row r="7987" spans="2:2" x14ac:dyDescent="0.25">
      <c r="B7987" s="73"/>
    </row>
    <row r="7988" spans="2:2" x14ac:dyDescent="0.25">
      <c r="B7988" s="73"/>
    </row>
    <row r="7989" spans="2:2" x14ac:dyDescent="0.25">
      <c r="B7989" s="73"/>
    </row>
    <row r="7990" spans="2:2" x14ac:dyDescent="0.25">
      <c r="B7990" s="73"/>
    </row>
    <row r="7991" spans="2:2" x14ac:dyDescent="0.25">
      <c r="B7991" s="73"/>
    </row>
    <row r="7992" spans="2:2" x14ac:dyDescent="0.25">
      <c r="B7992" s="73"/>
    </row>
    <row r="7993" spans="2:2" x14ac:dyDescent="0.25">
      <c r="B7993" s="73"/>
    </row>
    <row r="7994" spans="2:2" x14ac:dyDescent="0.25">
      <c r="B7994" s="73"/>
    </row>
    <row r="7995" spans="2:2" x14ac:dyDescent="0.25">
      <c r="B7995" s="73"/>
    </row>
    <row r="7996" spans="2:2" x14ac:dyDescent="0.25">
      <c r="B7996" s="73"/>
    </row>
    <row r="7997" spans="2:2" x14ac:dyDescent="0.25">
      <c r="B7997" s="73"/>
    </row>
    <row r="7998" spans="2:2" x14ac:dyDescent="0.25">
      <c r="B7998" s="73"/>
    </row>
    <row r="7999" spans="2:2" x14ac:dyDescent="0.25">
      <c r="B7999" s="73"/>
    </row>
    <row r="8000" spans="2:2" x14ac:dyDescent="0.25">
      <c r="B8000" s="73"/>
    </row>
    <row r="8001" spans="2:2" x14ac:dyDescent="0.25">
      <c r="B8001" s="73"/>
    </row>
    <row r="8002" spans="2:2" x14ac:dyDescent="0.25">
      <c r="B8002" s="73"/>
    </row>
    <row r="8003" spans="2:2" x14ac:dyDescent="0.25">
      <c r="B8003" s="73"/>
    </row>
    <row r="8004" spans="2:2" x14ac:dyDescent="0.25">
      <c r="B8004" s="73"/>
    </row>
    <row r="8005" spans="2:2" x14ac:dyDescent="0.25">
      <c r="B8005" s="73"/>
    </row>
    <row r="8006" spans="2:2" x14ac:dyDescent="0.25">
      <c r="B8006" s="73"/>
    </row>
    <row r="8007" spans="2:2" x14ac:dyDescent="0.25">
      <c r="B8007" s="73"/>
    </row>
    <row r="8008" spans="2:2" x14ac:dyDescent="0.25">
      <c r="B8008" s="73"/>
    </row>
    <row r="8009" spans="2:2" x14ac:dyDescent="0.25">
      <c r="B8009" s="73"/>
    </row>
    <row r="8010" spans="2:2" x14ac:dyDescent="0.25">
      <c r="B8010" s="73"/>
    </row>
    <row r="8011" spans="2:2" x14ac:dyDescent="0.25">
      <c r="B8011" s="73"/>
    </row>
    <row r="8012" spans="2:2" x14ac:dyDescent="0.25">
      <c r="B8012" s="73"/>
    </row>
    <row r="8013" spans="2:2" x14ac:dyDescent="0.25">
      <c r="B8013" s="73"/>
    </row>
    <row r="8014" spans="2:2" x14ac:dyDescent="0.25">
      <c r="B8014" s="73"/>
    </row>
    <row r="8015" spans="2:2" x14ac:dyDescent="0.25">
      <c r="B8015" s="73"/>
    </row>
    <row r="8016" spans="2:2" x14ac:dyDescent="0.25">
      <c r="B8016" s="73"/>
    </row>
    <row r="8017" spans="2:2" x14ac:dyDescent="0.25">
      <c r="B8017" s="73"/>
    </row>
    <row r="8018" spans="2:2" x14ac:dyDescent="0.25">
      <c r="B8018" s="73"/>
    </row>
    <row r="8019" spans="2:2" x14ac:dyDescent="0.25">
      <c r="B8019" s="73"/>
    </row>
    <row r="8020" spans="2:2" x14ac:dyDescent="0.25">
      <c r="B8020" s="73"/>
    </row>
    <row r="8021" spans="2:2" x14ac:dyDescent="0.25">
      <c r="B8021" s="73"/>
    </row>
    <row r="8022" spans="2:2" x14ac:dyDescent="0.25">
      <c r="B8022" s="73"/>
    </row>
    <row r="8023" spans="2:2" x14ac:dyDescent="0.25">
      <c r="B8023" s="73"/>
    </row>
    <row r="8024" spans="2:2" x14ac:dyDescent="0.25">
      <c r="B8024" s="73"/>
    </row>
    <row r="8025" spans="2:2" x14ac:dyDescent="0.25">
      <c r="B8025" s="73"/>
    </row>
    <row r="8026" spans="2:2" x14ac:dyDescent="0.25">
      <c r="B8026" s="73"/>
    </row>
    <row r="8027" spans="2:2" x14ac:dyDescent="0.25">
      <c r="B8027" s="73"/>
    </row>
    <row r="8028" spans="2:2" x14ac:dyDescent="0.25">
      <c r="B8028" s="73"/>
    </row>
    <row r="8029" spans="2:2" x14ac:dyDescent="0.25">
      <c r="B8029" s="73"/>
    </row>
    <row r="8030" spans="2:2" x14ac:dyDescent="0.25">
      <c r="B8030" s="73"/>
    </row>
    <row r="8031" spans="2:2" x14ac:dyDescent="0.25">
      <c r="B8031" s="73"/>
    </row>
    <row r="8032" spans="2:2" x14ac:dyDescent="0.25">
      <c r="B8032" s="73"/>
    </row>
    <row r="8033" spans="2:2" x14ac:dyDescent="0.25">
      <c r="B8033" s="73"/>
    </row>
    <row r="8034" spans="2:2" x14ac:dyDescent="0.25">
      <c r="B8034" s="73"/>
    </row>
    <row r="8035" spans="2:2" x14ac:dyDescent="0.25">
      <c r="B8035" s="73"/>
    </row>
    <row r="8036" spans="2:2" x14ac:dyDescent="0.25">
      <c r="B8036" s="73"/>
    </row>
    <row r="8037" spans="2:2" x14ac:dyDescent="0.25">
      <c r="B8037" s="73"/>
    </row>
    <row r="8038" spans="2:2" x14ac:dyDescent="0.25">
      <c r="B8038" s="73"/>
    </row>
    <row r="8039" spans="2:2" x14ac:dyDescent="0.25">
      <c r="B8039" s="73"/>
    </row>
    <row r="8040" spans="2:2" x14ac:dyDescent="0.25">
      <c r="B8040" s="73"/>
    </row>
    <row r="8041" spans="2:2" x14ac:dyDescent="0.25">
      <c r="B8041" s="73"/>
    </row>
    <row r="8042" spans="2:2" x14ac:dyDescent="0.25">
      <c r="B8042" s="73"/>
    </row>
    <row r="8043" spans="2:2" x14ac:dyDescent="0.25">
      <c r="B8043" s="73"/>
    </row>
    <row r="8044" spans="2:2" x14ac:dyDescent="0.25">
      <c r="B8044" s="73"/>
    </row>
    <row r="8045" spans="2:2" x14ac:dyDescent="0.25">
      <c r="B8045" s="73"/>
    </row>
    <row r="8046" spans="2:2" x14ac:dyDescent="0.25">
      <c r="B8046" s="73"/>
    </row>
    <row r="8047" spans="2:2" x14ac:dyDescent="0.25">
      <c r="B8047" s="73"/>
    </row>
    <row r="8048" spans="2:2" x14ac:dyDescent="0.25">
      <c r="B8048" s="73"/>
    </row>
    <row r="8049" spans="2:2" x14ac:dyDescent="0.25">
      <c r="B8049" s="73"/>
    </row>
    <row r="8050" spans="2:2" x14ac:dyDescent="0.25">
      <c r="B8050" s="73"/>
    </row>
    <row r="8051" spans="2:2" x14ac:dyDescent="0.25">
      <c r="B8051" s="73"/>
    </row>
    <row r="8052" spans="2:2" x14ac:dyDescent="0.25">
      <c r="B8052" s="73"/>
    </row>
    <row r="8053" spans="2:2" x14ac:dyDescent="0.25">
      <c r="B8053" s="73"/>
    </row>
    <row r="8054" spans="2:2" x14ac:dyDescent="0.25">
      <c r="B8054" s="73"/>
    </row>
    <row r="8055" spans="2:2" x14ac:dyDescent="0.25">
      <c r="B8055" s="73"/>
    </row>
    <row r="8056" spans="2:2" x14ac:dyDescent="0.25">
      <c r="B8056" s="73"/>
    </row>
    <row r="8057" spans="2:2" x14ac:dyDescent="0.25">
      <c r="B8057" s="73"/>
    </row>
    <row r="8058" spans="2:2" x14ac:dyDescent="0.25">
      <c r="B8058" s="73"/>
    </row>
    <row r="8059" spans="2:2" x14ac:dyDescent="0.25">
      <c r="B8059" s="73"/>
    </row>
    <row r="8060" spans="2:2" x14ac:dyDescent="0.25">
      <c r="B8060" s="73"/>
    </row>
    <row r="8061" spans="2:2" x14ac:dyDescent="0.25">
      <c r="B8061" s="73"/>
    </row>
    <row r="8062" spans="2:2" x14ac:dyDescent="0.25">
      <c r="B8062" s="73"/>
    </row>
    <row r="8063" spans="2:2" x14ac:dyDescent="0.25">
      <c r="B8063" s="73"/>
    </row>
    <row r="8064" spans="2:2" x14ac:dyDescent="0.25">
      <c r="B8064" s="73"/>
    </row>
    <row r="8065" spans="2:2" x14ac:dyDescent="0.25">
      <c r="B8065" s="73"/>
    </row>
    <row r="8066" spans="2:2" x14ac:dyDescent="0.25">
      <c r="B8066" s="73"/>
    </row>
    <row r="8067" spans="2:2" x14ac:dyDescent="0.25">
      <c r="B8067" s="73"/>
    </row>
    <row r="8068" spans="2:2" x14ac:dyDescent="0.25">
      <c r="B8068" s="73"/>
    </row>
    <row r="8069" spans="2:2" x14ac:dyDescent="0.25">
      <c r="B8069" s="73"/>
    </row>
    <row r="8070" spans="2:2" x14ac:dyDescent="0.25">
      <c r="B8070" s="73"/>
    </row>
    <row r="8071" spans="2:2" x14ac:dyDescent="0.25">
      <c r="B8071" s="73"/>
    </row>
    <row r="8072" spans="2:2" x14ac:dyDescent="0.25">
      <c r="B8072" s="73"/>
    </row>
    <row r="8073" spans="2:2" x14ac:dyDescent="0.25">
      <c r="B8073" s="73"/>
    </row>
    <row r="8074" spans="2:2" x14ac:dyDescent="0.25">
      <c r="B8074" s="73"/>
    </row>
    <row r="8075" spans="2:2" x14ac:dyDescent="0.25">
      <c r="B8075" s="73"/>
    </row>
    <row r="8076" spans="2:2" x14ac:dyDescent="0.25">
      <c r="B8076" s="73"/>
    </row>
    <row r="8077" spans="2:2" x14ac:dyDescent="0.25">
      <c r="B8077" s="73"/>
    </row>
    <row r="8078" spans="2:2" x14ac:dyDescent="0.25">
      <c r="B8078" s="73"/>
    </row>
    <row r="8079" spans="2:2" x14ac:dyDescent="0.25">
      <c r="B8079" s="73"/>
    </row>
    <row r="8080" spans="2:2" x14ac:dyDescent="0.25">
      <c r="B8080" s="73"/>
    </row>
    <row r="8081" spans="2:2" x14ac:dyDescent="0.25">
      <c r="B8081" s="73"/>
    </row>
    <row r="8082" spans="2:2" x14ac:dyDescent="0.25">
      <c r="B8082" s="73"/>
    </row>
    <row r="8083" spans="2:2" x14ac:dyDescent="0.25">
      <c r="B8083" s="73"/>
    </row>
    <row r="8084" spans="2:2" x14ac:dyDescent="0.25">
      <c r="B8084" s="73"/>
    </row>
    <row r="8085" spans="2:2" x14ac:dyDescent="0.25">
      <c r="B8085" s="73"/>
    </row>
    <row r="8086" spans="2:2" x14ac:dyDescent="0.25">
      <c r="B8086" s="73"/>
    </row>
    <row r="8087" spans="2:2" x14ac:dyDescent="0.25">
      <c r="B8087" s="73"/>
    </row>
    <row r="8088" spans="2:2" x14ac:dyDescent="0.25">
      <c r="B8088" s="73"/>
    </row>
    <row r="8089" spans="2:2" x14ac:dyDescent="0.25">
      <c r="B8089" s="73"/>
    </row>
    <row r="8090" spans="2:2" x14ac:dyDescent="0.25">
      <c r="B8090" s="73"/>
    </row>
    <row r="8091" spans="2:2" x14ac:dyDescent="0.25">
      <c r="B8091" s="73"/>
    </row>
    <row r="8092" spans="2:2" x14ac:dyDescent="0.25">
      <c r="B8092" s="73"/>
    </row>
    <row r="8093" spans="2:2" x14ac:dyDescent="0.25">
      <c r="B8093" s="73"/>
    </row>
    <row r="8094" spans="2:2" x14ac:dyDescent="0.25">
      <c r="B8094" s="73"/>
    </row>
    <row r="8095" spans="2:2" x14ac:dyDescent="0.25">
      <c r="B8095" s="73"/>
    </row>
    <row r="8096" spans="2:2" x14ac:dyDescent="0.25">
      <c r="B8096" s="73"/>
    </row>
    <row r="8097" spans="2:2" x14ac:dyDescent="0.25">
      <c r="B8097" s="73"/>
    </row>
    <row r="8098" spans="2:2" x14ac:dyDescent="0.25">
      <c r="B8098" s="73"/>
    </row>
    <row r="8099" spans="2:2" x14ac:dyDescent="0.25">
      <c r="B8099" s="73"/>
    </row>
    <row r="8100" spans="2:2" x14ac:dyDescent="0.25">
      <c r="B8100" s="73"/>
    </row>
    <row r="8101" spans="2:2" x14ac:dyDescent="0.25">
      <c r="B8101" s="73"/>
    </row>
    <row r="8102" spans="2:2" x14ac:dyDescent="0.25">
      <c r="B8102" s="73"/>
    </row>
    <row r="8103" spans="2:2" x14ac:dyDescent="0.25">
      <c r="B8103" s="73"/>
    </row>
    <row r="8104" spans="2:2" x14ac:dyDescent="0.25">
      <c r="B8104" s="73"/>
    </row>
    <row r="8105" spans="2:2" x14ac:dyDescent="0.25">
      <c r="B8105" s="73"/>
    </row>
    <row r="8106" spans="2:2" x14ac:dyDescent="0.25">
      <c r="B8106" s="73"/>
    </row>
    <row r="8107" spans="2:2" x14ac:dyDescent="0.25">
      <c r="B8107" s="73"/>
    </row>
    <row r="8108" spans="2:2" x14ac:dyDescent="0.25">
      <c r="B8108" s="73"/>
    </row>
    <row r="8109" spans="2:2" x14ac:dyDescent="0.25">
      <c r="B8109" s="73"/>
    </row>
    <row r="8110" spans="2:2" x14ac:dyDescent="0.25">
      <c r="B8110" s="73"/>
    </row>
    <row r="8111" spans="2:2" x14ac:dyDescent="0.25">
      <c r="B8111" s="73"/>
    </row>
    <row r="8112" spans="2:2" x14ac:dyDescent="0.25">
      <c r="B8112" s="73"/>
    </row>
    <row r="8113" spans="2:2" x14ac:dyDescent="0.25">
      <c r="B8113" s="73"/>
    </row>
    <row r="8114" spans="2:2" x14ac:dyDescent="0.25">
      <c r="B8114" s="73"/>
    </row>
    <row r="8115" spans="2:2" x14ac:dyDescent="0.25">
      <c r="B8115" s="73"/>
    </row>
    <row r="8116" spans="2:2" x14ac:dyDescent="0.25">
      <c r="B8116" s="73"/>
    </row>
    <row r="8117" spans="2:2" x14ac:dyDescent="0.25">
      <c r="B8117" s="73"/>
    </row>
    <row r="8118" spans="2:2" x14ac:dyDescent="0.25">
      <c r="B8118" s="73"/>
    </row>
    <row r="8119" spans="2:2" x14ac:dyDescent="0.25">
      <c r="B8119" s="73"/>
    </row>
    <row r="8120" spans="2:2" x14ac:dyDescent="0.25">
      <c r="B8120" s="73"/>
    </row>
    <row r="8121" spans="2:2" x14ac:dyDescent="0.25">
      <c r="B8121" s="73"/>
    </row>
    <row r="8122" spans="2:2" x14ac:dyDescent="0.25">
      <c r="B8122" s="73"/>
    </row>
    <row r="8123" spans="2:2" x14ac:dyDescent="0.25">
      <c r="B8123" s="73"/>
    </row>
    <row r="8124" spans="2:2" x14ac:dyDescent="0.25">
      <c r="B8124" s="73"/>
    </row>
    <row r="8125" spans="2:2" x14ac:dyDescent="0.25">
      <c r="B8125" s="73"/>
    </row>
    <row r="8126" spans="2:2" x14ac:dyDescent="0.25">
      <c r="B8126" s="73"/>
    </row>
    <row r="8127" spans="2:2" x14ac:dyDescent="0.25">
      <c r="B8127" s="73"/>
    </row>
    <row r="8128" spans="2:2" x14ac:dyDescent="0.25">
      <c r="B8128" s="73"/>
    </row>
    <row r="8129" spans="2:2" x14ac:dyDescent="0.25">
      <c r="B8129" s="73"/>
    </row>
    <row r="8130" spans="2:2" x14ac:dyDescent="0.25">
      <c r="B8130" s="73"/>
    </row>
    <row r="8131" spans="2:2" x14ac:dyDescent="0.25">
      <c r="B8131" s="73"/>
    </row>
    <row r="8132" spans="2:2" x14ac:dyDescent="0.25">
      <c r="B8132" s="73"/>
    </row>
    <row r="8133" spans="2:2" x14ac:dyDescent="0.25">
      <c r="B8133" s="73"/>
    </row>
    <row r="8134" spans="2:2" x14ac:dyDescent="0.25">
      <c r="B8134" s="73"/>
    </row>
    <row r="8135" spans="2:2" x14ac:dyDescent="0.25">
      <c r="B8135" s="73"/>
    </row>
    <row r="8136" spans="2:2" x14ac:dyDescent="0.25">
      <c r="B8136" s="73"/>
    </row>
    <row r="8137" spans="2:2" x14ac:dyDescent="0.25">
      <c r="B8137" s="73"/>
    </row>
    <row r="8138" spans="2:2" x14ac:dyDescent="0.25">
      <c r="B8138" s="73"/>
    </row>
    <row r="8139" spans="2:2" x14ac:dyDescent="0.25">
      <c r="B8139" s="73"/>
    </row>
    <row r="8140" spans="2:2" x14ac:dyDescent="0.25">
      <c r="B8140" s="73"/>
    </row>
    <row r="8141" spans="2:2" x14ac:dyDescent="0.25">
      <c r="B8141" s="73"/>
    </row>
    <row r="8142" spans="2:2" x14ac:dyDescent="0.25">
      <c r="B8142" s="73"/>
    </row>
    <row r="8143" spans="2:2" x14ac:dyDescent="0.25">
      <c r="B8143" s="73"/>
    </row>
    <row r="8144" spans="2:2" x14ac:dyDescent="0.25">
      <c r="B8144" s="73"/>
    </row>
    <row r="8145" spans="2:2" x14ac:dyDescent="0.25">
      <c r="B8145" s="73"/>
    </row>
    <row r="8146" spans="2:2" x14ac:dyDescent="0.25">
      <c r="B8146" s="73"/>
    </row>
    <row r="8147" spans="2:2" x14ac:dyDescent="0.25">
      <c r="B8147" s="73"/>
    </row>
    <row r="8148" spans="2:2" x14ac:dyDescent="0.25">
      <c r="B8148" s="73"/>
    </row>
    <row r="8149" spans="2:2" x14ac:dyDescent="0.25">
      <c r="B8149" s="73"/>
    </row>
    <row r="8150" spans="2:2" x14ac:dyDescent="0.25">
      <c r="B8150" s="73"/>
    </row>
    <row r="8151" spans="2:2" x14ac:dyDescent="0.25">
      <c r="B8151" s="73"/>
    </row>
    <row r="8152" spans="2:2" x14ac:dyDescent="0.25">
      <c r="B8152" s="73"/>
    </row>
    <row r="8153" spans="2:2" x14ac:dyDescent="0.25">
      <c r="B8153" s="73"/>
    </row>
    <row r="8154" spans="2:2" x14ac:dyDescent="0.25">
      <c r="B8154" s="73"/>
    </row>
    <row r="8155" spans="2:2" x14ac:dyDescent="0.25">
      <c r="B8155" s="73"/>
    </row>
    <row r="8156" spans="2:2" x14ac:dyDescent="0.25">
      <c r="B8156" s="73"/>
    </row>
    <row r="8157" spans="2:2" x14ac:dyDescent="0.25">
      <c r="B8157" s="73"/>
    </row>
    <row r="8158" spans="2:2" x14ac:dyDescent="0.25">
      <c r="B8158" s="73"/>
    </row>
    <row r="8159" spans="2:2" x14ac:dyDescent="0.25">
      <c r="B8159" s="73"/>
    </row>
    <row r="8160" spans="2:2" x14ac:dyDescent="0.25">
      <c r="B8160" s="73"/>
    </row>
    <row r="8161" spans="2:2" x14ac:dyDescent="0.25">
      <c r="B8161" s="73"/>
    </row>
    <row r="8162" spans="2:2" x14ac:dyDescent="0.25">
      <c r="B8162" s="73"/>
    </row>
    <row r="8163" spans="2:2" x14ac:dyDescent="0.25">
      <c r="B8163" s="73"/>
    </row>
    <row r="8164" spans="2:2" x14ac:dyDescent="0.25">
      <c r="B8164" s="73"/>
    </row>
    <row r="8165" spans="2:2" x14ac:dyDescent="0.25">
      <c r="B8165" s="73"/>
    </row>
    <row r="8166" spans="2:2" x14ac:dyDescent="0.25">
      <c r="B8166" s="73"/>
    </row>
    <row r="8167" spans="2:2" x14ac:dyDescent="0.25">
      <c r="B8167" s="73"/>
    </row>
    <row r="8168" spans="2:2" x14ac:dyDescent="0.25">
      <c r="B8168" s="73"/>
    </row>
    <row r="8169" spans="2:2" x14ac:dyDescent="0.25">
      <c r="B8169" s="73"/>
    </row>
    <row r="8170" spans="2:2" x14ac:dyDescent="0.25">
      <c r="B8170" s="73"/>
    </row>
    <row r="8171" spans="2:2" x14ac:dyDescent="0.25">
      <c r="B8171" s="73"/>
    </row>
    <row r="8172" spans="2:2" x14ac:dyDescent="0.25">
      <c r="B8172" s="73"/>
    </row>
    <row r="8173" spans="2:2" x14ac:dyDescent="0.25">
      <c r="B8173" s="73"/>
    </row>
    <row r="8174" spans="2:2" x14ac:dyDescent="0.25">
      <c r="B8174" s="73"/>
    </row>
    <row r="8175" spans="2:2" x14ac:dyDescent="0.25">
      <c r="B8175" s="73"/>
    </row>
    <row r="8176" spans="2:2" x14ac:dyDescent="0.25">
      <c r="B8176" s="73"/>
    </row>
    <row r="8177" spans="2:2" x14ac:dyDescent="0.25">
      <c r="B8177" s="73"/>
    </row>
    <row r="8178" spans="2:2" x14ac:dyDescent="0.25">
      <c r="B8178" s="73"/>
    </row>
    <row r="8179" spans="2:2" x14ac:dyDescent="0.25">
      <c r="B8179" s="73"/>
    </row>
    <row r="8180" spans="2:2" x14ac:dyDescent="0.25">
      <c r="B8180" s="73"/>
    </row>
    <row r="8181" spans="2:2" x14ac:dyDescent="0.25">
      <c r="B8181" s="73"/>
    </row>
    <row r="8182" spans="2:2" x14ac:dyDescent="0.25">
      <c r="B8182" s="73"/>
    </row>
    <row r="8183" spans="2:2" x14ac:dyDescent="0.25">
      <c r="B8183" s="73"/>
    </row>
    <row r="8184" spans="2:2" x14ac:dyDescent="0.25">
      <c r="B8184" s="73"/>
    </row>
    <row r="8185" spans="2:2" x14ac:dyDescent="0.25">
      <c r="B8185" s="73"/>
    </row>
    <row r="8186" spans="2:2" x14ac:dyDescent="0.25">
      <c r="B8186" s="73"/>
    </row>
    <row r="8187" spans="2:2" x14ac:dyDescent="0.25">
      <c r="B8187" s="73"/>
    </row>
    <row r="8188" spans="2:2" x14ac:dyDescent="0.25">
      <c r="B8188" s="73"/>
    </row>
    <row r="8189" spans="2:2" x14ac:dyDescent="0.25">
      <c r="B8189" s="73"/>
    </row>
    <row r="8190" spans="2:2" x14ac:dyDescent="0.25">
      <c r="B8190" s="73"/>
    </row>
    <row r="8191" spans="2:2" x14ac:dyDescent="0.25">
      <c r="B8191" s="73"/>
    </row>
    <row r="8192" spans="2:2" x14ac:dyDescent="0.25">
      <c r="B8192" s="73"/>
    </row>
    <row r="8193" spans="2:2" x14ac:dyDescent="0.25">
      <c r="B8193" s="73"/>
    </row>
    <row r="8194" spans="2:2" x14ac:dyDescent="0.25">
      <c r="B8194" s="73"/>
    </row>
    <row r="8195" spans="2:2" x14ac:dyDescent="0.25">
      <c r="B8195" s="73"/>
    </row>
    <row r="8196" spans="2:2" x14ac:dyDescent="0.25">
      <c r="B8196" s="73"/>
    </row>
    <row r="8197" spans="2:2" x14ac:dyDescent="0.25">
      <c r="B8197" s="73"/>
    </row>
    <row r="8198" spans="2:2" x14ac:dyDescent="0.25">
      <c r="B8198" s="73"/>
    </row>
    <row r="8199" spans="2:2" x14ac:dyDescent="0.25">
      <c r="B8199" s="73"/>
    </row>
    <row r="8200" spans="2:2" x14ac:dyDescent="0.25">
      <c r="B8200" s="73"/>
    </row>
    <row r="8201" spans="2:2" x14ac:dyDescent="0.25">
      <c r="B8201" s="73"/>
    </row>
    <row r="8202" spans="2:2" x14ac:dyDescent="0.25">
      <c r="B8202" s="73"/>
    </row>
    <row r="8203" spans="2:2" x14ac:dyDescent="0.25">
      <c r="B8203" s="73"/>
    </row>
    <row r="8204" spans="2:2" x14ac:dyDescent="0.25">
      <c r="B8204" s="73"/>
    </row>
    <row r="8205" spans="2:2" x14ac:dyDescent="0.25">
      <c r="B8205" s="73"/>
    </row>
    <row r="8206" spans="2:2" x14ac:dyDescent="0.25">
      <c r="B8206" s="73"/>
    </row>
    <row r="8207" spans="2:2" x14ac:dyDescent="0.25">
      <c r="B8207" s="73"/>
    </row>
    <row r="8208" spans="2:2" x14ac:dyDescent="0.25">
      <c r="B8208" s="73"/>
    </row>
    <row r="8209" spans="2:2" x14ac:dyDescent="0.25">
      <c r="B8209" s="73"/>
    </row>
    <row r="8210" spans="2:2" x14ac:dyDescent="0.25">
      <c r="B8210" s="73"/>
    </row>
    <row r="8211" spans="2:2" x14ac:dyDescent="0.25">
      <c r="B8211" s="73"/>
    </row>
    <row r="8212" spans="2:2" x14ac:dyDescent="0.25">
      <c r="B8212" s="73"/>
    </row>
    <row r="8213" spans="2:2" x14ac:dyDescent="0.25">
      <c r="B8213" s="73"/>
    </row>
    <row r="8214" spans="2:2" x14ac:dyDescent="0.25">
      <c r="B8214" s="73"/>
    </row>
    <row r="8215" spans="2:2" x14ac:dyDescent="0.25">
      <c r="B8215" s="73"/>
    </row>
    <row r="8216" spans="2:2" x14ac:dyDescent="0.25">
      <c r="B8216" s="73"/>
    </row>
    <row r="8217" spans="2:2" x14ac:dyDescent="0.25">
      <c r="B8217" s="73"/>
    </row>
    <row r="8218" spans="2:2" x14ac:dyDescent="0.25">
      <c r="B8218" s="73"/>
    </row>
    <row r="8219" spans="2:2" x14ac:dyDescent="0.25">
      <c r="B8219" s="73"/>
    </row>
    <row r="8220" spans="2:2" x14ac:dyDescent="0.25">
      <c r="B8220" s="73"/>
    </row>
    <row r="8221" spans="2:2" x14ac:dyDescent="0.25">
      <c r="B8221" s="73"/>
    </row>
    <row r="8222" spans="2:2" x14ac:dyDescent="0.25">
      <c r="B8222" s="73"/>
    </row>
    <row r="8223" spans="2:2" x14ac:dyDescent="0.25">
      <c r="B8223" s="73"/>
    </row>
    <row r="8224" spans="2:2" x14ac:dyDescent="0.25">
      <c r="B8224" s="73"/>
    </row>
    <row r="8225" spans="2:2" x14ac:dyDescent="0.25">
      <c r="B8225" s="73"/>
    </row>
    <row r="8226" spans="2:2" x14ac:dyDescent="0.25">
      <c r="B8226" s="73"/>
    </row>
    <row r="8227" spans="2:2" x14ac:dyDescent="0.25">
      <c r="B8227" s="73"/>
    </row>
    <row r="8228" spans="2:2" x14ac:dyDescent="0.25">
      <c r="B8228" s="73"/>
    </row>
    <row r="8229" spans="2:2" x14ac:dyDescent="0.25">
      <c r="B8229" s="73"/>
    </row>
    <row r="8230" spans="2:2" x14ac:dyDescent="0.25">
      <c r="B8230" s="73"/>
    </row>
    <row r="8231" spans="2:2" x14ac:dyDescent="0.25">
      <c r="B8231" s="73"/>
    </row>
    <row r="8232" spans="2:2" x14ac:dyDescent="0.25">
      <c r="B8232" s="73"/>
    </row>
    <row r="8233" spans="2:2" x14ac:dyDescent="0.25">
      <c r="B8233" s="73"/>
    </row>
    <row r="8234" spans="2:2" x14ac:dyDescent="0.25">
      <c r="B8234" s="73"/>
    </row>
    <row r="8235" spans="2:2" x14ac:dyDescent="0.25">
      <c r="B8235" s="73"/>
    </row>
    <row r="8236" spans="2:2" x14ac:dyDescent="0.25">
      <c r="B8236" s="73"/>
    </row>
    <row r="8237" spans="2:2" x14ac:dyDescent="0.25">
      <c r="B8237" s="73"/>
    </row>
    <row r="8238" spans="2:2" x14ac:dyDescent="0.25">
      <c r="B8238" s="73"/>
    </row>
    <row r="8239" spans="2:2" x14ac:dyDescent="0.25">
      <c r="B8239" s="73"/>
    </row>
    <row r="8240" spans="2:2" x14ac:dyDescent="0.25">
      <c r="B8240" s="73"/>
    </row>
    <row r="8241" spans="2:2" x14ac:dyDescent="0.25">
      <c r="B8241" s="73"/>
    </row>
    <row r="8242" spans="2:2" x14ac:dyDescent="0.25">
      <c r="B8242" s="73"/>
    </row>
    <row r="8243" spans="2:2" x14ac:dyDescent="0.25">
      <c r="B8243" s="73"/>
    </row>
    <row r="8244" spans="2:2" x14ac:dyDescent="0.25">
      <c r="B8244" s="73"/>
    </row>
    <row r="8245" spans="2:2" x14ac:dyDescent="0.25">
      <c r="B8245" s="73"/>
    </row>
    <row r="8246" spans="2:2" x14ac:dyDescent="0.25">
      <c r="B8246" s="73"/>
    </row>
    <row r="8247" spans="2:2" x14ac:dyDescent="0.25">
      <c r="B8247" s="73"/>
    </row>
    <row r="8248" spans="2:2" x14ac:dyDescent="0.25">
      <c r="B8248" s="73"/>
    </row>
    <row r="8249" spans="2:2" x14ac:dyDescent="0.25">
      <c r="B8249" s="73"/>
    </row>
    <row r="8250" spans="2:2" x14ac:dyDescent="0.25">
      <c r="B8250" s="73"/>
    </row>
    <row r="8251" spans="2:2" x14ac:dyDescent="0.25">
      <c r="B8251" s="73"/>
    </row>
    <row r="8252" spans="2:2" x14ac:dyDescent="0.25">
      <c r="B8252" s="73"/>
    </row>
    <row r="8253" spans="2:2" x14ac:dyDescent="0.25">
      <c r="B8253" s="73"/>
    </row>
    <row r="8254" spans="2:2" x14ac:dyDescent="0.25">
      <c r="B8254" s="73"/>
    </row>
    <row r="8255" spans="2:2" x14ac:dyDescent="0.25">
      <c r="B8255" s="73"/>
    </row>
    <row r="8256" spans="2:2" x14ac:dyDescent="0.25">
      <c r="B8256" s="73"/>
    </row>
    <row r="8257" spans="2:2" x14ac:dyDescent="0.25">
      <c r="B8257" s="73"/>
    </row>
    <row r="8258" spans="2:2" x14ac:dyDescent="0.25">
      <c r="B8258" s="73"/>
    </row>
    <row r="8259" spans="2:2" x14ac:dyDescent="0.25">
      <c r="B8259" s="73"/>
    </row>
    <row r="8260" spans="2:2" x14ac:dyDescent="0.25">
      <c r="B8260" s="73"/>
    </row>
    <row r="8261" spans="2:2" x14ac:dyDescent="0.25">
      <c r="B8261" s="73"/>
    </row>
    <row r="8262" spans="2:2" x14ac:dyDescent="0.25">
      <c r="B8262" s="73"/>
    </row>
    <row r="8263" spans="2:2" x14ac:dyDescent="0.25">
      <c r="B8263" s="73"/>
    </row>
    <row r="8264" spans="2:2" x14ac:dyDescent="0.25">
      <c r="B8264" s="73"/>
    </row>
    <row r="8265" spans="2:2" x14ac:dyDescent="0.25">
      <c r="B8265" s="73"/>
    </row>
    <row r="8266" spans="2:2" x14ac:dyDescent="0.25">
      <c r="B8266" s="73"/>
    </row>
    <row r="8267" spans="2:2" x14ac:dyDescent="0.25">
      <c r="B8267" s="73"/>
    </row>
    <row r="8268" spans="2:2" x14ac:dyDescent="0.25">
      <c r="B8268" s="73"/>
    </row>
    <row r="8269" spans="2:2" x14ac:dyDescent="0.25">
      <c r="B8269" s="73"/>
    </row>
    <row r="8270" spans="2:2" x14ac:dyDescent="0.25">
      <c r="B8270" s="73"/>
    </row>
    <row r="8271" spans="2:2" x14ac:dyDescent="0.25">
      <c r="B8271" s="73"/>
    </row>
    <row r="8272" spans="2:2" x14ac:dyDescent="0.25">
      <c r="B8272" s="73"/>
    </row>
    <row r="8273" spans="2:2" x14ac:dyDescent="0.25">
      <c r="B8273" s="73"/>
    </row>
    <row r="8274" spans="2:2" x14ac:dyDescent="0.25">
      <c r="B8274" s="73"/>
    </row>
    <row r="8275" spans="2:2" x14ac:dyDescent="0.25">
      <c r="B8275" s="73"/>
    </row>
    <row r="8276" spans="2:2" x14ac:dyDescent="0.25">
      <c r="B8276" s="73"/>
    </row>
    <row r="8277" spans="2:2" x14ac:dyDescent="0.25">
      <c r="B8277" s="73"/>
    </row>
    <row r="8278" spans="2:2" x14ac:dyDescent="0.25">
      <c r="B8278" s="73"/>
    </row>
    <row r="8279" spans="2:2" x14ac:dyDescent="0.25">
      <c r="B8279" s="73"/>
    </row>
    <row r="8280" spans="2:2" x14ac:dyDescent="0.25">
      <c r="B8280" s="73"/>
    </row>
    <row r="8281" spans="2:2" x14ac:dyDescent="0.25">
      <c r="B8281" s="73"/>
    </row>
    <row r="8282" spans="2:2" x14ac:dyDescent="0.25">
      <c r="B8282" s="73"/>
    </row>
    <row r="8283" spans="2:2" x14ac:dyDescent="0.25">
      <c r="B8283" s="73"/>
    </row>
    <row r="8284" spans="2:2" x14ac:dyDescent="0.25">
      <c r="B8284" s="73"/>
    </row>
    <row r="8285" spans="2:2" x14ac:dyDescent="0.25">
      <c r="B8285" s="73"/>
    </row>
    <row r="8286" spans="2:2" x14ac:dyDescent="0.25">
      <c r="B8286" s="73"/>
    </row>
    <row r="8287" spans="2:2" x14ac:dyDescent="0.25">
      <c r="B8287" s="73"/>
    </row>
    <row r="8288" spans="2:2" x14ac:dyDescent="0.25">
      <c r="B8288" s="73"/>
    </row>
    <row r="8289" spans="2:2" x14ac:dyDescent="0.25">
      <c r="B8289" s="73"/>
    </row>
    <row r="8290" spans="2:2" x14ac:dyDescent="0.25">
      <c r="B8290" s="73"/>
    </row>
    <row r="8291" spans="2:2" x14ac:dyDescent="0.25">
      <c r="B8291" s="73"/>
    </row>
    <row r="8292" spans="2:2" x14ac:dyDescent="0.25">
      <c r="B8292" s="73"/>
    </row>
    <row r="8293" spans="2:2" x14ac:dyDescent="0.25">
      <c r="B8293" s="73"/>
    </row>
    <row r="8294" spans="2:2" x14ac:dyDescent="0.25">
      <c r="B8294" s="73"/>
    </row>
    <row r="8295" spans="2:2" x14ac:dyDescent="0.25">
      <c r="B8295" s="73"/>
    </row>
    <row r="8296" spans="2:2" x14ac:dyDescent="0.25">
      <c r="B8296" s="73"/>
    </row>
    <row r="8297" spans="2:2" x14ac:dyDescent="0.25">
      <c r="B8297" s="73"/>
    </row>
    <row r="8298" spans="2:2" x14ac:dyDescent="0.25">
      <c r="B8298" s="73"/>
    </row>
    <row r="8299" spans="2:2" x14ac:dyDescent="0.25">
      <c r="B8299" s="73"/>
    </row>
    <row r="8300" spans="2:2" x14ac:dyDescent="0.25">
      <c r="B8300" s="73"/>
    </row>
    <row r="8301" spans="2:2" x14ac:dyDescent="0.25">
      <c r="B8301" s="73"/>
    </row>
    <row r="8302" spans="2:2" x14ac:dyDescent="0.25">
      <c r="B8302" s="73"/>
    </row>
    <row r="8303" spans="2:2" x14ac:dyDescent="0.25">
      <c r="B8303" s="73"/>
    </row>
    <row r="8304" spans="2:2" x14ac:dyDescent="0.25">
      <c r="B8304" s="73"/>
    </row>
    <row r="8305" spans="2:2" x14ac:dyDescent="0.25">
      <c r="B8305" s="73"/>
    </row>
    <row r="8306" spans="2:2" x14ac:dyDescent="0.25">
      <c r="B8306" s="73"/>
    </row>
    <row r="8307" spans="2:2" x14ac:dyDescent="0.25">
      <c r="B8307" s="73"/>
    </row>
    <row r="8308" spans="2:2" x14ac:dyDescent="0.25">
      <c r="B8308" s="73"/>
    </row>
    <row r="8309" spans="2:2" x14ac:dyDescent="0.25">
      <c r="B8309" s="73"/>
    </row>
    <row r="8310" spans="2:2" x14ac:dyDescent="0.25">
      <c r="B8310" s="73"/>
    </row>
    <row r="8311" spans="2:2" x14ac:dyDescent="0.25">
      <c r="B8311" s="73"/>
    </row>
    <row r="8312" spans="2:2" x14ac:dyDescent="0.25">
      <c r="B8312" s="73"/>
    </row>
    <row r="8313" spans="2:2" x14ac:dyDescent="0.25">
      <c r="B8313" s="73"/>
    </row>
    <row r="8314" spans="2:2" x14ac:dyDescent="0.25">
      <c r="B8314" s="73"/>
    </row>
    <row r="8315" spans="2:2" x14ac:dyDescent="0.25">
      <c r="B8315" s="73"/>
    </row>
    <row r="8316" spans="2:2" x14ac:dyDescent="0.25">
      <c r="B8316" s="73"/>
    </row>
    <row r="8317" spans="2:2" x14ac:dyDescent="0.25">
      <c r="B8317" s="73"/>
    </row>
    <row r="8318" spans="2:2" x14ac:dyDescent="0.25">
      <c r="B8318" s="73"/>
    </row>
    <row r="8319" spans="2:2" x14ac:dyDescent="0.25">
      <c r="B8319" s="73"/>
    </row>
    <row r="8320" spans="2:2" x14ac:dyDescent="0.25">
      <c r="B8320" s="73"/>
    </row>
    <row r="8321" spans="2:2" x14ac:dyDescent="0.25">
      <c r="B8321" s="73"/>
    </row>
    <row r="8322" spans="2:2" x14ac:dyDescent="0.25">
      <c r="B8322" s="73"/>
    </row>
    <row r="8323" spans="2:2" x14ac:dyDescent="0.25">
      <c r="B8323" s="73"/>
    </row>
    <row r="8324" spans="2:2" x14ac:dyDescent="0.25">
      <c r="B8324" s="73"/>
    </row>
    <row r="8325" spans="2:2" x14ac:dyDescent="0.25">
      <c r="B8325" s="73"/>
    </row>
    <row r="8326" spans="2:2" x14ac:dyDescent="0.25">
      <c r="B8326" s="73"/>
    </row>
    <row r="8327" spans="2:2" x14ac:dyDescent="0.25">
      <c r="B8327" s="73"/>
    </row>
    <row r="8328" spans="2:2" x14ac:dyDescent="0.25">
      <c r="B8328" s="73"/>
    </row>
    <row r="8329" spans="2:2" x14ac:dyDescent="0.25">
      <c r="B8329" s="73"/>
    </row>
    <row r="8330" spans="2:2" x14ac:dyDescent="0.25">
      <c r="B8330" s="73"/>
    </row>
    <row r="8331" spans="2:2" x14ac:dyDescent="0.25">
      <c r="B8331" s="73"/>
    </row>
    <row r="8332" spans="2:2" x14ac:dyDescent="0.25">
      <c r="B8332" s="73"/>
    </row>
    <row r="8333" spans="2:2" x14ac:dyDescent="0.25">
      <c r="B8333" s="73"/>
    </row>
    <row r="8334" spans="2:2" x14ac:dyDescent="0.25">
      <c r="B8334" s="73"/>
    </row>
    <row r="8335" spans="2:2" x14ac:dyDescent="0.25">
      <c r="B8335" s="73"/>
    </row>
    <row r="8336" spans="2:2" x14ac:dyDescent="0.25">
      <c r="B8336" s="73"/>
    </row>
    <row r="8337" spans="2:2" x14ac:dyDescent="0.25">
      <c r="B8337" s="73"/>
    </row>
    <row r="8338" spans="2:2" x14ac:dyDescent="0.25">
      <c r="B8338" s="73"/>
    </row>
    <row r="8339" spans="2:2" x14ac:dyDescent="0.25">
      <c r="B8339" s="73"/>
    </row>
    <row r="8340" spans="2:2" x14ac:dyDescent="0.25">
      <c r="B8340" s="73"/>
    </row>
    <row r="8341" spans="2:2" x14ac:dyDescent="0.25">
      <c r="B8341" s="73"/>
    </row>
    <row r="8342" spans="2:2" x14ac:dyDescent="0.25">
      <c r="B8342" s="73"/>
    </row>
    <row r="8343" spans="2:2" x14ac:dyDescent="0.25">
      <c r="B8343" s="73"/>
    </row>
    <row r="8344" spans="2:2" x14ac:dyDescent="0.25">
      <c r="B8344" s="73"/>
    </row>
    <row r="8345" spans="2:2" x14ac:dyDescent="0.25">
      <c r="B8345" s="73"/>
    </row>
    <row r="8346" spans="2:2" x14ac:dyDescent="0.25">
      <c r="B8346" s="73"/>
    </row>
    <row r="8347" spans="2:2" x14ac:dyDescent="0.25">
      <c r="B8347" s="73"/>
    </row>
    <row r="8348" spans="2:2" x14ac:dyDescent="0.25">
      <c r="B8348" s="73"/>
    </row>
    <row r="8349" spans="2:2" x14ac:dyDescent="0.25">
      <c r="B8349" s="73"/>
    </row>
    <row r="8350" spans="2:2" x14ac:dyDescent="0.25">
      <c r="B8350" s="73"/>
    </row>
    <row r="8351" spans="2:2" x14ac:dyDescent="0.25">
      <c r="B8351" s="73"/>
    </row>
    <row r="8352" spans="2:2" x14ac:dyDescent="0.25">
      <c r="B8352" s="73"/>
    </row>
    <row r="8353" spans="2:2" x14ac:dyDescent="0.25">
      <c r="B8353" s="73"/>
    </row>
    <row r="8354" spans="2:2" x14ac:dyDescent="0.25">
      <c r="B8354" s="73"/>
    </row>
    <row r="8355" spans="2:2" x14ac:dyDescent="0.25">
      <c r="B8355" s="73"/>
    </row>
    <row r="8356" spans="2:2" x14ac:dyDescent="0.25">
      <c r="B8356" s="73"/>
    </row>
    <row r="8357" spans="2:2" x14ac:dyDescent="0.25">
      <c r="B8357" s="73"/>
    </row>
    <row r="8358" spans="2:2" x14ac:dyDescent="0.25">
      <c r="B8358" s="73"/>
    </row>
    <row r="8359" spans="2:2" x14ac:dyDescent="0.25">
      <c r="B8359" s="73"/>
    </row>
    <row r="8360" spans="2:2" x14ac:dyDescent="0.25">
      <c r="B8360" s="73"/>
    </row>
    <row r="8361" spans="2:2" x14ac:dyDescent="0.25">
      <c r="B8361" s="73"/>
    </row>
    <row r="8362" spans="2:2" x14ac:dyDescent="0.25">
      <c r="B8362" s="73"/>
    </row>
    <row r="8363" spans="2:2" x14ac:dyDescent="0.25">
      <c r="B8363" s="73"/>
    </row>
    <row r="8364" spans="2:2" x14ac:dyDescent="0.25">
      <c r="B8364" s="73"/>
    </row>
    <row r="8365" spans="2:2" x14ac:dyDescent="0.25">
      <c r="B8365" s="73"/>
    </row>
    <row r="8366" spans="2:2" x14ac:dyDescent="0.25">
      <c r="B8366" s="73"/>
    </row>
    <row r="8367" spans="2:2" x14ac:dyDescent="0.25">
      <c r="B8367" s="73"/>
    </row>
    <row r="8368" spans="2:2" x14ac:dyDescent="0.25">
      <c r="B8368" s="73"/>
    </row>
    <row r="8369" spans="2:2" x14ac:dyDescent="0.25">
      <c r="B8369" s="73"/>
    </row>
    <row r="8370" spans="2:2" x14ac:dyDescent="0.25">
      <c r="B8370" s="73"/>
    </row>
    <row r="8371" spans="2:2" x14ac:dyDescent="0.25">
      <c r="B8371" s="73"/>
    </row>
    <row r="8372" spans="2:2" x14ac:dyDescent="0.25">
      <c r="B8372" s="73"/>
    </row>
    <row r="8373" spans="2:2" x14ac:dyDescent="0.25">
      <c r="B8373" s="73"/>
    </row>
    <row r="8374" spans="2:2" x14ac:dyDescent="0.25">
      <c r="B8374" s="73"/>
    </row>
    <row r="8375" spans="2:2" x14ac:dyDescent="0.25">
      <c r="B8375" s="73"/>
    </row>
    <row r="8376" spans="2:2" x14ac:dyDescent="0.25">
      <c r="B8376" s="73"/>
    </row>
    <row r="8377" spans="2:2" x14ac:dyDescent="0.25">
      <c r="B8377" s="73"/>
    </row>
    <row r="8378" spans="2:2" x14ac:dyDescent="0.25">
      <c r="B8378" s="73"/>
    </row>
    <row r="8379" spans="2:2" x14ac:dyDescent="0.25">
      <c r="B8379" s="73"/>
    </row>
    <row r="8380" spans="2:2" x14ac:dyDescent="0.25">
      <c r="B8380" s="73"/>
    </row>
    <row r="8381" spans="2:2" x14ac:dyDescent="0.25">
      <c r="B8381" s="73"/>
    </row>
    <row r="8382" spans="2:2" x14ac:dyDescent="0.25">
      <c r="B8382" s="73"/>
    </row>
    <row r="8383" spans="2:2" x14ac:dyDescent="0.25">
      <c r="B8383" s="73"/>
    </row>
    <row r="8384" spans="2:2" x14ac:dyDescent="0.25">
      <c r="B8384" s="73"/>
    </row>
    <row r="8385" spans="2:2" x14ac:dyDescent="0.25">
      <c r="B8385" s="73"/>
    </row>
    <row r="8386" spans="2:2" x14ac:dyDescent="0.25">
      <c r="B8386" s="73"/>
    </row>
    <row r="8387" spans="2:2" x14ac:dyDescent="0.25">
      <c r="B8387" s="73"/>
    </row>
    <row r="8388" spans="2:2" x14ac:dyDescent="0.25">
      <c r="B8388" s="73"/>
    </row>
    <row r="8389" spans="2:2" x14ac:dyDescent="0.25">
      <c r="B8389" s="73"/>
    </row>
    <row r="8390" spans="2:2" x14ac:dyDescent="0.25">
      <c r="B8390" s="73"/>
    </row>
    <row r="8391" spans="2:2" x14ac:dyDescent="0.25">
      <c r="B8391" s="73"/>
    </row>
    <row r="8392" spans="2:2" x14ac:dyDescent="0.25">
      <c r="B8392" s="73"/>
    </row>
    <row r="8393" spans="2:2" x14ac:dyDescent="0.25">
      <c r="B8393" s="73"/>
    </row>
    <row r="8394" spans="2:2" x14ac:dyDescent="0.25">
      <c r="B8394" s="73"/>
    </row>
    <row r="8395" spans="2:2" x14ac:dyDescent="0.25">
      <c r="B8395" s="73"/>
    </row>
    <row r="8396" spans="2:2" x14ac:dyDescent="0.25">
      <c r="B8396" s="73"/>
    </row>
    <row r="8397" spans="2:2" x14ac:dyDescent="0.25">
      <c r="B8397" s="73"/>
    </row>
    <row r="8398" spans="2:2" x14ac:dyDescent="0.25">
      <c r="B8398" s="73"/>
    </row>
    <row r="8399" spans="2:2" x14ac:dyDescent="0.25">
      <c r="B8399" s="73"/>
    </row>
    <row r="8400" spans="2:2" x14ac:dyDescent="0.25">
      <c r="B8400" s="73"/>
    </row>
    <row r="8401" spans="2:2" x14ac:dyDescent="0.25">
      <c r="B8401" s="73"/>
    </row>
    <row r="8402" spans="2:2" x14ac:dyDescent="0.25">
      <c r="B8402" s="73"/>
    </row>
    <row r="8403" spans="2:2" x14ac:dyDescent="0.25">
      <c r="B8403" s="73"/>
    </row>
    <row r="8404" spans="2:2" x14ac:dyDescent="0.25">
      <c r="B8404" s="73"/>
    </row>
    <row r="8405" spans="2:2" x14ac:dyDescent="0.25">
      <c r="B8405" s="73"/>
    </row>
    <row r="8406" spans="2:2" x14ac:dyDescent="0.25">
      <c r="B8406" s="73"/>
    </row>
    <row r="8407" spans="2:2" x14ac:dyDescent="0.25">
      <c r="B8407" s="73"/>
    </row>
    <row r="8408" spans="2:2" x14ac:dyDescent="0.25">
      <c r="B8408" s="73"/>
    </row>
    <row r="8409" spans="2:2" x14ac:dyDescent="0.25">
      <c r="B8409" s="73"/>
    </row>
    <row r="8410" spans="2:2" x14ac:dyDescent="0.25">
      <c r="B8410" s="73"/>
    </row>
    <row r="8411" spans="2:2" x14ac:dyDescent="0.25">
      <c r="B8411" s="73"/>
    </row>
    <row r="8412" spans="2:2" x14ac:dyDescent="0.25">
      <c r="B8412" s="73"/>
    </row>
    <row r="8413" spans="2:2" x14ac:dyDescent="0.25">
      <c r="B8413" s="73"/>
    </row>
    <row r="8414" spans="2:2" x14ac:dyDescent="0.25">
      <c r="B8414" s="73"/>
    </row>
    <row r="8415" spans="2:2" x14ac:dyDescent="0.25">
      <c r="B8415" s="73"/>
    </row>
    <row r="8416" spans="2:2" x14ac:dyDescent="0.25">
      <c r="B8416" s="73"/>
    </row>
    <row r="8417" spans="2:2" x14ac:dyDescent="0.25">
      <c r="B8417" s="73"/>
    </row>
    <row r="8418" spans="2:2" x14ac:dyDescent="0.25">
      <c r="B8418" s="73"/>
    </row>
    <row r="8419" spans="2:2" x14ac:dyDescent="0.25">
      <c r="B8419" s="73"/>
    </row>
    <row r="8420" spans="2:2" x14ac:dyDescent="0.25">
      <c r="B8420" s="73"/>
    </row>
    <row r="8421" spans="2:2" x14ac:dyDescent="0.25">
      <c r="B8421" s="73"/>
    </row>
    <row r="8422" spans="2:2" x14ac:dyDescent="0.25">
      <c r="B8422" s="73"/>
    </row>
    <row r="8423" spans="2:2" x14ac:dyDescent="0.25">
      <c r="B8423" s="73"/>
    </row>
    <row r="8424" spans="2:2" x14ac:dyDescent="0.25">
      <c r="B8424" s="73"/>
    </row>
    <row r="8425" spans="2:2" x14ac:dyDescent="0.25">
      <c r="B8425" s="73"/>
    </row>
    <row r="8426" spans="2:2" x14ac:dyDescent="0.25">
      <c r="B8426" s="73"/>
    </row>
    <row r="8427" spans="2:2" x14ac:dyDescent="0.25">
      <c r="B8427" s="73"/>
    </row>
    <row r="8428" spans="2:2" x14ac:dyDescent="0.25">
      <c r="B8428" s="73"/>
    </row>
    <row r="8429" spans="2:2" x14ac:dyDescent="0.25">
      <c r="B8429" s="73"/>
    </row>
    <row r="8430" spans="2:2" x14ac:dyDescent="0.25">
      <c r="B8430" s="73"/>
    </row>
    <row r="8431" spans="2:2" x14ac:dyDescent="0.25">
      <c r="B8431" s="73"/>
    </row>
    <row r="8432" spans="2:2" x14ac:dyDescent="0.25">
      <c r="B8432" s="73"/>
    </row>
    <row r="8433" spans="2:2" x14ac:dyDescent="0.25">
      <c r="B8433" s="73"/>
    </row>
    <row r="8434" spans="2:2" x14ac:dyDescent="0.25">
      <c r="B8434" s="73"/>
    </row>
    <row r="8435" spans="2:2" x14ac:dyDescent="0.25">
      <c r="B8435" s="73"/>
    </row>
    <row r="8436" spans="2:2" x14ac:dyDescent="0.25">
      <c r="B8436" s="73"/>
    </row>
    <row r="8437" spans="2:2" x14ac:dyDescent="0.25">
      <c r="B8437" s="73"/>
    </row>
    <row r="8438" spans="2:2" x14ac:dyDescent="0.25">
      <c r="B8438" s="73"/>
    </row>
    <row r="8439" spans="2:2" x14ac:dyDescent="0.25">
      <c r="B8439" s="73"/>
    </row>
    <row r="8440" spans="2:2" x14ac:dyDescent="0.25">
      <c r="B8440" s="73"/>
    </row>
    <row r="8441" spans="2:2" x14ac:dyDescent="0.25">
      <c r="B8441" s="73"/>
    </row>
    <row r="8442" spans="2:2" x14ac:dyDescent="0.25">
      <c r="B8442" s="73"/>
    </row>
    <row r="8443" spans="2:2" x14ac:dyDescent="0.25">
      <c r="B8443" s="73"/>
    </row>
    <row r="8444" spans="2:2" x14ac:dyDescent="0.25">
      <c r="B8444" s="73"/>
    </row>
    <row r="8445" spans="2:2" x14ac:dyDescent="0.25">
      <c r="B8445" s="73"/>
    </row>
    <row r="8446" spans="2:2" x14ac:dyDescent="0.25">
      <c r="B8446" s="73"/>
    </row>
    <row r="8447" spans="2:2" x14ac:dyDescent="0.25">
      <c r="B8447" s="73"/>
    </row>
    <row r="8448" spans="2:2" x14ac:dyDescent="0.25">
      <c r="B8448" s="73"/>
    </row>
    <row r="8449" spans="2:2" x14ac:dyDescent="0.25">
      <c r="B8449" s="73"/>
    </row>
    <row r="8450" spans="2:2" x14ac:dyDescent="0.25">
      <c r="B8450" s="73"/>
    </row>
    <row r="8451" spans="2:2" x14ac:dyDescent="0.25">
      <c r="B8451" s="73"/>
    </row>
    <row r="8452" spans="2:2" x14ac:dyDescent="0.25">
      <c r="B8452" s="73"/>
    </row>
    <row r="8453" spans="2:2" x14ac:dyDescent="0.25">
      <c r="B8453" s="73"/>
    </row>
    <row r="8454" spans="2:2" x14ac:dyDescent="0.25">
      <c r="B8454" s="73"/>
    </row>
    <row r="8455" spans="2:2" x14ac:dyDescent="0.25">
      <c r="B8455" s="73"/>
    </row>
    <row r="8456" spans="2:2" x14ac:dyDescent="0.25">
      <c r="B8456" s="73"/>
    </row>
    <row r="8457" spans="2:2" x14ac:dyDescent="0.25">
      <c r="B8457" s="73"/>
    </row>
    <row r="8458" spans="2:2" x14ac:dyDescent="0.25">
      <c r="B8458" s="73"/>
    </row>
    <row r="8459" spans="2:2" x14ac:dyDescent="0.25">
      <c r="B8459" s="73"/>
    </row>
    <row r="8460" spans="2:2" x14ac:dyDescent="0.25">
      <c r="B8460" s="73"/>
    </row>
    <row r="8461" spans="2:2" x14ac:dyDescent="0.25">
      <c r="B8461" s="73"/>
    </row>
    <row r="8462" spans="2:2" x14ac:dyDescent="0.25">
      <c r="B8462" s="73"/>
    </row>
    <row r="8463" spans="2:2" x14ac:dyDescent="0.25">
      <c r="B8463" s="73"/>
    </row>
    <row r="8464" spans="2:2" x14ac:dyDescent="0.25">
      <c r="B8464" s="73"/>
    </row>
    <row r="8465" spans="2:2" x14ac:dyDescent="0.25">
      <c r="B8465" s="73"/>
    </row>
    <row r="8466" spans="2:2" x14ac:dyDescent="0.25">
      <c r="B8466" s="73"/>
    </row>
    <row r="8467" spans="2:2" x14ac:dyDescent="0.25">
      <c r="B8467" s="73"/>
    </row>
    <row r="8468" spans="2:2" x14ac:dyDescent="0.25">
      <c r="B8468" s="73"/>
    </row>
    <row r="8469" spans="2:2" x14ac:dyDescent="0.25">
      <c r="B8469" s="73"/>
    </row>
    <row r="8470" spans="2:2" x14ac:dyDescent="0.25">
      <c r="B8470" s="73"/>
    </row>
    <row r="8471" spans="2:2" x14ac:dyDescent="0.25">
      <c r="B8471" s="73"/>
    </row>
    <row r="8472" spans="2:2" x14ac:dyDescent="0.25">
      <c r="B8472" s="73"/>
    </row>
    <row r="8473" spans="2:2" x14ac:dyDescent="0.25">
      <c r="B8473" s="73"/>
    </row>
    <row r="8474" spans="2:2" x14ac:dyDescent="0.25">
      <c r="B8474" s="73"/>
    </row>
    <row r="8475" spans="2:2" x14ac:dyDescent="0.25">
      <c r="B8475" s="73"/>
    </row>
    <row r="8476" spans="2:2" x14ac:dyDescent="0.25">
      <c r="B8476" s="73"/>
    </row>
    <row r="8477" spans="2:2" x14ac:dyDescent="0.25">
      <c r="B8477" s="73"/>
    </row>
    <row r="8478" spans="2:2" x14ac:dyDescent="0.25">
      <c r="B8478" s="73"/>
    </row>
    <row r="8479" spans="2:2" x14ac:dyDescent="0.25">
      <c r="B8479" s="73"/>
    </row>
    <row r="8480" spans="2:2" x14ac:dyDescent="0.25">
      <c r="B8480" s="73"/>
    </row>
    <row r="8481" spans="2:2" x14ac:dyDescent="0.25">
      <c r="B8481" s="73"/>
    </row>
    <row r="8482" spans="2:2" x14ac:dyDescent="0.25">
      <c r="B8482" s="73"/>
    </row>
    <row r="8483" spans="2:2" x14ac:dyDescent="0.25">
      <c r="B8483" s="73"/>
    </row>
    <row r="8484" spans="2:2" x14ac:dyDescent="0.25">
      <c r="B8484" s="73"/>
    </row>
    <row r="8485" spans="2:2" x14ac:dyDescent="0.25">
      <c r="B8485" s="73"/>
    </row>
    <row r="8486" spans="2:2" x14ac:dyDescent="0.25">
      <c r="B8486" s="73"/>
    </row>
    <row r="8487" spans="2:2" x14ac:dyDescent="0.25">
      <c r="B8487" s="73"/>
    </row>
    <row r="8488" spans="2:2" x14ac:dyDescent="0.25">
      <c r="B8488" s="73"/>
    </row>
    <row r="8489" spans="2:2" x14ac:dyDescent="0.25">
      <c r="B8489" s="73"/>
    </row>
    <row r="8490" spans="2:2" x14ac:dyDescent="0.25">
      <c r="B8490" s="73"/>
    </row>
    <row r="8491" spans="2:2" x14ac:dyDescent="0.25">
      <c r="B8491" s="73"/>
    </row>
    <row r="8492" spans="2:2" x14ac:dyDescent="0.25">
      <c r="B8492" s="73"/>
    </row>
    <row r="8493" spans="2:2" x14ac:dyDescent="0.25">
      <c r="B8493" s="73"/>
    </row>
    <row r="8494" spans="2:2" x14ac:dyDescent="0.25">
      <c r="B8494" s="73"/>
    </row>
    <row r="8495" spans="2:2" x14ac:dyDescent="0.25">
      <c r="B8495" s="73"/>
    </row>
    <row r="8496" spans="2:2" x14ac:dyDescent="0.25">
      <c r="B8496" s="73"/>
    </row>
    <row r="8497" spans="2:2" x14ac:dyDescent="0.25">
      <c r="B8497" s="73"/>
    </row>
    <row r="8498" spans="2:2" x14ac:dyDescent="0.25">
      <c r="B8498" s="73"/>
    </row>
    <row r="8499" spans="2:2" x14ac:dyDescent="0.25">
      <c r="B8499" s="73"/>
    </row>
    <row r="8500" spans="2:2" x14ac:dyDescent="0.25">
      <c r="B8500" s="73"/>
    </row>
    <row r="8501" spans="2:2" x14ac:dyDescent="0.25">
      <c r="B8501" s="73"/>
    </row>
    <row r="8502" spans="2:2" x14ac:dyDescent="0.25">
      <c r="B8502" s="73"/>
    </row>
    <row r="8503" spans="2:2" x14ac:dyDescent="0.25">
      <c r="B8503" s="73"/>
    </row>
    <row r="8504" spans="2:2" x14ac:dyDescent="0.25">
      <c r="B8504" s="73"/>
    </row>
    <row r="8505" spans="2:2" x14ac:dyDescent="0.25">
      <c r="B8505" s="73"/>
    </row>
    <row r="8506" spans="2:2" x14ac:dyDescent="0.25">
      <c r="B8506" s="73"/>
    </row>
    <row r="8507" spans="2:2" x14ac:dyDescent="0.25">
      <c r="B8507" s="73"/>
    </row>
    <row r="8508" spans="2:2" x14ac:dyDescent="0.25">
      <c r="B8508" s="73"/>
    </row>
    <row r="8509" spans="2:2" x14ac:dyDescent="0.25">
      <c r="B8509" s="73"/>
    </row>
    <row r="8510" spans="2:2" x14ac:dyDescent="0.25">
      <c r="B8510" s="73"/>
    </row>
    <row r="8511" spans="2:2" x14ac:dyDescent="0.25">
      <c r="B8511" s="73"/>
    </row>
    <row r="8512" spans="2:2" x14ac:dyDescent="0.25">
      <c r="B8512" s="73"/>
    </row>
    <row r="8513" spans="2:2" x14ac:dyDescent="0.25">
      <c r="B8513" s="73"/>
    </row>
    <row r="8514" spans="2:2" x14ac:dyDescent="0.25">
      <c r="B8514" s="73"/>
    </row>
    <row r="8515" spans="2:2" x14ac:dyDescent="0.25">
      <c r="B8515" s="73"/>
    </row>
    <row r="8516" spans="2:2" x14ac:dyDescent="0.25">
      <c r="B8516" s="73"/>
    </row>
    <row r="8517" spans="2:2" x14ac:dyDescent="0.25">
      <c r="B8517" s="73"/>
    </row>
    <row r="8518" spans="2:2" x14ac:dyDescent="0.25">
      <c r="B8518" s="73"/>
    </row>
    <row r="8519" spans="2:2" x14ac:dyDescent="0.25">
      <c r="B8519" s="73"/>
    </row>
    <row r="8520" spans="2:2" x14ac:dyDescent="0.25">
      <c r="B8520" s="73"/>
    </row>
    <row r="8521" spans="2:2" x14ac:dyDescent="0.25">
      <c r="B8521" s="73"/>
    </row>
    <row r="8522" spans="2:2" x14ac:dyDescent="0.25">
      <c r="B8522" s="73"/>
    </row>
    <row r="8523" spans="2:2" x14ac:dyDescent="0.25">
      <c r="B8523" s="73"/>
    </row>
    <row r="8524" spans="2:2" x14ac:dyDescent="0.25">
      <c r="B8524" s="73"/>
    </row>
    <row r="8525" spans="2:2" x14ac:dyDescent="0.25">
      <c r="B8525" s="73"/>
    </row>
    <row r="8526" spans="2:2" x14ac:dyDescent="0.25">
      <c r="B8526" s="73"/>
    </row>
    <row r="8527" spans="2:2" x14ac:dyDescent="0.25">
      <c r="B8527" s="73"/>
    </row>
    <row r="8528" spans="2:2" x14ac:dyDescent="0.25">
      <c r="B8528" s="73"/>
    </row>
    <row r="8529" spans="2:2" x14ac:dyDescent="0.25">
      <c r="B8529" s="73"/>
    </row>
    <row r="8530" spans="2:2" x14ac:dyDescent="0.25">
      <c r="B8530" s="73"/>
    </row>
    <row r="8531" spans="2:2" x14ac:dyDescent="0.25">
      <c r="B8531" s="73"/>
    </row>
    <row r="8532" spans="2:2" x14ac:dyDescent="0.25">
      <c r="B8532" s="73"/>
    </row>
    <row r="8533" spans="2:2" x14ac:dyDescent="0.25">
      <c r="B8533" s="73"/>
    </row>
    <row r="8534" spans="2:2" x14ac:dyDescent="0.25">
      <c r="B8534" s="73"/>
    </row>
    <row r="8535" spans="2:2" x14ac:dyDescent="0.25">
      <c r="B8535" s="73"/>
    </row>
    <row r="8536" spans="2:2" x14ac:dyDescent="0.25">
      <c r="B8536" s="73"/>
    </row>
    <row r="8537" spans="2:2" x14ac:dyDescent="0.25">
      <c r="B8537" s="73"/>
    </row>
    <row r="8538" spans="2:2" x14ac:dyDescent="0.25">
      <c r="B8538" s="73"/>
    </row>
    <row r="8539" spans="2:2" x14ac:dyDescent="0.25">
      <c r="B8539" s="73"/>
    </row>
    <row r="8540" spans="2:2" x14ac:dyDescent="0.25">
      <c r="B8540" s="73"/>
    </row>
    <row r="8541" spans="2:2" x14ac:dyDescent="0.25">
      <c r="B8541" s="73"/>
    </row>
    <row r="8542" spans="2:2" x14ac:dyDescent="0.25">
      <c r="B8542" s="73"/>
    </row>
    <row r="8543" spans="2:2" x14ac:dyDescent="0.25">
      <c r="B8543" s="73"/>
    </row>
    <row r="8544" spans="2:2" x14ac:dyDescent="0.25">
      <c r="B8544" s="73"/>
    </row>
    <row r="8545" spans="2:2" x14ac:dyDescent="0.25">
      <c r="B8545" s="73"/>
    </row>
    <row r="8546" spans="2:2" x14ac:dyDescent="0.25">
      <c r="B8546" s="73"/>
    </row>
    <row r="8547" spans="2:2" x14ac:dyDescent="0.25">
      <c r="B8547" s="73"/>
    </row>
    <row r="8548" spans="2:2" x14ac:dyDescent="0.25">
      <c r="B8548" s="73"/>
    </row>
    <row r="8549" spans="2:2" x14ac:dyDescent="0.25">
      <c r="B8549" s="73"/>
    </row>
    <row r="8550" spans="2:2" x14ac:dyDescent="0.25">
      <c r="B8550" s="73"/>
    </row>
    <row r="8551" spans="2:2" x14ac:dyDescent="0.25">
      <c r="B8551" s="73"/>
    </row>
    <row r="8552" spans="2:2" x14ac:dyDescent="0.25">
      <c r="B8552" s="73"/>
    </row>
    <row r="8553" spans="2:2" x14ac:dyDescent="0.25">
      <c r="B8553" s="73"/>
    </row>
    <row r="8554" spans="2:2" x14ac:dyDescent="0.25">
      <c r="B8554" s="73"/>
    </row>
    <row r="8555" spans="2:2" x14ac:dyDescent="0.25">
      <c r="B8555" s="73"/>
    </row>
    <row r="8556" spans="2:2" x14ac:dyDescent="0.25">
      <c r="B8556" s="73"/>
    </row>
    <row r="8557" spans="2:2" x14ac:dyDescent="0.25">
      <c r="B8557" s="73"/>
    </row>
    <row r="8558" spans="2:2" x14ac:dyDescent="0.25">
      <c r="B8558" s="73"/>
    </row>
    <row r="8559" spans="2:2" x14ac:dyDescent="0.25">
      <c r="B8559" s="73"/>
    </row>
    <row r="8560" spans="2:2" x14ac:dyDescent="0.25">
      <c r="B8560" s="73"/>
    </row>
    <row r="8561" spans="2:2" x14ac:dyDescent="0.25">
      <c r="B8561" s="73"/>
    </row>
    <row r="8562" spans="2:2" x14ac:dyDescent="0.25">
      <c r="B8562" s="73"/>
    </row>
    <row r="8563" spans="2:2" x14ac:dyDescent="0.25">
      <c r="B8563" s="73"/>
    </row>
    <row r="8564" spans="2:2" x14ac:dyDescent="0.25">
      <c r="B8564" s="73"/>
    </row>
    <row r="8565" spans="2:2" x14ac:dyDescent="0.25">
      <c r="B8565" s="73"/>
    </row>
    <row r="8566" spans="2:2" x14ac:dyDescent="0.25">
      <c r="B8566" s="73"/>
    </row>
    <row r="8567" spans="2:2" x14ac:dyDescent="0.25">
      <c r="B8567" s="73"/>
    </row>
    <row r="8568" spans="2:2" x14ac:dyDescent="0.25">
      <c r="B8568" s="73"/>
    </row>
    <row r="8569" spans="2:2" x14ac:dyDescent="0.25">
      <c r="B8569" s="73"/>
    </row>
    <row r="8570" spans="2:2" x14ac:dyDescent="0.25">
      <c r="B8570" s="73"/>
    </row>
    <row r="8571" spans="2:2" x14ac:dyDescent="0.25">
      <c r="B8571" s="73"/>
    </row>
    <row r="8572" spans="2:2" x14ac:dyDescent="0.25">
      <c r="B8572" s="73"/>
    </row>
    <row r="8573" spans="2:2" x14ac:dyDescent="0.25">
      <c r="B8573" s="73"/>
    </row>
    <row r="8574" spans="2:2" x14ac:dyDescent="0.25">
      <c r="B8574" s="73"/>
    </row>
    <row r="8575" spans="2:2" x14ac:dyDescent="0.25">
      <c r="B8575" s="73"/>
    </row>
    <row r="8576" spans="2:2" x14ac:dyDescent="0.25">
      <c r="B8576" s="73"/>
    </row>
    <row r="8577" spans="2:2" x14ac:dyDescent="0.25">
      <c r="B8577" s="73"/>
    </row>
    <row r="8578" spans="2:2" x14ac:dyDescent="0.25">
      <c r="B8578" s="73"/>
    </row>
    <row r="8579" spans="2:2" x14ac:dyDescent="0.25">
      <c r="B8579" s="73"/>
    </row>
    <row r="8580" spans="2:2" x14ac:dyDescent="0.25">
      <c r="B8580" s="73"/>
    </row>
    <row r="8581" spans="2:2" x14ac:dyDescent="0.25">
      <c r="B8581" s="73"/>
    </row>
    <row r="8582" spans="2:2" x14ac:dyDescent="0.25">
      <c r="B8582" s="73"/>
    </row>
    <row r="8583" spans="2:2" x14ac:dyDescent="0.25">
      <c r="B8583" s="73"/>
    </row>
    <row r="8584" spans="2:2" x14ac:dyDescent="0.25">
      <c r="B8584" s="73"/>
    </row>
    <row r="8585" spans="2:2" x14ac:dyDescent="0.25">
      <c r="B8585" s="73"/>
    </row>
    <row r="8586" spans="2:2" x14ac:dyDescent="0.25">
      <c r="B8586" s="73"/>
    </row>
    <row r="8587" spans="2:2" x14ac:dyDescent="0.25">
      <c r="B8587" s="73"/>
    </row>
    <row r="8588" spans="2:2" x14ac:dyDescent="0.25">
      <c r="B8588" s="73"/>
    </row>
    <row r="8589" spans="2:2" x14ac:dyDescent="0.25">
      <c r="B8589" s="73"/>
    </row>
    <row r="8590" spans="2:2" x14ac:dyDescent="0.25">
      <c r="B8590" s="73"/>
    </row>
    <row r="8591" spans="2:2" x14ac:dyDescent="0.25">
      <c r="B8591" s="73"/>
    </row>
    <row r="8592" spans="2:2" x14ac:dyDescent="0.25">
      <c r="B8592" s="73"/>
    </row>
    <row r="8593" spans="2:2" x14ac:dyDescent="0.25">
      <c r="B8593" s="73"/>
    </row>
    <row r="8594" spans="2:2" x14ac:dyDescent="0.25">
      <c r="B8594" s="73"/>
    </row>
    <row r="8595" spans="2:2" x14ac:dyDescent="0.25">
      <c r="B8595" s="73"/>
    </row>
    <row r="8596" spans="2:2" x14ac:dyDescent="0.25">
      <c r="B8596" s="73"/>
    </row>
    <row r="8597" spans="2:2" x14ac:dyDescent="0.25">
      <c r="B8597" s="73"/>
    </row>
    <row r="8598" spans="2:2" x14ac:dyDescent="0.25">
      <c r="B8598" s="73"/>
    </row>
    <row r="8599" spans="2:2" x14ac:dyDescent="0.25">
      <c r="B8599" s="73"/>
    </row>
    <row r="8600" spans="2:2" x14ac:dyDescent="0.25">
      <c r="B8600" s="73"/>
    </row>
    <row r="8601" spans="2:2" x14ac:dyDescent="0.25">
      <c r="B8601" s="73"/>
    </row>
    <row r="8602" spans="2:2" x14ac:dyDescent="0.25">
      <c r="B8602" s="73"/>
    </row>
    <row r="8603" spans="2:2" x14ac:dyDescent="0.25">
      <c r="B8603" s="73"/>
    </row>
    <row r="8604" spans="2:2" x14ac:dyDescent="0.25">
      <c r="B8604" s="73"/>
    </row>
    <row r="8605" spans="2:2" x14ac:dyDescent="0.25">
      <c r="B8605" s="73"/>
    </row>
    <row r="8606" spans="2:2" x14ac:dyDescent="0.25">
      <c r="B8606" s="73"/>
    </row>
    <row r="8607" spans="2:2" x14ac:dyDescent="0.25">
      <c r="B8607" s="73"/>
    </row>
    <row r="8608" spans="2:2" x14ac:dyDescent="0.25">
      <c r="B8608" s="73"/>
    </row>
    <row r="8609" spans="2:2" x14ac:dyDescent="0.25">
      <c r="B8609" s="73"/>
    </row>
    <row r="8610" spans="2:2" x14ac:dyDescent="0.25">
      <c r="B8610" s="73"/>
    </row>
    <row r="8611" spans="2:2" x14ac:dyDescent="0.25">
      <c r="B8611" s="73"/>
    </row>
    <row r="8612" spans="2:2" x14ac:dyDescent="0.25">
      <c r="B8612" s="73"/>
    </row>
    <row r="8613" spans="2:2" x14ac:dyDescent="0.25">
      <c r="B8613" s="73"/>
    </row>
    <row r="8614" spans="2:2" x14ac:dyDescent="0.25">
      <c r="B8614" s="73"/>
    </row>
    <row r="8615" spans="2:2" x14ac:dyDescent="0.25">
      <c r="B8615" s="73"/>
    </row>
    <row r="8616" spans="2:2" x14ac:dyDescent="0.25">
      <c r="B8616" s="73"/>
    </row>
    <row r="8617" spans="2:2" x14ac:dyDescent="0.25">
      <c r="B8617" s="73"/>
    </row>
    <row r="8618" spans="2:2" x14ac:dyDescent="0.25">
      <c r="B8618" s="73"/>
    </row>
    <row r="8619" spans="2:2" x14ac:dyDescent="0.25">
      <c r="B8619" s="73"/>
    </row>
    <row r="8620" spans="2:2" x14ac:dyDescent="0.25">
      <c r="B8620" s="73"/>
    </row>
    <row r="8621" spans="2:2" x14ac:dyDescent="0.25">
      <c r="B8621" s="73"/>
    </row>
    <row r="8622" spans="2:2" x14ac:dyDescent="0.25">
      <c r="B8622" s="73"/>
    </row>
    <row r="8623" spans="2:2" x14ac:dyDescent="0.25">
      <c r="B8623" s="73"/>
    </row>
    <row r="8624" spans="2:2" x14ac:dyDescent="0.25">
      <c r="B8624" s="73"/>
    </row>
    <row r="8625" spans="2:2" x14ac:dyDescent="0.25">
      <c r="B8625" s="73"/>
    </row>
    <row r="8626" spans="2:2" x14ac:dyDescent="0.25">
      <c r="B8626" s="73"/>
    </row>
    <row r="8627" spans="2:2" x14ac:dyDescent="0.25">
      <c r="B8627" s="73"/>
    </row>
    <row r="8628" spans="2:2" x14ac:dyDescent="0.25">
      <c r="B8628" s="73"/>
    </row>
    <row r="8629" spans="2:2" x14ac:dyDescent="0.25">
      <c r="B8629" s="73"/>
    </row>
    <row r="8630" spans="2:2" x14ac:dyDescent="0.25">
      <c r="B8630" s="73"/>
    </row>
    <row r="8631" spans="2:2" x14ac:dyDescent="0.25">
      <c r="B8631" s="73"/>
    </row>
    <row r="8632" spans="2:2" x14ac:dyDescent="0.25">
      <c r="B8632" s="73"/>
    </row>
    <row r="8633" spans="2:2" x14ac:dyDescent="0.25">
      <c r="B8633" s="73"/>
    </row>
    <row r="8634" spans="2:2" x14ac:dyDescent="0.25">
      <c r="B8634" s="73"/>
    </row>
    <row r="8635" spans="2:2" x14ac:dyDescent="0.25">
      <c r="B8635" s="73"/>
    </row>
    <row r="8636" spans="2:2" x14ac:dyDescent="0.25">
      <c r="B8636" s="73"/>
    </row>
    <row r="8637" spans="2:2" x14ac:dyDescent="0.25">
      <c r="B8637" s="73"/>
    </row>
    <row r="8638" spans="2:2" x14ac:dyDescent="0.25">
      <c r="B8638" s="73"/>
    </row>
    <row r="8639" spans="2:2" x14ac:dyDescent="0.25">
      <c r="B8639" s="73"/>
    </row>
    <row r="8640" spans="2:2" x14ac:dyDescent="0.25">
      <c r="B8640" s="73"/>
    </row>
    <row r="8641" spans="2:2" x14ac:dyDescent="0.25">
      <c r="B8641" s="73"/>
    </row>
    <row r="8642" spans="2:2" x14ac:dyDescent="0.25">
      <c r="B8642" s="73"/>
    </row>
    <row r="8643" spans="2:2" x14ac:dyDescent="0.25">
      <c r="B8643" s="73"/>
    </row>
    <row r="8644" spans="2:2" x14ac:dyDescent="0.25">
      <c r="B8644" s="73"/>
    </row>
    <row r="8645" spans="2:2" x14ac:dyDescent="0.25">
      <c r="B8645" s="73"/>
    </row>
    <row r="8646" spans="2:2" x14ac:dyDescent="0.25">
      <c r="B8646" s="73"/>
    </row>
    <row r="8647" spans="2:2" x14ac:dyDescent="0.25">
      <c r="B8647" s="73"/>
    </row>
    <row r="8648" spans="2:2" x14ac:dyDescent="0.25">
      <c r="B8648" s="73"/>
    </row>
    <row r="8649" spans="2:2" x14ac:dyDescent="0.25">
      <c r="B8649" s="73"/>
    </row>
    <row r="8650" spans="2:2" x14ac:dyDescent="0.25">
      <c r="B8650" s="73"/>
    </row>
    <row r="8651" spans="2:2" x14ac:dyDescent="0.25">
      <c r="B8651" s="73"/>
    </row>
    <row r="8652" spans="2:2" x14ac:dyDescent="0.25">
      <c r="B8652" s="73"/>
    </row>
    <row r="8653" spans="2:2" x14ac:dyDescent="0.25">
      <c r="B8653" s="73"/>
    </row>
    <row r="8654" spans="2:2" x14ac:dyDescent="0.25">
      <c r="B8654" s="73"/>
    </row>
    <row r="8655" spans="2:2" x14ac:dyDescent="0.25">
      <c r="B8655" s="73"/>
    </row>
    <row r="8656" spans="2:2" x14ac:dyDescent="0.25">
      <c r="B8656" s="73"/>
    </row>
    <row r="8657" spans="2:2" x14ac:dyDescent="0.25">
      <c r="B8657" s="73"/>
    </row>
    <row r="8658" spans="2:2" x14ac:dyDescent="0.25">
      <c r="B8658" s="73"/>
    </row>
    <row r="8659" spans="2:2" x14ac:dyDescent="0.25">
      <c r="B8659" s="73"/>
    </row>
    <row r="8660" spans="2:2" x14ac:dyDescent="0.25">
      <c r="B8660" s="73"/>
    </row>
    <row r="8661" spans="2:2" x14ac:dyDescent="0.25">
      <c r="B8661" s="73"/>
    </row>
    <row r="8662" spans="2:2" x14ac:dyDescent="0.25">
      <c r="B8662" s="73"/>
    </row>
    <row r="8663" spans="2:2" x14ac:dyDescent="0.25">
      <c r="B8663" s="73"/>
    </row>
    <row r="8664" spans="2:2" x14ac:dyDescent="0.25">
      <c r="B8664" s="73"/>
    </row>
    <row r="8665" spans="2:2" x14ac:dyDescent="0.25">
      <c r="B8665" s="73"/>
    </row>
    <row r="8666" spans="2:2" x14ac:dyDescent="0.25">
      <c r="B8666" s="73"/>
    </row>
    <row r="8667" spans="2:2" x14ac:dyDescent="0.25">
      <c r="B8667" s="73"/>
    </row>
    <row r="8668" spans="2:2" x14ac:dyDescent="0.25">
      <c r="B8668" s="73"/>
    </row>
    <row r="8669" spans="2:2" x14ac:dyDescent="0.25">
      <c r="B8669" s="73"/>
    </row>
    <row r="8670" spans="2:2" x14ac:dyDescent="0.25">
      <c r="B8670" s="73"/>
    </row>
    <row r="8671" spans="2:2" x14ac:dyDescent="0.25">
      <c r="B8671" s="73"/>
    </row>
    <row r="8672" spans="2:2" x14ac:dyDescent="0.25">
      <c r="B8672" s="73"/>
    </row>
    <row r="8673" spans="2:2" x14ac:dyDescent="0.25">
      <c r="B8673" s="73"/>
    </row>
    <row r="8674" spans="2:2" x14ac:dyDescent="0.25">
      <c r="B8674" s="73"/>
    </row>
    <row r="8675" spans="2:2" x14ac:dyDescent="0.25">
      <c r="B8675" s="73"/>
    </row>
    <row r="8676" spans="2:2" x14ac:dyDescent="0.25">
      <c r="B8676" s="73"/>
    </row>
    <row r="8677" spans="2:2" x14ac:dyDescent="0.25">
      <c r="B8677" s="73"/>
    </row>
    <row r="8678" spans="2:2" x14ac:dyDescent="0.25">
      <c r="B8678" s="73"/>
    </row>
    <row r="8679" spans="2:2" x14ac:dyDescent="0.25">
      <c r="B8679" s="73"/>
    </row>
    <row r="8680" spans="2:2" x14ac:dyDescent="0.25">
      <c r="B8680" s="73"/>
    </row>
    <row r="8681" spans="2:2" x14ac:dyDescent="0.25">
      <c r="B8681" s="73"/>
    </row>
    <row r="8682" spans="2:2" x14ac:dyDescent="0.25">
      <c r="B8682" s="73"/>
    </row>
    <row r="8683" spans="2:2" x14ac:dyDescent="0.25">
      <c r="B8683" s="73"/>
    </row>
    <row r="8684" spans="2:2" x14ac:dyDescent="0.25">
      <c r="B8684" s="73"/>
    </row>
    <row r="8685" spans="2:2" x14ac:dyDescent="0.25">
      <c r="B8685" s="73"/>
    </row>
    <row r="8686" spans="2:2" x14ac:dyDescent="0.25">
      <c r="B8686" s="73"/>
    </row>
    <row r="8687" spans="2:2" x14ac:dyDescent="0.25">
      <c r="B8687" s="73"/>
    </row>
    <row r="8688" spans="2:2" x14ac:dyDescent="0.25">
      <c r="B8688" s="73"/>
    </row>
    <row r="8689" spans="2:2" x14ac:dyDescent="0.25">
      <c r="B8689" s="73"/>
    </row>
    <row r="8690" spans="2:2" x14ac:dyDescent="0.25">
      <c r="B8690" s="73"/>
    </row>
    <row r="8691" spans="2:2" x14ac:dyDescent="0.25">
      <c r="B8691" s="73"/>
    </row>
    <row r="8692" spans="2:2" x14ac:dyDescent="0.25">
      <c r="B8692" s="73"/>
    </row>
    <row r="8693" spans="2:2" x14ac:dyDescent="0.25">
      <c r="B8693" s="73"/>
    </row>
    <row r="8694" spans="2:2" x14ac:dyDescent="0.25">
      <c r="B8694" s="73"/>
    </row>
    <row r="8695" spans="2:2" x14ac:dyDescent="0.25">
      <c r="B8695" s="73"/>
    </row>
    <row r="8696" spans="2:2" x14ac:dyDescent="0.25">
      <c r="B8696" s="73"/>
    </row>
    <row r="8697" spans="2:2" x14ac:dyDescent="0.25">
      <c r="B8697" s="73"/>
    </row>
    <row r="8698" spans="2:2" x14ac:dyDescent="0.25">
      <c r="B8698" s="73"/>
    </row>
    <row r="8699" spans="2:2" x14ac:dyDescent="0.25">
      <c r="B8699" s="73"/>
    </row>
    <row r="8700" spans="2:2" x14ac:dyDescent="0.25">
      <c r="B8700" s="73"/>
    </row>
    <row r="8701" spans="2:2" x14ac:dyDescent="0.25">
      <c r="B8701" s="73"/>
    </row>
    <row r="8702" spans="2:2" x14ac:dyDescent="0.25">
      <c r="B8702" s="73"/>
    </row>
    <row r="8703" spans="2:2" x14ac:dyDescent="0.25">
      <c r="B8703" s="73"/>
    </row>
    <row r="8704" spans="2:2" x14ac:dyDescent="0.25">
      <c r="B8704" s="73"/>
    </row>
    <row r="8705" spans="2:2" x14ac:dyDescent="0.25">
      <c r="B8705" s="73"/>
    </row>
    <row r="8706" spans="2:2" x14ac:dyDescent="0.25">
      <c r="B8706" s="73"/>
    </row>
    <row r="8707" spans="2:2" x14ac:dyDescent="0.25">
      <c r="B8707" s="73"/>
    </row>
    <row r="8708" spans="2:2" x14ac:dyDescent="0.25">
      <c r="B8708" s="73"/>
    </row>
    <row r="8709" spans="2:2" x14ac:dyDescent="0.25">
      <c r="B8709" s="73"/>
    </row>
    <row r="8710" spans="2:2" x14ac:dyDescent="0.25">
      <c r="B8710" s="73"/>
    </row>
    <row r="8711" spans="2:2" x14ac:dyDescent="0.25">
      <c r="B8711" s="73"/>
    </row>
    <row r="8712" spans="2:2" x14ac:dyDescent="0.25">
      <c r="B8712" s="73"/>
    </row>
    <row r="8713" spans="2:2" x14ac:dyDescent="0.25">
      <c r="B8713" s="73"/>
    </row>
    <row r="8714" spans="2:2" x14ac:dyDescent="0.25">
      <c r="B8714" s="73"/>
    </row>
    <row r="8715" spans="2:2" x14ac:dyDescent="0.25">
      <c r="B8715" s="73"/>
    </row>
    <row r="8716" spans="2:2" x14ac:dyDescent="0.25">
      <c r="B8716" s="73"/>
    </row>
    <row r="8717" spans="2:2" x14ac:dyDescent="0.25">
      <c r="B8717" s="73"/>
    </row>
    <row r="8718" spans="2:2" x14ac:dyDescent="0.25">
      <c r="B8718" s="73"/>
    </row>
    <row r="8719" spans="2:2" x14ac:dyDescent="0.25">
      <c r="B8719" s="73"/>
    </row>
    <row r="8720" spans="2:2" x14ac:dyDescent="0.25">
      <c r="B8720" s="73"/>
    </row>
    <row r="8721" spans="2:2" x14ac:dyDescent="0.25">
      <c r="B8721" s="73"/>
    </row>
    <row r="8722" spans="2:2" x14ac:dyDescent="0.25">
      <c r="B8722" s="73"/>
    </row>
    <row r="8723" spans="2:2" x14ac:dyDescent="0.25">
      <c r="B8723" s="73"/>
    </row>
    <row r="8724" spans="2:2" x14ac:dyDescent="0.25">
      <c r="B8724" s="73"/>
    </row>
    <row r="8725" spans="2:2" x14ac:dyDescent="0.25">
      <c r="B8725" s="73"/>
    </row>
    <row r="8726" spans="2:2" x14ac:dyDescent="0.25">
      <c r="B8726" s="73"/>
    </row>
    <row r="8727" spans="2:2" x14ac:dyDescent="0.25">
      <c r="B8727" s="73"/>
    </row>
    <row r="8728" spans="2:2" x14ac:dyDescent="0.25">
      <c r="B8728" s="73"/>
    </row>
    <row r="8729" spans="2:2" x14ac:dyDescent="0.25">
      <c r="B8729" s="73"/>
    </row>
    <row r="8730" spans="2:2" x14ac:dyDescent="0.25">
      <c r="B8730" s="73"/>
    </row>
    <row r="8731" spans="2:2" x14ac:dyDescent="0.25">
      <c r="B8731" s="73"/>
    </row>
    <row r="8732" spans="2:2" x14ac:dyDescent="0.25">
      <c r="B8732" s="73"/>
    </row>
    <row r="8733" spans="2:2" x14ac:dyDescent="0.25">
      <c r="B8733" s="73"/>
    </row>
    <row r="8734" spans="2:2" x14ac:dyDescent="0.25">
      <c r="B8734" s="73"/>
    </row>
    <row r="8735" spans="2:2" x14ac:dyDescent="0.25">
      <c r="B8735" s="73"/>
    </row>
    <row r="8736" spans="2:2" x14ac:dyDescent="0.25">
      <c r="B8736" s="73"/>
    </row>
    <row r="8737" spans="2:2" x14ac:dyDescent="0.25">
      <c r="B8737" s="73"/>
    </row>
    <row r="8738" spans="2:2" x14ac:dyDescent="0.25">
      <c r="B8738" s="73"/>
    </row>
    <row r="8739" spans="2:2" x14ac:dyDescent="0.25">
      <c r="B8739" s="73"/>
    </row>
    <row r="8740" spans="2:2" x14ac:dyDescent="0.25">
      <c r="B8740" s="73"/>
    </row>
    <row r="8741" spans="2:2" x14ac:dyDescent="0.25">
      <c r="B8741" s="73"/>
    </row>
    <row r="8742" spans="2:2" x14ac:dyDescent="0.25">
      <c r="B8742" s="73"/>
    </row>
    <row r="8743" spans="2:2" x14ac:dyDescent="0.25">
      <c r="B8743" s="73"/>
    </row>
    <row r="8744" spans="2:2" x14ac:dyDescent="0.25">
      <c r="B8744" s="73"/>
    </row>
    <row r="8745" spans="2:2" x14ac:dyDescent="0.25">
      <c r="B8745" s="73"/>
    </row>
    <row r="8746" spans="2:2" x14ac:dyDescent="0.25">
      <c r="B8746" s="73"/>
    </row>
    <row r="8747" spans="2:2" x14ac:dyDescent="0.25">
      <c r="B8747" s="73"/>
    </row>
    <row r="8748" spans="2:2" x14ac:dyDescent="0.25">
      <c r="B8748" s="73"/>
    </row>
    <row r="8749" spans="2:2" x14ac:dyDescent="0.25">
      <c r="B8749" s="73"/>
    </row>
    <row r="8750" spans="2:2" x14ac:dyDescent="0.25">
      <c r="B8750" s="73"/>
    </row>
    <row r="8751" spans="2:2" x14ac:dyDescent="0.25">
      <c r="B8751" s="73"/>
    </row>
    <row r="8752" spans="2:2" x14ac:dyDescent="0.25">
      <c r="B8752" s="73"/>
    </row>
    <row r="8753" spans="2:2" x14ac:dyDescent="0.25">
      <c r="B8753" s="73"/>
    </row>
    <row r="8754" spans="2:2" x14ac:dyDescent="0.25">
      <c r="B8754" s="73"/>
    </row>
    <row r="8755" spans="2:2" x14ac:dyDescent="0.25">
      <c r="B8755" s="73"/>
    </row>
    <row r="8756" spans="2:2" x14ac:dyDescent="0.25">
      <c r="B8756" s="73"/>
    </row>
    <row r="8757" spans="2:2" x14ac:dyDescent="0.25">
      <c r="B8757" s="73"/>
    </row>
    <row r="8758" spans="2:2" x14ac:dyDescent="0.25">
      <c r="B8758" s="73"/>
    </row>
    <row r="8759" spans="2:2" x14ac:dyDescent="0.25">
      <c r="B8759" s="73"/>
    </row>
    <row r="8760" spans="2:2" x14ac:dyDescent="0.25">
      <c r="B8760" s="73"/>
    </row>
    <row r="8761" spans="2:2" x14ac:dyDescent="0.25">
      <c r="B8761" s="73"/>
    </row>
    <row r="8762" spans="2:2" x14ac:dyDescent="0.25">
      <c r="B8762" s="73"/>
    </row>
    <row r="8763" spans="2:2" x14ac:dyDescent="0.25">
      <c r="B8763" s="73"/>
    </row>
    <row r="8764" spans="2:2" x14ac:dyDescent="0.25">
      <c r="B8764" s="73"/>
    </row>
    <row r="8765" spans="2:2" x14ac:dyDescent="0.25">
      <c r="B8765" s="73"/>
    </row>
    <row r="8766" spans="2:2" x14ac:dyDescent="0.25">
      <c r="B8766" s="73"/>
    </row>
    <row r="8767" spans="2:2" x14ac:dyDescent="0.25">
      <c r="B8767" s="73"/>
    </row>
    <row r="8768" spans="2:2" x14ac:dyDescent="0.25">
      <c r="B8768" s="73"/>
    </row>
    <row r="8769" spans="2:2" x14ac:dyDescent="0.25">
      <c r="B8769" s="73"/>
    </row>
    <row r="8770" spans="2:2" x14ac:dyDescent="0.25">
      <c r="B8770" s="73"/>
    </row>
    <row r="8771" spans="2:2" x14ac:dyDescent="0.25">
      <c r="B8771" s="73"/>
    </row>
    <row r="8772" spans="2:2" x14ac:dyDescent="0.25">
      <c r="B8772" s="73"/>
    </row>
    <row r="8773" spans="2:2" x14ac:dyDescent="0.25">
      <c r="B8773" s="73"/>
    </row>
    <row r="8774" spans="2:2" x14ac:dyDescent="0.25">
      <c r="B8774" s="73"/>
    </row>
    <row r="8775" spans="2:2" x14ac:dyDescent="0.25">
      <c r="B8775" s="73"/>
    </row>
    <row r="8776" spans="2:2" x14ac:dyDescent="0.25">
      <c r="B8776" s="73"/>
    </row>
    <row r="8777" spans="2:2" x14ac:dyDescent="0.25">
      <c r="B8777" s="73"/>
    </row>
    <row r="8778" spans="2:2" x14ac:dyDescent="0.25">
      <c r="B8778" s="73"/>
    </row>
    <row r="8779" spans="2:2" x14ac:dyDescent="0.25">
      <c r="B8779" s="73"/>
    </row>
    <row r="8780" spans="2:2" x14ac:dyDescent="0.25">
      <c r="B8780" s="73"/>
    </row>
    <row r="8781" spans="2:2" x14ac:dyDescent="0.25">
      <c r="B8781" s="73"/>
    </row>
    <row r="8782" spans="2:2" x14ac:dyDescent="0.25">
      <c r="B8782" s="73"/>
    </row>
    <row r="8783" spans="2:2" x14ac:dyDescent="0.25">
      <c r="B8783" s="73"/>
    </row>
    <row r="8784" spans="2:2" x14ac:dyDescent="0.25">
      <c r="B8784" s="73"/>
    </row>
    <row r="8785" spans="2:2" x14ac:dyDescent="0.25">
      <c r="B8785" s="73"/>
    </row>
    <row r="8786" spans="2:2" x14ac:dyDescent="0.25">
      <c r="B8786" s="73"/>
    </row>
    <row r="8787" spans="2:2" x14ac:dyDescent="0.25">
      <c r="B8787" s="73"/>
    </row>
    <row r="8788" spans="2:2" x14ac:dyDescent="0.25">
      <c r="B8788" s="73"/>
    </row>
    <row r="8789" spans="2:2" x14ac:dyDescent="0.25">
      <c r="B8789" s="73"/>
    </row>
    <row r="8790" spans="2:2" x14ac:dyDescent="0.25">
      <c r="B8790" s="73"/>
    </row>
    <row r="8791" spans="2:2" x14ac:dyDescent="0.25">
      <c r="B8791" s="73"/>
    </row>
    <row r="8792" spans="2:2" x14ac:dyDescent="0.25">
      <c r="B8792" s="73"/>
    </row>
    <row r="8793" spans="2:2" x14ac:dyDescent="0.25">
      <c r="B8793" s="73"/>
    </row>
    <row r="8794" spans="2:2" x14ac:dyDescent="0.25">
      <c r="B8794" s="73"/>
    </row>
    <row r="8795" spans="2:2" x14ac:dyDescent="0.25">
      <c r="B8795" s="73"/>
    </row>
    <row r="8796" spans="2:2" x14ac:dyDescent="0.25">
      <c r="B8796" s="73"/>
    </row>
    <row r="8797" spans="2:2" x14ac:dyDescent="0.25">
      <c r="B8797" s="73"/>
    </row>
    <row r="8798" spans="2:2" x14ac:dyDescent="0.25">
      <c r="B8798" s="73"/>
    </row>
    <row r="8799" spans="2:2" x14ac:dyDescent="0.25">
      <c r="B8799" s="73"/>
    </row>
    <row r="8800" spans="2:2" x14ac:dyDescent="0.25">
      <c r="B8800" s="73"/>
    </row>
    <row r="8801" spans="2:2" x14ac:dyDescent="0.25">
      <c r="B8801" s="73"/>
    </row>
    <row r="8802" spans="2:2" x14ac:dyDescent="0.25">
      <c r="B8802" s="73"/>
    </row>
    <row r="8803" spans="2:2" x14ac:dyDescent="0.25">
      <c r="B8803" s="73"/>
    </row>
    <row r="8804" spans="2:2" x14ac:dyDescent="0.25">
      <c r="B8804" s="73"/>
    </row>
    <row r="8805" spans="2:2" x14ac:dyDescent="0.25">
      <c r="B8805" s="73"/>
    </row>
    <row r="8806" spans="2:2" x14ac:dyDescent="0.25">
      <c r="B8806" s="73"/>
    </row>
    <row r="8807" spans="2:2" x14ac:dyDescent="0.25">
      <c r="B8807" s="73"/>
    </row>
    <row r="8808" spans="2:2" x14ac:dyDescent="0.25">
      <c r="B8808" s="73"/>
    </row>
    <row r="8809" spans="2:2" x14ac:dyDescent="0.25">
      <c r="B8809" s="73"/>
    </row>
    <row r="8810" spans="2:2" x14ac:dyDescent="0.25">
      <c r="B8810" s="73"/>
    </row>
    <row r="8811" spans="2:2" x14ac:dyDescent="0.25">
      <c r="B8811" s="73"/>
    </row>
    <row r="8812" spans="2:2" x14ac:dyDescent="0.25">
      <c r="B8812" s="73"/>
    </row>
    <row r="8813" spans="2:2" x14ac:dyDescent="0.25">
      <c r="B8813" s="73"/>
    </row>
    <row r="8814" spans="2:2" x14ac:dyDescent="0.25">
      <c r="B8814" s="73"/>
    </row>
    <row r="8815" spans="2:2" x14ac:dyDescent="0.25">
      <c r="B8815" s="73"/>
    </row>
    <row r="8816" spans="2:2" x14ac:dyDescent="0.25">
      <c r="B8816" s="73"/>
    </row>
    <row r="8817" spans="2:2" x14ac:dyDescent="0.25">
      <c r="B8817" s="73"/>
    </row>
    <row r="8818" spans="2:2" x14ac:dyDescent="0.25">
      <c r="B8818" s="73"/>
    </row>
    <row r="8819" spans="2:2" x14ac:dyDescent="0.25">
      <c r="B8819" s="73"/>
    </row>
    <row r="8820" spans="2:2" x14ac:dyDescent="0.25">
      <c r="B8820" s="73"/>
    </row>
    <row r="8821" spans="2:2" x14ac:dyDescent="0.25">
      <c r="B8821" s="73"/>
    </row>
    <row r="8822" spans="2:2" x14ac:dyDescent="0.25">
      <c r="B8822" s="73"/>
    </row>
    <row r="8823" spans="2:2" x14ac:dyDescent="0.25">
      <c r="B8823" s="73"/>
    </row>
    <row r="8824" spans="2:2" x14ac:dyDescent="0.25">
      <c r="B8824" s="73"/>
    </row>
    <row r="8825" spans="2:2" x14ac:dyDescent="0.25">
      <c r="B8825" s="73"/>
    </row>
    <row r="8826" spans="2:2" x14ac:dyDescent="0.25">
      <c r="B8826" s="73"/>
    </row>
    <row r="8827" spans="2:2" x14ac:dyDescent="0.25">
      <c r="B8827" s="73"/>
    </row>
    <row r="8828" spans="2:2" x14ac:dyDescent="0.25">
      <c r="B8828" s="73"/>
    </row>
    <row r="8829" spans="2:2" x14ac:dyDescent="0.25">
      <c r="B8829" s="73"/>
    </row>
    <row r="8830" spans="2:2" x14ac:dyDescent="0.25">
      <c r="B8830" s="73"/>
    </row>
    <row r="8831" spans="2:2" x14ac:dyDescent="0.25">
      <c r="B8831" s="73"/>
    </row>
    <row r="8832" spans="2:2" x14ac:dyDescent="0.25">
      <c r="B8832" s="73"/>
    </row>
    <row r="8833" spans="2:2" x14ac:dyDescent="0.25">
      <c r="B8833" s="73"/>
    </row>
    <row r="8834" spans="2:2" x14ac:dyDescent="0.25">
      <c r="B8834" s="73"/>
    </row>
    <row r="8835" spans="2:2" x14ac:dyDescent="0.25">
      <c r="B8835" s="73"/>
    </row>
    <row r="8836" spans="2:2" x14ac:dyDescent="0.25">
      <c r="B8836" s="73"/>
    </row>
    <row r="8837" spans="2:2" x14ac:dyDescent="0.25">
      <c r="B8837" s="73"/>
    </row>
    <row r="8838" spans="2:2" x14ac:dyDescent="0.25">
      <c r="B8838" s="73"/>
    </row>
    <row r="8839" spans="2:2" x14ac:dyDescent="0.25">
      <c r="B8839" s="73"/>
    </row>
    <row r="8840" spans="2:2" x14ac:dyDescent="0.25">
      <c r="B8840" s="73"/>
    </row>
    <row r="8841" spans="2:2" x14ac:dyDescent="0.25">
      <c r="B8841" s="73"/>
    </row>
    <row r="8842" spans="2:2" x14ac:dyDescent="0.25">
      <c r="B8842" s="73"/>
    </row>
    <row r="8843" spans="2:2" x14ac:dyDescent="0.25">
      <c r="B8843" s="73"/>
    </row>
    <row r="8844" spans="2:2" x14ac:dyDescent="0.25">
      <c r="B8844" s="73"/>
    </row>
    <row r="8845" spans="2:2" x14ac:dyDescent="0.25">
      <c r="B8845" s="73"/>
    </row>
    <row r="8846" spans="2:2" x14ac:dyDescent="0.25">
      <c r="B8846" s="73"/>
    </row>
    <row r="8847" spans="2:2" x14ac:dyDescent="0.25">
      <c r="B8847" s="73"/>
    </row>
    <row r="8848" spans="2:2" x14ac:dyDescent="0.25">
      <c r="B8848" s="73"/>
    </row>
    <row r="8849" spans="2:2" x14ac:dyDescent="0.25">
      <c r="B8849" s="73"/>
    </row>
    <row r="8850" spans="2:2" x14ac:dyDescent="0.25">
      <c r="B8850" s="73"/>
    </row>
    <row r="8851" spans="2:2" x14ac:dyDescent="0.25">
      <c r="B8851" s="73"/>
    </row>
    <row r="8852" spans="2:2" x14ac:dyDescent="0.25">
      <c r="B8852" s="73"/>
    </row>
    <row r="8853" spans="2:2" x14ac:dyDescent="0.25">
      <c r="B8853" s="73"/>
    </row>
    <row r="8854" spans="2:2" x14ac:dyDescent="0.25">
      <c r="B8854" s="73"/>
    </row>
    <row r="8855" spans="2:2" x14ac:dyDescent="0.25">
      <c r="B8855" s="73"/>
    </row>
    <row r="8856" spans="2:2" x14ac:dyDescent="0.25">
      <c r="B8856" s="73"/>
    </row>
    <row r="8857" spans="2:2" x14ac:dyDescent="0.25">
      <c r="B8857" s="73"/>
    </row>
    <row r="8858" spans="2:2" x14ac:dyDescent="0.25">
      <c r="B8858" s="73"/>
    </row>
    <row r="8859" spans="2:2" x14ac:dyDescent="0.25">
      <c r="B8859" s="73"/>
    </row>
    <row r="8860" spans="2:2" x14ac:dyDescent="0.25">
      <c r="B8860" s="73"/>
    </row>
    <row r="8861" spans="2:2" x14ac:dyDescent="0.25">
      <c r="B8861" s="73"/>
    </row>
    <row r="8862" spans="2:2" x14ac:dyDescent="0.25">
      <c r="B8862" s="73"/>
    </row>
    <row r="8863" spans="2:2" x14ac:dyDescent="0.25">
      <c r="B8863" s="73"/>
    </row>
    <row r="8864" spans="2:2" x14ac:dyDescent="0.25">
      <c r="B8864" s="73"/>
    </row>
    <row r="8865" spans="2:2" x14ac:dyDescent="0.25">
      <c r="B8865" s="73"/>
    </row>
    <row r="8866" spans="2:2" x14ac:dyDescent="0.25">
      <c r="B8866" s="73"/>
    </row>
    <row r="8867" spans="2:2" x14ac:dyDescent="0.25">
      <c r="B8867" s="73"/>
    </row>
    <row r="8868" spans="2:2" x14ac:dyDescent="0.25">
      <c r="B8868" s="73"/>
    </row>
    <row r="8869" spans="2:2" x14ac:dyDescent="0.25">
      <c r="B8869" s="73"/>
    </row>
    <row r="8870" spans="2:2" x14ac:dyDescent="0.25">
      <c r="B8870" s="73"/>
    </row>
    <row r="8871" spans="2:2" x14ac:dyDescent="0.25">
      <c r="B8871" s="73"/>
    </row>
    <row r="8872" spans="2:2" x14ac:dyDescent="0.25">
      <c r="B8872" s="73"/>
    </row>
    <row r="8873" spans="2:2" x14ac:dyDescent="0.25">
      <c r="B8873" s="73"/>
    </row>
    <row r="8874" spans="2:2" x14ac:dyDescent="0.25">
      <c r="B8874" s="73"/>
    </row>
    <row r="8875" spans="2:2" x14ac:dyDescent="0.25">
      <c r="B8875" s="73"/>
    </row>
    <row r="8876" spans="2:2" x14ac:dyDescent="0.25">
      <c r="B8876" s="73"/>
    </row>
    <row r="8877" spans="2:2" x14ac:dyDescent="0.25">
      <c r="B8877" s="73"/>
    </row>
    <row r="8878" spans="2:2" x14ac:dyDescent="0.25">
      <c r="B8878" s="73"/>
    </row>
    <row r="8879" spans="2:2" x14ac:dyDescent="0.25">
      <c r="B8879" s="73"/>
    </row>
    <row r="8880" spans="2:2" x14ac:dyDescent="0.25">
      <c r="B8880" s="73"/>
    </row>
    <row r="8881" spans="2:2" x14ac:dyDescent="0.25">
      <c r="B8881" s="73"/>
    </row>
    <row r="8882" spans="2:2" x14ac:dyDescent="0.25">
      <c r="B8882" s="73"/>
    </row>
    <row r="8883" spans="2:2" x14ac:dyDescent="0.25">
      <c r="B8883" s="73"/>
    </row>
    <row r="8884" spans="2:2" x14ac:dyDescent="0.25">
      <c r="B8884" s="73"/>
    </row>
    <row r="8885" spans="2:2" x14ac:dyDescent="0.25">
      <c r="B8885" s="73"/>
    </row>
    <row r="8886" spans="2:2" x14ac:dyDescent="0.25">
      <c r="B8886" s="73"/>
    </row>
    <row r="8887" spans="2:2" x14ac:dyDescent="0.25">
      <c r="B8887" s="73"/>
    </row>
    <row r="8888" spans="2:2" x14ac:dyDescent="0.25">
      <c r="B8888" s="73"/>
    </row>
    <row r="8889" spans="2:2" x14ac:dyDescent="0.25">
      <c r="B8889" s="73"/>
    </row>
    <row r="8890" spans="2:2" x14ac:dyDescent="0.25">
      <c r="B8890" s="73"/>
    </row>
    <row r="8891" spans="2:2" x14ac:dyDescent="0.25">
      <c r="B8891" s="73"/>
    </row>
    <row r="8892" spans="2:2" x14ac:dyDescent="0.25">
      <c r="B8892" s="73"/>
    </row>
    <row r="8893" spans="2:2" x14ac:dyDescent="0.25">
      <c r="B8893" s="73"/>
    </row>
    <row r="8894" spans="2:2" x14ac:dyDescent="0.25">
      <c r="B8894" s="73"/>
    </row>
    <row r="8895" spans="2:2" x14ac:dyDescent="0.25">
      <c r="B8895" s="73"/>
    </row>
    <row r="8896" spans="2:2" x14ac:dyDescent="0.25">
      <c r="B8896" s="73"/>
    </row>
    <row r="8897" spans="2:2" x14ac:dyDescent="0.25">
      <c r="B8897" s="73"/>
    </row>
    <row r="8898" spans="2:2" x14ac:dyDescent="0.25">
      <c r="B8898" s="73"/>
    </row>
    <row r="8899" spans="2:2" x14ac:dyDescent="0.25">
      <c r="B8899" s="73"/>
    </row>
    <row r="8900" spans="2:2" x14ac:dyDescent="0.25">
      <c r="B8900" s="73"/>
    </row>
    <row r="8901" spans="2:2" x14ac:dyDescent="0.25">
      <c r="B8901" s="73"/>
    </row>
    <row r="8902" spans="2:2" x14ac:dyDescent="0.25">
      <c r="B8902" s="73"/>
    </row>
    <row r="8903" spans="2:2" x14ac:dyDescent="0.25">
      <c r="B8903" s="73"/>
    </row>
    <row r="8904" spans="2:2" x14ac:dyDescent="0.25">
      <c r="B8904" s="73"/>
    </row>
    <row r="8905" spans="2:2" x14ac:dyDescent="0.25">
      <c r="B8905" s="73"/>
    </row>
    <row r="8906" spans="2:2" x14ac:dyDescent="0.25">
      <c r="B8906" s="73"/>
    </row>
    <row r="8907" spans="2:2" x14ac:dyDescent="0.25">
      <c r="B8907" s="73"/>
    </row>
    <row r="8908" spans="2:2" x14ac:dyDescent="0.25">
      <c r="B8908" s="73"/>
    </row>
    <row r="8909" spans="2:2" x14ac:dyDescent="0.25">
      <c r="B8909" s="73"/>
    </row>
    <row r="8910" spans="2:2" x14ac:dyDescent="0.25">
      <c r="B8910" s="73"/>
    </row>
    <row r="8911" spans="2:2" x14ac:dyDescent="0.25">
      <c r="B8911" s="73"/>
    </row>
    <row r="8912" spans="2:2" x14ac:dyDescent="0.25">
      <c r="B8912" s="73"/>
    </row>
    <row r="8913" spans="2:2" x14ac:dyDescent="0.25">
      <c r="B8913" s="73"/>
    </row>
    <row r="8914" spans="2:2" x14ac:dyDescent="0.25">
      <c r="B8914" s="73"/>
    </row>
    <row r="8915" spans="2:2" x14ac:dyDescent="0.25">
      <c r="B8915" s="73"/>
    </row>
    <row r="8916" spans="2:2" x14ac:dyDescent="0.25">
      <c r="B8916" s="73"/>
    </row>
    <row r="8917" spans="2:2" x14ac:dyDescent="0.25">
      <c r="B8917" s="73"/>
    </row>
    <row r="8918" spans="2:2" x14ac:dyDescent="0.25">
      <c r="B8918" s="73"/>
    </row>
    <row r="8919" spans="2:2" x14ac:dyDescent="0.25">
      <c r="B8919" s="73"/>
    </row>
    <row r="8920" spans="2:2" x14ac:dyDescent="0.25">
      <c r="B8920" s="73"/>
    </row>
    <row r="8921" spans="2:2" x14ac:dyDescent="0.25">
      <c r="B8921" s="73"/>
    </row>
    <row r="8922" spans="2:2" x14ac:dyDescent="0.25">
      <c r="B8922" s="73"/>
    </row>
    <row r="8923" spans="2:2" x14ac:dyDescent="0.25">
      <c r="B8923" s="73"/>
    </row>
    <row r="8924" spans="2:2" x14ac:dyDescent="0.25">
      <c r="B8924" s="73"/>
    </row>
    <row r="8925" spans="2:2" x14ac:dyDescent="0.25">
      <c r="B8925" s="73"/>
    </row>
    <row r="8926" spans="2:2" x14ac:dyDescent="0.25">
      <c r="B8926" s="73"/>
    </row>
    <row r="8927" spans="2:2" x14ac:dyDescent="0.25">
      <c r="B8927" s="73"/>
    </row>
    <row r="8928" spans="2:2" x14ac:dyDescent="0.25">
      <c r="B8928" s="73"/>
    </row>
    <row r="8929" spans="2:2" x14ac:dyDescent="0.25">
      <c r="B8929" s="73"/>
    </row>
    <row r="8930" spans="2:2" x14ac:dyDescent="0.25">
      <c r="B8930" s="73"/>
    </row>
    <row r="8931" spans="2:2" x14ac:dyDescent="0.25">
      <c r="B8931" s="73"/>
    </row>
    <row r="8932" spans="2:2" x14ac:dyDescent="0.25">
      <c r="B8932" s="73"/>
    </row>
    <row r="8933" spans="2:2" x14ac:dyDescent="0.25">
      <c r="B8933" s="73"/>
    </row>
    <row r="8934" spans="2:2" x14ac:dyDescent="0.25">
      <c r="B8934" s="73"/>
    </row>
    <row r="8935" spans="2:2" x14ac:dyDescent="0.25">
      <c r="B8935" s="73"/>
    </row>
    <row r="8936" spans="2:2" x14ac:dyDescent="0.25">
      <c r="B8936" s="73"/>
    </row>
    <row r="8937" spans="2:2" x14ac:dyDescent="0.25">
      <c r="B8937" s="73"/>
    </row>
    <row r="8938" spans="2:2" x14ac:dyDescent="0.25">
      <c r="B8938" s="73"/>
    </row>
    <row r="8939" spans="2:2" x14ac:dyDescent="0.25">
      <c r="B8939" s="73"/>
    </row>
    <row r="8940" spans="2:2" x14ac:dyDescent="0.25">
      <c r="B8940" s="73"/>
    </row>
    <row r="8941" spans="2:2" x14ac:dyDescent="0.25">
      <c r="B8941" s="73"/>
    </row>
    <row r="8942" spans="2:2" x14ac:dyDescent="0.25">
      <c r="B8942" s="73"/>
    </row>
    <row r="8943" spans="2:2" x14ac:dyDescent="0.25">
      <c r="B8943" s="73"/>
    </row>
    <row r="8944" spans="2:2" x14ac:dyDescent="0.25">
      <c r="B8944" s="73"/>
    </row>
    <row r="8945" spans="2:2" x14ac:dyDescent="0.25">
      <c r="B8945" s="73"/>
    </row>
    <row r="8946" spans="2:2" x14ac:dyDescent="0.25">
      <c r="B8946" s="73"/>
    </row>
    <row r="8947" spans="2:2" x14ac:dyDescent="0.25">
      <c r="B8947" s="73"/>
    </row>
    <row r="8948" spans="2:2" x14ac:dyDescent="0.25">
      <c r="B8948" s="73"/>
    </row>
    <row r="8949" spans="2:2" x14ac:dyDescent="0.25">
      <c r="B8949" s="73"/>
    </row>
    <row r="8950" spans="2:2" x14ac:dyDescent="0.25">
      <c r="B8950" s="73"/>
    </row>
    <row r="8951" spans="2:2" x14ac:dyDescent="0.25">
      <c r="B8951" s="73"/>
    </row>
    <row r="8952" spans="2:2" x14ac:dyDescent="0.25">
      <c r="B8952" s="73"/>
    </row>
    <row r="8953" spans="2:2" x14ac:dyDescent="0.25">
      <c r="B8953" s="73"/>
    </row>
    <row r="8954" spans="2:2" x14ac:dyDescent="0.25">
      <c r="B8954" s="73"/>
    </row>
    <row r="8955" spans="2:2" x14ac:dyDescent="0.25">
      <c r="B8955" s="73"/>
    </row>
    <row r="8956" spans="2:2" x14ac:dyDescent="0.25">
      <c r="B8956" s="73"/>
    </row>
    <row r="8957" spans="2:2" x14ac:dyDescent="0.25">
      <c r="B8957" s="73"/>
    </row>
    <row r="8958" spans="2:2" x14ac:dyDescent="0.25">
      <c r="B8958" s="73"/>
    </row>
    <row r="8959" spans="2:2" x14ac:dyDescent="0.25">
      <c r="B8959" s="73"/>
    </row>
    <row r="8960" spans="2:2" x14ac:dyDescent="0.25">
      <c r="B8960" s="73"/>
    </row>
    <row r="8961" spans="2:2" x14ac:dyDescent="0.25">
      <c r="B8961" s="73"/>
    </row>
    <row r="8962" spans="2:2" x14ac:dyDescent="0.25">
      <c r="B8962" s="73"/>
    </row>
    <row r="8963" spans="2:2" x14ac:dyDescent="0.25">
      <c r="B8963" s="73"/>
    </row>
    <row r="8964" spans="2:2" x14ac:dyDescent="0.25">
      <c r="B8964" s="73"/>
    </row>
    <row r="8965" spans="2:2" x14ac:dyDescent="0.25">
      <c r="B8965" s="73"/>
    </row>
    <row r="8966" spans="2:2" x14ac:dyDescent="0.25">
      <c r="B8966" s="73"/>
    </row>
    <row r="8967" spans="2:2" x14ac:dyDescent="0.25">
      <c r="B8967" s="73"/>
    </row>
    <row r="8968" spans="2:2" x14ac:dyDescent="0.25">
      <c r="B8968" s="73"/>
    </row>
    <row r="8969" spans="2:2" x14ac:dyDescent="0.25">
      <c r="B8969" s="73"/>
    </row>
    <row r="8970" spans="2:2" x14ac:dyDescent="0.25">
      <c r="B8970" s="73"/>
    </row>
    <row r="8971" spans="2:2" x14ac:dyDescent="0.25">
      <c r="B8971" s="73"/>
    </row>
    <row r="8972" spans="2:2" x14ac:dyDescent="0.25">
      <c r="B8972" s="73"/>
    </row>
    <row r="8973" spans="2:2" x14ac:dyDescent="0.25">
      <c r="B8973" s="73"/>
    </row>
    <row r="8974" spans="2:2" x14ac:dyDescent="0.25">
      <c r="B8974" s="73"/>
    </row>
    <row r="8975" spans="2:2" x14ac:dyDescent="0.25">
      <c r="B8975" s="73"/>
    </row>
    <row r="8976" spans="2:2" x14ac:dyDescent="0.25">
      <c r="B8976" s="73"/>
    </row>
    <row r="8977" spans="2:2" x14ac:dyDescent="0.25">
      <c r="B8977" s="73"/>
    </row>
    <row r="8978" spans="2:2" x14ac:dyDescent="0.25">
      <c r="B8978" s="73"/>
    </row>
    <row r="8979" spans="2:2" x14ac:dyDescent="0.25">
      <c r="B8979" s="73"/>
    </row>
    <row r="8980" spans="2:2" x14ac:dyDescent="0.25">
      <c r="B8980" s="73"/>
    </row>
    <row r="8981" spans="2:2" x14ac:dyDescent="0.25">
      <c r="B8981" s="73"/>
    </row>
    <row r="8982" spans="2:2" x14ac:dyDescent="0.25">
      <c r="B8982" s="73"/>
    </row>
    <row r="8983" spans="2:2" x14ac:dyDescent="0.25">
      <c r="B8983" s="73"/>
    </row>
    <row r="8984" spans="2:2" x14ac:dyDescent="0.25">
      <c r="B8984" s="73"/>
    </row>
    <row r="8985" spans="2:2" x14ac:dyDescent="0.25">
      <c r="B8985" s="73"/>
    </row>
    <row r="8986" spans="2:2" x14ac:dyDescent="0.25">
      <c r="B8986" s="73"/>
    </row>
    <row r="8987" spans="2:2" x14ac:dyDescent="0.25">
      <c r="B8987" s="73"/>
    </row>
    <row r="8988" spans="2:2" x14ac:dyDescent="0.25">
      <c r="B8988" s="73"/>
    </row>
    <row r="8989" spans="2:2" x14ac:dyDescent="0.25">
      <c r="B8989" s="73"/>
    </row>
    <row r="8990" spans="2:2" x14ac:dyDescent="0.25">
      <c r="B8990" s="73"/>
    </row>
    <row r="8991" spans="2:2" x14ac:dyDescent="0.25">
      <c r="B8991" s="73"/>
    </row>
    <row r="8992" spans="2:2" x14ac:dyDescent="0.25">
      <c r="B8992" s="73"/>
    </row>
    <row r="8993" spans="2:2" x14ac:dyDescent="0.25">
      <c r="B8993" s="73"/>
    </row>
    <row r="8994" spans="2:2" x14ac:dyDescent="0.25">
      <c r="B8994" s="73"/>
    </row>
    <row r="8995" spans="2:2" x14ac:dyDescent="0.25">
      <c r="B8995" s="73"/>
    </row>
    <row r="8996" spans="2:2" x14ac:dyDescent="0.25">
      <c r="B8996" s="73"/>
    </row>
    <row r="8997" spans="2:2" x14ac:dyDescent="0.25">
      <c r="B8997" s="73"/>
    </row>
    <row r="8998" spans="2:2" x14ac:dyDescent="0.25">
      <c r="B8998" s="73"/>
    </row>
    <row r="8999" spans="2:2" x14ac:dyDescent="0.25">
      <c r="B8999" s="73"/>
    </row>
    <row r="9000" spans="2:2" x14ac:dyDescent="0.25">
      <c r="B9000" s="73"/>
    </row>
    <row r="9001" spans="2:2" x14ac:dyDescent="0.25">
      <c r="B9001" s="73"/>
    </row>
    <row r="9002" spans="2:2" x14ac:dyDescent="0.25">
      <c r="B9002" s="73"/>
    </row>
    <row r="9003" spans="2:2" x14ac:dyDescent="0.25">
      <c r="B9003" s="73"/>
    </row>
    <row r="9004" spans="2:2" x14ac:dyDescent="0.25">
      <c r="B9004" s="73"/>
    </row>
    <row r="9005" spans="2:2" x14ac:dyDescent="0.25">
      <c r="B9005" s="73"/>
    </row>
    <row r="9006" spans="2:2" x14ac:dyDescent="0.25">
      <c r="B9006" s="73"/>
    </row>
    <row r="9007" spans="2:2" x14ac:dyDescent="0.25">
      <c r="B9007" s="73"/>
    </row>
    <row r="9008" spans="2:2" x14ac:dyDescent="0.25">
      <c r="B9008" s="73"/>
    </row>
    <row r="9009" spans="2:2" x14ac:dyDescent="0.25">
      <c r="B9009" s="73"/>
    </row>
    <row r="9010" spans="2:2" x14ac:dyDescent="0.25">
      <c r="B9010" s="73"/>
    </row>
    <row r="9011" spans="2:2" x14ac:dyDescent="0.25">
      <c r="B9011" s="73"/>
    </row>
    <row r="9012" spans="2:2" x14ac:dyDescent="0.25">
      <c r="B9012" s="73"/>
    </row>
    <row r="9013" spans="2:2" x14ac:dyDescent="0.25">
      <c r="B9013" s="73"/>
    </row>
    <row r="9014" spans="2:2" x14ac:dyDescent="0.25">
      <c r="B9014" s="73"/>
    </row>
    <row r="9015" spans="2:2" x14ac:dyDescent="0.25">
      <c r="B9015" s="73"/>
    </row>
    <row r="9016" spans="2:2" x14ac:dyDescent="0.25">
      <c r="B9016" s="73"/>
    </row>
    <row r="9017" spans="2:2" x14ac:dyDescent="0.25">
      <c r="B9017" s="73"/>
    </row>
    <row r="9018" spans="2:2" x14ac:dyDescent="0.25">
      <c r="B9018" s="73"/>
    </row>
    <row r="9019" spans="2:2" x14ac:dyDescent="0.25">
      <c r="B9019" s="73"/>
    </row>
    <row r="9020" spans="2:2" x14ac:dyDescent="0.25">
      <c r="B9020" s="73"/>
    </row>
    <row r="9021" spans="2:2" x14ac:dyDescent="0.25">
      <c r="B9021" s="73"/>
    </row>
    <row r="9022" spans="2:2" x14ac:dyDescent="0.25">
      <c r="B9022" s="73"/>
    </row>
    <row r="9023" spans="2:2" x14ac:dyDescent="0.25">
      <c r="B9023" s="73"/>
    </row>
    <row r="9024" spans="2:2" x14ac:dyDescent="0.25">
      <c r="B9024" s="73"/>
    </row>
    <row r="9025" spans="2:2" x14ac:dyDescent="0.25">
      <c r="B9025" s="73"/>
    </row>
    <row r="9026" spans="2:2" x14ac:dyDescent="0.25">
      <c r="B9026" s="73"/>
    </row>
    <row r="9027" spans="2:2" x14ac:dyDescent="0.25">
      <c r="B9027" s="73"/>
    </row>
    <row r="9028" spans="2:2" x14ac:dyDescent="0.25">
      <c r="B9028" s="73"/>
    </row>
    <row r="9029" spans="2:2" x14ac:dyDescent="0.25">
      <c r="B9029" s="73"/>
    </row>
    <row r="9030" spans="2:2" x14ac:dyDescent="0.25">
      <c r="B9030" s="73"/>
    </row>
    <row r="9031" spans="2:2" x14ac:dyDescent="0.25">
      <c r="B9031" s="73"/>
    </row>
    <row r="9032" spans="2:2" x14ac:dyDescent="0.25">
      <c r="B9032" s="73"/>
    </row>
    <row r="9033" spans="2:2" x14ac:dyDescent="0.25">
      <c r="B9033" s="73"/>
    </row>
    <row r="9034" spans="2:2" x14ac:dyDescent="0.25">
      <c r="B9034" s="73"/>
    </row>
    <row r="9035" spans="2:2" x14ac:dyDescent="0.25">
      <c r="B9035" s="73"/>
    </row>
    <row r="9036" spans="2:2" x14ac:dyDescent="0.25">
      <c r="B9036" s="73"/>
    </row>
    <row r="9037" spans="2:2" x14ac:dyDescent="0.25">
      <c r="B9037" s="73"/>
    </row>
    <row r="9038" spans="2:2" x14ac:dyDescent="0.25">
      <c r="B9038" s="73"/>
    </row>
    <row r="9039" spans="2:2" x14ac:dyDescent="0.25">
      <c r="B9039" s="73"/>
    </row>
    <row r="9040" spans="2:2" x14ac:dyDescent="0.25">
      <c r="B9040" s="73"/>
    </row>
    <row r="9041" spans="2:2" x14ac:dyDescent="0.25">
      <c r="B9041" s="73"/>
    </row>
    <row r="9042" spans="2:2" x14ac:dyDescent="0.25">
      <c r="B9042" s="73"/>
    </row>
    <row r="9043" spans="2:2" x14ac:dyDescent="0.25">
      <c r="B9043" s="73"/>
    </row>
    <row r="9044" spans="2:2" x14ac:dyDescent="0.25">
      <c r="B9044" s="73"/>
    </row>
    <row r="9045" spans="2:2" x14ac:dyDescent="0.25">
      <c r="B9045" s="73"/>
    </row>
    <row r="9046" spans="2:2" x14ac:dyDescent="0.25">
      <c r="B9046" s="73"/>
    </row>
    <row r="9047" spans="2:2" x14ac:dyDescent="0.25">
      <c r="B9047" s="73"/>
    </row>
    <row r="9048" spans="2:2" x14ac:dyDescent="0.25">
      <c r="B9048" s="73"/>
    </row>
    <row r="9049" spans="2:2" x14ac:dyDescent="0.25">
      <c r="B9049" s="73"/>
    </row>
    <row r="9050" spans="2:2" x14ac:dyDescent="0.25">
      <c r="B9050" s="73"/>
    </row>
    <row r="9051" spans="2:2" x14ac:dyDescent="0.25">
      <c r="B9051" s="73"/>
    </row>
    <row r="9052" spans="2:2" x14ac:dyDescent="0.25">
      <c r="B9052" s="73"/>
    </row>
    <row r="9053" spans="2:2" x14ac:dyDescent="0.25">
      <c r="B9053" s="73"/>
    </row>
    <row r="9054" spans="2:2" x14ac:dyDescent="0.25">
      <c r="B9054" s="73"/>
    </row>
    <row r="9055" spans="2:2" x14ac:dyDescent="0.25">
      <c r="B9055" s="73"/>
    </row>
    <row r="9056" spans="2:2" x14ac:dyDescent="0.25">
      <c r="B9056" s="73"/>
    </row>
    <row r="9057" spans="2:2" x14ac:dyDescent="0.25">
      <c r="B9057" s="73"/>
    </row>
    <row r="9058" spans="2:2" x14ac:dyDescent="0.25">
      <c r="B9058" s="73"/>
    </row>
    <row r="9059" spans="2:2" x14ac:dyDescent="0.25">
      <c r="B9059" s="73"/>
    </row>
    <row r="9060" spans="2:2" x14ac:dyDescent="0.25">
      <c r="B9060" s="73"/>
    </row>
    <row r="9061" spans="2:2" x14ac:dyDescent="0.25">
      <c r="B9061" s="73"/>
    </row>
    <row r="9062" spans="2:2" x14ac:dyDescent="0.25">
      <c r="B9062" s="73"/>
    </row>
    <row r="9063" spans="2:2" x14ac:dyDescent="0.25">
      <c r="B9063" s="73"/>
    </row>
    <row r="9064" spans="2:2" x14ac:dyDescent="0.25">
      <c r="B9064" s="73"/>
    </row>
    <row r="9065" spans="2:2" x14ac:dyDescent="0.25">
      <c r="B9065" s="73"/>
    </row>
    <row r="9066" spans="2:2" x14ac:dyDescent="0.25">
      <c r="B9066" s="73"/>
    </row>
    <row r="9067" spans="2:2" x14ac:dyDescent="0.25">
      <c r="B9067" s="73"/>
    </row>
    <row r="9068" spans="2:2" x14ac:dyDescent="0.25">
      <c r="B9068" s="73"/>
    </row>
    <row r="9069" spans="2:2" x14ac:dyDescent="0.25">
      <c r="B9069" s="73"/>
    </row>
    <row r="9070" spans="2:2" x14ac:dyDescent="0.25">
      <c r="B9070" s="73"/>
    </row>
    <row r="9071" spans="2:2" x14ac:dyDescent="0.25">
      <c r="B9071" s="73"/>
    </row>
    <row r="9072" spans="2:2" x14ac:dyDescent="0.25">
      <c r="B9072" s="73"/>
    </row>
    <row r="9073" spans="2:2" x14ac:dyDescent="0.25">
      <c r="B9073" s="73"/>
    </row>
    <row r="9074" spans="2:2" x14ac:dyDescent="0.25">
      <c r="B9074" s="73"/>
    </row>
    <row r="9075" spans="2:2" x14ac:dyDescent="0.25">
      <c r="B9075" s="73"/>
    </row>
    <row r="9076" spans="2:2" x14ac:dyDescent="0.25">
      <c r="B9076" s="73"/>
    </row>
    <row r="9077" spans="2:2" x14ac:dyDescent="0.25">
      <c r="B9077" s="73"/>
    </row>
    <row r="9078" spans="2:2" x14ac:dyDescent="0.25">
      <c r="B9078" s="73"/>
    </row>
    <row r="9079" spans="2:2" x14ac:dyDescent="0.25">
      <c r="B9079" s="73"/>
    </row>
    <row r="9080" spans="2:2" x14ac:dyDescent="0.25">
      <c r="B9080" s="73"/>
    </row>
    <row r="9081" spans="2:2" x14ac:dyDescent="0.25">
      <c r="B9081" s="73"/>
    </row>
    <row r="9082" spans="2:2" x14ac:dyDescent="0.25">
      <c r="B9082" s="73"/>
    </row>
    <row r="9083" spans="2:2" x14ac:dyDescent="0.25">
      <c r="B9083" s="73"/>
    </row>
    <row r="9084" spans="2:2" x14ac:dyDescent="0.25">
      <c r="B9084" s="73"/>
    </row>
    <row r="9085" spans="2:2" x14ac:dyDescent="0.25">
      <c r="B9085" s="73"/>
    </row>
    <row r="9086" spans="2:2" x14ac:dyDescent="0.25">
      <c r="B9086" s="73"/>
    </row>
    <row r="9087" spans="2:2" x14ac:dyDescent="0.25">
      <c r="B9087" s="73"/>
    </row>
    <row r="9088" spans="2:2" x14ac:dyDescent="0.25">
      <c r="B9088" s="73"/>
    </row>
    <row r="9089" spans="2:2" x14ac:dyDescent="0.25">
      <c r="B9089" s="73"/>
    </row>
    <row r="9090" spans="2:2" x14ac:dyDescent="0.25">
      <c r="B9090" s="73"/>
    </row>
    <row r="9091" spans="2:2" x14ac:dyDescent="0.25">
      <c r="B9091" s="73"/>
    </row>
    <row r="9092" spans="2:2" x14ac:dyDescent="0.25">
      <c r="B9092" s="73"/>
    </row>
    <row r="9093" spans="2:2" x14ac:dyDescent="0.25">
      <c r="B9093" s="73"/>
    </row>
    <row r="9094" spans="2:2" x14ac:dyDescent="0.25">
      <c r="B9094" s="73"/>
    </row>
    <row r="9095" spans="2:2" x14ac:dyDescent="0.25">
      <c r="B9095" s="73"/>
    </row>
    <row r="9096" spans="2:2" x14ac:dyDescent="0.25">
      <c r="B9096" s="73"/>
    </row>
    <row r="9097" spans="2:2" x14ac:dyDescent="0.25">
      <c r="B9097" s="73"/>
    </row>
    <row r="9098" spans="2:2" x14ac:dyDescent="0.25">
      <c r="B9098" s="73"/>
    </row>
    <row r="9099" spans="2:2" x14ac:dyDescent="0.25">
      <c r="B9099" s="73"/>
    </row>
    <row r="9100" spans="2:2" x14ac:dyDescent="0.25">
      <c r="B9100" s="73"/>
    </row>
    <row r="9101" spans="2:2" x14ac:dyDescent="0.25">
      <c r="B9101" s="73"/>
    </row>
    <row r="9102" spans="2:2" x14ac:dyDescent="0.25">
      <c r="B9102" s="73"/>
    </row>
    <row r="9103" spans="2:2" x14ac:dyDescent="0.25">
      <c r="B9103" s="73"/>
    </row>
    <row r="9104" spans="2:2" x14ac:dyDescent="0.25">
      <c r="B9104" s="73"/>
    </row>
    <row r="9105" spans="2:2" x14ac:dyDescent="0.25">
      <c r="B9105" s="73"/>
    </row>
    <row r="9106" spans="2:2" x14ac:dyDescent="0.25">
      <c r="B9106" s="73"/>
    </row>
    <row r="9107" spans="2:2" x14ac:dyDescent="0.25">
      <c r="B9107" s="73"/>
    </row>
    <row r="9108" spans="2:2" x14ac:dyDescent="0.25">
      <c r="B9108" s="73"/>
    </row>
    <row r="9109" spans="2:2" x14ac:dyDescent="0.25">
      <c r="B9109" s="73"/>
    </row>
    <row r="9110" spans="2:2" x14ac:dyDescent="0.25">
      <c r="B9110" s="73"/>
    </row>
    <row r="9111" spans="2:2" x14ac:dyDescent="0.25">
      <c r="B9111" s="73"/>
    </row>
    <row r="9112" spans="2:2" x14ac:dyDescent="0.25">
      <c r="B9112" s="73"/>
    </row>
    <row r="9113" spans="2:2" x14ac:dyDescent="0.25">
      <c r="B9113" s="73"/>
    </row>
    <row r="9114" spans="2:2" x14ac:dyDescent="0.25">
      <c r="B9114" s="73"/>
    </row>
    <row r="9115" spans="2:2" x14ac:dyDescent="0.25">
      <c r="B9115" s="73"/>
    </row>
    <row r="9116" spans="2:2" x14ac:dyDescent="0.25">
      <c r="B9116" s="73"/>
    </row>
    <row r="9117" spans="2:2" x14ac:dyDescent="0.25">
      <c r="B9117" s="73"/>
    </row>
    <row r="9118" spans="2:2" x14ac:dyDescent="0.25">
      <c r="B9118" s="73"/>
    </row>
    <row r="9119" spans="2:2" x14ac:dyDescent="0.25">
      <c r="B9119" s="73"/>
    </row>
    <row r="9120" spans="2:2" x14ac:dyDescent="0.25">
      <c r="B9120" s="73"/>
    </row>
    <row r="9121" spans="2:2" x14ac:dyDescent="0.25">
      <c r="B9121" s="73"/>
    </row>
    <row r="9122" spans="2:2" x14ac:dyDescent="0.25">
      <c r="B9122" s="73"/>
    </row>
    <row r="9123" spans="2:2" x14ac:dyDescent="0.25">
      <c r="B9123" s="73"/>
    </row>
    <row r="9124" spans="2:2" x14ac:dyDescent="0.25">
      <c r="B9124" s="73"/>
    </row>
    <row r="9125" spans="2:2" x14ac:dyDescent="0.25">
      <c r="B9125" s="73"/>
    </row>
    <row r="9126" spans="2:2" x14ac:dyDescent="0.25">
      <c r="B9126" s="73"/>
    </row>
    <row r="9127" spans="2:2" x14ac:dyDescent="0.25">
      <c r="B9127" s="73"/>
    </row>
    <row r="9128" spans="2:2" x14ac:dyDescent="0.25">
      <c r="B9128" s="73"/>
    </row>
    <row r="9129" spans="2:2" x14ac:dyDescent="0.25">
      <c r="B9129" s="73"/>
    </row>
    <row r="9130" spans="2:2" x14ac:dyDescent="0.25">
      <c r="B9130" s="73"/>
    </row>
    <row r="9131" spans="2:2" x14ac:dyDescent="0.25">
      <c r="B9131" s="73"/>
    </row>
    <row r="9132" spans="2:2" x14ac:dyDescent="0.25">
      <c r="B9132" s="73"/>
    </row>
    <row r="9133" spans="2:2" x14ac:dyDescent="0.25">
      <c r="B9133" s="73"/>
    </row>
    <row r="9134" spans="2:2" x14ac:dyDescent="0.25">
      <c r="B9134" s="73"/>
    </row>
    <row r="9135" spans="2:2" x14ac:dyDescent="0.25">
      <c r="B9135" s="73"/>
    </row>
    <row r="9136" spans="2:2" x14ac:dyDescent="0.25">
      <c r="B9136" s="73"/>
    </row>
    <row r="9137" spans="2:2" x14ac:dyDescent="0.25">
      <c r="B9137" s="73"/>
    </row>
    <row r="9138" spans="2:2" x14ac:dyDescent="0.25">
      <c r="B9138" s="73"/>
    </row>
    <row r="9139" spans="2:2" x14ac:dyDescent="0.25">
      <c r="B9139" s="73"/>
    </row>
    <row r="9140" spans="2:2" x14ac:dyDescent="0.25">
      <c r="B9140" s="73"/>
    </row>
    <row r="9141" spans="2:2" x14ac:dyDescent="0.25">
      <c r="B9141" s="73"/>
    </row>
    <row r="9142" spans="2:2" x14ac:dyDescent="0.25">
      <c r="B9142" s="73"/>
    </row>
    <row r="9143" spans="2:2" x14ac:dyDescent="0.25">
      <c r="B9143" s="73"/>
    </row>
    <row r="9144" spans="2:2" x14ac:dyDescent="0.25">
      <c r="B9144" s="73"/>
    </row>
    <row r="9145" spans="2:2" x14ac:dyDescent="0.25">
      <c r="B9145" s="73"/>
    </row>
    <row r="9146" spans="2:2" x14ac:dyDescent="0.25">
      <c r="B9146" s="73"/>
    </row>
    <row r="9147" spans="2:2" x14ac:dyDescent="0.25">
      <c r="B9147" s="73"/>
    </row>
    <row r="9148" spans="2:2" x14ac:dyDescent="0.25">
      <c r="B9148" s="73"/>
    </row>
    <row r="9149" spans="2:2" x14ac:dyDescent="0.25">
      <c r="B9149" s="73"/>
    </row>
    <row r="9150" spans="2:2" x14ac:dyDescent="0.25">
      <c r="B9150" s="73"/>
    </row>
    <row r="9151" spans="2:2" x14ac:dyDescent="0.25">
      <c r="B9151" s="73"/>
    </row>
    <row r="9152" spans="2:2" x14ac:dyDescent="0.25">
      <c r="B9152" s="73"/>
    </row>
    <row r="9153" spans="2:2" x14ac:dyDescent="0.25">
      <c r="B9153" s="73"/>
    </row>
    <row r="9154" spans="2:2" x14ac:dyDescent="0.25">
      <c r="B9154" s="73"/>
    </row>
    <row r="9155" spans="2:2" x14ac:dyDescent="0.25">
      <c r="B9155" s="73"/>
    </row>
    <row r="9156" spans="2:2" x14ac:dyDescent="0.25">
      <c r="B9156" s="73"/>
    </row>
    <row r="9157" spans="2:2" x14ac:dyDescent="0.25">
      <c r="B9157" s="73"/>
    </row>
    <row r="9158" spans="2:2" x14ac:dyDescent="0.25">
      <c r="B9158" s="73"/>
    </row>
    <row r="9159" spans="2:2" x14ac:dyDescent="0.25">
      <c r="B9159" s="73"/>
    </row>
    <row r="9160" spans="2:2" x14ac:dyDescent="0.25">
      <c r="B9160" s="73"/>
    </row>
    <row r="9161" spans="2:2" x14ac:dyDescent="0.25">
      <c r="B9161" s="73"/>
    </row>
    <row r="9162" spans="2:2" x14ac:dyDescent="0.25">
      <c r="B9162" s="73"/>
    </row>
    <row r="9163" spans="2:2" x14ac:dyDescent="0.25">
      <c r="B9163" s="73"/>
    </row>
    <row r="9164" spans="2:2" x14ac:dyDescent="0.25">
      <c r="B9164" s="73"/>
    </row>
    <row r="9165" spans="2:2" x14ac:dyDescent="0.25">
      <c r="B9165" s="73"/>
    </row>
    <row r="9166" spans="2:2" x14ac:dyDescent="0.25">
      <c r="B9166" s="73"/>
    </row>
    <row r="9167" spans="2:2" x14ac:dyDescent="0.25">
      <c r="B9167" s="73"/>
    </row>
    <row r="9168" spans="2:2" x14ac:dyDescent="0.25">
      <c r="B9168" s="73"/>
    </row>
    <row r="9169" spans="2:2" x14ac:dyDescent="0.25">
      <c r="B9169" s="73"/>
    </row>
    <row r="9170" spans="2:2" x14ac:dyDescent="0.25">
      <c r="B9170" s="73"/>
    </row>
    <row r="9171" spans="2:2" x14ac:dyDescent="0.25">
      <c r="B9171" s="73"/>
    </row>
    <row r="9172" spans="2:2" x14ac:dyDescent="0.25">
      <c r="B9172" s="73"/>
    </row>
    <row r="9173" spans="2:2" x14ac:dyDescent="0.25">
      <c r="B9173" s="73"/>
    </row>
    <row r="9174" spans="2:2" x14ac:dyDescent="0.25">
      <c r="B9174" s="73"/>
    </row>
    <row r="9175" spans="2:2" x14ac:dyDescent="0.25">
      <c r="B9175" s="73"/>
    </row>
    <row r="9176" spans="2:2" x14ac:dyDescent="0.25">
      <c r="B9176" s="73"/>
    </row>
    <row r="9177" spans="2:2" x14ac:dyDescent="0.25">
      <c r="B9177" s="73"/>
    </row>
    <row r="9178" spans="2:2" x14ac:dyDescent="0.25">
      <c r="B9178" s="73"/>
    </row>
    <row r="9179" spans="2:2" x14ac:dyDescent="0.25">
      <c r="B9179" s="73"/>
    </row>
    <row r="9180" spans="2:2" x14ac:dyDescent="0.25">
      <c r="B9180" s="73"/>
    </row>
    <row r="9181" spans="2:2" x14ac:dyDescent="0.25">
      <c r="B9181" s="73"/>
    </row>
    <row r="9182" spans="2:2" x14ac:dyDescent="0.25">
      <c r="B9182" s="73"/>
    </row>
    <row r="9183" spans="2:2" x14ac:dyDescent="0.25">
      <c r="B9183" s="73"/>
    </row>
    <row r="9184" spans="2:2" x14ac:dyDescent="0.25">
      <c r="B9184" s="73"/>
    </row>
    <row r="9185" spans="2:2" x14ac:dyDescent="0.25">
      <c r="B9185" s="73"/>
    </row>
    <row r="9186" spans="2:2" x14ac:dyDescent="0.25">
      <c r="B9186" s="73"/>
    </row>
    <row r="9187" spans="2:2" x14ac:dyDescent="0.25">
      <c r="B9187" s="73"/>
    </row>
    <row r="9188" spans="2:2" x14ac:dyDescent="0.25">
      <c r="B9188" s="73"/>
    </row>
    <row r="9189" spans="2:2" x14ac:dyDescent="0.25">
      <c r="B9189" s="73"/>
    </row>
    <row r="9190" spans="2:2" x14ac:dyDescent="0.25">
      <c r="B9190" s="73"/>
    </row>
    <row r="9191" spans="2:2" x14ac:dyDescent="0.25">
      <c r="B9191" s="73"/>
    </row>
    <row r="9192" spans="2:2" x14ac:dyDescent="0.25">
      <c r="B9192" s="73"/>
    </row>
    <row r="9193" spans="2:2" x14ac:dyDescent="0.25">
      <c r="B9193" s="73"/>
    </row>
    <row r="9194" spans="2:2" x14ac:dyDescent="0.25">
      <c r="B9194" s="73"/>
    </row>
    <row r="9195" spans="2:2" x14ac:dyDescent="0.25">
      <c r="B9195" s="73"/>
    </row>
    <row r="9196" spans="2:2" x14ac:dyDescent="0.25">
      <c r="B9196" s="73"/>
    </row>
    <row r="9197" spans="2:2" x14ac:dyDescent="0.25">
      <c r="B9197" s="73"/>
    </row>
    <row r="9198" spans="2:2" x14ac:dyDescent="0.25">
      <c r="B9198" s="73"/>
    </row>
    <row r="9199" spans="2:2" x14ac:dyDescent="0.25">
      <c r="B9199" s="73"/>
    </row>
    <row r="9200" spans="2:2" x14ac:dyDescent="0.25">
      <c r="B9200" s="73"/>
    </row>
    <row r="9201" spans="2:2" x14ac:dyDescent="0.25">
      <c r="B9201" s="73"/>
    </row>
    <row r="9202" spans="2:2" x14ac:dyDescent="0.25">
      <c r="B9202" s="73"/>
    </row>
    <row r="9203" spans="2:2" x14ac:dyDescent="0.25">
      <c r="B9203" s="73"/>
    </row>
    <row r="9204" spans="2:2" x14ac:dyDescent="0.25">
      <c r="B9204" s="73"/>
    </row>
    <row r="9205" spans="2:2" x14ac:dyDescent="0.25">
      <c r="B9205" s="73"/>
    </row>
    <row r="9206" spans="2:2" x14ac:dyDescent="0.25">
      <c r="B9206" s="73"/>
    </row>
    <row r="9207" spans="2:2" x14ac:dyDescent="0.25">
      <c r="B9207" s="73"/>
    </row>
    <row r="9208" spans="2:2" x14ac:dyDescent="0.25">
      <c r="B9208" s="73"/>
    </row>
    <row r="9209" spans="2:2" x14ac:dyDescent="0.25">
      <c r="B9209" s="73"/>
    </row>
    <row r="9210" spans="2:2" x14ac:dyDescent="0.25">
      <c r="B9210" s="73"/>
    </row>
    <row r="9211" spans="2:2" x14ac:dyDescent="0.25">
      <c r="B9211" s="73"/>
    </row>
    <row r="9212" spans="2:2" x14ac:dyDescent="0.25">
      <c r="B9212" s="73"/>
    </row>
    <row r="9213" spans="2:2" x14ac:dyDescent="0.25">
      <c r="B9213" s="73"/>
    </row>
    <row r="9214" spans="2:2" x14ac:dyDescent="0.25">
      <c r="B9214" s="73"/>
    </row>
    <row r="9215" spans="2:2" x14ac:dyDescent="0.25">
      <c r="B9215" s="73"/>
    </row>
    <row r="9216" spans="2:2" x14ac:dyDescent="0.25">
      <c r="B9216" s="73"/>
    </row>
    <row r="9217" spans="2:2" x14ac:dyDescent="0.25">
      <c r="B9217" s="73"/>
    </row>
    <row r="9218" spans="2:2" x14ac:dyDescent="0.25">
      <c r="B9218" s="73"/>
    </row>
    <row r="9219" spans="2:2" x14ac:dyDescent="0.25">
      <c r="B9219" s="73"/>
    </row>
    <row r="9220" spans="2:2" x14ac:dyDescent="0.25">
      <c r="B9220" s="73"/>
    </row>
    <row r="9221" spans="2:2" x14ac:dyDescent="0.25">
      <c r="B9221" s="73"/>
    </row>
    <row r="9222" spans="2:2" x14ac:dyDescent="0.25">
      <c r="B9222" s="73"/>
    </row>
    <row r="9223" spans="2:2" x14ac:dyDescent="0.25">
      <c r="B9223" s="73"/>
    </row>
    <row r="9224" spans="2:2" x14ac:dyDescent="0.25">
      <c r="B9224" s="73"/>
    </row>
    <row r="9225" spans="2:2" x14ac:dyDescent="0.25">
      <c r="B9225" s="73"/>
    </row>
    <row r="9226" spans="2:2" x14ac:dyDescent="0.25">
      <c r="B9226" s="73"/>
    </row>
    <row r="9227" spans="2:2" x14ac:dyDescent="0.25">
      <c r="B9227" s="73"/>
    </row>
    <row r="9228" spans="2:2" x14ac:dyDescent="0.25">
      <c r="B9228" s="73"/>
    </row>
    <row r="9229" spans="2:2" x14ac:dyDescent="0.25">
      <c r="B9229" s="73"/>
    </row>
    <row r="9230" spans="2:2" x14ac:dyDescent="0.25">
      <c r="B9230" s="73"/>
    </row>
    <row r="9231" spans="2:2" x14ac:dyDescent="0.25">
      <c r="B9231" s="73"/>
    </row>
    <row r="9232" spans="2:2" x14ac:dyDescent="0.25">
      <c r="B9232" s="73"/>
    </row>
    <row r="9233" spans="2:2" x14ac:dyDescent="0.25">
      <c r="B9233" s="73"/>
    </row>
    <row r="9234" spans="2:2" x14ac:dyDescent="0.25">
      <c r="B9234" s="73"/>
    </row>
    <row r="9235" spans="2:2" x14ac:dyDescent="0.25">
      <c r="B9235" s="73"/>
    </row>
    <row r="9236" spans="2:2" x14ac:dyDescent="0.25">
      <c r="B9236" s="73"/>
    </row>
    <row r="9237" spans="2:2" x14ac:dyDescent="0.25">
      <c r="B9237" s="73"/>
    </row>
    <row r="9238" spans="2:2" x14ac:dyDescent="0.25">
      <c r="B9238" s="73"/>
    </row>
    <row r="9239" spans="2:2" x14ac:dyDescent="0.25">
      <c r="B9239" s="73"/>
    </row>
    <row r="9240" spans="2:2" x14ac:dyDescent="0.25">
      <c r="B9240" s="73"/>
    </row>
    <row r="9241" spans="2:2" x14ac:dyDescent="0.25">
      <c r="B9241" s="73"/>
    </row>
    <row r="9242" spans="2:2" x14ac:dyDescent="0.25">
      <c r="B9242" s="73"/>
    </row>
    <row r="9243" spans="2:2" x14ac:dyDescent="0.25">
      <c r="B9243" s="73"/>
    </row>
    <row r="9244" spans="2:2" x14ac:dyDescent="0.25">
      <c r="B9244" s="73"/>
    </row>
    <row r="9245" spans="2:2" x14ac:dyDescent="0.25">
      <c r="B9245" s="73"/>
    </row>
    <row r="9246" spans="2:2" x14ac:dyDescent="0.25">
      <c r="B9246" s="73"/>
    </row>
    <row r="9247" spans="2:2" x14ac:dyDescent="0.25">
      <c r="B9247" s="73"/>
    </row>
    <row r="9248" spans="2:2" x14ac:dyDescent="0.25">
      <c r="B9248" s="73"/>
    </row>
    <row r="9249" spans="2:2" x14ac:dyDescent="0.25">
      <c r="B9249" s="73"/>
    </row>
    <row r="9250" spans="2:2" x14ac:dyDescent="0.25">
      <c r="B9250" s="73"/>
    </row>
    <row r="9251" spans="2:2" x14ac:dyDescent="0.25">
      <c r="B9251" s="73"/>
    </row>
    <row r="9252" spans="2:2" x14ac:dyDescent="0.25">
      <c r="B9252" s="73"/>
    </row>
    <row r="9253" spans="2:2" x14ac:dyDescent="0.25">
      <c r="B9253" s="73"/>
    </row>
    <row r="9254" spans="2:2" x14ac:dyDescent="0.25">
      <c r="B9254" s="73"/>
    </row>
    <row r="9255" spans="2:2" x14ac:dyDescent="0.25">
      <c r="B9255" s="73"/>
    </row>
    <row r="9256" spans="2:2" x14ac:dyDescent="0.25">
      <c r="B9256" s="73"/>
    </row>
    <row r="9257" spans="2:2" x14ac:dyDescent="0.25">
      <c r="B9257" s="73"/>
    </row>
    <row r="9258" spans="2:2" x14ac:dyDescent="0.25">
      <c r="B9258" s="73"/>
    </row>
    <row r="9259" spans="2:2" x14ac:dyDescent="0.25">
      <c r="B9259" s="73"/>
    </row>
    <row r="9260" spans="2:2" x14ac:dyDescent="0.25">
      <c r="B9260" s="73"/>
    </row>
    <row r="9261" spans="2:2" x14ac:dyDescent="0.25">
      <c r="B9261" s="73"/>
    </row>
    <row r="9262" spans="2:2" x14ac:dyDescent="0.25">
      <c r="B9262" s="73"/>
    </row>
    <row r="9263" spans="2:2" x14ac:dyDescent="0.25">
      <c r="B9263" s="73"/>
    </row>
    <row r="9264" spans="2:2" x14ac:dyDescent="0.25">
      <c r="B9264" s="73"/>
    </row>
    <row r="9265" spans="2:2" x14ac:dyDescent="0.25">
      <c r="B9265" s="73"/>
    </row>
    <row r="9266" spans="2:2" x14ac:dyDescent="0.25">
      <c r="B9266" s="73"/>
    </row>
    <row r="9267" spans="2:2" x14ac:dyDescent="0.25">
      <c r="B9267" s="73"/>
    </row>
    <row r="9268" spans="2:2" x14ac:dyDescent="0.25">
      <c r="B9268" s="73"/>
    </row>
    <row r="9269" spans="2:2" x14ac:dyDescent="0.25">
      <c r="B9269" s="73"/>
    </row>
    <row r="9270" spans="2:2" x14ac:dyDescent="0.25">
      <c r="B9270" s="73"/>
    </row>
    <row r="9271" spans="2:2" x14ac:dyDescent="0.25">
      <c r="B9271" s="73"/>
    </row>
    <row r="9272" spans="2:2" x14ac:dyDescent="0.25">
      <c r="B9272" s="73"/>
    </row>
    <row r="9273" spans="2:2" x14ac:dyDescent="0.25">
      <c r="B9273" s="73"/>
    </row>
    <row r="9274" spans="2:2" x14ac:dyDescent="0.25">
      <c r="B9274" s="73"/>
    </row>
    <row r="9275" spans="2:2" x14ac:dyDescent="0.25">
      <c r="B9275" s="73"/>
    </row>
    <row r="9276" spans="2:2" x14ac:dyDescent="0.25">
      <c r="B9276" s="73"/>
    </row>
    <row r="9277" spans="2:2" x14ac:dyDescent="0.25">
      <c r="B9277" s="73"/>
    </row>
    <row r="9278" spans="2:2" x14ac:dyDescent="0.25">
      <c r="B9278" s="73"/>
    </row>
    <row r="9279" spans="2:2" x14ac:dyDescent="0.25">
      <c r="B9279" s="73"/>
    </row>
    <row r="9280" spans="2:2" x14ac:dyDescent="0.25">
      <c r="B9280" s="73"/>
    </row>
    <row r="9281" spans="2:2" x14ac:dyDescent="0.25">
      <c r="B9281" s="73"/>
    </row>
    <row r="9282" spans="2:2" x14ac:dyDescent="0.25">
      <c r="B9282" s="73"/>
    </row>
    <row r="9283" spans="2:2" x14ac:dyDescent="0.25">
      <c r="B9283" s="73"/>
    </row>
    <row r="9284" spans="2:2" x14ac:dyDescent="0.25">
      <c r="B9284" s="73"/>
    </row>
    <row r="9285" spans="2:2" x14ac:dyDescent="0.25">
      <c r="B9285" s="73"/>
    </row>
    <row r="9286" spans="2:2" x14ac:dyDescent="0.25">
      <c r="B9286" s="73"/>
    </row>
    <row r="9287" spans="2:2" x14ac:dyDescent="0.25">
      <c r="B9287" s="73"/>
    </row>
    <row r="9288" spans="2:2" x14ac:dyDescent="0.25">
      <c r="B9288" s="73"/>
    </row>
    <row r="9289" spans="2:2" x14ac:dyDescent="0.25">
      <c r="B9289" s="73"/>
    </row>
    <row r="9290" spans="2:2" x14ac:dyDescent="0.25">
      <c r="B9290" s="73"/>
    </row>
    <row r="9291" spans="2:2" x14ac:dyDescent="0.25">
      <c r="B9291" s="73"/>
    </row>
    <row r="9292" spans="2:2" x14ac:dyDescent="0.25">
      <c r="B9292" s="73"/>
    </row>
    <row r="9293" spans="2:2" x14ac:dyDescent="0.25">
      <c r="B9293" s="73"/>
    </row>
    <row r="9294" spans="2:2" x14ac:dyDescent="0.25">
      <c r="B9294" s="73"/>
    </row>
    <row r="9295" spans="2:2" x14ac:dyDescent="0.25">
      <c r="B9295" s="73"/>
    </row>
    <row r="9296" spans="2:2" x14ac:dyDescent="0.25">
      <c r="B9296" s="73"/>
    </row>
    <row r="9297" spans="2:2" x14ac:dyDescent="0.25">
      <c r="B9297" s="73"/>
    </row>
    <row r="9298" spans="2:2" x14ac:dyDescent="0.25">
      <c r="B9298" s="73"/>
    </row>
    <row r="9299" spans="2:2" x14ac:dyDescent="0.25">
      <c r="B9299" s="73"/>
    </row>
    <row r="9300" spans="2:2" x14ac:dyDescent="0.25">
      <c r="B9300" s="73"/>
    </row>
    <row r="9301" spans="2:2" x14ac:dyDescent="0.25">
      <c r="B9301" s="73"/>
    </row>
    <row r="9302" spans="2:2" x14ac:dyDescent="0.25">
      <c r="B9302" s="73"/>
    </row>
    <row r="9303" spans="2:2" x14ac:dyDescent="0.25">
      <c r="B9303" s="73"/>
    </row>
    <row r="9304" spans="2:2" x14ac:dyDescent="0.25">
      <c r="B9304" s="73"/>
    </row>
    <row r="9305" spans="2:2" x14ac:dyDescent="0.25">
      <c r="B9305" s="73"/>
    </row>
    <row r="9306" spans="2:2" x14ac:dyDescent="0.25">
      <c r="B9306" s="73"/>
    </row>
    <row r="9307" spans="2:2" x14ac:dyDescent="0.25">
      <c r="B9307" s="73"/>
    </row>
    <row r="9308" spans="2:2" x14ac:dyDescent="0.25">
      <c r="B9308" s="73"/>
    </row>
    <row r="9309" spans="2:2" x14ac:dyDescent="0.25">
      <c r="B9309" s="73"/>
    </row>
    <row r="9310" spans="2:2" x14ac:dyDescent="0.25">
      <c r="B9310" s="73"/>
    </row>
    <row r="9311" spans="2:2" x14ac:dyDescent="0.25">
      <c r="B9311" s="73"/>
    </row>
    <row r="9312" spans="2:2" x14ac:dyDescent="0.25">
      <c r="B9312" s="73"/>
    </row>
    <row r="9313" spans="2:2" x14ac:dyDescent="0.25">
      <c r="B9313" s="73"/>
    </row>
    <row r="9314" spans="2:2" x14ac:dyDescent="0.25">
      <c r="B9314" s="73"/>
    </row>
    <row r="9315" spans="2:2" x14ac:dyDescent="0.25">
      <c r="B9315" s="73"/>
    </row>
    <row r="9316" spans="2:2" x14ac:dyDescent="0.25">
      <c r="B9316" s="73"/>
    </row>
    <row r="9317" spans="2:2" x14ac:dyDescent="0.25">
      <c r="B9317" s="73"/>
    </row>
    <row r="9318" spans="2:2" x14ac:dyDescent="0.25">
      <c r="B9318" s="73"/>
    </row>
    <row r="9319" spans="2:2" x14ac:dyDescent="0.25">
      <c r="B9319" s="73"/>
    </row>
    <row r="9320" spans="2:2" x14ac:dyDescent="0.25">
      <c r="B9320" s="73"/>
    </row>
    <row r="9321" spans="2:2" x14ac:dyDescent="0.25">
      <c r="B9321" s="73"/>
    </row>
    <row r="9322" spans="2:2" x14ac:dyDescent="0.25">
      <c r="B9322" s="73"/>
    </row>
    <row r="9323" spans="2:2" x14ac:dyDescent="0.25">
      <c r="B9323" s="73"/>
    </row>
    <row r="9324" spans="2:2" x14ac:dyDescent="0.25">
      <c r="B9324" s="73"/>
    </row>
    <row r="9325" spans="2:2" x14ac:dyDescent="0.25">
      <c r="B9325" s="73"/>
    </row>
    <row r="9326" spans="2:2" x14ac:dyDescent="0.25">
      <c r="B9326" s="73"/>
    </row>
    <row r="9327" spans="2:2" x14ac:dyDescent="0.25">
      <c r="B9327" s="73"/>
    </row>
    <row r="9328" spans="2:2" x14ac:dyDescent="0.25">
      <c r="B9328" s="73"/>
    </row>
    <row r="9329" spans="2:2" x14ac:dyDescent="0.25">
      <c r="B9329" s="73"/>
    </row>
    <row r="9330" spans="2:2" x14ac:dyDescent="0.25">
      <c r="B9330" s="73"/>
    </row>
    <row r="9331" spans="2:2" x14ac:dyDescent="0.25">
      <c r="B9331" s="73"/>
    </row>
    <row r="9332" spans="2:2" x14ac:dyDescent="0.25">
      <c r="B9332" s="73"/>
    </row>
    <row r="9333" spans="2:2" x14ac:dyDescent="0.25">
      <c r="B9333" s="73"/>
    </row>
    <row r="9334" spans="2:2" x14ac:dyDescent="0.25">
      <c r="B9334" s="73"/>
    </row>
    <row r="9335" spans="2:2" x14ac:dyDescent="0.25">
      <c r="B9335" s="73"/>
    </row>
    <row r="9336" spans="2:2" x14ac:dyDescent="0.25">
      <c r="B9336" s="73"/>
    </row>
    <row r="9337" spans="2:2" x14ac:dyDescent="0.25">
      <c r="B9337" s="73"/>
    </row>
    <row r="9338" spans="2:2" x14ac:dyDescent="0.25">
      <c r="B9338" s="73"/>
    </row>
    <row r="9339" spans="2:2" x14ac:dyDescent="0.25">
      <c r="B9339" s="73"/>
    </row>
    <row r="9340" spans="2:2" x14ac:dyDescent="0.25">
      <c r="B9340" s="73"/>
    </row>
    <row r="9341" spans="2:2" x14ac:dyDescent="0.25">
      <c r="B9341" s="73"/>
    </row>
    <row r="9342" spans="2:2" x14ac:dyDescent="0.25">
      <c r="B9342" s="73"/>
    </row>
    <row r="9343" spans="2:2" x14ac:dyDescent="0.25">
      <c r="B9343" s="73"/>
    </row>
    <row r="9344" spans="2:2" x14ac:dyDescent="0.25">
      <c r="B9344" s="73"/>
    </row>
    <row r="9345" spans="2:2" x14ac:dyDescent="0.25">
      <c r="B9345" s="73"/>
    </row>
    <row r="9346" spans="2:2" x14ac:dyDescent="0.25">
      <c r="B9346" s="73"/>
    </row>
    <row r="9347" spans="2:2" x14ac:dyDescent="0.25">
      <c r="B9347" s="73"/>
    </row>
    <row r="9348" spans="2:2" x14ac:dyDescent="0.25">
      <c r="B9348" s="73"/>
    </row>
    <row r="9349" spans="2:2" x14ac:dyDescent="0.25">
      <c r="B9349" s="73"/>
    </row>
    <row r="9350" spans="2:2" x14ac:dyDescent="0.25">
      <c r="B9350" s="73"/>
    </row>
    <row r="9351" spans="2:2" x14ac:dyDescent="0.25">
      <c r="B9351" s="73"/>
    </row>
    <row r="9352" spans="2:2" x14ac:dyDescent="0.25">
      <c r="B9352" s="73"/>
    </row>
    <row r="9353" spans="2:2" x14ac:dyDescent="0.25">
      <c r="B9353" s="73"/>
    </row>
    <row r="9354" spans="2:2" x14ac:dyDescent="0.25">
      <c r="B9354" s="73"/>
    </row>
    <row r="9355" spans="2:2" x14ac:dyDescent="0.25">
      <c r="B9355" s="73"/>
    </row>
    <row r="9356" spans="2:2" x14ac:dyDescent="0.25">
      <c r="B9356" s="73"/>
    </row>
    <row r="9357" spans="2:2" x14ac:dyDescent="0.25">
      <c r="B9357" s="73"/>
    </row>
    <row r="9358" spans="2:2" x14ac:dyDescent="0.25">
      <c r="B9358" s="73"/>
    </row>
    <row r="9359" spans="2:2" x14ac:dyDescent="0.25">
      <c r="B9359" s="73"/>
    </row>
    <row r="9360" spans="2:2" x14ac:dyDescent="0.25">
      <c r="B9360" s="73"/>
    </row>
    <row r="9361" spans="2:2" x14ac:dyDescent="0.25">
      <c r="B9361" s="73"/>
    </row>
    <row r="9362" spans="2:2" x14ac:dyDescent="0.25">
      <c r="B9362" s="73"/>
    </row>
    <row r="9363" spans="2:2" x14ac:dyDescent="0.25">
      <c r="B9363" s="73"/>
    </row>
    <row r="9364" spans="2:2" x14ac:dyDescent="0.25">
      <c r="B9364" s="73"/>
    </row>
    <row r="9365" spans="2:2" x14ac:dyDescent="0.25">
      <c r="B9365" s="73"/>
    </row>
    <row r="9366" spans="2:2" x14ac:dyDescent="0.25">
      <c r="B9366" s="73"/>
    </row>
    <row r="9367" spans="2:2" x14ac:dyDescent="0.25">
      <c r="B9367" s="73"/>
    </row>
    <row r="9368" spans="2:2" x14ac:dyDescent="0.25">
      <c r="B9368" s="73"/>
    </row>
    <row r="9369" spans="2:2" x14ac:dyDescent="0.25">
      <c r="B9369" s="73"/>
    </row>
    <row r="9370" spans="2:2" x14ac:dyDescent="0.25">
      <c r="B9370" s="73"/>
    </row>
    <row r="9371" spans="2:2" x14ac:dyDescent="0.25">
      <c r="B9371" s="73"/>
    </row>
    <row r="9372" spans="2:2" x14ac:dyDescent="0.25">
      <c r="B9372" s="73"/>
    </row>
    <row r="9373" spans="2:2" x14ac:dyDescent="0.25">
      <c r="B9373" s="73"/>
    </row>
    <row r="9374" spans="2:2" x14ac:dyDescent="0.25">
      <c r="B9374" s="73"/>
    </row>
    <row r="9375" spans="2:2" x14ac:dyDescent="0.25">
      <c r="B9375" s="73"/>
    </row>
    <row r="9376" spans="2:2" x14ac:dyDescent="0.25">
      <c r="B9376" s="73"/>
    </row>
    <row r="9377" spans="2:2" x14ac:dyDescent="0.25">
      <c r="B9377" s="73"/>
    </row>
    <row r="9378" spans="2:2" x14ac:dyDescent="0.25">
      <c r="B9378" s="73"/>
    </row>
    <row r="9379" spans="2:2" x14ac:dyDescent="0.25">
      <c r="B9379" s="73"/>
    </row>
    <row r="9380" spans="2:2" x14ac:dyDescent="0.25">
      <c r="B9380" s="73"/>
    </row>
    <row r="9381" spans="2:2" x14ac:dyDescent="0.25">
      <c r="B9381" s="73"/>
    </row>
    <row r="9382" spans="2:2" x14ac:dyDescent="0.25">
      <c r="B9382" s="73"/>
    </row>
    <row r="9383" spans="2:2" x14ac:dyDescent="0.25">
      <c r="B9383" s="73"/>
    </row>
    <row r="9384" spans="2:2" x14ac:dyDescent="0.25">
      <c r="B9384" s="73"/>
    </row>
    <row r="9385" spans="2:2" x14ac:dyDescent="0.25">
      <c r="B9385" s="73"/>
    </row>
    <row r="9386" spans="2:2" x14ac:dyDescent="0.25">
      <c r="B9386" s="73"/>
    </row>
    <row r="9387" spans="2:2" x14ac:dyDescent="0.25">
      <c r="B9387" s="73"/>
    </row>
    <row r="9388" spans="2:2" x14ac:dyDescent="0.25">
      <c r="B9388" s="73"/>
    </row>
    <row r="9389" spans="2:2" x14ac:dyDescent="0.25">
      <c r="B9389" s="73"/>
    </row>
    <row r="9390" spans="2:2" x14ac:dyDescent="0.25">
      <c r="B9390" s="73"/>
    </row>
    <row r="9391" spans="2:2" x14ac:dyDescent="0.25">
      <c r="B9391" s="73"/>
    </row>
    <row r="9392" spans="2:2" x14ac:dyDescent="0.25">
      <c r="B9392" s="73"/>
    </row>
    <row r="9393" spans="2:2" x14ac:dyDescent="0.25">
      <c r="B9393" s="73"/>
    </row>
    <row r="9394" spans="2:2" x14ac:dyDescent="0.25">
      <c r="B9394" s="73"/>
    </row>
    <row r="9395" spans="2:2" x14ac:dyDescent="0.25">
      <c r="B9395" s="73"/>
    </row>
    <row r="9396" spans="2:2" x14ac:dyDescent="0.25">
      <c r="B9396" s="73"/>
    </row>
    <row r="9397" spans="2:2" x14ac:dyDescent="0.25">
      <c r="B9397" s="73"/>
    </row>
    <row r="9398" spans="2:2" x14ac:dyDescent="0.25">
      <c r="B9398" s="73"/>
    </row>
    <row r="9399" spans="2:2" x14ac:dyDescent="0.25">
      <c r="B9399" s="73"/>
    </row>
    <row r="9400" spans="2:2" x14ac:dyDescent="0.25">
      <c r="B9400" s="73"/>
    </row>
    <row r="9401" spans="2:2" x14ac:dyDescent="0.25">
      <c r="B9401" s="73"/>
    </row>
    <row r="9402" spans="2:2" x14ac:dyDescent="0.25">
      <c r="B9402" s="73"/>
    </row>
    <row r="9403" spans="2:2" x14ac:dyDescent="0.25">
      <c r="B9403" s="73"/>
    </row>
    <row r="9404" spans="2:2" x14ac:dyDescent="0.25">
      <c r="B9404" s="73"/>
    </row>
    <row r="9405" spans="2:2" x14ac:dyDescent="0.25">
      <c r="B9405" s="73"/>
    </row>
    <row r="9406" spans="2:2" x14ac:dyDescent="0.25">
      <c r="B9406" s="73"/>
    </row>
    <row r="9407" spans="2:2" x14ac:dyDescent="0.25">
      <c r="B9407" s="73"/>
    </row>
    <row r="9408" spans="2:2" x14ac:dyDescent="0.25">
      <c r="B9408" s="73"/>
    </row>
    <row r="9409" spans="2:2" x14ac:dyDescent="0.25">
      <c r="B9409" s="73"/>
    </row>
    <row r="9410" spans="2:2" x14ac:dyDescent="0.25">
      <c r="B9410" s="73"/>
    </row>
    <row r="9411" spans="2:2" x14ac:dyDescent="0.25">
      <c r="B9411" s="73"/>
    </row>
    <row r="9412" spans="2:2" x14ac:dyDescent="0.25">
      <c r="B9412" s="73"/>
    </row>
    <row r="9413" spans="2:2" x14ac:dyDescent="0.25">
      <c r="B9413" s="73"/>
    </row>
    <row r="9414" spans="2:2" x14ac:dyDescent="0.25">
      <c r="B9414" s="73"/>
    </row>
    <row r="9415" spans="2:2" x14ac:dyDescent="0.25">
      <c r="B9415" s="73"/>
    </row>
    <row r="9416" spans="2:2" x14ac:dyDescent="0.25">
      <c r="B9416" s="73"/>
    </row>
    <row r="9417" spans="2:2" x14ac:dyDescent="0.25">
      <c r="B9417" s="73"/>
    </row>
    <row r="9418" spans="2:2" x14ac:dyDescent="0.25">
      <c r="B9418" s="73"/>
    </row>
    <row r="9419" spans="2:2" x14ac:dyDescent="0.25">
      <c r="B9419" s="73"/>
    </row>
    <row r="9420" spans="2:2" x14ac:dyDescent="0.25">
      <c r="B9420" s="73"/>
    </row>
    <row r="9421" spans="2:2" x14ac:dyDescent="0.25">
      <c r="B9421" s="73"/>
    </row>
    <row r="9422" spans="2:2" x14ac:dyDescent="0.25">
      <c r="B9422" s="73"/>
    </row>
    <row r="9423" spans="2:2" x14ac:dyDescent="0.25">
      <c r="B9423" s="73"/>
    </row>
    <row r="9424" spans="2:2" x14ac:dyDescent="0.25">
      <c r="B9424" s="73"/>
    </row>
    <row r="9425" spans="2:2" x14ac:dyDescent="0.25">
      <c r="B9425" s="73"/>
    </row>
    <row r="9426" spans="2:2" x14ac:dyDescent="0.25">
      <c r="B9426" s="73"/>
    </row>
    <row r="9427" spans="2:2" x14ac:dyDescent="0.25">
      <c r="B9427" s="73"/>
    </row>
    <row r="9428" spans="2:2" x14ac:dyDescent="0.25">
      <c r="B9428" s="73"/>
    </row>
    <row r="9429" spans="2:2" x14ac:dyDescent="0.25">
      <c r="B9429" s="73"/>
    </row>
    <row r="9430" spans="2:2" x14ac:dyDescent="0.25">
      <c r="B9430" s="73"/>
    </row>
    <row r="9431" spans="2:2" x14ac:dyDescent="0.25">
      <c r="B9431" s="73"/>
    </row>
    <row r="9432" spans="2:2" x14ac:dyDescent="0.25">
      <c r="B9432" s="73"/>
    </row>
    <row r="9433" spans="2:2" x14ac:dyDescent="0.25">
      <c r="B9433" s="73"/>
    </row>
    <row r="9434" spans="2:2" x14ac:dyDescent="0.25">
      <c r="B9434" s="73"/>
    </row>
    <row r="9435" spans="2:2" x14ac:dyDescent="0.25">
      <c r="B9435" s="73"/>
    </row>
    <row r="9436" spans="2:2" x14ac:dyDescent="0.25">
      <c r="B9436" s="73"/>
    </row>
    <row r="9437" spans="2:2" x14ac:dyDescent="0.25">
      <c r="B9437" s="73"/>
    </row>
    <row r="9438" spans="2:2" x14ac:dyDescent="0.25">
      <c r="B9438" s="73"/>
    </row>
    <row r="9439" spans="2:2" x14ac:dyDescent="0.25">
      <c r="B9439" s="73"/>
    </row>
    <row r="9440" spans="2:2" x14ac:dyDescent="0.25">
      <c r="B9440" s="73"/>
    </row>
    <row r="9441" spans="2:2" x14ac:dyDescent="0.25">
      <c r="B9441" s="73"/>
    </row>
    <row r="9442" spans="2:2" x14ac:dyDescent="0.25">
      <c r="B9442" s="73"/>
    </row>
    <row r="9443" spans="2:2" x14ac:dyDescent="0.25">
      <c r="B9443" s="73"/>
    </row>
    <row r="9444" spans="2:2" x14ac:dyDescent="0.25">
      <c r="B9444" s="73"/>
    </row>
    <row r="9445" spans="2:2" x14ac:dyDescent="0.25">
      <c r="B9445" s="73"/>
    </row>
    <row r="9446" spans="2:2" x14ac:dyDescent="0.25">
      <c r="B9446" s="73"/>
    </row>
    <row r="9447" spans="2:2" x14ac:dyDescent="0.25">
      <c r="B9447" s="73"/>
    </row>
    <row r="9448" spans="2:2" x14ac:dyDescent="0.25">
      <c r="B9448" s="73"/>
    </row>
    <row r="9449" spans="2:2" x14ac:dyDescent="0.25">
      <c r="B9449" s="73"/>
    </row>
    <row r="9450" spans="2:2" x14ac:dyDescent="0.25">
      <c r="B9450" s="73"/>
    </row>
    <row r="9451" spans="2:2" x14ac:dyDescent="0.25">
      <c r="B9451" s="73"/>
    </row>
    <row r="9452" spans="2:2" x14ac:dyDescent="0.25">
      <c r="B9452" s="73"/>
    </row>
    <row r="9453" spans="2:2" x14ac:dyDescent="0.25">
      <c r="B9453" s="73"/>
    </row>
    <row r="9454" spans="2:2" x14ac:dyDescent="0.25">
      <c r="B9454" s="73"/>
    </row>
    <row r="9455" spans="2:2" x14ac:dyDescent="0.25">
      <c r="B9455" s="73"/>
    </row>
    <row r="9456" spans="2:2" x14ac:dyDescent="0.25">
      <c r="B9456" s="73"/>
    </row>
    <row r="9457" spans="2:2" x14ac:dyDescent="0.25">
      <c r="B9457" s="73"/>
    </row>
    <row r="9458" spans="2:2" x14ac:dyDescent="0.25">
      <c r="B9458" s="73"/>
    </row>
    <row r="9459" spans="2:2" x14ac:dyDescent="0.25">
      <c r="B9459" s="73"/>
    </row>
    <row r="9460" spans="2:2" x14ac:dyDescent="0.25">
      <c r="B9460" s="73"/>
    </row>
    <row r="9461" spans="2:2" x14ac:dyDescent="0.25">
      <c r="B9461" s="73"/>
    </row>
    <row r="9462" spans="2:2" x14ac:dyDescent="0.25">
      <c r="B9462" s="73"/>
    </row>
    <row r="9463" spans="2:2" x14ac:dyDescent="0.25">
      <c r="B9463" s="73"/>
    </row>
    <row r="9464" spans="2:2" x14ac:dyDescent="0.25">
      <c r="B9464" s="73"/>
    </row>
    <row r="9465" spans="2:2" x14ac:dyDescent="0.25">
      <c r="B9465" s="73"/>
    </row>
    <row r="9466" spans="2:2" x14ac:dyDescent="0.25">
      <c r="B9466" s="73"/>
    </row>
    <row r="9467" spans="2:2" x14ac:dyDescent="0.25">
      <c r="B9467" s="73"/>
    </row>
    <row r="9468" spans="2:2" x14ac:dyDescent="0.25">
      <c r="B9468" s="73"/>
    </row>
    <row r="9469" spans="2:2" x14ac:dyDescent="0.25">
      <c r="B9469" s="73"/>
    </row>
    <row r="9470" spans="2:2" x14ac:dyDescent="0.25">
      <c r="B9470" s="73"/>
    </row>
    <row r="9471" spans="2:2" x14ac:dyDescent="0.25">
      <c r="B9471" s="73"/>
    </row>
    <row r="9472" spans="2:2" x14ac:dyDescent="0.25">
      <c r="B9472" s="73"/>
    </row>
    <row r="9473" spans="2:2" x14ac:dyDescent="0.25">
      <c r="B9473" s="73"/>
    </row>
    <row r="9474" spans="2:2" x14ac:dyDescent="0.25">
      <c r="B9474" s="73"/>
    </row>
    <row r="9475" spans="2:2" x14ac:dyDescent="0.25">
      <c r="B9475" s="73"/>
    </row>
    <row r="9476" spans="2:2" x14ac:dyDescent="0.25">
      <c r="B9476" s="73"/>
    </row>
    <row r="9477" spans="2:2" x14ac:dyDescent="0.25">
      <c r="B9477" s="73"/>
    </row>
    <row r="9478" spans="2:2" x14ac:dyDescent="0.25">
      <c r="B9478" s="73"/>
    </row>
    <row r="9479" spans="2:2" x14ac:dyDescent="0.25">
      <c r="B9479" s="73"/>
    </row>
    <row r="9480" spans="2:2" x14ac:dyDescent="0.25">
      <c r="B9480" s="73"/>
    </row>
    <row r="9481" spans="2:2" x14ac:dyDescent="0.25">
      <c r="B9481" s="73"/>
    </row>
    <row r="9482" spans="2:2" x14ac:dyDescent="0.25">
      <c r="B9482" s="73"/>
    </row>
    <row r="9483" spans="2:2" x14ac:dyDescent="0.25">
      <c r="B9483" s="73"/>
    </row>
    <row r="9484" spans="2:2" x14ac:dyDescent="0.25">
      <c r="B9484" s="73"/>
    </row>
    <row r="9485" spans="2:2" x14ac:dyDescent="0.25">
      <c r="B9485" s="73"/>
    </row>
    <row r="9486" spans="2:2" x14ac:dyDescent="0.25">
      <c r="B9486" s="73"/>
    </row>
    <row r="9487" spans="2:2" x14ac:dyDescent="0.25">
      <c r="B9487" s="73"/>
    </row>
    <row r="9488" spans="2:2" x14ac:dyDescent="0.25">
      <c r="B9488" s="73"/>
    </row>
    <row r="9489" spans="2:2" x14ac:dyDescent="0.25">
      <c r="B9489" s="73"/>
    </row>
    <row r="9490" spans="2:2" x14ac:dyDescent="0.25">
      <c r="B9490" s="73"/>
    </row>
    <row r="9491" spans="2:2" x14ac:dyDescent="0.25">
      <c r="B9491" s="73"/>
    </row>
    <row r="9492" spans="2:2" x14ac:dyDescent="0.25">
      <c r="B9492" s="73"/>
    </row>
    <row r="9493" spans="2:2" x14ac:dyDescent="0.25">
      <c r="B9493" s="73"/>
    </row>
    <row r="9494" spans="2:2" x14ac:dyDescent="0.25">
      <c r="B9494" s="73"/>
    </row>
    <row r="9495" spans="2:2" x14ac:dyDescent="0.25">
      <c r="B9495" s="73"/>
    </row>
    <row r="9496" spans="2:2" x14ac:dyDescent="0.25">
      <c r="B9496" s="73"/>
    </row>
    <row r="9497" spans="2:2" x14ac:dyDescent="0.25">
      <c r="B9497" s="73"/>
    </row>
    <row r="9498" spans="2:2" x14ac:dyDescent="0.25">
      <c r="B9498" s="73"/>
    </row>
    <row r="9499" spans="2:2" x14ac:dyDescent="0.25">
      <c r="B9499" s="73"/>
    </row>
    <row r="9500" spans="2:2" x14ac:dyDescent="0.25">
      <c r="B9500" s="73"/>
    </row>
    <row r="9501" spans="2:2" x14ac:dyDescent="0.25">
      <c r="B9501" s="73"/>
    </row>
    <row r="9502" spans="2:2" x14ac:dyDescent="0.25">
      <c r="B9502" s="73"/>
    </row>
    <row r="9503" spans="2:2" x14ac:dyDescent="0.25">
      <c r="B9503" s="73"/>
    </row>
    <row r="9504" spans="2:2" x14ac:dyDescent="0.25">
      <c r="B9504" s="73"/>
    </row>
    <row r="9505" spans="2:2" x14ac:dyDescent="0.25">
      <c r="B9505" s="73"/>
    </row>
    <row r="9506" spans="2:2" x14ac:dyDescent="0.25">
      <c r="B9506" s="73"/>
    </row>
    <row r="9507" spans="2:2" x14ac:dyDescent="0.25">
      <c r="B9507" s="73"/>
    </row>
    <row r="9508" spans="2:2" x14ac:dyDescent="0.25">
      <c r="B9508" s="73"/>
    </row>
    <row r="9509" spans="2:2" x14ac:dyDescent="0.25">
      <c r="B9509" s="73"/>
    </row>
    <row r="9510" spans="2:2" x14ac:dyDescent="0.25">
      <c r="B9510" s="73"/>
    </row>
    <row r="9511" spans="2:2" x14ac:dyDescent="0.25">
      <c r="B9511" s="73"/>
    </row>
    <row r="9512" spans="2:2" x14ac:dyDescent="0.25">
      <c r="B9512" s="73"/>
    </row>
    <row r="9513" spans="2:2" x14ac:dyDescent="0.25">
      <c r="B9513" s="73"/>
    </row>
    <row r="9514" spans="2:2" x14ac:dyDescent="0.25">
      <c r="B9514" s="73"/>
    </row>
    <row r="9515" spans="2:2" x14ac:dyDescent="0.25">
      <c r="B9515" s="73"/>
    </row>
    <row r="9516" spans="2:2" x14ac:dyDescent="0.25">
      <c r="B9516" s="73"/>
    </row>
    <row r="9517" spans="2:2" x14ac:dyDescent="0.25">
      <c r="B9517" s="73"/>
    </row>
    <row r="9518" spans="2:2" x14ac:dyDescent="0.25">
      <c r="B9518" s="73"/>
    </row>
    <row r="9519" spans="2:2" x14ac:dyDescent="0.25">
      <c r="B9519" s="73"/>
    </row>
    <row r="9520" spans="2:2" x14ac:dyDescent="0.25">
      <c r="B9520" s="73"/>
    </row>
    <row r="9521" spans="2:2" x14ac:dyDescent="0.25">
      <c r="B9521" s="73"/>
    </row>
    <row r="9522" spans="2:2" x14ac:dyDescent="0.25">
      <c r="B9522" s="73"/>
    </row>
    <row r="9523" spans="2:2" x14ac:dyDescent="0.25">
      <c r="B9523" s="73"/>
    </row>
    <row r="9524" spans="2:2" x14ac:dyDescent="0.25">
      <c r="B9524" s="73"/>
    </row>
    <row r="9525" spans="2:2" x14ac:dyDescent="0.25">
      <c r="B9525" s="73"/>
    </row>
    <row r="9526" spans="2:2" x14ac:dyDescent="0.25">
      <c r="B9526" s="73"/>
    </row>
    <row r="9527" spans="2:2" x14ac:dyDescent="0.25">
      <c r="B9527" s="73"/>
    </row>
    <row r="9528" spans="2:2" x14ac:dyDescent="0.25">
      <c r="B9528" s="73"/>
    </row>
    <row r="9529" spans="2:2" x14ac:dyDescent="0.25">
      <c r="B9529" s="73"/>
    </row>
    <row r="9530" spans="2:2" x14ac:dyDescent="0.25">
      <c r="B9530" s="73"/>
    </row>
    <row r="9531" spans="2:2" x14ac:dyDescent="0.25">
      <c r="B9531" s="73"/>
    </row>
    <row r="9532" spans="2:2" x14ac:dyDescent="0.25">
      <c r="B9532" s="73"/>
    </row>
    <row r="9533" spans="2:2" x14ac:dyDescent="0.25">
      <c r="B9533" s="73"/>
    </row>
    <row r="9534" spans="2:2" x14ac:dyDescent="0.25">
      <c r="B9534" s="73"/>
    </row>
    <row r="9535" spans="2:2" x14ac:dyDescent="0.25">
      <c r="B9535" s="73"/>
    </row>
    <row r="9536" spans="2:2" x14ac:dyDescent="0.25">
      <c r="B9536" s="73"/>
    </row>
    <row r="9537" spans="2:2" x14ac:dyDescent="0.25">
      <c r="B9537" s="73"/>
    </row>
    <row r="9538" spans="2:2" x14ac:dyDescent="0.25">
      <c r="B9538" s="73"/>
    </row>
    <row r="9539" spans="2:2" x14ac:dyDescent="0.25">
      <c r="B9539" s="73"/>
    </row>
    <row r="9540" spans="2:2" x14ac:dyDescent="0.25">
      <c r="B9540" s="73"/>
    </row>
    <row r="9541" spans="2:2" x14ac:dyDescent="0.25">
      <c r="B9541" s="73"/>
    </row>
    <row r="9542" spans="2:2" x14ac:dyDescent="0.25">
      <c r="B9542" s="73"/>
    </row>
    <row r="9543" spans="2:2" x14ac:dyDescent="0.25">
      <c r="B9543" s="73"/>
    </row>
    <row r="9544" spans="2:2" x14ac:dyDescent="0.25">
      <c r="B9544" s="73"/>
    </row>
    <row r="9545" spans="2:2" x14ac:dyDescent="0.25">
      <c r="B9545" s="73"/>
    </row>
    <row r="9546" spans="2:2" x14ac:dyDescent="0.25">
      <c r="B9546" s="73"/>
    </row>
    <row r="9547" spans="2:2" x14ac:dyDescent="0.25">
      <c r="B9547" s="73"/>
    </row>
    <row r="9548" spans="2:2" x14ac:dyDescent="0.25">
      <c r="B9548" s="73"/>
    </row>
    <row r="9549" spans="2:2" x14ac:dyDescent="0.25">
      <c r="B9549" s="73"/>
    </row>
    <row r="9550" spans="2:2" x14ac:dyDescent="0.25">
      <c r="B9550" s="73"/>
    </row>
    <row r="9551" spans="2:2" x14ac:dyDescent="0.25">
      <c r="B9551" s="73"/>
    </row>
    <row r="9552" spans="2:2" x14ac:dyDescent="0.25">
      <c r="B9552" s="73"/>
    </row>
    <row r="9553" spans="2:2" x14ac:dyDescent="0.25">
      <c r="B9553" s="73"/>
    </row>
    <row r="9554" spans="2:2" x14ac:dyDescent="0.25">
      <c r="B9554" s="73"/>
    </row>
    <row r="9555" spans="2:2" x14ac:dyDescent="0.25">
      <c r="B9555" s="73"/>
    </row>
    <row r="9556" spans="2:2" x14ac:dyDescent="0.25">
      <c r="B9556" s="73"/>
    </row>
    <row r="9557" spans="2:2" x14ac:dyDescent="0.25">
      <c r="B9557" s="73"/>
    </row>
    <row r="9558" spans="2:2" x14ac:dyDescent="0.25">
      <c r="B9558" s="73"/>
    </row>
    <row r="9559" spans="2:2" x14ac:dyDescent="0.25">
      <c r="B9559" s="73"/>
    </row>
    <row r="9560" spans="2:2" x14ac:dyDescent="0.25">
      <c r="B9560" s="73"/>
    </row>
    <row r="9561" spans="2:2" x14ac:dyDescent="0.25">
      <c r="B9561" s="73"/>
    </row>
    <row r="9562" spans="2:2" x14ac:dyDescent="0.25">
      <c r="B9562" s="73"/>
    </row>
    <row r="9563" spans="2:2" x14ac:dyDescent="0.25">
      <c r="B9563" s="73"/>
    </row>
    <row r="9564" spans="2:2" x14ac:dyDescent="0.25">
      <c r="B9564" s="73"/>
    </row>
    <row r="9565" spans="2:2" x14ac:dyDescent="0.25">
      <c r="B9565" s="73"/>
    </row>
    <row r="9566" spans="2:2" x14ac:dyDescent="0.25">
      <c r="B9566" s="73"/>
    </row>
    <row r="9567" spans="2:2" x14ac:dyDescent="0.25">
      <c r="B9567" s="73"/>
    </row>
    <row r="9568" spans="2:2" x14ac:dyDescent="0.25">
      <c r="B9568" s="73"/>
    </row>
    <row r="9569" spans="2:2" x14ac:dyDescent="0.25">
      <c r="B9569" s="73"/>
    </row>
    <row r="9570" spans="2:2" x14ac:dyDescent="0.25">
      <c r="B9570" s="73"/>
    </row>
    <row r="9571" spans="2:2" x14ac:dyDescent="0.25">
      <c r="B9571" s="73"/>
    </row>
    <row r="9572" spans="2:2" x14ac:dyDescent="0.25">
      <c r="B9572" s="73"/>
    </row>
    <row r="9573" spans="2:2" x14ac:dyDescent="0.25">
      <c r="B9573" s="73"/>
    </row>
    <row r="9574" spans="2:2" x14ac:dyDescent="0.25">
      <c r="B9574" s="73"/>
    </row>
    <row r="9575" spans="2:2" x14ac:dyDescent="0.25">
      <c r="B9575" s="73"/>
    </row>
    <row r="9576" spans="2:2" x14ac:dyDescent="0.25">
      <c r="B9576" s="73"/>
    </row>
    <row r="9577" spans="2:2" x14ac:dyDescent="0.25">
      <c r="B9577" s="73"/>
    </row>
    <row r="9578" spans="2:2" x14ac:dyDescent="0.25">
      <c r="B9578" s="73"/>
    </row>
    <row r="9579" spans="2:2" x14ac:dyDescent="0.25">
      <c r="B9579" s="73"/>
    </row>
    <row r="9580" spans="2:2" x14ac:dyDescent="0.25">
      <c r="B9580" s="73"/>
    </row>
    <row r="9581" spans="2:2" x14ac:dyDescent="0.25">
      <c r="B9581" s="73"/>
    </row>
    <row r="9582" spans="2:2" x14ac:dyDescent="0.25">
      <c r="B9582" s="73"/>
    </row>
    <row r="9583" spans="2:2" x14ac:dyDescent="0.25">
      <c r="B9583" s="73"/>
    </row>
    <row r="9584" spans="2:2" x14ac:dyDescent="0.25">
      <c r="B9584" s="73"/>
    </row>
    <row r="9585" spans="2:2" x14ac:dyDescent="0.25">
      <c r="B9585" s="73"/>
    </row>
    <row r="9586" spans="2:2" x14ac:dyDescent="0.25">
      <c r="B9586" s="73"/>
    </row>
    <row r="9587" spans="2:2" x14ac:dyDescent="0.25">
      <c r="B9587" s="73"/>
    </row>
    <row r="9588" spans="2:2" x14ac:dyDescent="0.25">
      <c r="B9588" s="73"/>
    </row>
    <row r="9589" spans="2:2" x14ac:dyDescent="0.25">
      <c r="B9589" s="73"/>
    </row>
    <row r="9590" spans="2:2" x14ac:dyDescent="0.25">
      <c r="B9590" s="73"/>
    </row>
    <row r="9591" spans="2:2" x14ac:dyDescent="0.25">
      <c r="B9591" s="73"/>
    </row>
    <row r="9592" spans="2:2" x14ac:dyDescent="0.25">
      <c r="B9592" s="73"/>
    </row>
    <row r="9593" spans="2:2" x14ac:dyDescent="0.25">
      <c r="B9593" s="73"/>
    </row>
    <row r="9594" spans="2:2" x14ac:dyDescent="0.25">
      <c r="B9594" s="73"/>
    </row>
    <row r="9595" spans="2:2" x14ac:dyDescent="0.25">
      <c r="B9595" s="73"/>
    </row>
    <row r="9596" spans="2:2" x14ac:dyDescent="0.25">
      <c r="B9596" s="73"/>
    </row>
    <row r="9597" spans="2:2" x14ac:dyDescent="0.25">
      <c r="B9597" s="73"/>
    </row>
    <row r="9598" spans="2:2" x14ac:dyDescent="0.25">
      <c r="B9598" s="73"/>
    </row>
    <row r="9599" spans="2:2" x14ac:dyDescent="0.25">
      <c r="B9599" s="73"/>
    </row>
    <row r="9600" spans="2:2" x14ac:dyDescent="0.25">
      <c r="B9600" s="73"/>
    </row>
    <row r="9601" spans="2:2" x14ac:dyDescent="0.25">
      <c r="B9601" s="73"/>
    </row>
    <row r="9602" spans="2:2" x14ac:dyDescent="0.25">
      <c r="B9602" s="73"/>
    </row>
    <row r="9603" spans="2:2" x14ac:dyDescent="0.25">
      <c r="B9603" s="73"/>
    </row>
    <row r="9604" spans="2:2" x14ac:dyDescent="0.25">
      <c r="B9604" s="73"/>
    </row>
    <row r="9605" spans="2:2" x14ac:dyDescent="0.25">
      <c r="B9605" s="73"/>
    </row>
    <row r="9606" spans="2:2" x14ac:dyDescent="0.25">
      <c r="B9606" s="73"/>
    </row>
    <row r="9607" spans="2:2" x14ac:dyDescent="0.25">
      <c r="B9607" s="73"/>
    </row>
    <row r="9608" spans="2:2" x14ac:dyDescent="0.25">
      <c r="B9608" s="73"/>
    </row>
    <row r="9609" spans="2:2" x14ac:dyDescent="0.25">
      <c r="B9609" s="73"/>
    </row>
    <row r="9610" spans="2:2" x14ac:dyDescent="0.25">
      <c r="B9610" s="73"/>
    </row>
    <row r="9611" spans="2:2" x14ac:dyDescent="0.25">
      <c r="B9611" s="73"/>
    </row>
    <row r="9612" spans="2:2" x14ac:dyDescent="0.25">
      <c r="B9612" s="73"/>
    </row>
    <row r="9613" spans="2:2" x14ac:dyDescent="0.25">
      <c r="B9613" s="73"/>
    </row>
    <row r="9614" spans="2:2" x14ac:dyDescent="0.25">
      <c r="B9614" s="73"/>
    </row>
    <row r="9615" spans="2:2" x14ac:dyDescent="0.25">
      <c r="B9615" s="73"/>
    </row>
    <row r="9616" spans="2:2" x14ac:dyDescent="0.25">
      <c r="B9616" s="73"/>
    </row>
    <row r="9617" spans="2:2" x14ac:dyDescent="0.25">
      <c r="B9617" s="73"/>
    </row>
    <row r="9618" spans="2:2" x14ac:dyDescent="0.25">
      <c r="B9618" s="73"/>
    </row>
    <row r="9619" spans="2:2" x14ac:dyDescent="0.25">
      <c r="B9619" s="73"/>
    </row>
    <row r="9620" spans="2:2" x14ac:dyDescent="0.25">
      <c r="B9620" s="73"/>
    </row>
    <row r="9621" spans="2:2" x14ac:dyDescent="0.25">
      <c r="B9621" s="73"/>
    </row>
    <row r="9622" spans="2:2" x14ac:dyDescent="0.25">
      <c r="B9622" s="73"/>
    </row>
    <row r="9623" spans="2:2" x14ac:dyDescent="0.25">
      <c r="B9623" s="73"/>
    </row>
    <row r="9624" spans="2:2" x14ac:dyDescent="0.25">
      <c r="B9624" s="73"/>
    </row>
    <row r="9625" spans="2:2" x14ac:dyDescent="0.25">
      <c r="B9625" s="73"/>
    </row>
    <row r="9626" spans="2:2" x14ac:dyDescent="0.25">
      <c r="B9626" s="73"/>
    </row>
    <row r="9627" spans="2:2" x14ac:dyDescent="0.25">
      <c r="B9627" s="73"/>
    </row>
    <row r="9628" spans="2:2" x14ac:dyDescent="0.25">
      <c r="B9628" s="73"/>
    </row>
    <row r="9629" spans="2:2" x14ac:dyDescent="0.25">
      <c r="B9629" s="73"/>
    </row>
    <row r="9630" spans="2:2" x14ac:dyDescent="0.25">
      <c r="B9630" s="73"/>
    </row>
    <row r="9631" spans="2:2" x14ac:dyDescent="0.25">
      <c r="B9631" s="73"/>
    </row>
    <row r="9632" spans="2:2" x14ac:dyDescent="0.25">
      <c r="B9632" s="73"/>
    </row>
    <row r="9633" spans="2:2" x14ac:dyDescent="0.25">
      <c r="B9633" s="73"/>
    </row>
    <row r="9634" spans="2:2" x14ac:dyDescent="0.25">
      <c r="B9634" s="73"/>
    </row>
    <row r="9635" spans="2:2" x14ac:dyDescent="0.25">
      <c r="B9635" s="73"/>
    </row>
    <row r="9636" spans="2:2" x14ac:dyDescent="0.25">
      <c r="B9636" s="73"/>
    </row>
    <row r="9637" spans="2:2" x14ac:dyDescent="0.25">
      <c r="B9637" s="73"/>
    </row>
    <row r="9638" spans="2:2" x14ac:dyDescent="0.25">
      <c r="B9638" s="73"/>
    </row>
    <row r="9639" spans="2:2" x14ac:dyDescent="0.25">
      <c r="B9639" s="73"/>
    </row>
    <row r="9640" spans="2:2" x14ac:dyDescent="0.25">
      <c r="B9640" s="73"/>
    </row>
    <row r="9641" spans="2:2" x14ac:dyDescent="0.25">
      <c r="B9641" s="73"/>
    </row>
    <row r="9642" spans="2:2" x14ac:dyDescent="0.25">
      <c r="B9642" s="73"/>
    </row>
    <row r="9643" spans="2:2" x14ac:dyDescent="0.25">
      <c r="B9643" s="73"/>
    </row>
    <row r="9644" spans="2:2" x14ac:dyDescent="0.25">
      <c r="B9644" s="73"/>
    </row>
    <row r="9645" spans="2:2" x14ac:dyDescent="0.25">
      <c r="B9645" s="73"/>
    </row>
    <row r="9646" spans="2:2" x14ac:dyDescent="0.25">
      <c r="B9646" s="73"/>
    </row>
    <row r="9647" spans="2:2" x14ac:dyDescent="0.25">
      <c r="B9647" s="73"/>
    </row>
    <row r="9648" spans="2:2" x14ac:dyDescent="0.25">
      <c r="B9648" s="73"/>
    </row>
    <row r="9649" spans="2:2" x14ac:dyDescent="0.25">
      <c r="B9649" s="73"/>
    </row>
    <row r="9650" spans="2:2" x14ac:dyDescent="0.25">
      <c r="B9650" s="73"/>
    </row>
    <row r="9651" spans="2:2" x14ac:dyDescent="0.25">
      <c r="B9651" s="73"/>
    </row>
    <row r="9652" spans="2:2" x14ac:dyDescent="0.25">
      <c r="B9652" s="73"/>
    </row>
    <row r="9653" spans="2:2" x14ac:dyDescent="0.25">
      <c r="B9653" s="73"/>
    </row>
    <row r="9654" spans="2:2" x14ac:dyDescent="0.25">
      <c r="B9654" s="73"/>
    </row>
    <row r="9655" spans="2:2" x14ac:dyDescent="0.25">
      <c r="B9655" s="73"/>
    </row>
    <row r="9656" spans="2:2" x14ac:dyDescent="0.25">
      <c r="B9656" s="73"/>
    </row>
    <row r="9657" spans="2:2" x14ac:dyDescent="0.25">
      <c r="B9657" s="73"/>
    </row>
    <row r="9658" spans="2:2" x14ac:dyDescent="0.25">
      <c r="B9658" s="73"/>
    </row>
    <row r="9659" spans="2:2" x14ac:dyDescent="0.25">
      <c r="B9659" s="73"/>
    </row>
    <row r="9660" spans="2:2" x14ac:dyDescent="0.25">
      <c r="B9660" s="73"/>
    </row>
    <row r="9661" spans="2:2" x14ac:dyDescent="0.25">
      <c r="B9661" s="73"/>
    </row>
    <row r="9662" spans="2:2" x14ac:dyDescent="0.25">
      <c r="B9662" s="73"/>
    </row>
    <row r="9663" spans="2:2" x14ac:dyDescent="0.25">
      <c r="B9663" s="73"/>
    </row>
    <row r="9664" spans="2:2" x14ac:dyDescent="0.25">
      <c r="B9664" s="73"/>
    </row>
    <row r="9665" spans="2:2" x14ac:dyDescent="0.25">
      <c r="B9665" s="73"/>
    </row>
    <row r="9666" spans="2:2" x14ac:dyDescent="0.25">
      <c r="B9666" s="73"/>
    </row>
    <row r="9667" spans="2:2" x14ac:dyDescent="0.25">
      <c r="B9667" s="73"/>
    </row>
    <row r="9668" spans="2:2" x14ac:dyDescent="0.25">
      <c r="B9668" s="73"/>
    </row>
    <row r="9669" spans="2:2" x14ac:dyDescent="0.25">
      <c r="B9669" s="73"/>
    </row>
    <row r="9670" spans="2:2" x14ac:dyDescent="0.25">
      <c r="B9670" s="73"/>
    </row>
    <row r="9671" spans="2:2" x14ac:dyDescent="0.25">
      <c r="B9671" s="73"/>
    </row>
    <row r="9672" spans="2:2" x14ac:dyDescent="0.25">
      <c r="B9672" s="73"/>
    </row>
    <row r="9673" spans="2:2" x14ac:dyDescent="0.25">
      <c r="B9673" s="73"/>
    </row>
    <row r="9674" spans="2:2" x14ac:dyDescent="0.25">
      <c r="B9674" s="73"/>
    </row>
    <row r="9675" spans="2:2" x14ac:dyDescent="0.25">
      <c r="B9675" s="73"/>
    </row>
    <row r="9676" spans="2:2" x14ac:dyDescent="0.25">
      <c r="B9676" s="73"/>
    </row>
    <row r="9677" spans="2:2" x14ac:dyDescent="0.25">
      <c r="B9677" s="73"/>
    </row>
    <row r="9678" spans="2:2" x14ac:dyDescent="0.25">
      <c r="B9678" s="73"/>
    </row>
    <row r="9679" spans="2:2" x14ac:dyDescent="0.25">
      <c r="B9679" s="73"/>
    </row>
    <row r="9680" spans="2:2" x14ac:dyDescent="0.25">
      <c r="B9680" s="73"/>
    </row>
    <row r="9681" spans="2:2" x14ac:dyDescent="0.25">
      <c r="B9681" s="73"/>
    </row>
    <row r="9682" spans="2:2" x14ac:dyDescent="0.25">
      <c r="B9682" s="73"/>
    </row>
    <row r="9683" spans="2:2" x14ac:dyDescent="0.25">
      <c r="B9683" s="73"/>
    </row>
    <row r="9684" spans="2:2" x14ac:dyDescent="0.25">
      <c r="B9684" s="73"/>
    </row>
    <row r="9685" spans="2:2" x14ac:dyDescent="0.25">
      <c r="B9685" s="73"/>
    </row>
    <row r="9686" spans="2:2" x14ac:dyDescent="0.25">
      <c r="B9686" s="73"/>
    </row>
    <row r="9687" spans="2:2" x14ac:dyDescent="0.25">
      <c r="B9687" s="73"/>
    </row>
    <row r="9688" spans="2:2" x14ac:dyDescent="0.25">
      <c r="B9688" s="73"/>
    </row>
    <row r="9689" spans="2:2" x14ac:dyDescent="0.25">
      <c r="B9689" s="73"/>
    </row>
    <row r="9690" spans="2:2" x14ac:dyDescent="0.25">
      <c r="B9690" s="73"/>
    </row>
    <row r="9691" spans="2:2" x14ac:dyDescent="0.25">
      <c r="B9691" s="73"/>
    </row>
    <row r="9692" spans="2:2" x14ac:dyDescent="0.25">
      <c r="B9692" s="73"/>
    </row>
    <row r="9693" spans="2:2" x14ac:dyDescent="0.25">
      <c r="B9693" s="73"/>
    </row>
    <row r="9694" spans="2:2" x14ac:dyDescent="0.25">
      <c r="B9694" s="73"/>
    </row>
    <row r="9695" spans="2:2" x14ac:dyDescent="0.25">
      <c r="B9695" s="73"/>
    </row>
    <row r="9696" spans="2:2" x14ac:dyDescent="0.25">
      <c r="B9696" s="73"/>
    </row>
    <row r="9697" spans="2:2" x14ac:dyDescent="0.25">
      <c r="B9697" s="73"/>
    </row>
    <row r="9698" spans="2:2" x14ac:dyDescent="0.25">
      <c r="B9698" s="73"/>
    </row>
    <row r="9699" spans="2:2" x14ac:dyDescent="0.25">
      <c r="B9699" s="73"/>
    </row>
    <row r="9700" spans="2:2" x14ac:dyDescent="0.25">
      <c r="B9700" s="73"/>
    </row>
    <row r="9701" spans="2:2" x14ac:dyDescent="0.25">
      <c r="B9701" s="73"/>
    </row>
    <row r="9702" spans="2:2" x14ac:dyDescent="0.25">
      <c r="B9702" s="73"/>
    </row>
    <row r="9703" spans="2:2" x14ac:dyDescent="0.25">
      <c r="B9703" s="73"/>
    </row>
    <row r="9704" spans="2:2" x14ac:dyDescent="0.25">
      <c r="B9704" s="73"/>
    </row>
    <row r="9705" spans="2:2" x14ac:dyDescent="0.25">
      <c r="B9705" s="73"/>
    </row>
    <row r="9706" spans="2:2" x14ac:dyDescent="0.25">
      <c r="B9706" s="73"/>
    </row>
    <row r="9707" spans="2:2" x14ac:dyDescent="0.25">
      <c r="B9707" s="73"/>
    </row>
    <row r="9708" spans="2:2" x14ac:dyDescent="0.25">
      <c r="B9708" s="73"/>
    </row>
    <row r="9709" spans="2:2" x14ac:dyDescent="0.25">
      <c r="B9709" s="73"/>
    </row>
    <row r="9710" spans="2:2" x14ac:dyDescent="0.25">
      <c r="B9710" s="73"/>
    </row>
    <row r="9711" spans="2:2" x14ac:dyDescent="0.25">
      <c r="B9711" s="73"/>
    </row>
    <row r="9712" spans="2:2" x14ac:dyDescent="0.25">
      <c r="B9712" s="73"/>
    </row>
    <row r="9713" spans="2:2" x14ac:dyDescent="0.25">
      <c r="B9713" s="73"/>
    </row>
    <row r="9714" spans="2:2" x14ac:dyDescent="0.25">
      <c r="B9714" s="73"/>
    </row>
    <row r="9715" spans="2:2" x14ac:dyDescent="0.25">
      <c r="B9715" s="73"/>
    </row>
    <row r="9716" spans="2:2" x14ac:dyDescent="0.25">
      <c r="B9716" s="73"/>
    </row>
    <row r="9717" spans="2:2" x14ac:dyDescent="0.25">
      <c r="B9717" s="73"/>
    </row>
    <row r="9718" spans="2:2" x14ac:dyDescent="0.25">
      <c r="B9718" s="73"/>
    </row>
    <row r="9719" spans="2:2" x14ac:dyDescent="0.25">
      <c r="B9719" s="73"/>
    </row>
    <row r="9720" spans="2:2" x14ac:dyDescent="0.25">
      <c r="B9720" s="73"/>
    </row>
    <row r="9721" spans="2:2" x14ac:dyDescent="0.25">
      <c r="B9721" s="73"/>
    </row>
    <row r="9722" spans="2:2" x14ac:dyDescent="0.25">
      <c r="B9722" s="73"/>
    </row>
    <row r="9723" spans="2:2" x14ac:dyDescent="0.25">
      <c r="B9723" s="73"/>
    </row>
    <row r="9724" spans="2:2" x14ac:dyDescent="0.25">
      <c r="B9724" s="73"/>
    </row>
    <row r="9725" spans="2:2" x14ac:dyDescent="0.25">
      <c r="B9725" s="73"/>
    </row>
    <row r="9726" spans="2:2" x14ac:dyDescent="0.25">
      <c r="B9726" s="73"/>
    </row>
    <row r="9727" spans="2:2" x14ac:dyDescent="0.25">
      <c r="B9727" s="73"/>
    </row>
    <row r="9728" spans="2:2" x14ac:dyDescent="0.25">
      <c r="B9728" s="73"/>
    </row>
    <row r="9729" spans="2:2" x14ac:dyDescent="0.25">
      <c r="B9729" s="73"/>
    </row>
    <row r="9730" spans="2:2" x14ac:dyDescent="0.25">
      <c r="B9730" s="73"/>
    </row>
    <row r="9731" spans="2:2" x14ac:dyDescent="0.25">
      <c r="B9731" s="73"/>
    </row>
    <row r="9732" spans="2:2" x14ac:dyDescent="0.25">
      <c r="B9732" s="73"/>
    </row>
    <row r="9733" spans="2:2" x14ac:dyDescent="0.25">
      <c r="B9733" s="73"/>
    </row>
    <row r="9734" spans="2:2" x14ac:dyDescent="0.25">
      <c r="B9734" s="73"/>
    </row>
    <row r="9735" spans="2:2" x14ac:dyDescent="0.25">
      <c r="B9735" s="73"/>
    </row>
    <row r="9736" spans="2:2" x14ac:dyDescent="0.25">
      <c r="B9736" s="73"/>
    </row>
    <row r="9737" spans="2:2" x14ac:dyDescent="0.25">
      <c r="B9737" s="73"/>
    </row>
    <row r="9738" spans="2:2" x14ac:dyDescent="0.25">
      <c r="B9738" s="73"/>
    </row>
    <row r="9739" spans="2:2" x14ac:dyDescent="0.25">
      <c r="B9739" s="73"/>
    </row>
    <row r="9740" spans="2:2" x14ac:dyDescent="0.25">
      <c r="B9740" s="73"/>
    </row>
    <row r="9741" spans="2:2" x14ac:dyDescent="0.25">
      <c r="B9741" s="73"/>
    </row>
    <row r="9742" spans="2:2" x14ac:dyDescent="0.25">
      <c r="B9742" s="73"/>
    </row>
    <row r="9743" spans="2:2" x14ac:dyDescent="0.25">
      <c r="B9743" s="73"/>
    </row>
    <row r="9744" spans="2:2" x14ac:dyDescent="0.25">
      <c r="B9744" s="73"/>
    </row>
    <row r="9745" spans="2:2" x14ac:dyDescent="0.25">
      <c r="B9745" s="73"/>
    </row>
    <row r="9746" spans="2:2" x14ac:dyDescent="0.25">
      <c r="B9746" s="73"/>
    </row>
    <row r="9747" spans="2:2" x14ac:dyDescent="0.25">
      <c r="B9747" s="73"/>
    </row>
    <row r="9748" spans="2:2" x14ac:dyDescent="0.25">
      <c r="B9748" s="73"/>
    </row>
    <row r="9749" spans="2:2" x14ac:dyDescent="0.25">
      <c r="B9749" s="73"/>
    </row>
    <row r="9750" spans="2:2" x14ac:dyDescent="0.25">
      <c r="B9750" s="73"/>
    </row>
    <row r="9751" spans="2:2" x14ac:dyDescent="0.25">
      <c r="B9751" s="73"/>
    </row>
    <row r="9752" spans="2:2" x14ac:dyDescent="0.25">
      <c r="B9752" s="73"/>
    </row>
    <row r="9753" spans="2:2" x14ac:dyDescent="0.25">
      <c r="B9753" s="73"/>
    </row>
    <row r="9754" spans="2:2" x14ac:dyDescent="0.25">
      <c r="B9754" s="73"/>
    </row>
    <row r="9755" spans="2:2" x14ac:dyDescent="0.25">
      <c r="B9755" s="73"/>
    </row>
    <row r="9756" spans="2:2" x14ac:dyDescent="0.25">
      <c r="B9756" s="73"/>
    </row>
    <row r="9757" spans="2:2" x14ac:dyDescent="0.25">
      <c r="B9757" s="73"/>
    </row>
    <row r="9758" spans="2:2" x14ac:dyDescent="0.25">
      <c r="B9758" s="73"/>
    </row>
    <row r="9759" spans="2:2" x14ac:dyDescent="0.25">
      <c r="B9759" s="73"/>
    </row>
    <row r="9760" spans="2:2" x14ac:dyDescent="0.25">
      <c r="B9760" s="73"/>
    </row>
    <row r="9761" spans="2:2" x14ac:dyDescent="0.25">
      <c r="B9761" s="73"/>
    </row>
    <row r="9762" spans="2:2" x14ac:dyDescent="0.25">
      <c r="B9762" s="73"/>
    </row>
    <row r="9763" spans="2:2" x14ac:dyDescent="0.25">
      <c r="B9763" s="73"/>
    </row>
    <row r="9764" spans="2:2" x14ac:dyDescent="0.25">
      <c r="B9764" s="73"/>
    </row>
    <row r="9765" spans="2:2" x14ac:dyDescent="0.25">
      <c r="B9765" s="73"/>
    </row>
    <row r="9766" spans="2:2" x14ac:dyDescent="0.25">
      <c r="B9766" s="73"/>
    </row>
    <row r="9767" spans="2:2" x14ac:dyDescent="0.25">
      <c r="B9767" s="73"/>
    </row>
    <row r="9768" spans="2:2" x14ac:dyDescent="0.25">
      <c r="B9768" s="73"/>
    </row>
    <row r="9769" spans="2:2" x14ac:dyDescent="0.25">
      <c r="B9769" s="73"/>
    </row>
    <row r="9770" spans="2:2" x14ac:dyDescent="0.25">
      <c r="B9770" s="73"/>
    </row>
    <row r="9771" spans="2:2" x14ac:dyDescent="0.25">
      <c r="B9771" s="73"/>
    </row>
    <row r="9772" spans="2:2" x14ac:dyDescent="0.25">
      <c r="B9772" s="73"/>
    </row>
    <row r="9773" spans="2:2" x14ac:dyDescent="0.25">
      <c r="B9773" s="73"/>
    </row>
    <row r="9774" spans="2:2" x14ac:dyDescent="0.25">
      <c r="B9774" s="73"/>
    </row>
    <row r="9775" spans="2:2" x14ac:dyDescent="0.25">
      <c r="B9775" s="73"/>
    </row>
    <row r="9776" spans="2:2" x14ac:dyDescent="0.25">
      <c r="B9776" s="73"/>
    </row>
    <row r="9777" spans="2:2" x14ac:dyDescent="0.25">
      <c r="B9777" s="73"/>
    </row>
    <row r="9778" spans="2:2" x14ac:dyDescent="0.25">
      <c r="B9778" s="73"/>
    </row>
    <row r="9779" spans="2:2" x14ac:dyDescent="0.25">
      <c r="B9779" s="73"/>
    </row>
    <row r="9780" spans="2:2" x14ac:dyDescent="0.25">
      <c r="B9780" s="73"/>
    </row>
    <row r="9781" spans="2:2" x14ac:dyDescent="0.25">
      <c r="B9781" s="73"/>
    </row>
    <row r="9782" spans="2:2" x14ac:dyDescent="0.25">
      <c r="B9782" s="73"/>
    </row>
    <row r="9783" spans="2:2" x14ac:dyDescent="0.25">
      <c r="B9783" s="73"/>
    </row>
    <row r="9784" spans="2:2" x14ac:dyDescent="0.25">
      <c r="B9784" s="73"/>
    </row>
    <row r="9785" spans="2:2" x14ac:dyDescent="0.25">
      <c r="B9785" s="73"/>
    </row>
    <row r="9786" spans="2:2" x14ac:dyDescent="0.25">
      <c r="B9786" s="73"/>
    </row>
    <row r="9787" spans="2:2" x14ac:dyDescent="0.25">
      <c r="B9787" s="73"/>
    </row>
    <row r="9788" spans="2:2" x14ac:dyDescent="0.25">
      <c r="B9788" s="73"/>
    </row>
    <row r="9789" spans="2:2" x14ac:dyDescent="0.25">
      <c r="B9789" s="73"/>
    </row>
    <row r="9790" spans="2:2" x14ac:dyDescent="0.25">
      <c r="B9790" s="73"/>
    </row>
    <row r="9791" spans="2:2" x14ac:dyDescent="0.25">
      <c r="B9791" s="73"/>
    </row>
    <row r="9792" spans="2:2" x14ac:dyDescent="0.25">
      <c r="B9792" s="73"/>
    </row>
    <row r="9793" spans="2:2" x14ac:dyDescent="0.25">
      <c r="B9793" s="73"/>
    </row>
    <row r="9794" spans="2:2" x14ac:dyDescent="0.25">
      <c r="B9794" s="73"/>
    </row>
    <row r="9795" spans="2:2" x14ac:dyDescent="0.25">
      <c r="B9795" s="73"/>
    </row>
    <row r="9796" spans="2:2" x14ac:dyDescent="0.25">
      <c r="B9796" s="73"/>
    </row>
    <row r="9797" spans="2:2" x14ac:dyDescent="0.25">
      <c r="B9797" s="73"/>
    </row>
    <row r="9798" spans="2:2" x14ac:dyDescent="0.25">
      <c r="B9798" s="73"/>
    </row>
    <row r="9799" spans="2:2" x14ac:dyDescent="0.25">
      <c r="B9799" s="73"/>
    </row>
    <row r="9800" spans="2:2" x14ac:dyDescent="0.25">
      <c r="B9800" s="73"/>
    </row>
    <row r="9801" spans="2:2" x14ac:dyDescent="0.25">
      <c r="B9801" s="73"/>
    </row>
    <row r="9802" spans="2:2" x14ac:dyDescent="0.25">
      <c r="B9802" s="73"/>
    </row>
    <row r="9803" spans="2:2" x14ac:dyDescent="0.25">
      <c r="B9803" s="73"/>
    </row>
    <row r="9804" spans="2:2" x14ac:dyDescent="0.25">
      <c r="B9804" s="73"/>
    </row>
    <row r="9805" spans="2:2" x14ac:dyDescent="0.25">
      <c r="B9805" s="73"/>
    </row>
    <row r="9806" spans="2:2" x14ac:dyDescent="0.25">
      <c r="B9806" s="73"/>
    </row>
    <row r="9807" spans="2:2" x14ac:dyDescent="0.25">
      <c r="B9807" s="73"/>
    </row>
    <row r="9808" spans="2:2" x14ac:dyDescent="0.25">
      <c r="B9808" s="73"/>
    </row>
    <row r="9809" spans="2:2" x14ac:dyDescent="0.25">
      <c r="B9809" s="73"/>
    </row>
    <row r="9810" spans="2:2" x14ac:dyDescent="0.25">
      <c r="B9810" s="73"/>
    </row>
    <row r="9811" spans="2:2" x14ac:dyDescent="0.25">
      <c r="B9811" s="73"/>
    </row>
    <row r="9812" spans="2:2" x14ac:dyDescent="0.25">
      <c r="B9812" s="73"/>
    </row>
    <row r="9813" spans="2:2" x14ac:dyDescent="0.25">
      <c r="B9813" s="73"/>
    </row>
    <row r="9814" spans="2:2" x14ac:dyDescent="0.25">
      <c r="B9814" s="73"/>
    </row>
    <row r="9815" spans="2:2" x14ac:dyDescent="0.25">
      <c r="B9815" s="73"/>
    </row>
    <row r="9816" spans="2:2" x14ac:dyDescent="0.25">
      <c r="B9816" s="73"/>
    </row>
    <row r="9817" spans="2:2" x14ac:dyDescent="0.25">
      <c r="B9817" s="73"/>
    </row>
    <row r="9818" spans="2:2" x14ac:dyDescent="0.25">
      <c r="B9818" s="73"/>
    </row>
    <row r="9819" spans="2:2" x14ac:dyDescent="0.25">
      <c r="B9819" s="73"/>
    </row>
    <row r="9820" spans="2:2" x14ac:dyDescent="0.25">
      <c r="B9820" s="73"/>
    </row>
    <row r="9821" spans="2:2" x14ac:dyDescent="0.25">
      <c r="B9821" s="73"/>
    </row>
    <row r="9822" spans="2:2" x14ac:dyDescent="0.25">
      <c r="B9822" s="73"/>
    </row>
    <row r="9823" spans="2:2" x14ac:dyDescent="0.25">
      <c r="B9823" s="73"/>
    </row>
    <row r="9824" spans="2:2" x14ac:dyDescent="0.25">
      <c r="B9824" s="73"/>
    </row>
    <row r="9825" spans="2:2" x14ac:dyDescent="0.25">
      <c r="B9825" s="73"/>
    </row>
    <row r="9826" spans="2:2" x14ac:dyDescent="0.25">
      <c r="B9826" s="73"/>
    </row>
    <row r="9827" spans="2:2" x14ac:dyDescent="0.25">
      <c r="B9827" s="73"/>
    </row>
    <row r="9828" spans="2:2" x14ac:dyDescent="0.25">
      <c r="B9828" s="73"/>
    </row>
    <row r="9829" spans="2:2" x14ac:dyDescent="0.25">
      <c r="B9829" s="73"/>
    </row>
    <row r="9830" spans="2:2" x14ac:dyDescent="0.25">
      <c r="B9830" s="73"/>
    </row>
    <row r="9831" spans="2:2" x14ac:dyDescent="0.25">
      <c r="B9831" s="73"/>
    </row>
    <row r="9832" spans="2:2" x14ac:dyDescent="0.25">
      <c r="B9832" s="73"/>
    </row>
    <row r="9833" spans="2:2" x14ac:dyDescent="0.25">
      <c r="B9833" s="73"/>
    </row>
    <row r="9834" spans="2:2" x14ac:dyDescent="0.25">
      <c r="B9834" s="73"/>
    </row>
    <row r="9835" spans="2:2" x14ac:dyDescent="0.25">
      <c r="B9835" s="73"/>
    </row>
    <row r="9836" spans="2:2" x14ac:dyDescent="0.25">
      <c r="B9836" s="73"/>
    </row>
    <row r="9837" spans="2:2" x14ac:dyDescent="0.25">
      <c r="B9837" s="73"/>
    </row>
    <row r="9838" spans="2:2" x14ac:dyDescent="0.25">
      <c r="B9838" s="73"/>
    </row>
    <row r="9839" spans="2:2" x14ac:dyDescent="0.25">
      <c r="B9839" s="73"/>
    </row>
    <row r="9840" spans="2:2" x14ac:dyDescent="0.25">
      <c r="B9840" s="73"/>
    </row>
    <row r="9841" spans="2:2" x14ac:dyDescent="0.25">
      <c r="B9841" s="73"/>
    </row>
    <row r="9842" spans="2:2" x14ac:dyDescent="0.25">
      <c r="B9842" s="73"/>
    </row>
    <row r="9843" spans="2:2" x14ac:dyDescent="0.25">
      <c r="B9843" s="73"/>
    </row>
    <row r="9844" spans="2:2" x14ac:dyDescent="0.25">
      <c r="B9844" s="73"/>
    </row>
    <row r="9845" spans="2:2" x14ac:dyDescent="0.25">
      <c r="B9845" s="73"/>
    </row>
    <row r="9846" spans="2:2" x14ac:dyDescent="0.25">
      <c r="B9846" s="73"/>
    </row>
    <row r="9847" spans="2:2" x14ac:dyDescent="0.25">
      <c r="B9847" s="73"/>
    </row>
    <row r="9848" spans="2:2" x14ac:dyDescent="0.25">
      <c r="B9848" s="73"/>
    </row>
    <row r="9849" spans="2:2" x14ac:dyDescent="0.25">
      <c r="B9849" s="73"/>
    </row>
    <row r="9850" spans="2:2" x14ac:dyDescent="0.25">
      <c r="B9850" s="73"/>
    </row>
    <row r="9851" spans="2:2" x14ac:dyDescent="0.25">
      <c r="B9851" s="73"/>
    </row>
    <row r="9852" spans="2:2" x14ac:dyDescent="0.25">
      <c r="B9852" s="73"/>
    </row>
    <row r="9853" spans="2:2" x14ac:dyDescent="0.25">
      <c r="B9853" s="73"/>
    </row>
    <row r="9854" spans="2:2" x14ac:dyDescent="0.25">
      <c r="B9854" s="73"/>
    </row>
    <row r="9855" spans="2:2" x14ac:dyDescent="0.25">
      <c r="B9855" s="73"/>
    </row>
    <row r="9856" spans="2:2" x14ac:dyDescent="0.25">
      <c r="B9856" s="73"/>
    </row>
    <row r="9857" spans="2:2" x14ac:dyDescent="0.25">
      <c r="B9857" s="73"/>
    </row>
    <row r="9858" spans="2:2" x14ac:dyDescent="0.25">
      <c r="B9858" s="73"/>
    </row>
    <row r="9859" spans="2:2" x14ac:dyDescent="0.25">
      <c r="B9859" s="73"/>
    </row>
    <row r="9860" spans="2:2" x14ac:dyDescent="0.25">
      <c r="B9860" s="73"/>
    </row>
    <row r="9861" spans="2:2" x14ac:dyDescent="0.25">
      <c r="B9861" s="73"/>
    </row>
    <row r="9862" spans="2:2" x14ac:dyDescent="0.25">
      <c r="B9862" s="73"/>
    </row>
    <row r="9863" spans="2:2" x14ac:dyDescent="0.25">
      <c r="B9863" s="73"/>
    </row>
    <row r="9864" spans="2:2" x14ac:dyDescent="0.25">
      <c r="B9864" s="73"/>
    </row>
    <row r="9865" spans="2:2" x14ac:dyDescent="0.25">
      <c r="B9865" s="73"/>
    </row>
    <row r="9866" spans="2:2" x14ac:dyDescent="0.25">
      <c r="B9866" s="73"/>
    </row>
    <row r="9867" spans="2:2" x14ac:dyDescent="0.25">
      <c r="B9867" s="73"/>
    </row>
    <row r="9868" spans="2:2" x14ac:dyDescent="0.25">
      <c r="B9868" s="73"/>
    </row>
    <row r="9869" spans="2:2" x14ac:dyDescent="0.25">
      <c r="B9869" s="73"/>
    </row>
    <row r="9870" spans="2:2" x14ac:dyDescent="0.25">
      <c r="B9870" s="73"/>
    </row>
    <row r="9871" spans="2:2" x14ac:dyDescent="0.25">
      <c r="B9871" s="73"/>
    </row>
    <row r="9872" spans="2:2" x14ac:dyDescent="0.25">
      <c r="B9872" s="73"/>
    </row>
    <row r="9873" spans="2:2" x14ac:dyDescent="0.25">
      <c r="B9873" s="73"/>
    </row>
    <row r="9874" spans="2:2" x14ac:dyDescent="0.25">
      <c r="B9874" s="73"/>
    </row>
    <row r="9875" spans="2:2" x14ac:dyDescent="0.25">
      <c r="B9875" s="73"/>
    </row>
    <row r="9876" spans="2:2" x14ac:dyDescent="0.25">
      <c r="B9876" s="73"/>
    </row>
    <row r="9877" spans="2:2" x14ac:dyDescent="0.25">
      <c r="B9877" s="73"/>
    </row>
    <row r="9878" spans="2:2" x14ac:dyDescent="0.25">
      <c r="B9878" s="73"/>
    </row>
    <row r="9879" spans="2:2" x14ac:dyDescent="0.25">
      <c r="B9879" s="73"/>
    </row>
    <row r="9880" spans="2:2" x14ac:dyDescent="0.25">
      <c r="B9880" s="73"/>
    </row>
    <row r="9881" spans="2:2" x14ac:dyDescent="0.25">
      <c r="B9881" s="73"/>
    </row>
    <row r="9882" spans="2:2" x14ac:dyDescent="0.25">
      <c r="B9882" s="73"/>
    </row>
    <row r="9883" spans="2:2" x14ac:dyDescent="0.25">
      <c r="B9883" s="73"/>
    </row>
    <row r="9884" spans="2:2" x14ac:dyDescent="0.25">
      <c r="B9884" s="73"/>
    </row>
    <row r="9885" spans="2:2" x14ac:dyDescent="0.25">
      <c r="B9885" s="73"/>
    </row>
    <row r="9886" spans="2:2" x14ac:dyDescent="0.25">
      <c r="B9886" s="73"/>
    </row>
    <row r="9887" spans="2:2" x14ac:dyDescent="0.25">
      <c r="B9887" s="73"/>
    </row>
    <row r="9888" spans="2:2" x14ac:dyDescent="0.25">
      <c r="B9888" s="73"/>
    </row>
    <row r="9889" spans="2:2" x14ac:dyDescent="0.25">
      <c r="B9889" s="73"/>
    </row>
    <row r="9890" spans="2:2" x14ac:dyDescent="0.25">
      <c r="B9890" s="73"/>
    </row>
    <row r="9891" spans="2:2" x14ac:dyDescent="0.25">
      <c r="B9891" s="73"/>
    </row>
    <row r="9892" spans="2:2" x14ac:dyDescent="0.25">
      <c r="B9892" s="73"/>
    </row>
    <row r="9893" spans="2:2" x14ac:dyDescent="0.25">
      <c r="B9893" s="73"/>
    </row>
    <row r="9894" spans="2:2" x14ac:dyDescent="0.25">
      <c r="B9894" s="73"/>
    </row>
    <row r="9895" spans="2:2" x14ac:dyDescent="0.25">
      <c r="B9895" s="73"/>
    </row>
    <row r="9896" spans="2:2" x14ac:dyDescent="0.25">
      <c r="B9896" s="73"/>
    </row>
    <row r="9897" spans="2:2" x14ac:dyDescent="0.25">
      <c r="B9897" s="73"/>
    </row>
    <row r="9898" spans="2:2" x14ac:dyDescent="0.25">
      <c r="B9898" s="73"/>
    </row>
    <row r="9899" spans="2:2" x14ac:dyDescent="0.25">
      <c r="B9899" s="73"/>
    </row>
    <row r="9900" spans="2:2" x14ac:dyDescent="0.25">
      <c r="B9900" s="73"/>
    </row>
    <row r="9901" spans="2:2" x14ac:dyDescent="0.25">
      <c r="B9901" s="73"/>
    </row>
    <row r="9902" spans="2:2" x14ac:dyDescent="0.25">
      <c r="B9902" s="73"/>
    </row>
    <row r="9903" spans="2:2" x14ac:dyDescent="0.25">
      <c r="B9903" s="73"/>
    </row>
    <row r="9904" spans="2:2" x14ac:dyDescent="0.25">
      <c r="B9904" s="73"/>
    </row>
    <row r="9905" spans="2:2" x14ac:dyDescent="0.25">
      <c r="B9905" s="73"/>
    </row>
    <row r="9906" spans="2:2" x14ac:dyDescent="0.25">
      <c r="B9906" s="73"/>
    </row>
    <row r="9907" spans="2:2" x14ac:dyDescent="0.25">
      <c r="B9907" s="73"/>
    </row>
    <row r="9908" spans="2:2" x14ac:dyDescent="0.25">
      <c r="B9908" s="73"/>
    </row>
    <row r="9909" spans="2:2" x14ac:dyDescent="0.25">
      <c r="B9909" s="73"/>
    </row>
    <row r="9910" spans="2:2" x14ac:dyDescent="0.25">
      <c r="B9910" s="73"/>
    </row>
    <row r="9911" spans="2:2" x14ac:dyDescent="0.25">
      <c r="B9911" s="73"/>
    </row>
    <row r="9912" spans="2:2" x14ac:dyDescent="0.25">
      <c r="B9912" s="73"/>
    </row>
    <row r="9913" spans="2:2" x14ac:dyDescent="0.25">
      <c r="B9913" s="73"/>
    </row>
    <row r="9914" spans="2:2" x14ac:dyDescent="0.25">
      <c r="B9914" s="73"/>
    </row>
    <row r="9915" spans="2:2" x14ac:dyDescent="0.25">
      <c r="B9915" s="73"/>
    </row>
    <row r="9916" spans="2:2" x14ac:dyDescent="0.25">
      <c r="B9916" s="73"/>
    </row>
    <row r="9917" spans="2:2" x14ac:dyDescent="0.25">
      <c r="B9917" s="73"/>
    </row>
    <row r="9918" spans="2:2" x14ac:dyDescent="0.25">
      <c r="B9918" s="73"/>
    </row>
    <row r="9919" spans="2:2" x14ac:dyDescent="0.25">
      <c r="B9919" s="73"/>
    </row>
    <row r="9920" spans="2:2" x14ac:dyDescent="0.25">
      <c r="B9920" s="73"/>
    </row>
    <row r="9921" spans="2:2" x14ac:dyDescent="0.25">
      <c r="B9921" s="73"/>
    </row>
    <row r="9922" spans="2:2" x14ac:dyDescent="0.25">
      <c r="B9922" s="73"/>
    </row>
    <row r="9923" spans="2:2" x14ac:dyDescent="0.25">
      <c r="B9923" s="73"/>
    </row>
    <row r="9924" spans="2:2" x14ac:dyDescent="0.25">
      <c r="B9924" s="73"/>
    </row>
    <row r="9925" spans="2:2" x14ac:dyDescent="0.25">
      <c r="B9925" s="73"/>
    </row>
    <row r="9926" spans="2:2" x14ac:dyDescent="0.25">
      <c r="B9926" s="73"/>
    </row>
    <row r="9927" spans="2:2" x14ac:dyDescent="0.25">
      <c r="B9927" s="73"/>
    </row>
    <row r="9928" spans="2:2" x14ac:dyDescent="0.25">
      <c r="B9928" s="73"/>
    </row>
    <row r="9929" spans="2:2" x14ac:dyDescent="0.25">
      <c r="B9929" s="73"/>
    </row>
    <row r="9930" spans="2:2" x14ac:dyDescent="0.25">
      <c r="B9930" s="73"/>
    </row>
    <row r="9931" spans="2:2" x14ac:dyDescent="0.25">
      <c r="B9931" s="73"/>
    </row>
    <row r="9932" spans="2:2" x14ac:dyDescent="0.25">
      <c r="B9932" s="73"/>
    </row>
    <row r="9933" spans="2:2" x14ac:dyDescent="0.25">
      <c r="B9933" s="73"/>
    </row>
    <row r="9934" spans="2:2" x14ac:dyDescent="0.25">
      <c r="B9934" s="73"/>
    </row>
    <row r="9935" spans="2:2" x14ac:dyDescent="0.25">
      <c r="B9935" s="73"/>
    </row>
    <row r="9936" spans="2:2" x14ac:dyDescent="0.25">
      <c r="B9936" s="73"/>
    </row>
    <row r="9937" spans="2:2" x14ac:dyDescent="0.25">
      <c r="B9937" s="73"/>
    </row>
    <row r="9938" spans="2:2" x14ac:dyDescent="0.25">
      <c r="B9938" s="73"/>
    </row>
    <row r="9939" spans="2:2" x14ac:dyDescent="0.25">
      <c r="B9939" s="73"/>
    </row>
    <row r="9940" spans="2:2" x14ac:dyDescent="0.25">
      <c r="B9940" s="73"/>
    </row>
    <row r="9941" spans="2:2" x14ac:dyDescent="0.25">
      <c r="B9941" s="73"/>
    </row>
    <row r="9942" spans="2:2" x14ac:dyDescent="0.25">
      <c r="B9942" s="73"/>
    </row>
    <row r="9943" spans="2:2" x14ac:dyDescent="0.25">
      <c r="B9943" s="73"/>
    </row>
    <row r="9944" spans="2:2" x14ac:dyDescent="0.25">
      <c r="B9944" s="73"/>
    </row>
    <row r="9945" spans="2:2" x14ac:dyDescent="0.25">
      <c r="B9945" s="73"/>
    </row>
    <row r="9946" spans="2:2" x14ac:dyDescent="0.25">
      <c r="B9946" s="73"/>
    </row>
    <row r="9947" spans="2:2" x14ac:dyDescent="0.25">
      <c r="B9947" s="73"/>
    </row>
    <row r="9948" spans="2:2" x14ac:dyDescent="0.25">
      <c r="B9948" s="73"/>
    </row>
    <row r="9949" spans="2:2" x14ac:dyDescent="0.25">
      <c r="B9949" s="73"/>
    </row>
    <row r="9950" spans="2:2" x14ac:dyDescent="0.25">
      <c r="B9950" s="73"/>
    </row>
    <row r="9951" spans="2:2" x14ac:dyDescent="0.25">
      <c r="B9951" s="73"/>
    </row>
    <row r="9952" spans="2:2" x14ac:dyDescent="0.25">
      <c r="B9952" s="73"/>
    </row>
    <row r="9953" spans="2:2" x14ac:dyDescent="0.25">
      <c r="B9953" s="73"/>
    </row>
    <row r="9954" spans="2:2" x14ac:dyDescent="0.25">
      <c r="B9954" s="73"/>
    </row>
    <row r="9955" spans="2:2" x14ac:dyDescent="0.25">
      <c r="B9955" s="73"/>
    </row>
    <row r="9956" spans="2:2" x14ac:dyDescent="0.25">
      <c r="B9956" s="73"/>
    </row>
    <row r="9957" spans="2:2" x14ac:dyDescent="0.25">
      <c r="B9957" s="73"/>
    </row>
    <row r="9958" spans="2:2" x14ac:dyDescent="0.25">
      <c r="B9958" s="73"/>
    </row>
    <row r="9959" spans="2:2" x14ac:dyDescent="0.25">
      <c r="B9959" s="73"/>
    </row>
    <row r="9960" spans="2:2" x14ac:dyDescent="0.25">
      <c r="B9960" s="73"/>
    </row>
    <row r="9961" spans="2:2" x14ac:dyDescent="0.25">
      <c r="B9961" s="73"/>
    </row>
    <row r="9962" spans="2:2" x14ac:dyDescent="0.25">
      <c r="B9962" s="73"/>
    </row>
    <row r="9963" spans="2:2" x14ac:dyDescent="0.25">
      <c r="B9963" s="73"/>
    </row>
    <row r="9964" spans="2:2" x14ac:dyDescent="0.25">
      <c r="B9964" s="73"/>
    </row>
    <row r="9965" spans="2:2" x14ac:dyDescent="0.25">
      <c r="B9965" s="73"/>
    </row>
    <row r="9966" spans="2:2" x14ac:dyDescent="0.25">
      <c r="B9966" s="73"/>
    </row>
    <row r="9967" spans="2:2" x14ac:dyDescent="0.25">
      <c r="B9967" s="73"/>
    </row>
    <row r="9968" spans="2:2" x14ac:dyDescent="0.25">
      <c r="B9968" s="73"/>
    </row>
    <row r="9969" spans="2:2" x14ac:dyDescent="0.25">
      <c r="B9969" s="73"/>
    </row>
    <row r="9970" spans="2:2" x14ac:dyDescent="0.25">
      <c r="B9970" s="73"/>
    </row>
    <row r="9971" spans="2:2" x14ac:dyDescent="0.25">
      <c r="B9971" s="73"/>
    </row>
    <row r="9972" spans="2:2" x14ac:dyDescent="0.25">
      <c r="B9972" s="73"/>
    </row>
    <row r="9973" spans="2:2" x14ac:dyDescent="0.25">
      <c r="B9973" s="73"/>
    </row>
    <row r="9974" spans="2:2" x14ac:dyDescent="0.25">
      <c r="B9974" s="73"/>
    </row>
    <row r="9975" spans="2:2" x14ac:dyDescent="0.25">
      <c r="B9975" s="73"/>
    </row>
    <row r="9976" spans="2:2" x14ac:dyDescent="0.25">
      <c r="B9976" s="73"/>
    </row>
    <row r="9977" spans="2:2" x14ac:dyDescent="0.25">
      <c r="B9977" s="73"/>
    </row>
    <row r="9978" spans="2:2" x14ac:dyDescent="0.25">
      <c r="B9978" s="73"/>
    </row>
    <row r="9979" spans="2:2" x14ac:dyDescent="0.25">
      <c r="B9979" s="73"/>
    </row>
    <row r="9980" spans="2:2" x14ac:dyDescent="0.25">
      <c r="B9980" s="73"/>
    </row>
    <row r="9981" spans="2:2" x14ac:dyDescent="0.25">
      <c r="B9981" s="73"/>
    </row>
    <row r="9982" spans="2:2" x14ac:dyDescent="0.25">
      <c r="B9982" s="73"/>
    </row>
    <row r="9983" spans="2:2" x14ac:dyDescent="0.25">
      <c r="B9983" s="73"/>
    </row>
    <row r="9984" spans="2:2" x14ac:dyDescent="0.25">
      <c r="B9984" s="73"/>
    </row>
    <row r="9985" spans="2:2" x14ac:dyDescent="0.25">
      <c r="B9985" s="73"/>
    </row>
    <row r="9986" spans="2:2" x14ac:dyDescent="0.25">
      <c r="B9986" s="73"/>
    </row>
    <row r="9987" spans="2:2" x14ac:dyDescent="0.25">
      <c r="B9987" s="73"/>
    </row>
    <row r="9988" spans="2:2" x14ac:dyDescent="0.25">
      <c r="B9988" s="73"/>
    </row>
    <row r="9989" spans="2:2" x14ac:dyDescent="0.25">
      <c r="B9989" s="73"/>
    </row>
    <row r="9990" spans="2:2" x14ac:dyDescent="0.25">
      <c r="B9990" s="73"/>
    </row>
    <row r="9991" spans="2:2" x14ac:dyDescent="0.25">
      <c r="B9991" s="73"/>
    </row>
    <row r="9992" spans="2:2" x14ac:dyDescent="0.25">
      <c r="B9992" s="73"/>
    </row>
    <row r="9993" spans="2:2" x14ac:dyDescent="0.25">
      <c r="B9993" s="73"/>
    </row>
    <row r="9994" spans="2:2" x14ac:dyDescent="0.25">
      <c r="B9994" s="73"/>
    </row>
    <row r="9995" spans="2:2" x14ac:dyDescent="0.25">
      <c r="B9995" s="73"/>
    </row>
    <row r="9996" spans="2:2" x14ac:dyDescent="0.25">
      <c r="B9996" s="73"/>
    </row>
    <row r="9997" spans="2:2" x14ac:dyDescent="0.25">
      <c r="B9997" s="73"/>
    </row>
    <row r="9998" spans="2:2" x14ac:dyDescent="0.25">
      <c r="B9998" s="73"/>
    </row>
    <row r="9999" spans="2:2" x14ac:dyDescent="0.25">
      <c r="B9999" s="73"/>
    </row>
    <row r="10000" spans="2:2" x14ac:dyDescent="0.25">
      <c r="B10000" s="73"/>
    </row>
    <row r="10001" spans="2:2" x14ac:dyDescent="0.25">
      <c r="B10001" s="73"/>
    </row>
    <row r="10002" spans="2:2" x14ac:dyDescent="0.25">
      <c r="B10002" s="73"/>
    </row>
    <row r="10003" spans="2:2" x14ac:dyDescent="0.25">
      <c r="B10003" s="73"/>
    </row>
    <row r="10004" spans="2:2" x14ac:dyDescent="0.25">
      <c r="B10004" s="73"/>
    </row>
    <row r="10005" spans="2:2" x14ac:dyDescent="0.25">
      <c r="B10005" s="73"/>
    </row>
    <row r="10006" spans="2:2" x14ac:dyDescent="0.25">
      <c r="B10006" s="73"/>
    </row>
    <row r="10007" spans="2:2" x14ac:dyDescent="0.25">
      <c r="B10007" s="73"/>
    </row>
    <row r="10008" spans="2:2" x14ac:dyDescent="0.25">
      <c r="B10008" s="73"/>
    </row>
    <row r="10009" spans="2:2" x14ac:dyDescent="0.25">
      <c r="B10009" s="73"/>
    </row>
    <row r="10010" spans="2:2" x14ac:dyDescent="0.25">
      <c r="B10010" s="73"/>
    </row>
    <row r="10011" spans="2:2" x14ac:dyDescent="0.25">
      <c r="B10011" s="73"/>
    </row>
    <row r="10012" spans="2:2" x14ac:dyDescent="0.25">
      <c r="B10012" s="73"/>
    </row>
    <row r="10013" spans="2:2" x14ac:dyDescent="0.25">
      <c r="B10013" s="73"/>
    </row>
    <row r="10014" spans="2:2" x14ac:dyDescent="0.25">
      <c r="B10014" s="73"/>
    </row>
    <row r="10015" spans="2:2" x14ac:dyDescent="0.25">
      <c r="B10015" s="73"/>
    </row>
    <row r="10016" spans="2:2" x14ac:dyDescent="0.25">
      <c r="B10016" s="73"/>
    </row>
    <row r="10017" spans="2:2" x14ac:dyDescent="0.25">
      <c r="B10017" s="73"/>
    </row>
    <row r="10018" spans="2:2" x14ac:dyDescent="0.25">
      <c r="B10018" s="73"/>
    </row>
    <row r="10019" spans="2:2" x14ac:dyDescent="0.25">
      <c r="B10019" s="73"/>
    </row>
    <row r="10020" spans="2:2" x14ac:dyDescent="0.25">
      <c r="B10020" s="73"/>
    </row>
    <row r="10021" spans="2:2" x14ac:dyDescent="0.25">
      <c r="B10021" s="73"/>
    </row>
    <row r="10022" spans="2:2" x14ac:dyDescent="0.25">
      <c r="B10022" s="73"/>
    </row>
    <row r="10023" spans="2:2" x14ac:dyDescent="0.25">
      <c r="B10023" s="73"/>
    </row>
    <row r="10024" spans="2:2" x14ac:dyDescent="0.25">
      <c r="B10024" s="73"/>
    </row>
    <row r="10025" spans="2:2" x14ac:dyDescent="0.25">
      <c r="B10025" s="73"/>
    </row>
    <row r="10026" spans="2:2" x14ac:dyDescent="0.25">
      <c r="B10026" s="73"/>
    </row>
    <row r="10027" spans="2:2" x14ac:dyDescent="0.25">
      <c r="B10027" s="73"/>
    </row>
    <row r="10028" spans="2:2" x14ac:dyDescent="0.25">
      <c r="B10028" s="73"/>
    </row>
    <row r="10029" spans="2:2" x14ac:dyDescent="0.25">
      <c r="B10029" s="73"/>
    </row>
    <row r="10030" spans="2:2" x14ac:dyDescent="0.25">
      <c r="B10030" s="73"/>
    </row>
    <row r="10031" spans="2:2" x14ac:dyDescent="0.25">
      <c r="B10031" s="73"/>
    </row>
    <row r="10032" spans="2:2" x14ac:dyDescent="0.25">
      <c r="B10032" s="73"/>
    </row>
    <row r="10033" spans="2:2" x14ac:dyDescent="0.25">
      <c r="B10033" s="73"/>
    </row>
    <row r="10034" spans="2:2" x14ac:dyDescent="0.25">
      <c r="B10034" s="73"/>
    </row>
    <row r="10035" spans="2:2" x14ac:dyDescent="0.25">
      <c r="B10035" s="73"/>
    </row>
    <row r="10036" spans="2:2" x14ac:dyDescent="0.25">
      <c r="B10036" s="73"/>
    </row>
    <row r="10037" spans="2:2" x14ac:dyDescent="0.25">
      <c r="B10037" s="73"/>
    </row>
    <row r="10038" spans="2:2" x14ac:dyDescent="0.25">
      <c r="B10038" s="73"/>
    </row>
    <row r="10039" spans="2:2" x14ac:dyDescent="0.25">
      <c r="B10039" s="73"/>
    </row>
    <row r="10040" spans="2:2" x14ac:dyDescent="0.25">
      <c r="B10040" s="73"/>
    </row>
    <row r="10041" spans="2:2" x14ac:dyDescent="0.25">
      <c r="B10041" s="73"/>
    </row>
    <row r="10042" spans="2:2" x14ac:dyDescent="0.25">
      <c r="B10042" s="73"/>
    </row>
    <row r="10043" spans="2:2" x14ac:dyDescent="0.25">
      <c r="B10043" s="73"/>
    </row>
    <row r="10044" spans="2:2" x14ac:dyDescent="0.25">
      <c r="B10044" s="73"/>
    </row>
    <row r="10045" spans="2:2" x14ac:dyDescent="0.25">
      <c r="B10045" s="73"/>
    </row>
    <row r="10046" spans="2:2" x14ac:dyDescent="0.25">
      <c r="B10046" s="73"/>
    </row>
    <row r="10047" spans="2:2" x14ac:dyDescent="0.25">
      <c r="B10047" s="73"/>
    </row>
    <row r="10048" spans="2:2" x14ac:dyDescent="0.25">
      <c r="B10048" s="73"/>
    </row>
    <row r="10049" spans="2:2" x14ac:dyDescent="0.25">
      <c r="B10049" s="73"/>
    </row>
    <row r="10050" spans="2:2" x14ac:dyDescent="0.25">
      <c r="B10050" s="73"/>
    </row>
    <row r="10051" spans="2:2" x14ac:dyDescent="0.25">
      <c r="B10051" s="73"/>
    </row>
    <row r="10052" spans="2:2" x14ac:dyDescent="0.25">
      <c r="B10052" s="73"/>
    </row>
    <row r="10053" spans="2:2" x14ac:dyDescent="0.25">
      <c r="B10053" s="73"/>
    </row>
    <row r="10054" spans="2:2" x14ac:dyDescent="0.25">
      <c r="B10054" s="73"/>
    </row>
    <row r="10055" spans="2:2" x14ac:dyDescent="0.25">
      <c r="B10055" s="73"/>
    </row>
    <row r="10056" spans="2:2" x14ac:dyDescent="0.25">
      <c r="B10056" s="73"/>
    </row>
    <row r="10057" spans="2:2" x14ac:dyDescent="0.25">
      <c r="B10057" s="73"/>
    </row>
    <row r="10058" spans="2:2" x14ac:dyDescent="0.25">
      <c r="B10058" s="73"/>
    </row>
    <row r="10059" spans="2:2" x14ac:dyDescent="0.25">
      <c r="B10059" s="73"/>
    </row>
    <row r="10060" spans="2:2" x14ac:dyDescent="0.25">
      <c r="B10060" s="73"/>
    </row>
    <row r="10061" spans="2:2" x14ac:dyDescent="0.25">
      <c r="B10061" s="73"/>
    </row>
    <row r="10062" spans="2:2" x14ac:dyDescent="0.25">
      <c r="B10062" s="73"/>
    </row>
    <row r="10063" spans="2:2" x14ac:dyDescent="0.25">
      <c r="B10063" s="73"/>
    </row>
    <row r="10064" spans="2:2" x14ac:dyDescent="0.25">
      <c r="B10064" s="73"/>
    </row>
    <row r="10065" spans="2:2" x14ac:dyDescent="0.25">
      <c r="B10065" s="73"/>
    </row>
    <row r="10066" spans="2:2" x14ac:dyDescent="0.25">
      <c r="B10066" s="73"/>
    </row>
    <row r="10067" spans="2:2" x14ac:dyDescent="0.25">
      <c r="B10067" s="73"/>
    </row>
    <row r="10068" spans="2:2" x14ac:dyDescent="0.25">
      <c r="B10068" s="73"/>
    </row>
    <row r="10069" spans="2:2" x14ac:dyDescent="0.25">
      <c r="B10069" s="73"/>
    </row>
    <row r="10070" spans="2:2" x14ac:dyDescent="0.25">
      <c r="B10070" s="73"/>
    </row>
    <row r="10071" spans="2:2" x14ac:dyDescent="0.25">
      <c r="B10071" s="73"/>
    </row>
    <row r="10072" spans="2:2" x14ac:dyDescent="0.25">
      <c r="B10072" s="73"/>
    </row>
    <row r="10073" spans="2:2" x14ac:dyDescent="0.25">
      <c r="B10073" s="73"/>
    </row>
    <row r="10074" spans="2:2" x14ac:dyDescent="0.25">
      <c r="B10074" s="73"/>
    </row>
    <row r="10075" spans="2:2" x14ac:dyDescent="0.25">
      <c r="B10075" s="73"/>
    </row>
    <row r="10076" spans="2:2" x14ac:dyDescent="0.25">
      <c r="B10076" s="73"/>
    </row>
    <row r="10077" spans="2:2" x14ac:dyDescent="0.25">
      <c r="B10077" s="73"/>
    </row>
    <row r="10078" spans="2:2" x14ac:dyDescent="0.25">
      <c r="B10078" s="73"/>
    </row>
    <row r="10079" spans="2:2" x14ac:dyDescent="0.25">
      <c r="B10079" s="73"/>
    </row>
    <row r="10080" spans="2:2" x14ac:dyDescent="0.25">
      <c r="B10080" s="73"/>
    </row>
    <row r="10081" spans="2:2" x14ac:dyDescent="0.25">
      <c r="B10081" s="73"/>
    </row>
    <row r="10082" spans="2:2" x14ac:dyDescent="0.25">
      <c r="B10082" s="73"/>
    </row>
    <row r="10083" spans="2:2" x14ac:dyDescent="0.25">
      <c r="B10083" s="73"/>
    </row>
    <row r="10084" spans="2:2" x14ac:dyDescent="0.25">
      <c r="B10084" s="73"/>
    </row>
    <row r="10085" spans="2:2" x14ac:dyDescent="0.25">
      <c r="B10085" s="73"/>
    </row>
    <row r="10086" spans="2:2" x14ac:dyDescent="0.25">
      <c r="B10086" s="73"/>
    </row>
    <row r="10087" spans="2:2" x14ac:dyDescent="0.25">
      <c r="B10087" s="73"/>
    </row>
    <row r="10088" spans="2:2" x14ac:dyDescent="0.25">
      <c r="B10088" s="73"/>
    </row>
    <row r="10089" spans="2:2" x14ac:dyDescent="0.25">
      <c r="B10089" s="73"/>
    </row>
    <row r="10090" spans="2:2" x14ac:dyDescent="0.25">
      <c r="B10090" s="73"/>
    </row>
    <row r="10091" spans="2:2" x14ac:dyDescent="0.25">
      <c r="B10091" s="73"/>
    </row>
    <row r="10092" spans="2:2" x14ac:dyDescent="0.25">
      <c r="B10092" s="73"/>
    </row>
    <row r="10093" spans="2:2" x14ac:dyDescent="0.25">
      <c r="B10093" s="73"/>
    </row>
    <row r="10094" spans="2:2" x14ac:dyDescent="0.25">
      <c r="B10094" s="73"/>
    </row>
    <row r="10095" spans="2:2" x14ac:dyDescent="0.25">
      <c r="B10095" s="73"/>
    </row>
    <row r="10096" spans="2:2" x14ac:dyDescent="0.25">
      <c r="B10096" s="73"/>
    </row>
    <row r="10097" spans="2:2" x14ac:dyDescent="0.25">
      <c r="B10097" s="73"/>
    </row>
    <row r="10098" spans="2:2" x14ac:dyDescent="0.25">
      <c r="B10098" s="73"/>
    </row>
    <row r="10099" spans="2:2" x14ac:dyDescent="0.25">
      <c r="B10099" s="73"/>
    </row>
    <row r="10100" spans="2:2" x14ac:dyDescent="0.25">
      <c r="B10100" s="73"/>
    </row>
    <row r="10101" spans="2:2" x14ac:dyDescent="0.25">
      <c r="B10101" s="73"/>
    </row>
    <row r="10102" spans="2:2" x14ac:dyDescent="0.25">
      <c r="B10102" s="73"/>
    </row>
    <row r="10103" spans="2:2" x14ac:dyDescent="0.25">
      <c r="B10103" s="73"/>
    </row>
    <row r="10104" spans="2:2" x14ac:dyDescent="0.25">
      <c r="B10104" s="73"/>
    </row>
    <row r="10105" spans="2:2" x14ac:dyDescent="0.25">
      <c r="B10105" s="73"/>
    </row>
    <row r="10106" spans="2:2" x14ac:dyDescent="0.25">
      <c r="B10106" s="73"/>
    </row>
    <row r="10107" spans="2:2" x14ac:dyDescent="0.25">
      <c r="B10107" s="73"/>
    </row>
    <row r="10108" spans="2:2" x14ac:dyDescent="0.25">
      <c r="B10108" s="73"/>
    </row>
    <row r="10109" spans="2:2" x14ac:dyDescent="0.25">
      <c r="B10109" s="73"/>
    </row>
    <row r="10110" spans="2:2" x14ac:dyDescent="0.25">
      <c r="B10110" s="73"/>
    </row>
    <row r="10111" spans="2:2" x14ac:dyDescent="0.25">
      <c r="B10111" s="73"/>
    </row>
    <row r="10112" spans="2:2" x14ac:dyDescent="0.25">
      <c r="B10112" s="73"/>
    </row>
    <row r="10113" spans="2:2" x14ac:dyDescent="0.25">
      <c r="B10113" s="73"/>
    </row>
    <row r="10114" spans="2:2" x14ac:dyDescent="0.25">
      <c r="B10114" s="73"/>
    </row>
    <row r="10115" spans="2:2" x14ac:dyDescent="0.25">
      <c r="B10115" s="73"/>
    </row>
    <row r="10116" spans="2:2" x14ac:dyDescent="0.25">
      <c r="B10116" s="73"/>
    </row>
    <row r="10117" spans="2:2" x14ac:dyDescent="0.25">
      <c r="B10117" s="73"/>
    </row>
    <row r="10118" spans="2:2" x14ac:dyDescent="0.25">
      <c r="B10118" s="73"/>
    </row>
    <row r="10119" spans="2:2" x14ac:dyDescent="0.25">
      <c r="B10119" s="73"/>
    </row>
    <row r="10120" spans="2:2" x14ac:dyDescent="0.25">
      <c r="B10120" s="73"/>
    </row>
    <row r="10121" spans="2:2" x14ac:dyDescent="0.25">
      <c r="B10121" s="73"/>
    </row>
    <row r="10122" spans="2:2" x14ac:dyDescent="0.25">
      <c r="B10122" s="73"/>
    </row>
    <row r="10123" spans="2:2" x14ac:dyDescent="0.25">
      <c r="B10123" s="73"/>
    </row>
    <row r="10124" spans="2:2" x14ac:dyDescent="0.25">
      <c r="B10124" s="73"/>
    </row>
    <row r="10125" spans="2:2" x14ac:dyDescent="0.25">
      <c r="B10125" s="73"/>
    </row>
    <row r="10126" spans="2:2" x14ac:dyDescent="0.25">
      <c r="B10126" s="73"/>
    </row>
    <row r="10127" spans="2:2" x14ac:dyDescent="0.25">
      <c r="B10127" s="73"/>
    </row>
    <row r="10128" spans="2:2" x14ac:dyDescent="0.25">
      <c r="B10128" s="73"/>
    </row>
    <row r="10129" spans="2:2" x14ac:dyDescent="0.25">
      <c r="B10129" s="73"/>
    </row>
    <row r="10130" spans="2:2" x14ac:dyDescent="0.25">
      <c r="B10130" s="73"/>
    </row>
    <row r="10131" spans="2:2" x14ac:dyDescent="0.25">
      <c r="B10131" s="73"/>
    </row>
    <row r="10132" spans="2:2" x14ac:dyDescent="0.25">
      <c r="B10132" s="73"/>
    </row>
    <row r="10133" spans="2:2" x14ac:dyDescent="0.25">
      <c r="B10133" s="73"/>
    </row>
    <row r="10134" spans="2:2" x14ac:dyDescent="0.25">
      <c r="B10134" s="73"/>
    </row>
    <row r="10135" spans="2:2" x14ac:dyDescent="0.25">
      <c r="B10135" s="73"/>
    </row>
    <row r="10136" spans="2:2" x14ac:dyDescent="0.25">
      <c r="B10136" s="73"/>
    </row>
    <row r="10137" spans="2:2" x14ac:dyDescent="0.25">
      <c r="B10137" s="73"/>
    </row>
    <row r="10138" spans="2:2" x14ac:dyDescent="0.25">
      <c r="B10138" s="73"/>
    </row>
    <row r="10139" spans="2:2" x14ac:dyDescent="0.25">
      <c r="B10139" s="73"/>
    </row>
    <row r="10140" spans="2:2" x14ac:dyDescent="0.25">
      <c r="B10140" s="73"/>
    </row>
    <row r="10141" spans="2:2" x14ac:dyDescent="0.25">
      <c r="B10141" s="73"/>
    </row>
    <row r="10142" spans="2:2" x14ac:dyDescent="0.25">
      <c r="B10142" s="73"/>
    </row>
    <row r="10143" spans="2:2" x14ac:dyDescent="0.25">
      <c r="B10143" s="73"/>
    </row>
    <row r="10144" spans="2:2" x14ac:dyDescent="0.25">
      <c r="B10144" s="73"/>
    </row>
    <row r="10145" spans="2:2" x14ac:dyDescent="0.25">
      <c r="B10145" s="73"/>
    </row>
    <row r="10146" spans="2:2" x14ac:dyDescent="0.25">
      <c r="B10146" s="73"/>
    </row>
    <row r="10147" spans="2:2" x14ac:dyDescent="0.25">
      <c r="B10147" s="73"/>
    </row>
    <row r="10148" spans="2:2" x14ac:dyDescent="0.25">
      <c r="B10148" s="73"/>
    </row>
    <row r="10149" spans="2:2" x14ac:dyDescent="0.25">
      <c r="B10149" s="73"/>
    </row>
    <row r="10150" spans="2:2" x14ac:dyDescent="0.25">
      <c r="B10150" s="73"/>
    </row>
    <row r="10151" spans="2:2" x14ac:dyDescent="0.25">
      <c r="B10151" s="73"/>
    </row>
    <row r="10152" spans="2:2" x14ac:dyDescent="0.25">
      <c r="B10152" s="73"/>
    </row>
    <row r="10153" spans="2:2" x14ac:dyDescent="0.25">
      <c r="B10153" s="73"/>
    </row>
    <row r="10154" spans="2:2" x14ac:dyDescent="0.25">
      <c r="B10154" s="73"/>
    </row>
    <row r="10155" spans="2:2" x14ac:dyDescent="0.25">
      <c r="B10155" s="73"/>
    </row>
    <row r="10156" spans="2:2" x14ac:dyDescent="0.25">
      <c r="B10156" s="73"/>
    </row>
    <row r="10157" spans="2:2" x14ac:dyDescent="0.25">
      <c r="B10157" s="73"/>
    </row>
    <row r="10158" spans="2:2" x14ac:dyDescent="0.25">
      <c r="B10158" s="73"/>
    </row>
    <row r="10159" spans="2:2" x14ac:dyDescent="0.25">
      <c r="B10159" s="73"/>
    </row>
    <row r="10160" spans="2:2" x14ac:dyDescent="0.25">
      <c r="B10160" s="73"/>
    </row>
    <row r="10161" spans="2:2" x14ac:dyDescent="0.25">
      <c r="B10161" s="73"/>
    </row>
    <row r="10162" spans="2:2" x14ac:dyDescent="0.25">
      <c r="B10162" s="73"/>
    </row>
    <row r="10163" spans="2:2" x14ac:dyDescent="0.25">
      <c r="B10163" s="73"/>
    </row>
    <row r="10164" spans="2:2" x14ac:dyDescent="0.25">
      <c r="B10164" s="73"/>
    </row>
    <row r="10165" spans="2:2" x14ac:dyDescent="0.25">
      <c r="B10165" s="73"/>
    </row>
    <row r="10166" spans="2:2" x14ac:dyDescent="0.25">
      <c r="B10166" s="73"/>
    </row>
    <row r="10167" spans="2:2" x14ac:dyDescent="0.25">
      <c r="B10167" s="73"/>
    </row>
    <row r="10168" spans="2:2" x14ac:dyDescent="0.25">
      <c r="B10168" s="73"/>
    </row>
    <row r="10169" spans="2:2" x14ac:dyDescent="0.25">
      <c r="B10169" s="73"/>
    </row>
    <row r="10170" spans="2:2" x14ac:dyDescent="0.25">
      <c r="B10170" s="73"/>
    </row>
    <row r="10171" spans="2:2" x14ac:dyDescent="0.25">
      <c r="B10171" s="73"/>
    </row>
    <row r="10172" spans="2:2" x14ac:dyDescent="0.25">
      <c r="B10172" s="73"/>
    </row>
    <row r="10173" spans="2:2" x14ac:dyDescent="0.25">
      <c r="B10173" s="73"/>
    </row>
    <row r="10174" spans="2:2" x14ac:dyDescent="0.25">
      <c r="B10174" s="73"/>
    </row>
    <row r="10175" spans="2:2" x14ac:dyDescent="0.25">
      <c r="B10175" s="73"/>
    </row>
    <row r="10176" spans="2:2" x14ac:dyDescent="0.25">
      <c r="B10176" s="73"/>
    </row>
    <row r="10177" spans="2:2" x14ac:dyDescent="0.25">
      <c r="B10177" s="73"/>
    </row>
    <row r="10178" spans="2:2" x14ac:dyDescent="0.25">
      <c r="B10178" s="73"/>
    </row>
    <row r="10179" spans="2:2" x14ac:dyDescent="0.25">
      <c r="B10179" s="73"/>
    </row>
    <row r="10180" spans="2:2" x14ac:dyDescent="0.25">
      <c r="B10180" s="73"/>
    </row>
    <row r="10181" spans="2:2" x14ac:dyDescent="0.25">
      <c r="B10181" s="73"/>
    </row>
    <row r="10182" spans="2:2" x14ac:dyDescent="0.25">
      <c r="B10182" s="73"/>
    </row>
    <row r="10183" spans="2:2" x14ac:dyDescent="0.25">
      <c r="B10183" s="73"/>
    </row>
    <row r="10184" spans="2:2" x14ac:dyDescent="0.25">
      <c r="B10184" s="73"/>
    </row>
    <row r="10185" spans="2:2" x14ac:dyDescent="0.25">
      <c r="B10185" s="73"/>
    </row>
    <row r="10186" spans="2:2" x14ac:dyDescent="0.25">
      <c r="B10186" s="73"/>
    </row>
    <row r="10187" spans="2:2" x14ac:dyDescent="0.25">
      <c r="B10187" s="73"/>
    </row>
    <row r="10188" spans="2:2" x14ac:dyDescent="0.25">
      <c r="B10188" s="73"/>
    </row>
    <row r="10189" spans="2:2" x14ac:dyDescent="0.25">
      <c r="B10189" s="73"/>
    </row>
    <row r="10190" spans="2:2" x14ac:dyDescent="0.25">
      <c r="B10190" s="73"/>
    </row>
    <row r="10191" spans="2:2" x14ac:dyDescent="0.25">
      <c r="B10191" s="73"/>
    </row>
    <row r="10192" spans="2:2" x14ac:dyDescent="0.25">
      <c r="B10192" s="73"/>
    </row>
    <row r="10193" spans="2:2" x14ac:dyDescent="0.25">
      <c r="B10193" s="73"/>
    </row>
    <row r="10194" spans="2:2" x14ac:dyDescent="0.25">
      <c r="B10194" s="73"/>
    </row>
    <row r="10195" spans="2:2" x14ac:dyDescent="0.25">
      <c r="B10195" s="73"/>
    </row>
    <row r="10196" spans="2:2" x14ac:dyDescent="0.25">
      <c r="B10196" s="73"/>
    </row>
    <row r="10197" spans="2:2" x14ac:dyDescent="0.25">
      <c r="B10197" s="73"/>
    </row>
    <row r="10198" spans="2:2" x14ac:dyDescent="0.25">
      <c r="B10198" s="73"/>
    </row>
    <row r="10199" spans="2:2" x14ac:dyDescent="0.25">
      <c r="B10199" s="73"/>
    </row>
    <row r="10200" spans="2:2" x14ac:dyDescent="0.25">
      <c r="B10200" s="73"/>
    </row>
    <row r="10201" spans="2:2" x14ac:dyDescent="0.25">
      <c r="B10201" s="73"/>
    </row>
    <row r="10202" spans="2:2" x14ac:dyDescent="0.25">
      <c r="B10202" s="73"/>
    </row>
    <row r="10203" spans="2:2" x14ac:dyDescent="0.25">
      <c r="B10203" s="73"/>
    </row>
    <row r="10204" spans="2:2" x14ac:dyDescent="0.25">
      <c r="B10204" s="73"/>
    </row>
    <row r="10205" spans="2:2" x14ac:dyDescent="0.25">
      <c r="B10205" s="73"/>
    </row>
    <row r="10206" spans="2:2" x14ac:dyDescent="0.25">
      <c r="B10206" s="73"/>
    </row>
    <row r="10207" spans="2:2" x14ac:dyDescent="0.25">
      <c r="B10207" s="73"/>
    </row>
    <row r="10208" spans="2:2" x14ac:dyDescent="0.25">
      <c r="B10208" s="73"/>
    </row>
    <row r="10209" spans="2:2" x14ac:dyDescent="0.25">
      <c r="B10209" s="73"/>
    </row>
    <row r="10210" spans="2:2" x14ac:dyDescent="0.25">
      <c r="B10210" s="73"/>
    </row>
    <row r="10211" spans="2:2" x14ac:dyDescent="0.25">
      <c r="B10211" s="73"/>
    </row>
    <row r="10212" spans="2:2" x14ac:dyDescent="0.25">
      <c r="B10212" s="73"/>
    </row>
    <row r="10213" spans="2:2" x14ac:dyDescent="0.25">
      <c r="B10213" s="73"/>
    </row>
    <row r="10214" spans="2:2" x14ac:dyDescent="0.25">
      <c r="B10214" s="73"/>
    </row>
    <row r="10215" spans="2:2" x14ac:dyDescent="0.25">
      <c r="B10215" s="73"/>
    </row>
    <row r="10216" spans="2:2" x14ac:dyDescent="0.25">
      <c r="B10216" s="73"/>
    </row>
    <row r="10217" spans="2:2" x14ac:dyDescent="0.25">
      <c r="B10217" s="73"/>
    </row>
    <row r="10218" spans="2:2" x14ac:dyDescent="0.25">
      <c r="B10218" s="73"/>
    </row>
    <row r="10219" spans="2:2" x14ac:dyDescent="0.25">
      <c r="B10219" s="73"/>
    </row>
    <row r="10220" spans="2:2" x14ac:dyDescent="0.25">
      <c r="B10220" s="73"/>
    </row>
    <row r="10221" spans="2:2" x14ac:dyDescent="0.25">
      <c r="B10221" s="73"/>
    </row>
    <row r="10222" spans="2:2" x14ac:dyDescent="0.25">
      <c r="B10222" s="73"/>
    </row>
    <row r="10223" spans="2:2" x14ac:dyDescent="0.25">
      <c r="B10223" s="73"/>
    </row>
    <row r="10224" spans="2:2" x14ac:dyDescent="0.25">
      <c r="B10224" s="73"/>
    </row>
    <row r="10225" spans="2:2" x14ac:dyDescent="0.25">
      <c r="B10225" s="73"/>
    </row>
    <row r="10226" spans="2:2" x14ac:dyDescent="0.25">
      <c r="B10226" s="73"/>
    </row>
    <row r="10227" spans="2:2" x14ac:dyDescent="0.25">
      <c r="B10227" s="73"/>
    </row>
    <row r="10228" spans="2:2" x14ac:dyDescent="0.25">
      <c r="B10228" s="73"/>
    </row>
    <row r="10229" spans="2:2" x14ac:dyDescent="0.25">
      <c r="B10229" s="73"/>
    </row>
    <row r="10230" spans="2:2" x14ac:dyDescent="0.25">
      <c r="B10230" s="73"/>
    </row>
    <row r="10231" spans="2:2" x14ac:dyDescent="0.25">
      <c r="B10231" s="73"/>
    </row>
    <row r="10232" spans="2:2" x14ac:dyDescent="0.25">
      <c r="B10232" s="73"/>
    </row>
    <row r="10233" spans="2:2" x14ac:dyDescent="0.25">
      <c r="B10233" s="73"/>
    </row>
    <row r="10234" spans="2:2" x14ac:dyDescent="0.25">
      <c r="B10234" s="73"/>
    </row>
    <row r="10235" spans="2:2" x14ac:dyDescent="0.25">
      <c r="B10235" s="73"/>
    </row>
    <row r="10236" spans="2:2" x14ac:dyDescent="0.25">
      <c r="B10236" s="73"/>
    </row>
    <row r="10237" spans="2:2" x14ac:dyDescent="0.25">
      <c r="B10237" s="73"/>
    </row>
    <row r="10238" spans="2:2" x14ac:dyDescent="0.25">
      <c r="B10238" s="73"/>
    </row>
    <row r="10239" spans="2:2" x14ac:dyDescent="0.25">
      <c r="B10239" s="73"/>
    </row>
    <row r="10240" spans="2:2" x14ac:dyDescent="0.25">
      <c r="B10240" s="73"/>
    </row>
    <row r="10241" spans="2:2" x14ac:dyDescent="0.25">
      <c r="B10241" s="73"/>
    </row>
    <row r="10242" spans="2:2" x14ac:dyDescent="0.25">
      <c r="B10242" s="73"/>
    </row>
    <row r="10243" spans="2:2" x14ac:dyDescent="0.25">
      <c r="B10243" s="73"/>
    </row>
    <row r="10244" spans="2:2" x14ac:dyDescent="0.25">
      <c r="B10244" s="73"/>
    </row>
    <row r="10245" spans="2:2" x14ac:dyDescent="0.25">
      <c r="B10245" s="73"/>
    </row>
    <row r="10246" spans="2:2" x14ac:dyDescent="0.25">
      <c r="B10246" s="73"/>
    </row>
    <row r="10247" spans="2:2" x14ac:dyDescent="0.25">
      <c r="B10247" s="73"/>
    </row>
    <row r="10248" spans="2:2" x14ac:dyDescent="0.25">
      <c r="B10248" s="73"/>
    </row>
    <row r="10249" spans="2:2" x14ac:dyDescent="0.25">
      <c r="B10249" s="73"/>
    </row>
    <row r="10250" spans="2:2" x14ac:dyDescent="0.25">
      <c r="B10250" s="73"/>
    </row>
    <row r="10251" spans="2:2" x14ac:dyDescent="0.25">
      <c r="B10251" s="73"/>
    </row>
    <row r="10252" spans="2:2" x14ac:dyDescent="0.25">
      <c r="B10252" s="73"/>
    </row>
    <row r="10253" spans="2:2" x14ac:dyDescent="0.25">
      <c r="B10253" s="73"/>
    </row>
    <row r="10254" spans="2:2" x14ac:dyDescent="0.25">
      <c r="B10254" s="73"/>
    </row>
    <row r="10255" spans="2:2" x14ac:dyDescent="0.25">
      <c r="B10255" s="73"/>
    </row>
    <row r="10256" spans="2:2" x14ac:dyDescent="0.25">
      <c r="B10256" s="73"/>
    </row>
    <row r="10257" spans="2:2" x14ac:dyDescent="0.25">
      <c r="B10257" s="73"/>
    </row>
    <row r="10258" spans="2:2" x14ac:dyDescent="0.25">
      <c r="B10258" s="73"/>
    </row>
    <row r="10259" spans="2:2" x14ac:dyDescent="0.25">
      <c r="B10259" s="73"/>
    </row>
    <row r="10260" spans="2:2" x14ac:dyDescent="0.25">
      <c r="B10260" s="73"/>
    </row>
    <row r="10261" spans="2:2" x14ac:dyDescent="0.25">
      <c r="B10261" s="73"/>
    </row>
    <row r="10262" spans="2:2" x14ac:dyDescent="0.25">
      <c r="B10262" s="73"/>
    </row>
    <row r="10263" spans="2:2" x14ac:dyDescent="0.25">
      <c r="B10263" s="73"/>
    </row>
    <row r="10264" spans="2:2" x14ac:dyDescent="0.25">
      <c r="B10264" s="73"/>
    </row>
    <row r="10265" spans="2:2" x14ac:dyDescent="0.25">
      <c r="B10265" s="73"/>
    </row>
    <row r="10266" spans="2:2" x14ac:dyDescent="0.25">
      <c r="B10266" s="73"/>
    </row>
    <row r="10267" spans="2:2" x14ac:dyDescent="0.25">
      <c r="B10267" s="73"/>
    </row>
    <row r="10268" spans="2:2" x14ac:dyDescent="0.25">
      <c r="B10268" s="73"/>
    </row>
    <row r="10269" spans="2:2" x14ac:dyDescent="0.25">
      <c r="B10269" s="73"/>
    </row>
    <row r="10270" spans="2:2" x14ac:dyDescent="0.25">
      <c r="B10270" s="73"/>
    </row>
    <row r="10271" spans="2:2" x14ac:dyDescent="0.25">
      <c r="B10271" s="73"/>
    </row>
    <row r="10272" spans="2:2" x14ac:dyDescent="0.25">
      <c r="B10272" s="73"/>
    </row>
    <row r="10273" spans="2:2" x14ac:dyDescent="0.25">
      <c r="B10273" s="73"/>
    </row>
    <row r="10274" spans="2:2" x14ac:dyDescent="0.25">
      <c r="B10274" s="73"/>
    </row>
    <row r="10275" spans="2:2" x14ac:dyDescent="0.25">
      <c r="B10275" s="73"/>
    </row>
    <row r="10276" spans="2:2" x14ac:dyDescent="0.25">
      <c r="B10276" s="73"/>
    </row>
    <row r="10277" spans="2:2" x14ac:dyDescent="0.25">
      <c r="B10277" s="73"/>
    </row>
    <row r="10278" spans="2:2" x14ac:dyDescent="0.25">
      <c r="B10278" s="73"/>
    </row>
    <row r="10279" spans="2:2" x14ac:dyDescent="0.25">
      <c r="B10279" s="73"/>
    </row>
    <row r="10280" spans="2:2" x14ac:dyDescent="0.25">
      <c r="B10280" s="73"/>
    </row>
    <row r="10281" spans="2:2" x14ac:dyDescent="0.25">
      <c r="B10281" s="73"/>
    </row>
    <row r="10282" spans="2:2" x14ac:dyDescent="0.25">
      <c r="B10282" s="73"/>
    </row>
    <row r="10283" spans="2:2" x14ac:dyDescent="0.25">
      <c r="B10283" s="73"/>
    </row>
    <row r="10284" spans="2:2" x14ac:dyDescent="0.25">
      <c r="B10284" s="73"/>
    </row>
    <row r="10285" spans="2:2" x14ac:dyDescent="0.25">
      <c r="B10285" s="73"/>
    </row>
    <row r="10286" spans="2:2" x14ac:dyDescent="0.25">
      <c r="B10286" s="73"/>
    </row>
    <row r="10287" spans="2:2" x14ac:dyDescent="0.25">
      <c r="B10287" s="73"/>
    </row>
    <row r="10288" spans="2:2" x14ac:dyDescent="0.25">
      <c r="B10288" s="73"/>
    </row>
    <row r="10289" spans="2:2" x14ac:dyDescent="0.25">
      <c r="B10289" s="73"/>
    </row>
    <row r="10290" spans="2:2" x14ac:dyDescent="0.25">
      <c r="B10290" s="73"/>
    </row>
    <row r="10291" spans="2:2" x14ac:dyDescent="0.25">
      <c r="B10291" s="73"/>
    </row>
    <row r="10292" spans="2:2" x14ac:dyDescent="0.25">
      <c r="B10292" s="73"/>
    </row>
    <row r="10293" spans="2:2" x14ac:dyDescent="0.25">
      <c r="B10293" s="73"/>
    </row>
    <row r="10294" spans="2:2" x14ac:dyDescent="0.25">
      <c r="B10294" s="73"/>
    </row>
    <row r="10295" spans="2:2" x14ac:dyDescent="0.25">
      <c r="B10295" s="73"/>
    </row>
    <row r="10296" spans="2:2" x14ac:dyDescent="0.25">
      <c r="B10296" s="73"/>
    </row>
    <row r="10297" spans="2:2" x14ac:dyDescent="0.25">
      <c r="B10297" s="73"/>
    </row>
    <row r="10298" spans="2:2" x14ac:dyDescent="0.25">
      <c r="B10298" s="73"/>
    </row>
    <row r="10299" spans="2:2" x14ac:dyDescent="0.25">
      <c r="B10299" s="73"/>
    </row>
    <row r="10300" spans="2:2" x14ac:dyDescent="0.25">
      <c r="B10300" s="73"/>
    </row>
    <row r="10301" spans="2:2" x14ac:dyDescent="0.25">
      <c r="B10301" s="73"/>
    </row>
    <row r="10302" spans="2:2" x14ac:dyDescent="0.25">
      <c r="B10302" s="73"/>
    </row>
    <row r="10303" spans="2:2" x14ac:dyDescent="0.25">
      <c r="B10303" s="73"/>
    </row>
    <row r="10304" spans="2:2" x14ac:dyDescent="0.25">
      <c r="B10304" s="73"/>
    </row>
    <row r="10305" spans="2:2" x14ac:dyDescent="0.25">
      <c r="B10305" s="73"/>
    </row>
    <row r="10306" spans="2:2" x14ac:dyDescent="0.25">
      <c r="B10306" s="73"/>
    </row>
    <row r="10307" spans="2:2" x14ac:dyDescent="0.25">
      <c r="B10307" s="73"/>
    </row>
    <row r="10308" spans="2:2" x14ac:dyDescent="0.25">
      <c r="B10308" s="73"/>
    </row>
    <row r="10309" spans="2:2" x14ac:dyDescent="0.25">
      <c r="B10309" s="73"/>
    </row>
    <row r="10310" spans="2:2" x14ac:dyDescent="0.25">
      <c r="B10310" s="73"/>
    </row>
    <row r="10311" spans="2:2" x14ac:dyDescent="0.25">
      <c r="B10311" s="73"/>
    </row>
    <row r="10312" spans="2:2" x14ac:dyDescent="0.25">
      <c r="B10312" s="73"/>
    </row>
    <row r="10313" spans="2:2" x14ac:dyDescent="0.25">
      <c r="B10313" s="73"/>
    </row>
    <row r="10314" spans="2:2" x14ac:dyDescent="0.25">
      <c r="B10314" s="73"/>
    </row>
    <row r="10315" spans="2:2" x14ac:dyDescent="0.25">
      <c r="B10315" s="73"/>
    </row>
    <row r="10316" spans="2:2" x14ac:dyDescent="0.25">
      <c r="B10316" s="73"/>
    </row>
    <row r="10317" spans="2:2" x14ac:dyDescent="0.25">
      <c r="B10317" s="73"/>
    </row>
    <row r="10318" spans="2:2" x14ac:dyDescent="0.25">
      <c r="B10318" s="73"/>
    </row>
    <row r="10319" spans="2:2" x14ac:dyDescent="0.25">
      <c r="B10319" s="73"/>
    </row>
    <row r="10320" spans="2:2" x14ac:dyDescent="0.25">
      <c r="B10320" s="73"/>
    </row>
    <row r="10321" spans="2:2" x14ac:dyDescent="0.25">
      <c r="B10321" s="73"/>
    </row>
    <row r="10322" spans="2:2" x14ac:dyDescent="0.25">
      <c r="B10322" s="73"/>
    </row>
    <row r="10323" spans="2:2" x14ac:dyDescent="0.25">
      <c r="B10323" s="73"/>
    </row>
    <row r="10324" spans="2:2" x14ac:dyDescent="0.25">
      <c r="B10324" s="73"/>
    </row>
    <row r="10325" spans="2:2" x14ac:dyDescent="0.25">
      <c r="B10325" s="73"/>
    </row>
    <row r="10326" spans="2:2" x14ac:dyDescent="0.25">
      <c r="B10326" s="73"/>
    </row>
    <row r="10327" spans="2:2" x14ac:dyDescent="0.25">
      <c r="B10327" s="73"/>
    </row>
    <row r="10328" spans="2:2" x14ac:dyDescent="0.25">
      <c r="B10328" s="73"/>
    </row>
    <row r="10329" spans="2:2" x14ac:dyDescent="0.25">
      <c r="B10329" s="73"/>
    </row>
    <row r="10330" spans="2:2" x14ac:dyDescent="0.25">
      <c r="B10330" s="73"/>
    </row>
    <row r="10331" spans="2:2" x14ac:dyDescent="0.25">
      <c r="B10331" s="73"/>
    </row>
    <row r="10332" spans="2:2" x14ac:dyDescent="0.25">
      <c r="B10332" s="73"/>
    </row>
    <row r="10333" spans="2:2" x14ac:dyDescent="0.25">
      <c r="B10333" s="73"/>
    </row>
    <row r="10334" spans="2:2" x14ac:dyDescent="0.25">
      <c r="B10334" s="73"/>
    </row>
    <row r="10335" spans="2:2" x14ac:dyDescent="0.25">
      <c r="B10335" s="73"/>
    </row>
    <row r="10336" spans="2:2" x14ac:dyDescent="0.25">
      <c r="B10336" s="73"/>
    </row>
    <row r="10337" spans="2:2" x14ac:dyDescent="0.25">
      <c r="B10337" s="73"/>
    </row>
    <row r="10338" spans="2:2" x14ac:dyDescent="0.25">
      <c r="B10338" s="73"/>
    </row>
    <row r="10339" spans="2:2" x14ac:dyDescent="0.25">
      <c r="B10339" s="73"/>
    </row>
    <row r="10340" spans="2:2" x14ac:dyDescent="0.25">
      <c r="B10340" s="73"/>
    </row>
    <row r="10341" spans="2:2" x14ac:dyDescent="0.25">
      <c r="B10341" s="73"/>
    </row>
    <row r="10342" spans="2:2" x14ac:dyDescent="0.25">
      <c r="B10342" s="73"/>
    </row>
    <row r="10343" spans="2:2" x14ac:dyDescent="0.25">
      <c r="B10343" s="73"/>
    </row>
    <row r="10344" spans="2:2" x14ac:dyDescent="0.25">
      <c r="B10344" s="73"/>
    </row>
    <row r="10345" spans="2:2" x14ac:dyDescent="0.25">
      <c r="B10345" s="73"/>
    </row>
    <row r="10346" spans="2:2" x14ac:dyDescent="0.25">
      <c r="B10346" s="73"/>
    </row>
    <row r="10347" spans="2:2" x14ac:dyDescent="0.25">
      <c r="B10347" s="73"/>
    </row>
    <row r="10348" spans="2:2" x14ac:dyDescent="0.25">
      <c r="B10348" s="73"/>
    </row>
    <row r="10349" spans="2:2" x14ac:dyDescent="0.25">
      <c r="B10349" s="73"/>
    </row>
    <row r="10350" spans="2:2" x14ac:dyDescent="0.25">
      <c r="B10350" s="73"/>
    </row>
    <row r="10351" spans="2:2" x14ac:dyDescent="0.25">
      <c r="B10351" s="73"/>
    </row>
    <row r="10352" spans="2:2" x14ac:dyDescent="0.25">
      <c r="B10352" s="73"/>
    </row>
    <row r="10353" spans="2:2" x14ac:dyDescent="0.25">
      <c r="B10353" s="73"/>
    </row>
    <row r="10354" spans="2:2" x14ac:dyDescent="0.25">
      <c r="B10354" s="73"/>
    </row>
    <row r="10355" spans="2:2" x14ac:dyDescent="0.25">
      <c r="B10355" s="73"/>
    </row>
    <row r="10356" spans="2:2" x14ac:dyDescent="0.25">
      <c r="B10356" s="73"/>
    </row>
    <row r="10357" spans="2:2" x14ac:dyDescent="0.25">
      <c r="B10357" s="73"/>
    </row>
    <row r="10358" spans="2:2" x14ac:dyDescent="0.25">
      <c r="B10358" s="73"/>
    </row>
    <row r="10359" spans="2:2" x14ac:dyDescent="0.25">
      <c r="B10359" s="73"/>
    </row>
    <row r="10360" spans="2:2" x14ac:dyDescent="0.25">
      <c r="B10360" s="73"/>
    </row>
    <row r="10361" spans="2:2" x14ac:dyDescent="0.25">
      <c r="B10361" s="73"/>
    </row>
    <row r="10362" spans="2:2" x14ac:dyDescent="0.25">
      <c r="B10362" s="73"/>
    </row>
    <row r="10363" spans="2:2" x14ac:dyDescent="0.25">
      <c r="B10363" s="73"/>
    </row>
    <row r="10364" spans="2:2" x14ac:dyDescent="0.25">
      <c r="B10364" s="73"/>
    </row>
    <row r="10365" spans="2:2" x14ac:dyDescent="0.25">
      <c r="B10365" s="73"/>
    </row>
    <row r="10366" spans="2:2" x14ac:dyDescent="0.25">
      <c r="B10366" s="73"/>
    </row>
    <row r="10367" spans="2:2" x14ac:dyDescent="0.25">
      <c r="B10367" s="73"/>
    </row>
    <row r="10368" spans="2:2" x14ac:dyDescent="0.25">
      <c r="B10368" s="73"/>
    </row>
    <row r="10369" spans="2:2" x14ac:dyDescent="0.25">
      <c r="B10369" s="73"/>
    </row>
    <row r="10370" spans="2:2" x14ac:dyDescent="0.25">
      <c r="B10370" s="73"/>
    </row>
    <row r="10371" spans="2:2" x14ac:dyDescent="0.25">
      <c r="B10371" s="73"/>
    </row>
    <row r="10372" spans="2:2" x14ac:dyDescent="0.25">
      <c r="B10372" s="73"/>
    </row>
    <row r="10373" spans="2:2" x14ac:dyDescent="0.25">
      <c r="B10373" s="73"/>
    </row>
    <row r="10374" spans="2:2" x14ac:dyDescent="0.25">
      <c r="B10374" s="73"/>
    </row>
    <row r="10375" spans="2:2" x14ac:dyDescent="0.25">
      <c r="B10375" s="73"/>
    </row>
    <row r="10376" spans="2:2" x14ac:dyDescent="0.25">
      <c r="B10376" s="73"/>
    </row>
    <row r="10377" spans="2:2" x14ac:dyDescent="0.25">
      <c r="B10377" s="73"/>
    </row>
    <row r="10378" spans="2:2" x14ac:dyDescent="0.25">
      <c r="B10378" s="73"/>
    </row>
    <row r="10379" spans="2:2" x14ac:dyDescent="0.25">
      <c r="B10379" s="73"/>
    </row>
    <row r="10380" spans="2:2" x14ac:dyDescent="0.25">
      <c r="B10380" s="73"/>
    </row>
    <row r="10381" spans="2:2" x14ac:dyDescent="0.25">
      <c r="B10381" s="73"/>
    </row>
    <row r="10382" spans="2:2" x14ac:dyDescent="0.25">
      <c r="B10382" s="73"/>
    </row>
    <row r="10383" spans="2:2" x14ac:dyDescent="0.25">
      <c r="B10383" s="73"/>
    </row>
    <row r="10384" spans="2:2" x14ac:dyDescent="0.25">
      <c r="B10384" s="73"/>
    </row>
    <row r="10385" spans="2:2" x14ac:dyDescent="0.25">
      <c r="B10385" s="73"/>
    </row>
    <row r="10386" spans="2:2" x14ac:dyDescent="0.25">
      <c r="B10386" s="73"/>
    </row>
    <row r="10387" spans="2:2" x14ac:dyDescent="0.25">
      <c r="B10387" s="73"/>
    </row>
    <row r="10388" spans="2:2" x14ac:dyDescent="0.25">
      <c r="B10388" s="73"/>
    </row>
    <row r="10389" spans="2:2" x14ac:dyDescent="0.25">
      <c r="B10389" s="73"/>
    </row>
    <row r="10390" spans="2:2" x14ac:dyDescent="0.25">
      <c r="B10390" s="73"/>
    </row>
    <row r="10391" spans="2:2" x14ac:dyDescent="0.25">
      <c r="B10391" s="73"/>
    </row>
    <row r="10392" spans="2:2" x14ac:dyDescent="0.25">
      <c r="B10392" s="73"/>
    </row>
    <row r="10393" spans="2:2" x14ac:dyDescent="0.25">
      <c r="B10393" s="73"/>
    </row>
    <row r="10394" spans="2:2" x14ac:dyDescent="0.25">
      <c r="B10394" s="73"/>
    </row>
    <row r="10395" spans="2:2" x14ac:dyDescent="0.25">
      <c r="B10395" s="73"/>
    </row>
    <row r="10396" spans="2:2" x14ac:dyDescent="0.25">
      <c r="B10396" s="73"/>
    </row>
    <row r="10397" spans="2:2" x14ac:dyDescent="0.25">
      <c r="B10397" s="73"/>
    </row>
    <row r="10398" spans="2:2" x14ac:dyDescent="0.25">
      <c r="B10398" s="73"/>
    </row>
    <row r="10399" spans="2:2" x14ac:dyDescent="0.25">
      <c r="B10399" s="73"/>
    </row>
    <row r="10400" spans="2:2" x14ac:dyDescent="0.25">
      <c r="B10400" s="73"/>
    </row>
    <row r="10401" spans="2:2" x14ac:dyDescent="0.25">
      <c r="B10401" s="73"/>
    </row>
    <row r="10402" spans="2:2" x14ac:dyDescent="0.25">
      <c r="B10402" s="73"/>
    </row>
    <row r="10403" spans="2:2" x14ac:dyDescent="0.25">
      <c r="B10403" s="73"/>
    </row>
    <row r="10404" spans="2:2" x14ac:dyDescent="0.25">
      <c r="B10404" s="73"/>
    </row>
    <row r="10405" spans="2:2" x14ac:dyDescent="0.25">
      <c r="B10405" s="73"/>
    </row>
    <row r="10406" spans="2:2" x14ac:dyDescent="0.25">
      <c r="B10406" s="73"/>
    </row>
    <row r="10407" spans="2:2" x14ac:dyDescent="0.25">
      <c r="B10407" s="73"/>
    </row>
    <row r="10408" spans="2:2" x14ac:dyDescent="0.25">
      <c r="B10408" s="73"/>
    </row>
    <row r="10409" spans="2:2" x14ac:dyDescent="0.25">
      <c r="B10409" s="73"/>
    </row>
    <row r="10410" spans="2:2" x14ac:dyDescent="0.25">
      <c r="B10410" s="73"/>
    </row>
    <row r="10411" spans="2:2" x14ac:dyDescent="0.25">
      <c r="B10411" s="73"/>
    </row>
    <row r="10412" spans="2:2" x14ac:dyDescent="0.25">
      <c r="B10412" s="73"/>
    </row>
    <row r="10413" spans="2:2" x14ac:dyDescent="0.25">
      <c r="B10413" s="73"/>
    </row>
    <row r="10414" spans="2:2" x14ac:dyDescent="0.25">
      <c r="B10414" s="73"/>
    </row>
    <row r="10415" spans="2:2" x14ac:dyDescent="0.25">
      <c r="B10415" s="73"/>
    </row>
    <row r="10416" spans="2:2" x14ac:dyDescent="0.25">
      <c r="B10416" s="73"/>
    </row>
    <row r="10417" spans="2:2" x14ac:dyDescent="0.25">
      <c r="B10417" s="73"/>
    </row>
    <row r="10418" spans="2:2" x14ac:dyDescent="0.25">
      <c r="B10418" s="73"/>
    </row>
    <row r="10419" spans="2:2" x14ac:dyDescent="0.25">
      <c r="B10419" s="73"/>
    </row>
    <row r="10420" spans="2:2" x14ac:dyDescent="0.25">
      <c r="B10420" s="73"/>
    </row>
    <row r="10421" spans="2:2" x14ac:dyDescent="0.25">
      <c r="B10421" s="73"/>
    </row>
    <row r="10422" spans="2:2" x14ac:dyDescent="0.25">
      <c r="B10422" s="73"/>
    </row>
    <row r="10423" spans="2:2" x14ac:dyDescent="0.25">
      <c r="B10423" s="73"/>
    </row>
    <row r="10424" spans="2:2" x14ac:dyDescent="0.25">
      <c r="B10424" s="73"/>
    </row>
    <row r="10425" spans="2:2" x14ac:dyDescent="0.25">
      <c r="B10425" s="73"/>
    </row>
    <row r="10426" spans="2:2" x14ac:dyDescent="0.25">
      <c r="B10426" s="73"/>
    </row>
    <row r="10427" spans="2:2" x14ac:dyDescent="0.25">
      <c r="B10427" s="73"/>
    </row>
    <row r="10428" spans="2:2" x14ac:dyDescent="0.25">
      <c r="B10428" s="73"/>
    </row>
    <row r="10429" spans="2:2" x14ac:dyDescent="0.25">
      <c r="B10429" s="73"/>
    </row>
    <row r="10430" spans="2:2" x14ac:dyDescent="0.25">
      <c r="B10430" s="73"/>
    </row>
    <row r="10431" spans="2:2" x14ac:dyDescent="0.25">
      <c r="B10431" s="73"/>
    </row>
    <row r="10432" spans="2:2" x14ac:dyDescent="0.25">
      <c r="B10432" s="73"/>
    </row>
    <row r="10433" spans="2:2" x14ac:dyDescent="0.25">
      <c r="B10433" s="73"/>
    </row>
    <row r="10434" spans="2:2" x14ac:dyDescent="0.25">
      <c r="B10434" s="73"/>
    </row>
    <row r="10435" spans="2:2" x14ac:dyDescent="0.25">
      <c r="B10435" s="73"/>
    </row>
    <row r="10436" spans="2:2" x14ac:dyDescent="0.25">
      <c r="B10436" s="73"/>
    </row>
    <row r="10437" spans="2:2" x14ac:dyDescent="0.25">
      <c r="B10437" s="73"/>
    </row>
    <row r="10438" spans="2:2" x14ac:dyDescent="0.25">
      <c r="B10438" s="73"/>
    </row>
    <row r="10439" spans="2:2" x14ac:dyDescent="0.25">
      <c r="B10439" s="73"/>
    </row>
    <row r="10440" spans="2:2" x14ac:dyDescent="0.25">
      <c r="B10440" s="73"/>
    </row>
    <row r="10441" spans="2:2" x14ac:dyDescent="0.25">
      <c r="B10441" s="73"/>
    </row>
    <row r="10442" spans="2:2" x14ac:dyDescent="0.25">
      <c r="B10442" s="73"/>
    </row>
    <row r="10443" spans="2:2" x14ac:dyDescent="0.25">
      <c r="B10443" s="73"/>
    </row>
    <row r="10444" spans="2:2" x14ac:dyDescent="0.25">
      <c r="B10444" s="73"/>
    </row>
    <row r="10445" spans="2:2" x14ac:dyDescent="0.25">
      <c r="B10445" s="73"/>
    </row>
    <row r="10446" spans="2:2" x14ac:dyDescent="0.25">
      <c r="B10446" s="73"/>
    </row>
    <row r="10447" spans="2:2" x14ac:dyDescent="0.25">
      <c r="B10447" s="73"/>
    </row>
    <row r="10448" spans="2:2" x14ac:dyDescent="0.25">
      <c r="B10448" s="73"/>
    </row>
    <row r="10449" spans="2:2" x14ac:dyDescent="0.25">
      <c r="B10449" s="73"/>
    </row>
    <row r="10450" spans="2:2" x14ac:dyDescent="0.25">
      <c r="B10450" s="73"/>
    </row>
    <row r="10451" spans="2:2" x14ac:dyDescent="0.25">
      <c r="B10451" s="73"/>
    </row>
    <row r="10452" spans="2:2" x14ac:dyDescent="0.25">
      <c r="B10452" s="73"/>
    </row>
    <row r="10453" spans="2:2" x14ac:dyDescent="0.25">
      <c r="B10453" s="73"/>
    </row>
    <row r="10454" spans="2:2" x14ac:dyDescent="0.25">
      <c r="B10454" s="73"/>
    </row>
    <row r="10455" spans="2:2" x14ac:dyDescent="0.25">
      <c r="B10455" s="73"/>
    </row>
    <row r="10456" spans="2:2" x14ac:dyDescent="0.25">
      <c r="B10456" s="73"/>
    </row>
    <row r="10457" spans="2:2" x14ac:dyDescent="0.25">
      <c r="B10457" s="73"/>
    </row>
    <row r="10458" spans="2:2" x14ac:dyDescent="0.25">
      <c r="B10458" s="73"/>
    </row>
    <row r="10459" spans="2:2" x14ac:dyDescent="0.25">
      <c r="B10459" s="73"/>
    </row>
    <row r="10460" spans="2:2" x14ac:dyDescent="0.25">
      <c r="B10460" s="73"/>
    </row>
    <row r="10461" spans="2:2" x14ac:dyDescent="0.25">
      <c r="B10461" s="73"/>
    </row>
    <row r="10462" spans="2:2" x14ac:dyDescent="0.25">
      <c r="B10462" s="73"/>
    </row>
    <row r="10463" spans="2:2" x14ac:dyDescent="0.25">
      <c r="B10463" s="73"/>
    </row>
    <row r="10464" spans="2:2" x14ac:dyDescent="0.25">
      <c r="B10464" s="73"/>
    </row>
    <row r="10465" spans="2:2" x14ac:dyDescent="0.25">
      <c r="B10465" s="73"/>
    </row>
    <row r="10466" spans="2:2" x14ac:dyDescent="0.25">
      <c r="B10466" s="73"/>
    </row>
    <row r="10467" spans="2:2" x14ac:dyDescent="0.25">
      <c r="B10467" s="73"/>
    </row>
    <row r="10468" spans="2:2" x14ac:dyDescent="0.25">
      <c r="B10468" s="73"/>
    </row>
    <row r="10469" spans="2:2" x14ac:dyDescent="0.25">
      <c r="B10469" s="73"/>
    </row>
    <row r="10470" spans="2:2" x14ac:dyDescent="0.25">
      <c r="B10470" s="73"/>
    </row>
    <row r="10471" spans="2:2" x14ac:dyDescent="0.25">
      <c r="B10471" s="73"/>
    </row>
    <row r="10472" spans="2:2" x14ac:dyDescent="0.25">
      <c r="B10472" s="73"/>
    </row>
    <row r="10473" spans="2:2" x14ac:dyDescent="0.25">
      <c r="B10473" s="73"/>
    </row>
    <row r="10474" spans="2:2" x14ac:dyDescent="0.25">
      <c r="B10474" s="73"/>
    </row>
    <row r="10475" spans="2:2" x14ac:dyDescent="0.25">
      <c r="B10475" s="73"/>
    </row>
    <row r="10476" spans="2:2" x14ac:dyDescent="0.25">
      <c r="B10476" s="73"/>
    </row>
    <row r="10477" spans="2:2" x14ac:dyDescent="0.25">
      <c r="B10477" s="73"/>
    </row>
    <row r="10478" spans="2:2" x14ac:dyDescent="0.25">
      <c r="B10478" s="73"/>
    </row>
    <row r="10479" spans="2:2" x14ac:dyDescent="0.25">
      <c r="B10479" s="73"/>
    </row>
    <row r="10480" spans="2:2" x14ac:dyDescent="0.25">
      <c r="B10480" s="73"/>
    </row>
    <row r="10481" spans="2:2" x14ac:dyDescent="0.25">
      <c r="B10481" s="73"/>
    </row>
    <row r="10482" spans="2:2" x14ac:dyDescent="0.25">
      <c r="B10482" s="73"/>
    </row>
    <row r="10483" spans="2:2" x14ac:dyDescent="0.25">
      <c r="B10483" s="73"/>
    </row>
    <row r="10484" spans="2:2" x14ac:dyDescent="0.25">
      <c r="B10484" s="73"/>
    </row>
    <row r="10485" spans="2:2" x14ac:dyDescent="0.25">
      <c r="B10485" s="73"/>
    </row>
    <row r="10486" spans="2:2" x14ac:dyDescent="0.25">
      <c r="B10486" s="73"/>
    </row>
    <row r="10487" spans="2:2" x14ac:dyDescent="0.25">
      <c r="B10487" s="73"/>
    </row>
    <row r="10488" spans="2:2" x14ac:dyDescent="0.25">
      <c r="B10488" s="73"/>
    </row>
    <row r="10489" spans="2:2" x14ac:dyDescent="0.25">
      <c r="B10489" s="73"/>
    </row>
    <row r="10490" spans="2:2" x14ac:dyDescent="0.25">
      <c r="B10490" s="73"/>
    </row>
    <row r="10491" spans="2:2" x14ac:dyDescent="0.25">
      <c r="B10491" s="73"/>
    </row>
    <row r="10492" spans="2:2" x14ac:dyDescent="0.25">
      <c r="B10492" s="73"/>
    </row>
    <row r="10493" spans="2:2" x14ac:dyDescent="0.25">
      <c r="B10493" s="73"/>
    </row>
    <row r="10494" spans="2:2" x14ac:dyDescent="0.25">
      <c r="B10494" s="73"/>
    </row>
    <row r="10495" spans="2:2" x14ac:dyDescent="0.25">
      <c r="B10495" s="73"/>
    </row>
    <row r="10496" spans="2:2" x14ac:dyDescent="0.25">
      <c r="B10496" s="73"/>
    </row>
    <row r="10497" spans="2:2" x14ac:dyDescent="0.25">
      <c r="B10497" s="73"/>
    </row>
    <row r="10498" spans="2:2" x14ac:dyDescent="0.25">
      <c r="B10498" s="73"/>
    </row>
    <row r="10499" spans="2:2" x14ac:dyDescent="0.25">
      <c r="B10499" s="73"/>
    </row>
    <row r="10500" spans="2:2" x14ac:dyDescent="0.25">
      <c r="B10500" s="73"/>
    </row>
    <row r="10501" spans="2:2" x14ac:dyDescent="0.25">
      <c r="B10501" s="73"/>
    </row>
    <row r="10502" spans="2:2" x14ac:dyDescent="0.25">
      <c r="B10502" s="73"/>
    </row>
    <row r="10503" spans="2:2" x14ac:dyDescent="0.25">
      <c r="B10503" s="73"/>
    </row>
    <row r="10504" spans="2:2" x14ac:dyDescent="0.25">
      <c r="B10504" s="73"/>
    </row>
    <row r="10505" spans="2:2" x14ac:dyDescent="0.25">
      <c r="B10505" s="73"/>
    </row>
    <row r="10506" spans="2:2" x14ac:dyDescent="0.25">
      <c r="B10506" s="73"/>
    </row>
    <row r="10507" spans="2:2" x14ac:dyDescent="0.25">
      <c r="B10507" s="73"/>
    </row>
    <row r="10508" spans="2:2" x14ac:dyDescent="0.25">
      <c r="B10508" s="73"/>
    </row>
    <row r="10509" spans="2:2" x14ac:dyDescent="0.25">
      <c r="B10509" s="73"/>
    </row>
    <row r="10510" spans="2:2" x14ac:dyDescent="0.25">
      <c r="B10510" s="73"/>
    </row>
    <row r="10511" spans="2:2" x14ac:dyDescent="0.25">
      <c r="B10511" s="73"/>
    </row>
    <row r="10512" spans="2:2" x14ac:dyDescent="0.25">
      <c r="B10512" s="73"/>
    </row>
    <row r="10513" spans="2:2" x14ac:dyDescent="0.25">
      <c r="B10513" s="73"/>
    </row>
    <row r="10514" spans="2:2" x14ac:dyDescent="0.25">
      <c r="B10514" s="73"/>
    </row>
    <row r="10515" spans="2:2" x14ac:dyDescent="0.25">
      <c r="B10515" s="73"/>
    </row>
    <row r="10516" spans="2:2" x14ac:dyDescent="0.25">
      <c r="B10516" s="73"/>
    </row>
    <row r="10517" spans="2:2" x14ac:dyDescent="0.25">
      <c r="B10517" s="73"/>
    </row>
    <row r="10518" spans="2:2" x14ac:dyDescent="0.25">
      <c r="B10518" s="73"/>
    </row>
    <row r="10519" spans="2:2" x14ac:dyDescent="0.25">
      <c r="B10519" s="73"/>
    </row>
    <row r="10520" spans="2:2" x14ac:dyDescent="0.25">
      <c r="B10520" s="73"/>
    </row>
    <row r="10521" spans="2:2" x14ac:dyDescent="0.25">
      <c r="B10521" s="73"/>
    </row>
    <row r="10522" spans="2:2" x14ac:dyDescent="0.25">
      <c r="B10522" s="73"/>
    </row>
    <row r="10523" spans="2:2" x14ac:dyDescent="0.25">
      <c r="B10523" s="73"/>
    </row>
    <row r="10524" spans="2:2" x14ac:dyDescent="0.25">
      <c r="B10524" s="73"/>
    </row>
    <row r="10525" spans="2:2" x14ac:dyDescent="0.25">
      <c r="B10525" s="73"/>
    </row>
    <row r="10526" spans="2:2" x14ac:dyDescent="0.25">
      <c r="B10526" s="73"/>
    </row>
    <row r="10527" spans="2:2" x14ac:dyDescent="0.25">
      <c r="B10527" s="73"/>
    </row>
    <row r="10528" spans="2:2" x14ac:dyDescent="0.25">
      <c r="B10528" s="73"/>
    </row>
    <row r="10529" spans="2:2" x14ac:dyDescent="0.25">
      <c r="B10529" s="73"/>
    </row>
    <row r="10530" spans="2:2" x14ac:dyDescent="0.25">
      <c r="B10530" s="73"/>
    </row>
    <row r="10531" spans="2:2" x14ac:dyDescent="0.25">
      <c r="B10531" s="73"/>
    </row>
    <row r="10532" spans="2:2" x14ac:dyDescent="0.25">
      <c r="B10532" s="73"/>
    </row>
    <row r="10533" spans="2:2" x14ac:dyDescent="0.25">
      <c r="B10533" s="73"/>
    </row>
    <row r="10534" spans="2:2" x14ac:dyDescent="0.25">
      <c r="B10534" s="73"/>
    </row>
    <row r="10535" spans="2:2" x14ac:dyDescent="0.25">
      <c r="B10535" s="73"/>
    </row>
    <row r="10536" spans="2:2" x14ac:dyDescent="0.25">
      <c r="B10536" s="73"/>
    </row>
    <row r="10537" spans="2:2" x14ac:dyDescent="0.25">
      <c r="B10537" s="73"/>
    </row>
    <row r="10538" spans="2:2" x14ac:dyDescent="0.25">
      <c r="B10538" s="73"/>
    </row>
    <row r="10539" spans="2:2" x14ac:dyDescent="0.25">
      <c r="B10539" s="73"/>
    </row>
    <row r="10540" spans="2:2" x14ac:dyDescent="0.25">
      <c r="B10540" s="73"/>
    </row>
    <row r="10541" spans="2:2" x14ac:dyDescent="0.25">
      <c r="B10541" s="73"/>
    </row>
    <row r="10542" spans="2:2" x14ac:dyDescent="0.25">
      <c r="B10542" s="73"/>
    </row>
    <row r="10543" spans="2:2" x14ac:dyDescent="0.25">
      <c r="B10543" s="73"/>
    </row>
    <row r="10544" spans="2:2" x14ac:dyDescent="0.25">
      <c r="B10544" s="73"/>
    </row>
    <row r="10545" spans="2:2" x14ac:dyDescent="0.25">
      <c r="B10545" s="73"/>
    </row>
    <row r="10546" spans="2:2" x14ac:dyDescent="0.25">
      <c r="B10546" s="73"/>
    </row>
    <row r="10547" spans="2:2" x14ac:dyDescent="0.25">
      <c r="B10547" s="73"/>
    </row>
    <row r="10548" spans="2:2" x14ac:dyDescent="0.25">
      <c r="B10548" s="73"/>
    </row>
    <row r="10549" spans="2:2" x14ac:dyDescent="0.25">
      <c r="B10549" s="73"/>
    </row>
    <row r="10550" spans="2:2" x14ac:dyDescent="0.25">
      <c r="B10550" s="73"/>
    </row>
    <row r="10551" spans="2:2" x14ac:dyDescent="0.25">
      <c r="B10551" s="73"/>
    </row>
    <row r="10552" spans="2:2" x14ac:dyDescent="0.25">
      <c r="B10552" s="73"/>
    </row>
    <row r="10553" spans="2:2" x14ac:dyDescent="0.25">
      <c r="B10553" s="73"/>
    </row>
    <row r="10554" spans="2:2" x14ac:dyDescent="0.25">
      <c r="B10554" s="73"/>
    </row>
    <row r="10555" spans="2:2" x14ac:dyDescent="0.25">
      <c r="B10555" s="73"/>
    </row>
    <row r="10556" spans="2:2" x14ac:dyDescent="0.25">
      <c r="B10556" s="73"/>
    </row>
    <row r="10557" spans="2:2" x14ac:dyDescent="0.25">
      <c r="B10557" s="73"/>
    </row>
    <row r="10558" spans="2:2" x14ac:dyDescent="0.25">
      <c r="B10558" s="73"/>
    </row>
    <row r="10559" spans="2:2" x14ac:dyDescent="0.25">
      <c r="B10559" s="73"/>
    </row>
    <row r="10560" spans="2:2" x14ac:dyDescent="0.25">
      <c r="B10560" s="73"/>
    </row>
    <row r="10561" spans="2:2" x14ac:dyDescent="0.25">
      <c r="B10561" s="73"/>
    </row>
    <row r="10562" spans="2:2" x14ac:dyDescent="0.25">
      <c r="B10562" s="73"/>
    </row>
    <row r="10563" spans="2:2" x14ac:dyDescent="0.25">
      <c r="B10563" s="73"/>
    </row>
    <row r="10564" spans="2:2" x14ac:dyDescent="0.25">
      <c r="B10564" s="73"/>
    </row>
    <row r="10565" spans="2:2" x14ac:dyDescent="0.25">
      <c r="B10565" s="73"/>
    </row>
    <row r="10566" spans="2:2" x14ac:dyDescent="0.25">
      <c r="B10566" s="73"/>
    </row>
    <row r="10567" spans="2:2" x14ac:dyDescent="0.25">
      <c r="B10567" s="73"/>
    </row>
    <row r="10568" spans="2:2" x14ac:dyDescent="0.25">
      <c r="B10568" s="73"/>
    </row>
    <row r="10569" spans="2:2" x14ac:dyDescent="0.25">
      <c r="B10569" s="73"/>
    </row>
    <row r="10570" spans="2:2" x14ac:dyDescent="0.25">
      <c r="B10570" s="73"/>
    </row>
    <row r="10571" spans="2:2" x14ac:dyDescent="0.25">
      <c r="B10571" s="73"/>
    </row>
    <row r="10572" spans="2:2" x14ac:dyDescent="0.25">
      <c r="B10572" s="73"/>
    </row>
    <row r="10573" spans="2:2" x14ac:dyDescent="0.25">
      <c r="B10573" s="73"/>
    </row>
    <row r="10574" spans="2:2" x14ac:dyDescent="0.25">
      <c r="B10574" s="73"/>
    </row>
    <row r="10575" spans="2:2" x14ac:dyDescent="0.25">
      <c r="B10575" s="73"/>
    </row>
    <row r="10576" spans="2:2" x14ac:dyDescent="0.25">
      <c r="B10576" s="73"/>
    </row>
    <row r="10577" spans="2:2" x14ac:dyDescent="0.25">
      <c r="B10577" s="73"/>
    </row>
    <row r="10578" spans="2:2" x14ac:dyDescent="0.25">
      <c r="B10578" s="73"/>
    </row>
    <row r="10579" spans="2:2" x14ac:dyDescent="0.25">
      <c r="B10579" s="73"/>
    </row>
    <row r="10580" spans="2:2" x14ac:dyDescent="0.25">
      <c r="B10580" s="73"/>
    </row>
    <row r="10581" spans="2:2" x14ac:dyDescent="0.25">
      <c r="B10581" s="73"/>
    </row>
    <row r="10582" spans="2:2" x14ac:dyDescent="0.25">
      <c r="B10582" s="73"/>
    </row>
    <row r="10583" spans="2:2" x14ac:dyDescent="0.25">
      <c r="B10583" s="73"/>
    </row>
    <row r="10584" spans="2:2" x14ac:dyDescent="0.25">
      <c r="B10584" s="73"/>
    </row>
    <row r="10585" spans="2:2" x14ac:dyDescent="0.25">
      <c r="B10585" s="73"/>
    </row>
    <row r="10586" spans="2:2" x14ac:dyDescent="0.25">
      <c r="B10586" s="73"/>
    </row>
    <row r="10587" spans="2:2" x14ac:dyDescent="0.25">
      <c r="B10587" s="73"/>
    </row>
    <row r="10588" spans="2:2" x14ac:dyDescent="0.25">
      <c r="B10588" s="73"/>
    </row>
    <row r="10589" spans="2:2" x14ac:dyDescent="0.25">
      <c r="B10589" s="73"/>
    </row>
    <row r="10590" spans="2:2" x14ac:dyDescent="0.25">
      <c r="B10590" s="73"/>
    </row>
    <row r="10591" spans="2:2" x14ac:dyDescent="0.25">
      <c r="B10591" s="73"/>
    </row>
    <row r="10592" spans="2:2" x14ac:dyDescent="0.25">
      <c r="B10592" s="73"/>
    </row>
    <row r="10593" spans="2:2" x14ac:dyDescent="0.25">
      <c r="B10593" s="73"/>
    </row>
    <row r="10594" spans="2:2" x14ac:dyDescent="0.25">
      <c r="B10594" s="73"/>
    </row>
    <row r="10595" spans="2:2" x14ac:dyDescent="0.25">
      <c r="B10595" s="73"/>
    </row>
    <row r="10596" spans="2:2" x14ac:dyDescent="0.25">
      <c r="B10596" s="73"/>
    </row>
    <row r="10597" spans="2:2" x14ac:dyDescent="0.25">
      <c r="B10597" s="73"/>
    </row>
    <row r="10598" spans="2:2" x14ac:dyDescent="0.25">
      <c r="B10598" s="73"/>
    </row>
    <row r="10599" spans="2:2" x14ac:dyDescent="0.25">
      <c r="B10599" s="73"/>
    </row>
    <row r="10600" spans="2:2" x14ac:dyDescent="0.25">
      <c r="B10600" s="73"/>
    </row>
    <row r="10601" spans="2:2" x14ac:dyDescent="0.25">
      <c r="B10601" s="73"/>
    </row>
    <row r="10602" spans="2:2" x14ac:dyDescent="0.25">
      <c r="B10602" s="73"/>
    </row>
    <row r="10603" spans="2:2" x14ac:dyDescent="0.25">
      <c r="B10603" s="73"/>
    </row>
    <row r="10604" spans="2:2" x14ac:dyDescent="0.25">
      <c r="B10604" s="73"/>
    </row>
    <row r="10605" spans="2:2" x14ac:dyDescent="0.25">
      <c r="B10605" s="73"/>
    </row>
    <row r="10606" spans="2:2" x14ac:dyDescent="0.25">
      <c r="B10606" s="73"/>
    </row>
    <row r="10607" spans="2:2" x14ac:dyDescent="0.25">
      <c r="B10607" s="73"/>
    </row>
    <row r="10608" spans="2:2" x14ac:dyDescent="0.25">
      <c r="B10608" s="73"/>
    </row>
    <row r="10609" spans="2:2" x14ac:dyDescent="0.25">
      <c r="B10609" s="73"/>
    </row>
    <row r="10610" spans="2:2" x14ac:dyDescent="0.25">
      <c r="B10610" s="73"/>
    </row>
    <row r="10611" spans="2:2" x14ac:dyDescent="0.25">
      <c r="B10611" s="73"/>
    </row>
    <row r="10612" spans="2:2" x14ac:dyDescent="0.25">
      <c r="B10612" s="73"/>
    </row>
    <row r="10613" spans="2:2" x14ac:dyDescent="0.25">
      <c r="B10613" s="73"/>
    </row>
    <row r="10614" spans="2:2" x14ac:dyDescent="0.25">
      <c r="B10614" s="73"/>
    </row>
    <row r="10615" spans="2:2" x14ac:dyDescent="0.25">
      <c r="B10615" s="73"/>
    </row>
    <row r="10616" spans="2:2" x14ac:dyDescent="0.25">
      <c r="B10616" s="73"/>
    </row>
    <row r="10617" spans="2:2" x14ac:dyDescent="0.25">
      <c r="B10617" s="73"/>
    </row>
    <row r="10618" spans="2:2" x14ac:dyDescent="0.25">
      <c r="B10618" s="73"/>
    </row>
    <row r="10619" spans="2:2" x14ac:dyDescent="0.25">
      <c r="B10619" s="73"/>
    </row>
    <row r="10620" spans="2:2" x14ac:dyDescent="0.25">
      <c r="B10620" s="73"/>
    </row>
    <row r="10621" spans="2:2" x14ac:dyDescent="0.25">
      <c r="B10621" s="73"/>
    </row>
    <row r="10622" spans="2:2" x14ac:dyDescent="0.25">
      <c r="B10622" s="73"/>
    </row>
    <row r="10623" spans="2:2" x14ac:dyDescent="0.25">
      <c r="B10623" s="73"/>
    </row>
    <row r="10624" spans="2:2" x14ac:dyDescent="0.25">
      <c r="B10624" s="73"/>
    </row>
    <row r="10625" spans="2:2" x14ac:dyDescent="0.25">
      <c r="B10625" s="73"/>
    </row>
    <row r="10626" spans="2:2" x14ac:dyDescent="0.25">
      <c r="B10626" s="73"/>
    </row>
    <row r="10627" spans="2:2" x14ac:dyDescent="0.25">
      <c r="B10627" s="73"/>
    </row>
    <row r="10628" spans="2:2" x14ac:dyDescent="0.25">
      <c r="B10628" s="73"/>
    </row>
    <row r="10629" spans="2:2" x14ac:dyDescent="0.25">
      <c r="B10629" s="73"/>
    </row>
    <row r="10630" spans="2:2" x14ac:dyDescent="0.25">
      <c r="B10630" s="73"/>
    </row>
    <row r="10631" spans="2:2" x14ac:dyDescent="0.25">
      <c r="B10631" s="73"/>
    </row>
    <row r="10632" spans="2:2" x14ac:dyDescent="0.25">
      <c r="B10632" s="73"/>
    </row>
    <row r="10633" spans="2:2" x14ac:dyDescent="0.25">
      <c r="B10633" s="73"/>
    </row>
    <row r="10634" spans="2:2" x14ac:dyDescent="0.25">
      <c r="B10634" s="73"/>
    </row>
    <row r="10635" spans="2:2" x14ac:dyDescent="0.25">
      <c r="B10635" s="73"/>
    </row>
    <row r="10636" spans="2:2" x14ac:dyDescent="0.25">
      <c r="B10636" s="73"/>
    </row>
    <row r="10637" spans="2:2" x14ac:dyDescent="0.25">
      <c r="B10637" s="73"/>
    </row>
    <row r="10638" spans="2:2" x14ac:dyDescent="0.25">
      <c r="B10638" s="73"/>
    </row>
    <row r="10639" spans="2:2" x14ac:dyDescent="0.25">
      <c r="B10639" s="73"/>
    </row>
    <row r="10640" spans="2:2" x14ac:dyDescent="0.25">
      <c r="B10640" s="73"/>
    </row>
    <row r="10641" spans="2:2" x14ac:dyDescent="0.25">
      <c r="B10641" s="73"/>
    </row>
    <row r="10642" spans="2:2" x14ac:dyDescent="0.25">
      <c r="B10642" s="73"/>
    </row>
    <row r="10643" spans="2:2" x14ac:dyDescent="0.25">
      <c r="B10643" s="73"/>
    </row>
    <row r="10644" spans="2:2" x14ac:dyDescent="0.25">
      <c r="B10644" s="73"/>
    </row>
    <row r="10645" spans="2:2" x14ac:dyDescent="0.25">
      <c r="B10645" s="73"/>
    </row>
    <row r="10646" spans="2:2" x14ac:dyDescent="0.25">
      <c r="B10646" s="73"/>
    </row>
    <row r="10647" spans="2:2" x14ac:dyDescent="0.25">
      <c r="B10647" s="73"/>
    </row>
    <row r="10648" spans="2:2" x14ac:dyDescent="0.25">
      <c r="B10648" s="73"/>
    </row>
    <row r="10649" spans="2:2" x14ac:dyDescent="0.25">
      <c r="B10649" s="73"/>
    </row>
    <row r="10650" spans="2:2" x14ac:dyDescent="0.25">
      <c r="B10650" s="73"/>
    </row>
    <row r="10651" spans="2:2" x14ac:dyDescent="0.25">
      <c r="B10651" s="73"/>
    </row>
    <row r="10652" spans="2:2" x14ac:dyDescent="0.25">
      <c r="B10652" s="73"/>
    </row>
    <row r="10653" spans="2:2" x14ac:dyDescent="0.25">
      <c r="B10653" s="73"/>
    </row>
    <row r="10654" spans="2:2" x14ac:dyDescent="0.25">
      <c r="B10654" s="73"/>
    </row>
    <row r="10655" spans="2:2" x14ac:dyDescent="0.25">
      <c r="B10655" s="73"/>
    </row>
    <row r="10656" spans="2:2" x14ac:dyDescent="0.25">
      <c r="B10656" s="73"/>
    </row>
    <row r="10657" spans="2:2" x14ac:dyDescent="0.25">
      <c r="B10657" s="73"/>
    </row>
    <row r="10658" spans="2:2" x14ac:dyDescent="0.25">
      <c r="B10658" s="73"/>
    </row>
    <row r="10659" spans="2:2" x14ac:dyDescent="0.25">
      <c r="B10659" s="73"/>
    </row>
    <row r="10660" spans="2:2" x14ac:dyDescent="0.25">
      <c r="B10660" s="73"/>
    </row>
    <row r="10661" spans="2:2" x14ac:dyDescent="0.25">
      <c r="B10661" s="73"/>
    </row>
    <row r="10662" spans="2:2" x14ac:dyDescent="0.25">
      <c r="B10662" s="73"/>
    </row>
    <row r="10663" spans="2:2" x14ac:dyDescent="0.25">
      <c r="B10663" s="73"/>
    </row>
    <row r="10664" spans="2:2" x14ac:dyDescent="0.25">
      <c r="B10664" s="73"/>
    </row>
    <row r="10665" spans="2:2" x14ac:dyDescent="0.25">
      <c r="B10665" s="73"/>
    </row>
    <row r="10666" spans="2:2" x14ac:dyDescent="0.25">
      <c r="B10666" s="73"/>
    </row>
    <row r="10667" spans="2:2" x14ac:dyDescent="0.25">
      <c r="B10667" s="73"/>
    </row>
    <row r="10668" spans="2:2" x14ac:dyDescent="0.25">
      <c r="B10668" s="73"/>
    </row>
    <row r="10669" spans="2:2" x14ac:dyDescent="0.25">
      <c r="B10669" s="73"/>
    </row>
    <row r="10670" spans="2:2" x14ac:dyDescent="0.25">
      <c r="B10670" s="73"/>
    </row>
    <row r="10671" spans="2:2" x14ac:dyDescent="0.25">
      <c r="B10671" s="73"/>
    </row>
    <row r="10672" spans="2:2" x14ac:dyDescent="0.25">
      <c r="B10672" s="73"/>
    </row>
    <row r="10673" spans="2:2" x14ac:dyDescent="0.25">
      <c r="B10673" s="73"/>
    </row>
    <row r="10674" spans="2:2" x14ac:dyDescent="0.25">
      <c r="B10674" s="73"/>
    </row>
    <row r="10675" spans="2:2" x14ac:dyDescent="0.25">
      <c r="B10675" s="73"/>
    </row>
    <row r="10676" spans="2:2" x14ac:dyDescent="0.25">
      <c r="B10676" s="73"/>
    </row>
    <row r="10677" spans="2:2" x14ac:dyDescent="0.25">
      <c r="B10677" s="73"/>
    </row>
    <row r="10678" spans="2:2" x14ac:dyDescent="0.25">
      <c r="B10678" s="73"/>
    </row>
    <row r="10679" spans="2:2" x14ac:dyDescent="0.25">
      <c r="B10679" s="73"/>
    </row>
    <row r="10680" spans="2:2" x14ac:dyDescent="0.25">
      <c r="B10680" s="73"/>
    </row>
    <row r="10681" spans="2:2" x14ac:dyDescent="0.25">
      <c r="B10681" s="73"/>
    </row>
    <row r="10682" spans="2:2" x14ac:dyDescent="0.25">
      <c r="B10682" s="73"/>
    </row>
    <row r="10683" spans="2:2" x14ac:dyDescent="0.25">
      <c r="B10683" s="73"/>
    </row>
    <row r="10684" spans="2:2" x14ac:dyDescent="0.25">
      <c r="B10684" s="73"/>
    </row>
    <row r="10685" spans="2:2" x14ac:dyDescent="0.25">
      <c r="B10685" s="73"/>
    </row>
    <row r="10686" spans="2:2" x14ac:dyDescent="0.25">
      <c r="B10686" s="73"/>
    </row>
    <row r="10687" spans="2:2" x14ac:dyDescent="0.25">
      <c r="B10687" s="73"/>
    </row>
    <row r="10688" spans="2:2" x14ac:dyDescent="0.25">
      <c r="B10688" s="73"/>
    </row>
    <row r="10689" spans="2:2" x14ac:dyDescent="0.25">
      <c r="B10689" s="73"/>
    </row>
    <row r="10690" spans="2:2" x14ac:dyDescent="0.25">
      <c r="B10690" s="73"/>
    </row>
    <row r="10691" spans="2:2" x14ac:dyDescent="0.25">
      <c r="B10691" s="73"/>
    </row>
    <row r="10692" spans="2:2" x14ac:dyDescent="0.25">
      <c r="B10692" s="73"/>
    </row>
    <row r="10693" spans="2:2" x14ac:dyDescent="0.25">
      <c r="B10693" s="73"/>
    </row>
    <row r="10694" spans="2:2" x14ac:dyDescent="0.25">
      <c r="B10694" s="73"/>
    </row>
    <row r="10695" spans="2:2" x14ac:dyDescent="0.25">
      <c r="B10695" s="73"/>
    </row>
    <row r="10696" spans="2:2" x14ac:dyDescent="0.25">
      <c r="B10696" s="73"/>
    </row>
    <row r="10697" spans="2:2" x14ac:dyDescent="0.25">
      <c r="B10697" s="73"/>
    </row>
    <row r="10698" spans="2:2" x14ac:dyDescent="0.25">
      <c r="B10698" s="73"/>
    </row>
    <row r="10699" spans="2:2" x14ac:dyDescent="0.25">
      <c r="B10699" s="73"/>
    </row>
    <row r="10700" spans="2:2" x14ac:dyDescent="0.25">
      <c r="B10700" s="73"/>
    </row>
    <row r="10701" spans="2:2" x14ac:dyDescent="0.25">
      <c r="B10701" s="73"/>
    </row>
    <row r="10702" spans="2:2" x14ac:dyDescent="0.25">
      <c r="B10702" s="73"/>
    </row>
    <row r="10703" spans="2:2" x14ac:dyDescent="0.25">
      <c r="B10703" s="73"/>
    </row>
    <row r="10704" spans="2:2" x14ac:dyDescent="0.25">
      <c r="B10704" s="73"/>
    </row>
    <row r="10705" spans="2:2" x14ac:dyDescent="0.25">
      <c r="B10705" s="73"/>
    </row>
    <row r="10706" spans="2:2" x14ac:dyDescent="0.25">
      <c r="B10706" s="73"/>
    </row>
    <row r="10707" spans="2:2" x14ac:dyDescent="0.25">
      <c r="B10707" s="73"/>
    </row>
    <row r="10708" spans="2:2" x14ac:dyDescent="0.25">
      <c r="B10708" s="73"/>
    </row>
    <row r="10709" spans="2:2" x14ac:dyDescent="0.25">
      <c r="B10709" s="73"/>
    </row>
    <row r="10710" spans="2:2" x14ac:dyDescent="0.25">
      <c r="B10710" s="73"/>
    </row>
    <row r="10711" spans="2:2" x14ac:dyDescent="0.25">
      <c r="B10711" s="73"/>
    </row>
    <row r="10712" spans="2:2" x14ac:dyDescent="0.25">
      <c r="B10712" s="73"/>
    </row>
    <row r="10713" spans="2:2" x14ac:dyDescent="0.25">
      <c r="B10713" s="73"/>
    </row>
    <row r="10714" spans="2:2" x14ac:dyDescent="0.25">
      <c r="B10714" s="73"/>
    </row>
    <row r="10715" spans="2:2" x14ac:dyDescent="0.25">
      <c r="B10715" s="73"/>
    </row>
    <row r="10716" spans="2:2" x14ac:dyDescent="0.25">
      <c r="B10716" s="73"/>
    </row>
    <row r="10717" spans="2:2" x14ac:dyDescent="0.25">
      <c r="B10717" s="73"/>
    </row>
    <row r="10718" spans="2:2" x14ac:dyDescent="0.25">
      <c r="B10718" s="73"/>
    </row>
    <row r="10719" spans="2:2" x14ac:dyDescent="0.25">
      <c r="B10719" s="73"/>
    </row>
    <row r="10720" spans="2:2" x14ac:dyDescent="0.25">
      <c r="B10720" s="73"/>
    </row>
    <row r="10721" spans="2:2" x14ac:dyDescent="0.25">
      <c r="B10721" s="73"/>
    </row>
    <row r="10722" spans="2:2" x14ac:dyDescent="0.25">
      <c r="B10722" s="73"/>
    </row>
    <row r="10723" spans="2:2" x14ac:dyDescent="0.25">
      <c r="B10723" s="73"/>
    </row>
    <row r="10724" spans="2:2" x14ac:dyDescent="0.25">
      <c r="B10724" s="73"/>
    </row>
    <row r="10725" spans="2:2" x14ac:dyDescent="0.25">
      <c r="B10725" s="73"/>
    </row>
    <row r="10726" spans="2:2" x14ac:dyDescent="0.25">
      <c r="B10726" s="73"/>
    </row>
    <row r="10727" spans="2:2" x14ac:dyDescent="0.25">
      <c r="B10727" s="73"/>
    </row>
    <row r="10728" spans="2:2" x14ac:dyDescent="0.25">
      <c r="B10728" s="73"/>
    </row>
    <row r="10729" spans="2:2" x14ac:dyDescent="0.25">
      <c r="B10729" s="73"/>
    </row>
    <row r="10730" spans="2:2" x14ac:dyDescent="0.25">
      <c r="B10730" s="73"/>
    </row>
    <row r="10731" spans="2:2" x14ac:dyDescent="0.25">
      <c r="B10731" s="73"/>
    </row>
    <row r="10732" spans="2:2" x14ac:dyDescent="0.25">
      <c r="B10732" s="73"/>
    </row>
    <row r="10733" spans="2:2" x14ac:dyDescent="0.25">
      <c r="B10733" s="73"/>
    </row>
    <row r="10734" spans="2:2" x14ac:dyDescent="0.25">
      <c r="B10734" s="73"/>
    </row>
    <row r="10735" spans="2:2" x14ac:dyDescent="0.25">
      <c r="B10735" s="73"/>
    </row>
    <row r="10736" spans="2:2" x14ac:dyDescent="0.25">
      <c r="B10736" s="73"/>
    </row>
    <row r="10737" spans="2:2" x14ac:dyDescent="0.25">
      <c r="B10737" s="73"/>
    </row>
    <row r="10738" spans="2:2" x14ac:dyDescent="0.25">
      <c r="B10738" s="73"/>
    </row>
    <row r="10739" spans="2:2" x14ac:dyDescent="0.25">
      <c r="B10739" s="73"/>
    </row>
    <row r="10740" spans="2:2" x14ac:dyDescent="0.25">
      <c r="B10740" s="73"/>
    </row>
    <row r="10741" spans="2:2" x14ac:dyDescent="0.25">
      <c r="B10741" s="73"/>
    </row>
    <row r="10742" spans="2:2" x14ac:dyDescent="0.25">
      <c r="B10742" s="73"/>
    </row>
    <row r="10743" spans="2:2" x14ac:dyDescent="0.25">
      <c r="B10743" s="73"/>
    </row>
    <row r="10744" spans="2:2" x14ac:dyDescent="0.25">
      <c r="B10744" s="73"/>
    </row>
    <row r="10745" spans="2:2" x14ac:dyDescent="0.25">
      <c r="B10745" s="73"/>
    </row>
    <row r="10746" spans="2:2" x14ac:dyDescent="0.25">
      <c r="B10746" s="73"/>
    </row>
    <row r="10747" spans="2:2" x14ac:dyDescent="0.25">
      <c r="B10747" s="73"/>
    </row>
    <row r="10748" spans="2:2" x14ac:dyDescent="0.25">
      <c r="B10748" s="73"/>
    </row>
    <row r="10749" spans="2:2" x14ac:dyDescent="0.25">
      <c r="B10749" s="73"/>
    </row>
    <row r="10750" spans="2:2" x14ac:dyDescent="0.25">
      <c r="B10750" s="73"/>
    </row>
    <row r="10751" spans="2:2" x14ac:dyDescent="0.25">
      <c r="B10751" s="73"/>
    </row>
    <row r="10752" spans="2:2" x14ac:dyDescent="0.25">
      <c r="B10752" s="73"/>
    </row>
    <row r="10753" spans="2:2" x14ac:dyDescent="0.25">
      <c r="B10753" s="73"/>
    </row>
    <row r="10754" spans="2:2" x14ac:dyDescent="0.25">
      <c r="B10754" s="73"/>
    </row>
    <row r="10755" spans="2:2" x14ac:dyDescent="0.25">
      <c r="B10755" s="73"/>
    </row>
    <row r="10756" spans="2:2" x14ac:dyDescent="0.25">
      <c r="B10756" s="73"/>
    </row>
    <row r="10757" spans="2:2" x14ac:dyDescent="0.25">
      <c r="B10757" s="73"/>
    </row>
    <row r="10758" spans="2:2" x14ac:dyDescent="0.25">
      <c r="B10758" s="73"/>
    </row>
    <row r="10759" spans="2:2" x14ac:dyDescent="0.25">
      <c r="B10759" s="73"/>
    </row>
    <row r="10760" spans="2:2" x14ac:dyDescent="0.25">
      <c r="B10760" s="73"/>
    </row>
    <row r="10761" spans="2:2" x14ac:dyDescent="0.25">
      <c r="B10761" s="73"/>
    </row>
    <row r="10762" spans="2:2" x14ac:dyDescent="0.25">
      <c r="B10762" s="73"/>
    </row>
    <row r="10763" spans="2:2" x14ac:dyDescent="0.25">
      <c r="B10763" s="73"/>
    </row>
    <row r="10764" spans="2:2" x14ac:dyDescent="0.25">
      <c r="B10764" s="73"/>
    </row>
    <row r="10765" spans="2:2" x14ac:dyDescent="0.25">
      <c r="B10765" s="73"/>
    </row>
    <row r="10766" spans="2:2" x14ac:dyDescent="0.25">
      <c r="B10766" s="73"/>
    </row>
    <row r="10767" spans="2:2" x14ac:dyDescent="0.25">
      <c r="B10767" s="73"/>
    </row>
    <row r="10768" spans="2:2" x14ac:dyDescent="0.25">
      <c r="B10768" s="73"/>
    </row>
    <row r="10769" spans="2:2" x14ac:dyDescent="0.25">
      <c r="B10769" s="73"/>
    </row>
    <row r="10770" spans="2:2" x14ac:dyDescent="0.25">
      <c r="B10770" s="73"/>
    </row>
    <row r="10771" spans="2:2" x14ac:dyDescent="0.25">
      <c r="B10771" s="73"/>
    </row>
    <row r="10772" spans="2:2" x14ac:dyDescent="0.25">
      <c r="B10772" s="73"/>
    </row>
    <row r="10773" spans="2:2" x14ac:dyDescent="0.25">
      <c r="B10773" s="73"/>
    </row>
    <row r="10774" spans="2:2" x14ac:dyDescent="0.25">
      <c r="B10774" s="73"/>
    </row>
    <row r="10775" spans="2:2" x14ac:dyDescent="0.25">
      <c r="B10775" s="73"/>
    </row>
    <row r="10776" spans="2:2" x14ac:dyDescent="0.25">
      <c r="B10776" s="73"/>
    </row>
    <row r="10777" spans="2:2" x14ac:dyDescent="0.25">
      <c r="B10777" s="73"/>
    </row>
    <row r="10778" spans="2:2" x14ac:dyDescent="0.25">
      <c r="B10778" s="73"/>
    </row>
    <row r="10779" spans="2:2" x14ac:dyDescent="0.25">
      <c r="B10779" s="73"/>
    </row>
    <row r="10780" spans="2:2" x14ac:dyDescent="0.25">
      <c r="B10780" s="73"/>
    </row>
    <row r="10781" spans="2:2" x14ac:dyDescent="0.25">
      <c r="B10781" s="73"/>
    </row>
    <row r="10782" spans="2:2" x14ac:dyDescent="0.25">
      <c r="B10782" s="73"/>
    </row>
    <row r="10783" spans="2:2" x14ac:dyDescent="0.25">
      <c r="B10783" s="73"/>
    </row>
    <row r="10784" spans="2:2" x14ac:dyDescent="0.25">
      <c r="B10784" s="73"/>
    </row>
    <row r="10785" spans="2:2" x14ac:dyDescent="0.25">
      <c r="B10785" s="73"/>
    </row>
    <row r="10786" spans="2:2" x14ac:dyDescent="0.25">
      <c r="B10786" s="73"/>
    </row>
    <row r="10787" spans="2:2" x14ac:dyDescent="0.25">
      <c r="B10787" s="73"/>
    </row>
    <row r="10788" spans="2:2" x14ac:dyDescent="0.25">
      <c r="B10788" s="73"/>
    </row>
    <row r="10789" spans="2:2" x14ac:dyDescent="0.25">
      <c r="B10789" s="73"/>
    </row>
    <row r="10790" spans="2:2" x14ac:dyDescent="0.25">
      <c r="B10790" s="73"/>
    </row>
    <row r="10791" spans="2:2" x14ac:dyDescent="0.25">
      <c r="B10791" s="73"/>
    </row>
    <row r="10792" spans="2:2" x14ac:dyDescent="0.25">
      <c r="B10792" s="73"/>
    </row>
    <row r="10793" spans="2:2" x14ac:dyDescent="0.25">
      <c r="B10793" s="73"/>
    </row>
    <row r="10794" spans="2:2" x14ac:dyDescent="0.25">
      <c r="B10794" s="73"/>
    </row>
    <row r="10795" spans="2:2" x14ac:dyDescent="0.25">
      <c r="B10795" s="73"/>
    </row>
    <row r="10796" spans="2:2" x14ac:dyDescent="0.25">
      <c r="B10796" s="73"/>
    </row>
    <row r="10797" spans="2:2" x14ac:dyDescent="0.25">
      <c r="B10797" s="73"/>
    </row>
    <row r="10798" spans="2:2" x14ac:dyDescent="0.25">
      <c r="B10798" s="73"/>
    </row>
    <row r="10799" spans="2:2" x14ac:dyDescent="0.25">
      <c r="B10799" s="73"/>
    </row>
    <row r="10800" spans="2:2" x14ac:dyDescent="0.25">
      <c r="B10800" s="73"/>
    </row>
    <row r="10801" spans="2:2" x14ac:dyDescent="0.25">
      <c r="B10801" s="73"/>
    </row>
    <row r="10802" spans="2:2" x14ac:dyDescent="0.25">
      <c r="B10802" s="73"/>
    </row>
    <row r="10803" spans="2:2" x14ac:dyDescent="0.25">
      <c r="B10803" s="73"/>
    </row>
    <row r="10804" spans="2:2" x14ac:dyDescent="0.25">
      <c r="B10804" s="73"/>
    </row>
    <row r="10805" spans="2:2" x14ac:dyDescent="0.25">
      <c r="B10805" s="73"/>
    </row>
    <row r="10806" spans="2:2" x14ac:dyDescent="0.25">
      <c r="B10806" s="73"/>
    </row>
    <row r="10807" spans="2:2" x14ac:dyDescent="0.25">
      <c r="B10807" s="73"/>
    </row>
    <row r="10808" spans="2:2" x14ac:dyDescent="0.25">
      <c r="B10808" s="73"/>
    </row>
    <row r="10809" spans="2:2" x14ac:dyDescent="0.25">
      <c r="B10809" s="73"/>
    </row>
    <row r="10810" spans="2:2" x14ac:dyDescent="0.25">
      <c r="B10810" s="73"/>
    </row>
    <row r="10811" spans="2:2" x14ac:dyDescent="0.25">
      <c r="B10811" s="73"/>
    </row>
    <row r="10812" spans="2:2" x14ac:dyDescent="0.25">
      <c r="B10812" s="73"/>
    </row>
    <row r="10813" spans="2:2" x14ac:dyDescent="0.25">
      <c r="B10813" s="73"/>
    </row>
    <row r="10814" spans="2:2" x14ac:dyDescent="0.25">
      <c r="B10814" s="73"/>
    </row>
    <row r="10815" spans="2:2" x14ac:dyDescent="0.25">
      <c r="B10815" s="73"/>
    </row>
    <row r="10816" spans="2:2" x14ac:dyDescent="0.25">
      <c r="B10816" s="73"/>
    </row>
    <row r="10817" spans="2:2" x14ac:dyDescent="0.25">
      <c r="B10817" s="73"/>
    </row>
    <row r="10818" spans="2:2" x14ac:dyDescent="0.25">
      <c r="B10818" s="73"/>
    </row>
    <row r="10819" spans="2:2" x14ac:dyDescent="0.25">
      <c r="B10819" s="73"/>
    </row>
    <row r="10820" spans="2:2" x14ac:dyDescent="0.25">
      <c r="B10820" s="73"/>
    </row>
    <row r="10821" spans="2:2" x14ac:dyDescent="0.25">
      <c r="B10821" s="73"/>
    </row>
    <row r="10822" spans="2:2" x14ac:dyDescent="0.25">
      <c r="B10822" s="73"/>
    </row>
    <row r="10823" spans="2:2" x14ac:dyDescent="0.25">
      <c r="B10823" s="73"/>
    </row>
    <row r="10824" spans="2:2" x14ac:dyDescent="0.25">
      <c r="B10824" s="73"/>
    </row>
    <row r="10825" spans="2:2" x14ac:dyDescent="0.25">
      <c r="B10825" s="73"/>
    </row>
    <row r="10826" spans="2:2" x14ac:dyDescent="0.25">
      <c r="B10826" s="73"/>
    </row>
    <row r="10827" spans="2:2" x14ac:dyDescent="0.25">
      <c r="B10827" s="73"/>
    </row>
    <row r="10828" spans="2:2" x14ac:dyDescent="0.25">
      <c r="B10828" s="73"/>
    </row>
    <row r="10829" spans="2:2" x14ac:dyDescent="0.25">
      <c r="B10829" s="73"/>
    </row>
    <row r="10830" spans="2:2" x14ac:dyDescent="0.25">
      <c r="B10830" s="73"/>
    </row>
    <row r="10831" spans="2:2" x14ac:dyDescent="0.25">
      <c r="B10831" s="73"/>
    </row>
    <row r="10832" spans="2:2" x14ac:dyDescent="0.25">
      <c r="B10832" s="73"/>
    </row>
    <row r="10833" spans="2:2" x14ac:dyDescent="0.25">
      <c r="B10833" s="73"/>
    </row>
    <row r="10834" spans="2:2" x14ac:dyDescent="0.25">
      <c r="B10834" s="73"/>
    </row>
    <row r="10835" spans="2:2" x14ac:dyDescent="0.25">
      <c r="B10835" s="73"/>
    </row>
    <row r="10836" spans="2:2" x14ac:dyDescent="0.25">
      <c r="B10836" s="73"/>
    </row>
    <row r="10837" spans="2:2" x14ac:dyDescent="0.25">
      <c r="B10837" s="73"/>
    </row>
    <row r="10838" spans="2:2" x14ac:dyDescent="0.25">
      <c r="B10838" s="73"/>
    </row>
    <row r="10839" spans="2:2" x14ac:dyDescent="0.25">
      <c r="B10839" s="73"/>
    </row>
    <row r="10840" spans="2:2" x14ac:dyDescent="0.25">
      <c r="B10840" s="73"/>
    </row>
    <row r="10841" spans="2:2" x14ac:dyDescent="0.25">
      <c r="B10841" s="73"/>
    </row>
    <row r="10842" spans="2:2" x14ac:dyDescent="0.25">
      <c r="B10842" s="73"/>
    </row>
    <row r="10843" spans="2:2" x14ac:dyDescent="0.25">
      <c r="B10843" s="73"/>
    </row>
    <row r="10844" spans="2:2" x14ac:dyDescent="0.25">
      <c r="B10844" s="73"/>
    </row>
    <row r="10845" spans="2:2" x14ac:dyDescent="0.25">
      <c r="B10845" s="73"/>
    </row>
    <row r="10846" spans="2:2" x14ac:dyDescent="0.25">
      <c r="B10846" s="73"/>
    </row>
    <row r="10847" spans="2:2" x14ac:dyDescent="0.25">
      <c r="B10847" s="73"/>
    </row>
    <row r="10848" spans="2:2" x14ac:dyDescent="0.25">
      <c r="B10848" s="73"/>
    </row>
    <row r="10849" spans="2:2" x14ac:dyDescent="0.25">
      <c r="B10849" s="73"/>
    </row>
    <row r="10850" spans="2:2" x14ac:dyDescent="0.25">
      <c r="B10850" s="73"/>
    </row>
    <row r="10851" spans="2:2" x14ac:dyDescent="0.25">
      <c r="B10851" s="73"/>
    </row>
    <row r="10852" spans="2:2" x14ac:dyDescent="0.25">
      <c r="B10852" s="73"/>
    </row>
    <row r="10853" spans="2:2" x14ac:dyDescent="0.25">
      <c r="B10853" s="73"/>
    </row>
    <row r="10854" spans="2:2" x14ac:dyDescent="0.25">
      <c r="B10854" s="73"/>
    </row>
    <row r="10855" spans="2:2" x14ac:dyDescent="0.25">
      <c r="B10855" s="73"/>
    </row>
    <row r="10856" spans="2:2" x14ac:dyDescent="0.25">
      <c r="B10856" s="73"/>
    </row>
    <row r="10857" spans="2:2" x14ac:dyDescent="0.25">
      <c r="B10857" s="73"/>
    </row>
    <row r="10858" spans="2:2" x14ac:dyDescent="0.25">
      <c r="B10858" s="73"/>
    </row>
    <row r="10859" spans="2:2" x14ac:dyDescent="0.25">
      <c r="B10859" s="73"/>
    </row>
    <row r="10860" spans="2:2" x14ac:dyDescent="0.25">
      <c r="B10860" s="73"/>
    </row>
    <row r="10861" spans="2:2" x14ac:dyDescent="0.25">
      <c r="B10861" s="73"/>
    </row>
    <row r="10862" spans="2:2" x14ac:dyDescent="0.25">
      <c r="B10862" s="73"/>
    </row>
    <row r="10863" spans="2:2" x14ac:dyDescent="0.25">
      <c r="B10863" s="73"/>
    </row>
    <row r="10864" spans="2:2" x14ac:dyDescent="0.25">
      <c r="B10864" s="73"/>
    </row>
    <row r="10865" spans="2:2" x14ac:dyDescent="0.25">
      <c r="B10865" s="73"/>
    </row>
    <row r="10866" spans="2:2" x14ac:dyDescent="0.25">
      <c r="B10866" s="73"/>
    </row>
    <row r="10867" spans="2:2" x14ac:dyDescent="0.25">
      <c r="B10867" s="73"/>
    </row>
    <row r="10868" spans="2:2" x14ac:dyDescent="0.25">
      <c r="B10868" s="73"/>
    </row>
    <row r="10869" spans="2:2" x14ac:dyDescent="0.25">
      <c r="B10869" s="73"/>
    </row>
    <row r="10870" spans="2:2" x14ac:dyDescent="0.25">
      <c r="B10870" s="73"/>
    </row>
    <row r="10871" spans="2:2" x14ac:dyDescent="0.25">
      <c r="B10871" s="73"/>
    </row>
    <row r="10872" spans="2:2" x14ac:dyDescent="0.25">
      <c r="B10872" s="73"/>
    </row>
    <row r="10873" spans="2:2" x14ac:dyDescent="0.25">
      <c r="B10873" s="73"/>
    </row>
    <row r="10874" spans="2:2" x14ac:dyDescent="0.25">
      <c r="B10874" s="73"/>
    </row>
    <row r="10875" spans="2:2" x14ac:dyDescent="0.25">
      <c r="B10875" s="73"/>
    </row>
    <row r="10876" spans="2:2" x14ac:dyDescent="0.25">
      <c r="B10876" s="73"/>
    </row>
    <row r="10877" spans="2:2" x14ac:dyDescent="0.25">
      <c r="B10877" s="73"/>
    </row>
    <row r="10878" spans="2:2" x14ac:dyDescent="0.25">
      <c r="B10878" s="73"/>
    </row>
    <row r="10879" spans="2:2" x14ac:dyDescent="0.25">
      <c r="B10879" s="73"/>
    </row>
    <row r="10880" spans="2:2" x14ac:dyDescent="0.25">
      <c r="B10880" s="73"/>
    </row>
    <row r="10881" spans="2:2" x14ac:dyDescent="0.25">
      <c r="B10881" s="73"/>
    </row>
    <row r="10882" spans="2:2" x14ac:dyDescent="0.25">
      <c r="B10882" s="73"/>
    </row>
    <row r="10883" spans="2:2" x14ac:dyDescent="0.25">
      <c r="B10883" s="73"/>
    </row>
    <row r="10884" spans="2:2" x14ac:dyDescent="0.25">
      <c r="B10884" s="73"/>
    </row>
    <row r="10885" spans="2:2" x14ac:dyDescent="0.25">
      <c r="B10885" s="73"/>
    </row>
    <row r="10886" spans="2:2" x14ac:dyDescent="0.25">
      <c r="B10886" s="73"/>
    </row>
    <row r="10887" spans="2:2" x14ac:dyDescent="0.25">
      <c r="B10887" s="73"/>
    </row>
    <row r="10888" spans="2:2" x14ac:dyDescent="0.25">
      <c r="B10888" s="73"/>
    </row>
    <row r="10889" spans="2:2" x14ac:dyDescent="0.25">
      <c r="B10889" s="73"/>
    </row>
    <row r="10890" spans="2:2" x14ac:dyDescent="0.25">
      <c r="B10890" s="73"/>
    </row>
    <row r="10891" spans="2:2" x14ac:dyDescent="0.25">
      <c r="B10891" s="73"/>
    </row>
    <row r="10892" spans="2:2" x14ac:dyDescent="0.25">
      <c r="B10892" s="73"/>
    </row>
    <row r="10893" spans="2:2" x14ac:dyDescent="0.25">
      <c r="B10893" s="73"/>
    </row>
    <row r="10894" spans="2:2" x14ac:dyDescent="0.25">
      <c r="B10894" s="73"/>
    </row>
    <row r="10895" spans="2:2" x14ac:dyDescent="0.25">
      <c r="B10895" s="73"/>
    </row>
    <row r="10896" spans="2:2" x14ac:dyDescent="0.25">
      <c r="B10896" s="73"/>
    </row>
    <row r="10897" spans="2:2" x14ac:dyDescent="0.25">
      <c r="B10897" s="73"/>
    </row>
    <row r="10898" spans="2:2" x14ac:dyDescent="0.25">
      <c r="B10898" s="73"/>
    </row>
    <row r="10899" spans="2:2" x14ac:dyDescent="0.25">
      <c r="B10899" s="73"/>
    </row>
    <row r="10900" spans="2:2" x14ac:dyDescent="0.25">
      <c r="B10900" s="73"/>
    </row>
    <row r="10901" spans="2:2" x14ac:dyDescent="0.25">
      <c r="B10901" s="73"/>
    </row>
    <row r="10902" spans="2:2" x14ac:dyDescent="0.25">
      <c r="B10902" s="73"/>
    </row>
    <row r="10903" spans="2:2" x14ac:dyDescent="0.25">
      <c r="B10903" s="73"/>
    </row>
    <row r="10904" spans="2:2" x14ac:dyDescent="0.25">
      <c r="B10904" s="73"/>
    </row>
    <row r="10905" spans="2:2" x14ac:dyDescent="0.25">
      <c r="B10905" s="73"/>
    </row>
    <row r="10906" spans="2:2" x14ac:dyDescent="0.25">
      <c r="B10906" s="73"/>
    </row>
    <row r="10907" spans="2:2" x14ac:dyDescent="0.25">
      <c r="B10907" s="73"/>
    </row>
    <row r="10908" spans="2:2" x14ac:dyDescent="0.25">
      <c r="B10908" s="73"/>
    </row>
    <row r="10909" spans="2:2" x14ac:dyDescent="0.25">
      <c r="B10909" s="73"/>
    </row>
    <row r="10910" spans="2:2" x14ac:dyDescent="0.25">
      <c r="B10910" s="73"/>
    </row>
    <row r="10911" spans="2:2" x14ac:dyDescent="0.25">
      <c r="B10911" s="73"/>
    </row>
    <row r="10912" spans="2:2" x14ac:dyDescent="0.25">
      <c r="B10912" s="73"/>
    </row>
    <row r="10913" spans="2:2" x14ac:dyDescent="0.25">
      <c r="B10913" s="73"/>
    </row>
    <row r="10914" spans="2:2" x14ac:dyDescent="0.25">
      <c r="B10914" s="73"/>
    </row>
    <row r="10915" spans="2:2" x14ac:dyDescent="0.25">
      <c r="B10915" s="73"/>
    </row>
    <row r="10916" spans="2:2" x14ac:dyDescent="0.25">
      <c r="B10916" s="73"/>
    </row>
    <row r="10917" spans="2:2" x14ac:dyDescent="0.25">
      <c r="B10917" s="73"/>
    </row>
    <row r="10918" spans="2:2" x14ac:dyDescent="0.25">
      <c r="B10918" s="73"/>
    </row>
    <row r="10919" spans="2:2" x14ac:dyDescent="0.25">
      <c r="B10919" s="73"/>
    </row>
    <row r="10920" spans="2:2" x14ac:dyDescent="0.25">
      <c r="B10920" s="73"/>
    </row>
    <row r="10921" spans="2:2" x14ac:dyDescent="0.25">
      <c r="B10921" s="73"/>
    </row>
    <row r="10922" spans="2:2" x14ac:dyDescent="0.25">
      <c r="B10922" s="73"/>
    </row>
    <row r="10923" spans="2:2" x14ac:dyDescent="0.25">
      <c r="B10923" s="73"/>
    </row>
    <row r="10924" spans="2:2" x14ac:dyDescent="0.25">
      <c r="B10924" s="73"/>
    </row>
    <row r="10925" spans="2:2" x14ac:dyDescent="0.25">
      <c r="B10925" s="73"/>
    </row>
    <row r="10926" spans="2:2" x14ac:dyDescent="0.25">
      <c r="B10926" s="73"/>
    </row>
    <row r="10927" spans="2:2" x14ac:dyDescent="0.25">
      <c r="B10927" s="73"/>
    </row>
    <row r="10928" spans="2:2" x14ac:dyDescent="0.25">
      <c r="B10928" s="73"/>
    </row>
    <row r="10929" spans="2:2" x14ac:dyDescent="0.25">
      <c r="B10929" s="73"/>
    </row>
    <row r="10930" spans="2:2" x14ac:dyDescent="0.25">
      <c r="B10930" s="73"/>
    </row>
    <row r="10931" spans="2:2" x14ac:dyDescent="0.25">
      <c r="B10931" s="73"/>
    </row>
    <row r="10932" spans="2:2" x14ac:dyDescent="0.25">
      <c r="B10932" s="73"/>
    </row>
    <row r="10933" spans="2:2" x14ac:dyDescent="0.25">
      <c r="B10933" s="73"/>
    </row>
    <row r="10934" spans="2:2" x14ac:dyDescent="0.25">
      <c r="B10934" s="73"/>
    </row>
    <row r="10935" spans="2:2" x14ac:dyDescent="0.25">
      <c r="B10935" s="73"/>
    </row>
    <row r="10936" spans="2:2" x14ac:dyDescent="0.25">
      <c r="B10936" s="73"/>
    </row>
    <row r="10937" spans="2:2" x14ac:dyDescent="0.25">
      <c r="B10937" s="73"/>
    </row>
    <row r="10938" spans="2:2" x14ac:dyDescent="0.25">
      <c r="B10938" s="73"/>
    </row>
    <row r="10939" spans="2:2" x14ac:dyDescent="0.25">
      <c r="B10939" s="73"/>
    </row>
    <row r="10940" spans="2:2" x14ac:dyDescent="0.25">
      <c r="B10940" s="73"/>
    </row>
    <row r="10941" spans="2:2" x14ac:dyDescent="0.25">
      <c r="B10941" s="73"/>
    </row>
    <row r="10942" spans="2:2" x14ac:dyDescent="0.25">
      <c r="B10942" s="73"/>
    </row>
    <row r="10943" spans="2:2" x14ac:dyDescent="0.25">
      <c r="B10943" s="73"/>
    </row>
    <row r="10944" spans="2:2" x14ac:dyDescent="0.25">
      <c r="B10944" s="73"/>
    </row>
    <row r="10945" spans="2:2" x14ac:dyDescent="0.25">
      <c r="B10945" s="73"/>
    </row>
    <row r="10946" spans="2:2" x14ac:dyDescent="0.25">
      <c r="B10946" s="73"/>
    </row>
    <row r="10947" spans="2:2" x14ac:dyDescent="0.25">
      <c r="B10947" s="73"/>
    </row>
    <row r="10948" spans="2:2" x14ac:dyDescent="0.25">
      <c r="B10948" s="73"/>
    </row>
    <row r="10949" spans="2:2" x14ac:dyDescent="0.25">
      <c r="B10949" s="73"/>
    </row>
    <row r="10950" spans="2:2" x14ac:dyDescent="0.25">
      <c r="B10950" s="73"/>
    </row>
    <row r="10951" spans="2:2" x14ac:dyDescent="0.25">
      <c r="B10951" s="73"/>
    </row>
    <row r="10952" spans="2:2" x14ac:dyDescent="0.25">
      <c r="B10952" s="73"/>
    </row>
    <row r="10953" spans="2:2" x14ac:dyDescent="0.25">
      <c r="B10953" s="73"/>
    </row>
    <row r="10954" spans="2:2" x14ac:dyDescent="0.25">
      <c r="B10954" s="73"/>
    </row>
    <row r="10955" spans="2:2" x14ac:dyDescent="0.25">
      <c r="B10955" s="73"/>
    </row>
    <row r="10956" spans="2:2" x14ac:dyDescent="0.25">
      <c r="B10956" s="73"/>
    </row>
    <row r="10957" spans="2:2" x14ac:dyDescent="0.25">
      <c r="B10957" s="73"/>
    </row>
    <row r="10958" spans="2:2" x14ac:dyDescent="0.25">
      <c r="B10958" s="73"/>
    </row>
    <row r="10959" spans="2:2" x14ac:dyDescent="0.25">
      <c r="B10959" s="73"/>
    </row>
    <row r="10960" spans="2:2" x14ac:dyDescent="0.25">
      <c r="B10960" s="73"/>
    </row>
    <row r="10961" spans="2:2" x14ac:dyDescent="0.25">
      <c r="B10961" s="73"/>
    </row>
    <row r="10962" spans="2:2" x14ac:dyDescent="0.25">
      <c r="B10962" s="73"/>
    </row>
    <row r="10963" spans="2:2" x14ac:dyDescent="0.25">
      <c r="B10963" s="73"/>
    </row>
    <row r="10964" spans="2:2" x14ac:dyDescent="0.25">
      <c r="B10964" s="73"/>
    </row>
    <row r="10965" spans="2:2" x14ac:dyDescent="0.25">
      <c r="B10965" s="73"/>
    </row>
    <row r="10966" spans="2:2" x14ac:dyDescent="0.25">
      <c r="B10966" s="73"/>
    </row>
    <row r="10967" spans="2:2" x14ac:dyDescent="0.25">
      <c r="B10967" s="73"/>
    </row>
    <row r="10968" spans="2:2" x14ac:dyDescent="0.25">
      <c r="B10968" s="73"/>
    </row>
    <row r="10969" spans="2:2" x14ac:dyDescent="0.25">
      <c r="B10969" s="73"/>
    </row>
    <row r="10970" spans="2:2" x14ac:dyDescent="0.25">
      <c r="B10970" s="73"/>
    </row>
    <row r="10971" spans="2:2" x14ac:dyDescent="0.25">
      <c r="B10971" s="73"/>
    </row>
    <row r="10972" spans="2:2" x14ac:dyDescent="0.25">
      <c r="B10972" s="73"/>
    </row>
    <row r="10973" spans="2:2" x14ac:dyDescent="0.25">
      <c r="B10973" s="73"/>
    </row>
    <row r="10974" spans="2:2" x14ac:dyDescent="0.25">
      <c r="B10974" s="73"/>
    </row>
    <row r="10975" spans="2:2" x14ac:dyDescent="0.25">
      <c r="B10975" s="73"/>
    </row>
    <row r="10976" spans="2:2" x14ac:dyDescent="0.25">
      <c r="B10976" s="73"/>
    </row>
    <row r="10977" spans="2:2" x14ac:dyDescent="0.25">
      <c r="B10977" s="73"/>
    </row>
    <row r="10978" spans="2:2" x14ac:dyDescent="0.25">
      <c r="B10978" s="73"/>
    </row>
    <row r="10979" spans="2:2" x14ac:dyDescent="0.25">
      <c r="B10979" s="73"/>
    </row>
    <row r="10980" spans="2:2" x14ac:dyDescent="0.25">
      <c r="B10980" s="73"/>
    </row>
    <row r="10981" spans="2:2" x14ac:dyDescent="0.25">
      <c r="B10981" s="73"/>
    </row>
    <row r="10982" spans="2:2" x14ac:dyDescent="0.25">
      <c r="B10982" s="73"/>
    </row>
    <row r="10983" spans="2:2" x14ac:dyDescent="0.25">
      <c r="B10983" s="73"/>
    </row>
    <row r="10984" spans="2:2" x14ac:dyDescent="0.25">
      <c r="B10984" s="73"/>
    </row>
    <row r="10985" spans="2:2" x14ac:dyDescent="0.25">
      <c r="B10985" s="73"/>
    </row>
    <row r="10986" spans="2:2" x14ac:dyDescent="0.25">
      <c r="B10986" s="73"/>
    </row>
    <row r="10987" spans="2:2" x14ac:dyDescent="0.25">
      <c r="B10987" s="73"/>
    </row>
    <row r="10988" spans="2:2" x14ac:dyDescent="0.25">
      <c r="B10988" s="73"/>
    </row>
    <row r="10989" spans="2:2" x14ac:dyDescent="0.25">
      <c r="B10989" s="73"/>
    </row>
    <row r="10990" spans="2:2" x14ac:dyDescent="0.25">
      <c r="B10990" s="73"/>
    </row>
    <row r="10991" spans="2:2" x14ac:dyDescent="0.25">
      <c r="B10991" s="73"/>
    </row>
    <row r="10992" spans="2:2" x14ac:dyDescent="0.25">
      <c r="B10992" s="73"/>
    </row>
    <row r="10993" spans="2:2" x14ac:dyDescent="0.25">
      <c r="B10993" s="73"/>
    </row>
    <row r="10994" spans="2:2" x14ac:dyDescent="0.25">
      <c r="B10994" s="73"/>
    </row>
    <row r="10995" spans="2:2" x14ac:dyDescent="0.25">
      <c r="B10995" s="73"/>
    </row>
    <row r="10996" spans="2:2" x14ac:dyDescent="0.25">
      <c r="B10996" s="73"/>
    </row>
    <row r="10997" spans="2:2" x14ac:dyDescent="0.25">
      <c r="B10997" s="73"/>
    </row>
    <row r="10998" spans="2:2" x14ac:dyDescent="0.25">
      <c r="B10998" s="73"/>
    </row>
    <row r="10999" spans="2:2" x14ac:dyDescent="0.25">
      <c r="B10999" s="73"/>
    </row>
    <row r="11000" spans="2:2" x14ac:dyDescent="0.25">
      <c r="B11000" s="73"/>
    </row>
    <row r="11001" spans="2:2" x14ac:dyDescent="0.25">
      <c r="B11001" s="73"/>
    </row>
    <row r="11002" spans="2:2" x14ac:dyDescent="0.25">
      <c r="B11002" s="73"/>
    </row>
    <row r="11003" spans="2:2" x14ac:dyDescent="0.25">
      <c r="B11003" s="73"/>
    </row>
    <row r="11004" spans="2:2" x14ac:dyDescent="0.25">
      <c r="B11004" s="73"/>
    </row>
    <row r="11005" spans="2:2" x14ac:dyDescent="0.25">
      <c r="B11005" s="73"/>
    </row>
    <row r="11006" spans="2:2" x14ac:dyDescent="0.25">
      <c r="B11006" s="73"/>
    </row>
    <row r="11007" spans="2:2" x14ac:dyDescent="0.25">
      <c r="B11007" s="73"/>
    </row>
    <row r="11008" spans="2:2" x14ac:dyDescent="0.25">
      <c r="B11008" s="73"/>
    </row>
    <row r="11009" spans="2:2" x14ac:dyDescent="0.25">
      <c r="B11009" s="73"/>
    </row>
    <row r="11010" spans="2:2" x14ac:dyDescent="0.25">
      <c r="B11010" s="73"/>
    </row>
    <row r="11011" spans="2:2" x14ac:dyDescent="0.25">
      <c r="B11011" s="73"/>
    </row>
    <row r="11012" spans="2:2" x14ac:dyDescent="0.25">
      <c r="B11012" s="73"/>
    </row>
    <row r="11013" spans="2:2" x14ac:dyDescent="0.25">
      <c r="B11013" s="73"/>
    </row>
    <row r="11014" spans="2:2" x14ac:dyDescent="0.25">
      <c r="B11014" s="73"/>
    </row>
    <row r="11015" spans="2:2" x14ac:dyDescent="0.25">
      <c r="B11015" s="73"/>
    </row>
    <row r="11016" spans="2:2" x14ac:dyDescent="0.25">
      <c r="B11016" s="73"/>
    </row>
    <row r="11017" spans="2:2" x14ac:dyDescent="0.25">
      <c r="B11017" s="73"/>
    </row>
    <row r="11018" spans="2:2" x14ac:dyDescent="0.25">
      <c r="B11018" s="73"/>
    </row>
    <row r="11019" spans="2:2" x14ac:dyDescent="0.25">
      <c r="B11019" s="73"/>
    </row>
    <row r="11020" spans="2:2" x14ac:dyDescent="0.25">
      <c r="B11020" s="73"/>
    </row>
    <row r="11021" spans="2:2" x14ac:dyDescent="0.25">
      <c r="B11021" s="73"/>
    </row>
    <row r="11022" spans="2:2" x14ac:dyDescent="0.25">
      <c r="B11022" s="73"/>
    </row>
    <row r="11023" spans="2:2" x14ac:dyDescent="0.25">
      <c r="B11023" s="73"/>
    </row>
    <row r="11024" spans="2:2" x14ac:dyDescent="0.25">
      <c r="B11024" s="73"/>
    </row>
    <row r="11025" spans="2:2" x14ac:dyDescent="0.25">
      <c r="B11025" s="73"/>
    </row>
    <row r="11026" spans="2:2" x14ac:dyDescent="0.25">
      <c r="B11026" s="73"/>
    </row>
    <row r="11027" spans="2:2" x14ac:dyDescent="0.25">
      <c r="B11027" s="73"/>
    </row>
    <row r="11028" spans="2:2" x14ac:dyDescent="0.25">
      <c r="B11028" s="73"/>
    </row>
    <row r="11029" spans="2:2" x14ac:dyDescent="0.25">
      <c r="B11029" s="73"/>
    </row>
    <row r="11030" spans="2:2" x14ac:dyDescent="0.25">
      <c r="B11030" s="73"/>
    </row>
    <row r="11031" spans="2:2" x14ac:dyDescent="0.25">
      <c r="B11031" s="73"/>
    </row>
    <row r="11032" spans="2:2" x14ac:dyDescent="0.25">
      <c r="B11032" s="73"/>
    </row>
    <row r="11033" spans="2:2" x14ac:dyDescent="0.25">
      <c r="B11033" s="73"/>
    </row>
    <row r="11034" spans="2:2" x14ac:dyDescent="0.25">
      <c r="B11034" s="73"/>
    </row>
    <row r="11035" spans="2:2" x14ac:dyDescent="0.25">
      <c r="B11035" s="73"/>
    </row>
    <row r="11036" spans="2:2" x14ac:dyDescent="0.25">
      <c r="B11036" s="73"/>
    </row>
    <row r="11037" spans="2:2" x14ac:dyDescent="0.25">
      <c r="B11037" s="73"/>
    </row>
    <row r="11038" spans="2:2" x14ac:dyDescent="0.25">
      <c r="B11038" s="73"/>
    </row>
    <row r="11039" spans="2:2" x14ac:dyDescent="0.25">
      <c r="B11039" s="73"/>
    </row>
    <row r="11040" spans="2:2" x14ac:dyDescent="0.25">
      <c r="B11040" s="73"/>
    </row>
    <row r="11041" spans="2:2" x14ac:dyDescent="0.25">
      <c r="B11041" s="73"/>
    </row>
    <row r="11042" spans="2:2" x14ac:dyDescent="0.25">
      <c r="B11042" s="73"/>
    </row>
    <row r="11043" spans="2:2" x14ac:dyDescent="0.25">
      <c r="B11043" s="73"/>
    </row>
    <row r="11044" spans="2:2" x14ac:dyDescent="0.25">
      <c r="B11044" s="73"/>
    </row>
    <row r="11045" spans="2:2" x14ac:dyDescent="0.25">
      <c r="B11045" s="73"/>
    </row>
    <row r="11046" spans="2:2" x14ac:dyDescent="0.25">
      <c r="B11046" s="73"/>
    </row>
    <row r="11047" spans="2:2" x14ac:dyDescent="0.25">
      <c r="B11047" s="73"/>
    </row>
    <row r="11048" spans="2:2" x14ac:dyDescent="0.25">
      <c r="B11048" s="73"/>
    </row>
    <row r="11049" spans="2:2" x14ac:dyDescent="0.25">
      <c r="B11049" s="73"/>
    </row>
    <row r="11050" spans="2:2" x14ac:dyDescent="0.25">
      <c r="B11050" s="73"/>
    </row>
    <row r="11051" spans="2:2" x14ac:dyDescent="0.25">
      <c r="B11051" s="73"/>
    </row>
    <row r="11052" spans="2:2" x14ac:dyDescent="0.25">
      <c r="B11052" s="73"/>
    </row>
    <row r="11053" spans="2:2" x14ac:dyDescent="0.25">
      <c r="B11053" s="73"/>
    </row>
    <row r="11054" spans="2:2" x14ac:dyDescent="0.25">
      <c r="B11054" s="73"/>
    </row>
    <row r="11055" spans="2:2" x14ac:dyDescent="0.25">
      <c r="B11055" s="73"/>
    </row>
    <row r="11056" spans="2:2" x14ac:dyDescent="0.25">
      <c r="B11056" s="73"/>
    </row>
    <row r="11057" spans="2:2" x14ac:dyDescent="0.25">
      <c r="B11057" s="73"/>
    </row>
    <row r="11058" spans="2:2" x14ac:dyDescent="0.25">
      <c r="B11058" s="73"/>
    </row>
    <row r="11059" spans="2:2" x14ac:dyDescent="0.25">
      <c r="B11059" s="73"/>
    </row>
    <row r="11060" spans="2:2" x14ac:dyDescent="0.25">
      <c r="B11060" s="73"/>
    </row>
    <row r="11061" spans="2:2" x14ac:dyDescent="0.25">
      <c r="B11061" s="73"/>
    </row>
    <row r="11062" spans="2:2" x14ac:dyDescent="0.25">
      <c r="B11062" s="73"/>
    </row>
    <row r="11063" spans="2:2" x14ac:dyDescent="0.25">
      <c r="B11063" s="73"/>
    </row>
    <row r="11064" spans="2:2" x14ac:dyDescent="0.25">
      <c r="B11064" s="73"/>
    </row>
    <row r="11065" spans="2:2" x14ac:dyDescent="0.25">
      <c r="B11065" s="73"/>
    </row>
    <row r="11066" spans="2:2" x14ac:dyDescent="0.25">
      <c r="B11066" s="73"/>
    </row>
    <row r="11067" spans="2:2" x14ac:dyDescent="0.25">
      <c r="B11067" s="73"/>
    </row>
    <row r="11068" spans="2:2" x14ac:dyDescent="0.25">
      <c r="B11068" s="73"/>
    </row>
    <row r="11069" spans="2:2" x14ac:dyDescent="0.25">
      <c r="B11069" s="73"/>
    </row>
    <row r="11070" spans="2:2" x14ac:dyDescent="0.25">
      <c r="B11070" s="73"/>
    </row>
    <row r="11071" spans="2:2" x14ac:dyDescent="0.25">
      <c r="B11071" s="73"/>
    </row>
    <row r="11072" spans="2:2" x14ac:dyDescent="0.25">
      <c r="B11072" s="73"/>
    </row>
    <row r="11073" spans="2:2" x14ac:dyDescent="0.25">
      <c r="B11073" s="73"/>
    </row>
    <row r="11074" spans="2:2" x14ac:dyDescent="0.25">
      <c r="B11074" s="73"/>
    </row>
    <row r="11075" spans="2:2" x14ac:dyDescent="0.25">
      <c r="B11075" s="73"/>
    </row>
    <row r="11076" spans="2:2" x14ac:dyDescent="0.25">
      <c r="B11076" s="73"/>
    </row>
    <row r="11077" spans="2:2" x14ac:dyDescent="0.25">
      <c r="B11077" s="73"/>
    </row>
    <row r="11078" spans="2:2" x14ac:dyDescent="0.25">
      <c r="B11078" s="73"/>
    </row>
    <row r="11079" spans="2:2" x14ac:dyDescent="0.25">
      <c r="B11079" s="73"/>
    </row>
    <row r="11080" spans="2:2" x14ac:dyDescent="0.25">
      <c r="B11080" s="73"/>
    </row>
    <row r="11081" spans="2:2" x14ac:dyDescent="0.25">
      <c r="B11081" s="73"/>
    </row>
    <row r="11082" spans="2:2" x14ac:dyDescent="0.25">
      <c r="B11082" s="73"/>
    </row>
    <row r="11083" spans="2:2" x14ac:dyDescent="0.25">
      <c r="B11083" s="73"/>
    </row>
    <row r="11084" spans="2:2" x14ac:dyDescent="0.25">
      <c r="B11084" s="73"/>
    </row>
    <row r="11085" spans="2:2" x14ac:dyDescent="0.25">
      <c r="B11085" s="73"/>
    </row>
    <row r="11086" spans="2:2" x14ac:dyDescent="0.25">
      <c r="B11086" s="73"/>
    </row>
    <row r="11087" spans="2:2" x14ac:dyDescent="0.25">
      <c r="B11087" s="73"/>
    </row>
    <row r="11088" spans="2:2" x14ac:dyDescent="0.25">
      <c r="B11088" s="73"/>
    </row>
    <row r="11089" spans="2:2" x14ac:dyDescent="0.25">
      <c r="B11089" s="73"/>
    </row>
    <row r="11090" spans="2:2" x14ac:dyDescent="0.25">
      <c r="B11090" s="73"/>
    </row>
    <row r="11091" spans="2:2" x14ac:dyDescent="0.25">
      <c r="B11091" s="73"/>
    </row>
    <row r="11092" spans="2:2" x14ac:dyDescent="0.25">
      <c r="B11092" s="73"/>
    </row>
    <row r="11093" spans="2:2" x14ac:dyDescent="0.25">
      <c r="B11093" s="73"/>
    </row>
    <row r="11094" spans="2:2" x14ac:dyDescent="0.25">
      <c r="B11094" s="73"/>
    </row>
    <row r="11095" spans="2:2" x14ac:dyDescent="0.25">
      <c r="B11095" s="73"/>
    </row>
    <row r="11096" spans="2:2" x14ac:dyDescent="0.25">
      <c r="B11096" s="73"/>
    </row>
    <row r="11097" spans="2:2" x14ac:dyDescent="0.25">
      <c r="B11097" s="73"/>
    </row>
    <row r="11098" spans="2:2" x14ac:dyDescent="0.25">
      <c r="B11098" s="73"/>
    </row>
    <row r="11099" spans="2:2" x14ac:dyDescent="0.25">
      <c r="B11099" s="73"/>
    </row>
    <row r="11100" spans="2:2" x14ac:dyDescent="0.25">
      <c r="B11100" s="73"/>
    </row>
    <row r="11101" spans="2:2" x14ac:dyDescent="0.25">
      <c r="B11101" s="73"/>
    </row>
    <row r="11102" spans="2:2" x14ac:dyDescent="0.25">
      <c r="B11102" s="73"/>
    </row>
    <row r="11103" spans="2:2" x14ac:dyDescent="0.25">
      <c r="B11103" s="73"/>
    </row>
    <row r="11104" spans="2:2" x14ac:dyDescent="0.25">
      <c r="B11104" s="73"/>
    </row>
    <row r="11105" spans="2:2" x14ac:dyDescent="0.25">
      <c r="B11105" s="73"/>
    </row>
    <row r="11106" spans="2:2" x14ac:dyDescent="0.25">
      <c r="B11106" s="73"/>
    </row>
    <row r="11107" spans="2:2" x14ac:dyDescent="0.25">
      <c r="B11107" s="73"/>
    </row>
    <row r="11108" spans="2:2" x14ac:dyDescent="0.25">
      <c r="B11108" s="73"/>
    </row>
    <row r="11109" spans="2:2" x14ac:dyDescent="0.25">
      <c r="B11109" s="73"/>
    </row>
    <row r="11110" spans="2:2" x14ac:dyDescent="0.25">
      <c r="B11110" s="73"/>
    </row>
    <row r="11111" spans="2:2" x14ac:dyDescent="0.25">
      <c r="B11111" s="73"/>
    </row>
    <row r="11112" spans="2:2" x14ac:dyDescent="0.25">
      <c r="B11112" s="73"/>
    </row>
    <row r="11113" spans="2:2" x14ac:dyDescent="0.25">
      <c r="B11113" s="73"/>
    </row>
    <row r="11114" spans="2:2" x14ac:dyDescent="0.25">
      <c r="B11114" s="73"/>
    </row>
    <row r="11115" spans="2:2" x14ac:dyDescent="0.25">
      <c r="B11115" s="73"/>
    </row>
    <row r="11116" spans="2:2" x14ac:dyDescent="0.25">
      <c r="B11116" s="73"/>
    </row>
    <row r="11117" spans="2:2" x14ac:dyDescent="0.25">
      <c r="B11117" s="73"/>
    </row>
    <row r="11118" spans="2:2" x14ac:dyDescent="0.25">
      <c r="B11118" s="73"/>
    </row>
    <row r="11119" spans="2:2" x14ac:dyDescent="0.25">
      <c r="B11119" s="73"/>
    </row>
    <row r="11120" spans="2:2" x14ac:dyDescent="0.25">
      <c r="B11120" s="73"/>
    </row>
    <row r="11121" spans="2:2" x14ac:dyDescent="0.25">
      <c r="B11121" s="73"/>
    </row>
    <row r="11122" spans="2:2" x14ac:dyDescent="0.25">
      <c r="B11122" s="73"/>
    </row>
    <row r="11123" spans="2:2" x14ac:dyDescent="0.25">
      <c r="B11123" s="73"/>
    </row>
    <row r="11124" spans="2:2" x14ac:dyDescent="0.25">
      <c r="B11124" s="73"/>
    </row>
    <row r="11125" spans="2:2" x14ac:dyDescent="0.25">
      <c r="B11125" s="73"/>
    </row>
    <row r="11126" spans="2:2" x14ac:dyDescent="0.25">
      <c r="B11126" s="73"/>
    </row>
    <row r="11127" spans="2:2" x14ac:dyDescent="0.25">
      <c r="B11127" s="73"/>
    </row>
    <row r="11128" spans="2:2" x14ac:dyDescent="0.25">
      <c r="B11128" s="73"/>
    </row>
    <row r="11129" spans="2:2" x14ac:dyDescent="0.25">
      <c r="B11129" s="73"/>
    </row>
    <row r="11130" spans="2:2" x14ac:dyDescent="0.25">
      <c r="B11130" s="73"/>
    </row>
    <row r="11131" spans="2:2" x14ac:dyDescent="0.25">
      <c r="B11131" s="73"/>
    </row>
    <row r="11132" spans="2:2" x14ac:dyDescent="0.25">
      <c r="B11132" s="73"/>
    </row>
    <row r="11133" spans="2:2" x14ac:dyDescent="0.25">
      <c r="B11133" s="73"/>
    </row>
    <row r="11134" spans="2:2" x14ac:dyDescent="0.25">
      <c r="B11134" s="73"/>
    </row>
    <row r="11135" spans="2:2" x14ac:dyDescent="0.25">
      <c r="B11135" s="73"/>
    </row>
    <row r="11136" spans="2:2" x14ac:dyDescent="0.25">
      <c r="B11136" s="73"/>
    </row>
    <row r="11137" spans="2:2" x14ac:dyDescent="0.25">
      <c r="B11137" s="73"/>
    </row>
    <row r="11138" spans="2:2" x14ac:dyDescent="0.25">
      <c r="B11138" s="73"/>
    </row>
    <row r="11139" spans="2:2" x14ac:dyDescent="0.25">
      <c r="B11139" s="73"/>
    </row>
    <row r="11140" spans="2:2" x14ac:dyDescent="0.25">
      <c r="B11140" s="73"/>
    </row>
    <row r="11141" spans="2:2" x14ac:dyDescent="0.25">
      <c r="B11141" s="73"/>
    </row>
    <row r="11142" spans="2:2" x14ac:dyDescent="0.25">
      <c r="B11142" s="73"/>
    </row>
    <row r="11143" spans="2:2" x14ac:dyDescent="0.25">
      <c r="B11143" s="73"/>
    </row>
    <row r="11144" spans="2:2" x14ac:dyDescent="0.25">
      <c r="B11144" s="73"/>
    </row>
    <row r="11145" spans="2:2" x14ac:dyDescent="0.25">
      <c r="B11145" s="73"/>
    </row>
    <row r="11146" spans="2:2" x14ac:dyDescent="0.25">
      <c r="B11146" s="73"/>
    </row>
    <row r="11147" spans="2:2" x14ac:dyDescent="0.25">
      <c r="B11147" s="73"/>
    </row>
    <row r="11148" spans="2:2" x14ac:dyDescent="0.25">
      <c r="B11148" s="73"/>
    </row>
    <row r="11149" spans="2:2" x14ac:dyDescent="0.25">
      <c r="B11149" s="73"/>
    </row>
    <row r="11150" spans="2:2" x14ac:dyDescent="0.25">
      <c r="B11150" s="73"/>
    </row>
    <row r="11151" spans="2:2" x14ac:dyDescent="0.25">
      <c r="B11151" s="73"/>
    </row>
    <row r="11152" spans="2:2" x14ac:dyDescent="0.25">
      <c r="B11152" s="73"/>
    </row>
    <row r="11153" spans="2:2" x14ac:dyDescent="0.25">
      <c r="B11153" s="73"/>
    </row>
    <row r="11154" spans="2:2" x14ac:dyDescent="0.25">
      <c r="B11154" s="73"/>
    </row>
    <row r="11155" spans="2:2" x14ac:dyDescent="0.25">
      <c r="B11155" s="73"/>
    </row>
    <row r="11156" spans="2:2" x14ac:dyDescent="0.25">
      <c r="B11156" s="73"/>
    </row>
    <row r="11157" spans="2:2" x14ac:dyDescent="0.25">
      <c r="B11157" s="73"/>
    </row>
    <row r="11158" spans="2:2" x14ac:dyDescent="0.25">
      <c r="B11158" s="73"/>
    </row>
    <row r="11159" spans="2:2" x14ac:dyDescent="0.25">
      <c r="B11159" s="73"/>
    </row>
    <row r="11160" spans="2:2" x14ac:dyDescent="0.25">
      <c r="B11160" s="73"/>
    </row>
    <row r="11161" spans="2:2" x14ac:dyDescent="0.25">
      <c r="B11161" s="73"/>
    </row>
    <row r="11162" spans="2:2" x14ac:dyDescent="0.25">
      <c r="B11162" s="73"/>
    </row>
    <row r="11163" spans="2:2" x14ac:dyDescent="0.25">
      <c r="B11163" s="73"/>
    </row>
    <row r="11164" spans="2:2" x14ac:dyDescent="0.25">
      <c r="B11164" s="73"/>
    </row>
    <row r="11165" spans="2:2" x14ac:dyDescent="0.25">
      <c r="B11165" s="73"/>
    </row>
    <row r="11166" spans="2:2" x14ac:dyDescent="0.25">
      <c r="B11166" s="73"/>
    </row>
    <row r="11167" spans="2:2" x14ac:dyDescent="0.25">
      <c r="B11167" s="73"/>
    </row>
    <row r="11168" spans="2:2" x14ac:dyDescent="0.25">
      <c r="B11168" s="73"/>
    </row>
    <row r="11169" spans="2:2" x14ac:dyDescent="0.25">
      <c r="B11169" s="73"/>
    </row>
    <row r="11170" spans="2:2" x14ac:dyDescent="0.25">
      <c r="B11170" s="73"/>
    </row>
    <row r="11171" spans="2:2" x14ac:dyDescent="0.25">
      <c r="B11171" s="73"/>
    </row>
    <row r="11172" spans="2:2" x14ac:dyDescent="0.25">
      <c r="B11172" s="73"/>
    </row>
    <row r="11173" spans="2:2" x14ac:dyDescent="0.25">
      <c r="B11173" s="73"/>
    </row>
    <row r="11174" spans="2:2" x14ac:dyDescent="0.25">
      <c r="B11174" s="73"/>
    </row>
    <row r="11175" spans="2:2" x14ac:dyDescent="0.25">
      <c r="B11175" s="73"/>
    </row>
    <row r="11176" spans="2:2" x14ac:dyDescent="0.25">
      <c r="B11176" s="73"/>
    </row>
    <row r="11177" spans="2:2" x14ac:dyDescent="0.25">
      <c r="B11177" s="73"/>
    </row>
    <row r="11178" spans="2:2" x14ac:dyDescent="0.25">
      <c r="B11178" s="73"/>
    </row>
    <row r="11179" spans="2:2" x14ac:dyDescent="0.25">
      <c r="B11179" s="73"/>
    </row>
    <row r="11180" spans="2:2" x14ac:dyDescent="0.25">
      <c r="B11180" s="73"/>
    </row>
    <row r="11181" spans="2:2" x14ac:dyDescent="0.25">
      <c r="B11181" s="73"/>
    </row>
    <row r="11182" spans="2:2" x14ac:dyDescent="0.25">
      <c r="B11182" s="73"/>
    </row>
    <row r="11183" spans="2:2" x14ac:dyDescent="0.25">
      <c r="B11183" s="73"/>
    </row>
    <row r="11184" spans="2:2" x14ac:dyDescent="0.25">
      <c r="B11184" s="73"/>
    </row>
    <row r="11185" spans="2:2" x14ac:dyDescent="0.25">
      <c r="B11185" s="73"/>
    </row>
    <row r="11186" spans="2:2" x14ac:dyDescent="0.25">
      <c r="B11186" s="73"/>
    </row>
    <row r="11187" spans="2:2" x14ac:dyDescent="0.25">
      <c r="B11187" s="73"/>
    </row>
    <row r="11188" spans="2:2" x14ac:dyDescent="0.25">
      <c r="B11188" s="73"/>
    </row>
    <row r="11189" spans="2:2" x14ac:dyDescent="0.25">
      <c r="B11189" s="73"/>
    </row>
    <row r="11190" spans="2:2" x14ac:dyDescent="0.25">
      <c r="B11190" s="73"/>
    </row>
    <row r="11191" spans="2:2" x14ac:dyDescent="0.25">
      <c r="B11191" s="73"/>
    </row>
    <row r="11192" spans="2:2" x14ac:dyDescent="0.25">
      <c r="B11192" s="73"/>
    </row>
    <row r="11193" spans="2:2" x14ac:dyDescent="0.25">
      <c r="B11193" s="73"/>
    </row>
    <row r="11194" spans="2:2" x14ac:dyDescent="0.25">
      <c r="B11194" s="73"/>
    </row>
    <row r="11195" spans="2:2" x14ac:dyDescent="0.25">
      <c r="B11195" s="73"/>
    </row>
    <row r="11196" spans="2:2" x14ac:dyDescent="0.25">
      <c r="B11196" s="73"/>
    </row>
    <row r="11197" spans="2:2" x14ac:dyDescent="0.25">
      <c r="B11197" s="73"/>
    </row>
    <row r="11198" spans="2:2" x14ac:dyDescent="0.25">
      <c r="B11198" s="73"/>
    </row>
    <row r="11199" spans="2:2" x14ac:dyDescent="0.25">
      <c r="B11199" s="73"/>
    </row>
    <row r="11200" spans="2:2" x14ac:dyDescent="0.25">
      <c r="B11200" s="73"/>
    </row>
    <row r="11201" spans="2:2" x14ac:dyDescent="0.25">
      <c r="B11201" s="73"/>
    </row>
    <row r="11202" spans="2:2" x14ac:dyDescent="0.25">
      <c r="B11202" s="73"/>
    </row>
    <row r="11203" spans="2:2" x14ac:dyDescent="0.25">
      <c r="B11203" s="73"/>
    </row>
    <row r="11204" spans="2:2" x14ac:dyDescent="0.25">
      <c r="B11204" s="73"/>
    </row>
    <row r="11205" spans="2:2" x14ac:dyDescent="0.25">
      <c r="B11205" s="73"/>
    </row>
    <row r="11206" spans="2:2" x14ac:dyDescent="0.25">
      <c r="B11206" s="73"/>
    </row>
    <row r="11207" spans="2:2" x14ac:dyDescent="0.25">
      <c r="B11207" s="73"/>
    </row>
    <row r="11208" spans="2:2" x14ac:dyDescent="0.25">
      <c r="B11208" s="73"/>
    </row>
    <row r="11209" spans="2:2" x14ac:dyDescent="0.25">
      <c r="B11209" s="73"/>
    </row>
    <row r="11210" spans="2:2" x14ac:dyDescent="0.25">
      <c r="B11210" s="73"/>
    </row>
    <row r="11211" spans="2:2" x14ac:dyDescent="0.25">
      <c r="B11211" s="73"/>
    </row>
    <row r="11212" spans="2:2" x14ac:dyDescent="0.25">
      <c r="B11212" s="73"/>
    </row>
    <row r="11213" spans="2:2" x14ac:dyDescent="0.25">
      <c r="B11213" s="73"/>
    </row>
    <row r="11214" spans="2:2" x14ac:dyDescent="0.25">
      <c r="B11214" s="73"/>
    </row>
    <row r="11215" spans="2:2" x14ac:dyDescent="0.25">
      <c r="B11215" s="73"/>
    </row>
    <row r="11216" spans="2:2" x14ac:dyDescent="0.25">
      <c r="B11216" s="73"/>
    </row>
    <row r="11217" spans="2:2" x14ac:dyDescent="0.25">
      <c r="B11217" s="73"/>
    </row>
    <row r="11218" spans="2:2" x14ac:dyDescent="0.25">
      <c r="B11218" s="73"/>
    </row>
    <row r="11219" spans="2:2" x14ac:dyDescent="0.25">
      <c r="B11219" s="73"/>
    </row>
    <row r="11220" spans="2:2" x14ac:dyDescent="0.25">
      <c r="B11220" s="73"/>
    </row>
    <row r="11221" spans="2:2" x14ac:dyDescent="0.25">
      <c r="B11221" s="73"/>
    </row>
    <row r="11222" spans="2:2" x14ac:dyDescent="0.25">
      <c r="B11222" s="73"/>
    </row>
    <row r="11223" spans="2:2" x14ac:dyDescent="0.25">
      <c r="B11223" s="73"/>
    </row>
    <row r="11224" spans="2:2" x14ac:dyDescent="0.25">
      <c r="B11224" s="73"/>
    </row>
    <row r="11225" spans="2:2" x14ac:dyDescent="0.25">
      <c r="B11225" s="73"/>
    </row>
    <row r="11226" spans="2:2" x14ac:dyDescent="0.25">
      <c r="B11226" s="73"/>
    </row>
    <row r="11227" spans="2:2" x14ac:dyDescent="0.25">
      <c r="B11227" s="73"/>
    </row>
    <row r="11228" spans="2:2" x14ac:dyDescent="0.25">
      <c r="B11228" s="73"/>
    </row>
    <row r="11229" spans="2:2" x14ac:dyDescent="0.25">
      <c r="B11229" s="73"/>
    </row>
    <row r="11230" spans="2:2" x14ac:dyDescent="0.25">
      <c r="B11230" s="73"/>
    </row>
    <row r="11231" spans="2:2" x14ac:dyDescent="0.25">
      <c r="B11231" s="73"/>
    </row>
    <row r="11232" spans="2:2" x14ac:dyDescent="0.25">
      <c r="B11232" s="73"/>
    </row>
    <row r="11233" spans="2:2" x14ac:dyDescent="0.25">
      <c r="B11233" s="73"/>
    </row>
    <row r="11234" spans="2:2" x14ac:dyDescent="0.25">
      <c r="B11234" s="73"/>
    </row>
    <row r="11235" spans="2:2" x14ac:dyDescent="0.25">
      <c r="B11235" s="73"/>
    </row>
    <row r="11236" spans="2:2" x14ac:dyDescent="0.25">
      <c r="B11236" s="73"/>
    </row>
    <row r="11237" spans="2:2" x14ac:dyDescent="0.25">
      <c r="B11237" s="73"/>
    </row>
    <row r="11238" spans="2:2" x14ac:dyDescent="0.25">
      <c r="B11238" s="73"/>
    </row>
    <row r="11239" spans="2:2" x14ac:dyDescent="0.25">
      <c r="B11239" s="73"/>
    </row>
    <row r="11240" spans="2:2" x14ac:dyDescent="0.25">
      <c r="B11240" s="73"/>
    </row>
    <row r="11241" spans="2:2" x14ac:dyDescent="0.25">
      <c r="B11241" s="73"/>
    </row>
    <row r="11242" spans="2:2" x14ac:dyDescent="0.25">
      <c r="B11242" s="73"/>
    </row>
    <row r="11243" spans="2:2" x14ac:dyDescent="0.25">
      <c r="B11243" s="73"/>
    </row>
    <row r="11244" spans="2:2" x14ac:dyDescent="0.25">
      <c r="B11244" s="73"/>
    </row>
    <row r="11245" spans="2:2" x14ac:dyDescent="0.25">
      <c r="B11245" s="73"/>
    </row>
    <row r="11246" spans="2:2" x14ac:dyDescent="0.25">
      <c r="B11246" s="73"/>
    </row>
    <row r="11247" spans="2:2" x14ac:dyDescent="0.25">
      <c r="B11247" s="73"/>
    </row>
    <row r="11248" spans="2:2" x14ac:dyDescent="0.25">
      <c r="B11248" s="73"/>
    </row>
    <row r="11249" spans="2:2" x14ac:dyDescent="0.25">
      <c r="B11249" s="73"/>
    </row>
    <row r="11250" spans="2:2" x14ac:dyDescent="0.25">
      <c r="B11250" s="73"/>
    </row>
    <row r="11251" spans="2:2" x14ac:dyDescent="0.25">
      <c r="B11251" s="73"/>
    </row>
    <row r="11252" spans="2:2" x14ac:dyDescent="0.25">
      <c r="B11252" s="73"/>
    </row>
    <row r="11253" spans="2:2" x14ac:dyDescent="0.25">
      <c r="B11253" s="73"/>
    </row>
    <row r="11254" spans="2:2" x14ac:dyDescent="0.25">
      <c r="B11254" s="73"/>
    </row>
    <row r="11255" spans="2:2" x14ac:dyDescent="0.25">
      <c r="B11255" s="73"/>
    </row>
    <row r="11256" spans="2:2" x14ac:dyDescent="0.25">
      <c r="B11256" s="73"/>
    </row>
    <row r="11257" spans="2:2" x14ac:dyDescent="0.25">
      <c r="B11257" s="73"/>
    </row>
    <row r="11258" spans="2:2" x14ac:dyDescent="0.25">
      <c r="B11258" s="73"/>
    </row>
    <row r="11259" spans="2:2" x14ac:dyDescent="0.25">
      <c r="B11259" s="73"/>
    </row>
    <row r="11260" spans="2:2" x14ac:dyDescent="0.25">
      <c r="B11260" s="73"/>
    </row>
    <row r="11261" spans="2:2" x14ac:dyDescent="0.25">
      <c r="B11261" s="73"/>
    </row>
    <row r="11262" spans="2:2" x14ac:dyDescent="0.25">
      <c r="B11262" s="73"/>
    </row>
    <row r="11263" spans="2:2" x14ac:dyDescent="0.25">
      <c r="B11263" s="73"/>
    </row>
    <row r="11264" spans="2:2" x14ac:dyDescent="0.25">
      <c r="B11264" s="73"/>
    </row>
    <row r="11265" spans="2:2" x14ac:dyDescent="0.25">
      <c r="B11265" s="73"/>
    </row>
    <row r="11266" spans="2:2" x14ac:dyDescent="0.25">
      <c r="B11266" s="73"/>
    </row>
    <row r="11267" spans="2:2" x14ac:dyDescent="0.25">
      <c r="B11267" s="73"/>
    </row>
    <row r="11268" spans="2:2" x14ac:dyDescent="0.25">
      <c r="B11268" s="73"/>
    </row>
    <row r="11269" spans="2:2" x14ac:dyDescent="0.25">
      <c r="B11269" s="73"/>
    </row>
    <row r="11270" spans="2:2" x14ac:dyDescent="0.25">
      <c r="B11270" s="73"/>
    </row>
    <row r="11271" spans="2:2" x14ac:dyDescent="0.25">
      <c r="B11271" s="73"/>
    </row>
    <row r="11272" spans="2:2" x14ac:dyDescent="0.25">
      <c r="B11272" s="73"/>
    </row>
    <row r="11273" spans="2:2" x14ac:dyDescent="0.25">
      <c r="B11273" s="73"/>
    </row>
    <row r="11274" spans="2:2" x14ac:dyDescent="0.25">
      <c r="B11274" s="73"/>
    </row>
    <row r="11275" spans="2:2" x14ac:dyDescent="0.25">
      <c r="B11275" s="73"/>
    </row>
    <row r="11276" spans="2:2" x14ac:dyDescent="0.25">
      <c r="B11276" s="73"/>
    </row>
    <row r="11277" spans="2:2" x14ac:dyDescent="0.25">
      <c r="B11277" s="73"/>
    </row>
    <row r="11278" spans="2:2" x14ac:dyDescent="0.25">
      <c r="B11278" s="73"/>
    </row>
    <row r="11279" spans="2:2" x14ac:dyDescent="0.25">
      <c r="B11279" s="73"/>
    </row>
    <row r="11280" spans="2:2" x14ac:dyDescent="0.25">
      <c r="B11280" s="73"/>
    </row>
    <row r="11281" spans="2:2" x14ac:dyDescent="0.25">
      <c r="B11281" s="73"/>
    </row>
    <row r="11282" spans="2:2" x14ac:dyDescent="0.25">
      <c r="B11282" s="73"/>
    </row>
    <row r="11283" spans="2:2" x14ac:dyDescent="0.25">
      <c r="B11283" s="73"/>
    </row>
    <row r="11284" spans="2:2" x14ac:dyDescent="0.25">
      <c r="B11284" s="73"/>
    </row>
    <row r="11285" spans="2:2" x14ac:dyDescent="0.25">
      <c r="B11285" s="73"/>
    </row>
    <row r="11286" spans="2:2" x14ac:dyDescent="0.25">
      <c r="B11286" s="73"/>
    </row>
    <row r="11287" spans="2:2" x14ac:dyDescent="0.25">
      <c r="B11287" s="73"/>
    </row>
    <row r="11288" spans="2:2" x14ac:dyDescent="0.25">
      <c r="B11288" s="73"/>
    </row>
    <row r="11289" spans="2:2" x14ac:dyDescent="0.25">
      <c r="B11289" s="73"/>
    </row>
    <row r="11290" spans="2:2" x14ac:dyDescent="0.25">
      <c r="B11290" s="73"/>
    </row>
    <row r="11291" spans="2:2" x14ac:dyDescent="0.25">
      <c r="B11291" s="73"/>
    </row>
    <row r="11292" spans="2:2" x14ac:dyDescent="0.25">
      <c r="B11292" s="73"/>
    </row>
    <row r="11293" spans="2:2" x14ac:dyDescent="0.25">
      <c r="B11293" s="73"/>
    </row>
    <row r="11294" spans="2:2" x14ac:dyDescent="0.25">
      <c r="B11294" s="73"/>
    </row>
    <row r="11295" spans="2:2" x14ac:dyDescent="0.25">
      <c r="B11295" s="73"/>
    </row>
    <row r="11296" spans="2:2" x14ac:dyDescent="0.25">
      <c r="B11296" s="73"/>
    </row>
    <row r="11297" spans="2:2" x14ac:dyDescent="0.25">
      <c r="B11297" s="73"/>
    </row>
    <row r="11298" spans="2:2" x14ac:dyDescent="0.25">
      <c r="B11298" s="73"/>
    </row>
    <row r="11299" spans="2:2" x14ac:dyDescent="0.25">
      <c r="B11299" s="73"/>
    </row>
    <row r="11300" spans="2:2" x14ac:dyDescent="0.25">
      <c r="B11300" s="73"/>
    </row>
    <row r="11301" spans="2:2" x14ac:dyDescent="0.25">
      <c r="B11301" s="73"/>
    </row>
    <row r="11302" spans="2:2" x14ac:dyDescent="0.25">
      <c r="B11302" s="73"/>
    </row>
    <row r="11303" spans="2:2" x14ac:dyDescent="0.25">
      <c r="B11303" s="73"/>
    </row>
    <row r="11304" spans="2:2" x14ac:dyDescent="0.25">
      <c r="B11304" s="73"/>
    </row>
    <row r="11305" spans="2:2" x14ac:dyDescent="0.25">
      <c r="B11305" s="73"/>
    </row>
    <row r="11306" spans="2:2" x14ac:dyDescent="0.25">
      <c r="B11306" s="73"/>
    </row>
    <row r="11307" spans="2:2" x14ac:dyDescent="0.25">
      <c r="B11307" s="73"/>
    </row>
    <row r="11308" spans="2:2" x14ac:dyDescent="0.25">
      <c r="B11308" s="73"/>
    </row>
    <row r="11309" spans="2:2" x14ac:dyDescent="0.25">
      <c r="B11309" s="73"/>
    </row>
    <row r="11310" spans="2:2" x14ac:dyDescent="0.25">
      <c r="B11310" s="73"/>
    </row>
    <row r="11311" spans="2:2" x14ac:dyDescent="0.25">
      <c r="B11311" s="73"/>
    </row>
    <row r="11312" spans="2:2" x14ac:dyDescent="0.25">
      <c r="B11312" s="73"/>
    </row>
    <row r="11313" spans="2:2" x14ac:dyDescent="0.25">
      <c r="B11313" s="73"/>
    </row>
    <row r="11314" spans="2:2" x14ac:dyDescent="0.25">
      <c r="B11314" s="73"/>
    </row>
    <row r="11315" spans="2:2" x14ac:dyDescent="0.25">
      <c r="B11315" s="73"/>
    </row>
    <row r="11316" spans="2:2" x14ac:dyDescent="0.25">
      <c r="B11316" s="73"/>
    </row>
    <row r="11317" spans="2:2" x14ac:dyDescent="0.25">
      <c r="B11317" s="73"/>
    </row>
    <row r="11318" spans="2:2" x14ac:dyDescent="0.25">
      <c r="B11318" s="73"/>
    </row>
    <row r="11319" spans="2:2" x14ac:dyDescent="0.25">
      <c r="B11319" s="73"/>
    </row>
    <row r="11320" spans="2:2" x14ac:dyDescent="0.25">
      <c r="B11320" s="73"/>
    </row>
    <row r="11321" spans="2:2" x14ac:dyDescent="0.25">
      <c r="B11321" s="73"/>
    </row>
    <row r="11322" spans="2:2" x14ac:dyDescent="0.25">
      <c r="B11322" s="73"/>
    </row>
    <row r="11323" spans="2:2" x14ac:dyDescent="0.25">
      <c r="B11323" s="73"/>
    </row>
    <row r="11324" spans="2:2" x14ac:dyDescent="0.25">
      <c r="B11324" s="73"/>
    </row>
    <row r="11325" spans="2:2" x14ac:dyDescent="0.25">
      <c r="B11325" s="73"/>
    </row>
    <row r="11326" spans="2:2" x14ac:dyDescent="0.25">
      <c r="B11326" s="73"/>
    </row>
    <row r="11327" spans="2:2" x14ac:dyDescent="0.25">
      <c r="B11327" s="73"/>
    </row>
    <row r="11328" spans="2:2" x14ac:dyDescent="0.25">
      <c r="B11328" s="73"/>
    </row>
    <row r="11329" spans="2:2" x14ac:dyDescent="0.25">
      <c r="B11329" s="73"/>
    </row>
    <row r="11330" spans="2:2" x14ac:dyDescent="0.25">
      <c r="B11330" s="73"/>
    </row>
    <row r="11331" spans="2:2" x14ac:dyDescent="0.25">
      <c r="B11331" s="73"/>
    </row>
    <row r="11332" spans="2:2" x14ac:dyDescent="0.25">
      <c r="B11332" s="73"/>
    </row>
    <row r="11333" spans="2:2" x14ac:dyDescent="0.25">
      <c r="B11333" s="73"/>
    </row>
    <row r="11334" spans="2:2" x14ac:dyDescent="0.25">
      <c r="B11334" s="73"/>
    </row>
    <row r="11335" spans="2:2" x14ac:dyDescent="0.25">
      <c r="B11335" s="73"/>
    </row>
    <row r="11336" spans="2:2" x14ac:dyDescent="0.25">
      <c r="B11336" s="73"/>
    </row>
    <row r="11337" spans="2:2" x14ac:dyDescent="0.25">
      <c r="B11337" s="73"/>
    </row>
    <row r="11338" spans="2:2" x14ac:dyDescent="0.25">
      <c r="B11338" s="73"/>
    </row>
    <row r="11339" spans="2:2" x14ac:dyDescent="0.25">
      <c r="B11339" s="73"/>
    </row>
    <row r="11340" spans="2:2" x14ac:dyDescent="0.25">
      <c r="B11340" s="73"/>
    </row>
    <row r="11341" spans="2:2" x14ac:dyDescent="0.25">
      <c r="B11341" s="73"/>
    </row>
    <row r="11342" spans="2:2" x14ac:dyDescent="0.25">
      <c r="B11342" s="73"/>
    </row>
    <row r="11343" spans="2:2" x14ac:dyDescent="0.25">
      <c r="B11343" s="73"/>
    </row>
    <row r="11344" spans="2:2" x14ac:dyDescent="0.25">
      <c r="B11344" s="73"/>
    </row>
    <row r="11345" spans="2:2" x14ac:dyDescent="0.25">
      <c r="B11345" s="73"/>
    </row>
    <row r="11346" spans="2:2" x14ac:dyDescent="0.25">
      <c r="B11346" s="73"/>
    </row>
    <row r="11347" spans="2:2" x14ac:dyDescent="0.25">
      <c r="B11347" s="73"/>
    </row>
    <row r="11348" spans="2:2" x14ac:dyDescent="0.25">
      <c r="B11348" s="73"/>
    </row>
    <row r="11349" spans="2:2" x14ac:dyDescent="0.25">
      <c r="B11349" s="73"/>
    </row>
    <row r="11350" spans="2:2" x14ac:dyDescent="0.25">
      <c r="B11350" s="73"/>
    </row>
    <row r="11351" spans="2:2" x14ac:dyDescent="0.25">
      <c r="B11351" s="73"/>
    </row>
    <row r="11352" spans="2:2" x14ac:dyDescent="0.25">
      <c r="B11352" s="73"/>
    </row>
    <row r="11353" spans="2:2" x14ac:dyDescent="0.25">
      <c r="B11353" s="73"/>
    </row>
    <row r="11354" spans="2:2" x14ac:dyDescent="0.25">
      <c r="B11354" s="73"/>
    </row>
    <row r="11355" spans="2:2" x14ac:dyDescent="0.25">
      <c r="B11355" s="73"/>
    </row>
    <row r="11356" spans="2:2" x14ac:dyDescent="0.25">
      <c r="B11356" s="73"/>
    </row>
    <row r="11357" spans="2:2" x14ac:dyDescent="0.25">
      <c r="B11357" s="73"/>
    </row>
    <row r="11358" spans="2:2" x14ac:dyDescent="0.25">
      <c r="B11358" s="73"/>
    </row>
    <row r="11359" spans="2:2" x14ac:dyDescent="0.25">
      <c r="B11359" s="73"/>
    </row>
    <row r="11360" spans="2:2" x14ac:dyDescent="0.25">
      <c r="B11360" s="73"/>
    </row>
    <row r="11361" spans="2:2" x14ac:dyDescent="0.25">
      <c r="B11361" s="73"/>
    </row>
    <row r="11362" spans="2:2" x14ac:dyDescent="0.25">
      <c r="B11362" s="73"/>
    </row>
    <row r="11363" spans="2:2" x14ac:dyDescent="0.25">
      <c r="B11363" s="73"/>
    </row>
    <row r="11364" spans="2:2" x14ac:dyDescent="0.25">
      <c r="B11364" s="73"/>
    </row>
    <row r="11365" spans="2:2" x14ac:dyDescent="0.25">
      <c r="B11365" s="73"/>
    </row>
    <row r="11366" spans="2:2" x14ac:dyDescent="0.25">
      <c r="B11366" s="73"/>
    </row>
    <row r="11367" spans="2:2" x14ac:dyDescent="0.25">
      <c r="B11367" s="73"/>
    </row>
    <row r="11368" spans="2:2" x14ac:dyDescent="0.25">
      <c r="B11368" s="73"/>
    </row>
    <row r="11369" spans="2:2" x14ac:dyDescent="0.25">
      <c r="B11369" s="73"/>
    </row>
    <row r="11370" spans="2:2" x14ac:dyDescent="0.25">
      <c r="B11370" s="73"/>
    </row>
    <row r="11371" spans="2:2" x14ac:dyDescent="0.25">
      <c r="B11371" s="73"/>
    </row>
    <row r="11372" spans="2:2" x14ac:dyDescent="0.25">
      <c r="B11372" s="73"/>
    </row>
    <row r="11373" spans="2:2" x14ac:dyDescent="0.25">
      <c r="B11373" s="73"/>
    </row>
    <row r="11374" spans="2:2" x14ac:dyDescent="0.25">
      <c r="B11374" s="73"/>
    </row>
    <row r="11375" spans="2:2" x14ac:dyDescent="0.25">
      <c r="B11375" s="73"/>
    </row>
    <row r="11376" spans="2:2" x14ac:dyDescent="0.25">
      <c r="B11376" s="73"/>
    </row>
    <row r="11377" spans="2:2" x14ac:dyDescent="0.25">
      <c r="B11377" s="73"/>
    </row>
    <row r="11378" spans="2:2" x14ac:dyDescent="0.25">
      <c r="B11378" s="73"/>
    </row>
    <row r="11379" spans="2:2" x14ac:dyDescent="0.25">
      <c r="B11379" s="73"/>
    </row>
    <row r="11380" spans="2:2" x14ac:dyDescent="0.25">
      <c r="B11380" s="73"/>
    </row>
    <row r="11381" spans="2:2" x14ac:dyDescent="0.25">
      <c r="B11381" s="73"/>
    </row>
    <row r="11382" spans="2:2" x14ac:dyDescent="0.25">
      <c r="B11382" s="73"/>
    </row>
    <row r="11383" spans="2:2" x14ac:dyDescent="0.25">
      <c r="B11383" s="73"/>
    </row>
    <row r="11384" spans="2:2" x14ac:dyDescent="0.25">
      <c r="B11384" s="73"/>
    </row>
    <row r="11385" spans="2:2" x14ac:dyDescent="0.25">
      <c r="B11385" s="73"/>
    </row>
    <row r="11386" spans="2:2" x14ac:dyDescent="0.25">
      <c r="B11386" s="73"/>
    </row>
    <row r="11387" spans="2:2" x14ac:dyDescent="0.25">
      <c r="B11387" s="73"/>
    </row>
    <row r="11388" spans="2:2" x14ac:dyDescent="0.25">
      <c r="B11388" s="73"/>
    </row>
    <row r="11389" spans="2:2" x14ac:dyDescent="0.25">
      <c r="B11389" s="73"/>
    </row>
    <row r="11390" spans="2:2" x14ac:dyDescent="0.25">
      <c r="B11390" s="73"/>
    </row>
    <row r="11391" spans="2:2" x14ac:dyDescent="0.25">
      <c r="B11391" s="73"/>
    </row>
    <row r="11392" spans="2:2" x14ac:dyDescent="0.25">
      <c r="B11392" s="73"/>
    </row>
    <row r="11393" spans="2:2" x14ac:dyDescent="0.25">
      <c r="B11393" s="73"/>
    </row>
    <row r="11394" spans="2:2" x14ac:dyDescent="0.25">
      <c r="B11394" s="73"/>
    </row>
    <row r="11395" spans="2:2" x14ac:dyDescent="0.25">
      <c r="B11395" s="73"/>
    </row>
    <row r="11396" spans="2:2" x14ac:dyDescent="0.25">
      <c r="B11396" s="73"/>
    </row>
    <row r="11397" spans="2:2" x14ac:dyDescent="0.25">
      <c r="B11397" s="73"/>
    </row>
    <row r="11398" spans="2:2" x14ac:dyDescent="0.25">
      <c r="B11398" s="73"/>
    </row>
    <row r="11399" spans="2:2" x14ac:dyDescent="0.25">
      <c r="B11399" s="73"/>
    </row>
    <row r="11400" spans="2:2" x14ac:dyDescent="0.25">
      <c r="B11400" s="73"/>
    </row>
    <row r="11401" spans="2:2" x14ac:dyDescent="0.25">
      <c r="B11401" s="73"/>
    </row>
    <row r="11402" spans="2:2" x14ac:dyDescent="0.25">
      <c r="B11402" s="73"/>
    </row>
    <row r="11403" spans="2:2" x14ac:dyDescent="0.25">
      <c r="B11403" s="73"/>
    </row>
    <row r="11404" spans="2:2" x14ac:dyDescent="0.25">
      <c r="B11404" s="73"/>
    </row>
    <row r="11405" spans="2:2" x14ac:dyDescent="0.25">
      <c r="B11405" s="73"/>
    </row>
    <row r="11406" spans="2:2" x14ac:dyDescent="0.25">
      <c r="B11406" s="73"/>
    </row>
    <row r="11407" spans="2:2" x14ac:dyDescent="0.25">
      <c r="B11407" s="73"/>
    </row>
    <row r="11408" spans="2:2" x14ac:dyDescent="0.25">
      <c r="B11408" s="73"/>
    </row>
    <row r="11409" spans="2:2" x14ac:dyDescent="0.25">
      <c r="B11409" s="73"/>
    </row>
    <row r="11410" spans="2:2" x14ac:dyDescent="0.25">
      <c r="B11410" s="73"/>
    </row>
    <row r="11411" spans="2:2" x14ac:dyDescent="0.25">
      <c r="B11411" s="73"/>
    </row>
    <row r="11412" spans="2:2" x14ac:dyDescent="0.25">
      <c r="B11412" s="73"/>
    </row>
    <row r="11413" spans="2:2" x14ac:dyDescent="0.25">
      <c r="B11413" s="73"/>
    </row>
    <row r="11414" spans="2:2" x14ac:dyDescent="0.25">
      <c r="B11414" s="73"/>
    </row>
    <row r="11415" spans="2:2" x14ac:dyDescent="0.25">
      <c r="B11415" s="73"/>
    </row>
    <row r="11416" spans="2:2" x14ac:dyDescent="0.25">
      <c r="B11416" s="73"/>
    </row>
    <row r="11417" spans="2:2" x14ac:dyDescent="0.25">
      <c r="B11417" s="73"/>
    </row>
    <row r="11418" spans="2:2" x14ac:dyDescent="0.25">
      <c r="B11418" s="73"/>
    </row>
    <row r="11419" spans="2:2" x14ac:dyDescent="0.25">
      <c r="B11419" s="73"/>
    </row>
    <row r="11420" spans="2:2" x14ac:dyDescent="0.25">
      <c r="B11420" s="73"/>
    </row>
    <row r="11421" spans="2:2" x14ac:dyDescent="0.25">
      <c r="B11421" s="73"/>
    </row>
    <row r="11422" spans="2:2" x14ac:dyDescent="0.25">
      <c r="B11422" s="73"/>
    </row>
    <row r="11423" spans="2:2" x14ac:dyDescent="0.25">
      <c r="B11423" s="73"/>
    </row>
    <row r="11424" spans="2:2" x14ac:dyDescent="0.25">
      <c r="B11424" s="73"/>
    </row>
    <row r="11425" spans="2:2" x14ac:dyDescent="0.25">
      <c r="B11425" s="73"/>
    </row>
    <row r="11426" spans="2:2" x14ac:dyDescent="0.25">
      <c r="B11426" s="73"/>
    </row>
    <row r="11427" spans="2:2" x14ac:dyDescent="0.25">
      <c r="B11427" s="73"/>
    </row>
    <row r="11428" spans="2:2" x14ac:dyDescent="0.25">
      <c r="B11428" s="73"/>
    </row>
    <row r="11429" spans="2:2" x14ac:dyDescent="0.25">
      <c r="B11429" s="73"/>
    </row>
    <row r="11430" spans="2:2" x14ac:dyDescent="0.25">
      <c r="B11430" s="73"/>
    </row>
    <row r="11431" spans="2:2" x14ac:dyDescent="0.25">
      <c r="B11431" s="73"/>
    </row>
    <row r="11432" spans="2:2" x14ac:dyDescent="0.25">
      <c r="B11432" s="73"/>
    </row>
    <row r="11433" spans="2:2" x14ac:dyDescent="0.25">
      <c r="B11433" s="73"/>
    </row>
    <row r="11434" spans="2:2" x14ac:dyDescent="0.25">
      <c r="B11434" s="73"/>
    </row>
    <row r="11435" spans="2:2" x14ac:dyDescent="0.25">
      <c r="B11435" s="73"/>
    </row>
    <row r="11436" spans="2:2" x14ac:dyDescent="0.25">
      <c r="B11436" s="73"/>
    </row>
    <row r="11437" spans="2:2" x14ac:dyDescent="0.25">
      <c r="B11437" s="73"/>
    </row>
    <row r="11438" spans="2:2" x14ac:dyDescent="0.25">
      <c r="B11438" s="73"/>
    </row>
    <row r="11439" spans="2:2" x14ac:dyDescent="0.25">
      <c r="B11439" s="73"/>
    </row>
    <row r="11440" spans="2:2" x14ac:dyDescent="0.25">
      <c r="B11440" s="73"/>
    </row>
    <row r="11441" spans="2:2" x14ac:dyDescent="0.25">
      <c r="B11441" s="73"/>
    </row>
    <row r="11442" spans="2:2" x14ac:dyDescent="0.25">
      <c r="B11442" s="73"/>
    </row>
    <row r="11443" spans="2:2" x14ac:dyDescent="0.25">
      <c r="B11443" s="73"/>
    </row>
    <row r="11444" spans="2:2" x14ac:dyDescent="0.25">
      <c r="B11444" s="73"/>
    </row>
    <row r="11445" spans="2:2" x14ac:dyDescent="0.25">
      <c r="B11445" s="73"/>
    </row>
    <row r="11446" spans="2:2" x14ac:dyDescent="0.25">
      <c r="B11446" s="73"/>
    </row>
    <row r="11447" spans="2:2" x14ac:dyDescent="0.25">
      <c r="B11447" s="73"/>
    </row>
    <row r="11448" spans="2:2" x14ac:dyDescent="0.25">
      <c r="B11448" s="73"/>
    </row>
    <row r="11449" spans="2:2" x14ac:dyDescent="0.25">
      <c r="B11449" s="73"/>
    </row>
    <row r="11450" spans="2:2" x14ac:dyDescent="0.25">
      <c r="B11450" s="73"/>
    </row>
    <row r="11451" spans="2:2" x14ac:dyDescent="0.25">
      <c r="B11451" s="73"/>
    </row>
    <row r="11452" spans="2:2" x14ac:dyDescent="0.25">
      <c r="B11452" s="73"/>
    </row>
    <row r="11453" spans="2:2" x14ac:dyDescent="0.25">
      <c r="B11453" s="73"/>
    </row>
    <row r="11454" spans="2:2" x14ac:dyDescent="0.25">
      <c r="B11454" s="73"/>
    </row>
    <row r="11455" spans="2:2" x14ac:dyDescent="0.25">
      <c r="B11455" s="73"/>
    </row>
    <row r="11456" spans="2:2" x14ac:dyDescent="0.25">
      <c r="B11456" s="73"/>
    </row>
    <row r="11457" spans="2:2" x14ac:dyDescent="0.25">
      <c r="B11457" s="73"/>
    </row>
    <row r="11458" spans="2:2" x14ac:dyDescent="0.25">
      <c r="B11458" s="73"/>
    </row>
    <row r="11459" spans="2:2" x14ac:dyDescent="0.25">
      <c r="B11459" s="73"/>
    </row>
    <row r="11460" spans="2:2" x14ac:dyDescent="0.25">
      <c r="B11460" s="73"/>
    </row>
    <row r="11461" spans="2:2" x14ac:dyDescent="0.25">
      <c r="B11461" s="73"/>
    </row>
    <row r="11462" spans="2:2" x14ac:dyDescent="0.25">
      <c r="B11462" s="73"/>
    </row>
    <row r="11463" spans="2:2" x14ac:dyDescent="0.25">
      <c r="B11463" s="73"/>
    </row>
    <row r="11464" spans="2:2" x14ac:dyDescent="0.25">
      <c r="B11464" s="73"/>
    </row>
    <row r="11465" spans="2:2" x14ac:dyDescent="0.25">
      <c r="B11465" s="73"/>
    </row>
    <row r="11466" spans="2:2" x14ac:dyDescent="0.25">
      <c r="B11466" s="73"/>
    </row>
    <row r="11467" spans="2:2" x14ac:dyDescent="0.25">
      <c r="B11467" s="73"/>
    </row>
    <row r="11468" spans="2:2" x14ac:dyDescent="0.25">
      <c r="B11468" s="73"/>
    </row>
    <row r="11469" spans="2:2" x14ac:dyDescent="0.25">
      <c r="B11469" s="73"/>
    </row>
    <row r="11470" spans="2:2" x14ac:dyDescent="0.25">
      <c r="B11470" s="73"/>
    </row>
    <row r="11471" spans="2:2" x14ac:dyDescent="0.25">
      <c r="B11471" s="73"/>
    </row>
    <row r="11472" spans="2:2" x14ac:dyDescent="0.25">
      <c r="B11472" s="73"/>
    </row>
    <row r="11473" spans="2:2" x14ac:dyDescent="0.25">
      <c r="B11473" s="73"/>
    </row>
    <row r="11474" spans="2:2" x14ac:dyDescent="0.25">
      <c r="B11474" s="73"/>
    </row>
    <row r="11475" spans="2:2" x14ac:dyDescent="0.25">
      <c r="B11475" s="73"/>
    </row>
    <row r="11476" spans="2:2" x14ac:dyDescent="0.25">
      <c r="B11476" s="73"/>
    </row>
    <row r="11477" spans="2:2" x14ac:dyDescent="0.25">
      <c r="B11477" s="73"/>
    </row>
    <row r="11478" spans="2:2" x14ac:dyDescent="0.25">
      <c r="B11478" s="73"/>
    </row>
    <row r="11479" spans="2:2" x14ac:dyDescent="0.25">
      <c r="B11479" s="73"/>
    </row>
    <row r="11480" spans="2:2" x14ac:dyDescent="0.25">
      <c r="B11480" s="73"/>
    </row>
    <row r="11481" spans="2:2" x14ac:dyDescent="0.25">
      <c r="B11481" s="73"/>
    </row>
    <row r="11482" spans="2:2" x14ac:dyDescent="0.25">
      <c r="B11482" s="73"/>
    </row>
    <row r="11483" spans="2:2" x14ac:dyDescent="0.25">
      <c r="B11483" s="73"/>
    </row>
    <row r="11484" spans="2:2" x14ac:dyDescent="0.25">
      <c r="B11484" s="73"/>
    </row>
    <row r="11485" spans="2:2" x14ac:dyDescent="0.25">
      <c r="B11485" s="73"/>
    </row>
    <row r="11486" spans="2:2" x14ac:dyDescent="0.25">
      <c r="B11486" s="73"/>
    </row>
    <row r="11487" spans="2:2" x14ac:dyDescent="0.25">
      <c r="B11487" s="73"/>
    </row>
    <row r="11488" spans="2:2" x14ac:dyDescent="0.25">
      <c r="B11488" s="73"/>
    </row>
    <row r="11489" spans="2:2" x14ac:dyDescent="0.25">
      <c r="B11489" s="73"/>
    </row>
    <row r="11490" spans="2:2" x14ac:dyDescent="0.25">
      <c r="B11490" s="73"/>
    </row>
    <row r="11491" spans="2:2" x14ac:dyDescent="0.25">
      <c r="B11491" s="73"/>
    </row>
    <row r="11492" spans="2:2" x14ac:dyDescent="0.25">
      <c r="B11492" s="73"/>
    </row>
    <row r="11493" spans="2:2" x14ac:dyDescent="0.25">
      <c r="B11493" s="73"/>
    </row>
    <row r="11494" spans="2:2" x14ac:dyDescent="0.25">
      <c r="B11494" s="73"/>
    </row>
    <row r="11495" spans="2:2" x14ac:dyDescent="0.25">
      <c r="B11495" s="73"/>
    </row>
    <row r="11496" spans="2:2" x14ac:dyDescent="0.25">
      <c r="B11496" s="73"/>
    </row>
    <row r="11497" spans="2:2" x14ac:dyDescent="0.25">
      <c r="B11497" s="73"/>
    </row>
    <row r="11498" spans="2:2" x14ac:dyDescent="0.25">
      <c r="B11498" s="73"/>
    </row>
    <row r="11499" spans="2:2" x14ac:dyDescent="0.25">
      <c r="B11499" s="73"/>
    </row>
    <row r="11500" spans="2:2" x14ac:dyDescent="0.25">
      <c r="B11500" s="73"/>
    </row>
    <row r="11501" spans="2:2" x14ac:dyDescent="0.25">
      <c r="B11501" s="73"/>
    </row>
    <row r="11502" spans="2:2" x14ac:dyDescent="0.25">
      <c r="B11502" s="73"/>
    </row>
    <row r="11503" spans="2:2" x14ac:dyDescent="0.25">
      <c r="B11503" s="73"/>
    </row>
    <row r="11504" spans="2:2" x14ac:dyDescent="0.25">
      <c r="B11504" s="73"/>
    </row>
    <row r="11505" spans="2:2" x14ac:dyDescent="0.25">
      <c r="B11505" s="73"/>
    </row>
    <row r="11506" spans="2:2" x14ac:dyDescent="0.25">
      <c r="B11506" s="73"/>
    </row>
    <row r="11507" spans="2:2" x14ac:dyDescent="0.25">
      <c r="B11507" s="73"/>
    </row>
    <row r="11508" spans="2:2" x14ac:dyDescent="0.25">
      <c r="B11508" s="73"/>
    </row>
    <row r="11509" spans="2:2" x14ac:dyDescent="0.25">
      <c r="B11509" s="73"/>
    </row>
    <row r="11510" spans="2:2" x14ac:dyDescent="0.25">
      <c r="B11510" s="73"/>
    </row>
    <row r="11511" spans="2:2" x14ac:dyDescent="0.25">
      <c r="B11511" s="73"/>
    </row>
    <row r="11512" spans="2:2" x14ac:dyDescent="0.25">
      <c r="B11512" s="73"/>
    </row>
    <row r="11513" spans="2:2" x14ac:dyDescent="0.25">
      <c r="B11513" s="73"/>
    </row>
    <row r="11514" spans="2:2" x14ac:dyDescent="0.25">
      <c r="B11514" s="73"/>
    </row>
    <row r="11515" spans="2:2" x14ac:dyDescent="0.25">
      <c r="B11515" s="73"/>
    </row>
    <row r="11516" spans="2:2" x14ac:dyDescent="0.25">
      <c r="B11516" s="73"/>
    </row>
    <row r="11517" spans="2:2" x14ac:dyDescent="0.25">
      <c r="B11517" s="73"/>
    </row>
    <row r="11518" spans="2:2" x14ac:dyDescent="0.25">
      <c r="B11518" s="73"/>
    </row>
    <row r="11519" spans="2:2" x14ac:dyDescent="0.25">
      <c r="B11519" s="73"/>
    </row>
    <row r="11520" spans="2:2" x14ac:dyDescent="0.25">
      <c r="B11520" s="73"/>
    </row>
    <row r="11521" spans="2:2" x14ac:dyDescent="0.25">
      <c r="B11521" s="73"/>
    </row>
    <row r="11522" spans="2:2" x14ac:dyDescent="0.25">
      <c r="B11522" s="73"/>
    </row>
    <row r="11523" spans="2:2" x14ac:dyDescent="0.25">
      <c r="B11523" s="73"/>
    </row>
    <row r="11524" spans="2:2" x14ac:dyDescent="0.25">
      <c r="B11524" s="73"/>
    </row>
    <row r="11525" spans="2:2" x14ac:dyDescent="0.25">
      <c r="B11525" s="73"/>
    </row>
    <row r="11526" spans="2:2" x14ac:dyDescent="0.25">
      <c r="B11526" s="73"/>
    </row>
    <row r="11527" spans="2:2" x14ac:dyDescent="0.25">
      <c r="B11527" s="73"/>
    </row>
    <row r="11528" spans="2:2" x14ac:dyDescent="0.25">
      <c r="B11528" s="73"/>
    </row>
    <row r="11529" spans="2:2" x14ac:dyDescent="0.25">
      <c r="B11529" s="73"/>
    </row>
    <row r="11530" spans="2:2" x14ac:dyDescent="0.25">
      <c r="B11530" s="73"/>
    </row>
    <row r="11531" spans="2:2" x14ac:dyDescent="0.25">
      <c r="B11531" s="73"/>
    </row>
    <row r="11532" spans="2:2" x14ac:dyDescent="0.25">
      <c r="B11532" s="73"/>
    </row>
    <row r="11533" spans="2:2" x14ac:dyDescent="0.25">
      <c r="B11533" s="73"/>
    </row>
    <row r="11534" spans="2:2" x14ac:dyDescent="0.25">
      <c r="B11534" s="73"/>
    </row>
    <row r="11535" spans="2:2" x14ac:dyDescent="0.25">
      <c r="B11535" s="73"/>
    </row>
    <row r="11536" spans="2:2" x14ac:dyDescent="0.25">
      <c r="B11536" s="73"/>
    </row>
    <row r="11537" spans="2:2" x14ac:dyDescent="0.25">
      <c r="B11537" s="73"/>
    </row>
    <row r="11538" spans="2:2" x14ac:dyDescent="0.25">
      <c r="B11538" s="73"/>
    </row>
    <row r="11539" spans="2:2" x14ac:dyDescent="0.25">
      <c r="B11539" s="73"/>
    </row>
    <row r="11540" spans="2:2" x14ac:dyDescent="0.25">
      <c r="B11540" s="73"/>
    </row>
    <row r="11541" spans="2:2" x14ac:dyDescent="0.25">
      <c r="B11541" s="73"/>
    </row>
    <row r="11542" spans="2:2" x14ac:dyDescent="0.25">
      <c r="B11542" s="73"/>
    </row>
    <row r="11543" spans="2:2" x14ac:dyDescent="0.25">
      <c r="B11543" s="73"/>
    </row>
    <row r="11544" spans="2:2" x14ac:dyDescent="0.25">
      <c r="B11544" s="73"/>
    </row>
    <row r="11545" spans="2:2" x14ac:dyDescent="0.25">
      <c r="B11545" s="73"/>
    </row>
    <row r="11546" spans="2:2" x14ac:dyDescent="0.25">
      <c r="B11546" s="73"/>
    </row>
    <row r="11547" spans="2:2" x14ac:dyDescent="0.25">
      <c r="B11547" s="73"/>
    </row>
    <row r="11548" spans="2:2" x14ac:dyDescent="0.25">
      <c r="B11548" s="73"/>
    </row>
    <row r="11549" spans="2:2" x14ac:dyDescent="0.25">
      <c r="B11549" s="73"/>
    </row>
    <row r="11550" spans="2:2" x14ac:dyDescent="0.25">
      <c r="B11550" s="73"/>
    </row>
    <row r="11551" spans="2:2" x14ac:dyDescent="0.25">
      <c r="B11551" s="73"/>
    </row>
    <row r="11552" spans="2:2" x14ac:dyDescent="0.25">
      <c r="B11552" s="73"/>
    </row>
    <row r="11553" spans="2:2" x14ac:dyDescent="0.25">
      <c r="B11553" s="73"/>
    </row>
    <row r="11554" spans="2:2" x14ac:dyDescent="0.25">
      <c r="B11554" s="73"/>
    </row>
    <row r="11555" spans="2:2" x14ac:dyDescent="0.25">
      <c r="B11555" s="73"/>
    </row>
    <row r="11556" spans="2:2" x14ac:dyDescent="0.25">
      <c r="B11556" s="73"/>
    </row>
    <row r="11557" spans="2:2" x14ac:dyDescent="0.25">
      <c r="B11557" s="73"/>
    </row>
    <row r="11558" spans="2:2" x14ac:dyDescent="0.25">
      <c r="B11558" s="73"/>
    </row>
    <row r="11559" spans="2:2" x14ac:dyDescent="0.25">
      <c r="B11559" s="73"/>
    </row>
    <row r="11560" spans="2:2" x14ac:dyDescent="0.25">
      <c r="B11560" s="73"/>
    </row>
    <row r="11561" spans="2:2" x14ac:dyDescent="0.25">
      <c r="B11561" s="73"/>
    </row>
    <row r="11562" spans="2:2" x14ac:dyDescent="0.25">
      <c r="B11562" s="73"/>
    </row>
    <row r="11563" spans="2:2" x14ac:dyDescent="0.25">
      <c r="B11563" s="73"/>
    </row>
    <row r="11564" spans="2:2" x14ac:dyDescent="0.25">
      <c r="B11564" s="73"/>
    </row>
    <row r="11565" spans="2:2" x14ac:dyDescent="0.25">
      <c r="B11565" s="73"/>
    </row>
    <row r="11566" spans="2:2" x14ac:dyDescent="0.25">
      <c r="B11566" s="73"/>
    </row>
    <row r="11567" spans="2:2" x14ac:dyDescent="0.25">
      <c r="B11567" s="73"/>
    </row>
    <row r="11568" spans="2:2" x14ac:dyDescent="0.25">
      <c r="B11568" s="73"/>
    </row>
    <row r="11569" spans="2:2" x14ac:dyDescent="0.25">
      <c r="B11569" s="73"/>
    </row>
    <row r="11570" spans="2:2" x14ac:dyDescent="0.25">
      <c r="B11570" s="73"/>
    </row>
    <row r="11571" spans="2:2" x14ac:dyDescent="0.25">
      <c r="B11571" s="73"/>
    </row>
    <row r="11572" spans="2:2" x14ac:dyDescent="0.25">
      <c r="B11572" s="73"/>
    </row>
    <row r="11573" spans="2:2" x14ac:dyDescent="0.25">
      <c r="B11573" s="73"/>
    </row>
    <row r="11574" spans="2:2" x14ac:dyDescent="0.25">
      <c r="B11574" s="73"/>
    </row>
    <row r="11575" spans="2:2" x14ac:dyDescent="0.25">
      <c r="B11575" s="73"/>
    </row>
    <row r="11576" spans="2:2" x14ac:dyDescent="0.25">
      <c r="B11576" s="73"/>
    </row>
    <row r="11577" spans="2:2" x14ac:dyDescent="0.25">
      <c r="B11577" s="73"/>
    </row>
    <row r="11578" spans="2:2" x14ac:dyDescent="0.25">
      <c r="B11578" s="73"/>
    </row>
    <row r="11579" spans="2:2" x14ac:dyDescent="0.25">
      <c r="B11579" s="73"/>
    </row>
    <row r="11580" spans="2:2" x14ac:dyDescent="0.25">
      <c r="B11580" s="73"/>
    </row>
    <row r="11581" spans="2:2" x14ac:dyDescent="0.25">
      <c r="B11581" s="73"/>
    </row>
    <row r="11582" spans="2:2" x14ac:dyDescent="0.25">
      <c r="B11582" s="73"/>
    </row>
    <row r="11583" spans="2:2" x14ac:dyDescent="0.25">
      <c r="B11583" s="73"/>
    </row>
    <row r="11584" spans="2:2" x14ac:dyDescent="0.25">
      <c r="B11584" s="73"/>
    </row>
    <row r="11585" spans="2:2" x14ac:dyDescent="0.25">
      <c r="B11585" s="73"/>
    </row>
    <row r="11586" spans="2:2" x14ac:dyDescent="0.25">
      <c r="B11586" s="73"/>
    </row>
    <row r="11587" spans="2:2" x14ac:dyDescent="0.25">
      <c r="B11587" s="73"/>
    </row>
    <row r="11588" spans="2:2" x14ac:dyDescent="0.25">
      <c r="B11588" s="73"/>
    </row>
    <row r="11589" spans="2:2" x14ac:dyDescent="0.25">
      <c r="B11589" s="73"/>
    </row>
    <row r="11590" spans="2:2" x14ac:dyDescent="0.25">
      <c r="B11590" s="73"/>
    </row>
    <row r="11591" spans="2:2" x14ac:dyDescent="0.25">
      <c r="B11591" s="73"/>
    </row>
    <row r="11592" spans="2:2" x14ac:dyDescent="0.25">
      <c r="B11592" s="73"/>
    </row>
    <row r="11593" spans="2:2" x14ac:dyDescent="0.25">
      <c r="B11593" s="73"/>
    </row>
    <row r="11594" spans="2:2" x14ac:dyDescent="0.25">
      <c r="B11594" s="73"/>
    </row>
    <row r="11595" spans="2:2" x14ac:dyDescent="0.25">
      <c r="B11595" s="73"/>
    </row>
    <row r="11596" spans="2:2" x14ac:dyDescent="0.25">
      <c r="B11596" s="73"/>
    </row>
    <row r="11597" spans="2:2" x14ac:dyDescent="0.25">
      <c r="B11597" s="73"/>
    </row>
    <row r="11598" spans="2:2" x14ac:dyDescent="0.25">
      <c r="B11598" s="73"/>
    </row>
    <row r="11599" spans="2:2" x14ac:dyDescent="0.25">
      <c r="B11599" s="73"/>
    </row>
    <row r="11600" spans="2:2" x14ac:dyDescent="0.25">
      <c r="B11600" s="73"/>
    </row>
    <row r="11601" spans="2:2" x14ac:dyDescent="0.25">
      <c r="B11601" s="73"/>
    </row>
    <row r="11602" spans="2:2" x14ac:dyDescent="0.25">
      <c r="B11602" s="73"/>
    </row>
    <row r="11603" spans="2:2" x14ac:dyDescent="0.25">
      <c r="B11603" s="73"/>
    </row>
    <row r="11604" spans="2:2" x14ac:dyDescent="0.25">
      <c r="B11604" s="73"/>
    </row>
    <row r="11605" spans="2:2" x14ac:dyDescent="0.25">
      <c r="B11605" s="73"/>
    </row>
    <row r="11606" spans="2:2" x14ac:dyDescent="0.25">
      <c r="B11606" s="73"/>
    </row>
    <row r="11607" spans="2:2" x14ac:dyDescent="0.25">
      <c r="B11607" s="73"/>
    </row>
    <row r="11608" spans="2:2" x14ac:dyDescent="0.25">
      <c r="B11608" s="73"/>
    </row>
    <row r="11609" spans="2:2" x14ac:dyDescent="0.25">
      <c r="B11609" s="73"/>
    </row>
    <row r="11610" spans="2:2" x14ac:dyDescent="0.25">
      <c r="B11610" s="73"/>
    </row>
    <row r="11611" spans="2:2" x14ac:dyDescent="0.25">
      <c r="B11611" s="73"/>
    </row>
    <row r="11612" spans="2:2" x14ac:dyDescent="0.25">
      <c r="B11612" s="73"/>
    </row>
    <row r="11613" spans="2:2" x14ac:dyDescent="0.25">
      <c r="B11613" s="73"/>
    </row>
    <row r="11614" spans="2:2" x14ac:dyDescent="0.25">
      <c r="B11614" s="73"/>
    </row>
    <row r="11615" spans="2:2" x14ac:dyDescent="0.25">
      <c r="B11615" s="73"/>
    </row>
    <row r="11616" spans="2:2" x14ac:dyDescent="0.25">
      <c r="B11616" s="73"/>
    </row>
    <row r="11617" spans="2:2" x14ac:dyDescent="0.25">
      <c r="B11617" s="73"/>
    </row>
    <row r="11618" spans="2:2" x14ac:dyDescent="0.25">
      <c r="B11618" s="73"/>
    </row>
    <row r="11619" spans="2:2" x14ac:dyDescent="0.25">
      <c r="B11619" s="73"/>
    </row>
    <row r="11620" spans="2:2" x14ac:dyDescent="0.25">
      <c r="B11620" s="73"/>
    </row>
    <row r="11621" spans="2:2" x14ac:dyDescent="0.25">
      <c r="B11621" s="73"/>
    </row>
    <row r="11622" spans="2:2" x14ac:dyDescent="0.25">
      <c r="B11622" s="73"/>
    </row>
    <row r="11623" spans="2:2" x14ac:dyDescent="0.25">
      <c r="B11623" s="73"/>
    </row>
    <row r="11624" spans="2:2" x14ac:dyDescent="0.25">
      <c r="B11624" s="73"/>
    </row>
    <row r="11625" spans="2:2" x14ac:dyDescent="0.25">
      <c r="B11625" s="73"/>
    </row>
    <row r="11626" spans="2:2" x14ac:dyDescent="0.25">
      <c r="B11626" s="73"/>
    </row>
    <row r="11627" spans="2:2" x14ac:dyDescent="0.25">
      <c r="B11627" s="73"/>
    </row>
    <row r="11628" spans="2:2" x14ac:dyDescent="0.25">
      <c r="B11628" s="73"/>
    </row>
    <row r="11629" spans="2:2" x14ac:dyDescent="0.25">
      <c r="B11629" s="73"/>
    </row>
    <row r="11630" spans="2:2" x14ac:dyDescent="0.25">
      <c r="B11630" s="73"/>
    </row>
    <row r="11631" spans="2:2" x14ac:dyDescent="0.25">
      <c r="B11631" s="73"/>
    </row>
    <row r="11632" spans="2:2" x14ac:dyDescent="0.25">
      <c r="B11632" s="73"/>
    </row>
    <row r="11633" spans="2:2" x14ac:dyDescent="0.25">
      <c r="B11633" s="73"/>
    </row>
    <row r="11634" spans="2:2" x14ac:dyDescent="0.25">
      <c r="B11634" s="73"/>
    </row>
    <row r="11635" spans="2:2" x14ac:dyDescent="0.25">
      <c r="B11635" s="73"/>
    </row>
    <row r="11636" spans="2:2" x14ac:dyDescent="0.25">
      <c r="B11636" s="73"/>
    </row>
    <row r="11637" spans="2:2" x14ac:dyDescent="0.25">
      <c r="B11637" s="73"/>
    </row>
    <row r="11638" spans="2:2" x14ac:dyDescent="0.25">
      <c r="B11638" s="73"/>
    </row>
    <row r="11639" spans="2:2" x14ac:dyDescent="0.25">
      <c r="B11639" s="73"/>
    </row>
    <row r="11640" spans="2:2" x14ac:dyDescent="0.25">
      <c r="B11640" s="73"/>
    </row>
    <row r="11641" spans="2:2" x14ac:dyDescent="0.25">
      <c r="B11641" s="73"/>
    </row>
    <row r="11642" spans="2:2" x14ac:dyDescent="0.25">
      <c r="B11642" s="73"/>
    </row>
    <row r="11643" spans="2:2" x14ac:dyDescent="0.25">
      <c r="B11643" s="73"/>
    </row>
    <row r="11644" spans="2:2" x14ac:dyDescent="0.25">
      <c r="B11644" s="73"/>
    </row>
    <row r="11645" spans="2:2" x14ac:dyDescent="0.25">
      <c r="B11645" s="73"/>
    </row>
    <row r="11646" spans="2:2" x14ac:dyDescent="0.25">
      <c r="B11646" s="73"/>
    </row>
    <row r="11647" spans="2:2" x14ac:dyDescent="0.25">
      <c r="B11647" s="73"/>
    </row>
    <row r="11648" spans="2:2" x14ac:dyDescent="0.25">
      <c r="B11648" s="73"/>
    </row>
    <row r="11649" spans="2:2" x14ac:dyDescent="0.25">
      <c r="B11649" s="73"/>
    </row>
    <row r="11650" spans="2:2" x14ac:dyDescent="0.25">
      <c r="B11650" s="73"/>
    </row>
    <row r="11651" spans="2:2" x14ac:dyDescent="0.25">
      <c r="B11651" s="73"/>
    </row>
    <row r="11652" spans="2:2" x14ac:dyDescent="0.25">
      <c r="B11652" s="73"/>
    </row>
    <row r="11653" spans="2:2" x14ac:dyDescent="0.25">
      <c r="B11653" s="73"/>
    </row>
    <row r="11654" spans="2:2" x14ac:dyDescent="0.25">
      <c r="B11654" s="73"/>
    </row>
    <row r="11655" spans="2:2" x14ac:dyDescent="0.25">
      <c r="B11655" s="73"/>
    </row>
    <row r="11656" spans="2:2" x14ac:dyDescent="0.25">
      <c r="B11656" s="73"/>
    </row>
    <row r="11657" spans="2:2" x14ac:dyDescent="0.25">
      <c r="B11657" s="73"/>
    </row>
    <row r="11658" spans="2:2" x14ac:dyDescent="0.25">
      <c r="B11658" s="73"/>
    </row>
    <row r="11659" spans="2:2" x14ac:dyDescent="0.25">
      <c r="B11659" s="73"/>
    </row>
    <row r="11660" spans="2:2" x14ac:dyDescent="0.25">
      <c r="B11660" s="73"/>
    </row>
    <row r="11661" spans="2:2" x14ac:dyDescent="0.25">
      <c r="B11661" s="73"/>
    </row>
    <row r="11662" spans="2:2" x14ac:dyDescent="0.25">
      <c r="B11662" s="73"/>
    </row>
    <row r="11663" spans="2:2" x14ac:dyDescent="0.25">
      <c r="B11663" s="73"/>
    </row>
    <row r="11664" spans="2:2" x14ac:dyDescent="0.25">
      <c r="B11664" s="73"/>
    </row>
    <row r="11665" spans="2:2" x14ac:dyDescent="0.25">
      <c r="B11665" s="73"/>
    </row>
    <row r="11666" spans="2:2" x14ac:dyDescent="0.25">
      <c r="B11666" s="73"/>
    </row>
    <row r="11667" spans="2:2" x14ac:dyDescent="0.25">
      <c r="B11667" s="73"/>
    </row>
    <row r="11668" spans="2:2" x14ac:dyDescent="0.25">
      <c r="B11668" s="73"/>
    </row>
    <row r="11669" spans="2:2" x14ac:dyDescent="0.25">
      <c r="B11669" s="73"/>
    </row>
    <row r="11670" spans="2:2" x14ac:dyDescent="0.25">
      <c r="B11670" s="73"/>
    </row>
    <row r="11671" spans="2:2" x14ac:dyDescent="0.25">
      <c r="B11671" s="73"/>
    </row>
    <row r="11672" spans="2:2" x14ac:dyDescent="0.25">
      <c r="B11672" s="73"/>
    </row>
    <row r="11673" spans="2:2" x14ac:dyDescent="0.25">
      <c r="B11673" s="73"/>
    </row>
    <row r="11674" spans="2:2" x14ac:dyDescent="0.25">
      <c r="B11674" s="73"/>
    </row>
    <row r="11675" spans="2:2" x14ac:dyDescent="0.25">
      <c r="B11675" s="73"/>
    </row>
    <row r="11676" spans="2:2" x14ac:dyDescent="0.25">
      <c r="B11676" s="73"/>
    </row>
    <row r="11677" spans="2:2" x14ac:dyDescent="0.25">
      <c r="B11677" s="73"/>
    </row>
    <row r="11678" spans="2:2" x14ac:dyDescent="0.25">
      <c r="B11678" s="73"/>
    </row>
    <row r="11679" spans="2:2" x14ac:dyDescent="0.25">
      <c r="B11679" s="73"/>
    </row>
    <row r="11680" spans="2:2" x14ac:dyDescent="0.25">
      <c r="B11680" s="73"/>
    </row>
    <row r="11681" spans="2:2" x14ac:dyDescent="0.25">
      <c r="B11681" s="73"/>
    </row>
    <row r="11682" spans="2:2" x14ac:dyDescent="0.25">
      <c r="B11682" s="73"/>
    </row>
    <row r="11683" spans="2:2" x14ac:dyDescent="0.25">
      <c r="B11683" s="73"/>
    </row>
    <row r="11684" spans="2:2" x14ac:dyDescent="0.25">
      <c r="B11684" s="73"/>
    </row>
    <row r="11685" spans="2:2" x14ac:dyDescent="0.25">
      <c r="B11685" s="73"/>
    </row>
    <row r="11686" spans="2:2" x14ac:dyDescent="0.25">
      <c r="B11686" s="73"/>
    </row>
    <row r="11687" spans="2:2" x14ac:dyDescent="0.25">
      <c r="B11687" s="73"/>
    </row>
    <row r="11688" spans="2:2" x14ac:dyDescent="0.25">
      <c r="B11688" s="73"/>
    </row>
    <row r="11689" spans="2:2" x14ac:dyDescent="0.25">
      <c r="B11689" s="73"/>
    </row>
    <row r="11690" spans="2:2" x14ac:dyDescent="0.25">
      <c r="B11690" s="73"/>
    </row>
    <row r="11691" spans="2:2" x14ac:dyDescent="0.25">
      <c r="B11691" s="73"/>
    </row>
    <row r="11692" spans="2:2" x14ac:dyDescent="0.25">
      <c r="B11692" s="73"/>
    </row>
    <row r="11693" spans="2:2" x14ac:dyDescent="0.25">
      <c r="B11693" s="73"/>
    </row>
    <row r="11694" spans="2:2" x14ac:dyDescent="0.25">
      <c r="B11694" s="73"/>
    </row>
    <row r="11695" spans="2:2" x14ac:dyDescent="0.25">
      <c r="B11695" s="73"/>
    </row>
    <row r="11696" spans="2:2" x14ac:dyDescent="0.25">
      <c r="B11696" s="73"/>
    </row>
    <row r="11697" spans="2:2" x14ac:dyDescent="0.25">
      <c r="B11697" s="73"/>
    </row>
    <row r="11698" spans="2:2" x14ac:dyDescent="0.25">
      <c r="B11698" s="73"/>
    </row>
    <row r="11699" spans="2:2" x14ac:dyDescent="0.25">
      <c r="B11699" s="73"/>
    </row>
    <row r="11700" spans="2:2" x14ac:dyDescent="0.25">
      <c r="B11700" s="73"/>
    </row>
    <row r="11701" spans="2:2" x14ac:dyDescent="0.25">
      <c r="B11701" s="73"/>
    </row>
    <row r="11702" spans="2:2" x14ac:dyDescent="0.25">
      <c r="B11702" s="73"/>
    </row>
    <row r="11703" spans="2:2" x14ac:dyDescent="0.25">
      <c r="B11703" s="73"/>
    </row>
    <row r="11704" spans="2:2" x14ac:dyDescent="0.25">
      <c r="B11704" s="73"/>
    </row>
    <row r="11705" spans="2:2" x14ac:dyDescent="0.25">
      <c r="B11705" s="73"/>
    </row>
    <row r="11706" spans="2:2" x14ac:dyDescent="0.25">
      <c r="B11706" s="73"/>
    </row>
    <row r="11707" spans="2:2" x14ac:dyDescent="0.25">
      <c r="B11707" s="73"/>
    </row>
    <row r="11708" spans="2:2" x14ac:dyDescent="0.25">
      <c r="B11708" s="73"/>
    </row>
    <row r="11709" spans="2:2" x14ac:dyDescent="0.25">
      <c r="B11709" s="73"/>
    </row>
    <row r="11710" spans="2:2" x14ac:dyDescent="0.25">
      <c r="B11710" s="73"/>
    </row>
    <row r="11711" spans="2:2" x14ac:dyDescent="0.25">
      <c r="B11711" s="73"/>
    </row>
    <row r="11712" spans="2:2" x14ac:dyDescent="0.25">
      <c r="B11712" s="73"/>
    </row>
    <row r="11713" spans="2:2" x14ac:dyDescent="0.25">
      <c r="B11713" s="73"/>
    </row>
    <row r="11714" spans="2:2" x14ac:dyDescent="0.25">
      <c r="B11714" s="73"/>
    </row>
    <row r="11715" spans="2:2" x14ac:dyDescent="0.25">
      <c r="B11715" s="73"/>
    </row>
    <row r="11716" spans="2:2" x14ac:dyDescent="0.25">
      <c r="B11716" s="73"/>
    </row>
    <row r="11717" spans="2:2" x14ac:dyDescent="0.25">
      <c r="B11717" s="73"/>
    </row>
    <row r="11718" spans="2:2" x14ac:dyDescent="0.25">
      <c r="B11718" s="73"/>
    </row>
    <row r="11719" spans="2:2" x14ac:dyDescent="0.25">
      <c r="B11719" s="73"/>
    </row>
    <row r="11720" spans="2:2" x14ac:dyDescent="0.25">
      <c r="B11720" s="73"/>
    </row>
    <row r="11721" spans="2:2" x14ac:dyDescent="0.25">
      <c r="B11721" s="73"/>
    </row>
    <row r="11722" spans="2:2" x14ac:dyDescent="0.25">
      <c r="B11722" s="73"/>
    </row>
    <row r="11723" spans="2:2" x14ac:dyDescent="0.25">
      <c r="B11723" s="73"/>
    </row>
    <row r="11724" spans="2:2" x14ac:dyDescent="0.25">
      <c r="B11724" s="73"/>
    </row>
    <row r="11725" spans="2:2" x14ac:dyDescent="0.25">
      <c r="B11725" s="73"/>
    </row>
    <row r="11726" spans="2:2" x14ac:dyDescent="0.25">
      <c r="B11726" s="73"/>
    </row>
    <row r="11727" spans="2:2" x14ac:dyDescent="0.25">
      <c r="B11727" s="73"/>
    </row>
    <row r="11728" spans="2:2" x14ac:dyDescent="0.25">
      <c r="B11728" s="73"/>
    </row>
    <row r="11729" spans="2:2" x14ac:dyDescent="0.25">
      <c r="B11729" s="73"/>
    </row>
    <row r="11730" spans="2:2" x14ac:dyDescent="0.25">
      <c r="B11730" s="73"/>
    </row>
    <row r="11731" spans="2:2" x14ac:dyDescent="0.25">
      <c r="B11731" s="73"/>
    </row>
    <row r="11732" spans="2:2" x14ac:dyDescent="0.25">
      <c r="B11732" s="73"/>
    </row>
    <row r="11733" spans="2:2" x14ac:dyDescent="0.25">
      <c r="B11733" s="73"/>
    </row>
    <row r="11734" spans="2:2" x14ac:dyDescent="0.25">
      <c r="B11734" s="73"/>
    </row>
    <row r="11735" spans="2:2" x14ac:dyDescent="0.25">
      <c r="B11735" s="73"/>
    </row>
    <row r="11736" spans="2:2" x14ac:dyDescent="0.25">
      <c r="B11736" s="73"/>
    </row>
    <row r="11737" spans="2:2" x14ac:dyDescent="0.25">
      <c r="B11737" s="73"/>
    </row>
    <row r="11738" spans="2:2" x14ac:dyDescent="0.25">
      <c r="B11738" s="73"/>
    </row>
    <row r="11739" spans="2:2" x14ac:dyDescent="0.25">
      <c r="B11739" s="73"/>
    </row>
    <row r="11740" spans="2:2" x14ac:dyDescent="0.25">
      <c r="B11740" s="73"/>
    </row>
    <row r="11741" spans="2:2" x14ac:dyDescent="0.25">
      <c r="B11741" s="73"/>
    </row>
    <row r="11742" spans="2:2" x14ac:dyDescent="0.25">
      <c r="B11742" s="73"/>
    </row>
    <row r="11743" spans="2:2" x14ac:dyDescent="0.25">
      <c r="B11743" s="73"/>
    </row>
    <row r="11744" spans="2:2" x14ac:dyDescent="0.25">
      <c r="B11744" s="73"/>
    </row>
    <row r="11745" spans="2:2" x14ac:dyDescent="0.25">
      <c r="B11745" s="73"/>
    </row>
    <row r="11746" spans="2:2" x14ac:dyDescent="0.25">
      <c r="B11746" s="73"/>
    </row>
    <row r="11747" spans="2:2" x14ac:dyDescent="0.25">
      <c r="B11747" s="73"/>
    </row>
    <row r="11748" spans="2:2" x14ac:dyDescent="0.25">
      <c r="B11748" s="73"/>
    </row>
    <row r="11749" spans="2:2" x14ac:dyDescent="0.25">
      <c r="B11749" s="73"/>
    </row>
    <row r="11750" spans="2:2" x14ac:dyDescent="0.25">
      <c r="B11750" s="73"/>
    </row>
    <row r="11751" spans="2:2" x14ac:dyDescent="0.25">
      <c r="B11751" s="73"/>
    </row>
    <row r="11752" spans="2:2" x14ac:dyDescent="0.25">
      <c r="B11752" s="73"/>
    </row>
    <row r="11753" spans="2:2" x14ac:dyDescent="0.25">
      <c r="B11753" s="73"/>
    </row>
    <row r="11754" spans="2:2" x14ac:dyDescent="0.25">
      <c r="B11754" s="73"/>
    </row>
    <row r="11755" spans="2:2" x14ac:dyDescent="0.25">
      <c r="B11755" s="73"/>
    </row>
    <row r="11756" spans="2:2" x14ac:dyDescent="0.25">
      <c r="B11756" s="73"/>
    </row>
    <row r="11757" spans="2:2" x14ac:dyDescent="0.25">
      <c r="B11757" s="73"/>
    </row>
    <row r="11758" spans="2:2" x14ac:dyDescent="0.25">
      <c r="B11758" s="73"/>
    </row>
    <row r="11759" spans="2:2" x14ac:dyDescent="0.25">
      <c r="B11759" s="73"/>
    </row>
    <row r="11760" spans="2:2" x14ac:dyDescent="0.25">
      <c r="B11760" s="73"/>
    </row>
    <row r="11761" spans="2:2" x14ac:dyDescent="0.25">
      <c r="B11761" s="73"/>
    </row>
    <row r="11762" spans="2:2" x14ac:dyDescent="0.25">
      <c r="B11762" s="73"/>
    </row>
    <row r="11763" spans="2:2" x14ac:dyDescent="0.25">
      <c r="B11763" s="73"/>
    </row>
    <row r="11764" spans="2:2" x14ac:dyDescent="0.25">
      <c r="B11764" s="73"/>
    </row>
    <row r="11765" spans="2:2" x14ac:dyDescent="0.25">
      <c r="B11765" s="73"/>
    </row>
    <row r="11766" spans="2:2" x14ac:dyDescent="0.25">
      <c r="B11766" s="73"/>
    </row>
    <row r="11767" spans="2:2" x14ac:dyDescent="0.25">
      <c r="B11767" s="73"/>
    </row>
    <row r="11768" spans="2:2" x14ac:dyDescent="0.25">
      <c r="B11768" s="73"/>
    </row>
    <row r="11769" spans="2:2" x14ac:dyDescent="0.25">
      <c r="B11769" s="73"/>
    </row>
    <row r="11770" spans="2:2" x14ac:dyDescent="0.25">
      <c r="B11770" s="73"/>
    </row>
    <row r="11771" spans="2:2" x14ac:dyDescent="0.25">
      <c r="B11771" s="73"/>
    </row>
    <row r="11772" spans="2:2" x14ac:dyDescent="0.25">
      <c r="B11772" s="73"/>
    </row>
    <row r="11773" spans="2:2" x14ac:dyDescent="0.25">
      <c r="B11773" s="73"/>
    </row>
    <row r="11774" spans="2:2" x14ac:dyDescent="0.25">
      <c r="B11774" s="73"/>
    </row>
    <row r="11775" spans="2:2" x14ac:dyDescent="0.25">
      <c r="B11775" s="73"/>
    </row>
    <row r="11776" spans="2:2" x14ac:dyDescent="0.25">
      <c r="B11776" s="73"/>
    </row>
    <row r="11777" spans="2:2" x14ac:dyDescent="0.25">
      <c r="B11777" s="73"/>
    </row>
    <row r="11778" spans="2:2" x14ac:dyDescent="0.25">
      <c r="B11778" s="73"/>
    </row>
    <row r="11779" spans="2:2" x14ac:dyDescent="0.25">
      <c r="B11779" s="73"/>
    </row>
    <row r="11780" spans="2:2" x14ac:dyDescent="0.25">
      <c r="B11780" s="73"/>
    </row>
    <row r="11781" spans="2:2" x14ac:dyDescent="0.25">
      <c r="B11781" s="73"/>
    </row>
    <row r="11782" spans="2:2" x14ac:dyDescent="0.25">
      <c r="B11782" s="73"/>
    </row>
    <row r="11783" spans="2:2" x14ac:dyDescent="0.25">
      <c r="B11783" s="73"/>
    </row>
    <row r="11784" spans="2:2" x14ac:dyDescent="0.25">
      <c r="B11784" s="73"/>
    </row>
    <row r="11785" spans="2:2" x14ac:dyDescent="0.25">
      <c r="B11785" s="73"/>
    </row>
    <row r="11786" spans="2:2" x14ac:dyDescent="0.25">
      <c r="B11786" s="73"/>
    </row>
    <row r="11787" spans="2:2" x14ac:dyDescent="0.25">
      <c r="B11787" s="73"/>
    </row>
    <row r="11788" spans="2:2" x14ac:dyDescent="0.25">
      <c r="B11788" s="73"/>
    </row>
    <row r="11789" spans="2:2" x14ac:dyDescent="0.25">
      <c r="B11789" s="73"/>
    </row>
    <row r="11790" spans="2:2" x14ac:dyDescent="0.25">
      <c r="B11790" s="73"/>
    </row>
    <row r="11791" spans="2:2" x14ac:dyDescent="0.25">
      <c r="B11791" s="73"/>
    </row>
    <row r="11792" spans="2:2" x14ac:dyDescent="0.25">
      <c r="B11792" s="73"/>
    </row>
    <row r="11793" spans="2:2" x14ac:dyDescent="0.25">
      <c r="B11793" s="73"/>
    </row>
    <row r="11794" spans="2:2" x14ac:dyDescent="0.25">
      <c r="B11794" s="73"/>
    </row>
    <row r="11795" spans="2:2" x14ac:dyDescent="0.25">
      <c r="B11795" s="73"/>
    </row>
    <row r="11796" spans="2:2" x14ac:dyDescent="0.25">
      <c r="B11796" s="73"/>
    </row>
    <row r="11797" spans="2:2" x14ac:dyDescent="0.25">
      <c r="B11797" s="73"/>
    </row>
    <row r="11798" spans="2:2" x14ac:dyDescent="0.25">
      <c r="B11798" s="73"/>
    </row>
    <row r="11799" spans="2:2" x14ac:dyDescent="0.25">
      <c r="B11799" s="73"/>
    </row>
    <row r="11800" spans="2:2" x14ac:dyDescent="0.25">
      <c r="B11800" s="73"/>
    </row>
    <row r="11801" spans="2:2" x14ac:dyDescent="0.25">
      <c r="B11801" s="73"/>
    </row>
    <row r="11802" spans="2:2" x14ac:dyDescent="0.25">
      <c r="B11802" s="73"/>
    </row>
    <row r="11803" spans="2:2" x14ac:dyDescent="0.25">
      <c r="B11803" s="73"/>
    </row>
    <row r="11804" spans="2:2" x14ac:dyDescent="0.25">
      <c r="B11804" s="73"/>
    </row>
    <row r="11805" spans="2:2" x14ac:dyDescent="0.25">
      <c r="B11805" s="73"/>
    </row>
    <row r="11806" spans="2:2" x14ac:dyDescent="0.25">
      <c r="B11806" s="73"/>
    </row>
    <row r="11807" spans="2:2" x14ac:dyDescent="0.25">
      <c r="B11807" s="73"/>
    </row>
    <row r="11808" spans="2:2" x14ac:dyDescent="0.25">
      <c r="B11808" s="73"/>
    </row>
    <row r="11809" spans="2:2" x14ac:dyDescent="0.25">
      <c r="B11809" s="73"/>
    </row>
    <row r="11810" spans="2:2" x14ac:dyDescent="0.25">
      <c r="B11810" s="73"/>
    </row>
    <row r="11811" spans="2:2" x14ac:dyDescent="0.25">
      <c r="B11811" s="73"/>
    </row>
    <row r="11812" spans="2:2" x14ac:dyDescent="0.25">
      <c r="B11812" s="73"/>
    </row>
    <row r="11813" spans="2:2" x14ac:dyDescent="0.25">
      <c r="B11813" s="73"/>
    </row>
    <row r="11814" spans="2:2" x14ac:dyDescent="0.25">
      <c r="B11814" s="73"/>
    </row>
    <row r="11815" spans="2:2" x14ac:dyDescent="0.25">
      <c r="B11815" s="73"/>
    </row>
    <row r="11816" spans="2:2" x14ac:dyDescent="0.25">
      <c r="B11816" s="73"/>
    </row>
    <row r="11817" spans="2:2" x14ac:dyDescent="0.25">
      <c r="B11817" s="73"/>
    </row>
    <row r="11818" spans="2:2" x14ac:dyDescent="0.25">
      <c r="B11818" s="73"/>
    </row>
    <row r="11819" spans="2:2" x14ac:dyDescent="0.25">
      <c r="B11819" s="73"/>
    </row>
    <row r="11820" spans="2:2" x14ac:dyDescent="0.25">
      <c r="B11820" s="73"/>
    </row>
    <row r="11821" spans="2:2" x14ac:dyDescent="0.25">
      <c r="B11821" s="73"/>
    </row>
    <row r="11822" spans="2:2" x14ac:dyDescent="0.25">
      <c r="B11822" s="73"/>
    </row>
    <row r="11823" spans="2:2" x14ac:dyDescent="0.25">
      <c r="B11823" s="73"/>
    </row>
    <row r="11824" spans="2:2" x14ac:dyDescent="0.25">
      <c r="B11824" s="73"/>
    </row>
    <row r="11825" spans="2:2" x14ac:dyDescent="0.25">
      <c r="B11825" s="73"/>
    </row>
    <row r="11826" spans="2:2" x14ac:dyDescent="0.25">
      <c r="B11826" s="73"/>
    </row>
    <row r="11827" spans="2:2" x14ac:dyDescent="0.25">
      <c r="B11827" s="73"/>
    </row>
    <row r="11828" spans="2:2" x14ac:dyDescent="0.25">
      <c r="B11828" s="73"/>
    </row>
    <row r="11829" spans="2:2" x14ac:dyDescent="0.25">
      <c r="B11829" s="73"/>
    </row>
    <row r="11830" spans="2:2" x14ac:dyDescent="0.25">
      <c r="B11830" s="73"/>
    </row>
    <row r="11831" spans="2:2" x14ac:dyDescent="0.25">
      <c r="B11831" s="73"/>
    </row>
    <row r="11832" spans="2:2" x14ac:dyDescent="0.25">
      <c r="B11832" s="73"/>
    </row>
    <row r="11833" spans="2:2" x14ac:dyDescent="0.25">
      <c r="B11833" s="73"/>
    </row>
    <row r="11834" spans="2:2" x14ac:dyDescent="0.25">
      <c r="B11834" s="73"/>
    </row>
    <row r="11835" spans="2:2" x14ac:dyDescent="0.25">
      <c r="B11835" s="73"/>
    </row>
    <row r="11836" spans="2:2" x14ac:dyDescent="0.25">
      <c r="B11836" s="73"/>
    </row>
    <row r="11837" spans="2:2" x14ac:dyDescent="0.25">
      <c r="B11837" s="73"/>
    </row>
    <row r="11838" spans="2:2" x14ac:dyDescent="0.25">
      <c r="B11838" s="73"/>
    </row>
    <row r="11839" spans="2:2" x14ac:dyDescent="0.25">
      <c r="B11839" s="73"/>
    </row>
    <row r="11840" spans="2:2" x14ac:dyDescent="0.25">
      <c r="B11840" s="73"/>
    </row>
    <row r="11841" spans="2:2" x14ac:dyDescent="0.25">
      <c r="B11841" s="73"/>
    </row>
    <row r="11842" spans="2:2" x14ac:dyDescent="0.25">
      <c r="B11842" s="73"/>
    </row>
    <row r="11843" spans="2:2" x14ac:dyDescent="0.25">
      <c r="B11843" s="73"/>
    </row>
    <row r="11844" spans="2:2" x14ac:dyDescent="0.25">
      <c r="B11844" s="73"/>
    </row>
    <row r="11845" spans="2:2" x14ac:dyDescent="0.25">
      <c r="B11845" s="73"/>
    </row>
    <row r="11846" spans="2:2" x14ac:dyDescent="0.25">
      <c r="B11846" s="73"/>
    </row>
    <row r="11847" spans="2:2" x14ac:dyDescent="0.25">
      <c r="B11847" s="73"/>
    </row>
    <row r="11848" spans="2:2" x14ac:dyDescent="0.25">
      <c r="B11848" s="73"/>
    </row>
    <row r="11849" spans="2:2" x14ac:dyDescent="0.25">
      <c r="B11849" s="73"/>
    </row>
    <row r="11850" spans="2:2" x14ac:dyDescent="0.25">
      <c r="B11850" s="73"/>
    </row>
    <row r="11851" spans="2:2" x14ac:dyDescent="0.25">
      <c r="B11851" s="73"/>
    </row>
    <row r="11852" spans="2:2" x14ac:dyDescent="0.25">
      <c r="B11852" s="73"/>
    </row>
    <row r="11853" spans="2:2" x14ac:dyDescent="0.25">
      <c r="B11853" s="73"/>
    </row>
    <row r="11854" spans="2:2" x14ac:dyDescent="0.25">
      <c r="B11854" s="73"/>
    </row>
    <row r="11855" spans="2:2" x14ac:dyDescent="0.25">
      <c r="B11855" s="73"/>
    </row>
    <row r="11856" spans="2:2" x14ac:dyDescent="0.25">
      <c r="B11856" s="73"/>
    </row>
    <row r="11857" spans="2:2" x14ac:dyDescent="0.25">
      <c r="B11857" s="73"/>
    </row>
    <row r="11858" spans="2:2" x14ac:dyDescent="0.25">
      <c r="B11858" s="73"/>
    </row>
    <row r="11859" spans="2:2" x14ac:dyDescent="0.25">
      <c r="B11859" s="73"/>
    </row>
    <row r="11860" spans="2:2" x14ac:dyDescent="0.25">
      <c r="B11860" s="73"/>
    </row>
    <row r="11861" spans="2:2" x14ac:dyDescent="0.25">
      <c r="B11861" s="73"/>
    </row>
    <row r="11862" spans="2:2" x14ac:dyDescent="0.25">
      <c r="B11862" s="73"/>
    </row>
    <row r="11863" spans="2:2" x14ac:dyDescent="0.25">
      <c r="B11863" s="73"/>
    </row>
    <row r="11864" spans="2:2" x14ac:dyDescent="0.25">
      <c r="B11864" s="73"/>
    </row>
    <row r="11865" spans="2:2" x14ac:dyDescent="0.25">
      <c r="B11865" s="73"/>
    </row>
    <row r="11866" spans="2:2" x14ac:dyDescent="0.25">
      <c r="B11866" s="73"/>
    </row>
    <row r="11867" spans="2:2" x14ac:dyDescent="0.25">
      <c r="B11867" s="73"/>
    </row>
    <row r="11868" spans="2:2" x14ac:dyDescent="0.25">
      <c r="B11868" s="73"/>
    </row>
    <row r="11869" spans="2:2" x14ac:dyDescent="0.25">
      <c r="B11869" s="73"/>
    </row>
    <row r="11870" spans="2:2" x14ac:dyDescent="0.25">
      <c r="B11870" s="73"/>
    </row>
    <row r="11871" spans="2:2" x14ac:dyDescent="0.25">
      <c r="B11871" s="73"/>
    </row>
    <row r="11872" spans="2:2" x14ac:dyDescent="0.25">
      <c r="B11872" s="73"/>
    </row>
    <row r="11873" spans="2:2" x14ac:dyDescent="0.25">
      <c r="B11873" s="73"/>
    </row>
    <row r="11874" spans="2:2" x14ac:dyDescent="0.25">
      <c r="B11874" s="73"/>
    </row>
    <row r="11875" spans="2:2" x14ac:dyDescent="0.25">
      <c r="B11875" s="73"/>
    </row>
    <row r="11876" spans="2:2" x14ac:dyDescent="0.25">
      <c r="B11876" s="73"/>
    </row>
    <row r="11877" spans="2:2" x14ac:dyDescent="0.25">
      <c r="B11877" s="73"/>
    </row>
    <row r="11878" spans="2:2" x14ac:dyDescent="0.25">
      <c r="B11878" s="73"/>
    </row>
    <row r="11879" spans="2:2" x14ac:dyDescent="0.25">
      <c r="B11879" s="73"/>
    </row>
    <row r="11880" spans="2:2" x14ac:dyDescent="0.25">
      <c r="B11880" s="73"/>
    </row>
    <row r="11881" spans="2:2" x14ac:dyDescent="0.25">
      <c r="B11881" s="73"/>
    </row>
    <row r="11882" spans="2:2" x14ac:dyDescent="0.25">
      <c r="B11882" s="73"/>
    </row>
    <row r="11883" spans="2:2" x14ac:dyDescent="0.25">
      <c r="B11883" s="73"/>
    </row>
    <row r="11884" spans="2:2" x14ac:dyDescent="0.25">
      <c r="B11884" s="73"/>
    </row>
    <row r="11885" spans="2:2" x14ac:dyDescent="0.25">
      <c r="B11885" s="73"/>
    </row>
    <row r="11886" spans="2:2" x14ac:dyDescent="0.25">
      <c r="B11886" s="73"/>
    </row>
    <row r="11887" spans="2:2" x14ac:dyDescent="0.25">
      <c r="B11887" s="73"/>
    </row>
    <row r="11888" spans="2:2" x14ac:dyDescent="0.25">
      <c r="B11888" s="73"/>
    </row>
    <row r="11889" spans="2:2" x14ac:dyDescent="0.25">
      <c r="B11889" s="73"/>
    </row>
    <row r="11890" spans="2:2" x14ac:dyDescent="0.25">
      <c r="B11890" s="73"/>
    </row>
    <row r="11891" spans="2:2" x14ac:dyDescent="0.25">
      <c r="B11891" s="73"/>
    </row>
    <row r="11892" spans="2:2" x14ac:dyDescent="0.25">
      <c r="B11892" s="73"/>
    </row>
    <row r="11893" spans="2:2" x14ac:dyDescent="0.25">
      <c r="B11893" s="73"/>
    </row>
    <row r="11894" spans="2:2" x14ac:dyDescent="0.25">
      <c r="B11894" s="73"/>
    </row>
    <row r="11895" spans="2:2" x14ac:dyDescent="0.25">
      <c r="B11895" s="73"/>
    </row>
    <row r="11896" spans="2:2" x14ac:dyDescent="0.25">
      <c r="B11896" s="73"/>
    </row>
    <row r="11897" spans="2:2" x14ac:dyDescent="0.25">
      <c r="B11897" s="73"/>
    </row>
    <row r="11898" spans="2:2" x14ac:dyDescent="0.25">
      <c r="B11898" s="73"/>
    </row>
    <row r="11899" spans="2:2" x14ac:dyDescent="0.25">
      <c r="B11899" s="73"/>
    </row>
    <row r="11900" spans="2:2" x14ac:dyDescent="0.25">
      <c r="B11900" s="73"/>
    </row>
    <row r="11901" spans="2:2" x14ac:dyDescent="0.25">
      <c r="B11901" s="73"/>
    </row>
    <row r="11902" spans="2:2" x14ac:dyDescent="0.25">
      <c r="B11902" s="73"/>
    </row>
    <row r="11903" spans="2:2" x14ac:dyDescent="0.25">
      <c r="B11903" s="73"/>
    </row>
    <row r="11904" spans="2:2" x14ac:dyDescent="0.25">
      <c r="B11904" s="73"/>
    </row>
    <row r="11905" spans="2:2" x14ac:dyDescent="0.25">
      <c r="B11905" s="73"/>
    </row>
    <row r="11906" spans="2:2" x14ac:dyDescent="0.25">
      <c r="B11906" s="73"/>
    </row>
    <row r="11907" spans="2:2" x14ac:dyDescent="0.25">
      <c r="B11907" s="73"/>
    </row>
    <row r="11908" spans="2:2" x14ac:dyDescent="0.25">
      <c r="B11908" s="73"/>
    </row>
    <row r="11909" spans="2:2" x14ac:dyDescent="0.25">
      <c r="B11909" s="73"/>
    </row>
    <row r="11910" spans="2:2" x14ac:dyDescent="0.25">
      <c r="B11910" s="73"/>
    </row>
    <row r="11911" spans="2:2" x14ac:dyDescent="0.25">
      <c r="B11911" s="73"/>
    </row>
    <row r="11912" spans="2:2" x14ac:dyDescent="0.25">
      <c r="B11912" s="73"/>
    </row>
    <row r="11913" spans="2:2" x14ac:dyDescent="0.25">
      <c r="B11913" s="73"/>
    </row>
    <row r="11914" spans="2:2" x14ac:dyDescent="0.25">
      <c r="B11914" s="73"/>
    </row>
    <row r="11915" spans="2:2" x14ac:dyDescent="0.25">
      <c r="B11915" s="73"/>
    </row>
    <row r="11916" spans="2:2" x14ac:dyDescent="0.25">
      <c r="B11916" s="73"/>
    </row>
    <row r="11917" spans="2:2" x14ac:dyDescent="0.25">
      <c r="B11917" s="73"/>
    </row>
    <row r="11918" spans="2:2" x14ac:dyDescent="0.25">
      <c r="B11918" s="73"/>
    </row>
    <row r="11919" spans="2:2" x14ac:dyDescent="0.25">
      <c r="B11919" s="73"/>
    </row>
    <row r="11920" spans="2:2" x14ac:dyDescent="0.25">
      <c r="B11920" s="73"/>
    </row>
    <row r="11921" spans="2:2" x14ac:dyDescent="0.25">
      <c r="B11921" s="73"/>
    </row>
    <row r="11922" spans="2:2" x14ac:dyDescent="0.25">
      <c r="B11922" s="73"/>
    </row>
    <row r="11923" spans="2:2" x14ac:dyDescent="0.25">
      <c r="B11923" s="73"/>
    </row>
    <row r="11924" spans="2:2" x14ac:dyDescent="0.25">
      <c r="B11924" s="73"/>
    </row>
    <row r="11925" spans="2:2" x14ac:dyDescent="0.25">
      <c r="B11925" s="73"/>
    </row>
    <row r="11926" spans="2:2" x14ac:dyDescent="0.25">
      <c r="B11926" s="73"/>
    </row>
    <row r="11927" spans="2:2" x14ac:dyDescent="0.25">
      <c r="B11927" s="73"/>
    </row>
    <row r="11928" spans="2:2" x14ac:dyDescent="0.25">
      <c r="B11928" s="73"/>
    </row>
    <row r="11929" spans="2:2" x14ac:dyDescent="0.25">
      <c r="B11929" s="73"/>
    </row>
    <row r="11930" spans="2:2" x14ac:dyDescent="0.25">
      <c r="B11930" s="73"/>
    </row>
    <row r="11931" spans="2:2" x14ac:dyDescent="0.25">
      <c r="B11931" s="73"/>
    </row>
    <row r="11932" spans="2:2" x14ac:dyDescent="0.25">
      <c r="B11932" s="73"/>
    </row>
    <row r="11933" spans="2:2" x14ac:dyDescent="0.25">
      <c r="B11933" s="73"/>
    </row>
    <row r="11934" spans="2:2" x14ac:dyDescent="0.25">
      <c r="B11934" s="73"/>
    </row>
    <row r="11935" spans="2:2" x14ac:dyDescent="0.25">
      <c r="B11935" s="73"/>
    </row>
    <row r="11936" spans="2:2" x14ac:dyDescent="0.25">
      <c r="B11936" s="73"/>
    </row>
    <row r="11937" spans="2:2" x14ac:dyDescent="0.25">
      <c r="B11937" s="73"/>
    </row>
    <row r="11938" spans="2:2" x14ac:dyDescent="0.25">
      <c r="B11938" s="73"/>
    </row>
    <row r="11939" spans="2:2" x14ac:dyDescent="0.25">
      <c r="B11939" s="73"/>
    </row>
    <row r="11940" spans="2:2" x14ac:dyDescent="0.25">
      <c r="B11940" s="73"/>
    </row>
    <row r="11941" spans="2:2" x14ac:dyDescent="0.25">
      <c r="B11941" s="73"/>
    </row>
    <row r="11942" spans="2:2" x14ac:dyDescent="0.25">
      <c r="B11942" s="73"/>
    </row>
    <row r="11943" spans="2:2" x14ac:dyDescent="0.25">
      <c r="B11943" s="73"/>
    </row>
    <row r="11944" spans="2:2" x14ac:dyDescent="0.25">
      <c r="B11944" s="73"/>
    </row>
    <row r="11945" spans="2:2" x14ac:dyDescent="0.25">
      <c r="B11945" s="73"/>
    </row>
    <row r="11946" spans="2:2" x14ac:dyDescent="0.25">
      <c r="B11946" s="73"/>
    </row>
    <row r="11947" spans="2:2" x14ac:dyDescent="0.25">
      <c r="B11947" s="73"/>
    </row>
    <row r="11948" spans="2:2" x14ac:dyDescent="0.25">
      <c r="B11948" s="73"/>
    </row>
    <row r="11949" spans="2:2" x14ac:dyDescent="0.25">
      <c r="B11949" s="73"/>
    </row>
    <row r="11950" spans="2:2" x14ac:dyDescent="0.25">
      <c r="B11950" s="73"/>
    </row>
    <row r="11951" spans="2:2" x14ac:dyDescent="0.25">
      <c r="B11951" s="73"/>
    </row>
    <row r="11952" spans="2:2" x14ac:dyDescent="0.25">
      <c r="B11952" s="73"/>
    </row>
    <row r="11953" spans="2:2" x14ac:dyDescent="0.25">
      <c r="B11953" s="73"/>
    </row>
    <row r="11954" spans="2:2" x14ac:dyDescent="0.25">
      <c r="B11954" s="73"/>
    </row>
    <row r="11955" spans="2:2" x14ac:dyDescent="0.25">
      <c r="B11955" s="73"/>
    </row>
    <row r="11956" spans="2:2" x14ac:dyDescent="0.25">
      <c r="B11956" s="73"/>
    </row>
    <row r="11957" spans="2:2" x14ac:dyDescent="0.25">
      <c r="B11957" s="73"/>
    </row>
    <row r="11958" spans="2:2" x14ac:dyDescent="0.25">
      <c r="B11958" s="73"/>
    </row>
    <row r="11959" spans="2:2" x14ac:dyDescent="0.25">
      <c r="B11959" s="73"/>
    </row>
    <row r="11960" spans="2:2" x14ac:dyDescent="0.25">
      <c r="B11960" s="73"/>
    </row>
    <row r="11961" spans="2:2" x14ac:dyDescent="0.25">
      <c r="B11961" s="73"/>
    </row>
    <row r="11962" spans="2:2" x14ac:dyDescent="0.25">
      <c r="B11962" s="73"/>
    </row>
    <row r="11963" spans="2:2" x14ac:dyDescent="0.25">
      <c r="B11963" s="73"/>
    </row>
    <row r="11964" spans="2:2" x14ac:dyDescent="0.25">
      <c r="B11964" s="73"/>
    </row>
    <row r="11965" spans="2:2" x14ac:dyDescent="0.25">
      <c r="B11965" s="73"/>
    </row>
    <row r="11966" spans="2:2" x14ac:dyDescent="0.25">
      <c r="B11966" s="73"/>
    </row>
    <row r="11967" spans="2:2" x14ac:dyDescent="0.25">
      <c r="B11967" s="73"/>
    </row>
    <row r="11968" spans="2:2" x14ac:dyDescent="0.25">
      <c r="B11968" s="73"/>
    </row>
    <row r="11969" spans="2:2" x14ac:dyDescent="0.25">
      <c r="B11969" s="73"/>
    </row>
    <row r="11970" spans="2:2" x14ac:dyDescent="0.25">
      <c r="B11970" s="73"/>
    </row>
    <row r="11971" spans="2:2" x14ac:dyDescent="0.25">
      <c r="B11971" s="73"/>
    </row>
    <row r="11972" spans="2:2" x14ac:dyDescent="0.25">
      <c r="B11972" s="73"/>
    </row>
    <row r="11973" spans="2:2" x14ac:dyDescent="0.25">
      <c r="B11973" s="73"/>
    </row>
    <row r="11974" spans="2:2" x14ac:dyDescent="0.25">
      <c r="B11974" s="73"/>
    </row>
    <row r="11975" spans="2:2" x14ac:dyDescent="0.25">
      <c r="B11975" s="73"/>
    </row>
    <row r="11976" spans="2:2" x14ac:dyDescent="0.25">
      <c r="B11976" s="73"/>
    </row>
    <row r="11977" spans="2:2" x14ac:dyDescent="0.25">
      <c r="B11977" s="73"/>
    </row>
    <row r="11978" spans="2:2" x14ac:dyDescent="0.25">
      <c r="B11978" s="73"/>
    </row>
    <row r="11979" spans="2:2" x14ac:dyDescent="0.25">
      <c r="B11979" s="73"/>
    </row>
    <row r="11980" spans="2:2" x14ac:dyDescent="0.25">
      <c r="B11980" s="73"/>
    </row>
    <row r="11981" spans="2:2" x14ac:dyDescent="0.25">
      <c r="B11981" s="73"/>
    </row>
    <row r="11982" spans="2:2" x14ac:dyDescent="0.25">
      <c r="B11982" s="73"/>
    </row>
    <row r="11983" spans="2:2" x14ac:dyDescent="0.25">
      <c r="B11983" s="73"/>
    </row>
    <row r="11984" spans="2:2" x14ac:dyDescent="0.25">
      <c r="B11984" s="73"/>
    </row>
    <row r="11985" spans="2:2" x14ac:dyDescent="0.25">
      <c r="B11985" s="73"/>
    </row>
    <row r="11986" spans="2:2" x14ac:dyDescent="0.25">
      <c r="B11986" s="73"/>
    </row>
    <row r="11987" spans="2:2" x14ac:dyDescent="0.25">
      <c r="B11987" s="73"/>
    </row>
    <row r="11988" spans="2:2" x14ac:dyDescent="0.25">
      <c r="B11988" s="73"/>
    </row>
    <row r="11989" spans="2:2" x14ac:dyDescent="0.25">
      <c r="B11989" s="73"/>
    </row>
    <row r="11990" spans="2:2" x14ac:dyDescent="0.25">
      <c r="B11990" s="73"/>
    </row>
    <row r="11991" spans="2:2" x14ac:dyDescent="0.25">
      <c r="B11991" s="73"/>
    </row>
    <row r="11992" spans="2:2" x14ac:dyDescent="0.25">
      <c r="B11992" s="73"/>
    </row>
    <row r="11993" spans="2:2" x14ac:dyDescent="0.25">
      <c r="B11993" s="73"/>
    </row>
    <row r="11994" spans="2:2" x14ac:dyDescent="0.25">
      <c r="B11994" s="73"/>
    </row>
    <row r="11995" spans="2:2" x14ac:dyDescent="0.25">
      <c r="B11995" s="73"/>
    </row>
    <row r="11996" spans="2:2" x14ac:dyDescent="0.25">
      <c r="B11996" s="73"/>
    </row>
    <row r="11997" spans="2:2" x14ac:dyDescent="0.25">
      <c r="B11997" s="73"/>
    </row>
    <row r="11998" spans="2:2" x14ac:dyDescent="0.25">
      <c r="B11998" s="73"/>
    </row>
    <row r="11999" spans="2:2" x14ac:dyDescent="0.25">
      <c r="B11999" s="73"/>
    </row>
    <row r="12000" spans="2:2" x14ac:dyDescent="0.25">
      <c r="B12000" s="73"/>
    </row>
    <row r="12001" spans="2:2" x14ac:dyDescent="0.25">
      <c r="B12001" s="73"/>
    </row>
    <row r="12002" spans="2:2" x14ac:dyDescent="0.25">
      <c r="B12002" s="73"/>
    </row>
    <row r="12003" spans="2:2" x14ac:dyDescent="0.25">
      <c r="B12003" s="73"/>
    </row>
    <row r="12004" spans="2:2" x14ac:dyDescent="0.25">
      <c r="B12004" s="73"/>
    </row>
    <row r="12005" spans="2:2" x14ac:dyDescent="0.25">
      <c r="B12005" s="73"/>
    </row>
    <row r="12006" spans="2:2" x14ac:dyDescent="0.25">
      <c r="B12006" s="73"/>
    </row>
    <row r="12007" spans="2:2" x14ac:dyDescent="0.25">
      <c r="B12007" s="73"/>
    </row>
    <row r="12008" spans="2:2" x14ac:dyDescent="0.25">
      <c r="B12008" s="73"/>
    </row>
    <row r="12009" spans="2:2" x14ac:dyDescent="0.25">
      <c r="B12009" s="73"/>
    </row>
    <row r="12010" spans="2:2" x14ac:dyDescent="0.25">
      <c r="B12010" s="73"/>
    </row>
    <row r="12011" spans="2:2" x14ac:dyDescent="0.25">
      <c r="B12011" s="73"/>
    </row>
    <row r="12012" spans="2:2" x14ac:dyDescent="0.25">
      <c r="B12012" s="73"/>
    </row>
    <row r="12013" spans="2:2" x14ac:dyDescent="0.25">
      <c r="B12013" s="73"/>
    </row>
    <row r="12014" spans="2:2" x14ac:dyDescent="0.25">
      <c r="B12014" s="73"/>
    </row>
    <row r="12015" spans="2:2" x14ac:dyDescent="0.25">
      <c r="B12015" s="73"/>
    </row>
    <row r="12016" spans="2:2" x14ac:dyDescent="0.25">
      <c r="B12016" s="73"/>
    </row>
    <row r="12017" spans="2:2" x14ac:dyDescent="0.25">
      <c r="B12017" s="73"/>
    </row>
    <row r="12018" spans="2:2" x14ac:dyDescent="0.25">
      <c r="B12018" s="73"/>
    </row>
    <row r="12019" spans="2:2" x14ac:dyDescent="0.25">
      <c r="B12019" s="73"/>
    </row>
    <row r="12020" spans="2:2" x14ac:dyDescent="0.25">
      <c r="B12020" s="73"/>
    </row>
    <row r="12021" spans="2:2" x14ac:dyDescent="0.25">
      <c r="B12021" s="73"/>
    </row>
    <row r="12022" spans="2:2" x14ac:dyDescent="0.25">
      <c r="B12022" s="73"/>
    </row>
    <row r="12023" spans="2:2" x14ac:dyDescent="0.25">
      <c r="B12023" s="73"/>
    </row>
    <row r="12024" spans="2:2" x14ac:dyDescent="0.25">
      <c r="B12024" s="73"/>
    </row>
    <row r="12025" spans="2:2" x14ac:dyDescent="0.25">
      <c r="B12025" s="73"/>
    </row>
    <row r="12026" spans="2:2" x14ac:dyDescent="0.25">
      <c r="B12026" s="73"/>
    </row>
    <row r="12027" spans="2:2" x14ac:dyDescent="0.25">
      <c r="B12027" s="73"/>
    </row>
    <row r="12028" spans="2:2" x14ac:dyDescent="0.25">
      <c r="B12028" s="73"/>
    </row>
    <row r="12029" spans="2:2" x14ac:dyDescent="0.25">
      <c r="B12029" s="73"/>
    </row>
    <row r="12030" spans="2:2" x14ac:dyDescent="0.25">
      <c r="B12030" s="73"/>
    </row>
    <row r="12031" spans="2:2" x14ac:dyDescent="0.25">
      <c r="B12031" s="73"/>
    </row>
    <row r="12032" spans="2:2" x14ac:dyDescent="0.25">
      <c r="B12032" s="73"/>
    </row>
    <row r="12033" spans="2:2" x14ac:dyDescent="0.25">
      <c r="B12033" s="73"/>
    </row>
    <row r="12034" spans="2:2" x14ac:dyDescent="0.25">
      <c r="B12034" s="73"/>
    </row>
    <row r="12035" spans="2:2" x14ac:dyDescent="0.25">
      <c r="B12035" s="73"/>
    </row>
    <row r="12036" spans="2:2" x14ac:dyDescent="0.25">
      <c r="B12036" s="73"/>
    </row>
    <row r="12037" spans="2:2" x14ac:dyDescent="0.25">
      <c r="B12037" s="73"/>
    </row>
    <row r="12038" spans="2:2" x14ac:dyDescent="0.25">
      <c r="B12038" s="73"/>
    </row>
    <row r="12039" spans="2:2" x14ac:dyDescent="0.25">
      <c r="B12039" s="73"/>
    </row>
    <row r="12040" spans="2:2" x14ac:dyDescent="0.25">
      <c r="B12040" s="73"/>
    </row>
    <row r="12041" spans="2:2" x14ac:dyDescent="0.25">
      <c r="B12041" s="73"/>
    </row>
    <row r="12042" spans="2:2" x14ac:dyDescent="0.25">
      <c r="B12042" s="73"/>
    </row>
    <row r="12043" spans="2:2" x14ac:dyDescent="0.25">
      <c r="B12043" s="73"/>
    </row>
    <row r="12044" spans="2:2" x14ac:dyDescent="0.25">
      <c r="B12044" s="73"/>
    </row>
    <row r="12045" spans="2:2" x14ac:dyDescent="0.25">
      <c r="B12045" s="73"/>
    </row>
    <row r="12046" spans="2:2" x14ac:dyDescent="0.25">
      <c r="B12046" s="73"/>
    </row>
    <row r="12047" spans="2:2" x14ac:dyDescent="0.25">
      <c r="B12047" s="73"/>
    </row>
    <row r="12048" spans="2:2" x14ac:dyDescent="0.25">
      <c r="B12048" s="73"/>
    </row>
    <row r="12049" spans="2:2" x14ac:dyDescent="0.25">
      <c r="B12049" s="73"/>
    </row>
    <row r="12050" spans="2:2" x14ac:dyDescent="0.25">
      <c r="B12050" s="73"/>
    </row>
    <row r="12051" spans="2:2" x14ac:dyDescent="0.25">
      <c r="B12051" s="73"/>
    </row>
    <row r="12052" spans="2:2" x14ac:dyDescent="0.25">
      <c r="B12052" s="73"/>
    </row>
    <row r="12053" spans="2:2" x14ac:dyDescent="0.25">
      <c r="B12053" s="73"/>
    </row>
    <row r="12054" spans="2:2" x14ac:dyDescent="0.25">
      <c r="B12054" s="73"/>
    </row>
    <row r="12055" spans="2:2" x14ac:dyDescent="0.25">
      <c r="B12055" s="73"/>
    </row>
    <row r="12056" spans="2:2" x14ac:dyDescent="0.25">
      <c r="B12056" s="73"/>
    </row>
    <row r="12057" spans="2:2" x14ac:dyDescent="0.25">
      <c r="B12057" s="73"/>
    </row>
    <row r="12058" spans="2:2" x14ac:dyDescent="0.25">
      <c r="B12058" s="73"/>
    </row>
    <row r="12059" spans="2:2" x14ac:dyDescent="0.25">
      <c r="B12059" s="73"/>
    </row>
    <row r="12060" spans="2:2" x14ac:dyDescent="0.25">
      <c r="B12060" s="73"/>
    </row>
    <row r="12061" spans="2:2" x14ac:dyDescent="0.25">
      <c r="B12061" s="73"/>
    </row>
    <row r="12062" spans="2:2" x14ac:dyDescent="0.25">
      <c r="B12062" s="73"/>
    </row>
    <row r="12063" spans="2:2" x14ac:dyDescent="0.25">
      <c r="B12063" s="73"/>
    </row>
    <row r="12064" spans="2:2" x14ac:dyDescent="0.25">
      <c r="B12064" s="73"/>
    </row>
    <row r="12065" spans="2:2" x14ac:dyDescent="0.25">
      <c r="B12065" s="73"/>
    </row>
    <row r="12066" spans="2:2" x14ac:dyDescent="0.25">
      <c r="B12066" s="73"/>
    </row>
    <row r="12067" spans="2:2" x14ac:dyDescent="0.25">
      <c r="B12067" s="73"/>
    </row>
    <row r="12068" spans="2:2" x14ac:dyDescent="0.25">
      <c r="B12068" s="73"/>
    </row>
    <row r="12069" spans="2:2" x14ac:dyDescent="0.25">
      <c r="B12069" s="73"/>
    </row>
    <row r="12070" spans="2:2" x14ac:dyDescent="0.25">
      <c r="B12070" s="73"/>
    </row>
    <row r="12071" spans="2:2" x14ac:dyDescent="0.25">
      <c r="B12071" s="73"/>
    </row>
    <row r="12072" spans="2:2" x14ac:dyDescent="0.25">
      <c r="B12072" s="73"/>
    </row>
    <row r="12073" spans="2:2" x14ac:dyDescent="0.25">
      <c r="B12073" s="73"/>
    </row>
    <row r="12074" spans="2:2" x14ac:dyDescent="0.25">
      <c r="B12074" s="73"/>
    </row>
    <row r="12075" spans="2:2" x14ac:dyDescent="0.25">
      <c r="B12075" s="73"/>
    </row>
    <row r="12076" spans="2:2" x14ac:dyDescent="0.25">
      <c r="B12076" s="73"/>
    </row>
    <row r="12077" spans="2:2" x14ac:dyDescent="0.25">
      <c r="B12077" s="73"/>
    </row>
    <row r="12078" spans="2:2" x14ac:dyDescent="0.25">
      <c r="B12078" s="73"/>
    </row>
    <row r="12079" spans="2:2" x14ac:dyDescent="0.25">
      <c r="B12079" s="73"/>
    </row>
    <row r="12080" spans="2:2" x14ac:dyDescent="0.25">
      <c r="B12080" s="73"/>
    </row>
    <row r="12081" spans="2:2" x14ac:dyDescent="0.25">
      <c r="B12081" s="73"/>
    </row>
    <row r="12082" spans="2:2" x14ac:dyDescent="0.25">
      <c r="B12082" s="73"/>
    </row>
    <row r="12083" spans="2:2" x14ac:dyDescent="0.25">
      <c r="B12083" s="73"/>
    </row>
    <row r="12084" spans="2:2" x14ac:dyDescent="0.25">
      <c r="B12084" s="73"/>
    </row>
    <row r="12085" spans="2:2" x14ac:dyDescent="0.25">
      <c r="B12085" s="73"/>
    </row>
    <row r="12086" spans="2:2" x14ac:dyDescent="0.25">
      <c r="B12086" s="73"/>
    </row>
    <row r="12087" spans="2:2" x14ac:dyDescent="0.25">
      <c r="B12087" s="73"/>
    </row>
    <row r="12088" spans="2:2" x14ac:dyDescent="0.25">
      <c r="B12088" s="73"/>
    </row>
    <row r="12089" spans="2:2" x14ac:dyDescent="0.25">
      <c r="B12089" s="73"/>
    </row>
    <row r="12090" spans="2:2" x14ac:dyDescent="0.25">
      <c r="B12090" s="73"/>
    </row>
    <row r="12091" spans="2:2" x14ac:dyDescent="0.25">
      <c r="B12091" s="73"/>
    </row>
    <row r="12092" spans="2:2" x14ac:dyDescent="0.25">
      <c r="B12092" s="73"/>
    </row>
    <row r="12093" spans="2:2" x14ac:dyDescent="0.25">
      <c r="B12093" s="73"/>
    </row>
    <row r="12094" spans="2:2" x14ac:dyDescent="0.25">
      <c r="B12094" s="73"/>
    </row>
    <row r="12095" spans="2:2" x14ac:dyDescent="0.25">
      <c r="B12095" s="73"/>
    </row>
    <row r="12096" spans="2:2" x14ac:dyDescent="0.25">
      <c r="B12096" s="73"/>
    </row>
    <row r="12097" spans="2:2" x14ac:dyDescent="0.25">
      <c r="B12097" s="73"/>
    </row>
    <row r="12098" spans="2:2" x14ac:dyDescent="0.25">
      <c r="B12098" s="73"/>
    </row>
    <row r="12099" spans="2:2" x14ac:dyDescent="0.25">
      <c r="B12099" s="73"/>
    </row>
    <row r="12100" spans="2:2" x14ac:dyDescent="0.25">
      <c r="B12100" s="73"/>
    </row>
    <row r="12101" spans="2:2" x14ac:dyDescent="0.25">
      <c r="B12101" s="73"/>
    </row>
    <row r="12102" spans="2:2" x14ac:dyDescent="0.25">
      <c r="B12102" s="73"/>
    </row>
    <row r="12103" spans="2:2" x14ac:dyDescent="0.25">
      <c r="B12103" s="73"/>
    </row>
    <row r="12104" spans="2:2" x14ac:dyDescent="0.25">
      <c r="B12104" s="73"/>
    </row>
    <row r="12105" spans="2:2" x14ac:dyDescent="0.25">
      <c r="B12105" s="73"/>
    </row>
    <row r="12106" spans="2:2" x14ac:dyDescent="0.25">
      <c r="B12106" s="73"/>
    </row>
    <row r="12107" spans="2:2" x14ac:dyDescent="0.25">
      <c r="B12107" s="73"/>
    </row>
    <row r="12108" spans="2:2" x14ac:dyDescent="0.25">
      <c r="B12108" s="73"/>
    </row>
    <row r="12109" spans="2:2" x14ac:dyDescent="0.25">
      <c r="B12109" s="73"/>
    </row>
    <row r="12110" spans="2:2" x14ac:dyDescent="0.25">
      <c r="B12110" s="73"/>
    </row>
    <row r="12111" spans="2:2" x14ac:dyDescent="0.25">
      <c r="B12111" s="73"/>
    </row>
    <row r="12112" spans="2:2" x14ac:dyDescent="0.25">
      <c r="B12112" s="73"/>
    </row>
    <row r="12113" spans="2:2" x14ac:dyDescent="0.25">
      <c r="B12113" s="73"/>
    </row>
    <row r="12114" spans="2:2" x14ac:dyDescent="0.25">
      <c r="B12114" s="73"/>
    </row>
    <row r="12115" spans="2:2" x14ac:dyDescent="0.25">
      <c r="B12115" s="73"/>
    </row>
    <row r="12116" spans="2:2" x14ac:dyDescent="0.25">
      <c r="B12116" s="73"/>
    </row>
    <row r="12117" spans="2:2" x14ac:dyDescent="0.25">
      <c r="B12117" s="73"/>
    </row>
    <row r="12118" spans="2:2" x14ac:dyDescent="0.25">
      <c r="B12118" s="73"/>
    </row>
    <row r="12119" spans="2:2" x14ac:dyDescent="0.25">
      <c r="B12119" s="73"/>
    </row>
    <row r="12120" spans="2:2" x14ac:dyDescent="0.25">
      <c r="B12120" s="73"/>
    </row>
    <row r="12121" spans="2:2" x14ac:dyDescent="0.25">
      <c r="B12121" s="73"/>
    </row>
    <row r="12122" spans="2:2" x14ac:dyDescent="0.25">
      <c r="B12122" s="73"/>
    </row>
    <row r="12123" spans="2:2" x14ac:dyDescent="0.25">
      <c r="B12123" s="73"/>
    </row>
    <row r="12124" spans="2:2" x14ac:dyDescent="0.25">
      <c r="B12124" s="73"/>
    </row>
    <row r="12125" spans="2:2" x14ac:dyDescent="0.25">
      <c r="B12125" s="73"/>
    </row>
    <row r="12126" spans="2:2" x14ac:dyDescent="0.25">
      <c r="B12126" s="73"/>
    </row>
    <row r="12127" spans="2:2" x14ac:dyDescent="0.25">
      <c r="B12127" s="73"/>
    </row>
    <row r="12128" spans="2:2" x14ac:dyDescent="0.25">
      <c r="B12128" s="73"/>
    </row>
    <row r="12129" spans="2:2" x14ac:dyDescent="0.25">
      <c r="B12129" s="73"/>
    </row>
    <row r="12130" spans="2:2" x14ac:dyDescent="0.25">
      <c r="B12130" s="73"/>
    </row>
    <row r="12131" spans="2:2" x14ac:dyDescent="0.25">
      <c r="B12131" s="73"/>
    </row>
    <row r="12132" spans="2:2" x14ac:dyDescent="0.25">
      <c r="B12132" s="73"/>
    </row>
    <row r="12133" spans="2:2" x14ac:dyDescent="0.25">
      <c r="B12133" s="73"/>
    </row>
    <row r="12134" spans="2:2" x14ac:dyDescent="0.25">
      <c r="B12134" s="73"/>
    </row>
    <row r="12135" spans="2:2" x14ac:dyDescent="0.25">
      <c r="B12135" s="73"/>
    </row>
    <row r="12136" spans="2:2" x14ac:dyDescent="0.25">
      <c r="B12136" s="73"/>
    </row>
    <row r="12137" spans="2:2" x14ac:dyDescent="0.25">
      <c r="B12137" s="73"/>
    </row>
    <row r="12138" spans="2:2" x14ac:dyDescent="0.25">
      <c r="B12138" s="73"/>
    </row>
    <row r="12139" spans="2:2" x14ac:dyDescent="0.25">
      <c r="B12139" s="73"/>
    </row>
    <row r="12140" spans="2:2" x14ac:dyDescent="0.25">
      <c r="B12140" s="73"/>
    </row>
    <row r="12141" spans="2:2" x14ac:dyDescent="0.25">
      <c r="B12141" s="73"/>
    </row>
    <row r="12142" spans="2:2" x14ac:dyDescent="0.25">
      <c r="B12142" s="73"/>
    </row>
    <row r="12143" spans="2:2" x14ac:dyDescent="0.25">
      <c r="B12143" s="73"/>
    </row>
    <row r="12144" spans="2:2" x14ac:dyDescent="0.25">
      <c r="B12144" s="73"/>
    </row>
    <row r="12145" spans="2:2" x14ac:dyDescent="0.25">
      <c r="B12145" s="73"/>
    </row>
    <row r="12146" spans="2:2" x14ac:dyDescent="0.25">
      <c r="B12146" s="73"/>
    </row>
    <row r="12147" spans="2:2" x14ac:dyDescent="0.25">
      <c r="B12147" s="73"/>
    </row>
    <row r="12148" spans="2:2" x14ac:dyDescent="0.25">
      <c r="B12148" s="73"/>
    </row>
    <row r="12149" spans="2:2" x14ac:dyDescent="0.25">
      <c r="B12149" s="73"/>
    </row>
    <row r="12150" spans="2:2" x14ac:dyDescent="0.25">
      <c r="B12150" s="73"/>
    </row>
    <row r="12151" spans="2:2" x14ac:dyDescent="0.25">
      <c r="B12151" s="73"/>
    </row>
    <row r="12152" spans="2:2" x14ac:dyDescent="0.25">
      <c r="B12152" s="73"/>
    </row>
    <row r="12153" spans="2:2" x14ac:dyDescent="0.25">
      <c r="B12153" s="73"/>
    </row>
    <row r="12154" spans="2:2" x14ac:dyDescent="0.25">
      <c r="B12154" s="73"/>
    </row>
    <row r="12155" spans="2:2" x14ac:dyDescent="0.25">
      <c r="B12155" s="73"/>
    </row>
    <row r="12156" spans="2:2" x14ac:dyDescent="0.25">
      <c r="B12156" s="73"/>
    </row>
    <row r="12157" spans="2:2" x14ac:dyDescent="0.25">
      <c r="B12157" s="73"/>
    </row>
    <row r="12158" spans="2:2" x14ac:dyDescent="0.25">
      <c r="B12158" s="73"/>
    </row>
    <row r="12159" spans="2:2" x14ac:dyDescent="0.25">
      <c r="B12159" s="73"/>
    </row>
    <row r="12160" spans="2:2" x14ac:dyDescent="0.25">
      <c r="B12160" s="73"/>
    </row>
    <row r="12161" spans="2:2" x14ac:dyDescent="0.25">
      <c r="B12161" s="73"/>
    </row>
    <row r="12162" spans="2:2" x14ac:dyDescent="0.25">
      <c r="B12162" s="73"/>
    </row>
    <row r="12163" spans="2:2" x14ac:dyDescent="0.25">
      <c r="B12163" s="73"/>
    </row>
    <row r="12164" spans="2:2" x14ac:dyDescent="0.25">
      <c r="B12164" s="73"/>
    </row>
    <row r="12165" spans="2:2" x14ac:dyDescent="0.25">
      <c r="B12165" s="73"/>
    </row>
    <row r="12166" spans="2:2" x14ac:dyDescent="0.25">
      <c r="B12166" s="73"/>
    </row>
    <row r="12167" spans="2:2" x14ac:dyDescent="0.25">
      <c r="B12167" s="73"/>
    </row>
    <row r="12168" spans="2:2" x14ac:dyDescent="0.25">
      <c r="B12168" s="73"/>
    </row>
    <row r="12169" spans="2:2" x14ac:dyDescent="0.25">
      <c r="B12169" s="73"/>
    </row>
    <row r="12170" spans="2:2" x14ac:dyDescent="0.25">
      <c r="B12170" s="73"/>
    </row>
    <row r="12171" spans="2:2" x14ac:dyDescent="0.25">
      <c r="B12171" s="73"/>
    </row>
    <row r="12172" spans="2:2" x14ac:dyDescent="0.25">
      <c r="B12172" s="73"/>
    </row>
    <row r="12173" spans="2:2" x14ac:dyDescent="0.25">
      <c r="B12173" s="73"/>
    </row>
    <row r="12174" spans="2:2" x14ac:dyDescent="0.25">
      <c r="B12174" s="73"/>
    </row>
    <row r="12175" spans="2:2" x14ac:dyDescent="0.25">
      <c r="B12175" s="73"/>
    </row>
    <row r="12176" spans="2:2" x14ac:dyDescent="0.25">
      <c r="B12176" s="73"/>
    </row>
    <row r="12177" spans="2:2" x14ac:dyDescent="0.25">
      <c r="B12177" s="73"/>
    </row>
    <row r="12178" spans="2:2" x14ac:dyDescent="0.25">
      <c r="B12178" s="73"/>
    </row>
    <row r="12179" spans="2:2" x14ac:dyDescent="0.25">
      <c r="B12179" s="73"/>
    </row>
    <row r="12180" spans="2:2" x14ac:dyDescent="0.25">
      <c r="B12180" s="73"/>
    </row>
    <row r="12181" spans="2:2" x14ac:dyDescent="0.25">
      <c r="B12181" s="73"/>
    </row>
    <row r="12182" spans="2:2" x14ac:dyDescent="0.25">
      <c r="B12182" s="73"/>
    </row>
    <row r="12183" spans="2:2" x14ac:dyDescent="0.25">
      <c r="B12183" s="73"/>
    </row>
    <row r="12184" spans="2:2" x14ac:dyDescent="0.25">
      <c r="B12184" s="73"/>
    </row>
    <row r="12185" spans="2:2" x14ac:dyDescent="0.25">
      <c r="B12185" s="73"/>
    </row>
    <row r="12186" spans="2:2" x14ac:dyDescent="0.25">
      <c r="B12186" s="73"/>
    </row>
    <row r="12187" spans="2:2" x14ac:dyDescent="0.25">
      <c r="B12187" s="73"/>
    </row>
    <row r="12188" spans="2:2" x14ac:dyDescent="0.25">
      <c r="B12188" s="73"/>
    </row>
    <row r="12189" spans="2:2" x14ac:dyDescent="0.25">
      <c r="B12189" s="73"/>
    </row>
    <row r="12190" spans="2:2" x14ac:dyDescent="0.25">
      <c r="B12190" s="73"/>
    </row>
    <row r="12191" spans="2:2" x14ac:dyDescent="0.25">
      <c r="B12191" s="73"/>
    </row>
    <row r="12192" spans="2:2" x14ac:dyDescent="0.25">
      <c r="B12192" s="73"/>
    </row>
    <row r="12193" spans="2:2" x14ac:dyDescent="0.25">
      <c r="B12193" s="73"/>
    </row>
    <row r="12194" spans="2:2" x14ac:dyDescent="0.25">
      <c r="B12194" s="73"/>
    </row>
    <row r="12195" spans="2:2" x14ac:dyDescent="0.25">
      <c r="B12195" s="73"/>
    </row>
    <row r="12196" spans="2:2" x14ac:dyDescent="0.25">
      <c r="B12196" s="73"/>
    </row>
    <row r="12197" spans="2:2" x14ac:dyDescent="0.25">
      <c r="B12197" s="73"/>
    </row>
    <row r="12198" spans="2:2" x14ac:dyDescent="0.25">
      <c r="B12198" s="73"/>
    </row>
    <row r="12199" spans="2:2" x14ac:dyDescent="0.25">
      <c r="B12199" s="73"/>
    </row>
    <row r="12200" spans="2:2" x14ac:dyDescent="0.25">
      <c r="B12200" s="73"/>
    </row>
    <row r="12201" spans="2:2" x14ac:dyDescent="0.25">
      <c r="B12201" s="73"/>
    </row>
    <row r="12202" spans="2:2" x14ac:dyDescent="0.25">
      <c r="B12202" s="73"/>
    </row>
    <row r="12203" spans="2:2" x14ac:dyDescent="0.25">
      <c r="B12203" s="73"/>
    </row>
    <row r="12204" spans="2:2" x14ac:dyDescent="0.25">
      <c r="B12204" s="73"/>
    </row>
    <row r="12205" spans="2:2" x14ac:dyDescent="0.25">
      <c r="B12205" s="73"/>
    </row>
    <row r="12206" spans="2:2" x14ac:dyDescent="0.25">
      <c r="B12206" s="73"/>
    </row>
    <row r="12207" spans="2:2" x14ac:dyDescent="0.25">
      <c r="B12207" s="73"/>
    </row>
    <row r="12208" spans="2:2" x14ac:dyDescent="0.25">
      <c r="B12208" s="73"/>
    </row>
    <row r="12209" spans="2:2" x14ac:dyDescent="0.25">
      <c r="B12209" s="73"/>
    </row>
    <row r="12210" spans="2:2" x14ac:dyDescent="0.25">
      <c r="B12210" s="73"/>
    </row>
    <row r="12211" spans="2:2" x14ac:dyDescent="0.25">
      <c r="B12211" s="73"/>
    </row>
    <row r="12212" spans="2:2" x14ac:dyDescent="0.25">
      <c r="B12212" s="73"/>
    </row>
    <row r="12213" spans="2:2" x14ac:dyDescent="0.25">
      <c r="B12213" s="73"/>
    </row>
    <row r="12214" spans="2:2" x14ac:dyDescent="0.25">
      <c r="B12214" s="73"/>
    </row>
    <row r="12215" spans="2:2" x14ac:dyDescent="0.25">
      <c r="B12215" s="73"/>
    </row>
    <row r="12216" spans="2:2" x14ac:dyDescent="0.25">
      <c r="B12216" s="73"/>
    </row>
    <row r="12217" spans="2:2" x14ac:dyDescent="0.25">
      <c r="B12217" s="73"/>
    </row>
    <row r="12218" spans="2:2" x14ac:dyDescent="0.25">
      <c r="B12218" s="73"/>
    </row>
    <row r="12219" spans="2:2" x14ac:dyDescent="0.25">
      <c r="B12219" s="73"/>
    </row>
    <row r="12220" spans="2:2" x14ac:dyDescent="0.25">
      <c r="B12220" s="73"/>
    </row>
    <row r="12221" spans="2:2" x14ac:dyDescent="0.25">
      <c r="B12221" s="73"/>
    </row>
    <row r="12222" spans="2:2" x14ac:dyDescent="0.25">
      <c r="B12222" s="73"/>
    </row>
    <row r="12223" spans="2:2" x14ac:dyDescent="0.25">
      <c r="B12223" s="73"/>
    </row>
    <row r="12224" spans="2:2" x14ac:dyDescent="0.25">
      <c r="B12224" s="73"/>
    </row>
    <row r="12225" spans="2:2" x14ac:dyDescent="0.25">
      <c r="B12225" s="73"/>
    </row>
    <row r="12226" spans="2:2" x14ac:dyDescent="0.25">
      <c r="B12226" s="73"/>
    </row>
    <row r="12227" spans="2:2" x14ac:dyDescent="0.25">
      <c r="B12227" s="73"/>
    </row>
    <row r="12228" spans="2:2" x14ac:dyDescent="0.25">
      <c r="B12228" s="73"/>
    </row>
    <row r="12229" spans="2:2" x14ac:dyDescent="0.25">
      <c r="B12229" s="73"/>
    </row>
    <row r="12230" spans="2:2" x14ac:dyDescent="0.25">
      <c r="B12230" s="73"/>
    </row>
    <row r="12231" spans="2:2" x14ac:dyDescent="0.25">
      <c r="B12231" s="73"/>
    </row>
    <row r="12232" spans="2:2" x14ac:dyDescent="0.25">
      <c r="B12232" s="73"/>
    </row>
    <row r="12233" spans="2:2" x14ac:dyDescent="0.25">
      <c r="B12233" s="73"/>
    </row>
    <row r="12234" spans="2:2" x14ac:dyDescent="0.25">
      <c r="B12234" s="73"/>
    </row>
    <row r="12235" spans="2:2" x14ac:dyDescent="0.25">
      <c r="B12235" s="73"/>
    </row>
    <row r="12236" spans="2:2" x14ac:dyDescent="0.25">
      <c r="B12236" s="73"/>
    </row>
    <row r="12237" spans="2:2" x14ac:dyDescent="0.25">
      <c r="B12237" s="73"/>
    </row>
    <row r="12238" spans="2:2" x14ac:dyDescent="0.25">
      <c r="B12238" s="73"/>
    </row>
    <row r="12239" spans="2:2" x14ac:dyDescent="0.25">
      <c r="B12239" s="73"/>
    </row>
    <row r="12240" spans="2:2" x14ac:dyDescent="0.25">
      <c r="B12240" s="73"/>
    </row>
    <row r="12241" spans="2:2" x14ac:dyDescent="0.25">
      <c r="B12241" s="73"/>
    </row>
    <row r="12242" spans="2:2" x14ac:dyDescent="0.25">
      <c r="B12242" s="73"/>
    </row>
    <row r="12243" spans="2:2" x14ac:dyDescent="0.25">
      <c r="B12243" s="73"/>
    </row>
    <row r="12244" spans="2:2" x14ac:dyDescent="0.25">
      <c r="B12244" s="73"/>
    </row>
    <row r="12245" spans="2:2" x14ac:dyDescent="0.25">
      <c r="B12245" s="73"/>
    </row>
    <row r="12246" spans="2:2" x14ac:dyDescent="0.25">
      <c r="B12246" s="73"/>
    </row>
    <row r="12247" spans="2:2" x14ac:dyDescent="0.25">
      <c r="B12247" s="73"/>
    </row>
    <row r="12248" spans="2:2" x14ac:dyDescent="0.25">
      <c r="B12248" s="73"/>
    </row>
    <row r="12249" spans="2:2" x14ac:dyDescent="0.25">
      <c r="B12249" s="73"/>
    </row>
    <row r="12250" spans="2:2" x14ac:dyDescent="0.25">
      <c r="B12250" s="73"/>
    </row>
    <row r="12251" spans="2:2" x14ac:dyDescent="0.25">
      <c r="B12251" s="73"/>
    </row>
    <row r="12252" spans="2:2" x14ac:dyDescent="0.25">
      <c r="B12252" s="73"/>
    </row>
    <row r="12253" spans="2:2" x14ac:dyDescent="0.25">
      <c r="B12253" s="73"/>
    </row>
    <row r="12254" spans="2:2" x14ac:dyDescent="0.25">
      <c r="B12254" s="73"/>
    </row>
    <row r="12255" spans="2:2" x14ac:dyDescent="0.25">
      <c r="B12255" s="73"/>
    </row>
    <row r="12256" spans="2:2" x14ac:dyDescent="0.25">
      <c r="B12256" s="73"/>
    </row>
    <row r="12257" spans="2:2" x14ac:dyDescent="0.25">
      <c r="B12257" s="73"/>
    </row>
    <row r="12258" spans="2:2" x14ac:dyDescent="0.25">
      <c r="B12258" s="73"/>
    </row>
    <row r="12259" spans="2:2" x14ac:dyDescent="0.25">
      <c r="B12259" s="73"/>
    </row>
    <row r="12260" spans="2:2" x14ac:dyDescent="0.25">
      <c r="B12260" s="73"/>
    </row>
    <row r="12261" spans="2:2" x14ac:dyDescent="0.25">
      <c r="B12261" s="73"/>
    </row>
    <row r="12262" spans="2:2" x14ac:dyDescent="0.25">
      <c r="B12262" s="73"/>
    </row>
    <row r="12263" spans="2:2" x14ac:dyDescent="0.25">
      <c r="B12263" s="73"/>
    </row>
    <row r="12264" spans="2:2" x14ac:dyDescent="0.25">
      <c r="B12264" s="73"/>
    </row>
    <row r="12265" spans="2:2" x14ac:dyDescent="0.25">
      <c r="B12265" s="73"/>
    </row>
    <row r="12266" spans="2:2" x14ac:dyDescent="0.25">
      <c r="B12266" s="73"/>
    </row>
    <row r="12267" spans="2:2" x14ac:dyDescent="0.25">
      <c r="B12267" s="73"/>
    </row>
    <row r="12268" spans="2:2" x14ac:dyDescent="0.25">
      <c r="B12268" s="73"/>
    </row>
    <row r="12269" spans="2:2" x14ac:dyDescent="0.25">
      <c r="B12269" s="73"/>
    </row>
    <row r="12270" spans="2:2" x14ac:dyDescent="0.25">
      <c r="B12270" s="73"/>
    </row>
    <row r="12271" spans="2:2" x14ac:dyDescent="0.25">
      <c r="B12271" s="73"/>
    </row>
    <row r="12272" spans="2:2" x14ac:dyDescent="0.25">
      <c r="B12272" s="73"/>
    </row>
    <row r="12273" spans="2:2" x14ac:dyDescent="0.25">
      <c r="B12273" s="73"/>
    </row>
    <row r="12274" spans="2:2" x14ac:dyDescent="0.25">
      <c r="B12274" s="73"/>
    </row>
    <row r="12275" spans="2:2" x14ac:dyDescent="0.25">
      <c r="B12275" s="73"/>
    </row>
    <row r="12276" spans="2:2" x14ac:dyDescent="0.25">
      <c r="B12276" s="73"/>
    </row>
    <row r="12277" spans="2:2" x14ac:dyDescent="0.25">
      <c r="B12277" s="73"/>
    </row>
    <row r="12278" spans="2:2" x14ac:dyDescent="0.25">
      <c r="B12278" s="73"/>
    </row>
    <row r="12279" spans="2:2" x14ac:dyDescent="0.25">
      <c r="B12279" s="73"/>
    </row>
    <row r="12280" spans="2:2" x14ac:dyDescent="0.25">
      <c r="B12280" s="73"/>
    </row>
    <row r="12281" spans="2:2" x14ac:dyDescent="0.25">
      <c r="B12281" s="73"/>
    </row>
    <row r="12282" spans="2:2" x14ac:dyDescent="0.25">
      <c r="B12282" s="73"/>
    </row>
    <row r="12283" spans="2:2" x14ac:dyDescent="0.25">
      <c r="B12283" s="73"/>
    </row>
    <row r="12284" spans="2:2" x14ac:dyDescent="0.25">
      <c r="B12284" s="73"/>
    </row>
    <row r="12285" spans="2:2" x14ac:dyDescent="0.25">
      <c r="B12285" s="73"/>
    </row>
    <row r="12286" spans="2:2" x14ac:dyDescent="0.25">
      <c r="B12286" s="73"/>
    </row>
    <row r="12287" spans="2:2" x14ac:dyDescent="0.25">
      <c r="B12287" s="73"/>
    </row>
    <row r="12288" spans="2:2" x14ac:dyDescent="0.25">
      <c r="B12288" s="73"/>
    </row>
    <row r="12289" spans="2:2" x14ac:dyDescent="0.25">
      <c r="B12289" s="73"/>
    </row>
    <row r="12290" spans="2:2" x14ac:dyDescent="0.25">
      <c r="B12290" s="73"/>
    </row>
    <row r="12291" spans="2:2" x14ac:dyDescent="0.25">
      <c r="B12291" s="73"/>
    </row>
    <row r="12292" spans="2:2" x14ac:dyDescent="0.25">
      <c r="B12292" s="73"/>
    </row>
    <row r="12293" spans="2:2" x14ac:dyDescent="0.25">
      <c r="B12293" s="73"/>
    </row>
    <row r="12294" spans="2:2" x14ac:dyDescent="0.25">
      <c r="B12294" s="73"/>
    </row>
    <row r="12295" spans="2:2" x14ac:dyDescent="0.25">
      <c r="B12295" s="73"/>
    </row>
    <row r="12296" spans="2:2" x14ac:dyDescent="0.25">
      <c r="B12296" s="73"/>
    </row>
    <row r="12297" spans="2:2" x14ac:dyDescent="0.25">
      <c r="B12297" s="73"/>
    </row>
    <row r="12298" spans="2:2" x14ac:dyDescent="0.25">
      <c r="B12298" s="73"/>
    </row>
    <row r="12299" spans="2:2" x14ac:dyDescent="0.25">
      <c r="B12299" s="73"/>
    </row>
    <row r="12300" spans="2:2" x14ac:dyDescent="0.25">
      <c r="B12300" s="73"/>
    </row>
    <row r="12301" spans="2:2" x14ac:dyDescent="0.25">
      <c r="B12301" s="73"/>
    </row>
    <row r="12302" spans="2:2" x14ac:dyDescent="0.25">
      <c r="B12302" s="73"/>
    </row>
    <row r="12303" spans="2:2" x14ac:dyDescent="0.25">
      <c r="B12303" s="73"/>
    </row>
    <row r="12304" spans="2:2" x14ac:dyDescent="0.25">
      <c r="B12304" s="73"/>
    </row>
    <row r="12305" spans="2:2" x14ac:dyDescent="0.25">
      <c r="B12305" s="73"/>
    </row>
    <row r="12306" spans="2:2" x14ac:dyDescent="0.25">
      <c r="B12306" s="73"/>
    </row>
    <row r="12307" spans="2:2" x14ac:dyDescent="0.25">
      <c r="B12307" s="73"/>
    </row>
    <row r="12308" spans="2:2" x14ac:dyDescent="0.25">
      <c r="B12308" s="73"/>
    </row>
    <row r="12309" spans="2:2" x14ac:dyDescent="0.25">
      <c r="B12309" s="73"/>
    </row>
    <row r="12310" spans="2:2" x14ac:dyDescent="0.25">
      <c r="B12310" s="73"/>
    </row>
    <row r="12311" spans="2:2" x14ac:dyDescent="0.25">
      <c r="B12311" s="73"/>
    </row>
    <row r="12312" spans="2:2" x14ac:dyDescent="0.25">
      <c r="B12312" s="73"/>
    </row>
    <row r="12313" spans="2:2" x14ac:dyDescent="0.25">
      <c r="B12313" s="73"/>
    </row>
    <row r="12314" spans="2:2" x14ac:dyDescent="0.25">
      <c r="B12314" s="73"/>
    </row>
    <row r="12315" spans="2:2" x14ac:dyDescent="0.25">
      <c r="B12315" s="73"/>
    </row>
    <row r="12316" spans="2:2" x14ac:dyDescent="0.25">
      <c r="B12316" s="73"/>
    </row>
    <row r="12317" spans="2:2" x14ac:dyDescent="0.25">
      <c r="B12317" s="73"/>
    </row>
    <row r="12318" spans="2:2" x14ac:dyDescent="0.25">
      <c r="B12318" s="73"/>
    </row>
    <row r="12319" spans="2:2" x14ac:dyDescent="0.25">
      <c r="B12319" s="73"/>
    </row>
    <row r="12320" spans="2:2" x14ac:dyDescent="0.25">
      <c r="B12320" s="73"/>
    </row>
    <row r="12321" spans="2:2" x14ac:dyDescent="0.25">
      <c r="B12321" s="73"/>
    </row>
    <row r="12322" spans="2:2" x14ac:dyDescent="0.25">
      <c r="B12322" s="73"/>
    </row>
    <row r="12323" spans="2:2" x14ac:dyDescent="0.25">
      <c r="B12323" s="73"/>
    </row>
    <row r="12324" spans="2:2" x14ac:dyDescent="0.25">
      <c r="B12324" s="73"/>
    </row>
    <row r="12325" spans="2:2" x14ac:dyDescent="0.25">
      <c r="B12325" s="73"/>
    </row>
    <row r="12326" spans="2:2" x14ac:dyDescent="0.25">
      <c r="B12326" s="73"/>
    </row>
    <row r="12327" spans="2:2" x14ac:dyDescent="0.25">
      <c r="B12327" s="73"/>
    </row>
    <row r="12328" spans="2:2" x14ac:dyDescent="0.25">
      <c r="B12328" s="73"/>
    </row>
    <row r="12329" spans="2:2" x14ac:dyDescent="0.25">
      <c r="B12329" s="73"/>
    </row>
    <row r="12330" spans="2:2" x14ac:dyDescent="0.25">
      <c r="B12330" s="73"/>
    </row>
    <row r="12331" spans="2:2" x14ac:dyDescent="0.25">
      <c r="B12331" s="73"/>
    </row>
    <row r="12332" spans="2:2" x14ac:dyDescent="0.25">
      <c r="B12332" s="73"/>
    </row>
    <row r="12333" spans="2:2" x14ac:dyDescent="0.25">
      <c r="B12333" s="73"/>
    </row>
    <row r="12334" spans="2:2" x14ac:dyDescent="0.25">
      <c r="B12334" s="73"/>
    </row>
    <row r="12335" spans="2:2" x14ac:dyDescent="0.25">
      <c r="B12335" s="73"/>
    </row>
    <row r="12336" spans="2:2" x14ac:dyDescent="0.25">
      <c r="B12336" s="73"/>
    </row>
    <row r="12337" spans="2:2" x14ac:dyDescent="0.25">
      <c r="B12337" s="73"/>
    </row>
    <row r="12338" spans="2:2" x14ac:dyDescent="0.25">
      <c r="B12338" s="73"/>
    </row>
    <row r="12339" spans="2:2" x14ac:dyDescent="0.25">
      <c r="B12339" s="73"/>
    </row>
    <row r="12340" spans="2:2" x14ac:dyDescent="0.25">
      <c r="B12340" s="73"/>
    </row>
    <row r="12341" spans="2:2" x14ac:dyDescent="0.25">
      <c r="B12341" s="73"/>
    </row>
    <row r="12342" spans="2:2" x14ac:dyDescent="0.25">
      <c r="B12342" s="73"/>
    </row>
    <row r="12343" spans="2:2" x14ac:dyDescent="0.25">
      <c r="B12343" s="73"/>
    </row>
    <row r="12344" spans="2:2" x14ac:dyDescent="0.25">
      <c r="B12344" s="73"/>
    </row>
    <row r="12345" spans="2:2" x14ac:dyDescent="0.25">
      <c r="B12345" s="73"/>
    </row>
    <row r="12346" spans="2:2" x14ac:dyDescent="0.25">
      <c r="B12346" s="73"/>
    </row>
    <row r="12347" spans="2:2" x14ac:dyDescent="0.25">
      <c r="B12347" s="73"/>
    </row>
    <row r="12348" spans="2:2" x14ac:dyDescent="0.25">
      <c r="B12348" s="73"/>
    </row>
    <row r="12349" spans="2:2" x14ac:dyDescent="0.25">
      <c r="B12349" s="73"/>
    </row>
    <row r="12350" spans="2:2" x14ac:dyDescent="0.25">
      <c r="B12350" s="73"/>
    </row>
    <row r="12351" spans="2:2" x14ac:dyDescent="0.25">
      <c r="B12351" s="73"/>
    </row>
    <row r="12352" spans="2:2" x14ac:dyDescent="0.25">
      <c r="B12352" s="73"/>
    </row>
    <row r="12353" spans="2:2" x14ac:dyDescent="0.25">
      <c r="B12353" s="73"/>
    </row>
    <row r="12354" spans="2:2" x14ac:dyDescent="0.25">
      <c r="B12354" s="73"/>
    </row>
    <row r="12355" spans="2:2" x14ac:dyDescent="0.25">
      <c r="B12355" s="73"/>
    </row>
    <row r="12356" spans="2:2" x14ac:dyDescent="0.25">
      <c r="B12356" s="73"/>
    </row>
    <row r="12357" spans="2:2" x14ac:dyDescent="0.25">
      <c r="B12357" s="73"/>
    </row>
    <row r="12358" spans="2:2" x14ac:dyDescent="0.25">
      <c r="B12358" s="73"/>
    </row>
    <row r="12359" spans="2:2" x14ac:dyDescent="0.25">
      <c r="B12359" s="73"/>
    </row>
    <row r="12360" spans="2:2" x14ac:dyDescent="0.25">
      <c r="B12360" s="73"/>
    </row>
    <row r="12361" spans="2:2" x14ac:dyDescent="0.25">
      <c r="B12361" s="73"/>
    </row>
    <row r="12362" spans="2:2" x14ac:dyDescent="0.25">
      <c r="B12362" s="73"/>
    </row>
    <row r="12363" spans="2:2" x14ac:dyDescent="0.25">
      <c r="B12363" s="73"/>
    </row>
    <row r="12364" spans="2:2" x14ac:dyDescent="0.25">
      <c r="B12364" s="73"/>
    </row>
    <row r="12365" spans="2:2" x14ac:dyDescent="0.25">
      <c r="B12365" s="73"/>
    </row>
    <row r="12366" spans="2:2" x14ac:dyDescent="0.25">
      <c r="B12366" s="73"/>
    </row>
    <row r="12367" spans="2:2" x14ac:dyDescent="0.25">
      <c r="B12367" s="73"/>
    </row>
    <row r="12368" spans="2:2" x14ac:dyDescent="0.25">
      <c r="B12368" s="73"/>
    </row>
    <row r="12369" spans="2:2" x14ac:dyDescent="0.25">
      <c r="B12369" s="73"/>
    </row>
    <row r="12370" spans="2:2" x14ac:dyDescent="0.25">
      <c r="B12370" s="73"/>
    </row>
    <row r="12371" spans="2:2" x14ac:dyDescent="0.25">
      <c r="B12371" s="73"/>
    </row>
    <row r="12372" spans="2:2" x14ac:dyDescent="0.25">
      <c r="B12372" s="73"/>
    </row>
    <row r="12373" spans="2:2" x14ac:dyDescent="0.25">
      <c r="B12373" s="73"/>
    </row>
    <row r="12374" spans="2:2" x14ac:dyDescent="0.25">
      <c r="B12374" s="73"/>
    </row>
    <row r="12375" spans="2:2" x14ac:dyDescent="0.25">
      <c r="B12375" s="73"/>
    </row>
    <row r="12376" spans="2:2" x14ac:dyDescent="0.25">
      <c r="B12376" s="73"/>
    </row>
    <row r="12377" spans="2:2" x14ac:dyDescent="0.25">
      <c r="B12377" s="73"/>
    </row>
    <row r="12378" spans="2:2" x14ac:dyDescent="0.25">
      <c r="B12378" s="73"/>
    </row>
    <row r="12379" spans="2:2" x14ac:dyDescent="0.25">
      <c r="B12379" s="73"/>
    </row>
    <row r="12380" spans="2:2" x14ac:dyDescent="0.25">
      <c r="B12380" s="73"/>
    </row>
    <row r="12381" spans="2:2" x14ac:dyDescent="0.25">
      <c r="B12381" s="73"/>
    </row>
    <row r="12382" spans="2:2" x14ac:dyDescent="0.25">
      <c r="B12382" s="73"/>
    </row>
    <row r="12383" spans="2:2" x14ac:dyDescent="0.25">
      <c r="B12383" s="73"/>
    </row>
    <row r="12384" spans="2:2" x14ac:dyDescent="0.25">
      <c r="B12384" s="73"/>
    </row>
    <row r="12385" spans="2:2" x14ac:dyDescent="0.25">
      <c r="B12385" s="73"/>
    </row>
    <row r="12386" spans="2:2" x14ac:dyDescent="0.25">
      <c r="B12386" s="73"/>
    </row>
    <row r="12387" spans="2:2" x14ac:dyDescent="0.25">
      <c r="B12387" s="73"/>
    </row>
    <row r="12388" spans="2:2" x14ac:dyDescent="0.25">
      <c r="B12388" s="73"/>
    </row>
    <row r="12389" spans="2:2" x14ac:dyDescent="0.25">
      <c r="B12389" s="73"/>
    </row>
    <row r="12390" spans="2:2" x14ac:dyDescent="0.25">
      <c r="B12390" s="73"/>
    </row>
    <row r="12391" spans="2:2" x14ac:dyDescent="0.25">
      <c r="B12391" s="73"/>
    </row>
    <row r="12392" spans="2:2" x14ac:dyDescent="0.25">
      <c r="B12392" s="73"/>
    </row>
    <row r="12393" spans="2:2" x14ac:dyDescent="0.25">
      <c r="B12393" s="73"/>
    </row>
    <row r="12394" spans="2:2" x14ac:dyDescent="0.25">
      <c r="B12394" s="73"/>
    </row>
    <row r="12395" spans="2:2" x14ac:dyDescent="0.25">
      <c r="B12395" s="73"/>
    </row>
    <row r="12396" spans="2:2" x14ac:dyDescent="0.25">
      <c r="B12396" s="73"/>
    </row>
    <row r="12397" spans="2:2" x14ac:dyDescent="0.25">
      <c r="B12397" s="73"/>
    </row>
    <row r="12398" spans="2:2" x14ac:dyDescent="0.25">
      <c r="B12398" s="73"/>
    </row>
    <row r="12399" spans="2:2" x14ac:dyDescent="0.25">
      <c r="B12399" s="73"/>
    </row>
    <row r="12400" spans="2:2" x14ac:dyDescent="0.25">
      <c r="B12400" s="73"/>
    </row>
    <row r="12401" spans="2:2" x14ac:dyDescent="0.25">
      <c r="B12401" s="73"/>
    </row>
    <row r="12402" spans="2:2" x14ac:dyDescent="0.25">
      <c r="B12402" s="73"/>
    </row>
    <row r="12403" spans="2:2" x14ac:dyDescent="0.25">
      <c r="B12403" s="73"/>
    </row>
    <row r="12404" spans="2:2" x14ac:dyDescent="0.25">
      <c r="B12404" s="73"/>
    </row>
    <row r="12405" spans="2:2" x14ac:dyDescent="0.25">
      <c r="B12405" s="73"/>
    </row>
    <row r="12406" spans="2:2" x14ac:dyDescent="0.25">
      <c r="B12406" s="73"/>
    </row>
    <row r="12407" spans="2:2" x14ac:dyDescent="0.25">
      <c r="B12407" s="73"/>
    </row>
    <row r="12408" spans="2:2" x14ac:dyDescent="0.25">
      <c r="B12408" s="73"/>
    </row>
    <row r="12409" spans="2:2" x14ac:dyDescent="0.25">
      <c r="B12409" s="73"/>
    </row>
    <row r="12410" spans="2:2" x14ac:dyDescent="0.25">
      <c r="B12410" s="73"/>
    </row>
    <row r="12411" spans="2:2" x14ac:dyDescent="0.25">
      <c r="B12411" s="73"/>
    </row>
    <row r="12412" spans="2:2" x14ac:dyDescent="0.25">
      <c r="B12412" s="73"/>
    </row>
    <row r="12413" spans="2:2" x14ac:dyDescent="0.25">
      <c r="B12413" s="73"/>
    </row>
    <row r="12414" spans="2:2" x14ac:dyDescent="0.25">
      <c r="B12414" s="73"/>
    </row>
    <row r="12415" spans="2:2" x14ac:dyDescent="0.25">
      <c r="B12415" s="73"/>
    </row>
    <row r="12416" spans="2:2" x14ac:dyDescent="0.25">
      <c r="B12416" s="73"/>
    </row>
    <row r="12417" spans="2:2" x14ac:dyDescent="0.25">
      <c r="B12417" s="73"/>
    </row>
    <row r="12418" spans="2:2" x14ac:dyDescent="0.25">
      <c r="B12418" s="73"/>
    </row>
    <row r="12419" spans="2:2" x14ac:dyDescent="0.25">
      <c r="B12419" s="73"/>
    </row>
    <row r="12420" spans="2:2" x14ac:dyDescent="0.25">
      <c r="B12420" s="73"/>
    </row>
    <row r="12421" spans="2:2" x14ac:dyDescent="0.25">
      <c r="B12421" s="73"/>
    </row>
    <row r="12422" spans="2:2" x14ac:dyDescent="0.25">
      <c r="B12422" s="73"/>
    </row>
    <row r="12423" spans="2:2" x14ac:dyDescent="0.25">
      <c r="B12423" s="73"/>
    </row>
    <row r="12424" spans="2:2" x14ac:dyDescent="0.25">
      <c r="B12424" s="73"/>
    </row>
    <row r="12425" spans="2:2" x14ac:dyDescent="0.25">
      <c r="B12425" s="73"/>
    </row>
    <row r="12426" spans="2:2" x14ac:dyDescent="0.25">
      <c r="B12426" s="73"/>
    </row>
    <row r="12427" spans="2:2" x14ac:dyDescent="0.25">
      <c r="B12427" s="73"/>
    </row>
    <row r="12428" spans="2:2" x14ac:dyDescent="0.25">
      <c r="B12428" s="73"/>
    </row>
    <row r="12429" spans="2:2" x14ac:dyDescent="0.25">
      <c r="B12429" s="73"/>
    </row>
    <row r="12430" spans="2:2" x14ac:dyDescent="0.25">
      <c r="B12430" s="73"/>
    </row>
    <row r="12431" spans="2:2" x14ac:dyDescent="0.25">
      <c r="B12431" s="73"/>
    </row>
    <row r="12432" spans="2:2" x14ac:dyDescent="0.25">
      <c r="B12432" s="73"/>
    </row>
    <row r="12433" spans="2:2" x14ac:dyDescent="0.25">
      <c r="B12433" s="73"/>
    </row>
    <row r="12434" spans="2:2" x14ac:dyDescent="0.25">
      <c r="B12434" s="73"/>
    </row>
    <row r="12435" spans="2:2" x14ac:dyDescent="0.25">
      <c r="B12435" s="73"/>
    </row>
    <row r="12436" spans="2:2" x14ac:dyDescent="0.25">
      <c r="B12436" s="73"/>
    </row>
    <row r="12437" spans="2:2" x14ac:dyDescent="0.25">
      <c r="B12437" s="73"/>
    </row>
    <row r="12438" spans="2:2" x14ac:dyDescent="0.25">
      <c r="B12438" s="73"/>
    </row>
    <row r="12439" spans="2:2" x14ac:dyDescent="0.25">
      <c r="B12439" s="73"/>
    </row>
    <row r="12440" spans="2:2" x14ac:dyDescent="0.25">
      <c r="B12440" s="73"/>
    </row>
    <row r="12441" spans="2:2" x14ac:dyDescent="0.25">
      <c r="B12441" s="73"/>
    </row>
    <row r="12442" spans="2:2" x14ac:dyDescent="0.25">
      <c r="B12442" s="73"/>
    </row>
    <row r="12443" spans="2:2" x14ac:dyDescent="0.25">
      <c r="B12443" s="73"/>
    </row>
    <row r="12444" spans="2:2" x14ac:dyDescent="0.25">
      <c r="B12444" s="73"/>
    </row>
    <row r="12445" spans="2:2" x14ac:dyDescent="0.25">
      <c r="B12445" s="73"/>
    </row>
    <row r="12446" spans="2:2" x14ac:dyDescent="0.25">
      <c r="B12446" s="73"/>
    </row>
    <row r="12447" spans="2:2" x14ac:dyDescent="0.25">
      <c r="B12447" s="73"/>
    </row>
    <row r="12448" spans="2:2" x14ac:dyDescent="0.25">
      <c r="B12448" s="73"/>
    </row>
    <row r="12449" spans="2:2" x14ac:dyDescent="0.25">
      <c r="B12449" s="73"/>
    </row>
    <row r="12450" spans="2:2" x14ac:dyDescent="0.25">
      <c r="B12450" s="73"/>
    </row>
    <row r="12451" spans="2:2" x14ac:dyDescent="0.25">
      <c r="B12451" s="73"/>
    </row>
    <row r="12452" spans="2:2" x14ac:dyDescent="0.25">
      <c r="B12452" s="73"/>
    </row>
    <row r="12453" spans="2:2" x14ac:dyDescent="0.25">
      <c r="B12453" s="73"/>
    </row>
    <row r="12454" spans="2:2" x14ac:dyDescent="0.25">
      <c r="B12454" s="73"/>
    </row>
    <row r="12455" spans="2:2" x14ac:dyDescent="0.25">
      <c r="B12455" s="73"/>
    </row>
    <row r="12456" spans="2:2" x14ac:dyDescent="0.25">
      <c r="B12456" s="73"/>
    </row>
    <row r="12457" spans="2:2" x14ac:dyDescent="0.25">
      <c r="B12457" s="73"/>
    </row>
    <row r="12458" spans="2:2" x14ac:dyDescent="0.25">
      <c r="B12458" s="73"/>
    </row>
    <row r="12459" spans="2:2" x14ac:dyDescent="0.25">
      <c r="B12459" s="73"/>
    </row>
    <row r="12460" spans="2:2" x14ac:dyDescent="0.25">
      <c r="B12460" s="73"/>
    </row>
    <row r="12461" spans="2:2" x14ac:dyDescent="0.25">
      <c r="B12461" s="73"/>
    </row>
    <row r="12462" spans="2:2" x14ac:dyDescent="0.25">
      <c r="B12462" s="73"/>
    </row>
    <row r="12463" spans="2:2" x14ac:dyDescent="0.25">
      <c r="B12463" s="73"/>
    </row>
    <row r="12464" spans="2:2" x14ac:dyDescent="0.25">
      <c r="B12464" s="73"/>
    </row>
    <row r="12465" spans="2:2" x14ac:dyDescent="0.25">
      <c r="B12465" s="73"/>
    </row>
    <row r="12466" spans="2:2" x14ac:dyDescent="0.25">
      <c r="B12466" s="73"/>
    </row>
    <row r="12467" spans="2:2" x14ac:dyDescent="0.25">
      <c r="B12467" s="73"/>
    </row>
    <row r="12468" spans="2:2" x14ac:dyDescent="0.25">
      <c r="B12468" s="73"/>
    </row>
    <row r="12469" spans="2:2" x14ac:dyDescent="0.25">
      <c r="B12469" s="73"/>
    </row>
    <row r="12470" spans="2:2" x14ac:dyDescent="0.25">
      <c r="B12470" s="73"/>
    </row>
    <row r="12471" spans="2:2" x14ac:dyDescent="0.25">
      <c r="B12471" s="73"/>
    </row>
    <row r="12472" spans="2:2" x14ac:dyDescent="0.25">
      <c r="B12472" s="73"/>
    </row>
    <row r="12473" spans="2:2" x14ac:dyDescent="0.25">
      <c r="B12473" s="73"/>
    </row>
    <row r="12474" spans="2:2" x14ac:dyDescent="0.25">
      <c r="B12474" s="73"/>
    </row>
    <row r="12475" spans="2:2" x14ac:dyDescent="0.25">
      <c r="B12475" s="73"/>
    </row>
    <row r="12476" spans="2:2" x14ac:dyDescent="0.25">
      <c r="B12476" s="73"/>
    </row>
    <row r="12477" spans="2:2" x14ac:dyDescent="0.25">
      <c r="B12477" s="73"/>
    </row>
    <row r="12478" spans="2:2" x14ac:dyDescent="0.25">
      <c r="B12478" s="73"/>
    </row>
    <row r="12479" spans="2:2" x14ac:dyDescent="0.25">
      <c r="B12479" s="73"/>
    </row>
    <row r="12480" spans="2:2" x14ac:dyDescent="0.25">
      <c r="B12480" s="73"/>
    </row>
    <row r="12481" spans="2:2" x14ac:dyDescent="0.25">
      <c r="B12481" s="73"/>
    </row>
    <row r="12482" spans="2:2" x14ac:dyDescent="0.25">
      <c r="B12482" s="73"/>
    </row>
    <row r="12483" spans="2:2" x14ac:dyDescent="0.25">
      <c r="B12483" s="73"/>
    </row>
    <row r="12484" spans="2:2" x14ac:dyDescent="0.25">
      <c r="B12484" s="73"/>
    </row>
    <row r="12485" spans="2:2" x14ac:dyDescent="0.25">
      <c r="B12485" s="73"/>
    </row>
    <row r="12486" spans="2:2" x14ac:dyDescent="0.25">
      <c r="B12486" s="73"/>
    </row>
    <row r="12487" spans="2:2" x14ac:dyDescent="0.25">
      <c r="B12487" s="73"/>
    </row>
    <row r="12488" spans="2:2" x14ac:dyDescent="0.25">
      <c r="B12488" s="73"/>
    </row>
    <row r="12489" spans="2:2" x14ac:dyDescent="0.25">
      <c r="B12489" s="73"/>
    </row>
    <row r="12490" spans="2:2" x14ac:dyDescent="0.25">
      <c r="B12490" s="73"/>
    </row>
    <row r="12491" spans="2:2" x14ac:dyDescent="0.25">
      <c r="B12491" s="73"/>
    </row>
    <row r="12492" spans="2:2" x14ac:dyDescent="0.25">
      <c r="B12492" s="73"/>
    </row>
    <row r="12493" spans="2:2" x14ac:dyDescent="0.25">
      <c r="B12493" s="73"/>
    </row>
    <row r="12494" spans="2:2" x14ac:dyDescent="0.25">
      <c r="B12494" s="73"/>
    </row>
    <row r="12495" spans="2:2" x14ac:dyDescent="0.25">
      <c r="B12495" s="73"/>
    </row>
    <row r="12496" spans="2:2" x14ac:dyDescent="0.25">
      <c r="B12496" s="73"/>
    </row>
    <row r="12497" spans="2:2" x14ac:dyDescent="0.25">
      <c r="B12497" s="73"/>
    </row>
    <row r="12498" spans="2:2" x14ac:dyDescent="0.25">
      <c r="B12498" s="73"/>
    </row>
    <row r="12499" spans="2:2" x14ac:dyDescent="0.25">
      <c r="B12499" s="73"/>
    </row>
    <row r="12500" spans="2:2" x14ac:dyDescent="0.25">
      <c r="B12500" s="73"/>
    </row>
    <row r="12501" spans="2:2" x14ac:dyDescent="0.25">
      <c r="B12501" s="73"/>
    </row>
    <row r="12502" spans="2:2" x14ac:dyDescent="0.25">
      <c r="B12502" s="73"/>
    </row>
    <row r="12503" spans="2:2" x14ac:dyDescent="0.25">
      <c r="B12503" s="73"/>
    </row>
    <row r="12504" spans="2:2" x14ac:dyDescent="0.25">
      <c r="B12504" s="73"/>
    </row>
    <row r="12505" spans="2:2" x14ac:dyDescent="0.25">
      <c r="B12505" s="73"/>
    </row>
    <row r="12506" spans="2:2" x14ac:dyDescent="0.25">
      <c r="B12506" s="73"/>
    </row>
    <row r="12507" spans="2:2" x14ac:dyDescent="0.25">
      <c r="B12507" s="73"/>
    </row>
    <row r="12508" spans="2:2" x14ac:dyDescent="0.25">
      <c r="B12508" s="73"/>
    </row>
    <row r="12509" spans="2:2" x14ac:dyDescent="0.25">
      <c r="B12509" s="73"/>
    </row>
    <row r="12510" spans="2:2" x14ac:dyDescent="0.25">
      <c r="B12510" s="73"/>
    </row>
    <row r="12511" spans="2:2" x14ac:dyDescent="0.25">
      <c r="B12511" s="73"/>
    </row>
    <row r="12512" spans="2:2" x14ac:dyDescent="0.25">
      <c r="B12512" s="73"/>
    </row>
    <row r="12513" spans="2:2" x14ac:dyDescent="0.25">
      <c r="B12513" s="73"/>
    </row>
    <row r="12514" spans="2:2" x14ac:dyDescent="0.25">
      <c r="B12514" s="73"/>
    </row>
    <row r="12515" spans="2:2" x14ac:dyDescent="0.25">
      <c r="B12515" s="73"/>
    </row>
    <row r="12516" spans="2:2" x14ac:dyDescent="0.25">
      <c r="B12516" s="73"/>
    </row>
    <row r="12517" spans="2:2" x14ac:dyDescent="0.25">
      <c r="B12517" s="73"/>
    </row>
    <row r="12518" spans="2:2" x14ac:dyDescent="0.25">
      <c r="B12518" s="73"/>
    </row>
    <row r="12519" spans="2:2" x14ac:dyDescent="0.25">
      <c r="B12519" s="73"/>
    </row>
    <row r="12520" spans="2:2" x14ac:dyDescent="0.25">
      <c r="B12520" s="73"/>
    </row>
    <row r="12521" spans="2:2" x14ac:dyDescent="0.25">
      <c r="B12521" s="73"/>
    </row>
    <row r="12522" spans="2:2" x14ac:dyDescent="0.25">
      <c r="B12522" s="73"/>
    </row>
    <row r="12523" spans="2:2" x14ac:dyDescent="0.25">
      <c r="B12523" s="73"/>
    </row>
    <row r="12524" spans="2:2" x14ac:dyDescent="0.25">
      <c r="B12524" s="73"/>
    </row>
    <row r="12525" spans="2:2" x14ac:dyDescent="0.25">
      <c r="B12525" s="73"/>
    </row>
    <row r="12526" spans="2:2" x14ac:dyDescent="0.25">
      <c r="B12526" s="73"/>
    </row>
    <row r="12527" spans="2:2" x14ac:dyDescent="0.25">
      <c r="B12527" s="73"/>
    </row>
    <row r="12528" spans="2:2" x14ac:dyDescent="0.25">
      <c r="B12528" s="73"/>
    </row>
    <row r="12529" spans="2:2" x14ac:dyDescent="0.25">
      <c r="B12529" s="73"/>
    </row>
    <row r="12530" spans="2:2" x14ac:dyDescent="0.25">
      <c r="B12530" s="73"/>
    </row>
    <row r="12531" spans="2:2" x14ac:dyDescent="0.25">
      <c r="B12531" s="73"/>
    </row>
    <row r="12532" spans="2:2" x14ac:dyDescent="0.25">
      <c r="B12532" s="73"/>
    </row>
    <row r="12533" spans="2:2" x14ac:dyDescent="0.25">
      <c r="B12533" s="73"/>
    </row>
    <row r="12534" spans="2:2" x14ac:dyDescent="0.25">
      <c r="B12534" s="73"/>
    </row>
    <row r="12535" spans="2:2" x14ac:dyDescent="0.25">
      <c r="B12535" s="73"/>
    </row>
    <row r="12536" spans="2:2" x14ac:dyDescent="0.25">
      <c r="B12536" s="73"/>
    </row>
    <row r="12537" spans="2:2" x14ac:dyDescent="0.25">
      <c r="B12537" s="73"/>
    </row>
    <row r="12538" spans="2:2" x14ac:dyDescent="0.25">
      <c r="B12538" s="73"/>
    </row>
    <row r="12539" spans="2:2" x14ac:dyDescent="0.25">
      <c r="B12539" s="73"/>
    </row>
    <row r="12540" spans="2:2" x14ac:dyDescent="0.25">
      <c r="B12540" s="73"/>
    </row>
    <row r="12541" spans="2:2" x14ac:dyDescent="0.25">
      <c r="B12541" s="73"/>
    </row>
    <row r="12542" spans="2:2" x14ac:dyDescent="0.25">
      <c r="B12542" s="73"/>
    </row>
    <row r="12543" spans="2:2" x14ac:dyDescent="0.25">
      <c r="B12543" s="73"/>
    </row>
    <row r="12544" spans="2:2" x14ac:dyDescent="0.25">
      <c r="B12544" s="73"/>
    </row>
    <row r="12545" spans="2:2" x14ac:dyDescent="0.25">
      <c r="B12545" s="73"/>
    </row>
    <row r="12546" spans="2:2" x14ac:dyDescent="0.25">
      <c r="B12546" s="73"/>
    </row>
    <row r="12547" spans="2:2" x14ac:dyDescent="0.25">
      <c r="B12547" s="73"/>
    </row>
    <row r="12548" spans="2:2" x14ac:dyDescent="0.25">
      <c r="B12548" s="73"/>
    </row>
    <row r="12549" spans="2:2" x14ac:dyDescent="0.25">
      <c r="B12549" s="73"/>
    </row>
    <row r="12550" spans="2:2" x14ac:dyDescent="0.25">
      <c r="B12550" s="73"/>
    </row>
    <row r="12551" spans="2:2" x14ac:dyDescent="0.25">
      <c r="B12551" s="73"/>
    </row>
    <row r="12552" spans="2:2" x14ac:dyDescent="0.25">
      <c r="B12552" s="73"/>
    </row>
    <row r="12553" spans="2:2" x14ac:dyDescent="0.25">
      <c r="B12553" s="73"/>
    </row>
    <row r="12554" spans="2:2" x14ac:dyDescent="0.25">
      <c r="B12554" s="73"/>
    </row>
    <row r="12555" spans="2:2" x14ac:dyDescent="0.25">
      <c r="B12555" s="73"/>
    </row>
    <row r="12556" spans="2:2" x14ac:dyDescent="0.25">
      <c r="B12556" s="73"/>
    </row>
    <row r="12557" spans="2:2" x14ac:dyDescent="0.25">
      <c r="B12557" s="73"/>
    </row>
    <row r="12558" spans="2:2" x14ac:dyDescent="0.25">
      <c r="B12558" s="73"/>
    </row>
    <row r="12559" spans="2:2" x14ac:dyDescent="0.25">
      <c r="B12559" s="73"/>
    </row>
    <row r="12560" spans="2:2" x14ac:dyDescent="0.25">
      <c r="B12560" s="73"/>
    </row>
    <row r="12561" spans="2:2" x14ac:dyDescent="0.25">
      <c r="B12561" s="73"/>
    </row>
    <row r="12562" spans="2:2" x14ac:dyDescent="0.25">
      <c r="B12562" s="73"/>
    </row>
    <row r="12563" spans="2:2" x14ac:dyDescent="0.25">
      <c r="B12563" s="73"/>
    </row>
    <row r="12564" spans="2:2" x14ac:dyDescent="0.25">
      <c r="B12564" s="73"/>
    </row>
    <row r="12565" spans="2:2" x14ac:dyDescent="0.25">
      <c r="B12565" s="73"/>
    </row>
    <row r="12566" spans="2:2" x14ac:dyDescent="0.25">
      <c r="B12566" s="73"/>
    </row>
    <row r="12567" spans="2:2" x14ac:dyDescent="0.25">
      <c r="B12567" s="73"/>
    </row>
    <row r="12568" spans="2:2" x14ac:dyDescent="0.25">
      <c r="B12568" s="73"/>
    </row>
    <row r="12569" spans="2:2" x14ac:dyDescent="0.25">
      <c r="B12569" s="73"/>
    </row>
    <row r="12570" spans="2:2" x14ac:dyDescent="0.25">
      <c r="B12570" s="73"/>
    </row>
    <row r="12571" spans="2:2" x14ac:dyDescent="0.25">
      <c r="B12571" s="73"/>
    </row>
    <row r="12572" spans="2:2" x14ac:dyDescent="0.25">
      <c r="B12572" s="73"/>
    </row>
    <row r="12573" spans="2:2" x14ac:dyDescent="0.25">
      <c r="B12573" s="73"/>
    </row>
    <row r="12574" spans="2:2" x14ac:dyDescent="0.25">
      <c r="B12574" s="73"/>
    </row>
    <row r="12575" spans="2:2" x14ac:dyDescent="0.25">
      <c r="B12575" s="73"/>
    </row>
    <row r="12576" spans="2:2" x14ac:dyDescent="0.25">
      <c r="B12576" s="73"/>
    </row>
    <row r="12577" spans="2:2" x14ac:dyDescent="0.25">
      <c r="B12577" s="73"/>
    </row>
    <row r="12578" spans="2:2" x14ac:dyDescent="0.25">
      <c r="B12578" s="73"/>
    </row>
    <row r="12579" spans="2:2" x14ac:dyDescent="0.25">
      <c r="B12579" s="73"/>
    </row>
    <row r="12580" spans="2:2" x14ac:dyDescent="0.25">
      <c r="B12580" s="73"/>
    </row>
    <row r="12581" spans="2:2" x14ac:dyDescent="0.25">
      <c r="B12581" s="73"/>
    </row>
    <row r="12582" spans="2:2" x14ac:dyDescent="0.25">
      <c r="B12582" s="73"/>
    </row>
    <row r="12583" spans="2:2" x14ac:dyDescent="0.25">
      <c r="B12583" s="73"/>
    </row>
    <row r="12584" spans="2:2" x14ac:dyDescent="0.25">
      <c r="B12584" s="73"/>
    </row>
    <row r="12585" spans="2:2" x14ac:dyDescent="0.25">
      <c r="B12585" s="73"/>
    </row>
    <row r="12586" spans="2:2" x14ac:dyDescent="0.25">
      <c r="B12586" s="73"/>
    </row>
    <row r="12587" spans="2:2" x14ac:dyDescent="0.25">
      <c r="B12587" s="73"/>
    </row>
    <row r="12588" spans="2:2" x14ac:dyDescent="0.25">
      <c r="B12588" s="73"/>
    </row>
    <row r="12589" spans="2:2" x14ac:dyDescent="0.25">
      <c r="B12589" s="73"/>
    </row>
    <row r="12590" spans="2:2" x14ac:dyDescent="0.25">
      <c r="B12590" s="73"/>
    </row>
    <row r="12591" spans="2:2" x14ac:dyDescent="0.25">
      <c r="B12591" s="73"/>
    </row>
    <row r="12592" spans="2:2" x14ac:dyDescent="0.25">
      <c r="B12592" s="73"/>
    </row>
    <row r="12593" spans="2:2" x14ac:dyDescent="0.25">
      <c r="B12593" s="73"/>
    </row>
    <row r="12594" spans="2:2" x14ac:dyDescent="0.25">
      <c r="B12594" s="73"/>
    </row>
    <row r="12595" spans="2:2" x14ac:dyDescent="0.25">
      <c r="B12595" s="73"/>
    </row>
    <row r="12596" spans="2:2" x14ac:dyDescent="0.25">
      <c r="B12596" s="73"/>
    </row>
    <row r="12597" spans="2:2" x14ac:dyDescent="0.25">
      <c r="B12597" s="73"/>
    </row>
    <row r="12598" spans="2:2" x14ac:dyDescent="0.25">
      <c r="B12598" s="73"/>
    </row>
    <row r="12599" spans="2:2" x14ac:dyDescent="0.25">
      <c r="B12599" s="73"/>
    </row>
    <row r="12600" spans="2:2" x14ac:dyDescent="0.25">
      <c r="B12600" s="73"/>
    </row>
    <row r="12601" spans="2:2" x14ac:dyDescent="0.25">
      <c r="B12601" s="73"/>
    </row>
    <row r="12602" spans="2:2" x14ac:dyDescent="0.25">
      <c r="B12602" s="73"/>
    </row>
    <row r="12603" spans="2:2" x14ac:dyDescent="0.25">
      <c r="B12603" s="73"/>
    </row>
    <row r="12604" spans="2:2" x14ac:dyDescent="0.25">
      <c r="B12604" s="73"/>
    </row>
    <row r="12605" spans="2:2" x14ac:dyDescent="0.25">
      <c r="B12605" s="73"/>
    </row>
    <row r="12606" spans="2:2" x14ac:dyDescent="0.25">
      <c r="B12606" s="73"/>
    </row>
    <row r="12607" spans="2:2" x14ac:dyDescent="0.25">
      <c r="B12607" s="73"/>
    </row>
    <row r="12608" spans="2:2" x14ac:dyDescent="0.25">
      <c r="B12608" s="73"/>
    </row>
    <row r="12609" spans="2:2" x14ac:dyDescent="0.25">
      <c r="B12609" s="73"/>
    </row>
    <row r="12610" spans="2:2" x14ac:dyDescent="0.25">
      <c r="B12610" s="73"/>
    </row>
    <row r="12611" spans="2:2" x14ac:dyDescent="0.25">
      <c r="B12611" s="73"/>
    </row>
    <row r="12612" spans="2:2" x14ac:dyDescent="0.25">
      <c r="B12612" s="73"/>
    </row>
    <row r="12613" spans="2:2" x14ac:dyDescent="0.25">
      <c r="B12613" s="73"/>
    </row>
    <row r="12614" spans="2:2" x14ac:dyDescent="0.25">
      <c r="B12614" s="73"/>
    </row>
    <row r="12615" spans="2:2" x14ac:dyDescent="0.25">
      <c r="B12615" s="73"/>
    </row>
    <row r="12616" spans="2:2" x14ac:dyDescent="0.25">
      <c r="B12616" s="73"/>
    </row>
    <row r="12617" spans="2:2" x14ac:dyDescent="0.25">
      <c r="B12617" s="73"/>
    </row>
    <row r="12618" spans="2:2" x14ac:dyDescent="0.25">
      <c r="B12618" s="73"/>
    </row>
    <row r="12619" spans="2:2" x14ac:dyDescent="0.25">
      <c r="B12619" s="73"/>
    </row>
    <row r="12620" spans="2:2" x14ac:dyDescent="0.25">
      <c r="B12620" s="73"/>
    </row>
    <row r="12621" spans="2:2" x14ac:dyDescent="0.25">
      <c r="B12621" s="73"/>
    </row>
    <row r="12622" spans="2:2" x14ac:dyDescent="0.25">
      <c r="B12622" s="73"/>
    </row>
    <row r="12623" spans="2:2" x14ac:dyDescent="0.25">
      <c r="B12623" s="73"/>
    </row>
    <row r="12624" spans="2:2" x14ac:dyDescent="0.25">
      <c r="B12624" s="73"/>
    </row>
    <row r="12625" spans="2:2" x14ac:dyDescent="0.25">
      <c r="B12625" s="73"/>
    </row>
    <row r="12626" spans="2:2" x14ac:dyDescent="0.25">
      <c r="B12626" s="73"/>
    </row>
    <row r="12627" spans="2:2" x14ac:dyDescent="0.25">
      <c r="B12627" s="73"/>
    </row>
    <row r="12628" spans="2:2" x14ac:dyDescent="0.25">
      <c r="B12628" s="73"/>
    </row>
    <row r="12629" spans="2:2" x14ac:dyDescent="0.25">
      <c r="B12629" s="73"/>
    </row>
    <row r="12630" spans="2:2" x14ac:dyDescent="0.25">
      <c r="B12630" s="73"/>
    </row>
    <row r="12631" spans="2:2" x14ac:dyDescent="0.25">
      <c r="B12631" s="73"/>
    </row>
    <row r="12632" spans="2:2" x14ac:dyDescent="0.25">
      <c r="B12632" s="73"/>
    </row>
    <row r="12633" spans="2:2" x14ac:dyDescent="0.25">
      <c r="B12633" s="73"/>
    </row>
    <row r="12634" spans="2:2" x14ac:dyDescent="0.25">
      <c r="B12634" s="73"/>
    </row>
    <row r="12635" spans="2:2" x14ac:dyDescent="0.25">
      <c r="B12635" s="73"/>
    </row>
    <row r="12636" spans="2:2" x14ac:dyDescent="0.25">
      <c r="B12636" s="73"/>
    </row>
    <row r="12637" spans="2:2" x14ac:dyDescent="0.25">
      <c r="B12637" s="73"/>
    </row>
    <row r="12638" spans="2:2" x14ac:dyDescent="0.25">
      <c r="B12638" s="73"/>
    </row>
    <row r="12639" spans="2:2" x14ac:dyDescent="0.25">
      <c r="B12639" s="73"/>
    </row>
    <row r="12640" spans="2:2" x14ac:dyDescent="0.25">
      <c r="B12640" s="73"/>
    </row>
    <row r="12641" spans="2:2" x14ac:dyDescent="0.25">
      <c r="B12641" s="73"/>
    </row>
    <row r="12642" spans="2:2" x14ac:dyDescent="0.25">
      <c r="B12642" s="73"/>
    </row>
    <row r="12643" spans="2:2" x14ac:dyDescent="0.25">
      <c r="B12643" s="73"/>
    </row>
    <row r="12644" spans="2:2" x14ac:dyDescent="0.25">
      <c r="B12644" s="73"/>
    </row>
    <row r="12645" spans="2:2" x14ac:dyDescent="0.25">
      <c r="B12645" s="73"/>
    </row>
    <row r="12646" spans="2:2" x14ac:dyDescent="0.25">
      <c r="B12646" s="73"/>
    </row>
    <row r="12647" spans="2:2" x14ac:dyDescent="0.25">
      <c r="B12647" s="73"/>
    </row>
    <row r="12648" spans="2:2" x14ac:dyDescent="0.25">
      <c r="B12648" s="73"/>
    </row>
    <row r="12649" spans="2:2" x14ac:dyDescent="0.25">
      <c r="B12649" s="73"/>
    </row>
    <row r="12650" spans="2:2" x14ac:dyDescent="0.25">
      <c r="B12650" s="73"/>
    </row>
    <row r="12651" spans="2:2" x14ac:dyDescent="0.25">
      <c r="B12651" s="73"/>
    </row>
    <row r="12652" spans="2:2" x14ac:dyDescent="0.25">
      <c r="B12652" s="73"/>
    </row>
    <row r="12653" spans="2:2" x14ac:dyDescent="0.25">
      <c r="B12653" s="73"/>
    </row>
    <row r="12654" spans="2:2" x14ac:dyDescent="0.25">
      <c r="B12654" s="73"/>
    </row>
    <row r="12655" spans="2:2" x14ac:dyDescent="0.25">
      <c r="B12655" s="73"/>
    </row>
    <row r="12656" spans="2:2" x14ac:dyDescent="0.25">
      <c r="B12656" s="73"/>
    </row>
    <row r="12657" spans="2:2" x14ac:dyDescent="0.25">
      <c r="B12657" s="73"/>
    </row>
    <row r="12658" spans="2:2" x14ac:dyDescent="0.25">
      <c r="B12658" s="73"/>
    </row>
    <row r="12659" spans="2:2" x14ac:dyDescent="0.25">
      <c r="B12659" s="73"/>
    </row>
    <row r="12660" spans="2:2" x14ac:dyDescent="0.25">
      <c r="B12660" s="73"/>
    </row>
    <row r="12661" spans="2:2" x14ac:dyDescent="0.25">
      <c r="B12661" s="73"/>
    </row>
    <row r="12662" spans="2:2" x14ac:dyDescent="0.25">
      <c r="B12662" s="73"/>
    </row>
    <row r="12663" spans="2:2" x14ac:dyDescent="0.25">
      <c r="B12663" s="73"/>
    </row>
    <row r="12664" spans="2:2" x14ac:dyDescent="0.25">
      <c r="B12664" s="73"/>
    </row>
    <row r="12665" spans="2:2" x14ac:dyDescent="0.25">
      <c r="B12665" s="73"/>
    </row>
    <row r="12666" spans="2:2" x14ac:dyDescent="0.25">
      <c r="B12666" s="73"/>
    </row>
    <row r="12667" spans="2:2" x14ac:dyDescent="0.25">
      <c r="B12667" s="73"/>
    </row>
    <row r="12668" spans="2:2" x14ac:dyDescent="0.25">
      <c r="B12668" s="73"/>
    </row>
    <row r="12669" spans="2:2" x14ac:dyDescent="0.25">
      <c r="B12669" s="73"/>
    </row>
    <row r="12670" spans="2:2" x14ac:dyDescent="0.25">
      <c r="B12670" s="73"/>
    </row>
    <row r="12671" spans="2:2" x14ac:dyDescent="0.25">
      <c r="B12671" s="73"/>
    </row>
    <row r="12672" spans="2:2" x14ac:dyDescent="0.25">
      <c r="B12672" s="73"/>
    </row>
    <row r="12673" spans="2:2" x14ac:dyDescent="0.25">
      <c r="B12673" s="73"/>
    </row>
    <row r="12674" spans="2:2" x14ac:dyDescent="0.25">
      <c r="B12674" s="73"/>
    </row>
    <row r="12675" spans="2:2" x14ac:dyDescent="0.25">
      <c r="B12675" s="73"/>
    </row>
    <row r="12676" spans="2:2" x14ac:dyDescent="0.25">
      <c r="B12676" s="73"/>
    </row>
    <row r="12677" spans="2:2" x14ac:dyDescent="0.25">
      <c r="B12677" s="73"/>
    </row>
    <row r="12678" spans="2:2" x14ac:dyDescent="0.25">
      <c r="B12678" s="73"/>
    </row>
    <row r="12679" spans="2:2" x14ac:dyDescent="0.25">
      <c r="B12679" s="73"/>
    </row>
    <row r="12680" spans="2:2" x14ac:dyDescent="0.25">
      <c r="B12680" s="73"/>
    </row>
    <row r="12681" spans="2:2" x14ac:dyDescent="0.25">
      <c r="B12681" s="73"/>
    </row>
    <row r="12682" spans="2:2" x14ac:dyDescent="0.25">
      <c r="B12682" s="73"/>
    </row>
    <row r="12683" spans="2:2" x14ac:dyDescent="0.25">
      <c r="B12683" s="73"/>
    </row>
    <row r="12684" spans="2:2" x14ac:dyDescent="0.25">
      <c r="B12684" s="73"/>
    </row>
    <row r="12685" spans="2:2" x14ac:dyDescent="0.25">
      <c r="B12685" s="73"/>
    </row>
    <row r="12686" spans="2:2" x14ac:dyDescent="0.25">
      <c r="B12686" s="73"/>
    </row>
    <row r="12687" spans="2:2" x14ac:dyDescent="0.25">
      <c r="B12687" s="73"/>
    </row>
    <row r="12688" spans="2:2" x14ac:dyDescent="0.25">
      <c r="B12688" s="73"/>
    </row>
    <row r="12689" spans="2:2" x14ac:dyDescent="0.25">
      <c r="B12689" s="73"/>
    </row>
    <row r="12690" spans="2:2" x14ac:dyDescent="0.25">
      <c r="B12690" s="73"/>
    </row>
    <row r="12691" spans="2:2" x14ac:dyDescent="0.25">
      <c r="B12691" s="73"/>
    </row>
    <row r="12692" spans="2:2" x14ac:dyDescent="0.25">
      <c r="B12692" s="73"/>
    </row>
    <row r="12693" spans="2:2" x14ac:dyDescent="0.25">
      <c r="B12693" s="73"/>
    </row>
    <row r="12694" spans="2:2" x14ac:dyDescent="0.25">
      <c r="B12694" s="73"/>
    </row>
    <row r="12695" spans="2:2" x14ac:dyDescent="0.25">
      <c r="B12695" s="73"/>
    </row>
    <row r="12696" spans="2:2" x14ac:dyDescent="0.25">
      <c r="B12696" s="73"/>
    </row>
    <row r="12697" spans="2:2" x14ac:dyDescent="0.25">
      <c r="B12697" s="73"/>
    </row>
    <row r="12698" spans="2:2" x14ac:dyDescent="0.25">
      <c r="B12698" s="73"/>
    </row>
    <row r="12699" spans="2:2" x14ac:dyDescent="0.25">
      <c r="B12699" s="73"/>
    </row>
    <row r="12700" spans="2:2" x14ac:dyDescent="0.25">
      <c r="B12700" s="73"/>
    </row>
    <row r="12701" spans="2:2" x14ac:dyDescent="0.25">
      <c r="B12701" s="73"/>
    </row>
    <row r="12702" spans="2:2" x14ac:dyDescent="0.25">
      <c r="B12702" s="73"/>
    </row>
    <row r="12703" spans="2:2" x14ac:dyDescent="0.25">
      <c r="B12703" s="73"/>
    </row>
    <row r="12704" spans="2:2" x14ac:dyDescent="0.25">
      <c r="B12704" s="73"/>
    </row>
    <row r="12705" spans="2:2" x14ac:dyDescent="0.25">
      <c r="B12705" s="73"/>
    </row>
    <row r="12706" spans="2:2" x14ac:dyDescent="0.25">
      <c r="B12706" s="73"/>
    </row>
    <row r="12707" spans="2:2" x14ac:dyDescent="0.25">
      <c r="B12707" s="73"/>
    </row>
    <row r="12708" spans="2:2" x14ac:dyDescent="0.25">
      <c r="B12708" s="73"/>
    </row>
    <row r="12709" spans="2:2" x14ac:dyDescent="0.25">
      <c r="B12709" s="73"/>
    </row>
    <row r="12710" spans="2:2" x14ac:dyDescent="0.25">
      <c r="B12710" s="73"/>
    </row>
    <row r="12711" spans="2:2" x14ac:dyDescent="0.25">
      <c r="B12711" s="73"/>
    </row>
    <row r="12712" spans="2:2" x14ac:dyDescent="0.25">
      <c r="B12712" s="73"/>
    </row>
    <row r="12713" spans="2:2" x14ac:dyDescent="0.25">
      <c r="B12713" s="73"/>
    </row>
    <row r="12714" spans="2:2" x14ac:dyDescent="0.25">
      <c r="B12714" s="73"/>
    </row>
    <row r="12715" spans="2:2" x14ac:dyDescent="0.25">
      <c r="B12715" s="73"/>
    </row>
    <row r="12716" spans="2:2" x14ac:dyDescent="0.25">
      <c r="B12716" s="73"/>
    </row>
    <row r="12717" spans="2:2" x14ac:dyDescent="0.25">
      <c r="B12717" s="73"/>
    </row>
    <row r="12718" spans="2:2" x14ac:dyDescent="0.25">
      <c r="B12718" s="73"/>
    </row>
    <row r="12719" spans="2:2" x14ac:dyDescent="0.25">
      <c r="B12719" s="73"/>
    </row>
    <row r="12720" spans="2:2" x14ac:dyDescent="0.25">
      <c r="B12720" s="73"/>
    </row>
    <row r="12721" spans="2:2" x14ac:dyDescent="0.25">
      <c r="B12721" s="73"/>
    </row>
    <row r="12722" spans="2:2" x14ac:dyDescent="0.25">
      <c r="B12722" s="73"/>
    </row>
    <row r="12723" spans="2:2" x14ac:dyDescent="0.25">
      <c r="B12723" s="73"/>
    </row>
    <row r="12724" spans="2:2" x14ac:dyDescent="0.25">
      <c r="B12724" s="73"/>
    </row>
    <row r="12725" spans="2:2" x14ac:dyDescent="0.25">
      <c r="B12725" s="73"/>
    </row>
    <row r="12726" spans="2:2" x14ac:dyDescent="0.25">
      <c r="B12726" s="73"/>
    </row>
    <row r="12727" spans="2:2" x14ac:dyDescent="0.25">
      <c r="B12727" s="73"/>
    </row>
    <row r="12728" spans="2:2" x14ac:dyDescent="0.25">
      <c r="B12728" s="73"/>
    </row>
    <row r="12729" spans="2:2" x14ac:dyDescent="0.25">
      <c r="B12729" s="73"/>
    </row>
    <row r="12730" spans="2:2" x14ac:dyDescent="0.25">
      <c r="B12730" s="73"/>
    </row>
    <row r="12731" spans="2:2" x14ac:dyDescent="0.25">
      <c r="B12731" s="73"/>
    </row>
    <row r="12732" spans="2:2" x14ac:dyDescent="0.25">
      <c r="B12732" s="73"/>
    </row>
    <row r="12733" spans="2:2" x14ac:dyDescent="0.25">
      <c r="B12733" s="73"/>
    </row>
    <row r="12734" spans="2:2" x14ac:dyDescent="0.25">
      <c r="B12734" s="73"/>
    </row>
    <row r="12735" spans="2:2" x14ac:dyDescent="0.25">
      <c r="B12735" s="73"/>
    </row>
    <row r="12736" spans="2:2" x14ac:dyDescent="0.25">
      <c r="B12736" s="73"/>
    </row>
    <row r="12737" spans="2:2" x14ac:dyDescent="0.25">
      <c r="B12737" s="73"/>
    </row>
    <row r="12738" spans="2:2" x14ac:dyDescent="0.25">
      <c r="B12738" s="73"/>
    </row>
    <row r="12739" spans="2:2" x14ac:dyDescent="0.25">
      <c r="B12739" s="73"/>
    </row>
    <row r="12740" spans="2:2" x14ac:dyDescent="0.25">
      <c r="B12740" s="73"/>
    </row>
    <row r="12741" spans="2:2" x14ac:dyDescent="0.25">
      <c r="B12741" s="73"/>
    </row>
    <row r="12742" spans="2:2" x14ac:dyDescent="0.25">
      <c r="B12742" s="73"/>
    </row>
    <row r="12743" spans="2:2" x14ac:dyDescent="0.25">
      <c r="B12743" s="73"/>
    </row>
    <row r="12744" spans="2:2" x14ac:dyDescent="0.25">
      <c r="B12744" s="73"/>
    </row>
    <row r="12745" spans="2:2" x14ac:dyDescent="0.25">
      <c r="B12745" s="73"/>
    </row>
    <row r="12746" spans="2:2" x14ac:dyDescent="0.25">
      <c r="B12746" s="73"/>
    </row>
    <row r="12747" spans="2:2" x14ac:dyDescent="0.25">
      <c r="B12747" s="73"/>
    </row>
    <row r="12748" spans="2:2" x14ac:dyDescent="0.25">
      <c r="B12748" s="73"/>
    </row>
    <row r="12749" spans="2:2" x14ac:dyDescent="0.25">
      <c r="B12749" s="73"/>
    </row>
    <row r="12750" spans="2:2" x14ac:dyDescent="0.25">
      <c r="B12750" s="73"/>
    </row>
    <row r="12751" spans="2:2" x14ac:dyDescent="0.25">
      <c r="B12751" s="73"/>
    </row>
    <row r="12752" spans="2:2" x14ac:dyDescent="0.25">
      <c r="B12752" s="73"/>
    </row>
    <row r="12753" spans="2:2" x14ac:dyDescent="0.25">
      <c r="B12753" s="73"/>
    </row>
    <row r="12754" spans="2:2" x14ac:dyDescent="0.25">
      <c r="B12754" s="73"/>
    </row>
    <row r="12755" spans="2:2" x14ac:dyDescent="0.25">
      <c r="B12755" s="73"/>
    </row>
    <row r="12756" spans="2:2" x14ac:dyDescent="0.25">
      <c r="B12756" s="73"/>
    </row>
    <row r="12757" spans="2:2" x14ac:dyDescent="0.25">
      <c r="B12757" s="73"/>
    </row>
    <row r="12758" spans="2:2" x14ac:dyDescent="0.25">
      <c r="B12758" s="73"/>
    </row>
    <row r="12759" spans="2:2" x14ac:dyDescent="0.25">
      <c r="B12759" s="73"/>
    </row>
    <row r="12760" spans="2:2" x14ac:dyDescent="0.25">
      <c r="B12760" s="73"/>
    </row>
    <row r="12761" spans="2:2" x14ac:dyDescent="0.25">
      <c r="B12761" s="73"/>
    </row>
    <row r="12762" spans="2:2" x14ac:dyDescent="0.25">
      <c r="B12762" s="73"/>
    </row>
    <row r="12763" spans="2:2" x14ac:dyDescent="0.25">
      <c r="B12763" s="73"/>
    </row>
    <row r="12764" spans="2:2" x14ac:dyDescent="0.25">
      <c r="B12764" s="73"/>
    </row>
    <row r="12765" spans="2:2" x14ac:dyDescent="0.25">
      <c r="B12765" s="73"/>
    </row>
    <row r="12766" spans="2:2" x14ac:dyDescent="0.25">
      <c r="B12766" s="73"/>
    </row>
    <row r="12767" spans="2:2" x14ac:dyDescent="0.25">
      <c r="B12767" s="73"/>
    </row>
    <row r="12768" spans="2:2" x14ac:dyDescent="0.25">
      <c r="B12768" s="73"/>
    </row>
    <row r="12769" spans="2:2" x14ac:dyDescent="0.25">
      <c r="B12769" s="73"/>
    </row>
    <row r="12770" spans="2:2" x14ac:dyDescent="0.25">
      <c r="B12770" s="73"/>
    </row>
    <row r="12771" spans="2:2" x14ac:dyDescent="0.25">
      <c r="B12771" s="73"/>
    </row>
    <row r="12772" spans="2:2" x14ac:dyDescent="0.25">
      <c r="B12772" s="73"/>
    </row>
    <row r="12773" spans="2:2" x14ac:dyDescent="0.25">
      <c r="B12773" s="73"/>
    </row>
    <row r="12774" spans="2:2" x14ac:dyDescent="0.25">
      <c r="B12774" s="73"/>
    </row>
    <row r="12775" spans="2:2" x14ac:dyDescent="0.25">
      <c r="B12775" s="73"/>
    </row>
    <row r="12776" spans="2:2" x14ac:dyDescent="0.25">
      <c r="B12776" s="73"/>
    </row>
    <row r="12777" spans="2:2" x14ac:dyDescent="0.25">
      <c r="B12777" s="73"/>
    </row>
    <row r="12778" spans="2:2" x14ac:dyDescent="0.25">
      <c r="B12778" s="73"/>
    </row>
    <row r="12779" spans="2:2" x14ac:dyDescent="0.25">
      <c r="B12779" s="73"/>
    </row>
    <row r="12780" spans="2:2" x14ac:dyDescent="0.25">
      <c r="B12780" s="73"/>
    </row>
    <row r="12781" spans="2:2" x14ac:dyDescent="0.25">
      <c r="B12781" s="73"/>
    </row>
    <row r="12782" spans="2:2" x14ac:dyDescent="0.25">
      <c r="B12782" s="73"/>
    </row>
    <row r="12783" spans="2:2" x14ac:dyDescent="0.25">
      <c r="B12783" s="73"/>
    </row>
    <row r="12784" spans="2:2" x14ac:dyDescent="0.25">
      <c r="B12784" s="73"/>
    </row>
    <row r="12785" spans="2:2" x14ac:dyDescent="0.25">
      <c r="B12785" s="73"/>
    </row>
    <row r="12786" spans="2:2" x14ac:dyDescent="0.25">
      <c r="B12786" s="73"/>
    </row>
    <row r="12787" spans="2:2" x14ac:dyDescent="0.25">
      <c r="B12787" s="73"/>
    </row>
    <row r="12788" spans="2:2" x14ac:dyDescent="0.25">
      <c r="B12788" s="73"/>
    </row>
    <row r="12789" spans="2:2" x14ac:dyDescent="0.25">
      <c r="B12789" s="73"/>
    </row>
    <row r="12790" spans="2:2" x14ac:dyDescent="0.25">
      <c r="B12790" s="73"/>
    </row>
    <row r="12791" spans="2:2" x14ac:dyDescent="0.25">
      <c r="B12791" s="73"/>
    </row>
    <row r="12792" spans="2:2" x14ac:dyDescent="0.25">
      <c r="B12792" s="73"/>
    </row>
    <row r="12793" spans="2:2" x14ac:dyDescent="0.25">
      <c r="B12793" s="73"/>
    </row>
    <row r="12794" spans="2:2" x14ac:dyDescent="0.25">
      <c r="B12794" s="73"/>
    </row>
    <row r="12795" spans="2:2" x14ac:dyDescent="0.25">
      <c r="B12795" s="73"/>
    </row>
    <row r="12796" spans="2:2" x14ac:dyDescent="0.25">
      <c r="B12796" s="73"/>
    </row>
    <row r="12797" spans="2:2" x14ac:dyDescent="0.25">
      <c r="B12797" s="73"/>
    </row>
    <row r="12798" spans="2:2" x14ac:dyDescent="0.25">
      <c r="B12798" s="73"/>
    </row>
    <row r="12799" spans="2:2" x14ac:dyDescent="0.25">
      <c r="B12799" s="73"/>
    </row>
    <row r="12800" spans="2:2" x14ac:dyDescent="0.25">
      <c r="B12800" s="73"/>
    </row>
    <row r="12801" spans="2:2" x14ac:dyDescent="0.25">
      <c r="B12801" s="73"/>
    </row>
    <row r="12802" spans="2:2" x14ac:dyDescent="0.25">
      <c r="B12802" s="73"/>
    </row>
    <row r="12803" spans="2:2" x14ac:dyDescent="0.25">
      <c r="B12803" s="73"/>
    </row>
    <row r="12804" spans="2:2" x14ac:dyDescent="0.25">
      <c r="B12804" s="73"/>
    </row>
    <row r="12805" spans="2:2" x14ac:dyDescent="0.25">
      <c r="B12805" s="73"/>
    </row>
    <row r="12806" spans="2:2" x14ac:dyDescent="0.25">
      <c r="B12806" s="73"/>
    </row>
    <row r="12807" spans="2:2" x14ac:dyDescent="0.25">
      <c r="B12807" s="73"/>
    </row>
    <row r="12808" spans="2:2" x14ac:dyDescent="0.25">
      <c r="B12808" s="73"/>
    </row>
    <row r="12809" spans="2:2" x14ac:dyDescent="0.25">
      <c r="B12809" s="73"/>
    </row>
    <row r="12810" spans="2:2" x14ac:dyDescent="0.25">
      <c r="B12810" s="73"/>
    </row>
    <row r="12811" spans="2:2" x14ac:dyDescent="0.25">
      <c r="B12811" s="73"/>
    </row>
    <row r="12812" spans="2:2" x14ac:dyDescent="0.25">
      <c r="B12812" s="73"/>
    </row>
    <row r="12813" spans="2:2" x14ac:dyDescent="0.25">
      <c r="B12813" s="73"/>
    </row>
    <row r="12814" spans="2:2" x14ac:dyDescent="0.25">
      <c r="B12814" s="73"/>
    </row>
    <row r="12815" spans="2:2" x14ac:dyDescent="0.25">
      <c r="B12815" s="73"/>
    </row>
    <row r="12816" spans="2:2" x14ac:dyDescent="0.25">
      <c r="B12816" s="73"/>
    </row>
    <row r="12817" spans="2:2" x14ac:dyDescent="0.25">
      <c r="B12817" s="73"/>
    </row>
    <row r="12818" spans="2:2" x14ac:dyDescent="0.25">
      <c r="B12818" s="73"/>
    </row>
    <row r="12819" spans="2:2" x14ac:dyDescent="0.25">
      <c r="B12819" s="73"/>
    </row>
    <row r="12820" spans="2:2" x14ac:dyDescent="0.25">
      <c r="B12820" s="73"/>
    </row>
    <row r="12821" spans="2:2" x14ac:dyDescent="0.25">
      <c r="B12821" s="73"/>
    </row>
    <row r="12822" spans="2:2" x14ac:dyDescent="0.25">
      <c r="B12822" s="73"/>
    </row>
    <row r="12823" spans="2:2" x14ac:dyDescent="0.25">
      <c r="B12823" s="73"/>
    </row>
    <row r="12824" spans="2:2" x14ac:dyDescent="0.25">
      <c r="B12824" s="73"/>
    </row>
    <row r="12825" spans="2:2" x14ac:dyDescent="0.25">
      <c r="B12825" s="73"/>
    </row>
    <row r="12826" spans="2:2" x14ac:dyDescent="0.25">
      <c r="B12826" s="73"/>
    </row>
    <row r="12827" spans="2:2" x14ac:dyDescent="0.25">
      <c r="B12827" s="73"/>
    </row>
    <row r="12828" spans="2:2" x14ac:dyDescent="0.25">
      <c r="B12828" s="73"/>
    </row>
    <row r="12829" spans="2:2" x14ac:dyDescent="0.25">
      <c r="B12829" s="73"/>
    </row>
    <row r="12830" spans="2:2" x14ac:dyDescent="0.25">
      <c r="B12830" s="73"/>
    </row>
    <row r="12831" spans="2:2" x14ac:dyDescent="0.25">
      <c r="B12831" s="73"/>
    </row>
    <row r="12832" spans="2:2" x14ac:dyDescent="0.25">
      <c r="B12832" s="73"/>
    </row>
    <row r="12833" spans="2:2" x14ac:dyDescent="0.25">
      <c r="B12833" s="73"/>
    </row>
    <row r="12834" spans="2:2" x14ac:dyDescent="0.25">
      <c r="B12834" s="73"/>
    </row>
    <row r="12835" spans="2:2" x14ac:dyDescent="0.25">
      <c r="B12835" s="73"/>
    </row>
    <row r="12836" spans="2:2" x14ac:dyDescent="0.25">
      <c r="B12836" s="73"/>
    </row>
    <row r="12837" spans="2:2" x14ac:dyDescent="0.25">
      <c r="B12837" s="73"/>
    </row>
    <row r="12838" spans="2:2" x14ac:dyDescent="0.25">
      <c r="B12838" s="73"/>
    </row>
    <row r="12839" spans="2:2" x14ac:dyDescent="0.25">
      <c r="B12839" s="73"/>
    </row>
    <row r="12840" spans="2:2" x14ac:dyDescent="0.25">
      <c r="B12840" s="73"/>
    </row>
    <row r="12841" spans="2:2" x14ac:dyDescent="0.25">
      <c r="B12841" s="73"/>
    </row>
    <row r="12842" spans="2:2" x14ac:dyDescent="0.25">
      <c r="B12842" s="73"/>
    </row>
    <row r="12843" spans="2:2" x14ac:dyDescent="0.25">
      <c r="B12843" s="73"/>
    </row>
    <row r="12844" spans="2:2" x14ac:dyDescent="0.25">
      <c r="B12844" s="73"/>
    </row>
    <row r="12845" spans="2:2" x14ac:dyDescent="0.25">
      <c r="B12845" s="73"/>
    </row>
    <row r="12846" spans="2:2" x14ac:dyDescent="0.25">
      <c r="B12846" s="73"/>
    </row>
    <row r="12847" spans="2:2" x14ac:dyDescent="0.25">
      <c r="B12847" s="73"/>
    </row>
    <row r="12848" spans="2:2" x14ac:dyDescent="0.25">
      <c r="B12848" s="73"/>
    </row>
    <row r="12849" spans="2:2" x14ac:dyDescent="0.25">
      <c r="B12849" s="73"/>
    </row>
    <row r="12850" spans="2:2" x14ac:dyDescent="0.25">
      <c r="B12850" s="73"/>
    </row>
    <row r="12851" spans="2:2" x14ac:dyDescent="0.25">
      <c r="B12851" s="73"/>
    </row>
    <row r="12852" spans="2:2" x14ac:dyDescent="0.25">
      <c r="B12852" s="73"/>
    </row>
    <row r="12853" spans="2:2" x14ac:dyDescent="0.25">
      <c r="B12853" s="73"/>
    </row>
    <row r="12854" spans="2:2" x14ac:dyDescent="0.25">
      <c r="B12854" s="73"/>
    </row>
    <row r="12855" spans="2:2" x14ac:dyDescent="0.25">
      <c r="B12855" s="73"/>
    </row>
    <row r="12856" spans="2:2" x14ac:dyDescent="0.25">
      <c r="B12856" s="73"/>
    </row>
    <row r="12857" spans="2:2" x14ac:dyDescent="0.25">
      <c r="B12857" s="73"/>
    </row>
    <row r="12858" spans="2:2" x14ac:dyDescent="0.25">
      <c r="B12858" s="73"/>
    </row>
    <row r="12859" spans="2:2" x14ac:dyDescent="0.25">
      <c r="B12859" s="73"/>
    </row>
    <row r="12860" spans="2:2" x14ac:dyDescent="0.25">
      <c r="B12860" s="73"/>
    </row>
    <row r="12861" spans="2:2" x14ac:dyDescent="0.25">
      <c r="B12861" s="73"/>
    </row>
    <row r="12862" spans="2:2" x14ac:dyDescent="0.25">
      <c r="B12862" s="73"/>
    </row>
    <row r="12863" spans="2:2" x14ac:dyDescent="0.25">
      <c r="B12863" s="73"/>
    </row>
    <row r="12864" spans="2:2" x14ac:dyDescent="0.25">
      <c r="B12864" s="73"/>
    </row>
    <row r="12865" spans="2:2" x14ac:dyDescent="0.25">
      <c r="B12865" s="73"/>
    </row>
    <row r="12866" spans="2:2" x14ac:dyDescent="0.25">
      <c r="B12866" s="73"/>
    </row>
    <row r="12867" spans="2:2" x14ac:dyDescent="0.25">
      <c r="B12867" s="73"/>
    </row>
    <row r="12868" spans="2:2" x14ac:dyDescent="0.25">
      <c r="B12868" s="73"/>
    </row>
    <row r="12869" spans="2:2" x14ac:dyDescent="0.25">
      <c r="B12869" s="73"/>
    </row>
    <row r="12870" spans="2:2" x14ac:dyDescent="0.25">
      <c r="B12870" s="73"/>
    </row>
    <row r="12871" spans="2:2" x14ac:dyDescent="0.25">
      <c r="B12871" s="73"/>
    </row>
    <row r="12872" spans="2:2" x14ac:dyDescent="0.25">
      <c r="B12872" s="73"/>
    </row>
    <row r="12873" spans="2:2" x14ac:dyDescent="0.25">
      <c r="B12873" s="73"/>
    </row>
    <row r="12874" spans="2:2" x14ac:dyDescent="0.25">
      <c r="B12874" s="73"/>
    </row>
    <row r="12875" spans="2:2" x14ac:dyDescent="0.25">
      <c r="B12875" s="73"/>
    </row>
    <row r="12876" spans="2:2" x14ac:dyDescent="0.25">
      <c r="B12876" s="73"/>
    </row>
    <row r="12877" spans="2:2" x14ac:dyDescent="0.25">
      <c r="B12877" s="73"/>
    </row>
    <row r="12878" spans="2:2" x14ac:dyDescent="0.25">
      <c r="B12878" s="73"/>
    </row>
    <row r="12879" spans="2:2" x14ac:dyDescent="0.25">
      <c r="B12879" s="73"/>
    </row>
    <row r="12880" spans="2:2" x14ac:dyDescent="0.25">
      <c r="B12880" s="73"/>
    </row>
    <row r="12881" spans="2:2" x14ac:dyDescent="0.25">
      <c r="B12881" s="73"/>
    </row>
    <row r="12882" spans="2:2" x14ac:dyDescent="0.25">
      <c r="B12882" s="73"/>
    </row>
    <row r="12883" spans="2:2" x14ac:dyDescent="0.25">
      <c r="B12883" s="73"/>
    </row>
    <row r="12884" spans="2:2" x14ac:dyDescent="0.25">
      <c r="B12884" s="73"/>
    </row>
    <row r="12885" spans="2:2" x14ac:dyDescent="0.25">
      <c r="B12885" s="73"/>
    </row>
    <row r="12886" spans="2:2" x14ac:dyDescent="0.25">
      <c r="B12886" s="73"/>
    </row>
    <row r="12887" spans="2:2" x14ac:dyDescent="0.25">
      <c r="B12887" s="73"/>
    </row>
    <row r="12888" spans="2:2" x14ac:dyDescent="0.25">
      <c r="B12888" s="73"/>
    </row>
    <row r="12889" spans="2:2" x14ac:dyDescent="0.25">
      <c r="B12889" s="73"/>
    </row>
    <row r="12890" spans="2:2" x14ac:dyDescent="0.25">
      <c r="B12890" s="73"/>
    </row>
    <row r="12891" spans="2:2" x14ac:dyDescent="0.25">
      <c r="B12891" s="73"/>
    </row>
    <row r="12892" spans="2:2" x14ac:dyDescent="0.25">
      <c r="B12892" s="73"/>
    </row>
    <row r="12893" spans="2:2" x14ac:dyDescent="0.25">
      <c r="B12893" s="73"/>
    </row>
    <row r="12894" spans="2:2" x14ac:dyDescent="0.25">
      <c r="B12894" s="73"/>
    </row>
    <row r="12895" spans="2:2" x14ac:dyDescent="0.25">
      <c r="B12895" s="73"/>
    </row>
    <row r="12896" spans="2:2" x14ac:dyDescent="0.25">
      <c r="B12896" s="73"/>
    </row>
    <row r="12897" spans="2:2" x14ac:dyDescent="0.25">
      <c r="B12897" s="73"/>
    </row>
    <row r="12898" spans="2:2" x14ac:dyDescent="0.25">
      <c r="B12898" s="73"/>
    </row>
    <row r="12899" spans="2:2" x14ac:dyDescent="0.25">
      <c r="B12899" s="73"/>
    </row>
    <row r="12900" spans="2:2" x14ac:dyDescent="0.25">
      <c r="B12900" s="73"/>
    </row>
    <row r="12901" spans="2:2" x14ac:dyDescent="0.25">
      <c r="B12901" s="73"/>
    </row>
    <row r="12902" spans="2:2" x14ac:dyDescent="0.25">
      <c r="B12902" s="73"/>
    </row>
    <row r="12903" spans="2:2" x14ac:dyDescent="0.25">
      <c r="B12903" s="73"/>
    </row>
    <row r="12904" spans="2:2" x14ac:dyDescent="0.25">
      <c r="B12904" s="73"/>
    </row>
    <row r="12905" spans="2:2" x14ac:dyDescent="0.25">
      <c r="B12905" s="73"/>
    </row>
    <row r="12906" spans="2:2" x14ac:dyDescent="0.25">
      <c r="B12906" s="73"/>
    </row>
    <row r="12907" spans="2:2" x14ac:dyDescent="0.25">
      <c r="B12907" s="73"/>
    </row>
    <row r="12908" spans="2:2" x14ac:dyDescent="0.25">
      <c r="B12908" s="73"/>
    </row>
    <row r="12909" spans="2:2" x14ac:dyDescent="0.25">
      <c r="B12909" s="73"/>
    </row>
    <row r="12910" spans="2:2" x14ac:dyDescent="0.25">
      <c r="B12910" s="73"/>
    </row>
    <row r="12911" spans="2:2" x14ac:dyDescent="0.25">
      <c r="B12911" s="73"/>
    </row>
    <row r="12912" spans="2:2" x14ac:dyDescent="0.25">
      <c r="B12912" s="73"/>
    </row>
    <row r="12913" spans="2:2" x14ac:dyDescent="0.25">
      <c r="B12913" s="73"/>
    </row>
    <row r="12914" spans="2:2" x14ac:dyDescent="0.25">
      <c r="B12914" s="73"/>
    </row>
    <row r="12915" spans="2:2" x14ac:dyDescent="0.25">
      <c r="B12915" s="73"/>
    </row>
    <row r="12916" spans="2:2" x14ac:dyDescent="0.25">
      <c r="B12916" s="73"/>
    </row>
    <row r="12917" spans="2:2" x14ac:dyDescent="0.25">
      <c r="B12917" s="73"/>
    </row>
    <row r="12918" spans="2:2" x14ac:dyDescent="0.25">
      <c r="B12918" s="73"/>
    </row>
    <row r="12919" spans="2:2" x14ac:dyDescent="0.25">
      <c r="B12919" s="73"/>
    </row>
    <row r="12920" spans="2:2" x14ac:dyDescent="0.25">
      <c r="B12920" s="73"/>
    </row>
    <row r="12921" spans="2:2" x14ac:dyDescent="0.25">
      <c r="B12921" s="73"/>
    </row>
    <row r="12922" spans="2:2" x14ac:dyDescent="0.25">
      <c r="B12922" s="73"/>
    </row>
    <row r="12923" spans="2:2" x14ac:dyDescent="0.25">
      <c r="B12923" s="73"/>
    </row>
    <row r="12924" spans="2:2" x14ac:dyDescent="0.25">
      <c r="B12924" s="73"/>
    </row>
    <row r="12925" spans="2:2" x14ac:dyDescent="0.25">
      <c r="B12925" s="73"/>
    </row>
    <row r="12926" spans="2:2" x14ac:dyDescent="0.25">
      <c r="B12926" s="73"/>
    </row>
    <row r="12927" spans="2:2" x14ac:dyDescent="0.25">
      <c r="B12927" s="73"/>
    </row>
    <row r="12928" spans="2:2" x14ac:dyDescent="0.25">
      <c r="B12928" s="73"/>
    </row>
    <row r="12929" spans="2:2" x14ac:dyDescent="0.25">
      <c r="B12929" s="73"/>
    </row>
    <row r="12930" spans="2:2" x14ac:dyDescent="0.25">
      <c r="B12930" s="73"/>
    </row>
    <row r="12931" spans="2:2" x14ac:dyDescent="0.25">
      <c r="B12931" s="73"/>
    </row>
    <row r="12932" spans="2:2" x14ac:dyDescent="0.25">
      <c r="B12932" s="73"/>
    </row>
    <row r="12933" spans="2:2" x14ac:dyDescent="0.25">
      <c r="B12933" s="73"/>
    </row>
    <row r="12934" spans="2:2" x14ac:dyDescent="0.25">
      <c r="B12934" s="73"/>
    </row>
    <row r="12935" spans="2:2" x14ac:dyDescent="0.25">
      <c r="B12935" s="73"/>
    </row>
    <row r="12936" spans="2:2" x14ac:dyDescent="0.25">
      <c r="B12936" s="73"/>
    </row>
    <row r="12937" spans="2:2" x14ac:dyDescent="0.25">
      <c r="B12937" s="73"/>
    </row>
    <row r="12938" spans="2:2" x14ac:dyDescent="0.25">
      <c r="B12938" s="73"/>
    </row>
    <row r="12939" spans="2:2" x14ac:dyDescent="0.25">
      <c r="B12939" s="73"/>
    </row>
    <row r="12940" spans="2:2" x14ac:dyDescent="0.25">
      <c r="B12940" s="73"/>
    </row>
    <row r="12941" spans="2:2" x14ac:dyDescent="0.25">
      <c r="B12941" s="73"/>
    </row>
    <row r="12942" spans="2:2" x14ac:dyDescent="0.25">
      <c r="B12942" s="73"/>
    </row>
    <row r="12943" spans="2:2" x14ac:dyDescent="0.25">
      <c r="B12943" s="73"/>
    </row>
    <row r="12944" spans="2:2" x14ac:dyDescent="0.25">
      <c r="B12944" s="73"/>
    </row>
    <row r="12945" spans="2:2" x14ac:dyDescent="0.25">
      <c r="B12945" s="73"/>
    </row>
    <row r="12946" spans="2:2" x14ac:dyDescent="0.25">
      <c r="B12946" s="73"/>
    </row>
    <row r="12947" spans="2:2" x14ac:dyDescent="0.25">
      <c r="B12947" s="73"/>
    </row>
    <row r="12948" spans="2:2" x14ac:dyDescent="0.25">
      <c r="B12948" s="73"/>
    </row>
    <row r="12949" spans="2:2" x14ac:dyDescent="0.25">
      <c r="B12949" s="73"/>
    </row>
    <row r="12950" spans="2:2" x14ac:dyDescent="0.25">
      <c r="B12950" s="73"/>
    </row>
    <row r="12951" spans="2:2" x14ac:dyDescent="0.25">
      <c r="B12951" s="73"/>
    </row>
    <row r="12952" spans="2:2" x14ac:dyDescent="0.25">
      <c r="B12952" s="73"/>
    </row>
    <row r="12953" spans="2:2" x14ac:dyDescent="0.25">
      <c r="B12953" s="73"/>
    </row>
    <row r="12954" spans="2:2" x14ac:dyDescent="0.25">
      <c r="B12954" s="73"/>
    </row>
    <row r="12955" spans="2:2" x14ac:dyDescent="0.25">
      <c r="B12955" s="73"/>
    </row>
    <row r="12956" spans="2:2" x14ac:dyDescent="0.25">
      <c r="B12956" s="73"/>
    </row>
    <row r="12957" spans="2:2" x14ac:dyDescent="0.25">
      <c r="B12957" s="73"/>
    </row>
    <row r="12958" spans="2:2" x14ac:dyDescent="0.25">
      <c r="B12958" s="73"/>
    </row>
    <row r="12959" spans="2:2" x14ac:dyDescent="0.25">
      <c r="B12959" s="73"/>
    </row>
    <row r="12960" spans="2:2" x14ac:dyDescent="0.25">
      <c r="B12960" s="73"/>
    </row>
    <row r="12961" spans="2:2" x14ac:dyDescent="0.25">
      <c r="B12961" s="73"/>
    </row>
    <row r="12962" spans="2:2" x14ac:dyDescent="0.25">
      <c r="B12962" s="73"/>
    </row>
    <row r="12963" spans="2:2" x14ac:dyDescent="0.25">
      <c r="B12963" s="73"/>
    </row>
    <row r="12964" spans="2:2" x14ac:dyDescent="0.25">
      <c r="B12964" s="73"/>
    </row>
    <row r="12965" spans="2:2" x14ac:dyDescent="0.25">
      <c r="B12965" s="73"/>
    </row>
    <row r="12966" spans="2:2" x14ac:dyDescent="0.25">
      <c r="B12966" s="73"/>
    </row>
    <row r="12967" spans="2:2" x14ac:dyDescent="0.25">
      <c r="B12967" s="73"/>
    </row>
    <row r="12968" spans="2:2" x14ac:dyDescent="0.25">
      <c r="B12968" s="73"/>
    </row>
    <row r="12969" spans="2:2" x14ac:dyDescent="0.25">
      <c r="B12969" s="73"/>
    </row>
    <row r="12970" spans="2:2" x14ac:dyDescent="0.25">
      <c r="B12970" s="73"/>
    </row>
    <row r="12971" spans="2:2" x14ac:dyDescent="0.25">
      <c r="B12971" s="73"/>
    </row>
    <row r="12972" spans="2:2" x14ac:dyDescent="0.25">
      <c r="B12972" s="73"/>
    </row>
    <row r="12973" spans="2:2" x14ac:dyDescent="0.25">
      <c r="B12973" s="73"/>
    </row>
    <row r="12974" spans="2:2" x14ac:dyDescent="0.25">
      <c r="B12974" s="73"/>
    </row>
    <row r="12975" spans="2:2" x14ac:dyDescent="0.25">
      <c r="B12975" s="73"/>
    </row>
    <row r="12976" spans="2:2" x14ac:dyDescent="0.25">
      <c r="B12976" s="73"/>
    </row>
    <row r="12977" spans="2:2" x14ac:dyDescent="0.25">
      <c r="B12977" s="73"/>
    </row>
    <row r="12978" spans="2:2" x14ac:dyDescent="0.25">
      <c r="B12978" s="73"/>
    </row>
    <row r="12979" spans="2:2" x14ac:dyDescent="0.25">
      <c r="B12979" s="73"/>
    </row>
    <row r="12980" spans="2:2" x14ac:dyDescent="0.25">
      <c r="B12980" s="73"/>
    </row>
    <row r="12981" spans="2:2" x14ac:dyDescent="0.25">
      <c r="B12981" s="73"/>
    </row>
    <row r="12982" spans="2:2" x14ac:dyDescent="0.25">
      <c r="B12982" s="73"/>
    </row>
    <row r="12983" spans="2:2" x14ac:dyDescent="0.25">
      <c r="B12983" s="73"/>
    </row>
    <row r="12984" spans="2:2" x14ac:dyDescent="0.25">
      <c r="B12984" s="73"/>
    </row>
    <row r="12985" spans="2:2" x14ac:dyDescent="0.25">
      <c r="B12985" s="73"/>
    </row>
    <row r="12986" spans="2:2" x14ac:dyDescent="0.25">
      <c r="B12986" s="73"/>
    </row>
    <row r="12987" spans="2:2" x14ac:dyDescent="0.25">
      <c r="B12987" s="73"/>
    </row>
    <row r="12988" spans="2:2" x14ac:dyDescent="0.25">
      <c r="B12988" s="73"/>
    </row>
    <row r="12989" spans="2:2" x14ac:dyDescent="0.25">
      <c r="B12989" s="73"/>
    </row>
    <row r="12990" spans="2:2" x14ac:dyDescent="0.25">
      <c r="B12990" s="73"/>
    </row>
    <row r="12991" spans="2:2" x14ac:dyDescent="0.25">
      <c r="B12991" s="73"/>
    </row>
    <row r="12992" spans="2:2" x14ac:dyDescent="0.25">
      <c r="B12992" s="73"/>
    </row>
    <row r="12993" spans="2:2" x14ac:dyDescent="0.25">
      <c r="B12993" s="73"/>
    </row>
    <row r="12994" spans="2:2" x14ac:dyDescent="0.25">
      <c r="B12994" s="73"/>
    </row>
    <row r="12995" spans="2:2" x14ac:dyDescent="0.25">
      <c r="B12995" s="73"/>
    </row>
    <row r="12996" spans="2:2" x14ac:dyDescent="0.25">
      <c r="B12996" s="73"/>
    </row>
    <row r="12997" spans="2:2" x14ac:dyDescent="0.25">
      <c r="B12997" s="73"/>
    </row>
    <row r="12998" spans="2:2" x14ac:dyDescent="0.25">
      <c r="B12998" s="73"/>
    </row>
    <row r="12999" spans="2:2" x14ac:dyDescent="0.25">
      <c r="B12999" s="73"/>
    </row>
    <row r="13000" spans="2:2" x14ac:dyDescent="0.25">
      <c r="B13000" s="73"/>
    </row>
    <row r="13001" spans="2:2" x14ac:dyDescent="0.25">
      <c r="B13001" s="73"/>
    </row>
    <row r="13002" spans="2:2" x14ac:dyDescent="0.25">
      <c r="B13002" s="73"/>
    </row>
    <row r="13003" spans="2:2" x14ac:dyDescent="0.25">
      <c r="B13003" s="73"/>
    </row>
    <row r="13004" spans="2:2" x14ac:dyDescent="0.25">
      <c r="B13004" s="73"/>
    </row>
    <row r="13005" spans="2:2" x14ac:dyDescent="0.25">
      <c r="B13005" s="73"/>
    </row>
    <row r="13006" spans="2:2" x14ac:dyDescent="0.25">
      <c r="B13006" s="73"/>
    </row>
    <row r="13007" spans="2:2" x14ac:dyDescent="0.25">
      <c r="B13007" s="73"/>
    </row>
    <row r="13008" spans="2:2" x14ac:dyDescent="0.25">
      <c r="B13008" s="73"/>
    </row>
    <row r="13009" spans="2:2" x14ac:dyDescent="0.25">
      <c r="B13009" s="73"/>
    </row>
    <row r="13010" spans="2:2" x14ac:dyDescent="0.25">
      <c r="B13010" s="73"/>
    </row>
    <row r="13011" spans="2:2" x14ac:dyDescent="0.25">
      <c r="B13011" s="73"/>
    </row>
    <row r="13012" spans="2:2" x14ac:dyDescent="0.25">
      <c r="B13012" s="73"/>
    </row>
    <row r="13013" spans="2:2" x14ac:dyDescent="0.25">
      <c r="B13013" s="73"/>
    </row>
    <row r="13014" spans="2:2" x14ac:dyDescent="0.25">
      <c r="B13014" s="73"/>
    </row>
    <row r="13015" spans="2:2" x14ac:dyDescent="0.25">
      <c r="B13015" s="73"/>
    </row>
    <row r="13016" spans="2:2" x14ac:dyDescent="0.25">
      <c r="B13016" s="73"/>
    </row>
    <row r="13017" spans="2:2" x14ac:dyDescent="0.25">
      <c r="B13017" s="73"/>
    </row>
    <row r="13018" spans="2:2" x14ac:dyDescent="0.25">
      <c r="B13018" s="73"/>
    </row>
    <row r="13019" spans="2:2" x14ac:dyDescent="0.25">
      <c r="B13019" s="73"/>
    </row>
    <row r="13020" spans="2:2" x14ac:dyDescent="0.25">
      <c r="B13020" s="73"/>
    </row>
    <row r="13021" spans="2:2" x14ac:dyDescent="0.25">
      <c r="B13021" s="73"/>
    </row>
    <row r="13022" spans="2:2" x14ac:dyDescent="0.25">
      <c r="B13022" s="73"/>
    </row>
    <row r="13023" spans="2:2" x14ac:dyDescent="0.25">
      <c r="B13023" s="73"/>
    </row>
    <row r="13024" spans="2:2" x14ac:dyDescent="0.25">
      <c r="B13024" s="73"/>
    </row>
    <row r="13025" spans="2:2" x14ac:dyDescent="0.25">
      <c r="B13025" s="73"/>
    </row>
    <row r="13026" spans="2:2" x14ac:dyDescent="0.25">
      <c r="B13026" s="73"/>
    </row>
    <row r="13027" spans="2:2" x14ac:dyDescent="0.25">
      <c r="B13027" s="73"/>
    </row>
    <row r="13028" spans="2:2" x14ac:dyDescent="0.25">
      <c r="B13028" s="73"/>
    </row>
    <row r="13029" spans="2:2" x14ac:dyDescent="0.25">
      <c r="B13029" s="73"/>
    </row>
    <row r="13030" spans="2:2" x14ac:dyDescent="0.25">
      <c r="B13030" s="73"/>
    </row>
    <row r="13031" spans="2:2" x14ac:dyDescent="0.25">
      <c r="B13031" s="73"/>
    </row>
    <row r="13032" spans="2:2" x14ac:dyDescent="0.25">
      <c r="B13032" s="73"/>
    </row>
    <row r="13033" spans="2:2" x14ac:dyDescent="0.25">
      <c r="B13033" s="73"/>
    </row>
    <row r="13034" spans="2:2" x14ac:dyDescent="0.25">
      <c r="B13034" s="73"/>
    </row>
    <row r="13035" spans="2:2" x14ac:dyDescent="0.25">
      <c r="B13035" s="73"/>
    </row>
    <row r="13036" spans="2:2" x14ac:dyDescent="0.25">
      <c r="B13036" s="73"/>
    </row>
    <row r="13037" spans="2:2" x14ac:dyDescent="0.25">
      <c r="B13037" s="73"/>
    </row>
    <row r="13038" spans="2:2" x14ac:dyDescent="0.25">
      <c r="B13038" s="73"/>
    </row>
    <row r="13039" spans="2:2" x14ac:dyDescent="0.25">
      <c r="B13039" s="73"/>
    </row>
    <row r="13040" spans="2:2" x14ac:dyDescent="0.25">
      <c r="B13040" s="73"/>
    </row>
    <row r="13041" spans="2:2" x14ac:dyDescent="0.25">
      <c r="B13041" s="73"/>
    </row>
    <row r="13042" spans="2:2" x14ac:dyDescent="0.25">
      <c r="B13042" s="73"/>
    </row>
    <row r="13043" spans="2:2" x14ac:dyDescent="0.25">
      <c r="B13043" s="73"/>
    </row>
    <row r="13044" spans="2:2" x14ac:dyDescent="0.25">
      <c r="B13044" s="73"/>
    </row>
    <row r="13045" spans="2:2" x14ac:dyDescent="0.25">
      <c r="B13045" s="73"/>
    </row>
    <row r="13046" spans="2:2" x14ac:dyDescent="0.25">
      <c r="B13046" s="73"/>
    </row>
    <row r="13047" spans="2:2" x14ac:dyDescent="0.25">
      <c r="B13047" s="73"/>
    </row>
    <row r="13048" spans="2:2" x14ac:dyDescent="0.25">
      <c r="B13048" s="73"/>
    </row>
    <row r="13049" spans="2:2" x14ac:dyDescent="0.25">
      <c r="B13049" s="73"/>
    </row>
    <row r="13050" spans="2:2" x14ac:dyDescent="0.25">
      <c r="B13050" s="73"/>
    </row>
    <row r="13051" spans="2:2" x14ac:dyDescent="0.25">
      <c r="B13051" s="73"/>
    </row>
    <row r="13052" spans="2:2" x14ac:dyDescent="0.25">
      <c r="B13052" s="73"/>
    </row>
    <row r="13053" spans="2:2" x14ac:dyDescent="0.25">
      <c r="B13053" s="73"/>
    </row>
    <row r="13054" spans="2:2" x14ac:dyDescent="0.25">
      <c r="B13054" s="73"/>
    </row>
    <row r="13055" spans="2:2" x14ac:dyDescent="0.25">
      <c r="B13055" s="73"/>
    </row>
    <row r="13056" spans="2:2" x14ac:dyDescent="0.25">
      <c r="B13056" s="73"/>
    </row>
    <row r="13057" spans="2:2" x14ac:dyDescent="0.25">
      <c r="B13057" s="73"/>
    </row>
    <row r="13058" spans="2:2" x14ac:dyDescent="0.25">
      <c r="B13058" s="73"/>
    </row>
    <row r="13059" spans="2:2" x14ac:dyDescent="0.25">
      <c r="B13059" s="73"/>
    </row>
    <row r="13060" spans="2:2" x14ac:dyDescent="0.25">
      <c r="B13060" s="73"/>
    </row>
    <row r="13061" spans="2:2" x14ac:dyDescent="0.25">
      <c r="B13061" s="73"/>
    </row>
    <row r="13062" spans="2:2" x14ac:dyDescent="0.25">
      <c r="B13062" s="73"/>
    </row>
    <row r="13063" spans="2:2" x14ac:dyDescent="0.25">
      <c r="B13063" s="73"/>
    </row>
    <row r="13064" spans="2:2" x14ac:dyDescent="0.25">
      <c r="B13064" s="73"/>
    </row>
    <row r="13065" spans="2:2" x14ac:dyDescent="0.25">
      <c r="B13065" s="73"/>
    </row>
    <row r="13066" spans="2:2" x14ac:dyDescent="0.25">
      <c r="B13066" s="73"/>
    </row>
    <row r="13067" spans="2:2" x14ac:dyDescent="0.25">
      <c r="B13067" s="73"/>
    </row>
    <row r="13068" spans="2:2" x14ac:dyDescent="0.25">
      <c r="B13068" s="73"/>
    </row>
    <row r="13069" spans="2:2" x14ac:dyDescent="0.25">
      <c r="B13069" s="73"/>
    </row>
    <row r="13070" spans="2:2" x14ac:dyDescent="0.25">
      <c r="B13070" s="73"/>
    </row>
    <row r="13071" spans="2:2" x14ac:dyDescent="0.25">
      <c r="B13071" s="73"/>
    </row>
    <row r="13072" spans="2:2" x14ac:dyDescent="0.25">
      <c r="B13072" s="73"/>
    </row>
    <row r="13073" spans="2:2" x14ac:dyDescent="0.25">
      <c r="B13073" s="73"/>
    </row>
    <row r="13074" spans="2:2" x14ac:dyDescent="0.25">
      <c r="B13074" s="73"/>
    </row>
    <row r="13075" spans="2:2" x14ac:dyDescent="0.25">
      <c r="B13075" s="73"/>
    </row>
    <row r="13076" spans="2:2" x14ac:dyDescent="0.25">
      <c r="B13076" s="73"/>
    </row>
    <row r="13077" spans="2:2" x14ac:dyDescent="0.25">
      <c r="B13077" s="73"/>
    </row>
    <row r="13078" spans="2:2" x14ac:dyDescent="0.25">
      <c r="B13078" s="73"/>
    </row>
    <row r="13079" spans="2:2" x14ac:dyDescent="0.25">
      <c r="B13079" s="73"/>
    </row>
    <row r="13080" spans="2:2" x14ac:dyDescent="0.25">
      <c r="B13080" s="73"/>
    </row>
    <row r="13081" spans="2:2" x14ac:dyDescent="0.25">
      <c r="B13081" s="73"/>
    </row>
    <row r="13082" spans="2:2" x14ac:dyDescent="0.25">
      <c r="B13082" s="73"/>
    </row>
    <row r="13083" spans="2:2" x14ac:dyDescent="0.25">
      <c r="B13083" s="73"/>
    </row>
    <row r="13084" spans="2:2" x14ac:dyDescent="0.25">
      <c r="B13084" s="73"/>
    </row>
    <row r="13085" spans="2:2" x14ac:dyDescent="0.25">
      <c r="B13085" s="73"/>
    </row>
    <row r="13086" spans="2:2" x14ac:dyDescent="0.25">
      <c r="B13086" s="73"/>
    </row>
    <row r="13087" spans="2:2" x14ac:dyDescent="0.25">
      <c r="B13087" s="73"/>
    </row>
    <row r="13088" spans="2:2" x14ac:dyDescent="0.25">
      <c r="B13088" s="73"/>
    </row>
    <row r="13089" spans="2:2" x14ac:dyDescent="0.25">
      <c r="B13089" s="73"/>
    </row>
    <row r="13090" spans="2:2" x14ac:dyDescent="0.25">
      <c r="B13090" s="73"/>
    </row>
    <row r="13091" spans="2:2" x14ac:dyDescent="0.25">
      <c r="B13091" s="73"/>
    </row>
    <row r="13092" spans="2:2" x14ac:dyDescent="0.25">
      <c r="B13092" s="73"/>
    </row>
    <row r="13093" spans="2:2" x14ac:dyDescent="0.25">
      <c r="B13093" s="73"/>
    </row>
    <row r="13094" spans="2:2" x14ac:dyDescent="0.25">
      <c r="B13094" s="73"/>
    </row>
    <row r="13095" spans="2:2" x14ac:dyDescent="0.25">
      <c r="B13095" s="73"/>
    </row>
    <row r="13096" spans="2:2" x14ac:dyDescent="0.25">
      <c r="B13096" s="73"/>
    </row>
    <row r="13097" spans="2:2" x14ac:dyDescent="0.25">
      <c r="B13097" s="73"/>
    </row>
    <row r="13098" spans="2:2" x14ac:dyDescent="0.25">
      <c r="B13098" s="73"/>
    </row>
    <row r="13099" spans="2:2" x14ac:dyDescent="0.25">
      <c r="B13099" s="73"/>
    </row>
    <row r="13100" spans="2:2" x14ac:dyDescent="0.25">
      <c r="B13100" s="73"/>
    </row>
    <row r="13101" spans="2:2" x14ac:dyDescent="0.25">
      <c r="B13101" s="73"/>
    </row>
    <row r="13102" spans="2:2" x14ac:dyDescent="0.25">
      <c r="B13102" s="73"/>
    </row>
    <row r="13103" spans="2:2" x14ac:dyDescent="0.25">
      <c r="B13103" s="73"/>
    </row>
    <row r="13104" spans="2:2" x14ac:dyDescent="0.25">
      <c r="B13104" s="73"/>
    </row>
    <row r="13105" spans="2:2" x14ac:dyDescent="0.25">
      <c r="B13105" s="73"/>
    </row>
    <row r="13106" spans="2:2" x14ac:dyDescent="0.25">
      <c r="B13106" s="73"/>
    </row>
    <row r="13107" spans="2:2" x14ac:dyDescent="0.25">
      <c r="B13107" s="73"/>
    </row>
    <row r="13108" spans="2:2" x14ac:dyDescent="0.25">
      <c r="B13108" s="73"/>
    </row>
    <row r="13109" spans="2:2" x14ac:dyDescent="0.25">
      <c r="B13109" s="73"/>
    </row>
    <row r="13110" spans="2:2" x14ac:dyDescent="0.25">
      <c r="B13110" s="73"/>
    </row>
    <row r="13111" spans="2:2" x14ac:dyDescent="0.25">
      <c r="B13111" s="73"/>
    </row>
    <row r="13112" spans="2:2" x14ac:dyDescent="0.25">
      <c r="B13112" s="73"/>
    </row>
    <row r="13113" spans="2:2" x14ac:dyDescent="0.25">
      <c r="B13113" s="73"/>
    </row>
    <row r="13114" spans="2:2" x14ac:dyDescent="0.25">
      <c r="B13114" s="73"/>
    </row>
    <row r="13115" spans="2:2" x14ac:dyDescent="0.25">
      <c r="B13115" s="73"/>
    </row>
    <row r="13116" spans="2:2" x14ac:dyDescent="0.25">
      <c r="B13116" s="73"/>
    </row>
    <row r="13117" spans="2:2" x14ac:dyDescent="0.25">
      <c r="B13117" s="73"/>
    </row>
    <row r="13118" spans="2:2" x14ac:dyDescent="0.25">
      <c r="B13118" s="73"/>
    </row>
    <row r="13119" spans="2:2" x14ac:dyDescent="0.25">
      <c r="B13119" s="73"/>
    </row>
    <row r="13120" spans="2:2" x14ac:dyDescent="0.25">
      <c r="B13120" s="73"/>
    </row>
    <row r="13121" spans="2:2" x14ac:dyDescent="0.25">
      <c r="B13121" s="73"/>
    </row>
    <row r="13122" spans="2:2" x14ac:dyDescent="0.25">
      <c r="B13122" s="73"/>
    </row>
    <row r="13123" spans="2:2" x14ac:dyDescent="0.25">
      <c r="B13123" s="73"/>
    </row>
    <row r="13124" spans="2:2" x14ac:dyDescent="0.25">
      <c r="B13124" s="73"/>
    </row>
    <row r="13125" spans="2:2" x14ac:dyDescent="0.25">
      <c r="B13125" s="73"/>
    </row>
    <row r="13126" spans="2:2" x14ac:dyDescent="0.25">
      <c r="B13126" s="73"/>
    </row>
    <row r="13127" spans="2:2" x14ac:dyDescent="0.25">
      <c r="B13127" s="73"/>
    </row>
    <row r="13128" spans="2:2" x14ac:dyDescent="0.25">
      <c r="B13128" s="73"/>
    </row>
    <row r="13129" spans="2:2" x14ac:dyDescent="0.25">
      <c r="B13129" s="73"/>
    </row>
    <row r="13130" spans="2:2" x14ac:dyDescent="0.25">
      <c r="B13130" s="73"/>
    </row>
    <row r="13131" spans="2:2" x14ac:dyDescent="0.25">
      <c r="B13131" s="73"/>
    </row>
    <row r="13132" spans="2:2" x14ac:dyDescent="0.25">
      <c r="B13132" s="73"/>
    </row>
    <row r="13133" spans="2:2" x14ac:dyDescent="0.25">
      <c r="B13133" s="73"/>
    </row>
    <row r="13134" spans="2:2" x14ac:dyDescent="0.25">
      <c r="B13134" s="73"/>
    </row>
    <row r="13135" spans="2:2" x14ac:dyDescent="0.25">
      <c r="B13135" s="73"/>
    </row>
    <row r="13136" spans="2:2" x14ac:dyDescent="0.25">
      <c r="B13136" s="73"/>
    </row>
    <row r="13137" spans="2:2" x14ac:dyDescent="0.25">
      <c r="B13137" s="73"/>
    </row>
    <row r="13138" spans="2:2" x14ac:dyDescent="0.25">
      <c r="B13138" s="73"/>
    </row>
    <row r="13139" spans="2:2" x14ac:dyDescent="0.25">
      <c r="B13139" s="73"/>
    </row>
    <row r="13140" spans="2:2" x14ac:dyDescent="0.25">
      <c r="B13140" s="73"/>
    </row>
    <row r="13141" spans="2:2" x14ac:dyDescent="0.25">
      <c r="B13141" s="73"/>
    </row>
    <row r="13142" spans="2:2" x14ac:dyDescent="0.25">
      <c r="B13142" s="73"/>
    </row>
    <row r="13143" spans="2:2" x14ac:dyDescent="0.25">
      <c r="B13143" s="73"/>
    </row>
    <row r="13144" spans="2:2" x14ac:dyDescent="0.25">
      <c r="B13144" s="73"/>
    </row>
    <row r="13145" spans="2:2" x14ac:dyDescent="0.25">
      <c r="B13145" s="73"/>
    </row>
    <row r="13146" spans="2:2" x14ac:dyDescent="0.25">
      <c r="B13146" s="73"/>
    </row>
    <row r="13147" spans="2:2" x14ac:dyDescent="0.25">
      <c r="B13147" s="73"/>
    </row>
    <row r="13148" spans="2:2" x14ac:dyDescent="0.25">
      <c r="B13148" s="73"/>
    </row>
    <row r="13149" spans="2:2" x14ac:dyDescent="0.25">
      <c r="B13149" s="73"/>
    </row>
    <row r="13150" spans="2:2" x14ac:dyDescent="0.25">
      <c r="B13150" s="73"/>
    </row>
    <row r="13151" spans="2:2" x14ac:dyDescent="0.25">
      <c r="B13151" s="73"/>
    </row>
    <row r="13152" spans="2:2" x14ac:dyDescent="0.25">
      <c r="B13152" s="73"/>
    </row>
    <row r="13153" spans="2:2" x14ac:dyDescent="0.25">
      <c r="B13153" s="73"/>
    </row>
    <row r="13154" spans="2:2" x14ac:dyDescent="0.25">
      <c r="B13154" s="73"/>
    </row>
    <row r="13155" spans="2:2" x14ac:dyDescent="0.25">
      <c r="B13155" s="73"/>
    </row>
    <row r="13156" spans="2:2" x14ac:dyDescent="0.25">
      <c r="B13156" s="73"/>
    </row>
    <row r="13157" spans="2:2" x14ac:dyDescent="0.25">
      <c r="B13157" s="73"/>
    </row>
    <row r="13158" spans="2:2" x14ac:dyDescent="0.25">
      <c r="B13158" s="73"/>
    </row>
    <row r="13159" spans="2:2" x14ac:dyDescent="0.25">
      <c r="B13159" s="73"/>
    </row>
    <row r="13160" spans="2:2" x14ac:dyDescent="0.25">
      <c r="B13160" s="73"/>
    </row>
    <row r="13161" spans="2:2" x14ac:dyDescent="0.25">
      <c r="B13161" s="73"/>
    </row>
    <row r="13162" spans="2:2" x14ac:dyDescent="0.25">
      <c r="B13162" s="73"/>
    </row>
    <row r="13163" spans="2:2" x14ac:dyDescent="0.25">
      <c r="B13163" s="73"/>
    </row>
    <row r="13164" spans="2:2" x14ac:dyDescent="0.25">
      <c r="B13164" s="73"/>
    </row>
    <row r="13165" spans="2:2" x14ac:dyDescent="0.25">
      <c r="B13165" s="73"/>
    </row>
    <row r="13166" spans="2:2" x14ac:dyDescent="0.25">
      <c r="B13166" s="73"/>
    </row>
    <row r="13167" spans="2:2" x14ac:dyDescent="0.25">
      <c r="B13167" s="73"/>
    </row>
    <row r="13168" spans="2:2" x14ac:dyDescent="0.25">
      <c r="B13168" s="73"/>
    </row>
    <row r="13169" spans="2:2" x14ac:dyDescent="0.25">
      <c r="B13169" s="73"/>
    </row>
    <row r="13170" spans="2:2" x14ac:dyDescent="0.25">
      <c r="B13170" s="73"/>
    </row>
    <row r="13171" spans="2:2" x14ac:dyDescent="0.25">
      <c r="B13171" s="73"/>
    </row>
    <row r="13172" spans="2:2" x14ac:dyDescent="0.25">
      <c r="B13172" s="73"/>
    </row>
    <row r="13173" spans="2:2" x14ac:dyDescent="0.25">
      <c r="B13173" s="73"/>
    </row>
    <row r="13174" spans="2:2" x14ac:dyDescent="0.25">
      <c r="B13174" s="73"/>
    </row>
    <row r="13175" spans="2:2" x14ac:dyDescent="0.25">
      <c r="B13175" s="73"/>
    </row>
    <row r="13176" spans="2:2" x14ac:dyDescent="0.25">
      <c r="B13176" s="73"/>
    </row>
    <row r="13177" spans="2:2" x14ac:dyDescent="0.25">
      <c r="B13177" s="73"/>
    </row>
    <row r="13178" spans="2:2" x14ac:dyDescent="0.25">
      <c r="B13178" s="73"/>
    </row>
    <row r="13179" spans="2:2" x14ac:dyDescent="0.25">
      <c r="B13179" s="73"/>
    </row>
    <row r="13180" spans="2:2" x14ac:dyDescent="0.25">
      <c r="B13180" s="73"/>
    </row>
    <row r="13181" spans="2:2" x14ac:dyDescent="0.25">
      <c r="B13181" s="73"/>
    </row>
    <row r="13182" spans="2:2" x14ac:dyDescent="0.25">
      <c r="B13182" s="73"/>
    </row>
    <row r="13183" spans="2:2" x14ac:dyDescent="0.25">
      <c r="B13183" s="73"/>
    </row>
    <row r="13184" spans="2:2" x14ac:dyDescent="0.25">
      <c r="B13184" s="73"/>
    </row>
    <row r="13185" spans="2:2" x14ac:dyDescent="0.25">
      <c r="B13185" s="73"/>
    </row>
    <row r="13186" spans="2:2" x14ac:dyDescent="0.25">
      <c r="B13186" s="73"/>
    </row>
    <row r="13187" spans="2:2" x14ac:dyDescent="0.25">
      <c r="B13187" s="73"/>
    </row>
    <row r="13188" spans="2:2" x14ac:dyDescent="0.25">
      <c r="B13188" s="73"/>
    </row>
    <row r="13189" spans="2:2" x14ac:dyDescent="0.25">
      <c r="B13189" s="73"/>
    </row>
    <row r="13190" spans="2:2" x14ac:dyDescent="0.25">
      <c r="B13190" s="73"/>
    </row>
    <row r="13191" spans="2:2" x14ac:dyDescent="0.25">
      <c r="B13191" s="73"/>
    </row>
    <row r="13192" spans="2:2" x14ac:dyDescent="0.25">
      <c r="B13192" s="73"/>
    </row>
    <row r="13193" spans="2:2" x14ac:dyDescent="0.25">
      <c r="B13193" s="73"/>
    </row>
    <row r="13194" spans="2:2" x14ac:dyDescent="0.25">
      <c r="B13194" s="73"/>
    </row>
    <row r="13195" spans="2:2" x14ac:dyDescent="0.25">
      <c r="B13195" s="73"/>
    </row>
    <row r="13196" spans="2:2" x14ac:dyDescent="0.25">
      <c r="B13196" s="73"/>
    </row>
    <row r="13197" spans="2:2" x14ac:dyDescent="0.25">
      <c r="B13197" s="73"/>
    </row>
    <row r="13198" spans="2:2" x14ac:dyDescent="0.25">
      <c r="B13198" s="73"/>
    </row>
    <row r="13199" spans="2:2" x14ac:dyDescent="0.25">
      <c r="B13199" s="73"/>
    </row>
    <row r="13200" spans="2:2" x14ac:dyDescent="0.25">
      <c r="B13200" s="73"/>
    </row>
    <row r="13201" spans="2:2" x14ac:dyDescent="0.25">
      <c r="B13201" s="73"/>
    </row>
    <row r="13202" spans="2:2" x14ac:dyDescent="0.25">
      <c r="B13202" s="73"/>
    </row>
    <row r="13203" spans="2:2" x14ac:dyDescent="0.25">
      <c r="B13203" s="73"/>
    </row>
    <row r="13204" spans="2:2" x14ac:dyDescent="0.25">
      <c r="B13204" s="73"/>
    </row>
    <row r="13205" spans="2:2" x14ac:dyDescent="0.25">
      <c r="B13205" s="73"/>
    </row>
    <row r="13206" spans="2:2" x14ac:dyDescent="0.25">
      <c r="B13206" s="73"/>
    </row>
    <row r="13207" spans="2:2" x14ac:dyDescent="0.25">
      <c r="B13207" s="73"/>
    </row>
    <row r="13208" spans="2:2" x14ac:dyDescent="0.25">
      <c r="B13208" s="73"/>
    </row>
    <row r="13209" spans="2:2" x14ac:dyDescent="0.25">
      <c r="B13209" s="73"/>
    </row>
    <row r="13210" spans="2:2" x14ac:dyDescent="0.25">
      <c r="B13210" s="73"/>
    </row>
    <row r="13211" spans="2:2" x14ac:dyDescent="0.25">
      <c r="B13211" s="73"/>
    </row>
    <row r="13212" spans="2:2" x14ac:dyDescent="0.25">
      <c r="B13212" s="73"/>
    </row>
    <row r="13213" spans="2:2" x14ac:dyDescent="0.25">
      <c r="B13213" s="73"/>
    </row>
    <row r="13214" spans="2:2" x14ac:dyDescent="0.25">
      <c r="B13214" s="73"/>
    </row>
    <row r="13215" spans="2:2" x14ac:dyDescent="0.25">
      <c r="B13215" s="73"/>
    </row>
    <row r="13216" spans="2:2" x14ac:dyDescent="0.25">
      <c r="B13216" s="73"/>
    </row>
    <row r="13217" spans="2:2" x14ac:dyDescent="0.25">
      <c r="B13217" s="73"/>
    </row>
    <row r="13218" spans="2:2" x14ac:dyDescent="0.25">
      <c r="B13218" s="73"/>
    </row>
    <row r="13219" spans="2:2" x14ac:dyDescent="0.25">
      <c r="B13219" s="73"/>
    </row>
    <row r="13220" spans="2:2" x14ac:dyDescent="0.25">
      <c r="B13220" s="73"/>
    </row>
    <row r="13221" spans="2:2" x14ac:dyDescent="0.25">
      <c r="B13221" s="73"/>
    </row>
    <row r="13222" spans="2:2" x14ac:dyDescent="0.25">
      <c r="B13222" s="73"/>
    </row>
    <row r="13223" spans="2:2" x14ac:dyDescent="0.25">
      <c r="B13223" s="73"/>
    </row>
    <row r="13224" spans="2:2" x14ac:dyDescent="0.25">
      <c r="B13224" s="73"/>
    </row>
    <row r="13225" spans="2:2" x14ac:dyDescent="0.25">
      <c r="B13225" s="73"/>
    </row>
    <row r="13226" spans="2:2" x14ac:dyDescent="0.25">
      <c r="B13226" s="73"/>
    </row>
    <row r="13227" spans="2:2" x14ac:dyDescent="0.25">
      <c r="B13227" s="73"/>
    </row>
    <row r="13228" spans="2:2" x14ac:dyDescent="0.25">
      <c r="B13228" s="73"/>
    </row>
    <row r="13229" spans="2:2" x14ac:dyDescent="0.25">
      <c r="B13229" s="73"/>
    </row>
    <row r="13230" spans="2:2" x14ac:dyDescent="0.25">
      <c r="B13230" s="73"/>
    </row>
    <row r="13231" spans="2:2" x14ac:dyDescent="0.25">
      <c r="B13231" s="73"/>
    </row>
    <row r="13232" spans="2:2" x14ac:dyDescent="0.25">
      <c r="B13232" s="73"/>
    </row>
    <row r="13233" spans="2:2" x14ac:dyDescent="0.25">
      <c r="B13233" s="73"/>
    </row>
    <row r="13234" spans="2:2" x14ac:dyDescent="0.25">
      <c r="B13234" s="73"/>
    </row>
    <row r="13235" spans="2:2" x14ac:dyDescent="0.25">
      <c r="B13235" s="73"/>
    </row>
    <row r="13236" spans="2:2" x14ac:dyDescent="0.25">
      <c r="B13236" s="73"/>
    </row>
    <row r="13237" spans="2:2" x14ac:dyDescent="0.25">
      <c r="B13237" s="73"/>
    </row>
    <row r="13238" spans="2:2" x14ac:dyDescent="0.25">
      <c r="B13238" s="73"/>
    </row>
    <row r="13239" spans="2:2" x14ac:dyDescent="0.25">
      <c r="B13239" s="73"/>
    </row>
    <row r="13240" spans="2:2" x14ac:dyDescent="0.25">
      <c r="B13240" s="73"/>
    </row>
    <row r="13241" spans="2:2" x14ac:dyDescent="0.25">
      <c r="B13241" s="73"/>
    </row>
    <row r="13242" spans="2:2" x14ac:dyDescent="0.25">
      <c r="B13242" s="73"/>
    </row>
    <row r="13243" spans="2:2" x14ac:dyDescent="0.25">
      <c r="B13243" s="73"/>
    </row>
    <row r="13244" spans="2:2" x14ac:dyDescent="0.25">
      <c r="B13244" s="73"/>
    </row>
    <row r="13245" spans="2:2" x14ac:dyDescent="0.25">
      <c r="B13245" s="73"/>
    </row>
    <row r="13246" spans="2:2" x14ac:dyDescent="0.25">
      <c r="B13246" s="73"/>
    </row>
    <row r="13247" spans="2:2" x14ac:dyDescent="0.25">
      <c r="B13247" s="73"/>
    </row>
    <row r="13248" spans="2:2" x14ac:dyDescent="0.25">
      <c r="B13248" s="73"/>
    </row>
    <row r="13249" spans="2:2" x14ac:dyDescent="0.25">
      <c r="B13249" s="73"/>
    </row>
    <row r="13250" spans="2:2" x14ac:dyDescent="0.25">
      <c r="B13250" s="73"/>
    </row>
    <row r="13251" spans="2:2" x14ac:dyDescent="0.25">
      <c r="B13251" s="73"/>
    </row>
    <row r="13252" spans="2:2" x14ac:dyDescent="0.25">
      <c r="B13252" s="73"/>
    </row>
    <row r="13253" spans="2:2" x14ac:dyDescent="0.25">
      <c r="B13253" s="73"/>
    </row>
    <row r="13254" spans="2:2" x14ac:dyDescent="0.25">
      <c r="B13254" s="73"/>
    </row>
    <row r="13255" spans="2:2" x14ac:dyDescent="0.25">
      <c r="B13255" s="73"/>
    </row>
    <row r="13256" spans="2:2" x14ac:dyDescent="0.25">
      <c r="B13256" s="73"/>
    </row>
    <row r="13257" spans="2:2" x14ac:dyDescent="0.25">
      <c r="B13257" s="73"/>
    </row>
    <row r="13258" spans="2:2" x14ac:dyDescent="0.25">
      <c r="B13258" s="73"/>
    </row>
    <row r="13259" spans="2:2" x14ac:dyDescent="0.25">
      <c r="B13259" s="73"/>
    </row>
    <row r="13260" spans="2:2" x14ac:dyDescent="0.25">
      <c r="B13260" s="73"/>
    </row>
    <row r="13261" spans="2:2" x14ac:dyDescent="0.25">
      <c r="B13261" s="73"/>
    </row>
    <row r="13262" spans="2:2" x14ac:dyDescent="0.25">
      <c r="B13262" s="73"/>
    </row>
    <row r="13263" spans="2:2" x14ac:dyDescent="0.25">
      <c r="B13263" s="73"/>
    </row>
    <row r="13264" spans="2:2" x14ac:dyDescent="0.25">
      <c r="B13264" s="73"/>
    </row>
    <row r="13265" spans="2:2" x14ac:dyDescent="0.25">
      <c r="B13265" s="73"/>
    </row>
    <row r="13266" spans="2:2" x14ac:dyDescent="0.25">
      <c r="B13266" s="73"/>
    </row>
    <row r="13267" spans="2:2" x14ac:dyDescent="0.25">
      <c r="B13267" s="73"/>
    </row>
    <row r="13268" spans="2:2" x14ac:dyDescent="0.25">
      <c r="B13268" s="73"/>
    </row>
    <row r="13269" spans="2:2" x14ac:dyDescent="0.25">
      <c r="B13269" s="73"/>
    </row>
    <row r="13270" spans="2:2" x14ac:dyDescent="0.25">
      <c r="B13270" s="73"/>
    </row>
    <row r="13271" spans="2:2" x14ac:dyDescent="0.25">
      <c r="B13271" s="73"/>
    </row>
    <row r="13272" spans="2:2" x14ac:dyDescent="0.25">
      <c r="B13272" s="73"/>
    </row>
    <row r="13273" spans="2:2" x14ac:dyDescent="0.25">
      <c r="B13273" s="73"/>
    </row>
    <row r="13274" spans="2:2" x14ac:dyDescent="0.25">
      <c r="B13274" s="73"/>
    </row>
    <row r="13275" spans="2:2" x14ac:dyDescent="0.25">
      <c r="B13275" s="73"/>
    </row>
    <row r="13276" spans="2:2" x14ac:dyDescent="0.25">
      <c r="B13276" s="73"/>
    </row>
    <row r="13277" spans="2:2" x14ac:dyDescent="0.25">
      <c r="B13277" s="73"/>
    </row>
    <row r="13278" spans="2:2" x14ac:dyDescent="0.25">
      <c r="B13278" s="73"/>
    </row>
    <row r="13279" spans="2:2" x14ac:dyDescent="0.25">
      <c r="B13279" s="73"/>
    </row>
    <row r="13280" spans="2:2" x14ac:dyDescent="0.25">
      <c r="B13280" s="73"/>
    </row>
    <row r="13281" spans="2:2" x14ac:dyDescent="0.25">
      <c r="B13281" s="73"/>
    </row>
    <row r="13282" spans="2:2" x14ac:dyDescent="0.25">
      <c r="B13282" s="73"/>
    </row>
    <row r="13283" spans="2:2" x14ac:dyDescent="0.25">
      <c r="B13283" s="73"/>
    </row>
    <row r="13284" spans="2:2" x14ac:dyDescent="0.25">
      <c r="B13284" s="73"/>
    </row>
    <row r="13285" spans="2:2" x14ac:dyDescent="0.25">
      <c r="B13285" s="73"/>
    </row>
    <row r="13286" spans="2:2" x14ac:dyDescent="0.25">
      <c r="B13286" s="73"/>
    </row>
    <row r="13287" spans="2:2" x14ac:dyDescent="0.25">
      <c r="B13287" s="73"/>
    </row>
    <row r="13288" spans="2:2" x14ac:dyDescent="0.25">
      <c r="B13288" s="73"/>
    </row>
    <row r="13289" spans="2:2" x14ac:dyDescent="0.25">
      <c r="B13289" s="73"/>
    </row>
    <row r="13290" spans="2:2" x14ac:dyDescent="0.25">
      <c r="B13290" s="73"/>
    </row>
    <row r="13291" spans="2:2" x14ac:dyDescent="0.25">
      <c r="B13291" s="73"/>
    </row>
    <row r="13292" spans="2:2" x14ac:dyDescent="0.25">
      <c r="B13292" s="73"/>
    </row>
    <row r="13293" spans="2:2" x14ac:dyDescent="0.25">
      <c r="B13293" s="73"/>
    </row>
    <row r="13294" spans="2:2" x14ac:dyDescent="0.25">
      <c r="B13294" s="73"/>
    </row>
    <row r="13295" spans="2:2" x14ac:dyDescent="0.25">
      <c r="B13295" s="73"/>
    </row>
    <row r="13296" spans="2:2" x14ac:dyDescent="0.25">
      <c r="B13296" s="73"/>
    </row>
    <row r="13297" spans="2:2" x14ac:dyDescent="0.25">
      <c r="B13297" s="73"/>
    </row>
    <row r="13298" spans="2:2" x14ac:dyDescent="0.25">
      <c r="B13298" s="73"/>
    </row>
    <row r="13299" spans="2:2" x14ac:dyDescent="0.25">
      <c r="B13299" s="73"/>
    </row>
    <row r="13300" spans="2:2" x14ac:dyDescent="0.25">
      <c r="B13300" s="73"/>
    </row>
    <row r="13301" spans="2:2" x14ac:dyDescent="0.25">
      <c r="B13301" s="73"/>
    </row>
    <row r="13302" spans="2:2" x14ac:dyDescent="0.25">
      <c r="B13302" s="73"/>
    </row>
    <row r="13303" spans="2:2" x14ac:dyDescent="0.25">
      <c r="B13303" s="73"/>
    </row>
    <row r="13304" spans="2:2" x14ac:dyDescent="0.25">
      <c r="B13304" s="73"/>
    </row>
    <row r="13305" spans="2:2" x14ac:dyDescent="0.25">
      <c r="B13305" s="73"/>
    </row>
    <row r="13306" spans="2:2" x14ac:dyDescent="0.25">
      <c r="B13306" s="73"/>
    </row>
    <row r="13307" spans="2:2" x14ac:dyDescent="0.25">
      <c r="B13307" s="73"/>
    </row>
    <row r="13308" spans="2:2" x14ac:dyDescent="0.25">
      <c r="B13308" s="73"/>
    </row>
    <row r="13309" spans="2:2" x14ac:dyDescent="0.25">
      <c r="B13309" s="73"/>
    </row>
    <row r="13310" spans="2:2" x14ac:dyDescent="0.25">
      <c r="B13310" s="73"/>
    </row>
    <row r="13311" spans="2:2" x14ac:dyDescent="0.25">
      <c r="B13311" s="73"/>
    </row>
    <row r="13312" spans="2:2" x14ac:dyDescent="0.25">
      <c r="B13312" s="73"/>
    </row>
    <row r="13313" spans="2:2" x14ac:dyDescent="0.25">
      <c r="B13313" s="73"/>
    </row>
    <row r="13314" spans="2:2" x14ac:dyDescent="0.25">
      <c r="B13314" s="73"/>
    </row>
    <row r="13315" spans="2:2" x14ac:dyDescent="0.25">
      <c r="B13315" s="73"/>
    </row>
    <row r="13316" spans="2:2" x14ac:dyDescent="0.25">
      <c r="B13316" s="73"/>
    </row>
    <row r="13317" spans="2:2" x14ac:dyDescent="0.25">
      <c r="B13317" s="73"/>
    </row>
    <row r="13318" spans="2:2" x14ac:dyDescent="0.25">
      <c r="B13318" s="73"/>
    </row>
    <row r="13319" spans="2:2" x14ac:dyDescent="0.25">
      <c r="B13319" s="73"/>
    </row>
    <row r="13320" spans="2:2" x14ac:dyDescent="0.25">
      <c r="B13320" s="73"/>
    </row>
    <row r="13321" spans="2:2" x14ac:dyDescent="0.25">
      <c r="B13321" s="73"/>
    </row>
    <row r="13322" spans="2:2" x14ac:dyDescent="0.25">
      <c r="B13322" s="73"/>
    </row>
    <row r="13323" spans="2:2" x14ac:dyDescent="0.25">
      <c r="B13323" s="73"/>
    </row>
    <row r="13324" spans="2:2" x14ac:dyDescent="0.25">
      <c r="B13324" s="73"/>
    </row>
    <row r="13325" spans="2:2" x14ac:dyDescent="0.25">
      <c r="B13325" s="73"/>
    </row>
    <row r="13326" spans="2:2" x14ac:dyDescent="0.25">
      <c r="B13326" s="73"/>
    </row>
    <row r="13327" spans="2:2" x14ac:dyDescent="0.25">
      <c r="B13327" s="73"/>
    </row>
    <row r="13328" spans="2:2" x14ac:dyDescent="0.25">
      <c r="B13328" s="73"/>
    </row>
    <row r="13329" spans="2:2" x14ac:dyDescent="0.25">
      <c r="B13329" s="73"/>
    </row>
    <row r="13330" spans="2:2" x14ac:dyDescent="0.25">
      <c r="B13330" s="73"/>
    </row>
    <row r="13331" spans="2:2" x14ac:dyDescent="0.25">
      <c r="B13331" s="73"/>
    </row>
    <row r="13332" spans="2:2" x14ac:dyDescent="0.25">
      <c r="B13332" s="73"/>
    </row>
    <row r="13333" spans="2:2" x14ac:dyDescent="0.25">
      <c r="B13333" s="73"/>
    </row>
    <row r="13334" spans="2:2" x14ac:dyDescent="0.25">
      <c r="B13334" s="73"/>
    </row>
    <row r="13335" spans="2:2" x14ac:dyDescent="0.25">
      <c r="B13335" s="73"/>
    </row>
    <row r="13336" spans="2:2" x14ac:dyDescent="0.25">
      <c r="B13336" s="73"/>
    </row>
    <row r="13337" spans="2:2" x14ac:dyDescent="0.25">
      <c r="B13337" s="73"/>
    </row>
    <row r="13338" spans="2:2" x14ac:dyDescent="0.25">
      <c r="B13338" s="73"/>
    </row>
    <row r="13339" spans="2:2" x14ac:dyDescent="0.25">
      <c r="B13339" s="73"/>
    </row>
    <row r="13340" spans="2:2" x14ac:dyDescent="0.25">
      <c r="B13340" s="73"/>
    </row>
    <row r="13341" spans="2:2" x14ac:dyDescent="0.25">
      <c r="B13341" s="73"/>
    </row>
    <row r="13342" spans="2:2" x14ac:dyDescent="0.25">
      <c r="B13342" s="73"/>
    </row>
    <row r="13343" spans="2:2" x14ac:dyDescent="0.25">
      <c r="B13343" s="73"/>
    </row>
    <row r="13344" spans="2:2" x14ac:dyDescent="0.25">
      <c r="B13344" s="73"/>
    </row>
    <row r="13345" spans="2:2" x14ac:dyDescent="0.25">
      <c r="B13345" s="73"/>
    </row>
    <row r="13346" spans="2:2" x14ac:dyDescent="0.25">
      <c r="B13346" s="73"/>
    </row>
    <row r="13347" spans="2:2" x14ac:dyDescent="0.25">
      <c r="B13347" s="73"/>
    </row>
    <row r="13348" spans="2:2" x14ac:dyDescent="0.25">
      <c r="B13348" s="73"/>
    </row>
    <row r="13349" spans="2:2" x14ac:dyDescent="0.25">
      <c r="B13349" s="73"/>
    </row>
    <row r="13350" spans="2:2" x14ac:dyDescent="0.25">
      <c r="B13350" s="73"/>
    </row>
    <row r="13351" spans="2:2" x14ac:dyDescent="0.25">
      <c r="B13351" s="73"/>
    </row>
    <row r="13352" spans="2:2" x14ac:dyDescent="0.25">
      <c r="B13352" s="73"/>
    </row>
    <row r="13353" spans="2:2" x14ac:dyDescent="0.25">
      <c r="B13353" s="73"/>
    </row>
    <row r="13354" spans="2:2" x14ac:dyDescent="0.25">
      <c r="B13354" s="73"/>
    </row>
    <row r="13355" spans="2:2" x14ac:dyDescent="0.25">
      <c r="B13355" s="73"/>
    </row>
    <row r="13356" spans="2:2" x14ac:dyDescent="0.25">
      <c r="B13356" s="73"/>
    </row>
    <row r="13357" spans="2:2" x14ac:dyDescent="0.25">
      <c r="B13357" s="73"/>
    </row>
    <row r="13358" spans="2:2" x14ac:dyDescent="0.25">
      <c r="B13358" s="73"/>
    </row>
    <row r="13359" spans="2:2" x14ac:dyDescent="0.25">
      <c r="B13359" s="73"/>
    </row>
    <row r="13360" spans="2:2" x14ac:dyDescent="0.25">
      <c r="B13360" s="73"/>
    </row>
    <row r="13361" spans="2:2" x14ac:dyDescent="0.25">
      <c r="B13361" s="73"/>
    </row>
    <row r="13362" spans="2:2" x14ac:dyDescent="0.25">
      <c r="B13362" s="73"/>
    </row>
    <row r="13363" spans="2:2" x14ac:dyDescent="0.25">
      <c r="B13363" s="73"/>
    </row>
    <row r="13364" spans="2:2" x14ac:dyDescent="0.25">
      <c r="B13364" s="73"/>
    </row>
    <row r="13365" spans="2:2" x14ac:dyDescent="0.25">
      <c r="B13365" s="73"/>
    </row>
    <row r="13366" spans="2:2" x14ac:dyDescent="0.25">
      <c r="B13366" s="73"/>
    </row>
    <row r="13367" spans="2:2" x14ac:dyDescent="0.25">
      <c r="B13367" s="73"/>
    </row>
    <row r="13368" spans="2:2" x14ac:dyDescent="0.25">
      <c r="B13368" s="73"/>
    </row>
    <row r="13369" spans="2:2" x14ac:dyDescent="0.25">
      <c r="B13369" s="73"/>
    </row>
    <row r="13370" spans="2:2" x14ac:dyDescent="0.25">
      <c r="B13370" s="73"/>
    </row>
    <row r="13371" spans="2:2" x14ac:dyDescent="0.25">
      <c r="B13371" s="73"/>
    </row>
    <row r="13372" spans="2:2" x14ac:dyDescent="0.25">
      <c r="B13372" s="73"/>
    </row>
    <row r="13373" spans="2:2" x14ac:dyDescent="0.25">
      <c r="B13373" s="73"/>
    </row>
    <row r="13374" spans="2:2" x14ac:dyDescent="0.25">
      <c r="B13374" s="73"/>
    </row>
    <row r="13375" spans="2:2" x14ac:dyDescent="0.25">
      <c r="B13375" s="73"/>
    </row>
    <row r="13376" spans="2:2" x14ac:dyDescent="0.25">
      <c r="B13376" s="73"/>
    </row>
    <row r="13377" spans="2:2" x14ac:dyDescent="0.25">
      <c r="B13377" s="73"/>
    </row>
    <row r="13378" spans="2:2" x14ac:dyDescent="0.25">
      <c r="B13378" s="73"/>
    </row>
    <row r="13379" spans="2:2" x14ac:dyDescent="0.25">
      <c r="B13379" s="73"/>
    </row>
    <row r="13380" spans="2:2" x14ac:dyDescent="0.25">
      <c r="B13380" s="73"/>
    </row>
    <row r="13381" spans="2:2" x14ac:dyDescent="0.25">
      <c r="B13381" s="73"/>
    </row>
    <row r="13382" spans="2:2" x14ac:dyDescent="0.25">
      <c r="B13382" s="73"/>
    </row>
    <row r="13383" spans="2:2" x14ac:dyDescent="0.25">
      <c r="B13383" s="73"/>
    </row>
    <row r="13384" spans="2:2" x14ac:dyDescent="0.25">
      <c r="B13384" s="73"/>
    </row>
    <row r="13385" spans="2:2" x14ac:dyDescent="0.25">
      <c r="B13385" s="73"/>
    </row>
    <row r="13386" spans="2:2" x14ac:dyDescent="0.25">
      <c r="B13386" s="73"/>
    </row>
    <row r="13387" spans="2:2" x14ac:dyDescent="0.25">
      <c r="B13387" s="73"/>
    </row>
    <row r="13388" spans="2:2" x14ac:dyDescent="0.25">
      <c r="B13388" s="73"/>
    </row>
    <row r="13389" spans="2:2" x14ac:dyDescent="0.25">
      <c r="B13389" s="73"/>
    </row>
    <row r="13390" spans="2:2" x14ac:dyDescent="0.25">
      <c r="B13390" s="73"/>
    </row>
    <row r="13391" spans="2:2" x14ac:dyDescent="0.25">
      <c r="B13391" s="73"/>
    </row>
    <row r="13392" spans="2:2" x14ac:dyDescent="0.25">
      <c r="B13392" s="73"/>
    </row>
    <row r="13393" spans="2:2" x14ac:dyDescent="0.25">
      <c r="B13393" s="73"/>
    </row>
    <row r="13394" spans="2:2" x14ac:dyDescent="0.25">
      <c r="B13394" s="73"/>
    </row>
    <row r="13395" spans="2:2" x14ac:dyDescent="0.25">
      <c r="B13395" s="73"/>
    </row>
    <row r="13396" spans="2:2" x14ac:dyDescent="0.25">
      <c r="B13396" s="73"/>
    </row>
    <row r="13397" spans="2:2" x14ac:dyDescent="0.25">
      <c r="B13397" s="73"/>
    </row>
    <row r="13398" spans="2:2" x14ac:dyDescent="0.25">
      <c r="B13398" s="73"/>
    </row>
    <row r="13399" spans="2:2" x14ac:dyDescent="0.25">
      <c r="B13399" s="73"/>
    </row>
    <row r="13400" spans="2:2" x14ac:dyDescent="0.25">
      <c r="B13400" s="73"/>
    </row>
    <row r="13401" spans="2:2" x14ac:dyDescent="0.25">
      <c r="B13401" s="73"/>
    </row>
    <row r="13402" spans="2:2" x14ac:dyDescent="0.25">
      <c r="B13402" s="73"/>
    </row>
    <row r="13403" spans="2:2" x14ac:dyDescent="0.25">
      <c r="B13403" s="73"/>
    </row>
    <row r="13404" spans="2:2" x14ac:dyDescent="0.25">
      <c r="B13404" s="73"/>
    </row>
    <row r="13405" spans="2:2" x14ac:dyDescent="0.25">
      <c r="B13405" s="73"/>
    </row>
    <row r="13406" spans="2:2" x14ac:dyDescent="0.25">
      <c r="B13406" s="73"/>
    </row>
    <row r="13407" spans="2:2" x14ac:dyDescent="0.25">
      <c r="B13407" s="73"/>
    </row>
    <row r="13408" spans="2:2" x14ac:dyDescent="0.25">
      <c r="B13408" s="73"/>
    </row>
    <row r="13409" spans="2:2" x14ac:dyDescent="0.25">
      <c r="B13409" s="73"/>
    </row>
    <row r="13410" spans="2:2" x14ac:dyDescent="0.25">
      <c r="B13410" s="73"/>
    </row>
    <row r="13411" spans="2:2" x14ac:dyDescent="0.25">
      <c r="B13411" s="73"/>
    </row>
    <row r="13412" spans="2:2" x14ac:dyDescent="0.25">
      <c r="B13412" s="73"/>
    </row>
    <row r="13413" spans="2:2" x14ac:dyDescent="0.25">
      <c r="B13413" s="73"/>
    </row>
    <row r="13414" spans="2:2" x14ac:dyDescent="0.25">
      <c r="B13414" s="73"/>
    </row>
    <row r="13415" spans="2:2" x14ac:dyDescent="0.25">
      <c r="B13415" s="73"/>
    </row>
    <row r="13416" spans="2:2" x14ac:dyDescent="0.25">
      <c r="B13416" s="73"/>
    </row>
    <row r="13417" spans="2:2" x14ac:dyDescent="0.25">
      <c r="B13417" s="73"/>
    </row>
    <row r="13418" spans="2:2" x14ac:dyDescent="0.25">
      <c r="B13418" s="73"/>
    </row>
    <row r="13419" spans="2:2" x14ac:dyDescent="0.25">
      <c r="B13419" s="73"/>
    </row>
    <row r="13420" spans="2:2" x14ac:dyDescent="0.25">
      <c r="B13420" s="73"/>
    </row>
    <row r="13421" spans="2:2" x14ac:dyDescent="0.25">
      <c r="B13421" s="73"/>
    </row>
    <row r="13422" spans="2:2" x14ac:dyDescent="0.25">
      <c r="B13422" s="73"/>
    </row>
    <row r="13423" spans="2:2" x14ac:dyDescent="0.25">
      <c r="B13423" s="73"/>
    </row>
    <row r="13424" spans="2:2" x14ac:dyDescent="0.25">
      <c r="B13424" s="73"/>
    </row>
    <row r="13425" spans="2:2" x14ac:dyDescent="0.25">
      <c r="B13425" s="73"/>
    </row>
    <row r="13426" spans="2:2" x14ac:dyDescent="0.25">
      <c r="B13426" s="73"/>
    </row>
    <row r="13427" spans="2:2" x14ac:dyDescent="0.25">
      <c r="B13427" s="73"/>
    </row>
    <row r="13428" spans="2:2" x14ac:dyDescent="0.25">
      <c r="B13428" s="73"/>
    </row>
    <row r="13429" spans="2:2" x14ac:dyDescent="0.25">
      <c r="B13429" s="73"/>
    </row>
    <row r="13430" spans="2:2" x14ac:dyDescent="0.25">
      <c r="B13430" s="73"/>
    </row>
    <row r="13431" spans="2:2" x14ac:dyDescent="0.25">
      <c r="B13431" s="73"/>
    </row>
    <row r="13432" spans="2:2" x14ac:dyDescent="0.25">
      <c r="B13432" s="73"/>
    </row>
    <row r="13433" spans="2:2" x14ac:dyDescent="0.25">
      <c r="B13433" s="73"/>
    </row>
    <row r="13434" spans="2:2" x14ac:dyDescent="0.25">
      <c r="B13434" s="73"/>
    </row>
    <row r="13435" spans="2:2" x14ac:dyDescent="0.25">
      <c r="B13435" s="73"/>
    </row>
    <row r="13436" spans="2:2" x14ac:dyDescent="0.25">
      <c r="B13436" s="73"/>
    </row>
    <row r="13437" spans="2:2" x14ac:dyDescent="0.25">
      <c r="B13437" s="73"/>
    </row>
    <row r="13438" spans="2:2" x14ac:dyDescent="0.25">
      <c r="B13438" s="73"/>
    </row>
    <row r="13439" spans="2:2" x14ac:dyDescent="0.25">
      <c r="B13439" s="73"/>
    </row>
    <row r="13440" spans="2:2" x14ac:dyDescent="0.25">
      <c r="B13440" s="73"/>
    </row>
    <row r="13441" spans="2:2" x14ac:dyDescent="0.25">
      <c r="B13441" s="73"/>
    </row>
    <row r="13442" spans="2:2" x14ac:dyDescent="0.25">
      <c r="B13442" s="73"/>
    </row>
    <row r="13443" spans="2:2" x14ac:dyDescent="0.25">
      <c r="B13443" s="73"/>
    </row>
    <row r="13444" spans="2:2" x14ac:dyDescent="0.25">
      <c r="B13444" s="73"/>
    </row>
    <row r="13445" spans="2:2" x14ac:dyDescent="0.25">
      <c r="B13445" s="73"/>
    </row>
    <row r="13446" spans="2:2" x14ac:dyDescent="0.25">
      <c r="B13446" s="73"/>
    </row>
    <row r="13447" spans="2:2" x14ac:dyDescent="0.25">
      <c r="B13447" s="73"/>
    </row>
    <row r="13448" spans="2:2" x14ac:dyDescent="0.25">
      <c r="B13448" s="73"/>
    </row>
    <row r="13449" spans="2:2" x14ac:dyDescent="0.25">
      <c r="B13449" s="73"/>
    </row>
    <row r="13450" spans="2:2" x14ac:dyDescent="0.25">
      <c r="B13450" s="73"/>
    </row>
    <row r="13451" spans="2:2" x14ac:dyDescent="0.25">
      <c r="B13451" s="73"/>
    </row>
    <row r="13452" spans="2:2" x14ac:dyDescent="0.25">
      <c r="B13452" s="73"/>
    </row>
    <row r="13453" spans="2:2" x14ac:dyDescent="0.25">
      <c r="B13453" s="73"/>
    </row>
    <row r="13454" spans="2:2" x14ac:dyDescent="0.25">
      <c r="B13454" s="73"/>
    </row>
    <row r="13455" spans="2:2" x14ac:dyDescent="0.25">
      <c r="B13455" s="73"/>
    </row>
    <row r="13456" spans="2:2" x14ac:dyDescent="0.25">
      <c r="B13456" s="73"/>
    </row>
    <row r="13457" spans="2:2" x14ac:dyDescent="0.25">
      <c r="B13457" s="73"/>
    </row>
    <row r="13458" spans="2:2" x14ac:dyDescent="0.25">
      <c r="B13458" s="73"/>
    </row>
    <row r="13459" spans="2:2" x14ac:dyDescent="0.25">
      <c r="B13459" s="73"/>
    </row>
    <row r="13460" spans="2:2" x14ac:dyDescent="0.25">
      <c r="B13460" s="73"/>
    </row>
    <row r="13461" spans="2:2" x14ac:dyDescent="0.25">
      <c r="B13461" s="73"/>
    </row>
    <row r="13462" spans="2:2" x14ac:dyDescent="0.25">
      <c r="B13462" s="73"/>
    </row>
    <row r="13463" spans="2:2" x14ac:dyDescent="0.25">
      <c r="B13463" s="73"/>
    </row>
    <row r="13464" spans="2:2" x14ac:dyDescent="0.25">
      <c r="B13464" s="73"/>
    </row>
    <row r="13465" spans="2:2" x14ac:dyDescent="0.25">
      <c r="B13465" s="73"/>
    </row>
    <row r="13466" spans="2:2" x14ac:dyDescent="0.25">
      <c r="B13466" s="73"/>
    </row>
    <row r="13467" spans="2:2" x14ac:dyDescent="0.25">
      <c r="B13467" s="73"/>
    </row>
    <row r="13468" spans="2:2" x14ac:dyDescent="0.25">
      <c r="B13468" s="73"/>
    </row>
    <row r="13469" spans="2:2" x14ac:dyDescent="0.25">
      <c r="B13469" s="73"/>
    </row>
    <row r="13470" spans="2:2" x14ac:dyDescent="0.25">
      <c r="B13470" s="73"/>
    </row>
    <row r="13471" spans="2:2" x14ac:dyDescent="0.25">
      <c r="B13471" s="73"/>
    </row>
    <row r="13472" spans="2:2" x14ac:dyDescent="0.25">
      <c r="B13472" s="73"/>
    </row>
    <row r="13473" spans="2:2" x14ac:dyDescent="0.25">
      <c r="B13473" s="73"/>
    </row>
    <row r="13474" spans="2:2" x14ac:dyDescent="0.25">
      <c r="B13474" s="73"/>
    </row>
    <row r="13475" spans="2:2" x14ac:dyDescent="0.25">
      <c r="B13475" s="73"/>
    </row>
    <row r="13476" spans="2:2" x14ac:dyDescent="0.25">
      <c r="B13476" s="73"/>
    </row>
    <row r="13477" spans="2:2" x14ac:dyDescent="0.25">
      <c r="B13477" s="73"/>
    </row>
    <row r="13478" spans="2:2" x14ac:dyDescent="0.25">
      <c r="B13478" s="73"/>
    </row>
    <row r="13479" spans="2:2" x14ac:dyDescent="0.25">
      <c r="B13479" s="73"/>
    </row>
    <row r="13480" spans="2:2" x14ac:dyDescent="0.25">
      <c r="B13480" s="73"/>
    </row>
    <row r="13481" spans="2:2" x14ac:dyDescent="0.25">
      <c r="B13481" s="73"/>
    </row>
    <row r="13482" spans="2:2" x14ac:dyDescent="0.25">
      <c r="B13482" s="73"/>
    </row>
    <row r="13483" spans="2:2" x14ac:dyDescent="0.25">
      <c r="B13483" s="73"/>
    </row>
    <row r="13484" spans="2:2" x14ac:dyDescent="0.25">
      <c r="B13484" s="73"/>
    </row>
    <row r="13485" spans="2:2" x14ac:dyDescent="0.25">
      <c r="B13485" s="73"/>
    </row>
    <row r="13486" spans="2:2" x14ac:dyDescent="0.25">
      <c r="B13486" s="73"/>
    </row>
    <row r="13487" spans="2:2" x14ac:dyDescent="0.25">
      <c r="B13487" s="73"/>
    </row>
    <row r="13488" spans="2:2" x14ac:dyDescent="0.25">
      <c r="B13488" s="73"/>
    </row>
    <row r="13489" spans="2:2" x14ac:dyDescent="0.25">
      <c r="B13489" s="73"/>
    </row>
    <row r="13490" spans="2:2" x14ac:dyDescent="0.25">
      <c r="B13490" s="73"/>
    </row>
    <row r="13491" spans="2:2" x14ac:dyDescent="0.25">
      <c r="B13491" s="73"/>
    </row>
    <row r="13492" spans="2:2" x14ac:dyDescent="0.25">
      <c r="B13492" s="73"/>
    </row>
    <row r="13493" spans="2:2" x14ac:dyDescent="0.25">
      <c r="B13493" s="73"/>
    </row>
    <row r="13494" spans="2:2" x14ac:dyDescent="0.25">
      <c r="B13494" s="73"/>
    </row>
    <row r="13495" spans="2:2" x14ac:dyDescent="0.25">
      <c r="B13495" s="73"/>
    </row>
    <row r="13496" spans="2:2" x14ac:dyDescent="0.25">
      <c r="B13496" s="73"/>
    </row>
    <row r="13497" spans="2:2" x14ac:dyDescent="0.25">
      <c r="B13497" s="73"/>
    </row>
    <row r="13498" spans="2:2" x14ac:dyDescent="0.25">
      <c r="B13498" s="73"/>
    </row>
    <row r="13499" spans="2:2" x14ac:dyDescent="0.25">
      <c r="B13499" s="73"/>
    </row>
    <row r="13500" spans="2:2" x14ac:dyDescent="0.25">
      <c r="B13500" s="73"/>
    </row>
    <row r="13501" spans="2:2" x14ac:dyDescent="0.25">
      <c r="B13501" s="73"/>
    </row>
    <row r="13502" spans="2:2" x14ac:dyDescent="0.25">
      <c r="B13502" s="73"/>
    </row>
    <row r="13503" spans="2:2" x14ac:dyDescent="0.25">
      <c r="B13503" s="73"/>
    </row>
    <row r="13504" spans="2:2" x14ac:dyDescent="0.25">
      <c r="B13504" s="73"/>
    </row>
    <row r="13505" spans="2:2" x14ac:dyDescent="0.25">
      <c r="B13505" s="73"/>
    </row>
    <row r="13506" spans="2:2" x14ac:dyDescent="0.25">
      <c r="B13506" s="73"/>
    </row>
    <row r="13507" spans="2:2" x14ac:dyDescent="0.25">
      <c r="B13507" s="73"/>
    </row>
    <row r="13508" spans="2:2" x14ac:dyDescent="0.25">
      <c r="B13508" s="73"/>
    </row>
    <row r="13509" spans="2:2" x14ac:dyDescent="0.25">
      <c r="B13509" s="73"/>
    </row>
    <row r="13510" spans="2:2" x14ac:dyDescent="0.25">
      <c r="B13510" s="73"/>
    </row>
    <row r="13511" spans="2:2" x14ac:dyDescent="0.25">
      <c r="B13511" s="73"/>
    </row>
    <row r="13512" spans="2:2" x14ac:dyDescent="0.25">
      <c r="B13512" s="73"/>
    </row>
    <row r="13513" spans="2:2" x14ac:dyDescent="0.25">
      <c r="B13513" s="73"/>
    </row>
    <row r="13514" spans="2:2" x14ac:dyDescent="0.25">
      <c r="B13514" s="73"/>
    </row>
    <row r="13515" spans="2:2" x14ac:dyDescent="0.25">
      <c r="B13515" s="73"/>
    </row>
    <row r="13516" spans="2:2" x14ac:dyDescent="0.25">
      <c r="B13516" s="73"/>
    </row>
    <row r="13517" spans="2:2" x14ac:dyDescent="0.25">
      <c r="B13517" s="73"/>
    </row>
    <row r="13518" spans="2:2" x14ac:dyDescent="0.25">
      <c r="B13518" s="73"/>
    </row>
    <row r="13519" spans="2:2" x14ac:dyDescent="0.25">
      <c r="B13519" s="73"/>
    </row>
    <row r="13520" spans="2:2" x14ac:dyDescent="0.25">
      <c r="B13520" s="73"/>
    </row>
    <row r="13521" spans="2:2" x14ac:dyDescent="0.25">
      <c r="B13521" s="73"/>
    </row>
    <row r="13522" spans="2:2" x14ac:dyDescent="0.25">
      <c r="B13522" s="73"/>
    </row>
    <row r="13523" spans="2:2" x14ac:dyDescent="0.25">
      <c r="B13523" s="73"/>
    </row>
    <row r="13524" spans="2:2" x14ac:dyDescent="0.25">
      <c r="B13524" s="73"/>
    </row>
    <row r="13525" spans="2:2" x14ac:dyDescent="0.25">
      <c r="B13525" s="73"/>
    </row>
    <row r="13526" spans="2:2" x14ac:dyDescent="0.25">
      <c r="B13526" s="73"/>
    </row>
    <row r="13527" spans="2:2" x14ac:dyDescent="0.25">
      <c r="B13527" s="73"/>
    </row>
    <row r="13528" spans="2:2" x14ac:dyDescent="0.25">
      <c r="B13528" s="73"/>
    </row>
    <row r="13529" spans="2:2" x14ac:dyDescent="0.25">
      <c r="B13529" s="73"/>
    </row>
    <row r="13530" spans="2:2" x14ac:dyDescent="0.25">
      <c r="B13530" s="73"/>
    </row>
    <row r="13531" spans="2:2" x14ac:dyDescent="0.25">
      <c r="B13531" s="73"/>
    </row>
    <row r="13532" spans="2:2" x14ac:dyDescent="0.25">
      <c r="B13532" s="73"/>
    </row>
    <row r="13533" spans="2:2" x14ac:dyDescent="0.25">
      <c r="B13533" s="73"/>
    </row>
    <row r="13534" spans="2:2" x14ac:dyDescent="0.25">
      <c r="B13534" s="73"/>
    </row>
    <row r="13535" spans="2:2" x14ac:dyDescent="0.25">
      <c r="B13535" s="73"/>
    </row>
    <row r="13536" spans="2:2" x14ac:dyDescent="0.25">
      <c r="B13536" s="73"/>
    </row>
    <row r="13537" spans="2:2" x14ac:dyDescent="0.25">
      <c r="B13537" s="73"/>
    </row>
    <row r="13538" spans="2:2" x14ac:dyDescent="0.25">
      <c r="B13538" s="73"/>
    </row>
    <row r="13539" spans="2:2" x14ac:dyDescent="0.25">
      <c r="B13539" s="73"/>
    </row>
    <row r="13540" spans="2:2" x14ac:dyDescent="0.25">
      <c r="B13540" s="73"/>
    </row>
    <row r="13541" spans="2:2" x14ac:dyDescent="0.25">
      <c r="B13541" s="73"/>
    </row>
    <row r="13542" spans="2:2" x14ac:dyDescent="0.25">
      <c r="B13542" s="73"/>
    </row>
    <row r="13543" spans="2:2" x14ac:dyDescent="0.25">
      <c r="B13543" s="73"/>
    </row>
    <row r="13544" spans="2:2" x14ac:dyDescent="0.25">
      <c r="B13544" s="73"/>
    </row>
    <row r="13545" spans="2:2" x14ac:dyDescent="0.25">
      <c r="B13545" s="73"/>
    </row>
    <row r="13546" spans="2:2" x14ac:dyDescent="0.25">
      <c r="B13546" s="73"/>
    </row>
    <row r="13547" spans="2:2" x14ac:dyDescent="0.25">
      <c r="B13547" s="73"/>
    </row>
    <row r="13548" spans="2:2" x14ac:dyDescent="0.25">
      <c r="B13548" s="73"/>
    </row>
    <row r="13549" spans="2:2" x14ac:dyDescent="0.25">
      <c r="B13549" s="73"/>
    </row>
    <row r="13550" spans="2:2" x14ac:dyDescent="0.25">
      <c r="B13550" s="73"/>
    </row>
    <row r="13551" spans="2:2" x14ac:dyDescent="0.25">
      <c r="B13551" s="73"/>
    </row>
    <row r="13552" spans="2:2" x14ac:dyDescent="0.25">
      <c r="B13552" s="73"/>
    </row>
    <row r="13553" spans="2:2" x14ac:dyDescent="0.25">
      <c r="B13553" s="73"/>
    </row>
    <row r="13554" spans="2:2" x14ac:dyDescent="0.25">
      <c r="B13554" s="73"/>
    </row>
    <row r="13555" spans="2:2" x14ac:dyDescent="0.25">
      <c r="B13555" s="73"/>
    </row>
    <row r="13556" spans="2:2" x14ac:dyDescent="0.25">
      <c r="B13556" s="73"/>
    </row>
    <row r="13557" spans="2:2" x14ac:dyDescent="0.25">
      <c r="B13557" s="73"/>
    </row>
    <row r="13558" spans="2:2" x14ac:dyDescent="0.25">
      <c r="B13558" s="73"/>
    </row>
    <row r="13559" spans="2:2" x14ac:dyDescent="0.25">
      <c r="B13559" s="73"/>
    </row>
    <row r="13560" spans="2:2" x14ac:dyDescent="0.25">
      <c r="B13560" s="73"/>
    </row>
    <row r="13561" spans="2:2" x14ac:dyDescent="0.25">
      <c r="B13561" s="73"/>
    </row>
    <row r="13562" spans="2:2" x14ac:dyDescent="0.25">
      <c r="B13562" s="73"/>
    </row>
    <row r="13563" spans="2:2" x14ac:dyDescent="0.25">
      <c r="B13563" s="73"/>
    </row>
    <row r="13564" spans="2:2" x14ac:dyDescent="0.25">
      <c r="B13564" s="73"/>
    </row>
    <row r="13565" spans="2:2" x14ac:dyDescent="0.25">
      <c r="B13565" s="73"/>
    </row>
    <row r="13566" spans="2:2" x14ac:dyDescent="0.25">
      <c r="B13566" s="73"/>
    </row>
    <row r="13567" spans="2:2" x14ac:dyDescent="0.25">
      <c r="B13567" s="73"/>
    </row>
    <row r="13568" spans="2:2" x14ac:dyDescent="0.25">
      <c r="B13568" s="73"/>
    </row>
    <row r="13569" spans="2:2" x14ac:dyDescent="0.25">
      <c r="B13569" s="73"/>
    </row>
    <row r="13570" spans="2:2" x14ac:dyDescent="0.25">
      <c r="B13570" s="73"/>
    </row>
    <row r="13571" spans="2:2" x14ac:dyDescent="0.25">
      <c r="B13571" s="73"/>
    </row>
    <row r="13572" spans="2:2" x14ac:dyDescent="0.25">
      <c r="B13572" s="73"/>
    </row>
    <row r="13573" spans="2:2" x14ac:dyDescent="0.25">
      <c r="B13573" s="73"/>
    </row>
    <row r="13574" spans="2:2" x14ac:dyDescent="0.25">
      <c r="B13574" s="73"/>
    </row>
    <row r="13575" spans="2:2" x14ac:dyDescent="0.25">
      <c r="B13575" s="73"/>
    </row>
    <row r="13576" spans="2:2" x14ac:dyDescent="0.25">
      <c r="B13576" s="73"/>
    </row>
    <row r="13577" spans="2:2" x14ac:dyDescent="0.25">
      <c r="B13577" s="73"/>
    </row>
    <row r="13578" spans="2:2" x14ac:dyDescent="0.25">
      <c r="B13578" s="73"/>
    </row>
    <row r="13579" spans="2:2" x14ac:dyDescent="0.25">
      <c r="B13579" s="73"/>
    </row>
    <row r="13580" spans="2:2" x14ac:dyDescent="0.25">
      <c r="B13580" s="73"/>
    </row>
    <row r="13581" spans="2:2" x14ac:dyDescent="0.25">
      <c r="B13581" s="73"/>
    </row>
    <row r="13582" spans="2:2" x14ac:dyDescent="0.25">
      <c r="B13582" s="73"/>
    </row>
    <row r="13583" spans="2:2" x14ac:dyDescent="0.25">
      <c r="B13583" s="73"/>
    </row>
    <row r="13584" spans="2:2" x14ac:dyDescent="0.25">
      <c r="B13584" s="73"/>
    </row>
    <row r="13585" spans="2:2" x14ac:dyDescent="0.25">
      <c r="B13585" s="73"/>
    </row>
    <row r="13586" spans="2:2" x14ac:dyDescent="0.25">
      <c r="B13586" s="73"/>
    </row>
    <row r="13587" spans="2:2" x14ac:dyDescent="0.25">
      <c r="B13587" s="73"/>
    </row>
    <row r="13588" spans="2:2" x14ac:dyDescent="0.25">
      <c r="B13588" s="73"/>
    </row>
    <row r="13589" spans="2:2" x14ac:dyDescent="0.25">
      <c r="B13589" s="73"/>
    </row>
    <row r="13590" spans="2:2" x14ac:dyDescent="0.25">
      <c r="B13590" s="73"/>
    </row>
    <row r="13591" spans="2:2" x14ac:dyDescent="0.25">
      <c r="B13591" s="73"/>
    </row>
    <row r="13592" spans="2:2" x14ac:dyDescent="0.25">
      <c r="B13592" s="73"/>
    </row>
    <row r="13593" spans="2:2" x14ac:dyDescent="0.25">
      <c r="B13593" s="73"/>
    </row>
    <row r="13594" spans="2:2" x14ac:dyDescent="0.25">
      <c r="B13594" s="73"/>
    </row>
    <row r="13595" spans="2:2" x14ac:dyDescent="0.25">
      <c r="B13595" s="73"/>
    </row>
    <row r="13596" spans="2:2" x14ac:dyDescent="0.25">
      <c r="B13596" s="73"/>
    </row>
    <row r="13597" spans="2:2" x14ac:dyDescent="0.25">
      <c r="B13597" s="73"/>
    </row>
    <row r="13598" spans="2:2" x14ac:dyDescent="0.25">
      <c r="B13598" s="73"/>
    </row>
    <row r="13599" spans="2:2" x14ac:dyDescent="0.25">
      <c r="B13599" s="73"/>
    </row>
    <row r="13600" spans="2:2" x14ac:dyDescent="0.25">
      <c r="B13600" s="73"/>
    </row>
    <row r="13601" spans="2:2" x14ac:dyDescent="0.25">
      <c r="B13601" s="73"/>
    </row>
    <row r="13602" spans="2:2" x14ac:dyDescent="0.25">
      <c r="B13602" s="73"/>
    </row>
    <row r="13603" spans="2:2" x14ac:dyDescent="0.25">
      <c r="B13603" s="73"/>
    </row>
    <row r="13604" spans="2:2" x14ac:dyDescent="0.25">
      <c r="B13604" s="73"/>
    </row>
    <row r="13605" spans="2:2" x14ac:dyDescent="0.25">
      <c r="B13605" s="73"/>
    </row>
    <row r="13606" spans="2:2" x14ac:dyDescent="0.25">
      <c r="B13606" s="73"/>
    </row>
    <row r="13607" spans="2:2" x14ac:dyDescent="0.25">
      <c r="B13607" s="73"/>
    </row>
    <row r="13608" spans="2:2" x14ac:dyDescent="0.25">
      <c r="B13608" s="73"/>
    </row>
    <row r="13609" spans="2:2" x14ac:dyDescent="0.25">
      <c r="B13609" s="73"/>
    </row>
    <row r="13610" spans="2:2" x14ac:dyDescent="0.25">
      <c r="B13610" s="73"/>
    </row>
    <row r="13611" spans="2:2" x14ac:dyDescent="0.25">
      <c r="B13611" s="73"/>
    </row>
    <row r="13612" spans="2:2" x14ac:dyDescent="0.25">
      <c r="B13612" s="73"/>
    </row>
    <row r="13613" spans="2:2" x14ac:dyDescent="0.25">
      <c r="B13613" s="73"/>
    </row>
    <row r="13614" spans="2:2" x14ac:dyDescent="0.25">
      <c r="B13614" s="73"/>
    </row>
    <row r="13615" spans="2:2" x14ac:dyDescent="0.25">
      <c r="B13615" s="73"/>
    </row>
    <row r="13616" spans="2:2" x14ac:dyDescent="0.25">
      <c r="B13616" s="73"/>
    </row>
    <row r="13617" spans="2:2" x14ac:dyDescent="0.25">
      <c r="B13617" s="73"/>
    </row>
    <row r="13618" spans="2:2" x14ac:dyDescent="0.25">
      <c r="B13618" s="73"/>
    </row>
    <row r="13619" spans="2:2" x14ac:dyDescent="0.25">
      <c r="B13619" s="73"/>
    </row>
    <row r="13620" spans="2:2" x14ac:dyDescent="0.25">
      <c r="B13620" s="73"/>
    </row>
    <row r="13621" spans="2:2" x14ac:dyDescent="0.25">
      <c r="B13621" s="73"/>
    </row>
    <row r="13622" spans="2:2" x14ac:dyDescent="0.25">
      <c r="B13622" s="73"/>
    </row>
    <row r="13623" spans="2:2" x14ac:dyDescent="0.25">
      <c r="B13623" s="73"/>
    </row>
    <row r="13624" spans="2:2" x14ac:dyDescent="0.25">
      <c r="B13624" s="73"/>
    </row>
    <row r="13625" spans="2:2" x14ac:dyDescent="0.25">
      <c r="B13625" s="73"/>
    </row>
    <row r="13626" spans="2:2" x14ac:dyDescent="0.25">
      <c r="B13626" s="73"/>
    </row>
    <row r="13627" spans="2:2" x14ac:dyDescent="0.25">
      <c r="B13627" s="73"/>
    </row>
    <row r="13628" spans="2:2" x14ac:dyDescent="0.25">
      <c r="B13628" s="73"/>
    </row>
    <row r="13629" spans="2:2" x14ac:dyDescent="0.25">
      <c r="B13629" s="73"/>
    </row>
    <row r="13630" spans="2:2" x14ac:dyDescent="0.25">
      <c r="B13630" s="73"/>
    </row>
    <row r="13631" spans="2:2" x14ac:dyDescent="0.25">
      <c r="B13631" s="73"/>
    </row>
    <row r="13632" spans="2:2" x14ac:dyDescent="0.25">
      <c r="B13632" s="73"/>
    </row>
    <row r="13633" spans="2:2" x14ac:dyDescent="0.25">
      <c r="B13633" s="73"/>
    </row>
    <row r="13634" spans="2:2" x14ac:dyDescent="0.25">
      <c r="B13634" s="73"/>
    </row>
    <row r="13635" spans="2:2" x14ac:dyDescent="0.25">
      <c r="B13635" s="73"/>
    </row>
    <row r="13636" spans="2:2" x14ac:dyDescent="0.25">
      <c r="B13636" s="73"/>
    </row>
    <row r="13637" spans="2:2" x14ac:dyDescent="0.25">
      <c r="B13637" s="73"/>
    </row>
    <row r="13638" spans="2:2" x14ac:dyDescent="0.25">
      <c r="B13638" s="73"/>
    </row>
    <row r="13639" spans="2:2" x14ac:dyDescent="0.25">
      <c r="B13639" s="73"/>
    </row>
    <row r="13640" spans="2:2" x14ac:dyDescent="0.25">
      <c r="B13640" s="73"/>
    </row>
    <row r="13641" spans="2:2" x14ac:dyDescent="0.25">
      <c r="B13641" s="73"/>
    </row>
    <row r="13642" spans="2:2" x14ac:dyDescent="0.25">
      <c r="B13642" s="73"/>
    </row>
    <row r="13643" spans="2:2" x14ac:dyDescent="0.25">
      <c r="B13643" s="73"/>
    </row>
    <row r="13644" spans="2:2" x14ac:dyDescent="0.25">
      <c r="B13644" s="73"/>
    </row>
    <row r="13645" spans="2:2" x14ac:dyDescent="0.25">
      <c r="B13645" s="73"/>
    </row>
    <row r="13646" spans="2:2" x14ac:dyDescent="0.25">
      <c r="B13646" s="73"/>
    </row>
    <row r="13647" spans="2:2" x14ac:dyDescent="0.25">
      <c r="B13647" s="73"/>
    </row>
    <row r="13648" spans="2:2" x14ac:dyDescent="0.25">
      <c r="B13648" s="73"/>
    </row>
    <row r="13649" spans="2:2" x14ac:dyDescent="0.25">
      <c r="B13649" s="73"/>
    </row>
    <row r="13650" spans="2:2" x14ac:dyDescent="0.25">
      <c r="B13650" s="73"/>
    </row>
    <row r="13651" spans="2:2" x14ac:dyDescent="0.25">
      <c r="B13651" s="73"/>
    </row>
    <row r="13652" spans="2:2" x14ac:dyDescent="0.25">
      <c r="B13652" s="73"/>
    </row>
    <row r="13653" spans="2:2" x14ac:dyDescent="0.25">
      <c r="B13653" s="73"/>
    </row>
    <row r="13654" spans="2:2" x14ac:dyDescent="0.25">
      <c r="B13654" s="73"/>
    </row>
    <row r="13655" spans="2:2" x14ac:dyDescent="0.25">
      <c r="B13655" s="73"/>
    </row>
    <row r="13656" spans="2:2" x14ac:dyDescent="0.25">
      <c r="B13656" s="73"/>
    </row>
    <row r="13657" spans="2:2" x14ac:dyDescent="0.25">
      <c r="B13657" s="73"/>
    </row>
    <row r="13658" spans="2:2" x14ac:dyDescent="0.25">
      <c r="B13658" s="73"/>
    </row>
    <row r="13659" spans="2:2" x14ac:dyDescent="0.25">
      <c r="B13659" s="73"/>
    </row>
    <row r="13660" spans="2:2" x14ac:dyDescent="0.25">
      <c r="B13660" s="73"/>
    </row>
    <row r="13661" spans="2:2" x14ac:dyDescent="0.25">
      <c r="B13661" s="73"/>
    </row>
    <row r="13662" spans="2:2" x14ac:dyDescent="0.25">
      <c r="B13662" s="73"/>
    </row>
    <row r="13663" spans="2:2" x14ac:dyDescent="0.25">
      <c r="B13663" s="73"/>
    </row>
    <row r="13664" spans="2:2" x14ac:dyDescent="0.25">
      <c r="B13664" s="73"/>
    </row>
    <row r="13665" spans="2:2" x14ac:dyDescent="0.25">
      <c r="B13665" s="73"/>
    </row>
    <row r="13666" spans="2:2" x14ac:dyDescent="0.25">
      <c r="B13666" s="73"/>
    </row>
    <row r="13667" spans="2:2" x14ac:dyDescent="0.25">
      <c r="B13667" s="73"/>
    </row>
    <row r="13668" spans="2:2" x14ac:dyDescent="0.25">
      <c r="B13668" s="73"/>
    </row>
    <row r="13669" spans="2:2" x14ac:dyDescent="0.25">
      <c r="B13669" s="73"/>
    </row>
    <row r="13670" spans="2:2" x14ac:dyDescent="0.25">
      <c r="B13670" s="73"/>
    </row>
    <row r="13671" spans="2:2" x14ac:dyDescent="0.25">
      <c r="B13671" s="73"/>
    </row>
    <row r="13672" spans="2:2" x14ac:dyDescent="0.25">
      <c r="B13672" s="73"/>
    </row>
    <row r="13673" spans="2:2" x14ac:dyDescent="0.25">
      <c r="B13673" s="73"/>
    </row>
    <row r="13674" spans="2:2" x14ac:dyDescent="0.25">
      <c r="B13674" s="73"/>
    </row>
    <row r="13675" spans="2:2" x14ac:dyDescent="0.25">
      <c r="B13675" s="73"/>
    </row>
    <row r="13676" spans="2:2" x14ac:dyDescent="0.25">
      <c r="B13676" s="73"/>
    </row>
    <row r="13677" spans="2:2" x14ac:dyDescent="0.25">
      <c r="B13677" s="73"/>
    </row>
    <row r="13678" spans="2:2" x14ac:dyDescent="0.25">
      <c r="B13678" s="73"/>
    </row>
    <row r="13679" spans="2:2" x14ac:dyDescent="0.25">
      <c r="B13679" s="73"/>
    </row>
    <row r="13680" spans="2:2" x14ac:dyDescent="0.25">
      <c r="B13680" s="73"/>
    </row>
    <row r="13681" spans="2:2" x14ac:dyDescent="0.25">
      <c r="B13681" s="73"/>
    </row>
    <row r="13682" spans="2:2" x14ac:dyDescent="0.25">
      <c r="B13682" s="73"/>
    </row>
    <row r="13683" spans="2:2" x14ac:dyDescent="0.25">
      <c r="B13683" s="73"/>
    </row>
    <row r="13684" spans="2:2" x14ac:dyDescent="0.25">
      <c r="B13684" s="73"/>
    </row>
    <row r="13685" spans="2:2" x14ac:dyDescent="0.25">
      <c r="B13685" s="73"/>
    </row>
    <row r="13686" spans="2:2" x14ac:dyDescent="0.25">
      <c r="B13686" s="73"/>
    </row>
    <row r="13687" spans="2:2" x14ac:dyDescent="0.25">
      <c r="B13687" s="73"/>
    </row>
    <row r="13688" spans="2:2" x14ac:dyDescent="0.25">
      <c r="B13688" s="73"/>
    </row>
    <row r="13689" spans="2:2" x14ac:dyDescent="0.25">
      <c r="B13689" s="73"/>
    </row>
    <row r="13690" spans="2:2" x14ac:dyDescent="0.25">
      <c r="B13690" s="73"/>
    </row>
    <row r="13691" spans="2:2" x14ac:dyDescent="0.25">
      <c r="B13691" s="73"/>
    </row>
    <row r="13692" spans="2:2" x14ac:dyDescent="0.25">
      <c r="B13692" s="73"/>
    </row>
    <row r="13693" spans="2:2" x14ac:dyDescent="0.25">
      <c r="B13693" s="73"/>
    </row>
    <row r="13694" spans="2:2" x14ac:dyDescent="0.25">
      <c r="B13694" s="73"/>
    </row>
    <row r="13695" spans="2:2" x14ac:dyDescent="0.25">
      <c r="B13695" s="73"/>
    </row>
    <row r="13696" spans="2:2" x14ac:dyDescent="0.25">
      <c r="B13696" s="73"/>
    </row>
    <row r="13697" spans="2:2" x14ac:dyDescent="0.25">
      <c r="B13697" s="73"/>
    </row>
    <row r="13698" spans="2:2" x14ac:dyDescent="0.25">
      <c r="B13698" s="73"/>
    </row>
    <row r="13699" spans="2:2" x14ac:dyDescent="0.25">
      <c r="B13699" s="73"/>
    </row>
    <row r="13700" spans="2:2" x14ac:dyDescent="0.25">
      <c r="B13700" s="73"/>
    </row>
    <row r="13701" spans="2:2" x14ac:dyDescent="0.25">
      <c r="B13701" s="73"/>
    </row>
    <row r="13702" spans="2:2" x14ac:dyDescent="0.25">
      <c r="B13702" s="73"/>
    </row>
    <row r="13703" spans="2:2" x14ac:dyDescent="0.25">
      <c r="B13703" s="73"/>
    </row>
    <row r="13704" spans="2:2" x14ac:dyDescent="0.25">
      <c r="B13704" s="73"/>
    </row>
    <row r="13705" spans="2:2" x14ac:dyDescent="0.25">
      <c r="B13705" s="73"/>
    </row>
    <row r="13706" spans="2:2" x14ac:dyDescent="0.25">
      <c r="B13706" s="73"/>
    </row>
    <row r="13707" spans="2:2" x14ac:dyDescent="0.25">
      <c r="B13707" s="73"/>
    </row>
    <row r="13708" spans="2:2" x14ac:dyDescent="0.25">
      <c r="B13708" s="73"/>
    </row>
    <row r="13709" spans="2:2" x14ac:dyDescent="0.25">
      <c r="B13709" s="73"/>
    </row>
    <row r="13710" spans="2:2" x14ac:dyDescent="0.25">
      <c r="B13710" s="73"/>
    </row>
    <row r="13711" spans="2:2" x14ac:dyDescent="0.25">
      <c r="B13711" s="73"/>
    </row>
    <row r="13712" spans="2:2" x14ac:dyDescent="0.25">
      <c r="B13712" s="73"/>
    </row>
    <row r="13713" spans="2:2" x14ac:dyDescent="0.25">
      <c r="B13713" s="73"/>
    </row>
    <row r="13714" spans="2:2" x14ac:dyDescent="0.25">
      <c r="B13714" s="73"/>
    </row>
    <row r="13715" spans="2:2" x14ac:dyDescent="0.25">
      <c r="B13715" s="73"/>
    </row>
    <row r="13716" spans="2:2" x14ac:dyDescent="0.25">
      <c r="B13716" s="73"/>
    </row>
    <row r="13717" spans="2:2" x14ac:dyDescent="0.25">
      <c r="B13717" s="73"/>
    </row>
    <row r="13718" spans="2:2" x14ac:dyDescent="0.25">
      <c r="B13718" s="73"/>
    </row>
    <row r="13719" spans="2:2" x14ac:dyDescent="0.25">
      <c r="B13719" s="73"/>
    </row>
    <row r="13720" spans="2:2" x14ac:dyDescent="0.25">
      <c r="B13720" s="73"/>
    </row>
    <row r="13721" spans="2:2" x14ac:dyDescent="0.25">
      <c r="B13721" s="73"/>
    </row>
    <row r="13722" spans="2:2" x14ac:dyDescent="0.25">
      <c r="B13722" s="73"/>
    </row>
    <row r="13723" spans="2:2" x14ac:dyDescent="0.25">
      <c r="B13723" s="73"/>
    </row>
    <row r="13724" spans="2:2" x14ac:dyDescent="0.25">
      <c r="B13724" s="73"/>
    </row>
    <row r="13725" spans="2:2" x14ac:dyDescent="0.25">
      <c r="B13725" s="73"/>
    </row>
    <row r="13726" spans="2:2" x14ac:dyDescent="0.25">
      <c r="B13726" s="73"/>
    </row>
    <row r="13727" spans="2:2" x14ac:dyDescent="0.25">
      <c r="B13727" s="73"/>
    </row>
    <row r="13728" spans="2:2" x14ac:dyDescent="0.25">
      <c r="B13728" s="73"/>
    </row>
    <row r="13729" spans="2:2" x14ac:dyDescent="0.25">
      <c r="B13729" s="73"/>
    </row>
    <row r="13730" spans="2:2" x14ac:dyDescent="0.25">
      <c r="B13730" s="73"/>
    </row>
    <row r="13731" spans="2:2" x14ac:dyDescent="0.25">
      <c r="B13731" s="73"/>
    </row>
    <row r="13732" spans="2:2" x14ac:dyDescent="0.25">
      <c r="B13732" s="73"/>
    </row>
    <row r="13733" spans="2:2" x14ac:dyDescent="0.25">
      <c r="B13733" s="73"/>
    </row>
    <row r="13734" spans="2:2" x14ac:dyDescent="0.25">
      <c r="B13734" s="73"/>
    </row>
    <row r="13735" spans="2:2" x14ac:dyDescent="0.25">
      <c r="B13735" s="73"/>
    </row>
    <row r="13736" spans="2:2" x14ac:dyDescent="0.25">
      <c r="B13736" s="73"/>
    </row>
    <row r="13737" spans="2:2" x14ac:dyDescent="0.25">
      <c r="B13737" s="73"/>
    </row>
    <row r="13738" spans="2:2" x14ac:dyDescent="0.25">
      <c r="B13738" s="73"/>
    </row>
    <row r="13739" spans="2:2" x14ac:dyDescent="0.25">
      <c r="B13739" s="73"/>
    </row>
    <row r="13740" spans="2:2" x14ac:dyDescent="0.25">
      <c r="B13740" s="73"/>
    </row>
    <row r="13741" spans="2:2" x14ac:dyDescent="0.25">
      <c r="B13741" s="73"/>
    </row>
    <row r="13742" spans="2:2" x14ac:dyDescent="0.25">
      <c r="B13742" s="73"/>
    </row>
    <row r="13743" spans="2:2" x14ac:dyDescent="0.25">
      <c r="B13743" s="73"/>
    </row>
    <row r="13744" spans="2:2" x14ac:dyDescent="0.25">
      <c r="B13744" s="73"/>
    </row>
    <row r="13745" spans="2:2" x14ac:dyDescent="0.25">
      <c r="B13745" s="73"/>
    </row>
    <row r="13746" spans="2:2" x14ac:dyDescent="0.25">
      <c r="B13746" s="73"/>
    </row>
    <row r="13747" spans="2:2" x14ac:dyDescent="0.25">
      <c r="B13747" s="73"/>
    </row>
    <row r="13748" spans="2:2" x14ac:dyDescent="0.25">
      <c r="B13748" s="73"/>
    </row>
    <row r="13749" spans="2:2" x14ac:dyDescent="0.25">
      <c r="B13749" s="73"/>
    </row>
    <row r="13750" spans="2:2" x14ac:dyDescent="0.25">
      <c r="B13750" s="73"/>
    </row>
    <row r="13751" spans="2:2" x14ac:dyDescent="0.25">
      <c r="B13751" s="73"/>
    </row>
    <row r="13752" spans="2:2" x14ac:dyDescent="0.25">
      <c r="B13752" s="73"/>
    </row>
    <row r="13753" spans="2:2" x14ac:dyDescent="0.25">
      <c r="B13753" s="73"/>
    </row>
    <row r="13754" spans="2:2" x14ac:dyDescent="0.25">
      <c r="B13754" s="73"/>
    </row>
    <row r="13755" spans="2:2" x14ac:dyDescent="0.25">
      <c r="B13755" s="73"/>
    </row>
    <row r="13756" spans="2:2" x14ac:dyDescent="0.25">
      <c r="B13756" s="73"/>
    </row>
    <row r="13757" spans="2:2" x14ac:dyDescent="0.25">
      <c r="B13757" s="73"/>
    </row>
    <row r="13758" spans="2:2" x14ac:dyDescent="0.25">
      <c r="B13758" s="73"/>
    </row>
    <row r="13759" spans="2:2" x14ac:dyDescent="0.25">
      <c r="B13759" s="73"/>
    </row>
    <row r="13760" spans="2:2" x14ac:dyDescent="0.25">
      <c r="B13760" s="73"/>
    </row>
    <row r="13761" spans="2:2" x14ac:dyDescent="0.25">
      <c r="B13761" s="73"/>
    </row>
    <row r="13762" spans="2:2" x14ac:dyDescent="0.25">
      <c r="B13762" s="73"/>
    </row>
    <row r="13763" spans="2:2" x14ac:dyDescent="0.25">
      <c r="B13763" s="73"/>
    </row>
    <row r="13764" spans="2:2" x14ac:dyDescent="0.25">
      <c r="B13764" s="73"/>
    </row>
    <row r="13765" spans="2:2" x14ac:dyDescent="0.25">
      <c r="B13765" s="73"/>
    </row>
    <row r="13766" spans="2:2" x14ac:dyDescent="0.25">
      <c r="B13766" s="73"/>
    </row>
    <row r="13767" spans="2:2" x14ac:dyDescent="0.25">
      <c r="B13767" s="73"/>
    </row>
    <row r="13768" spans="2:2" x14ac:dyDescent="0.25">
      <c r="B13768" s="73"/>
    </row>
    <row r="13769" spans="2:2" x14ac:dyDescent="0.25">
      <c r="B13769" s="73"/>
    </row>
    <row r="13770" spans="2:2" x14ac:dyDescent="0.25">
      <c r="B13770" s="73"/>
    </row>
    <row r="13771" spans="2:2" x14ac:dyDescent="0.25">
      <c r="B13771" s="73"/>
    </row>
    <row r="13772" spans="2:2" x14ac:dyDescent="0.25">
      <c r="B13772" s="73"/>
    </row>
    <row r="13773" spans="2:2" x14ac:dyDescent="0.25">
      <c r="B13773" s="73"/>
    </row>
    <row r="13774" spans="2:2" x14ac:dyDescent="0.25">
      <c r="B13774" s="73"/>
    </row>
    <row r="13775" spans="2:2" x14ac:dyDescent="0.25">
      <c r="B13775" s="73"/>
    </row>
    <row r="13776" spans="2:2" x14ac:dyDescent="0.25">
      <c r="B13776" s="73"/>
    </row>
    <row r="13777" spans="2:2" x14ac:dyDescent="0.25">
      <c r="B13777" s="73"/>
    </row>
    <row r="13778" spans="2:2" x14ac:dyDescent="0.25">
      <c r="B13778" s="73"/>
    </row>
    <row r="13779" spans="2:2" x14ac:dyDescent="0.25">
      <c r="B13779" s="73"/>
    </row>
    <row r="13780" spans="2:2" x14ac:dyDescent="0.25">
      <c r="B13780" s="73"/>
    </row>
    <row r="13781" spans="2:2" x14ac:dyDescent="0.25">
      <c r="B13781" s="73"/>
    </row>
    <row r="13782" spans="2:2" x14ac:dyDescent="0.25">
      <c r="B13782" s="73"/>
    </row>
    <row r="13783" spans="2:2" x14ac:dyDescent="0.25">
      <c r="B13783" s="73"/>
    </row>
    <row r="13784" spans="2:2" x14ac:dyDescent="0.25">
      <c r="B13784" s="73"/>
    </row>
    <row r="13785" spans="2:2" x14ac:dyDescent="0.25">
      <c r="B13785" s="73"/>
    </row>
    <row r="13786" spans="2:2" x14ac:dyDescent="0.25">
      <c r="B13786" s="73"/>
    </row>
    <row r="13787" spans="2:2" x14ac:dyDescent="0.25">
      <c r="B13787" s="73"/>
    </row>
    <row r="13788" spans="2:2" x14ac:dyDescent="0.25">
      <c r="B13788" s="73"/>
    </row>
    <row r="13789" spans="2:2" x14ac:dyDescent="0.25">
      <c r="B13789" s="73"/>
    </row>
    <row r="13790" spans="2:2" x14ac:dyDescent="0.25">
      <c r="B13790" s="73"/>
    </row>
    <row r="13791" spans="2:2" x14ac:dyDescent="0.25">
      <c r="B13791" s="73"/>
    </row>
    <row r="13792" spans="2:2" x14ac:dyDescent="0.25">
      <c r="B13792" s="73"/>
    </row>
    <row r="13793" spans="2:2" x14ac:dyDescent="0.25">
      <c r="B13793" s="73"/>
    </row>
    <row r="13794" spans="2:2" x14ac:dyDescent="0.25">
      <c r="B13794" s="73"/>
    </row>
    <row r="13795" spans="2:2" x14ac:dyDescent="0.25">
      <c r="B13795" s="73"/>
    </row>
    <row r="13796" spans="2:2" x14ac:dyDescent="0.25">
      <c r="B13796" s="73"/>
    </row>
    <row r="13797" spans="2:2" x14ac:dyDescent="0.25">
      <c r="B13797" s="73"/>
    </row>
    <row r="13798" spans="2:2" x14ac:dyDescent="0.25">
      <c r="B13798" s="73"/>
    </row>
    <row r="13799" spans="2:2" x14ac:dyDescent="0.25">
      <c r="B13799" s="73"/>
    </row>
    <row r="13800" spans="2:2" x14ac:dyDescent="0.25">
      <c r="B13800" s="73"/>
    </row>
    <row r="13801" spans="2:2" x14ac:dyDescent="0.25">
      <c r="B13801" s="73"/>
    </row>
    <row r="13802" spans="2:2" x14ac:dyDescent="0.25">
      <c r="B13802" s="73"/>
    </row>
    <row r="13803" spans="2:2" x14ac:dyDescent="0.25">
      <c r="B13803" s="73"/>
    </row>
    <row r="13804" spans="2:2" x14ac:dyDescent="0.25">
      <c r="B13804" s="73"/>
    </row>
    <row r="13805" spans="2:2" x14ac:dyDescent="0.25">
      <c r="B13805" s="73"/>
    </row>
    <row r="13806" spans="2:2" x14ac:dyDescent="0.25">
      <c r="B13806" s="73"/>
    </row>
    <row r="13807" spans="2:2" x14ac:dyDescent="0.25">
      <c r="B13807" s="73"/>
    </row>
    <row r="13808" spans="2:2" x14ac:dyDescent="0.25">
      <c r="B13808" s="73"/>
    </row>
    <row r="13809" spans="2:2" x14ac:dyDescent="0.25">
      <c r="B13809" s="73"/>
    </row>
    <row r="13810" spans="2:2" x14ac:dyDescent="0.25">
      <c r="B13810" s="73"/>
    </row>
    <row r="13811" spans="2:2" x14ac:dyDescent="0.25">
      <c r="B13811" s="73"/>
    </row>
    <row r="13812" spans="2:2" x14ac:dyDescent="0.25">
      <c r="B13812" s="73"/>
    </row>
    <row r="13813" spans="2:2" x14ac:dyDescent="0.25">
      <c r="B13813" s="73"/>
    </row>
    <row r="13814" spans="2:2" x14ac:dyDescent="0.25">
      <c r="B13814" s="73"/>
    </row>
    <row r="13815" spans="2:2" x14ac:dyDescent="0.25">
      <c r="B13815" s="73"/>
    </row>
    <row r="13816" spans="2:2" x14ac:dyDescent="0.25">
      <c r="B13816" s="73"/>
    </row>
    <row r="13817" spans="2:2" x14ac:dyDescent="0.25">
      <c r="B13817" s="73"/>
    </row>
    <row r="13818" spans="2:2" x14ac:dyDescent="0.25">
      <c r="B13818" s="73"/>
    </row>
    <row r="13819" spans="2:2" x14ac:dyDescent="0.25">
      <c r="B13819" s="73"/>
    </row>
    <row r="13820" spans="2:2" x14ac:dyDescent="0.25">
      <c r="B13820" s="73"/>
    </row>
    <row r="13821" spans="2:2" x14ac:dyDescent="0.25">
      <c r="B13821" s="73"/>
    </row>
    <row r="13822" spans="2:2" x14ac:dyDescent="0.25">
      <c r="B13822" s="73"/>
    </row>
    <row r="13823" spans="2:2" x14ac:dyDescent="0.25">
      <c r="B13823" s="73"/>
    </row>
    <row r="13824" spans="2:2" x14ac:dyDescent="0.25">
      <c r="B13824" s="73"/>
    </row>
    <row r="13825" spans="2:2" x14ac:dyDescent="0.25">
      <c r="B13825" s="73"/>
    </row>
    <row r="13826" spans="2:2" x14ac:dyDescent="0.25">
      <c r="B13826" s="73"/>
    </row>
    <row r="13827" spans="2:2" x14ac:dyDescent="0.25">
      <c r="B13827" s="73"/>
    </row>
    <row r="13828" spans="2:2" x14ac:dyDescent="0.25">
      <c r="B13828" s="73"/>
    </row>
    <row r="13829" spans="2:2" x14ac:dyDescent="0.25">
      <c r="B13829" s="73"/>
    </row>
    <row r="13830" spans="2:2" x14ac:dyDescent="0.25">
      <c r="B13830" s="73"/>
    </row>
    <row r="13831" spans="2:2" x14ac:dyDescent="0.25">
      <c r="B13831" s="73"/>
    </row>
    <row r="13832" spans="2:2" x14ac:dyDescent="0.25">
      <c r="B13832" s="73"/>
    </row>
    <row r="13833" spans="2:2" x14ac:dyDescent="0.25">
      <c r="B13833" s="73"/>
    </row>
    <row r="13834" spans="2:2" x14ac:dyDescent="0.25">
      <c r="B13834" s="73"/>
    </row>
    <row r="13835" spans="2:2" x14ac:dyDescent="0.25">
      <c r="B13835" s="73"/>
    </row>
    <row r="13836" spans="2:2" x14ac:dyDescent="0.25">
      <c r="B13836" s="73"/>
    </row>
    <row r="13837" spans="2:2" x14ac:dyDescent="0.25">
      <c r="B13837" s="73"/>
    </row>
    <row r="13838" spans="2:2" x14ac:dyDescent="0.25">
      <c r="B13838" s="73"/>
    </row>
    <row r="13839" spans="2:2" x14ac:dyDescent="0.25">
      <c r="B13839" s="73"/>
    </row>
    <row r="13840" spans="2:2" x14ac:dyDescent="0.25">
      <c r="B13840" s="73"/>
    </row>
    <row r="13841" spans="2:2" x14ac:dyDescent="0.25">
      <c r="B13841" s="73"/>
    </row>
    <row r="13842" spans="2:2" x14ac:dyDescent="0.25">
      <c r="B13842" s="73"/>
    </row>
    <row r="13843" spans="2:2" x14ac:dyDescent="0.25">
      <c r="B13843" s="73"/>
    </row>
    <row r="13844" spans="2:2" x14ac:dyDescent="0.25">
      <c r="B13844" s="73"/>
    </row>
    <row r="13845" spans="2:2" x14ac:dyDescent="0.25">
      <c r="B13845" s="73"/>
    </row>
    <row r="13846" spans="2:2" x14ac:dyDescent="0.25">
      <c r="B13846" s="73"/>
    </row>
    <row r="13847" spans="2:2" x14ac:dyDescent="0.25">
      <c r="B13847" s="73"/>
    </row>
    <row r="13848" spans="2:2" x14ac:dyDescent="0.25">
      <c r="B13848" s="73"/>
    </row>
    <row r="13849" spans="2:2" x14ac:dyDescent="0.25">
      <c r="B13849" s="73"/>
    </row>
    <row r="13850" spans="2:2" x14ac:dyDescent="0.25">
      <c r="B13850" s="73"/>
    </row>
    <row r="13851" spans="2:2" x14ac:dyDescent="0.25">
      <c r="B13851" s="73"/>
    </row>
    <row r="13852" spans="2:2" x14ac:dyDescent="0.25">
      <c r="B13852" s="73"/>
    </row>
    <row r="13853" spans="2:2" x14ac:dyDescent="0.25">
      <c r="B13853" s="73"/>
    </row>
    <row r="13854" spans="2:2" x14ac:dyDescent="0.25">
      <c r="B13854" s="73"/>
    </row>
    <row r="13855" spans="2:2" x14ac:dyDescent="0.25">
      <c r="B13855" s="73"/>
    </row>
    <row r="13856" spans="2:2" x14ac:dyDescent="0.25">
      <c r="B13856" s="73"/>
    </row>
    <row r="13857" spans="2:2" x14ac:dyDescent="0.25">
      <c r="B13857" s="73"/>
    </row>
    <row r="13858" spans="2:2" x14ac:dyDescent="0.25">
      <c r="B13858" s="73"/>
    </row>
    <row r="13859" spans="2:2" x14ac:dyDescent="0.25">
      <c r="B13859" s="73"/>
    </row>
    <row r="13860" spans="2:2" x14ac:dyDescent="0.25">
      <c r="B13860" s="73"/>
    </row>
    <row r="13861" spans="2:2" x14ac:dyDescent="0.25">
      <c r="B13861" s="73"/>
    </row>
    <row r="13862" spans="2:2" x14ac:dyDescent="0.25">
      <c r="B13862" s="73"/>
    </row>
    <row r="13863" spans="2:2" x14ac:dyDescent="0.25">
      <c r="B13863" s="73"/>
    </row>
    <row r="13864" spans="2:2" x14ac:dyDescent="0.25">
      <c r="B13864" s="73"/>
    </row>
    <row r="13865" spans="2:2" x14ac:dyDescent="0.25">
      <c r="B13865" s="73"/>
    </row>
    <row r="13866" spans="2:2" x14ac:dyDescent="0.25">
      <c r="B13866" s="73"/>
    </row>
    <row r="13867" spans="2:2" x14ac:dyDescent="0.25">
      <c r="B13867" s="73"/>
    </row>
    <row r="13868" spans="2:2" x14ac:dyDescent="0.25">
      <c r="B13868" s="73"/>
    </row>
    <row r="13869" spans="2:2" x14ac:dyDescent="0.25">
      <c r="B13869" s="73"/>
    </row>
    <row r="13870" spans="2:2" x14ac:dyDescent="0.25">
      <c r="B13870" s="73"/>
    </row>
    <row r="13871" spans="2:2" x14ac:dyDescent="0.25">
      <c r="B13871" s="73"/>
    </row>
    <row r="13872" spans="2:2" x14ac:dyDescent="0.25">
      <c r="B13872" s="73"/>
    </row>
    <row r="13873" spans="2:2" x14ac:dyDescent="0.25">
      <c r="B13873" s="73"/>
    </row>
    <row r="13874" spans="2:2" x14ac:dyDescent="0.25">
      <c r="B13874" s="73"/>
    </row>
    <row r="13875" spans="2:2" x14ac:dyDescent="0.25">
      <c r="B13875" s="73"/>
    </row>
    <row r="13876" spans="2:2" x14ac:dyDescent="0.25">
      <c r="B13876" s="73"/>
    </row>
    <row r="13877" spans="2:2" x14ac:dyDescent="0.25">
      <c r="B13877" s="73"/>
    </row>
    <row r="13878" spans="2:2" x14ac:dyDescent="0.25">
      <c r="B13878" s="73"/>
    </row>
    <row r="13879" spans="2:2" x14ac:dyDescent="0.25">
      <c r="B13879" s="73"/>
    </row>
    <row r="13880" spans="2:2" x14ac:dyDescent="0.25">
      <c r="B13880" s="73"/>
    </row>
    <row r="13881" spans="2:2" x14ac:dyDescent="0.25">
      <c r="B13881" s="73"/>
    </row>
    <row r="13882" spans="2:2" x14ac:dyDescent="0.25">
      <c r="B13882" s="73"/>
    </row>
    <row r="13883" spans="2:2" x14ac:dyDescent="0.25">
      <c r="B13883" s="73"/>
    </row>
    <row r="13884" spans="2:2" x14ac:dyDescent="0.25">
      <c r="B13884" s="73"/>
    </row>
    <row r="13885" spans="2:2" x14ac:dyDescent="0.25">
      <c r="B13885" s="73"/>
    </row>
    <row r="13886" spans="2:2" x14ac:dyDescent="0.25">
      <c r="B13886" s="73"/>
    </row>
    <row r="13887" spans="2:2" x14ac:dyDescent="0.25">
      <c r="B13887" s="73"/>
    </row>
    <row r="13888" spans="2:2" x14ac:dyDescent="0.25">
      <c r="B13888" s="73"/>
    </row>
    <row r="13889" spans="2:2" x14ac:dyDescent="0.25">
      <c r="B13889" s="73"/>
    </row>
    <row r="13890" spans="2:2" x14ac:dyDescent="0.25">
      <c r="B13890" s="73"/>
    </row>
    <row r="13891" spans="2:2" x14ac:dyDescent="0.25">
      <c r="B13891" s="73"/>
    </row>
    <row r="13892" spans="2:2" x14ac:dyDescent="0.25">
      <c r="B13892" s="73"/>
    </row>
    <row r="13893" spans="2:2" x14ac:dyDescent="0.25">
      <c r="B13893" s="73"/>
    </row>
    <row r="13894" spans="2:2" x14ac:dyDescent="0.25">
      <c r="B13894" s="73"/>
    </row>
    <row r="13895" spans="2:2" x14ac:dyDescent="0.25">
      <c r="B13895" s="73"/>
    </row>
    <row r="13896" spans="2:2" x14ac:dyDescent="0.25">
      <c r="B13896" s="73"/>
    </row>
    <row r="13897" spans="2:2" x14ac:dyDescent="0.25">
      <c r="B13897" s="73"/>
    </row>
    <row r="13898" spans="2:2" x14ac:dyDescent="0.25">
      <c r="B13898" s="73"/>
    </row>
    <row r="13899" spans="2:2" x14ac:dyDescent="0.25">
      <c r="B13899" s="73"/>
    </row>
    <row r="13900" spans="2:2" x14ac:dyDescent="0.25">
      <c r="B13900" s="73"/>
    </row>
    <row r="13901" spans="2:2" x14ac:dyDescent="0.25">
      <c r="B13901" s="73"/>
    </row>
    <row r="13902" spans="2:2" x14ac:dyDescent="0.25">
      <c r="B13902" s="73"/>
    </row>
    <row r="13903" spans="2:2" x14ac:dyDescent="0.25">
      <c r="B13903" s="73"/>
    </row>
    <row r="13904" spans="2:2" x14ac:dyDescent="0.25">
      <c r="B13904" s="73"/>
    </row>
    <row r="13905" spans="2:2" x14ac:dyDescent="0.25">
      <c r="B13905" s="73"/>
    </row>
    <row r="13906" spans="2:2" x14ac:dyDescent="0.25">
      <c r="B13906" s="73"/>
    </row>
    <row r="13907" spans="2:2" x14ac:dyDescent="0.25">
      <c r="B13907" s="73"/>
    </row>
    <row r="13908" spans="2:2" x14ac:dyDescent="0.25">
      <c r="B13908" s="73"/>
    </row>
    <row r="13909" spans="2:2" x14ac:dyDescent="0.25">
      <c r="B13909" s="73"/>
    </row>
    <row r="13910" spans="2:2" x14ac:dyDescent="0.25">
      <c r="B13910" s="73"/>
    </row>
    <row r="13911" spans="2:2" x14ac:dyDescent="0.25">
      <c r="B13911" s="73"/>
    </row>
    <row r="13912" spans="2:2" x14ac:dyDescent="0.25">
      <c r="B13912" s="73"/>
    </row>
    <row r="13913" spans="2:2" x14ac:dyDescent="0.25">
      <c r="B13913" s="73"/>
    </row>
    <row r="13914" spans="2:2" x14ac:dyDescent="0.25">
      <c r="B13914" s="73"/>
    </row>
    <row r="13915" spans="2:2" x14ac:dyDescent="0.25">
      <c r="B13915" s="73"/>
    </row>
    <row r="13916" spans="2:2" x14ac:dyDescent="0.25">
      <c r="B13916" s="73"/>
    </row>
    <row r="13917" spans="2:2" x14ac:dyDescent="0.25">
      <c r="B13917" s="73"/>
    </row>
    <row r="13918" spans="2:2" x14ac:dyDescent="0.25">
      <c r="B13918" s="73"/>
    </row>
    <row r="13919" spans="2:2" x14ac:dyDescent="0.25">
      <c r="B13919" s="73"/>
    </row>
    <row r="13920" spans="2:2" x14ac:dyDescent="0.25">
      <c r="B13920" s="73"/>
    </row>
    <row r="13921" spans="2:2" x14ac:dyDescent="0.25">
      <c r="B13921" s="73"/>
    </row>
    <row r="13922" spans="2:2" x14ac:dyDescent="0.25">
      <c r="B13922" s="73"/>
    </row>
    <row r="13923" spans="2:2" x14ac:dyDescent="0.25">
      <c r="B13923" s="73"/>
    </row>
    <row r="13924" spans="2:2" x14ac:dyDescent="0.25">
      <c r="B13924" s="73"/>
    </row>
    <row r="13925" spans="2:2" x14ac:dyDescent="0.25">
      <c r="B13925" s="73"/>
    </row>
    <row r="13926" spans="2:2" x14ac:dyDescent="0.25">
      <c r="B13926" s="73"/>
    </row>
    <row r="13927" spans="2:2" x14ac:dyDescent="0.25">
      <c r="B13927" s="73"/>
    </row>
    <row r="13928" spans="2:2" x14ac:dyDescent="0.25">
      <c r="B13928" s="73"/>
    </row>
    <row r="13929" spans="2:2" x14ac:dyDescent="0.25">
      <c r="B13929" s="73"/>
    </row>
    <row r="13930" spans="2:2" x14ac:dyDescent="0.25">
      <c r="B13930" s="73"/>
    </row>
    <row r="13931" spans="2:2" x14ac:dyDescent="0.25">
      <c r="B13931" s="73"/>
    </row>
    <row r="13932" spans="2:2" x14ac:dyDescent="0.25">
      <c r="B13932" s="73"/>
    </row>
    <row r="13933" spans="2:2" x14ac:dyDescent="0.25">
      <c r="B13933" s="73"/>
    </row>
    <row r="13934" spans="2:2" x14ac:dyDescent="0.25">
      <c r="B13934" s="73"/>
    </row>
    <row r="13935" spans="2:2" x14ac:dyDescent="0.25">
      <c r="B13935" s="73"/>
    </row>
    <row r="13936" spans="2:2" x14ac:dyDescent="0.25">
      <c r="B13936" s="73"/>
    </row>
    <row r="13937" spans="2:2" x14ac:dyDescent="0.25">
      <c r="B13937" s="73"/>
    </row>
    <row r="13938" spans="2:2" x14ac:dyDescent="0.25">
      <c r="B13938" s="73"/>
    </row>
    <row r="13939" spans="2:2" x14ac:dyDescent="0.25">
      <c r="B13939" s="73"/>
    </row>
    <row r="13940" spans="2:2" x14ac:dyDescent="0.25">
      <c r="B13940" s="73"/>
    </row>
    <row r="13941" spans="2:2" x14ac:dyDescent="0.25">
      <c r="B13941" s="73"/>
    </row>
    <row r="13942" spans="2:2" x14ac:dyDescent="0.25">
      <c r="B13942" s="73"/>
    </row>
    <row r="13943" spans="2:2" x14ac:dyDescent="0.25">
      <c r="B13943" s="73"/>
    </row>
    <row r="13944" spans="2:2" x14ac:dyDescent="0.25">
      <c r="B13944" s="73"/>
    </row>
    <row r="13945" spans="2:2" x14ac:dyDescent="0.25">
      <c r="B13945" s="73"/>
    </row>
    <row r="13946" spans="2:2" x14ac:dyDescent="0.25">
      <c r="B13946" s="73"/>
    </row>
    <row r="13947" spans="2:2" x14ac:dyDescent="0.25">
      <c r="B13947" s="73"/>
    </row>
    <row r="13948" spans="2:2" x14ac:dyDescent="0.25">
      <c r="B13948" s="73"/>
    </row>
    <row r="13949" spans="2:2" x14ac:dyDescent="0.25">
      <c r="B13949" s="73"/>
    </row>
    <row r="13950" spans="2:2" x14ac:dyDescent="0.25">
      <c r="B13950" s="73"/>
    </row>
    <row r="13951" spans="2:2" x14ac:dyDescent="0.25">
      <c r="B13951" s="73"/>
    </row>
    <row r="13952" spans="2:2" x14ac:dyDescent="0.25">
      <c r="B13952" s="73"/>
    </row>
    <row r="13953" spans="2:2" x14ac:dyDescent="0.25">
      <c r="B13953" s="73"/>
    </row>
    <row r="13954" spans="2:2" x14ac:dyDescent="0.25">
      <c r="B13954" s="73"/>
    </row>
    <row r="13955" spans="2:2" x14ac:dyDescent="0.25">
      <c r="B13955" s="73"/>
    </row>
    <row r="13956" spans="2:2" x14ac:dyDescent="0.25">
      <c r="B13956" s="73"/>
    </row>
    <row r="13957" spans="2:2" x14ac:dyDescent="0.25">
      <c r="B13957" s="73"/>
    </row>
    <row r="13958" spans="2:2" x14ac:dyDescent="0.25">
      <c r="B13958" s="73"/>
    </row>
    <row r="13959" spans="2:2" x14ac:dyDescent="0.25">
      <c r="B13959" s="73"/>
    </row>
    <row r="13960" spans="2:2" x14ac:dyDescent="0.25">
      <c r="B13960" s="73"/>
    </row>
    <row r="13961" spans="2:2" x14ac:dyDescent="0.25">
      <c r="B13961" s="73"/>
    </row>
    <row r="13962" spans="2:2" x14ac:dyDescent="0.25">
      <c r="B13962" s="73"/>
    </row>
    <row r="13963" spans="2:2" x14ac:dyDescent="0.25">
      <c r="B13963" s="73"/>
    </row>
    <row r="13964" spans="2:2" x14ac:dyDescent="0.25">
      <c r="B13964" s="73"/>
    </row>
    <row r="13965" spans="2:2" x14ac:dyDescent="0.25">
      <c r="B13965" s="73"/>
    </row>
    <row r="13966" spans="2:2" x14ac:dyDescent="0.25">
      <c r="B13966" s="73"/>
    </row>
    <row r="13967" spans="2:2" x14ac:dyDescent="0.25">
      <c r="B13967" s="73"/>
    </row>
    <row r="13968" spans="2:2" x14ac:dyDescent="0.25">
      <c r="B13968" s="73"/>
    </row>
    <row r="13969" spans="2:2" x14ac:dyDescent="0.25">
      <c r="B13969" s="73"/>
    </row>
    <row r="13970" spans="2:2" x14ac:dyDescent="0.25">
      <c r="B13970" s="73"/>
    </row>
    <row r="13971" spans="2:2" x14ac:dyDescent="0.25">
      <c r="B13971" s="73"/>
    </row>
    <row r="13972" spans="2:2" x14ac:dyDescent="0.25">
      <c r="B13972" s="73"/>
    </row>
    <row r="13973" spans="2:2" x14ac:dyDescent="0.25">
      <c r="B13973" s="73"/>
    </row>
    <row r="13974" spans="2:2" x14ac:dyDescent="0.25">
      <c r="B13974" s="73"/>
    </row>
    <row r="13975" spans="2:2" x14ac:dyDescent="0.25">
      <c r="B13975" s="73"/>
    </row>
    <row r="13976" spans="2:2" x14ac:dyDescent="0.25">
      <c r="B13976" s="73"/>
    </row>
    <row r="13977" spans="2:2" x14ac:dyDescent="0.25">
      <c r="B13977" s="73"/>
    </row>
    <row r="13978" spans="2:2" x14ac:dyDescent="0.25">
      <c r="B13978" s="73"/>
    </row>
    <row r="13979" spans="2:2" x14ac:dyDescent="0.25">
      <c r="B13979" s="73"/>
    </row>
    <row r="13980" spans="2:2" x14ac:dyDescent="0.25">
      <c r="B13980" s="73"/>
    </row>
    <row r="13981" spans="2:2" x14ac:dyDescent="0.25">
      <c r="B13981" s="73"/>
    </row>
    <row r="13982" spans="2:2" x14ac:dyDescent="0.25">
      <c r="B13982" s="73"/>
    </row>
    <row r="13983" spans="2:2" x14ac:dyDescent="0.25">
      <c r="B13983" s="73"/>
    </row>
    <row r="13984" spans="2:2" x14ac:dyDescent="0.25">
      <c r="B13984" s="73"/>
    </row>
    <row r="13985" spans="2:2" x14ac:dyDescent="0.25">
      <c r="B13985" s="73"/>
    </row>
    <row r="13986" spans="2:2" x14ac:dyDescent="0.25">
      <c r="B13986" s="73"/>
    </row>
    <row r="13987" spans="2:2" x14ac:dyDescent="0.25">
      <c r="B13987" s="73"/>
    </row>
    <row r="13988" spans="2:2" x14ac:dyDescent="0.25">
      <c r="B13988" s="73"/>
    </row>
    <row r="13989" spans="2:2" x14ac:dyDescent="0.25">
      <c r="B13989" s="73"/>
    </row>
    <row r="13990" spans="2:2" x14ac:dyDescent="0.25">
      <c r="B13990" s="73"/>
    </row>
    <row r="13991" spans="2:2" x14ac:dyDescent="0.25">
      <c r="B13991" s="73"/>
    </row>
    <row r="13992" spans="2:2" x14ac:dyDescent="0.25">
      <c r="B13992" s="73"/>
    </row>
    <row r="13993" spans="2:2" x14ac:dyDescent="0.25">
      <c r="B13993" s="73"/>
    </row>
    <row r="13994" spans="2:2" x14ac:dyDescent="0.25">
      <c r="B13994" s="73"/>
    </row>
    <row r="13995" spans="2:2" x14ac:dyDescent="0.25">
      <c r="B13995" s="73"/>
    </row>
    <row r="13996" spans="2:2" x14ac:dyDescent="0.25">
      <c r="B13996" s="73"/>
    </row>
    <row r="13997" spans="2:2" x14ac:dyDescent="0.25">
      <c r="B13997" s="73"/>
    </row>
    <row r="13998" spans="2:2" x14ac:dyDescent="0.25">
      <c r="B13998" s="73"/>
    </row>
    <row r="13999" spans="2:2" x14ac:dyDescent="0.25">
      <c r="B13999" s="73"/>
    </row>
    <row r="14000" spans="2:2" x14ac:dyDescent="0.25">
      <c r="B14000" s="73"/>
    </row>
    <row r="14001" spans="2:2" x14ac:dyDescent="0.25">
      <c r="B14001" s="73"/>
    </row>
    <row r="14002" spans="2:2" x14ac:dyDescent="0.25">
      <c r="B14002" s="73"/>
    </row>
    <row r="14003" spans="2:2" x14ac:dyDescent="0.25">
      <c r="B14003" s="73"/>
    </row>
    <row r="14004" spans="2:2" x14ac:dyDescent="0.25">
      <c r="B14004" s="73"/>
    </row>
    <row r="14005" spans="2:2" x14ac:dyDescent="0.25">
      <c r="B14005" s="73"/>
    </row>
    <row r="14006" spans="2:2" x14ac:dyDescent="0.25">
      <c r="B14006" s="73"/>
    </row>
    <row r="14007" spans="2:2" x14ac:dyDescent="0.25">
      <c r="B14007" s="73"/>
    </row>
    <row r="14008" spans="2:2" x14ac:dyDescent="0.25">
      <c r="B14008" s="73"/>
    </row>
    <row r="14009" spans="2:2" x14ac:dyDescent="0.25">
      <c r="B14009" s="73"/>
    </row>
    <row r="14010" spans="2:2" x14ac:dyDescent="0.25">
      <c r="B14010" s="73"/>
    </row>
    <row r="14011" spans="2:2" x14ac:dyDescent="0.25">
      <c r="B14011" s="73"/>
    </row>
    <row r="14012" spans="2:2" x14ac:dyDescent="0.25">
      <c r="B14012" s="73"/>
    </row>
    <row r="14013" spans="2:2" x14ac:dyDescent="0.25">
      <c r="B14013" s="73"/>
    </row>
    <row r="14014" spans="2:2" x14ac:dyDescent="0.25">
      <c r="B14014" s="73"/>
    </row>
    <row r="14015" spans="2:2" x14ac:dyDescent="0.25">
      <c r="B14015" s="73"/>
    </row>
    <row r="14016" spans="2:2" x14ac:dyDescent="0.25">
      <c r="B14016" s="73"/>
    </row>
    <row r="14017" spans="2:2" x14ac:dyDescent="0.25">
      <c r="B14017" s="73"/>
    </row>
    <row r="14018" spans="2:2" x14ac:dyDescent="0.25">
      <c r="B14018" s="73"/>
    </row>
    <row r="14019" spans="2:2" x14ac:dyDescent="0.25">
      <c r="B14019" s="73"/>
    </row>
    <row r="14020" spans="2:2" x14ac:dyDescent="0.25">
      <c r="B14020" s="73"/>
    </row>
    <row r="14021" spans="2:2" x14ac:dyDescent="0.25">
      <c r="B14021" s="73"/>
    </row>
    <row r="14022" spans="2:2" x14ac:dyDescent="0.25">
      <c r="B14022" s="73"/>
    </row>
    <row r="14023" spans="2:2" x14ac:dyDescent="0.25">
      <c r="B14023" s="73"/>
    </row>
    <row r="14024" spans="2:2" x14ac:dyDescent="0.25">
      <c r="B14024" s="73"/>
    </row>
    <row r="14025" spans="2:2" x14ac:dyDescent="0.25">
      <c r="B14025" s="73"/>
    </row>
    <row r="14026" spans="2:2" x14ac:dyDescent="0.25">
      <c r="B14026" s="73"/>
    </row>
    <row r="14027" spans="2:2" x14ac:dyDescent="0.25">
      <c r="B14027" s="73"/>
    </row>
    <row r="14028" spans="2:2" x14ac:dyDescent="0.25">
      <c r="B14028" s="73"/>
    </row>
    <row r="14029" spans="2:2" x14ac:dyDescent="0.25">
      <c r="B14029" s="73"/>
    </row>
    <row r="14030" spans="2:2" x14ac:dyDescent="0.25">
      <c r="B14030" s="73"/>
    </row>
    <row r="14031" spans="2:2" x14ac:dyDescent="0.25">
      <c r="B14031" s="73"/>
    </row>
    <row r="14032" spans="2:2" x14ac:dyDescent="0.25">
      <c r="B14032" s="73"/>
    </row>
    <row r="14033" spans="2:2" x14ac:dyDescent="0.25">
      <c r="B14033" s="73"/>
    </row>
    <row r="14034" spans="2:2" x14ac:dyDescent="0.25">
      <c r="B14034" s="73"/>
    </row>
    <row r="14035" spans="2:2" x14ac:dyDescent="0.25">
      <c r="B14035" s="73"/>
    </row>
    <row r="14036" spans="2:2" x14ac:dyDescent="0.25">
      <c r="B14036" s="73"/>
    </row>
    <row r="14037" spans="2:2" x14ac:dyDescent="0.25">
      <c r="B14037" s="73"/>
    </row>
    <row r="14038" spans="2:2" x14ac:dyDescent="0.25">
      <c r="B14038" s="73"/>
    </row>
    <row r="14039" spans="2:2" x14ac:dyDescent="0.25">
      <c r="B14039" s="73"/>
    </row>
    <row r="14040" spans="2:2" x14ac:dyDescent="0.25">
      <c r="B14040" s="73"/>
    </row>
    <row r="14041" spans="2:2" x14ac:dyDescent="0.25">
      <c r="B14041" s="73"/>
    </row>
    <row r="14042" spans="2:2" x14ac:dyDescent="0.25">
      <c r="B14042" s="73"/>
    </row>
    <row r="14043" spans="2:2" x14ac:dyDescent="0.25">
      <c r="B14043" s="73"/>
    </row>
    <row r="14044" spans="2:2" x14ac:dyDescent="0.25">
      <c r="B14044" s="73"/>
    </row>
    <row r="14045" spans="2:2" x14ac:dyDescent="0.25">
      <c r="B14045" s="73"/>
    </row>
    <row r="14046" spans="2:2" x14ac:dyDescent="0.25">
      <c r="B14046" s="73"/>
    </row>
    <row r="14047" spans="2:2" x14ac:dyDescent="0.25">
      <c r="B14047" s="73"/>
    </row>
    <row r="14048" spans="2:2" x14ac:dyDescent="0.25">
      <c r="B14048" s="73"/>
    </row>
    <row r="14049" spans="2:2" x14ac:dyDescent="0.25">
      <c r="B14049" s="73"/>
    </row>
    <row r="14050" spans="2:2" x14ac:dyDescent="0.25">
      <c r="B14050" s="73"/>
    </row>
    <row r="14051" spans="2:2" x14ac:dyDescent="0.25">
      <c r="B14051" s="73"/>
    </row>
    <row r="14052" spans="2:2" x14ac:dyDescent="0.25">
      <c r="B14052" s="73"/>
    </row>
    <row r="14053" spans="2:2" x14ac:dyDescent="0.25">
      <c r="B14053" s="73"/>
    </row>
    <row r="14054" spans="2:2" x14ac:dyDescent="0.25">
      <c r="B14054" s="73"/>
    </row>
    <row r="14055" spans="2:2" x14ac:dyDescent="0.25">
      <c r="B14055" s="73"/>
    </row>
    <row r="14056" spans="2:2" x14ac:dyDescent="0.25">
      <c r="B14056" s="73"/>
    </row>
    <row r="14057" spans="2:2" x14ac:dyDescent="0.25">
      <c r="B14057" s="73"/>
    </row>
    <row r="14058" spans="2:2" x14ac:dyDescent="0.25">
      <c r="B14058" s="73"/>
    </row>
    <row r="14059" spans="2:2" x14ac:dyDescent="0.25">
      <c r="B14059" s="73"/>
    </row>
    <row r="14060" spans="2:2" x14ac:dyDescent="0.25">
      <c r="B14060" s="73"/>
    </row>
    <row r="14061" spans="2:2" x14ac:dyDescent="0.25">
      <c r="B14061" s="73"/>
    </row>
    <row r="14062" spans="2:2" x14ac:dyDescent="0.25">
      <c r="B14062" s="73"/>
    </row>
    <row r="14063" spans="2:2" x14ac:dyDescent="0.25">
      <c r="B14063" s="73"/>
    </row>
    <row r="14064" spans="2:2" x14ac:dyDescent="0.25">
      <c r="B14064" s="73"/>
    </row>
    <row r="14065" spans="2:2" x14ac:dyDescent="0.25">
      <c r="B14065" s="73"/>
    </row>
    <row r="14066" spans="2:2" x14ac:dyDescent="0.25">
      <c r="B14066" s="73"/>
    </row>
    <row r="14067" spans="2:2" x14ac:dyDescent="0.25">
      <c r="B14067" s="73"/>
    </row>
    <row r="14068" spans="2:2" x14ac:dyDescent="0.25">
      <c r="B14068" s="73"/>
    </row>
    <row r="14069" spans="2:2" x14ac:dyDescent="0.25">
      <c r="B14069" s="73"/>
    </row>
    <row r="14070" spans="2:2" x14ac:dyDescent="0.25">
      <c r="B14070" s="73"/>
    </row>
    <row r="14071" spans="2:2" x14ac:dyDescent="0.25">
      <c r="B14071" s="73"/>
    </row>
    <row r="14072" spans="2:2" x14ac:dyDescent="0.25">
      <c r="B14072" s="73"/>
    </row>
    <row r="14073" spans="2:2" x14ac:dyDescent="0.25">
      <c r="B14073" s="73"/>
    </row>
    <row r="14074" spans="2:2" x14ac:dyDescent="0.25">
      <c r="B14074" s="73"/>
    </row>
    <row r="14075" spans="2:2" x14ac:dyDescent="0.25">
      <c r="B14075" s="73"/>
    </row>
    <row r="14076" spans="2:2" x14ac:dyDescent="0.25">
      <c r="B14076" s="73"/>
    </row>
    <row r="14077" spans="2:2" x14ac:dyDescent="0.25">
      <c r="B14077" s="73"/>
    </row>
    <row r="14078" spans="2:2" x14ac:dyDescent="0.25">
      <c r="B14078" s="73"/>
    </row>
    <row r="14079" spans="2:2" x14ac:dyDescent="0.25">
      <c r="B14079" s="73"/>
    </row>
    <row r="14080" spans="2:2" x14ac:dyDescent="0.25">
      <c r="B14080" s="73"/>
    </row>
    <row r="14081" spans="2:2" x14ac:dyDescent="0.25">
      <c r="B14081" s="73"/>
    </row>
    <row r="14082" spans="2:2" x14ac:dyDescent="0.25">
      <c r="B14082" s="73"/>
    </row>
    <row r="14083" spans="2:2" x14ac:dyDescent="0.25">
      <c r="B14083" s="73"/>
    </row>
    <row r="14084" spans="2:2" x14ac:dyDescent="0.25">
      <c r="B14084" s="73"/>
    </row>
    <row r="14085" spans="2:2" x14ac:dyDescent="0.25">
      <c r="B14085" s="73"/>
    </row>
    <row r="14086" spans="2:2" x14ac:dyDescent="0.25">
      <c r="B14086" s="73"/>
    </row>
    <row r="14087" spans="2:2" x14ac:dyDescent="0.25">
      <c r="B14087" s="73"/>
    </row>
    <row r="14088" spans="2:2" x14ac:dyDescent="0.25">
      <c r="B14088" s="73"/>
    </row>
    <row r="14089" spans="2:2" x14ac:dyDescent="0.25">
      <c r="B14089" s="73"/>
    </row>
    <row r="14090" spans="2:2" x14ac:dyDescent="0.25">
      <c r="B14090" s="73"/>
    </row>
    <row r="14091" spans="2:2" x14ac:dyDescent="0.25">
      <c r="B14091" s="73"/>
    </row>
    <row r="14092" spans="2:2" x14ac:dyDescent="0.25">
      <c r="B14092" s="73"/>
    </row>
    <row r="14093" spans="2:2" x14ac:dyDescent="0.25">
      <c r="B14093" s="73"/>
    </row>
    <row r="14094" spans="2:2" x14ac:dyDescent="0.25">
      <c r="B14094" s="73"/>
    </row>
    <row r="14095" spans="2:2" x14ac:dyDescent="0.25">
      <c r="B14095" s="73"/>
    </row>
    <row r="14096" spans="2:2" x14ac:dyDescent="0.25">
      <c r="B14096" s="73"/>
    </row>
    <row r="14097" spans="2:2" x14ac:dyDescent="0.25">
      <c r="B14097" s="73"/>
    </row>
    <row r="14098" spans="2:2" x14ac:dyDescent="0.25">
      <c r="B14098" s="73"/>
    </row>
    <row r="14099" spans="2:2" x14ac:dyDescent="0.25">
      <c r="B14099" s="73"/>
    </row>
    <row r="14100" spans="2:2" x14ac:dyDescent="0.25">
      <c r="B14100" s="73"/>
    </row>
    <row r="14101" spans="2:2" x14ac:dyDescent="0.25">
      <c r="B14101" s="73"/>
    </row>
    <row r="14102" spans="2:2" x14ac:dyDescent="0.25">
      <c r="B14102" s="73"/>
    </row>
    <row r="14103" spans="2:2" x14ac:dyDescent="0.25">
      <c r="B14103" s="73"/>
    </row>
    <row r="14104" spans="2:2" x14ac:dyDescent="0.25">
      <c r="B14104" s="73"/>
    </row>
    <row r="14105" spans="2:2" x14ac:dyDescent="0.25">
      <c r="B14105" s="73"/>
    </row>
    <row r="14106" spans="2:2" x14ac:dyDescent="0.25">
      <c r="B14106" s="73"/>
    </row>
    <row r="14107" spans="2:2" x14ac:dyDescent="0.25">
      <c r="B14107" s="73"/>
    </row>
    <row r="14108" spans="2:2" x14ac:dyDescent="0.25">
      <c r="B14108" s="73"/>
    </row>
    <row r="14109" spans="2:2" x14ac:dyDescent="0.25">
      <c r="B14109" s="73"/>
    </row>
    <row r="14110" spans="2:2" x14ac:dyDescent="0.25">
      <c r="B14110" s="73"/>
    </row>
    <row r="14111" spans="2:2" x14ac:dyDescent="0.25">
      <c r="B14111" s="73"/>
    </row>
    <row r="14112" spans="2:2" x14ac:dyDescent="0.25">
      <c r="B14112" s="73"/>
    </row>
    <row r="14113" spans="2:2" x14ac:dyDescent="0.25">
      <c r="B14113" s="73"/>
    </row>
    <row r="14114" spans="2:2" x14ac:dyDescent="0.25">
      <c r="B14114" s="73"/>
    </row>
    <row r="14115" spans="2:2" x14ac:dyDescent="0.25">
      <c r="B14115" s="73"/>
    </row>
    <row r="14116" spans="2:2" x14ac:dyDescent="0.25">
      <c r="B14116" s="73"/>
    </row>
    <row r="14117" spans="2:2" x14ac:dyDescent="0.25">
      <c r="B14117" s="73"/>
    </row>
    <row r="14118" spans="2:2" x14ac:dyDescent="0.25">
      <c r="B14118" s="73"/>
    </row>
    <row r="14119" spans="2:2" x14ac:dyDescent="0.25">
      <c r="B14119" s="73"/>
    </row>
    <row r="14120" spans="2:2" x14ac:dyDescent="0.25">
      <c r="B14120" s="73"/>
    </row>
    <row r="14121" spans="2:2" x14ac:dyDescent="0.25">
      <c r="B14121" s="73"/>
    </row>
    <row r="14122" spans="2:2" x14ac:dyDescent="0.25">
      <c r="B14122" s="73"/>
    </row>
    <row r="14123" spans="2:2" x14ac:dyDescent="0.25">
      <c r="B14123" s="73"/>
    </row>
    <row r="14124" spans="2:2" x14ac:dyDescent="0.25">
      <c r="B14124" s="73"/>
    </row>
    <row r="14125" spans="2:2" x14ac:dyDescent="0.25">
      <c r="B14125" s="73"/>
    </row>
    <row r="14126" spans="2:2" x14ac:dyDescent="0.25">
      <c r="B14126" s="73"/>
    </row>
    <row r="14127" spans="2:2" x14ac:dyDescent="0.25">
      <c r="B14127" s="73"/>
    </row>
    <row r="14128" spans="2:2" x14ac:dyDescent="0.25">
      <c r="B14128" s="73"/>
    </row>
    <row r="14129" spans="2:2" x14ac:dyDescent="0.25">
      <c r="B14129" s="73"/>
    </row>
    <row r="14130" spans="2:2" x14ac:dyDescent="0.25">
      <c r="B14130" s="73"/>
    </row>
    <row r="14131" spans="2:2" x14ac:dyDescent="0.25">
      <c r="B14131" s="73"/>
    </row>
    <row r="14132" spans="2:2" x14ac:dyDescent="0.25">
      <c r="B14132" s="73"/>
    </row>
    <row r="14133" spans="2:2" x14ac:dyDescent="0.25">
      <c r="B14133" s="73"/>
    </row>
    <row r="14134" spans="2:2" x14ac:dyDescent="0.25">
      <c r="B14134" s="73"/>
    </row>
    <row r="14135" spans="2:2" x14ac:dyDescent="0.25">
      <c r="B14135" s="73"/>
    </row>
    <row r="14136" spans="2:2" x14ac:dyDescent="0.25">
      <c r="B14136" s="73"/>
    </row>
    <row r="14137" spans="2:2" x14ac:dyDescent="0.25">
      <c r="B14137" s="73"/>
    </row>
    <row r="14138" spans="2:2" x14ac:dyDescent="0.25">
      <c r="B14138" s="73"/>
    </row>
    <row r="14139" spans="2:2" x14ac:dyDescent="0.25">
      <c r="B14139" s="73"/>
    </row>
    <row r="14140" spans="2:2" x14ac:dyDescent="0.25">
      <c r="B14140" s="73"/>
    </row>
    <row r="14141" spans="2:2" x14ac:dyDescent="0.25">
      <c r="B14141" s="73"/>
    </row>
    <row r="14142" spans="2:2" x14ac:dyDescent="0.25">
      <c r="B14142" s="73"/>
    </row>
    <row r="14143" spans="2:2" x14ac:dyDescent="0.25">
      <c r="B14143" s="73"/>
    </row>
    <row r="14144" spans="2:2" x14ac:dyDescent="0.25">
      <c r="B14144" s="73"/>
    </row>
    <row r="14145" spans="2:2" x14ac:dyDescent="0.25">
      <c r="B14145" s="73"/>
    </row>
    <row r="14146" spans="2:2" x14ac:dyDescent="0.25">
      <c r="B14146" s="73"/>
    </row>
    <row r="14147" spans="2:2" x14ac:dyDescent="0.25">
      <c r="B14147" s="73"/>
    </row>
    <row r="14148" spans="2:2" x14ac:dyDescent="0.25">
      <c r="B14148" s="73"/>
    </row>
    <row r="14149" spans="2:2" x14ac:dyDescent="0.25">
      <c r="B14149" s="73"/>
    </row>
    <row r="14150" spans="2:2" x14ac:dyDescent="0.25">
      <c r="B14150" s="73"/>
    </row>
    <row r="14151" spans="2:2" x14ac:dyDescent="0.25">
      <c r="B14151" s="73"/>
    </row>
    <row r="14152" spans="2:2" x14ac:dyDescent="0.25">
      <c r="B14152" s="73"/>
    </row>
    <row r="14153" spans="2:2" x14ac:dyDescent="0.25">
      <c r="B14153" s="73"/>
    </row>
    <row r="14154" spans="2:2" x14ac:dyDescent="0.25">
      <c r="B14154" s="73"/>
    </row>
    <row r="14155" spans="2:2" x14ac:dyDescent="0.25">
      <c r="B14155" s="73"/>
    </row>
    <row r="14156" spans="2:2" x14ac:dyDescent="0.25">
      <c r="B14156" s="73"/>
    </row>
    <row r="14157" spans="2:2" x14ac:dyDescent="0.25">
      <c r="B14157" s="73"/>
    </row>
    <row r="14158" spans="2:2" x14ac:dyDescent="0.25">
      <c r="B14158" s="73"/>
    </row>
    <row r="14159" spans="2:2" x14ac:dyDescent="0.25">
      <c r="B14159" s="73"/>
    </row>
    <row r="14160" spans="2:2" x14ac:dyDescent="0.25">
      <c r="B14160" s="73"/>
    </row>
    <row r="14161" spans="2:2" x14ac:dyDescent="0.25">
      <c r="B14161" s="73"/>
    </row>
    <row r="14162" spans="2:2" x14ac:dyDescent="0.25">
      <c r="B14162" s="73"/>
    </row>
    <row r="14163" spans="2:2" x14ac:dyDescent="0.25">
      <c r="B14163" s="73"/>
    </row>
    <row r="14164" spans="2:2" x14ac:dyDescent="0.25">
      <c r="B14164" s="73"/>
    </row>
    <row r="14165" spans="2:2" x14ac:dyDescent="0.25">
      <c r="B14165" s="73"/>
    </row>
    <row r="14166" spans="2:2" x14ac:dyDescent="0.25">
      <c r="B14166" s="73"/>
    </row>
    <row r="14167" spans="2:2" x14ac:dyDescent="0.25">
      <c r="B14167" s="73"/>
    </row>
    <row r="14168" spans="2:2" x14ac:dyDescent="0.25">
      <c r="B14168" s="73"/>
    </row>
    <row r="14169" spans="2:2" x14ac:dyDescent="0.25">
      <c r="B14169" s="73"/>
    </row>
    <row r="14170" spans="2:2" x14ac:dyDescent="0.25">
      <c r="B14170" s="73"/>
    </row>
    <row r="14171" spans="2:2" x14ac:dyDescent="0.25">
      <c r="B14171" s="73"/>
    </row>
    <row r="14172" spans="2:2" x14ac:dyDescent="0.25">
      <c r="B14172" s="73"/>
    </row>
    <row r="14173" spans="2:2" x14ac:dyDescent="0.25">
      <c r="B14173" s="73"/>
    </row>
    <row r="14174" spans="2:2" x14ac:dyDescent="0.25">
      <c r="B14174" s="73"/>
    </row>
    <row r="14175" spans="2:2" x14ac:dyDescent="0.25">
      <c r="B14175" s="73"/>
    </row>
    <row r="14176" spans="2:2" x14ac:dyDescent="0.25">
      <c r="B14176" s="73"/>
    </row>
    <row r="14177" spans="2:2" x14ac:dyDescent="0.25">
      <c r="B14177" s="73"/>
    </row>
    <row r="14178" spans="2:2" x14ac:dyDescent="0.25">
      <c r="B14178" s="73"/>
    </row>
    <row r="14179" spans="2:2" x14ac:dyDescent="0.25">
      <c r="B14179" s="73"/>
    </row>
    <row r="14180" spans="2:2" x14ac:dyDescent="0.25">
      <c r="B14180" s="73"/>
    </row>
    <row r="14181" spans="2:2" x14ac:dyDescent="0.25">
      <c r="B14181" s="73"/>
    </row>
    <row r="14182" spans="2:2" x14ac:dyDescent="0.25">
      <c r="B14182" s="73"/>
    </row>
    <row r="14183" spans="2:2" x14ac:dyDescent="0.25">
      <c r="B14183" s="73"/>
    </row>
    <row r="14184" spans="2:2" x14ac:dyDescent="0.25">
      <c r="B14184" s="73"/>
    </row>
    <row r="14185" spans="2:2" x14ac:dyDescent="0.25">
      <c r="B14185" s="73"/>
    </row>
    <row r="14186" spans="2:2" x14ac:dyDescent="0.25">
      <c r="B14186" s="73"/>
    </row>
    <row r="14187" spans="2:2" x14ac:dyDescent="0.25">
      <c r="B14187" s="73"/>
    </row>
    <row r="14188" spans="2:2" x14ac:dyDescent="0.25">
      <c r="B14188" s="73"/>
    </row>
    <row r="14189" spans="2:2" x14ac:dyDescent="0.25">
      <c r="B14189" s="73"/>
    </row>
    <row r="14190" spans="2:2" x14ac:dyDescent="0.25">
      <c r="B14190" s="73"/>
    </row>
    <row r="14191" spans="2:2" x14ac:dyDescent="0.25">
      <c r="B14191" s="73"/>
    </row>
    <row r="14192" spans="2:2" x14ac:dyDescent="0.25">
      <c r="B14192" s="73"/>
    </row>
    <row r="14193" spans="2:2" x14ac:dyDescent="0.25">
      <c r="B14193" s="73"/>
    </row>
    <row r="14194" spans="2:2" x14ac:dyDescent="0.25">
      <c r="B14194" s="73"/>
    </row>
    <row r="14195" spans="2:2" x14ac:dyDescent="0.25">
      <c r="B14195" s="73"/>
    </row>
    <row r="14196" spans="2:2" x14ac:dyDescent="0.25">
      <c r="B14196" s="73"/>
    </row>
    <row r="14197" spans="2:2" x14ac:dyDescent="0.25">
      <c r="B14197" s="73"/>
    </row>
    <row r="14198" spans="2:2" x14ac:dyDescent="0.25">
      <c r="B14198" s="73"/>
    </row>
    <row r="14199" spans="2:2" x14ac:dyDescent="0.25">
      <c r="B14199" s="73"/>
    </row>
    <row r="14200" spans="2:2" x14ac:dyDescent="0.25">
      <c r="B14200" s="73"/>
    </row>
    <row r="14201" spans="2:2" x14ac:dyDescent="0.25">
      <c r="B14201" s="73"/>
    </row>
    <row r="14202" spans="2:2" x14ac:dyDescent="0.25">
      <c r="B14202" s="73"/>
    </row>
    <row r="14203" spans="2:2" x14ac:dyDescent="0.25">
      <c r="B14203" s="73"/>
    </row>
    <row r="14204" spans="2:2" x14ac:dyDescent="0.25">
      <c r="B14204" s="73"/>
    </row>
    <row r="14205" spans="2:2" x14ac:dyDescent="0.25">
      <c r="B14205" s="73"/>
    </row>
    <row r="14206" spans="2:2" x14ac:dyDescent="0.25">
      <c r="B14206" s="73"/>
    </row>
    <row r="14207" spans="2:2" x14ac:dyDescent="0.25">
      <c r="B14207" s="73"/>
    </row>
    <row r="14208" spans="2:2" x14ac:dyDescent="0.25">
      <c r="B14208" s="73"/>
    </row>
    <row r="14209" spans="2:2" x14ac:dyDescent="0.25">
      <c r="B14209" s="73"/>
    </row>
    <row r="14210" spans="2:2" x14ac:dyDescent="0.25">
      <c r="B14210" s="73"/>
    </row>
    <row r="14211" spans="2:2" x14ac:dyDescent="0.25">
      <c r="B14211" s="73"/>
    </row>
    <row r="14212" spans="2:2" x14ac:dyDescent="0.25">
      <c r="B14212" s="73"/>
    </row>
    <row r="14213" spans="2:2" x14ac:dyDescent="0.25">
      <c r="B14213" s="73"/>
    </row>
    <row r="14214" spans="2:2" x14ac:dyDescent="0.25">
      <c r="B14214" s="73"/>
    </row>
    <row r="14215" spans="2:2" x14ac:dyDescent="0.25">
      <c r="B14215" s="73"/>
    </row>
    <row r="14216" spans="2:2" x14ac:dyDescent="0.25">
      <c r="B14216" s="73"/>
    </row>
    <row r="14217" spans="2:2" x14ac:dyDescent="0.25">
      <c r="B14217" s="73"/>
    </row>
    <row r="14218" spans="2:2" x14ac:dyDescent="0.25">
      <c r="B14218" s="73"/>
    </row>
    <row r="14219" spans="2:2" x14ac:dyDescent="0.25">
      <c r="B14219" s="73"/>
    </row>
    <row r="14220" spans="2:2" x14ac:dyDescent="0.25">
      <c r="B14220" s="73"/>
    </row>
    <row r="14221" spans="2:2" x14ac:dyDescent="0.25">
      <c r="B14221" s="73"/>
    </row>
    <row r="14222" spans="2:2" x14ac:dyDescent="0.25">
      <c r="B14222" s="73"/>
    </row>
    <row r="14223" spans="2:2" x14ac:dyDescent="0.25">
      <c r="B14223" s="73"/>
    </row>
    <row r="14224" spans="2:2" x14ac:dyDescent="0.25">
      <c r="B14224" s="73"/>
    </row>
    <row r="14225" spans="2:2" x14ac:dyDescent="0.25">
      <c r="B14225" s="73"/>
    </row>
    <row r="14226" spans="2:2" x14ac:dyDescent="0.25">
      <c r="B14226" s="73"/>
    </row>
    <row r="14227" spans="2:2" x14ac:dyDescent="0.25">
      <c r="B14227" s="73"/>
    </row>
    <row r="14228" spans="2:2" x14ac:dyDescent="0.25">
      <c r="B14228" s="73"/>
    </row>
    <row r="14229" spans="2:2" x14ac:dyDescent="0.25">
      <c r="B14229" s="73"/>
    </row>
    <row r="14230" spans="2:2" x14ac:dyDescent="0.25">
      <c r="B14230" s="73"/>
    </row>
    <row r="14231" spans="2:2" x14ac:dyDescent="0.25">
      <c r="B14231" s="73"/>
    </row>
    <row r="14232" spans="2:2" x14ac:dyDescent="0.25">
      <c r="B14232" s="73"/>
    </row>
    <row r="14233" spans="2:2" x14ac:dyDescent="0.25">
      <c r="B14233" s="73"/>
    </row>
    <row r="14234" spans="2:2" x14ac:dyDescent="0.25">
      <c r="B14234" s="73"/>
    </row>
    <row r="14235" spans="2:2" x14ac:dyDescent="0.25">
      <c r="B14235" s="73"/>
    </row>
    <row r="14236" spans="2:2" x14ac:dyDescent="0.25">
      <c r="B14236" s="73"/>
    </row>
    <row r="14237" spans="2:2" x14ac:dyDescent="0.25">
      <c r="B14237" s="73"/>
    </row>
    <row r="14238" spans="2:2" x14ac:dyDescent="0.25">
      <c r="B14238" s="73"/>
    </row>
    <row r="14239" spans="2:2" x14ac:dyDescent="0.25">
      <c r="B14239" s="73"/>
    </row>
    <row r="14240" spans="2:2" x14ac:dyDescent="0.25">
      <c r="B14240" s="73"/>
    </row>
    <row r="14241" spans="2:2" x14ac:dyDescent="0.25">
      <c r="B14241" s="73"/>
    </row>
    <row r="14242" spans="2:2" x14ac:dyDescent="0.25">
      <c r="B14242" s="73"/>
    </row>
    <row r="14243" spans="2:2" x14ac:dyDescent="0.25">
      <c r="B14243" s="73"/>
    </row>
    <row r="14244" spans="2:2" x14ac:dyDescent="0.25">
      <c r="B14244" s="73"/>
    </row>
    <row r="14245" spans="2:2" x14ac:dyDescent="0.25">
      <c r="B14245" s="73"/>
    </row>
    <row r="14246" spans="2:2" x14ac:dyDescent="0.25">
      <c r="B14246" s="73"/>
    </row>
    <row r="14247" spans="2:2" x14ac:dyDescent="0.25">
      <c r="B14247" s="73"/>
    </row>
    <row r="14248" spans="2:2" x14ac:dyDescent="0.25">
      <c r="B14248" s="73"/>
    </row>
    <row r="14249" spans="2:2" x14ac:dyDescent="0.25">
      <c r="B14249" s="73"/>
    </row>
    <row r="14250" spans="2:2" x14ac:dyDescent="0.25">
      <c r="B14250" s="73"/>
    </row>
    <row r="14251" spans="2:2" x14ac:dyDescent="0.25">
      <c r="B14251" s="73"/>
    </row>
    <row r="14252" spans="2:2" x14ac:dyDescent="0.25">
      <c r="B14252" s="73"/>
    </row>
    <row r="14253" spans="2:2" x14ac:dyDescent="0.25">
      <c r="B14253" s="73"/>
    </row>
    <row r="14254" spans="2:2" x14ac:dyDescent="0.25">
      <c r="B14254" s="73"/>
    </row>
    <row r="14255" spans="2:2" x14ac:dyDescent="0.25">
      <c r="B14255" s="73"/>
    </row>
    <row r="14256" spans="2:2" x14ac:dyDescent="0.25">
      <c r="B14256" s="73"/>
    </row>
    <row r="14257" spans="2:2" x14ac:dyDescent="0.25">
      <c r="B14257" s="73"/>
    </row>
    <row r="14258" spans="2:2" x14ac:dyDescent="0.25">
      <c r="B14258" s="73"/>
    </row>
    <row r="14259" spans="2:2" x14ac:dyDescent="0.25">
      <c r="B14259" s="73"/>
    </row>
    <row r="14260" spans="2:2" x14ac:dyDescent="0.25">
      <c r="B14260" s="73"/>
    </row>
    <row r="14261" spans="2:2" x14ac:dyDescent="0.25">
      <c r="B14261" s="73"/>
    </row>
    <row r="14262" spans="2:2" x14ac:dyDescent="0.25">
      <c r="B14262" s="73"/>
    </row>
    <row r="14263" spans="2:2" x14ac:dyDescent="0.25">
      <c r="B14263" s="73"/>
    </row>
    <row r="14264" spans="2:2" x14ac:dyDescent="0.25">
      <c r="B14264" s="73"/>
    </row>
    <row r="14265" spans="2:2" x14ac:dyDescent="0.25">
      <c r="B14265" s="73"/>
    </row>
    <row r="14266" spans="2:2" x14ac:dyDescent="0.25">
      <c r="B14266" s="73"/>
    </row>
    <row r="14267" spans="2:2" x14ac:dyDescent="0.25">
      <c r="B14267" s="73"/>
    </row>
    <row r="14268" spans="2:2" x14ac:dyDescent="0.25">
      <c r="B14268" s="73"/>
    </row>
    <row r="14269" spans="2:2" x14ac:dyDescent="0.25">
      <c r="B14269" s="73"/>
    </row>
    <row r="14270" spans="2:2" x14ac:dyDescent="0.25">
      <c r="B14270" s="73"/>
    </row>
    <row r="14271" spans="2:2" x14ac:dyDescent="0.25">
      <c r="B14271" s="73"/>
    </row>
    <row r="14272" spans="2:2" x14ac:dyDescent="0.25">
      <c r="B14272" s="73"/>
    </row>
    <row r="14273" spans="2:2" x14ac:dyDescent="0.25">
      <c r="B14273" s="73"/>
    </row>
    <row r="14274" spans="2:2" x14ac:dyDescent="0.25">
      <c r="B14274" s="73"/>
    </row>
    <row r="14275" spans="2:2" x14ac:dyDescent="0.25">
      <c r="B14275" s="73"/>
    </row>
    <row r="14276" spans="2:2" x14ac:dyDescent="0.25">
      <c r="B14276" s="73"/>
    </row>
    <row r="14277" spans="2:2" x14ac:dyDescent="0.25">
      <c r="B14277" s="73"/>
    </row>
    <row r="14278" spans="2:2" x14ac:dyDescent="0.25">
      <c r="B14278" s="73"/>
    </row>
    <row r="14279" spans="2:2" x14ac:dyDescent="0.25">
      <c r="B14279" s="73"/>
    </row>
    <row r="14280" spans="2:2" x14ac:dyDescent="0.25">
      <c r="B14280" s="73"/>
    </row>
    <row r="14281" spans="2:2" x14ac:dyDescent="0.25">
      <c r="B14281" s="73"/>
    </row>
    <row r="14282" spans="2:2" x14ac:dyDescent="0.25">
      <c r="B14282" s="73"/>
    </row>
    <row r="14283" spans="2:2" x14ac:dyDescent="0.25">
      <c r="B14283" s="73"/>
    </row>
    <row r="14284" spans="2:2" x14ac:dyDescent="0.25">
      <c r="B14284" s="73"/>
    </row>
    <row r="14285" spans="2:2" x14ac:dyDescent="0.25">
      <c r="B14285" s="73"/>
    </row>
    <row r="14286" spans="2:2" x14ac:dyDescent="0.25">
      <c r="B14286" s="73"/>
    </row>
    <row r="14287" spans="2:2" x14ac:dyDescent="0.25">
      <c r="B14287" s="73"/>
    </row>
    <row r="14288" spans="2:2" x14ac:dyDescent="0.25">
      <c r="B14288" s="73"/>
    </row>
    <row r="14289" spans="2:2" x14ac:dyDescent="0.25">
      <c r="B14289" s="73"/>
    </row>
    <row r="14290" spans="2:2" x14ac:dyDescent="0.25">
      <c r="B14290" s="73"/>
    </row>
    <row r="14291" spans="2:2" x14ac:dyDescent="0.25">
      <c r="B14291" s="73"/>
    </row>
    <row r="14292" spans="2:2" x14ac:dyDescent="0.25">
      <c r="B14292" s="73"/>
    </row>
    <row r="14293" spans="2:2" x14ac:dyDescent="0.25">
      <c r="B14293" s="73"/>
    </row>
    <row r="14294" spans="2:2" x14ac:dyDescent="0.25">
      <c r="B14294" s="73"/>
    </row>
    <row r="14295" spans="2:2" x14ac:dyDescent="0.25">
      <c r="B14295" s="73"/>
    </row>
    <row r="14296" spans="2:2" x14ac:dyDescent="0.25">
      <c r="B14296" s="73"/>
    </row>
    <row r="14297" spans="2:2" x14ac:dyDescent="0.25">
      <c r="B14297" s="73"/>
    </row>
    <row r="14298" spans="2:2" x14ac:dyDescent="0.25">
      <c r="B14298" s="73"/>
    </row>
    <row r="14299" spans="2:2" x14ac:dyDescent="0.25">
      <c r="B14299" s="73"/>
    </row>
    <row r="14300" spans="2:2" x14ac:dyDescent="0.25">
      <c r="B14300" s="73"/>
    </row>
    <row r="14301" spans="2:2" x14ac:dyDescent="0.25">
      <c r="B14301" s="73"/>
    </row>
    <row r="14302" spans="2:2" x14ac:dyDescent="0.25">
      <c r="B14302" s="73"/>
    </row>
    <row r="14303" spans="2:2" x14ac:dyDescent="0.25">
      <c r="B14303" s="73"/>
    </row>
    <row r="14304" spans="2:2" x14ac:dyDescent="0.25">
      <c r="B14304" s="73"/>
    </row>
    <row r="14305" spans="2:2" x14ac:dyDescent="0.25">
      <c r="B14305" s="73"/>
    </row>
    <row r="14306" spans="2:2" x14ac:dyDescent="0.25">
      <c r="B14306" s="73"/>
    </row>
    <row r="14307" spans="2:2" x14ac:dyDescent="0.25">
      <c r="B14307" s="73"/>
    </row>
    <row r="14308" spans="2:2" x14ac:dyDescent="0.25">
      <c r="B14308" s="73"/>
    </row>
    <row r="14309" spans="2:2" x14ac:dyDescent="0.25">
      <c r="B14309" s="73"/>
    </row>
    <row r="14310" spans="2:2" x14ac:dyDescent="0.25">
      <c r="B14310" s="73"/>
    </row>
    <row r="14311" spans="2:2" x14ac:dyDescent="0.25">
      <c r="B14311" s="73"/>
    </row>
    <row r="14312" spans="2:2" x14ac:dyDescent="0.25">
      <c r="B14312" s="73"/>
    </row>
    <row r="14313" spans="2:2" x14ac:dyDescent="0.25">
      <c r="B14313" s="73"/>
    </row>
    <row r="14314" spans="2:2" x14ac:dyDescent="0.25">
      <c r="B14314" s="73"/>
    </row>
    <row r="14315" spans="2:2" x14ac:dyDescent="0.25">
      <c r="B14315" s="73"/>
    </row>
    <row r="14316" spans="2:2" x14ac:dyDescent="0.25">
      <c r="B14316" s="73"/>
    </row>
    <row r="14317" spans="2:2" x14ac:dyDescent="0.25">
      <c r="B14317" s="73"/>
    </row>
    <row r="14318" spans="2:2" x14ac:dyDescent="0.25">
      <c r="B14318" s="73"/>
    </row>
    <row r="14319" spans="2:2" x14ac:dyDescent="0.25">
      <c r="B14319" s="73"/>
    </row>
    <row r="14320" spans="2:2" x14ac:dyDescent="0.25">
      <c r="B14320" s="73"/>
    </row>
    <row r="14321" spans="2:2" x14ac:dyDescent="0.25">
      <c r="B14321" s="73"/>
    </row>
    <row r="14322" spans="2:2" x14ac:dyDescent="0.25">
      <c r="B14322" s="73"/>
    </row>
    <row r="14323" spans="2:2" x14ac:dyDescent="0.25">
      <c r="B14323" s="73"/>
    </row>
    <row r="14324" spans="2:2" x14ac:dyDescent="0.25">
      <c r="B14324" s="73"/>
    </row>
    <row r="14325" spans="2:2" x14ac:dyDescent="0.25">
      <c r="B14325" s="73"/>
    </row>
    <row r="14326" spans="2:2" x14ac:dyDescent="0.25">
      <c r="B14326" s="73"/>
    </row>
    <row r="14327" spans="2:2" x14ac:dyDescent="0.25">
      <c r="B14327" s="73"/>
    </row>
    <row r="14328" spans="2:2" x14ac:dyDescent="0.25">
      <c r="B14328" s="73"/>
    </row>
    <row r="14329" spans="2:2" x14ac:dyDescent="0.25">
      <c r="B14329" s="73"/>
    </row>
    <row r="14330" spans="2:2" x14ac:dyDescent="0.25">
      <c r="B14330" s="73"/>
    </row>
    <row r="14331" spans="2:2" x14ac:dyDescent="0.25">
      <c r="B14331" s="73"/>
    </row>
    <row r="14332" spans="2:2" x14ac:dyDescent="0.25">
      <c r="B14332" s="73"/>
    </row>
    <row r="14333" spans="2:2" x14ac:dyDescent="0.25">
      <c r="B14333" s="73"/>
    </row>
    <row r="14334" spans="2:2" x14ac:dyDescent="0.25">
      <c r="B14334" s="73"/>
    </row>
    <row r="14335" spans="2:2" x14ac:dyDescent="0.25">
      <c r="B14335" s="73"/>
    </row>
    <row r="14336" spans="2:2" x14ac:dyDescent="0.25">
      <c r="B14336" s="73"/>
    </row>
    <row r="14337" spans="2:2" x14ac:dyDescent="0.25">
      <c r="B14337" s="73"/>
    </row>
    <row r="14338" spans="2:2" x14ac:dyDescent="0.25">
      <c r="B14338" s="73"/>
    </row>
    <row r="14339" spans="2:2" x14ac:dyDescent="0.25">
      <c r="B14339" s="73"/>
    </row>
    <row r="14340" spans="2:2" x14ac:dyDescent="0.25">
      <c r="B14340" s="73"/>
    </row>
    <row r="14341" spans="2:2" x14ac:dyDescent="0.25">
      <c r="B14341" s="73"/>
    </row>
    <row r="14342" spans="2:2" x14ac:dyDescent="0.25">
      <c r="B14342" s="73"/>
    </row>
    <row r="14343" spans="2:2" x14ac:dyDescent="0.25">
      <c r="B14343" s="73"/>
    </row>
    <row r="14344" spans="2:2" x14ac:dyDescent="0.25">
      <c r="B14344" s="73"/>
    </row>
    <row r="14345" spans="2:2" x14ac:dyDescent="0.25">
      <c r="B14345" s="73"/>
    </row>
    <row r="14346" spans="2:2" x14ac:dyDescent="0.25">
      <c r="B14346" s="73"/>
    </row>
    <row r="14347" spans="2:2" x14ac:dyDescent="0.25">
      <c r="B14347" s="73"/>
    </row>
    <row r="14348" spans="2:2" x14ac:dyDescent="0.25">
      <c r="B14348" s="73"/>
    </row>
    <row r="14349" spans="2:2" x14ac:dyDescent="0.25">
      <c r="B14349" s="73"/>
    </row>
    <row r="14350" spans="2:2" x14ac:dyDescent="0.25">
      <c r="B14350" s="73"/>
    </row>
    <row r="14351" spans="2:2" x14ac:dyDescent="0.25">
      <c r="B14351" s="73"/>
    </row>
    <row r="14352" spans="2:2" x14ac:dyDescent="0.25">
      <c r="B14352" s="73"/>
    </row>
    <row r="14353" spans="2:2" x14ac:dyDescent="0.25">
      <c r="B14353" s="73"/>
    </row>
    <row r="14354" spans="2:2" x14ac:dyDescent="0.25">
      <c r="B14354" s="73"/>
    </row>
    <row r="14355" spans="2:2" x14ac:dyDescent="0.25">
      <c r="B14355" s="73"/>
    </row>
    <row r="14356" spans="2:2" x14ac:dyDescent="0.25">
      <c r="B14356" s="73"/>
    </row>
    <row r="14357" spans="2:2" x14ac:dyDescent="0.25">
      <c r="B14357" s="73"/>
    </row>
    <row r="14358" spans="2:2" x14ac:dyDescent="0.25">
      <c r="B14358" s="73"/>
    </row>
    <row r="14359" spans="2:2" x14ac:dyDescent="0.25">
      <c r="B14359" s="73"/>
    </row>
    <row r="14360" spans="2:2" x14ac:dyDescent="0.25">
      <c r="B14360" s="73"/>
    </row>
    <row r="14361" spans="2:2" x14ac:dyDescent="0.25">
      <c r="B14361" s="73"/>
    </row>
    <row r="14362" spans="2:2" x14ac:dyDescent="0.25">
      <c r="B14362" s="73"/>
    </row>
    <row r="14363" spans="2:2" x14ac:dyDescent="0.25">
      <c r="B14363" s="73"/>
    </row>
    <row r="14364" spans="2:2" x14ac:dyDescent="0.25">
      <c r="B14364" s="73"/>
    </row>
    <row r="14365" spans="2:2" x14ac:dyDescent="0.25">
      <c r="B14365" s="73"/>
    </row>
    <row r="14366" spans="2:2" x14ac:dyDescent="0.25">
      <c r="B14366" s="73"/>
    </row>
    <row r="14367" spans="2:2" x14ac:dyDescent="0.25">
      <c r="B14367" s="73"/>
    </row>
    <row r="14368" spans="2:2" x14ac:dyDescent="0.25">
      <c r="B14368" s="73"/>
    </row>
    <row r="14369" spans="2:2" x14ac:dyDescent="0.25">
      <c r="B14369" s="73"/>
    </row>
    <row r="14370" spans="2:2" x14ac:dyDescent="0.25">
      <c r="B14370" s="73"/>
    </row>
    <row r="14371" spans="2:2" x14ac:dyDescent="0.25">
      <c r="B14371" s="73"/>
    </row>
    <row r="14372" spans="2:2" x14ac:dyDescent="0.25">
      <c r="B14372" s="73"/>
    </row>
    <row r="14373" spans="2:2" x14ac:dyDescent="0.25">
      <c r="B14373" s="73"/>
    </row>
    <row r="14374" spans="2:2" x14ac:dyDescent="0.25">
      <c r="B14374" s="73"/>
    </row>
    <row r="14375" spans="2:2" x14ac:dyDescent="0.25">
      <c r="B14375" s="73"/>
    </row>
    <row r="14376" spans="2:2" x14ac:dyDescent="0.25">
      <c r="B14376" s="73"/>
    </row>
    <row r="14377" spans="2:2" x14ac:dyDescent="0.25">
      <c r="B14377" s="73"/>
    </row>
    <row r="14378" spans="2:2" x14ac:dyDescent="0.25">
      <c r="B14378" s="73"/>
    </row>
    <row r="14379" spans="2:2" x14ac:dyDescent="0.25">
      <c r="B14379" s="73"/>
    </row>
    <row r="14380" spans="2:2" x14ac:dyDescent="0.25">
      <c r="B14380" s="73"/>
    </row>
    <row r="14381" spans="2:2" x14ac:dyDescent="0.25">
      <c r="B14381" s="73"/>
    </row>
    <row r="14382" spans="2:2" x14ac:dyDescent="0.25">
      <c r="B14382" s="73"/>
    </row>
    <row r="14383" spans="2:2" x14ac:dyDescent="0.25">
      <c r="B14383" s="73"/>
    </row>
    <row r="14384" spans="2:2" x14ac:dyDescent="0.25">
      <c r="B14384" s="73"/>
    </row>
    <row r="14385" spans="2:2" x14ac:dyDescent="0.25">
      <c r="B14385" s="73"/>
    </row>
    <row r="14386" spans="2:2" x14ac:dyDescent="0.25">
      <c r="B14386" s="73"/>
    </row>
    <row r="14387" spans="2:2" x14ac:dyDescent="0.25">
      <c r="B14387" s="73"/>
    </row>
    <row r="14388" spans="2:2" x14ac:dyDescent="0.25">
      <c r="B14388" s="73"/>
    </row>
    <row r="14389" spans="2:2" x14ac:dyDescent="0.25">
      <c r="B14389" s="73"/>
    </row>
    <row r="14390" spans="2:2" x14ac:dyDescent="0.25">
      <c r="B14390" s="73"/>
    </row>
    <row r="14391" spans="2:2" x14ac:dyDescent="0.25">
      <c r="B14391" s="73"/>
    </row>
    <row r="14392" spans="2:2" x14ac:dyDescent="0.25">
      <c r="B14392" s="73"/>
    </row>
    <row r="14393" spans="2:2" x14ac:dyDescent="0.25">
      <c r="B14393" s="73"/>
    </row>
    <row r="14394" spans="2:2" x14ac:dyDescent="0.25">
      <c r="B14394" s="73"/>
    </row>
    <row r="14395" spans="2:2" x14ac:dyDescent="0.25">
      <c r="B14395" s="73"/>
    </row>
    <row r="14396" spans="2:2" x14ac:dyDescent="0.25">
      <c r="B14396" s="73"/>
    </row>
    <row r="14397" spans="2:2" x14ac:dyDescent="0.25">
      <c r="B14397" s="73"/>
    </row>
    <row r="14398" spans="2:2" x14ac:dyDescent="0.25">
      <c r="B14398" s="73"/>
    </row>
    <row r="14399" spans="2:2" x14ac:dyDescent="0.25">
      <c r="B14399" s="73"/>
    </row>
    <row r="14400" spans="2:2" x14ac:dyDescent="0.25">
      <c r="B14400" s="73"/>
    </row>
    <row r="14401" spans="2:2" x14ac:dyDescent="0.25">
      <c r="B14401" s="73"/>
    </row>
    <row r="14402" spans="2:2" x14ac:dyDescent="0.25">
      <c r="B14402" s="73"/>
    </row>
    <row r="14403" spans="2:2" x14ac:dyDescent="0.25">
      <c r="B14403" s="73"/>
    </row>
    <row r="14404" spans="2:2" x14ac:dyDescent="0.25">
      <c r="B14404" s="73"/>
    </row>
    <row r="14405" spans="2:2" x14ac:dyDescent="0.25">
      <c r="B14405" s="73"/>
    </row>
    <row r="14406" spans="2:2" x14ac:dyDescent="0.25">
      <c r="B14406" s="73"/>
    </row>
    <row r="14407" spans="2:2" x14ac:dyDescent="0.25">
      <c r="B14407" s="73"/>
    </row>
    <row r="14408" spans="2:2" x14ac:dyDescent="0.25">
      <c r="B14408" s="73"/>
    </row>
    <row r="14409" spans="2:2" x14ac:dyDescent="0.25">
      <c r="B14409" s="73"/>
    </row>
    <row r="14410" spans="2:2" x14ac:dyDescent="0.25">
      <c r="B14410" s="73"/>
    </row>
    <row r="14411" spans="2:2" x14ac:dyDescent="0.25">
      <c r="B14411" s="73"/>
    </row>
    <row r="14412" spans="2:2" x14ac:dyDescent="0.25">
      <c r="B14412" s="73"/>
    </row>
    <row r="14413" spans="2:2" x14ac:dyDescent="0.25">
      <c r="B14413" s="73"/>
    </row>
    <row r="14414" spans="2:2" x14ac:dyDescent="0.25">
      <c r="B14414" s="73"/>
    </row>
    <row r="14415" spans="2:2" x14ac:dyDescent="0.25">
      <c r="B14415" s="73"/>
    </row>
    <row r="14416" spans="2:2" x14ac:dyDescent="0.25">
      <c r="B14416" s="73"/>
    </row>
    <row r="14417" spans="2:2" x14ac:dyDescent="0.25">
      <c r="B14417" s="73"/>
    </row>
    <row r="14418" spans="2:2" x14ac:dyDescent="0.25">
      <c r="B14418" s="73"/>
    </row>
    <row r="14419" spans="2:2" x14ac:dyDescent="0.25">
      <c r="B14419" s="73"/>
    </row>
    <row r="14420" spans="2:2" x14ac:dyDescent="0.25">
      <c r="B14420" s="73"/>
    </row>
    <row r="14421" spans="2:2" x14ac:dyDescent="0.25">
      <c r="B14421" s="73"/>
    </row>
    <row r="14422" spans="2:2" x14ac:dyDescent="0.25">
      <c r="B14422" s="73"/>
    </row>
    <row r="14423" spans="2:2" x14ac:dyDescent="0.25">
      <c r="B14423" s="73"/>
    </row>
    <row r="14424" spans="2:2" x14ac:dyDescent="0.25">
      <c r="B14424" s="73"/>
    </row>
    <row r="14425" spans="2:2" x14ac:dyDescent="0.25">
      <c r="B14425" s="73"/>
    </row>
    <row r="14426" spans="2:2" x14ac:dyDescent="0.25">
      <c r="B14426" s="73"/>
    </row>
    <row r="14427" spans="2:2" x14ac:dyDescent="0.25">
      <c r="B14427" s="73"/>
    </row>
    <row r="14428" spans="2:2" x14ac:dyDescent="0.25">
      <c r="B14428" s="73"/>
    </row>
    <row r="14429" spans="2:2" x14ac:dyDescent="0.25">
      <c r="B14429" s="73"/>
    </row>
    <row r="14430" spans="2:2" x14ac:dyDescent="0.25">
      <c r="B14430" s="73"/>
    </row>
    <row r="14431" spans="2:2" x14ac:dyDescent="0.25">
      <c r="B14431" s="73"/>
    </row>
    <row r="14432" spans="2:2" x14ac:dyDescent="0.25">
      <c r="B14432" s="73"/>
    </row>
    <row r="14433" spans="2:2" x14ac:dyDescent="0.25">
      <c r="B14433" s="73"/>
    </row>
    <row r="14434" spans="2:2" x14ac:dyDescent="0.25">
      <c r="B14434" s="73"/>
    </row>
    <row r="14435" spans="2:2" x14ac:dyDescent="0.25">
      <c r="B14435" s="73"/>
    </row>
    <row r="14436" spans="2:2" x14ac:dyDescent="0.25">
      <c r="B14436" s="73"/>
    </row>
    <row r="14437" spans="2:2" x14ac:dyDescent="0.25">
      <c r="B14437" s="73"/>
    </row>
    <row r="14438" spans="2:2" x14ac:dyDescent="0.25">
      <c r="B14438" s="73"/>
    </row>
    <row r="14439" spans="2:2" x14ac:dyDescent="0.25">
      <c r="B14439" s="73"/>
    </row>
    <row r="14440" spans="2:2" x14ac:dyDescent="0.25">
      <c r="B14440" s="73"/>
    </row>
    <row r="14441" spans="2:2" x14ac:dyDescent="0.25">
      <c r="B14441" s="73"/>
    </row>
    <row r="14442" spans="2:2" x14ac:dyDescent="0.25">
      <c r="B14442" s="73"/>
    </row>
    <row r="14443" spans="2:2" x14ac:dyDescent="0.25">
      <c r="B14443" s="73"/>
    </row>
    <row r="14444" spans="2:2" x14ac:dyDescent="0.25">
      <c r="B14444" s="73"/>
    </row>
    <row r="14445" spans="2:2" x14ac:dyDescent="0.25">
      <c r="B14445" s="73"/>
    </row>
    <row r="14446" spans="2:2" x14ac:dyDescent="0.25">
      <c r="B14446" s="73"/>
    </row>
    <row r="14447" spans="2:2" x14ac:dyDescent="0.25">
      <c r="B14447" s="73"/>
    </row>
    <row r="14448" spans="2:2" x14ac:dyDescent="0.25">
      <c r="B14448" s="73"/>
    </row>
    <row r="14449" spans="2:2" x14ac:dyDescent="0.25">
      <c r="B14449" s="73"/>
    </row>
    <row r="14450" spans="2:2" x14ac:dyDescent="0.25">
      <c r="B14450" s="73"/>
    </row>
    <row r="14451" spans="2:2" x14ac:dyDescent="0.25">
      <c r="B14451" s="73"/>
    </row>
    <row r="14452" spans="2:2" x14ac:dyDescent="0.25">
      <c r="B14452" s="73"/>
    </row>
    <row r="14453" spans="2:2" x14ac:dyDescent="0.25">
      <c r="B14453" s="73"/>
    </row>
    <row r="14454" spans="2:2" x14ac:dyDescent="0.25">
      <c r="B14454" s="73"/>
    </row>
    <row r="14455" spans="2:2" x14ac:dyDescent="0.25">
      <c r="B14455" s="73"/>
    </row>
    <row r="14456" spans="2:2" x14ac:dyDescent="0.25">
      <c r="B14456" s="73"/>
    </row>
    <row r="14457" spans="2:2" x14ac:dyDescent="0.25">
      <c r="B14457" s="73"/>
    </row>
    <row r="14458" spans="2:2" x14ac:dyDescent="0.25">
      <c r="B14458" s="73"/>
    </row>
    <row r="14459" spans="2:2" x14ac:dyDescent="0.25">
      <c r="B14459" s="73"/>
    </row>
    <row r="14460" spans="2:2" x14ac:dyDescent="0.25">
      <c r="B14460" s="73"/>
    </row>
    <row r="14461" spans="2:2" x14ac:dyDescent="0.25">
      <c r="B14461" s="73"/>
    </row>
    <row r="14462" spans="2:2" x14ac:dyDescent="0.25">
      <c r="B14462" s="73"/>
    </row>
    <row r="14463" spans="2:2" x14ac:dyDescent="0.25">
      <c r="B14463" s="73"/>
    </row>
    <row r="14464" spans="2:2" x14ac:dyDescent="0.25">
      <c r="B14464" s="73"/>
    </row>
    <row r="14465" spans="2:2" x14ac:dyDescent="0.25">
      <c r="B14465" s="73"/>
    </row>
    <row r="14466" spans="2:2" x14ac:dyDescent="0.25">
      <c r="B14466" s="73"/>
    </row>
    <row r="14467" spans="2:2" x14ac:dyDescent="0.25">
      <c r="B14467" s="73"/>
    </row>
    <row r="14468" spans="2:2" x14ac:dyDescent="0.25">
      <c r="B14468" s="73"/>
    </row>
    <row r="14469" spans="2:2" x14ac:dyDescent="0.25">
      <c r="B14469" s="73"/>
    </row>
    <row r="14470" spans="2:2" x14ac:dyDescent="0.25">
      <c r="B14470" s="73"/>
    </row>
    <row r="14471" spans="2:2" x14ac:dyDescent="0.25">
      <c r="B14471" s="73"/>
    </row>
    <row r="14472" spans="2:2" x14ac:dyDescent="0.25">
      <c r="B14472" s="73"/>
    </row>
    <row r="14473" spans="2:2" x14ac:dyDescent="0.25">
      <c r="B14473" s="73"/>
    </row>
    <row r="14474" spans="2:2" x14ac:dyDescent="0.25">
      <c r="B14474" s="73"/>
    </row>
    <row r="14475" spans="2:2" x14ac:dyDescent="0.25">
      <c r="B14475" s="73"/>
    </row>
    <row r="14476" spans="2:2" x14ac:dyDescent="0.25">
      <c r="B14476" s="73"/>
    </row>
    <row r="14477" spans="2:2" x14ac:dyDescent="0.25">
      <c r="B14477" s="73"/>
    </row>
    <row r="14478" spans="2:2" x14ac:dyDescent="0.25">
      <c r="B14478" s="73"/>
    </row>
    <row r="14479" spans="2:2" x14ac:dyDescent="0.25">
      <c r="B14479" s="73"/>
    </row>
    <row r="14480" spans="2:2" x14ac:dyDescent="0.25">
      <c r="B14480" s="73"/>
    </row>
    <row r="14481" spans="2:2" x14ac:dyDescent="0.25">
      <c r="B14481" s="73"/>
    </row>
    <row r="14482" spans="2:2" x14ac:dyDescent="0.25">
      <c r="B14482" s="73"/>
    </row>
    <row r="14483" spans="2:2" x14ac:dyDescent="0.25">
      <c r="B14483" s="73"/>
    </row>
    <row r="14484" spans="2:2" x14ac:dyDescent="0.25">
      <c r="B14484" s="73"/>
    </row>
    <row r="14485" spans="2:2" x14ac:dyDescent="0.25">
      <c r="B14485" s="73"/>
    </row>
    <row r="14486" spans="2:2" x14ac:dyDescent="0.25">
      <c r="B14486" s="73"/>
    </row>
    <row r="14487" spans="2:2" x14ac:dyDescent="0.25">
      <c r="B14487" s="73"/>
    </row>
    <row r="14488" spans="2:2" x14ac:dyDescent="0.25">
      <c r="B14488" s="73"/>
    </row>
    <row r="14489" spans="2:2" x14ac:dyDescent="0.25">
      <c r="B14489" s="73"/>
    </row>
    <row r="14490" spans="2:2" x14ac:dyDescent="0.25">
      <c r="B14490" s="73"/>
    </row>
    <row r="14491" spans="2:2" x14ac:dyDescent="0.25">
      <c r="B14491" s="73"/>
    </row>
    <row r="14492" spans="2:2" x14ac:dyDescent="0.25">
      <c r="B14492" s="73"/>
    </row>
    <row r="14493" spans="2:2" x14ac:dyDescent="0.25">
      <c r="B14493" s="73"/>
    </row>
    <row r="14494" spans="2:2" x14ac:dyDescent="0.25">
      <c r="B14494" s="73"/>
    </row>
    <row r="14495" spans="2:2" x14ac:dyDescent="0.25">
      <c r="B14495" s="73"/>
    </row>
    <row r="14496" spans="2:2" x14ac:dyDescent="0.25">
      <c r="B14496" s="73"/>
    </row>
    <row r="14497" spans="2:2" x14ac:dyDescent="0.25">
      <c r="B14497" s="73"/>
    </row>
    <row r="14498" spans="2:2" x14ac:dyDescent="0.25">
      <c r="B14498" s="73"/>
    </row>
    <row r="14499" spans="2:2" x14ac:dyDescent="0.25">
      <c r="B14499" s="73"/>
    </row>
    <row r="14500" spans="2:2" x14ac:dyDescent="0.25">
      <c r="B14500" s="73"/>
    </row>
    <row r="14501" spans="2:2" x14ac:dyDescent="0.25">
      <c r="B14501" s="73"/>
    </row>
    <row r="14502" spans="2:2" x14ac:dyDescent="0.25">
      <c r="B14502" s="73"/>
    </row>
    <row r="14503" spans="2:2" x14ac:dyDescent="0.25">
      <c r="B14503" s="73"/>
    </row>
    <row r="14504" spans="2:2" x14ac:dyDescent="0.25">
      <c r="B14504" s="73"/>
    </row>
    <row r="14505" spans="2:2" x14ac:dyDescent="0.25">
      <c r="B14505" s="73"/>
    </row>
    <row r="14506" spans="2:2" x14ac:dyDescent="0.25">
      <c r="B14506" s="73"/>
    </row>
    <row r="14507" spans="2:2" x14ac:dyDescent="0.25">
      <c r="B14507" s="73"/>
    </row>
    <row r="14508" spans="2:2" x14ac:dyDescent="0.25">
      <c r="B14508" s="73"/>
    </row>
    <row r="14509" spans="2:2" x14ac:dyDescent="0.25">
      <c r="B14509" s="73"/>
    </row>
    <row r="14510" spans="2:2" x14ac:dyDescent="0.25">
      <c r="B14510" s="73"/>
    </row>
    <row r="14511" spans="2:2" x14ac:dyDescent="0.25">
      <c r="B14511" s="73"/>
    </row>
    <row r="14512" spans="2:2" x14ac:dyDescent="0.25">
      <c r="B14512" s="73"/>
    </row>
    <row r="14513" spans="2:2" x14ac:dyDescent="0.25">
      <c r="B14513" s="73"/>
    </row>
    <row r="14514" spans="2:2" x14ac:dyDescent="0.25">
      <c r="B14514" s="73"/>
    </row>
    <row r="14515" spans="2:2" x14ac:dyDescent="0.25">
      <c r="B14515" s="73"/>
    </row>
    <row r="14516" spans="2:2" x14ac:dyDescent="0.25">
      <c r="B14516" s="73"/>
    </row>
    <row r="14517" spans="2:2" x14ac:dyDescent="0.25">
      <c r="B14517" s="73"/>
    </row>
    <row r="14518" spans="2:2" x14ac:dyDescent="0.25">
      <c r="B14518" s="73"/>
    </row>
    <row r="14519" spans="2:2" x14ac:dyDescent="0.25">
      <c r="B14519" s="73"/>
    </row>
    <row r="14520" spans="2:2" x14ac:dyDescent="0.25">
      <c r="B14520" s="73"/>
    </row>
    <row r="14521" spans="2:2" x14ac:dyDescent="0.25">
      <c r="B14521" s="73"/>
    </row>
    <row r="14522" spans="2:2" x14ac:dyDescent="0.25">
      <c r="B14522" s="73"/>
    </row>
    <row r="14523" spans="2:2" x14ac:dyDescent="0.25">
      <c r="B14523" s="73"/>
    </row>
    <row r="14524" spans="2:2" x14ac:dyDescent="0.25">
      <c r="B14524" s="73"/>
    </row>
    <row r="14525" spans="2:2" x14ac:dyDescent="0.25">
      <c r="B14525" s="73"/>
    </row>
    <row r="14526" spans="2:2" x14ac:dyDescent="0.25">
      <c r="B14526" s="73"/>
    </row>
    <row r="14527" spans="2:2" x14ac:dyDescent="0.25">
      <c r="B14527" s="73"/>
    </row>
    <row r="14528" spans="2:2" x14ac:dyDescent="0.25">
      <c r="B14528" s="73"/>
    </row>
    <row r="14529" spans="2:2" x14ac:dyDescent="0.25">
      <c r="B14529" s="73"/>
    </row>
    <row r="14530" spans="2:2" x14ac:dyDescent="0.25">
      <c r="B14530" s="73"/>
    </row>
    <row r="14531" spans="2:2" x14ac:dyDescent="0.25">
      <c r="B14531" s="73"/>
    </row>
    <row r="14532" spans="2:2" x14ac:dyDescent="0.25">
      <c r="B14532" s="73"/>
    </row>
    <row r="14533" spans="2:2" x14ac:dyDescent="0.25">
      <c r="B14533" s="73"/>
    </row>
    <row r="14534" spans="2:2" x14ac:dyDescent="0.25">
      <c r="B14534" s="73"/>
    </row>
    <row r="14535" spans="2:2" x14ac:dyDescent="0.25">
      <c r="B14535" s="73"/>
    </row>
    <row r="14536" spans="2:2" x14ac:dyDescent="0.25">
      <c r="B14536" s="73"/>
    </row>
    <row r="14537" spans="2:2" x14ac:dyDescent="0.25">
      <c r="B14537" s="73"/>
    </row>
    <row r="14538" spans="2:2" x14ac:dyDescent="0.25">
      <c r="B14538" s="73"/>
    </row>
    <row r="14539" spans="2:2" x14ac:dyDescent="0.25">
      <c r="B14539" s="73"/>
    </row>
    <row r="14540" spans="2:2" x14ac:dyDescent="0.25">
      <c r="B14540" s="73"/>
    </row>
    <row r="14541" spans="2:2" x14ac:dyDescent="0.25">
      <c r="B14541" s="73"/>
    </row>
    <row r="14542" spans="2:2" x14ac:dyDescent="0.25">
      <c r="B14542" s="73"/>
    </row>
    <row r="14543" spans="2:2" x14ac:dyDescent="0.25">
      <c r="B14543" s="73"/>
    </row>
    <row r="14544" spans="2:2" x14ac:dyDescent="0.25">
      <c r="B14544" s="73"/>
    </row>
    <row r="14545" spans="2:2" x14ac:dyDescent="0.25">
      <c r="B14545" s="73"/>
    </row>
    <row r="14546" spans="2:2" x14ac:dyDescent="0.25">
      <c r="B14546" s="73"/>
    </row>
    <row r="14547" spans="2:2" x14ac:dyDescent="0.25">
      <c r="B14547" s="73"/>
    </row>
    <row r="14548" spans="2:2" x14ac:dyDescent="0.25">
      <c r="B14548" s="73"/>
    </row>
    <row r="14549" spans="2:2" x14ac:dyDescent="0.25">
      <c r="B14549" s="73"/>
    </row>
    <row r="14550" spans="2:2" x14ac:dyDescent="0.25">
      <c r="B14550" s="73"/>
    </row>
    <row r="14551" spans="2:2" x14ac:dyDescent="0.25">
      <c r="B14551" s="73"/>
    </row>
    <row r="14552" spans="2:2" x14ac:dyDescent="0.25">
      <c r="B14552" s="73"/>
    </row>
    <row r="14553" spans="2:2" x14ac:dyDescent="0.25">
      <c r="B14553" s="73"/>
    </row>
    <row r="14554" spans="2:2" x14ac:dyDescent="0.25">
      <c r="B14554" s="73"/>
    </row>
    <row r="14555" spans="2:2" x14ac:dyDescent="0.25">
      <c r="B14555" s="73"/>
    </row>
    <row r="14556" spans="2:2" x14ac:dyDescent="0.25">
      <c r="B14556" s="73"/>
    </row>
    <row r="14557" spans="2:2" x14ac:dyDescent="0.25">
      <c r="B14557" s="73"/>
    </row>
    <row r="14558" spans="2:2" x14ac:dyDescent="0.25">
      <c r="B14558" s="73"/>
    </row>
    <row r="14559" spans="2:2" x14ac:dyDescent="0.25">
      <c r="B14559" s="73"/>
    </row>
    <row r="14560" spans="2:2" x14ac:dyDescent="0.25">
      <c r="B14560" s="73"/>
    </row>
    <row r="14561" spans="2:2" x14ac:dyDescent="0.25">
      <c r="B14561" s="73"/>
    </row>
    <row r="14562" spans="2:2" x14ac:dyDescent="0.25">
      <c r="B14562" s="73"/>
    </row>
    <row r="14563" spans="2:2" x14ac:dyDescent="0.25">
      <c r="B14563" s="73"/>
    </row>
    <row r="14564" spans="2:2" x14ac:dyDescent="0.25">
      <c r="B14564" s="73"/>
    </row>
    <row r="14565" spans="2:2" x14ac:dyDescent="0.25">
      <c r="B14565" s="73"/>
    </row>
    <row r="14566" spans="2:2" x14ac:dyDescent="0.25">
      <c r="B14566" s="73"/>
    </row>
    <row r="14567" spans="2:2" x14ac:dyDescent="0.25">
      <c r="B14567" s="73"/>
    </row>
    <row r="14568" spans="2:2" x14ac:dyDescent="0.25">
      <c r="B14568" s="73"/>
    </row>
    <row r="14569" spans="2:2" x14ac:dyDescent="0.25">
      <c r="B14569" s="73"/>
    </row>
    <row r="14570" spans="2:2" x14ac:dyDescent="0.25">
      <c r="B14570" s="73"/>
    </row>
    <row r="14571" spans="2:2" x14ac:dyDescent="0.25">
      <c r="B14571" s="73"/>
    </row>
    <row r="14572" spans="2:2" x14ac:dyDescent="0.25">
      <c r="B14572" s="73"/>
    </row>
    <row r="14573" spans="2:2" x14ac:dyDescent="0.25">
      <c r="B14573" s="73"/>
    </row>
    <row r="14574" spans="2:2" x14ac:dyDescent="0.25">
      <c r="B14574" s="73"/>
    </row>
    <row r="14575" spans="2:2" x14ac:dyDescent="0.25">
      <c r="B14575" s="73"/>
    </row>
    <row r="14576" spans="2:2" x14ac:dyDescent="0.25">
      <c r="B14576" s="73"/>
    </row>
    <row r="14577" spans="2:2" x14ac:dyDescent="0.25">
      <c r="B14577" s="73"/>
    </row>
    <row r="14578" spans="2:2" x14ac:dyDescent="0.25">
      <c r="B14578" s="73"/>
    </row>
    <row r="14579" spans="2:2" x14ac:dyDescent="0.25">
      <c r="B14579" s="73"/>
    </row>
    <row r="14580" spans="2:2" x14ac:dyDescent="0.25">
      <c r="B14580" s="73"/>
    </row>
    <row r="14581" spans="2:2" x14ac:dyDescent="0.25">
      <c r="B14581" s="73"/>
    </row>
    <row r="14582" spans="2:2" x14ac:dyDescent="0.25">
      <c r="B14582" s="73"/>
    </row>
    <row r="14583" spans="2:2" x14ac:dyDescent="0.25">
      <c r="B14583" s="73"/>
    </row>
    <row r="14584" spans="2:2" x14ac:dyDescent="0.25">
      <c r="B14584" s="73"/>
    </row>
    <row r="14585" spans="2:2" x14ac:dyDescent="0.25">
      <c r="B14585" s="73"/>
    </row>
    <row r="14586" spans="2:2" x14ac:dyDescent="0.25">
      <c r="B14586" s="73"/>
    </row>
    <row r="14587" spans="2:2" x14ac:dyDescent="0.25">
      <c r="B14587" s="73"/>
    </row>
    <row r="14588" spans="2:2" x14ac:dyDescent="0.25">
      <c r="B14588" s="73"/>
    </row>
    <row r="14589" spans="2:2" x14ac:dyDescent="0.25">
      <c r="B14589" s="73"/>
    </row>
    <row r="14590" spans="2:2" x14ac:dyDescent="0.25">
      <c r="B14590" s="73"/>
    </row>
    <row r="14591" spans="2:2" x14ac:dyDescent="0.25">
      <c r="B14591" s="73"/>
    </row>
    <row r="14592" spans="2:2" x14ac:dyDescent="0.25">
      <c r="B14592" s="73"/>
    </row>
    <row r="14593" spans="2:2" x14ac:dyDescent="0.25">
      <c r="B14593" s="73"/>
    </row>
    <row r="14594" spans="2:2" x14ac:dyDescent="0.25">
      <c r="B14594" s="73"/>
    </row>
    <row r="14595" spans="2:2" x14ac:dyDescent="0.25">
      <c r="B14595" s="73"/>
    </row>
    <row r="14596" spans="2:2" x14ac:dyDescent="0.25">
      <c r="B14596" s="73"/>
    </row>
    <row r="14597" spans="2:2" x14ac:dyDescent="0.25">
      <c r="B14597" s="73"/>
    </row>
    <row r="14598" spans="2:2" x14ac:dyDescent="0.25">
      <c r="B14598" s="73"/>
    </row>
    <row r="14599" spans="2:2" x14ac:dyDescent="0.25">
      <c r="B14599" s="73"/>
    </row>
    <row r="14600" spans="2:2" x14ac:dyDescent="0.25">
      <c r="B14600" s="73"/>
    </row>
    <row r="14601" spans="2:2" x14ac:dyDescent="0.25">
      <c r="B14601" s="73"/>
    </row>
    <row r="14602" spans="2:2" x14ac:dyDescent="0.25">
      <c r="B14602" s="73"/>
    </row>
    <row r="14603" spans="2:2" x14ac:dyDescent="0.25">
      <c r="B14603" s="73"/>
    </row>
    <row r="14604" spans="2:2" x14ac:dyDescent="0.25">
      <c r="B14604" s="73"/>
    </row>
    <row r="14605" spans="2:2" x14ac:dyDescent="0.25">
      <c r="B14605" s="73"/>
    </row>
    <row r="14606" spans="2:2" x14ac:dyDescent="0.25">
      <c r="B14606" s="73"/>
    </row>
    <row r="14607" spans="2:2" x14ac:dyDescent="0.25">
      <c r="B14607" s="73"/>
    </row>
    <row r="14608" spans="2:2" x14ac:dyDescent="0.25">
      <c r="B14608" s="73"/>
    </row>
    <row r="14609" spans="2:2" x14ac:dyDescent="0.25">
      <c r="B14609" s="73"/>
    </row>
    <row r="14610" spans="2:2" x14ac:dyDescent="0.25">
      <c r="B14610" s="73"/>
    </row>
    <row r="14611" spans="2:2" x14ac:dyDescent="0.25">
      <c r="B14611" s="73"/>
    </row>
    <row r="14612" spans="2:2" x14ac:dyDescent="0.25">
      <c r="B14612" s="73"/>
    </row>
    <row r="14613" spans="2:2" x14ac:dyDescent="0.25">
      <c r="B14613" s="73"/>
    </row>
    <row r="14614" spans="2:2" x14ac:dyDescent="0.25">
      <c r="B14614" s="73"/>
    </row>
    <row r="14615" spans="2:2" x14ac:dyDescent="0.25">
      <c r="B14615" s="73"/>
    </row>
    <row r="14616" spans="2:2" x14ac:dyDescent="0.25">
      <c r="B14616" s="73"/>
    </row>
    <row r="14617" spans="2:2" x14ac:dyDescent="0.25">
      <c r="B14617" s="73"/>
    </row>
    <row r="14618" spans="2:2" x14ac:dyDescent="0.25">
      <c r="B14618" s="73"/>
    </row>
    <row r="14619" spans="2:2" x14ac:dyDescent="0.25">
      <c r="B14619" s="73"/>
    </row>
    <row r="14620" spans="2:2" x14ac:dyDescent="0.25">
      <c r="B14620" s="73"/>
    </row>
    <row r="14621" spans="2:2" x14ac:dyDescent="0.25">
      <c r="B14621" s="73"/>
    </row>
    <row r="14622" spans="2:2" x14ac:dyDescent="0.25">
      <c r="B14622" s="73"/>
    </row>
    <row r="14623" spans="2:2" x14ac:dyDescent="0.25">
      <c r="B14623" s="73"/>
    </row>
    <row r="14624" spans="2:2" x14ac:dyDescent="0.25">
      <c r="B14624" s="73"/>
    </row>
    <row r="14625" spans="2:2" x14ac:dyDescent="0.25">
      <c r="B14625" s="73"/>
    </row>
    <row r="14626" spans="2:2" x14ac:dyDescent="0.25">
      <c r="B14626" s="73"/>
    </row>
    <row r="14627" spans="2:2" x14ac:dyDescent="0.25">
      <c r="B14627" s="73"/>
    </row>
    <row r="14628" spans="2:2" x14ac:dyDescent="0.25">
      <c r="B14628" s="73"/>
    </row>
    <row r="14629" spans="2:2" x14ac:dyDescent="0.25">
      <c r="B14629" s="73"/>
    </row>
    <row r="14630" spans="2:2" x14ac:dyDescent="0.25">
      <c r="B14630" s="73"/>
    </row>
    <row r="14631" spans="2:2" x14ac:dyDescent="0.25">
      <c r="B14631" s="73"/>
    </row>
    <row r="14632" spans="2:2" x14ac:dyDescent="0.25">
      <c r="B14632" s="73"/>
    </row>
    <row r="14633" spans="2:2" x14ac:dyDescent="0.25">
      <c r="B14633" s="73"/>
    </row>
    <row r="14634" spans="2:2" x14ac:dyDescent="0.25">
      <c r="B14634" s="73"/>
    </row>
    <row r="14635" spans="2:2" x14ac:dyDescent="0.25">
      <c r="B14635" s="73"/>
    </row>
    <row r="14636" spans="2:2" x14ac:dyDescent="0.25">
      <c r="B14636" s="73"/>
    </row>
    <row r="14637" spans="2:2" x14ac:dyDescent="0.25">
      <c r="B14637" s="73"/>
    </row>
    <row r="14638" spans="2:2" x14ac:dyDescent="0.25">
      <c r="B14638" s="73"/>
    </row>
    <row r="14639" spans="2:2" x14ac:dyDescent="0.25">
      <c r="B14639" s="73"/>
    </row>
    <row r="14640" spans="2:2" x14ac:dyDescent="0.25">
      <c r="B14640" s="73"/>
    </row>
    <row r="14641" spans="2:2" x14ac:dyDescent="0.25">
      <c r="B14641" s="73"/>
    </row>
    <row r="14642" spans="2:2" x14ac:dyDescent="0.25">
      <c r="B14642" s="73"/>
    </row>
    <row r="14643" spans="2:2" x14ac:dyDescent="0.25">
      <c r="B14643" s="73"/>
    </row>
    <row r="14644" spans="2:2" x14ac:dyDescent="0.25">
      <c r="B14644" s="73"/>
    </row>
    <row r="14645" spans="2:2" x14ac:dyDescent="0.25">
      <c r="B14645" s="73"/>
    </row>
    <row r="14646" spans="2:2" x14ac:dyDescent="0.25">
      <c r="B14646" s="73"/>
    </row>
    <row r="14647" spans="2:2" x14ac:dyDescent="0.25">
      <c r="B14647" s="73"/>
    </row>
    <row r="14648" spans="2:2" x14ac:dyDescent="0.25">
      <c r="B14648" s="73"/>
    </row>
    <row r="14649" spans="2:2" x14ac:dyDescent="0.25">
      <c r="B14649" s="73"/>
    </row>
    <row r="14650" spans="2:2" x14ac:dyDescent="0.25">
      <c r="B14650" s="73"/>
    </row>
    <row r="14651" spans="2:2" x14ac:dyDescent="0.25">
      <c r="B14651" s="73"/>
    </row>
    <row r="14652" spans="2:2" x14ac:dyDescent="0.25">
      <c r="B14652" s="73"/>
    </row>
    <row r="14653" spans="2:2" x14ac:dyDescent="0.25">
      <c r="B14653" s="73"/>
    </row>
    <row r="14654" spans="2:2" x14ac:dyDescent="0.25">
      <c r="B14654" s="73"/>
    </row>
    <row r="14655" spans="2:2" x14ac:dyDescent="0.25">
      <c r="B14655" s="73"/>
    </row>
    <row r="14656" spans="2:2" x14ac:dyDescent="0.25">
      <c r="B14656" s="73"/>
    </row>
    <row r="14657" spans="2:2" x14ac:dyDescent="0.25">
      <c r="B14657" s="73"/>
    </row>
    <row r="14658" spans="2:2" x14ac:dyDescent="0.25">
      <c r="B14658" s="73"/>
    </row>
    <row r="14659" spans="2:2" x14ac:dyDescent="0.25">
      <c r="B14659" s="73"/>
    </row>
    <row r="14660" spans="2:2" x14ac:dyDescent="0.25">
      <c r="B14660" s="73"/>
    </row>
    <row r="14661" spans="2:2" x14ac:dyDescent="0.25">
      <c r="B14661" s="73"/>
    </row>
    <row r="14662" spans="2:2" x14ac:dyDescent="0.25">
      <c r="B14662" s="73"/>
    </row>
    <row r="14663" spans="2:2" x14ac:dyDescent="0.25">
      <c r="B14663" s="73"/>
    </row>
    <row r="14664" spans="2:2" x14ac:dyDescent="0.25">
      <c r="B14664" s="73"/>
    </row>
    <row r="14665" spans="2:2" x14ac:dyDescent="0.25">
      <c r="B14665" s="73"/>
    </row>
    <row r="14666" spans="2:2" x14ac:dyDescent="0.25">
      <c r="B14666" s="73"/>
    </row>
    <row r="14667" spans="2:2" x14ac:dyDescent="0.25">
      <c r="B14667" s="73"/>
    </row>
    <row r="14668" spans="2:2" x14ac:dyDescent="0.25">
      <c r="B14668" s="73"/>
    </row>
    <row r="14669" spans="2:2" x14ac:dyDescent="0.25">
      <c r="B14669" s="73"/>
    </row>
    <row r="14670" spans="2:2" x14ac:dyDescent="0.25">
      <c r="B14670" s="73"/>
    </row>
    <row r="14671" spans="2:2" x14ac:dyDescent="0.25">
      <c r="B14671" s="73"/>
    </row>
    <row r="14672" spans="2:2" x14ac:dyDescent="0.25">
      <c r="B14672" s="73"/>
    </row>
    <row r="14673" spans="2:2" x14ac:dyDescent="0.25">
      <c r="B14673" s="73"/>
    </row>
    <row r="14674" spans="2:2" x14ac:dyDescent="0.25">
      <c r="B14674" s="73"/>
    </row>
    <row r="14675" spans="2:2" x14ac:dyDescent="0.25">
      <c r="B14675" s="73"/>
    </row>
    <row r="14676" spans="2:2" x14ac:dyDescent="0.25">
      <c r="B14676" s="73"/>
    </row>
    <row r="14677" spans="2:2" x14ac:dyDescent="0.25">
      <c r="B14677" s="73"/>
    </row>
    <row r="14678" spans="2:2" x14ac:dyDescent="0.25">
      <c r="B14678" s="73"/>
    </row>
    <row r="14679" spans="2:2" x14ac:dyDescent="0.25">
      <c r="B14679" s="73"/>
    </row>
    <row r="14680" spans="2:2" x14ac:dyDescent="0.25">
      <c r="B14680" s="73"/>
    </row>
    <row r="14681" spans="2:2" x14ac:dyDescent="0.25">
      <c r="B14681" s="73"/>
    </row>
    <row r="14682" spans="2:2" x14ac:dyDescent="0.25">
      <c r="B14682" s="73"/>
    </row>
    <row r="14683" spans="2:2" x14ac:dyDescent="0.25">
      <c r="B14683" s="73"/>
    </row>
    <row r="14684" spans="2:2" x14ac:dyDescent="0.25">
      <c r="B14684" s="73"/>
    </row>
    <row r="14685" spans="2:2" x14ac:dyDescent="0.25">
      <c r="B14685" s="73"/>
    </row>
    <row r="14686" spans="2:2" x14ac:dyDescent="0.25">
      <c r="B14686" s="73"/>
    </row>
    <row r="14687" spans="2:2" x14ac:dyDescent="0.25">
      <c r="B14687" s="73"/>
    </row>
    <row r="14688" spans="2:2" x14ac:dyDescent="0.25">
      <c r="B14688" s="73"/>
    </row>
    <row r="14689" spans="2:2" x14ac:dyDescent="0.25">
      <c r="B14689" s="73"/>
    </row>
    <row r="14690" spans="2:2" x14ac:dyDescent="0.25">
      <c r="B14690" s="73"/>
    </row>
    <row r="14691" spans="2:2" x14ac:dyDescent="0.25">
      <c r="B14691" s="73"/>
    </row>
    <row r="14692" spans="2:2" x14ac:dyDescent="0.25">
      <c r="B14692" s="73"/>
    </row>
    <row r="14693" spans="2:2" x14ac:dyDescent="0.25">
      <c r="B14693" s="73"/>
    </row>
    <row r="14694" spans="2:2" x14ac:dyDescent="0.25">
      <c r="B14694" s="73"/>
    </row>
    <row r="14695" spans="2:2" x14ac:dyDescent="0.25">
      <c r="B14695" s="73"/>
    </row>
    <row r="14696" spans="2:2" x14ac:dyDescent="0.25">
      <c r="B14696" s="73"/>
    </row>
    <row r="14697" spans="2:2" x14ac:dyDescent="0.25">
      <c r="B14697" s="73"/>
    </row>
    <row r="14698" spans="2:2" x14ac:dyDescent="0.25">
      <c r="B14698" s="73"/>
    </row>
    <row r="14699" spans="2:2" x14ac:dyDescent="0.25">
      <c r="B14699" s="73"/>
    </row>
    <row r="14700" spans="2:2" x14ac:dyDescent="0.25">
      <c r="B14700" s="73"/>
    </row>
    <row r="14701" spans="2:2" x14ac:dyDescent="0.25">
      <c r="B14701" s="73"/>
    </row>
    <row r="14702" spans="2:2" x14ac:dyDescent="0.25">
      <c r="B14702" s="73"/>
    </row>
    <row r="14703" spans="2:2" x14ac:dyDescent="0.25">
      <c r="B14703" s="73"/>
    </row>
    <row r="14704" spans="2:2" x14ac:dyDescent="0.25">
      <c r="B14704" s="73"/>
    </row>
    <row r="14705" spans="2:2" x14ac:dyDescent="0.25">
      <c r="B14705" s="73"/>
    </row>
    <row r="14706" spans="2:2" x14ac:dyDescent="0.25">
      <c r="B14706" s="73"/>
    </row>
    <row r="14707" spans="2:2" x14ac:dyDescent="0.25">
      <c r="B14707" s="73"/>
    </row>
    <row r="14708" spans="2:2" x14ac:dyDescent="0.25">
      <c r="B14708" s="73"/>
    </row>
    <row r="14709" spans="2:2" x14ac:dyDescent="0.25">
      <c r="B14709" s="73"/>
    </row>
    <row r="14710" spans="2:2" x14ac:dyDescent="0.25">
      <c r="B14710" s="73"/>
    </row>
    <row r="14711" spans="2:2" x14ac:dyDescent="0.25">
      <c r="B14711" s="73"/>
    </row>
    <row r="14712" spans="2:2" x14ac:dyDescent="0.25">
      <c r="B14712" s="73"/>
    </row>
    <row r="14713" spans="2:2" x14ac:dyDescent="0.25">
      <c r="B14713" s="73"/>
    </row>
    <row r="14714" spans="2:2" x14ac:dyDescent="0.25">
      <c r="B14714" s="73"/>
    </row>
    <row r="14715" spans="2:2" x14ac:dyDescent="0.25">
      <c r="B14715" s="73"/>
    </row>
    <row r="14716" spans="2:2" x14ac:dyDescent="0.25">
      <c r="B14716" s="73"/>
    </row>
    <row r="14717" spans="2:2" x14ac:dyDescent="0.25">
      <c r="B14717" s="73"/>
    </row>
    <row r="14718" spans="2:2" x14ac:dyDescent="0.25">
      <c r="B14718" s="73"/>
    </row>
    <row r="14719" spans="2:2" x14ac:dyDescent="0.25">
      <c r="B14719" s="73"/>
    </row>
    <row r="14720" spans="2:2" x14ac:dyDescent="0.25">
      <c r="B14720" s="73"/>
    </row>
    <row r="14721" spans="2:2" x14ac:dyDescent="0.25">
      <c r="B14721" s="73"/>
    </row>
    <row r="14722" spans="2:2" x14ac:dyDescent="0.25">
      <c r="B14722" s="73"/>
    </row>
    <row r="14723" spans="2:2" x14ac:dyDescent="0.25">
      <c r="B14723" s="73"/>
    </row>
    <row r="14724" spans="2:2" x14ac:dyDescent="0.25">
      <c r="B14724" s="73"/>
    </row>
    <row r="14725" spans="2:2" x14ac:dyDescent="0.25">
      <c r="B14725" s="73"/>
    </row>
    <row r="14726" spans="2:2" x14ac:dyDescent="0.25">
      <c r="B14726" s="73"/>
    </row>
    <row r="14727" spans="2:2" x14ac:dyDescent="0.25">
      <c r="B14727" s="73"/>
    </row>
    <row r="14728" spans="2:2" x14ac:dyDescent="0.25">
      <c r="B14728" s="73"/>
    </row>
    <row r="14729" spans="2:2" x14ac:dyDescent="0.25">
      <c r="B14729" s="73"/>
    </row>
    <row r="14730" spans="2:2" x14ac:dyDescent="0.25">
      <c r="B14730" s="73"/>
    </row>
    <row r="14731" spans="2:2" x14ac:dyDescent="0.25">
      <c r="B14731" s="73"/>
    </row>
    <row r="14732" spans="2:2" x14ac:dyDescent="0.25">
      <c r="B14732" s="73"/>
    </row>
    <row r="14733" spans="2:2" x14ac:dyDescent="0.25">
      <c r="B14733" s="73"/>
    </row>
    <row r="14734" spans="2:2" x14ac:dyDescent="0.25">
      <c r="B14734" s="73"/>
    </row>
    <row r="14735" spans="2:2" x14ac:dyDescent="0.25">
      <c r="B14735" s="73"/>
    </row>
    <row r="14736" spans="2:2" x14ac:dyDescent="0.25">
      <c r="B14736" s="73"/>
    </row>
    <row r="14737" spans="2:2" x14ac:dyDescent="0.25">
      <c r="B14737" s="73"/>
    </row>
    <row r="14738" spans="2:2" x14ac:dyDescent="0.25">
      <c r="B14738" s="73"/>
    </row>
    <row r="14739" spans="2:2" x14ac:dyDescent="0.25">
      <c r="B14739" s="73"/>
    </row>
    <row r="14740" spans="2:2" x14ac:dyDescent="0.25">
      <c r="B14740" s="73"/>
    </row>
    <row r="14741" spans="2:2" x14ac:dyDescent="0.25">
      <c r="B14741" s="73"/>
    </row>
    <row r="14742" spans="2:2" x14ac:dyDescent="0.25">
      <c r="B14742" s="73"/>
    </row>
    <row r="14743" spans="2:2" x14ac:dyDescent="0.25">
      <c r="B14743" s="73"/>
    </row>
    <row r="14744" spans="2:2" x14ac:dyDescent="0.25">
      <c r="B14744" s="73"/>
    </row>
    <row r="14745" spans="2:2" x14ac:dyDescent="0.25">
      <c r="B14745" s="73"/>
    </row>
    <row r="14746" spans="2:2" x14ac:dyDescent="0.25">
      <c r="B14746" s="73"/>
    </row>
    <row r="14747" spans="2:2" x14ac:dyDescent="0.25">
      <c r="B14747" s="73"/>
    </row>
    <row r="14748" spans="2:2" x14ac:dyDescent="0.25">
      <c r="B14748" s="73"/>
    </row>
    <row r="14749" spans="2:2" x14ac:dyDescent="0.25">
      <c r="B14749" s="73"/>
    </row>
    <row r="14750" spans="2:2" x14ac:dyDescent="0.25">
      <c r="B14750" s="73"/>
    </row>
    <row r="14751" spans="2:2" x14ac:dyDescent="0.25">
      <c r="B14751" s="73"/>
    </row>
    <row r="14752" spans="2:2" x14ac:dyDescent="0.25">
      <c r="B14752" s="73"/>
    </row>
    <row r="14753" spans="2:2" x14ac:dyDescent="0.25">
      <c r="B14753" s="73"/>
    </row>
    <row r="14754" spans="2:2" x14ac:dyDescent="0.25">
      <c r="B14754" s="73"/>
    </row>
    <row r="14755" spans="2:2" x14ac:dyDescent="0.25">
      <c r="B14755" s="73"/>
    </row>
    <row r="14756" spans="2:2" x14ac:dyDescent="0.25">
      <c r="B14756" s="73"/>
    </row>
    <row r="14757" spans="2:2" x14ac:dyDescent="0.25">
      <c r="B14757" s="73"/>
    </row>
    <row r="14758" spans="2:2" x14ac:dyDescent="0.25">
      <c r="B14758" s="73"/>
    </row>
    <row r="14759" spans="2:2" x14ac:dyDescent="0.25">
      <c r="B14759" s="73"/>
    </row>
    <row r="14760" spans="2:2" x14ac:dyDescent="0.25">
      <c r="B14760" s="73"/>
    </row>
    <row r="14761" spans="2:2" x14ac:dyDescent="0.25">
      <c r="B14761" s="73"/>
    </row>
    <row r="14762" spans="2:2" x14ac:dyDescent="0.25">
      <c r="B14762" s="73"/>
    </row>
    <row r="14763" spans="2:2" x14ac:dyDescent="0.25">
      <c r="B14763" s="73"/>
    </row>
    <row r="14764" spans="2:2" x14ac:dyDescent="0.25">
      <c r="B14764" s="73"/>
    </row>
    <row r="14765" spans="2:2" x14ac:dyDescent="0.25">
      <c r="B14765" s="73"/>
    </row>
    <row r="14766" spans="2:2" x14ac:dyDescent="0.25">
      <c r="B14766" s="73"/>
    </row>
    <row r="14767" spans="2:2" x14ac:dyDescent="0.25">
      <c r="B14767" s="73"/>
    </row>
    <row r="14768" spans="2:2" x14ac:dyDescent="0.25">
      <c r="B14768" s="73"/>
    </row>
    <row r="14769" spans="2:2" x14ac:dyDescent="0.25">
      <c r="B14769" s="73"/>
    </row>
    <row r="14770" spans="2:2" x14ac:dyDescent="0.25">
      <c r="B14770" s="73"/>
    </row>
    <row r="14771" spans="2:2" x14ac:dyDescent="0.25">
      <c r="B14771" s="73"/>
    </row>
    <row r="14772" spans="2:2" x14ac:dyDescent="0.25">
      <c r="B14772" s="73"/>
    </row>
    <row r="14773" spans="2:2" x14ac:dyDescent="0.25">
      <c r="B14773" s="73"/>
    </row>
    <row r="14774" spans="2:2" x14ac:dyDescent="0.25">
      <c r="B14774" s="73"/>
    </row>
    <row r="14775" spans="2:2" x14ac:dyDescent="0.25">
      <c r="B14775" s="73"/>
    </row>
    <row r="14776" spans="2:2" x14ac:dyDescent="0.25">
      <c r="B14776" s="73"/>
    </row>
    <row r="14777" spans="2:2" x14ac:dyDescent="0.25">
      <c r="B14777" s="73"/>
    </row>
    <row r="14778" spans="2:2" x14ac:dyDescent="0.25">
      <c r="B14778" s="73"/>
    </row>
    <row r="14779" spans="2:2" x14ac:dyDescent="0.25">
      <c r="B14779" s="73"/>
    </row>
    <row r="14780" spans="2:2" x14ac:dyDescent="0.25">
      <c r="B14780" s="73"/>
    </row>
    <row r="14781" spans="2:2" x14ac:dyDescent="0.25">
      <c r="B14781" s="73"/>
    </row>
    <row r="14782" spans="2:2" x14ac:dyDescent="0.25">
      <c r="B14782" s="73"/>
    </row>
    <row r="14783" spans="2:2" x14ac:dyDescent="0.25">
      <c r="B14783" s="73"/>
    </row>
    <row r="14784" spans="2:2" x14ac:dyDescent="0.25">
      <c r="B14784" s="73"/>
    </row>
    <row r="14785" spans="2:2" x14ac:dyDescent="0.25">
      <c r="B14785" s="73"/>
    </row>
    <row r="14786" spans="2:2" x14ac:dyDescent="0.25">
      <c r="B14786" s="73"/>
    </row>
    <row r="14787" spans="2:2" x14ac:dyDescent="0.25">
      <c r="B14787" s="73"/>
    </row>
    <row r="14788" spans="2:2" x14ac:dyDescent="0.25">
      <c r="B14788" s="73"/>
    </row>
    <row r="14789" spans="2:2" x14ac:dyDescent="0.25">
      <c r="B14789" s="73"/>
    </row>
    <row r="14790" spans="2:2" x14ac:dyDescent="0.25">
      <c r="B14790" s="73"/>
    </row>
    <row r="14791" spans="2:2" x14ac:dyDescent="0.25">
      <c r="B14791" s="73"/>
    </row>
    <row r="14792" spans="2:2" x14ac:dyDescent="0.25">
      <c r="B14792" s="73"/>
    </row>
    <row r="14793" spans="2:2" x14ac:dyDescent="0.25">
      <c r="B14793" s="73"/>
    </row>
    <row r="14794" spans="2:2" x14ac:dyDescent="0.25">
      <c r="B14794" s="73"/>
    </row>
    <row r="14795" spans="2:2" x14ac:dyDescent="0.25">
      <c r="B14795" s="73"/>
    </row>
    <row r="14796" spans="2:2" x14ac:dyDescent="0.25">
      <c r="B14796" s="73"/>
    </row>
    <row r="14797" spans="2:2" x14ac:dyDescent="0.25">
      <c r="B14797" s="73"/>
    </row>
    <row r="14798" spans="2:2" x14ac:dyDescent="0.25">
      <c r="B14798" s="73"/>
    </row>
    <row r="14799" spans="2:2" x14ac:dyDescent="0.25">
      <c r="B14799" s="73"/>
    </row>
    <row r="14800" spans="2:2" x14ac:dyDescent="0.25">
      <c r="B14800" s="73"/>
    </row>
    <row r="14801" spans="2:2" x14ac:dyDescent="0.25">
      <c r="B14801" s="73"/>
    </row>
    <row r="14802" spans="2:2" x14ac:dyDescent="0.25">
      <c r="B14802" s="73"/>
    </row>
    <row r="14803" spans="2:2" x14ac:dyDescent="0.25">
      <c r="B14803" s="73"/>
    </row>
    <row r="14804" spans="2:2" x14ac:dyDescent="0.25">
      <c r="B14804" s="73"/>
    </row>
    <row r="14805" spans="2:2" x14ac:dyDescent="0.25">
      <c r="B14805" s="73"/>
    </row>
    <row r="14806" spans="2:2" x14ac:dyDescent="0.25">
      <c r="B14806" s="73"/>
    </row>
    <row r="14807" spans="2:2" x14ac:dyDescent="0.25">
      <c r="B14807" s="73"/>
    </row>
    <row r="14808" spans="2:2" x14ac:dyDescent="0.25">
      <c r="B14808" s="73"/>
    </row>
    <row r="14809" spans="2:2" x14ac:dyDescent="0.25">
      <c r="B14809" s="73"/>
    </row>
    <row r="14810" spans="2:2" x14ac:dyDescent="0.25">
      <c r="B14810" s="73"/>
    </row>
    <row r="14811" spans="2:2" x14ac:dyDescent="0.25">
      <c r="B14811" s="73"/>
    </row>
    <row r="14812" spans="2:2" x14ac:dyDescent="0.25">
      <c r="B14812" s="73"/>
    </row>
    <row r="14813" spans="2:2" x14ac:dyDescent="0.25">
      <c r="B14813" s="73"/>
    </row>
    <row r="14814" spans="2:2" x14ac:dyDescent="0.25">
      <c r="B14814" s="73"/>
    </row>
    <row r="14815" spans="2:2" x14ac:dyDescent="0.25">
      <c r="B14815" s="73"/>
    </row>
    <row r="14816" spans="2:2" x14ac:dyDescent="0.25">
      <c r="B14816" s="73"/>
    </row>
    <row r="14817" spans="2:2" x14ac:dyDescent="0.25">
      <c r="B14817" s="73"/>
    </row>
    <row r="14818" spans="2:2" x14ac:dyDescent="0.25">
      <c r="B14818" s="73"/>
    </row>
    <row r="14819" spans="2:2" x14ac:dyDescent="0.25">
      <c r="B14819" s="73"/>
    </row>
    <row r="14820" spans="2:2" x14ac:dyDescent="0.25">
      <c r="B14820" s="73"/>
    </row>
    <row r="14821" spans="2:2" x14ac:dyDescent="0.25">
      <c r="B14821" s="73"/>
    </row>
    <row r="14822" spans="2:2" x14ac:dyDescent="0.25">
      <c r="B14822" s="73"/>
    </row>
    <row r="14823" spans="2:2" x14ac:dyDescent="0.25">
      <c r="B14823" s="73"/>
    </row>
    <row r="14824" spans="2:2" x14ac:dyDescent="0.25">
      <c r="B14824" s="73"/>
    </row>
    <row r="14825" spans="2:2" x14ac:dyDescent="0.25">
      <c r="B14825" s="73"/>
    </row>
    <row r="14826" spans="2:2" x14ac:dyDescent="0.25">
      <c r="B14826" s="73"/>
    </row>
    <row r="14827" spans="2:2" x14ac:dyDescent="0.25">
      <c r="B14827" s="73"/>
    </row>
    <row r="14828" spans="2:2" x14ac:dyDescent="0.25">
      <c r="B14828" s="73"/>
    </row>
    <row r="14829" spans="2:2" x14ac:dyDescent="0.25">
      <c r="B14829" s="73"/>
    </row>
    <row r="14830" spans="2:2" x14ac:dyDescent="0.25">
      <c r="B14830" s="73"/>
    </row>
    <row r="14831" spans="2:2" x14ac:dyDescent="0.25">
      <c r="B14831" s="73"/>
    </row>
    <row r="14832" spans="2:2" x14ac:dyDescent="0.25">
      <c r="B14832" s="73"/>
    </row>
    <row r="14833" spans="2:2" x14ac:dyDescent="0.25">
      <c r="B14833" s="73"/>
    </row>
    <row r="14834" spans="2:2" x14ac:dyDescent="0.25">
      <c r="B14834" s="73"/>
    </row>
    <row r="14835" spans="2:2" x14ac:dyDescent="0.25">
      <c r="B14835" s="73"/>
    </row>
    <row r="14836" spans="2:2" x14ac:dyDescent="0.25">
      <c r="B14836" s="73"/>
    </row>
    <row r="14837" spans="2:2" x14ac:dyDescent="0.25">
      <c r="B14837" s="73"/>
    </row>
    <row r="14838" spans="2:2" x14ac:dyDescent="0.25">
      <c r="B14838" s="73"/>
    </row>
    <row r="14839" spans="2:2" x14ac:dyDescent="0.25">
      <c r="B14839" s="73"/>
    </row>
    <row r="14840" spans="2:2" x14ac:dyDescent="0.25">
      <c r="B14840" s="73"/>
    </row>
    <row r="14841" spans="2:2" x14ac:dyDescent="0.25">
      <c r="B14841" s="73"/>
    </row>
    <row r="14842" spans="2:2" x14ac:dyDescent="0.25">
      <c r="B14842" s="73"/>
    </row>
    <row r="14843" spans="2:2" x14ac:dyDescent="0.25">
      <c r="B14843" s="73"/>
    </row>
    <row r="14844" spans="2:2" x14ac:dyDescent="0.25">
      <c r="B14844" s="73"/>
    </row>
    <row r="14845" spans="2:2" x14ac:dyDescent="0.25">
      <c r="B14845" s="73"/>
    </row>
    <row r="14846" spans="2:2" x14ac:dyDescent="0.25">
      <c r="B14846" s="73"/>
    </row>
    <row r="14847" spans="2:2" x14ac:dyDescent="0.25">
      <c r="B14847" s="73"/>
    </row>
    <row r="14848" spans="2:2" x14ac:dyDescent="0.25">
      <c r="B14848" s="73"/>
    </row>
    <row r="14849" spans="2:2" x14ac:dyDescent="0.25">
      <c r="B14849" s="73"/>
    </row>
    <row r="14850" spans="2:2" x14ac:dyDescent="0.25">
      <c r="B14850" s="73"/>
    </row>
    <row r="14851" spans="2:2" x14ac:dyDescent="0.25">
      <c r="B14851" s="73"/>
    </row>
    <row r="14852" spans="2:2" x14ac:dyDescent="0.25">
      <c r="B14852" s="73"/>
    </row>
    <row r="14853" spans="2:2" x14ac:dyDescent="0.25">
      <c r="B14853" s="73"/>
    </row>
    <row r="14854" spans="2:2" x14ac:dyDescent="0.25">
      <c r="B14854" s="73"/>
    </row>
    <row r="14855" spans="2:2" x14ac:dyDescent="0.25">
      <c r="B14855" s="73"/>
    </row>
    <row r="14856" spans="2:2" x14ac:dyDescent="0.25">
      <c r="B14856" s="73"/>
    </row>
    <row r="14857" spans="2:2" x14ac:dyDescent="0.25">
      <c r="B14857" s="73"/>
    </row>
    <row r="14858" spans="2:2" x14ac:dyDescent="0.25">
      <c r="B14858" s="73"/>
    </row>
    <row r="14859" spans="2:2" x14ac:dyDescent="0.25">
      <c r="B14859" s="73"/>
    </row>
    <row r="14860" spans="2:2" x14ac:dyDescent="0.25">
      <c r="B14860" s="73"/>
    </row>
    <row r="14861" spans="2:2" x14ac:dyDescent="0.25">
      <c r="B14861" s="73"/>
    </row>
    <row r="14862" spans="2:2" x14ac:dyDescent="0.25">
      <c r="B14862" s="73"/>
    </row>
    <row r="14863" spans="2:2" x14ac:dyDescent="0.25">
      <c r="B14863" s="73"/>
    </row>
    <row r="14864" spans="2:2" x14ac:dyDescent="0.25">
      <c r="B14864" s="73"/>
    </row>
    <row r="14865" spans="2:2" x14ac:dyDescent="0.25">
      <c r="B14865" s="73"/>
    </row>
    <row r="14866" spans="2:2" x14ac:dyDescent="0.25">
      <c r="B14866" s="73"/>
    </row>
    <row r="14867" spans="2:2" x14ac:dyDescent="0.25">
      <c r="B14867" s="73"/>
    </row>
    <row r="14868" spans="2:2" x14ac:dyDescent="0.25">
      <c r="B14868" s="73"/>
    </row>
    <row r="14869" spans="2:2" x14ac:dyDescent="0.25">
      <c r="B14869" s="73"/>
    </row>
    <row r="14870" spans="2:2" x14ac:dyDescent="0.25">
      <c r="B14870" s="73"/>
    </row>
    <row r="14871" spans="2:2" x14ac:dyDescent="0.25">
      <c r="B14871" s="73"/>
    </row>
    <row r="14872" spans="2:2" x14ac:dyDescent="0.25">
      <c r="B14872" s="73"/>
    </row>
    <row r="14873" spans="2:2" x14ac:dyDescent="0.25">
      <c r="B14873" s="73"/>
    </row>
    <row r="14874" spans="2:2" x14ac:dyDescent="0.25">
      <c r="B14874" s="73"/>
    </row>
    <row r="14875" spans="2:2" x14ac:dyDescent="0.25">
      <c r="B14875" s="73"/>
    </row>
    <row r="14876" spans="2:2" x14ac:dyDescent="0.25">
      <c r="B14876" s="73"/>
    </row>
    <row r="14877" spans="2:2" x14ac:dyDescent="0.25">
      <c r="B14877" s="73"/>
    </row>
    <row r="14878" spans="2:2" x14ac:dyDescent="0.25">
      <c r="B14878" s="73"/>
    </row>
    <row r="14879" spans="2:2" x14ac:dyDescent="0.25">
      <c r="B14879" s="73"/>
    </row>
    <row r="14880" spans="2:2" x14ac:dyDescent="0.25">
      <c r="B14880" s="73"/>
    </row>
    <row r="14881" spans="2:2" x14ac:dyDescent="0.25">
      <c r="B14881" s="73"/>
    </row>
    <row r="14882" spans="2:2" x14ac:dyDescent="0.25">
      <c r="B14882" s="73"/>
    </row>
    <row r="14883" spans="2:2" x14ac:dyDescent="0.25">
      <c r="B14883" s="73"/>
    </row>
    <row r="14884" spans="2:2" x14ac:dyDescent="0.25">
      <c r="B14884" s="73"/>
    </row>
    <row r="14885" spans="2:2" x14ac:dyDescent="0.25">
      <c r="B14885" s="73"/>
    </row>
    <row r="14886" spans="2:2" x14ac:dyDescent="0.25">
      <c r="B14886" s="73"/>
    </row>
    <row r="14887" spans="2:2" x14ac:dyDescent="0.25">
      <c r="B14887" s="73"/>
    </row>
    <row r="14888" spans="2:2" x14ac:dyDescent="0.25">
      <c r="B14888" s="73"/>
    </row>
    <row r="14889" spans="2:2" x14ac:dyDescent="0.25">
      <c r="B14889" s="73"/>
    </row>
    <row r="14890" spans="2:2" x14ac:dyDescent="0.25">
      <c r="B14890" s="73"/>
    </row>
    <row r="14891" spans="2:2" x14ac:dyDescent="0.25">
      <c r="B14891" s="73"/>
    </row>
    <row r="14892" spans="2:2" x14ac:dyDescent="0.25">
      <c r="B14892" s="73"/>
    </row>
    <row r="14893" spans="2:2" x14ac:dyDescent="0.25">
      <c r="B14893" s="73"/>
    </row>
    <row r="14894" spans="2:2" x14ac:dyDescent="0.25">
      <c r="B14894" s="73"/>
    </row>
    <row r="14895" spans="2:2" x14ac:dyDescent="0.25">
      <c r="B14895" s="73"/>
    </row>
    <row r="14896" spans="2:2" x14ac:dyDescent="0.25">
      <c r="B14896" s="73"/>
    </row>
    <row r="14897" spans="2:2" x14ac:dyDescent="0.25">
      <c r="B14897" s="73"/>
    </row>
    <row r="14898" spans="2:2" x14ac:dyDescent="0.25">
      <c r="B14898" s="73"/>
    </row>
    <row r="14899" spans="2:2" x14ac:dyDescent="0.25">
      <c r="B14899" s="73"/>
    </row>
    <row r="14900" spans="2:2" x14ac:dyDescent="0.25">
      <c r="B14900" s="73"/>
    </row>
    <row r="14901" spans="2:2" x14ac:dyDescent="0.25">
      <c r="B14901" s="73"/>
    </row>
    <row r="14902" spans="2:2" x14ac:dyDescent="0.25">
      <c r="B14902" s="73"/>
    </row>
    <row r="14903" spans="2:2" x14ac:dyDescent="0.25">
      <c r="B14903" s="73"/>
    </row>
    <row r="14904" spans="2:2" x14ac:dyDescent="0.25">
      <c r="B14904" s="73"/>
    </row>
    <row r="14905" spans="2:2" x14ac:dyDescent="0.25">
      <c r="B14905" s="73"/>
    </row>
    <row r="14906" spans="2:2" x14ac:dyDescent="0.25">
      <c r="B14906" s="73"/>
    </row>
    <row r="14907" spans="2:2" x14ac:dyDescent="0.25">
      <c r="B14907" s="73"/>
    </row>
    <row r="14908" spans="2:2" x14ac:dyDescent="0.25">
      <c r="B14908" s="73"/>
    </row>
    <row r="14909" spans="2:2" x14ac:dyDescent="0.25">
      <c r="B14909" s="73"/>
    </row>
    <row r="14910" spans="2:2" x14ac:dyDescent="0.25">
      <c r="B14910" s="73"/>
    </row>
    <row r="14911" spans="2:2" x14ac:dyDescent="0.25">
      <c r="B14911" s="73"/>
    </row>
    <row r="14912" spans="2:2" x14ac:dyDescent="0.25">
      <c r="B14912" s="73"/>
    </row>
    <row r="14913" spans="2:2" x14ac:dyDescent="0.25">
      <c r="B14913" s="73"/>
    </row>
    <row r="14914" spans="2:2" x14ac:dyDescent="0.25">
      <c r="B14914" s="73"/>
    </row>
    <row r="14915" spans="2:2" x14ac:dyDescent="0.25">
      <c r="B14915" s="73"/>
    </row>
    <row r="14916" spans="2:2" x14ac:dyDescent="0.25">
      <c r="B14916" s="73"/>
    </row>
    <row r="14917" spans="2:2" x14ac:dyDescent="0.25">
      <c r="B14917" s="73"/>
    </row>
    <row r="14918" spans="2:2" x14ac:dyDescent="0.25">
      <c r="B14918" s="73"/>
    </row>
    <row r="14919" spans="2:2" x14ac:dyDescent="0.25">
      <c r="B14919" s="73"/>
    </row>
    <row r="14920" spans="2:2" x14ac:dyDescent="0.25">
      <c r="B14920" s="73"/>
    </row>
    <row r="14921" spans="2:2" x14ac:dyDescent="0.25">
      <c r="B14921" s="73"/>
    </row>
    <row r="14922" spans="2:2" x14ac:dyDescent="0.25">
      <c r="B14922" s="73"/>
    </row>
    <row r="14923" spans="2:2" x14ac:dyDescent="0.25">
      <c r="B14923" s="73"/>
    </row>
    <row r="14924" spans="2:2" x14ac:dyDescent="0.25">
      <c r="B14924" s="73"/>
    </row>
    <row r="14925" spans="2:2" x14ac:dyDescent="0.25">
      <c r="B14925" s="73"/>
    </row>
    <row r="14926" spans="2:2" x14ac:dyDescent="0.25">
      <c r="B14926" s="73"/>
    </row>
    <row r="14927" spans="2:2" x14ac:dyDescent="0.25">
      <c r="B14927" s="73"/>
    </row>
    <row r="14928" spans="2:2" x14ac:dyDescent="0.25">
      <c r="B14928" s="73"/>
    </row>
    <row r="14929" spans="2:2" x14ac:dyDescent="0.25">
      <c r="B14929" s="73"/>
    </row>
    <row r="14930" spans="2:2" x14ac:dyDescent="0.25">
      <c r="B14930" s="73"/>
    </row>
    <row r="14931" spans="2:2" x14ac:dyDescent="0.25">
      <c r="B14931" s="73"/>
    </row>
    <row r="14932" spans="2:2" x14ac:dyDescent="0.25">
      <c r="B14932" s="73"/>
    </row>
    <row r="14933" spans="2:2" x14ac:dyDescent="0.25">
      <c r="B14933" s="73"/>
    </row>
    <row r="14934" spans="2:2" x14ac:dyDescent="0.25">
      <c r="B14934" s="73"/>
    </row>
    <row r="14935" spans="2:2" x14ac:dyDescent="0.25">
      <c r="B14935" s="73"/>
    </row>
    <row r="14936" spans="2:2" x14ac:dyDescent="0.25">
      <c r="B14936" s="73"/>
    </row>
    <row r="14937" spans="2:2" x14ac:dyDescent="0.25">
      <c r="B14937" s="73"/>
    </row>
    <row r="14938" spans="2:2" x14ac:dyDescent="0.25">
      <c r="B14938" s="73"/>
    </row>
    <row r="14939" spans="2:2" x14ac:dyDescent="0.25">
      <c r="B14939" s="73"/>
    </row>
    <row r="14940" spans="2:2" x14ac:dyDescent="0.25">
      <c r="B14940" s="73"/>
    </row>
    <row r="14941" spans="2:2" x14ac:dyDescent="0.25">
      <c r="B14941" s="73"/>
    </row>
    <row r="14942" spans="2:2" x14ac:dyDescent="0.25">
      <c r="B14942" s="73"/>
    </row>
    <row r="14943" spans="2:2" x14ac:dyDescent="0.25">
      <c r="B14943" s="73"/>
    </row>
    <row r="14944" spans="2:2" x14ac:dyDescent="0.25">
      <c r="B14944" s="73"/>
    </row>
    <row r="14945" spans="2:2" x14ac:dyDescent="0.25">
      <c r="B14945" s="73"/>
    </row>
    <row r="14946" spans="2:2" x14ac:dyDescent="0.25">
      <c r="B14946" s="73"/>
    </row>
    <row r="14947" spans="2:2" x14ac:dyDescent="0.25">
      <c r="B14947" s="73"/>
    </row>
    <row r="14948" spans="2:2" x14ac:dyDescent="0.25">
      <c r="B14948" s="73"/>
    </row>
    <row r="14949" spans="2:2" x14ac:dyDescent="0.25">
      <c r="B14949" s="73"/>
    </row>
    <row r="14950" spans="2:2" x14ac:dyDescent="0.25">
      <c r="B14950" s="73"/>
    </row>
    <row r="14951" spans="2:2" x14ac:dyDescent="0.25">
      <c r="B14951" s="73"/>
    </row>
    <row r="14952" spans="2:2" x14ac:dyDescent="0.25">
      <c r="B14952" s="73"/>
    </row>
    <row r="14953" spans="2:2" x14ac:dyDescent="0.25">
      <c r="B14953" s="73"/>
    </row>
    <row r="14954" spans="2:2" x14ac:dyDescent="0.25">
      <c r="B14954" s="73"/>
    </row>
    <row r="14955" spans="2:2" x14ac:dyDescent="0.25">
      <c r="B14955" s="73"/>
    </row>
    <row r="14956" spans="2:2" x14ac:dyDescent="0.25">
      <c r="B14956" s="73"/>
    </row>
    <row r="14957" spans="2:2" x14ac:dyDescent="0.25">
      <c r="B14957" s="73"/>
    </row>
    <row r="14958" spans="2:2" x14ac:dyDescent="0.25">
      <c r="B14958" s="73"/>
    </row>
    <row r="14959" spans="2:2" x14ac:dyDescent="0.25">
      <c r="B14959" s="73"/>
    </row>
    <row r="14960" spans="2:2" x14ac:dyDescent="0.25">
      <c r="B14960" s="73"/>
    </row>
    <row r="14961" spans="2:2" x14ac:dyDescent="0.25">
      <c r="B14961" s="73"/>
    </row>
    <row r="14962" spans="2:2" x14ac:dyDescent="0.25">
      <c r="B14962" s="73"/>
    </row>
    <row r="14963" spans="2:2" x14ac:dyDescent="0.25">
      <c r="B14963" s="73"/>
    </row>
    <row r="14964" spans="2:2" x14ac:dyDescent="0.25">
      <c r="B14964" s="73"/>
    </row>
    <row r="14965" spans="2:2" x14ac:dyDescent="0.25">
      <c r="B14965" s="73"/>
    </row>
    <row r="14966" spans="2:2" x14ac:dyDescent="0.25">
      <c r="B14966" s="73"/>
    </row>
    <row r="14967" spans="2:2" x14ac:dyDescent="0.25">
      <c r="B14967" s="73"/>
    </row>
    <row r="14968" spans="2:2" x14ac:dyDescent="0.25">
      <c r="B14968" s="73"/>
    </row>
    <row r="14969" spans="2:2" x14ac:dyDescent="0.25">
      <c r="B14969" s="73"/>
    </row>
    <row r="14970" spans="2:2" x14ac:dyDescent="0.25">
      <c r="B14970" s="73"/>
    </row>
    <row r="14971" spans="2:2" x14ac:dyDescent="0.25">
      <c r="B14971" s="73"/>
    </row>
    <row r="14972" spans="2:2" x14ac:dyDescent="0.25">
      <c r="B14972" s="73"/>
    </row>
    <row r="14973" spans="2:2" x14ac:dyDescent="0.25">
      <c r="B14973" s="73"/>
    </row>
    <row r="14974" spans="2:2" x14ac:dyDescent="0.25">
      <c r="B14974" s="73"/>
    </row>
    <row r="14975" spans="2:2" x14ac:dyDescent="0.25">
      <c r="B14975" s="73"/>
    </row>
    <row r="14976" spans="2:2" x14ac:dyDescent="0.25">
      <c r="B14976" s="73"/>
    </row>
    <row r="14977" spans="2:2" x14ac:dyDescent="0.25">
      <c r="B14977" s="73"/>
    </row>
    <row r="14978" spans="2:2" x14ac:dyDescent="0.25">
      <c r="B14978" s="73"/>
    </row>
    <row r="14979" spans="2:2" x14ac:dyDescent="0.25">
      <c r="B14979" s="73"/>
    </row>
    <row r="14980" spans="2:2" x14ac:dyDescent="0.25">
      <c r="B14980" s="73"/>
    </row>
    <row r="14981" spans="2:2" x14ac:dyDescent="0.25">
      <c r="B14981" s="73"/>
    </row>
    <row r="14982" spans="2:2" x14ac:dyDescent="0.25">
      <c r="B14982" s="73"/>
    </row>
    <row r="14983" spans="2:2" x14ac:dyDescent="0.25">
      <c r="B14983" s="73"/>
    </row>
    <row r="14984" spans="2:2" x14ac:dyDescent="0.25">
      <c r="B14984" s="73"/>
    </row>
    <row r="14985" spans="2:2" x14ac:dyDescent="0.25">
      <c r="B14985" s="73"/>
    </row>
    <row r="14986" spans="2:2" x14ac:dyDescent="0.25">
      <c r="B14986" s="73"/>
    </row>
    <row r="14987" spans="2:2" x14ac:dyDescent="0.25">
      <c r="B14987" s="73"/>
    </row>
    <row r="14988" spans="2:2" x14ac:dyDescent="0.25">
      <c r="B14988" s="73"/>
    </row>
    <row r="14989" spans="2:2" x14ac:dyDescent="0.25">
      <c r="B14989" s="73"/>
    </row>
    <row r="14990" spans="2:2" x14ac:dyDescent="0.25">
      <c r="B14990" s="73"/>
    </row>
    <row r="14991" spans="2:2" x14ac:dyDescent="0.25">
      <c r="B14991" s="73"/>
    </row>
    <row r="14992" spans="2:2" x14ac:dyDescent="0.25">
      <c r="B14992" s="73"/>
    </row>
    <row r="14993" spans="2:2" x14ac:dyDescent="0.25">
      <c r="B14993" s="73"/>
    </row>
    <row r="14994" spans="2:2" x14ac:dyDescent="0.25">
      <c r="B14994" s="73"/>
    </row>
    <row r="14995" spans="2:2" x14ac:dyDescent="0.25">
      <c r="B14995" s="73"/>
    </row>
    <row r="14996" spans="2:2" x14ac:dyDescent="0.25">
      <c r="B14996" s="73"/>
    </row>
    <row r="14997" spans="2:2" x14ac:dyDescent="0.25">
      <c r="B14997" s="73"/>
    </row>
    <row r="14998" spans="2:2" x14ac:dyDescent="0.25">
      <c r="B14998" s="73"/>
    </row>
    <row r="14999" spans="2:2" x14ac:dyDescent="0.25">
      <c r="B14999" s="73"/>
    </row>
    <row r="15000" spans="2:2" x14ac:dyDescent="0.25">
      <c r="B15000" s="73"/>
    </row>
    <row r="15001" spans="2:2" x14ac:dyDescent="0.25">
      <c r="B15001" s="73"/>
    </row>
    <row r="15002" spans="2:2" x14ac:dyDescent="0.25">
      <c r="B15002" s="73"/>
    </row>
    <row r="15003" spans="2:2" x14ac:dyDescent="0.25">
      <c r="B15003" s="73"/>
    </row>
    <row r="15004" spans="2:2" x14ac:dyDescent="0.25">
      <c r="B15004" s="73"/>
    </row>
    <row r="15005" spans="2:2" x14ac:dyDescent="0.25">
      <c r="B15005" s="73"/>
    </row>
    <row r="15006" spans="2:2" x14ac:dyDescent="0.25">
      <c r="B15006" s="73"/>
    </row>
    <row r="15007" spans="2:2" x14ac:dyDescent="0.25">
      <c r="B15007" s="73"/>
    </row>
    <row r="15008" spans="2:2" x14ac:dyDescent="0.25">
      <c r="B15008" s="73"/>
    </row>
    <row r="15009" spans="2:2" x14ac:dyDescent="0.25">
      <c r="B15009" s="73"/>
    </row>
    <row r="15010" spans="2:2" x14ac:dyDescent="0.25">
      <c r="B15010" s="73"/>
    </row>
    <row r="15011" spans="2:2" x14ac:dyDescent="0.25">
      <c r="B15011" s="73"/>
    </row>
    <row r="15012" spans="2:2" x14ac:dyDescent="0.25">
      <c r="B15012" s="73"/>
    </row>
    <row r="15013" spans="2:2" x14ac:dyDescent="0.25">
      <c r="B15013" s="73"/>
    </row>
    <row r="15014" spans="2:2" x14ac:dyDescent="0.25">
      <c r="B15014" s="73"/>
    </row>
    <row r="15015" spans="2:2" x14ac:dyDescent="0.25">
      <c r="B15015" s="73"/>
    </row>
    <row r="15016" spans="2:2" x14ac:dyDescent="0.25">
      <c r="B15016" s="73"/>
    </row>
    <row r="15017" spans="2:2" x14ac:dyDescent="0.25">
      <c r="B15017" s="73"/>
    </row>
    <row r="15018" spans="2:2" x14ac:dyDescent="0.25">
      <c r="B15018" s="73"/>
    </row>
    <row r="15019" spans="2:2" x14ac:dyDescent="0.25">
      <c r="B15019" s="73"/>
    </row>
    <row r="15020" spans="2:2" x14ac:dyDescent="0.25">
      <c r="B15020" s="73"/>
    </row>
    <row r="15021" spans="2:2" x14ac:dyDescent="0.25">
      <c r="B15021" s="73"/>
    </row>
    <row r="15022" spans="2:2" x14ac:dyDescent="0.25">
      <c r="B15022" s="73"/>
    </row>
    <row r="15023" spans="2:2" x14ac:dyDescent="0.25">
      <c r="B15023" s="73"/>
    </row>
    <row r="15024" spans="2:2" x14ac:dyDescent="0.25">
      <c r="B15024" s="73"/>
    </row>
    <row r="15025" spans="2:2" x14ac:dyDescent="0.25">
      <c r="B15025" s="73"/>
    </row>
    <row r="15026" spans="2:2" x14ac:dyDescent="0.25">
      <c r="B15026" s="73"/>
    </row>
    <row r="15027" spans="2:2" x14ac:dyDescent="0.25">
      <c r="B15027" s="73"/>
    </row>
    <row r="15028" spans="2:2" x14ac:dyDescent="0.25">
      <c r="B15028" s="73"/>
    </row>
    <row r="15029" spans="2:2" x14ac:dyDescent="0.25">
      <c r="B15029" s="73"/>
    </row>
    <row r="15030" spans="2:2" x14ac:dyDescent="0.25">
      <c r="B15030" s="73"/>
    </row>
    <row r="15031" spans="2:2" x14ac:dyDescent="0.25">
      <c r="B15031" s="73"/>
    </row>
    <row r="15032" spans="2:2" x14ac:dyDescent="0.25">
      <c r="B15032" s="73"/>
    </row>
    <row r="15033" spans="2:2" x14ac:dyDescent="0.25">
      <c r="B15033" s="73"/>
    </row>
    <row r="15034" spans="2:2" x14ac:dyDescent="0.25">
      <c r="B15034" s="73"/>
    </row>
    <row r="15035" spans="2:2" x14ac:dyDescent="0.25">
      <c r="B15035" s="73"/>
    </row>
    <row r="15036" spans="2:2" x14ac:dyDescent="0.25">
      <c r="B15036" s="73"/>
    </row>
    <row r="15037" spans="2:2" x14ac:dyDescent="0.25">
      <c r="B15037" s="73"/>
    </row>
    <row r="15038" spans="2:2" x14ac:dyDescent="0.25">
      <c r="B15038" s="73"/>
    </row>
    <row r="15039" spans="2:2" x14ac:dyDescent="0.25">
      <c r="B15039" s="73"/>
    </row>
    <row r="15040" spans="2:2" x14ac:dyDescent="0.25">
      <c r="B15040" s="73"/>
    </row>
    <row r="15041" spans="2:2" x14ac:dyDescent="0.25">
      <c r="B15041" s="73"/>
    </row>
    <row r="15042" spans="2:2" x14ac:dyDescent="0.25">
      <c r="B15042" s="73"/>
    </row>
    <row r="15043" spans="2:2" x14ac:dyDescent="0.25">
      <c r="B15043" s="73"/>
    </row>
    <row r="15044" spans="2:2" x14ac:dyDescent="0.25">
      <c r="B15044" s="73"/>
    </row>
    <row r="15045" spans="2:2" x14ac:dyDescent="0.25">
      <c r="B15045" s="73"/>
    </row>
    <row r="15046" spans="2:2" x14ac:dyDescent="0.25">
      <c r="B15046" s="73"/>
    </row>
    <row r="15047" spans="2:2" x14ac:dyDescent="0.25">
      <c r="B15047" s="73"/>
    </row>
    <row r="15048" spans="2:2" x14ac:dyDescent="0.25">
      <c r="B15048" s="73"/>
    </row>
    <row r="15049" spans="2:2" x14ac:dyDescent="0.25">
      <c r="B15049" s="73"/>
    </row>
    <row r="15050" spans="2:2" x14ac:dyDescent="0.25">
      <c r="B15050" s="73"/>
    </row>
    <row r="15051" spans="2:2" x14ac:dyDescent="0.25">
      <c r="B15051" s="73"/>
    </row>
    <row r="15052" spans="2:2" x14ac:dyDescent="0.25">
      <c r="B15052" s="73"/>
    </row>
    <row r="15053" spans="2:2" x14ac:dyDescent="0.25">
      <c r="B15053" s="73"/>
    </row>
    <row r="15054" spans="2:2" x14ac:dyDescent="0.25">
      <c r="B15054" s="73"/>
    </row>
    <row r="15055" spans="2:2" x14ac:dyDescent="0.25">
      <c r="B15055" s="73"/>
    </row>
    <row r="15056" spans="2:2" x14ac:dyDescent="0.25">
      <c r="B15056" s="73"/>
    </row>
    <row r="15057" spans="2:2" x14ac:dyDescent="0.25">
      <c r="B15057" s="73"/>
    </row>
    <row r="15058" spans="2:2" x14ac:dyDescent="0.25">
      <c r="B15058" s="73"/>
    </row>
    <row r="15059" spans="2:2" x14ac:dyDescent="0.25">
      <c r="B15059" s="73"/>
    </row>
    <row r="15060" spans="2:2" x14ac:dyDescent="0.25">
      <c r="B15060" s="73"/>
    </row>
    <row r="15061" spans="2:2" x14ac:dyDescent="0.25">
      <c r="B15061" s="73"/>
    </row>
    <row r="15062" spans="2:2" x14ac:dyDescent="0.25">
      <c r="B15062" s="73"/>
    </row>
    <row r="15063" spans="2:2" x14ac:dyDescent="0.25">
      <c r="B15063" s="73"/>
    </row>
    <row r="15064" spans="2:2" x14ac:dyDescent="0.25">
      <c r="B15064" s="73"/>
    </row>
    <row r="15065" spans="2:2" x14ac:dyDescent="0.25">
      <c r="B15065" s="73"/>
    </row>
    <row r="15066" spans="2:2" x14ac:dyDescent="0.25">
      <c r="B15066" s="73"/>
    </row>
    <row r="15067" spans="2:2" x14ac:dyDescent="0.25">
      <c r="B15067" s="73"/>
    </row>
    <row r="15068" spans="2:2" x14ac:dyDescent="0.25">
      <c r="B15068" s="73"/>
    </row>
    <row r="15069" spans="2:2" x14ac:dyDescent="0.25">
      <c r="B15069" s="73"/>
    </row>
    <row r="15070" spans="2:2" x14ac:dyDescent="0.25">
      <c r="B15070" s="73"/>
    </row>
    <row r="15071" spans="2:2" x14ac:dyDescent="0.25">
      <c r="B15071" s="73"/>
    </row>
    <row r="15072" spans="2:2" x14ac:dyDescent="0.25">
      <c r="B15072" s="73"/>
    </row>
    <row r="15073" spans="2:2" x14ac:dyDescent="0.25">
      <c r="B15073" s="73"/>
    </row>
    <row r="15074" spans="2:2" x14ac:dyDescent="0.25">
      <c r="B15074" s="73"/>
    </row>
    <row r="15075" spans="2:2" x14ac:dyDescent="0.25">
      <c r="B15075" s="73"/>
    </row>
    <row r="15076" spans="2:2" x14ac:dyDescent="0.25">
      <c r="B15076" s="73"/>
    </row>
    <row r="15077" spans="2:2" x14ac:dyDescent="0.25">
      <c r="B15077" s="73"/>
    </row>
    <row r="15078" spans="2:2" x14ac:dyDescent="0.25">
      <c r="B15078" s="73"/>
    </row>
    <row r="15079" spans="2:2" x14ac:dyDescent="0.25">
      <c r="B15079" s="73"/>
    </row>
    <row r="15080" spans="2:2" x14ac:dyDescent="0.25">
      <c r="B15080" s="73"/>
    </row>
    <row r="15081" spans="2:2" x14ac:dyDescent="0.25">
      <c r="B15081" s="73"/>
    </row>
    <row r="15082" spans="2:2" x14ac:dyDescent="0.25">
      <c r="B15082" s="73"/>
    </row>
    <row r="15083" spans="2:2" x14ac:dyDescent="0.25">
      <c r="B15083" s="73"/>
    </row>
    <row r="15084" spans="2:2" x14ac:dyDescent="0.25">
      <c r="B15084" s="73"/>
    </row>
    <row r="15085" spans="2:2" x14ac:dyDescent="0.25">
      <c r="B15085" s="73"/>
    </row>
    <row r="15086" spans="2:2" x14ac:dyDescent="0.25">
      <c r="B15086" s="73"/>
    </row>
    <row r="15087" spans="2:2" x14ac:dyDescent="0.25">
      <c r="B15087" s="73"/>
    </row>
    <row r="15088" spans="2:2" x14ac:dyDescent="0.25">
      <c r="B15088" s="73"/>
    </row>
    <row r="15089" spans="2:2" x14ac:dyDescent="0.25">
      <c r="B15089" s="73"/>
    </row>
    <row r="15090" spans="2:2" x14ac:dyDescent="0.25">
      <c r="B15090" s="73"/>
    </row>
    <row r="15091" spans="2:2" x14ac:dyDescent="0.25">
      <c r="B15091" s="73"/>
    </row>
    <row r="15092" spans="2:2" x14ac:dyDescent="0.25">
      <c r="B15092" s="73"/>
    </row>
    <row r="15093" spans="2:2" x14ac:dyDescent="0.25">
      <c r="B15093" s="73"/>
    </row>
    <row r="15094" spans="2:2" x14ac:dyDescent="0.25">
      <c r="B15094" s="73"/>
    </row>
    <row r="15095" spans="2:2" x14ac:dyDescent="0.25">
      <c r="B15095" s="73"/>
    </row>
    <row r="15096" spans="2:2" x14ac:dyDescent="0.25">
      <c r="B15096" s="73"/>
    </row>
    <row r="15097" spans="2:2" x14ac:dyDescent="0.25">
      <c r="B15097" s="73"/>
    </row>
    <row r="15098" spans="2:2" x14ac:dyDescent="0.25">
      <c r="B15098" s="73"/>
    </row>
    <row r="15099" spans="2:2" x14ac:dyDescent="0.25">
      <c r="B15099" s="73"/>
    </row>
    <row r="15100" spans="2:2" x14ac:dyDescent="0.25">
      <c r="B15100" s="73"/>
    </row>
    <row r="15101" spans="2:2" x14ac:dyDescent="0.25">
      <c r="B15101" s="73"/>
    </row>
    <row r="15102" spans="2:2" x14ac:dyDescent="0.25">
      <c r="B15102" s="73"/>
    </row>
    <row r="15103" spans="2:2" x14ac:dyDescent="0.25">
      <c r="B15103" s="73"/>
    </row>
    <row r="15104" spans="2:2" x14ac:dyDescent="0.25">
      <c r="B15104" s="73"/>
    </row>
    <row r="15105" spans="2:2" x14ac:dyDescent="0.25">
      <c r="B15105" s="73"/>
    </row>
    <row r="15106" spans="2:2" x14ac:dyDescent="0.25">
      <c r="B15106" s="73"/>
    </row>
    <row r="15107" spans="2:2" x14ac:dyDescent="0.25">
      <c r="B15107" s="73"/>
    </row>
    <row r="15108" spans="2:2" x14ac:dyDescent="0.25">
      <c r="B15108" s="73"/>
    </row>
    <row r="15109" spans="2:2" x14ac:dyDescent="0.25">
      <c r="B15109" s="73"/>
    </row>
    <row r="15110" spans="2:2" x14ac:dyDescent="0.25">
      <c r="B15110" s="73"/>
    </row>
    <row r="15111" spans="2:2" x14ac:dyDescent="0.25">
      <c r="B15111" s="73"/>
    </row>
    <row r="15112" spans="2:2" x14ac:dyDescent="0.25">
      <c r="B15112" s="73"/>
    </row>
    <row r="15113" spans="2:2" x14ac:dyDescent="0.25">
      <c r="B15113" s="73"/>
    </row>
    <row r="15114" spans="2:2" x14ac:dyDescent="0.25">
      <c r="B15114" s="73"/>
    </row>
    <row r="15115" spans="2:2" x14ac:dyDescent="0.25">
      <c r="B15115" s="73"/>
    </row>
    <row r="15116" spans="2:2" x14ac:dyDescent="0.25">
      <c r="B15116" s="73"/>
    </row>
    <row r="15117" spans="2:2" x14ac:dyDescent="0.25">
      <c r="B15117" s="73"/>
    </row>
    <row r="15118" spans="2:2" x14ac:dyDescent="0.25">
      <c r="B15118" s="73"/>
    </row>
    <row r="15119" spans="2:2" x14ac:dyDescent="0.25">
      <c r="B15119" s="73"/>
    </row>
    <row r="15120" spans="2:2" x14ac:dyDescent="0.25">
      <c r="B15120" s="73"/>
    </row>
    <row r="15121" spans="2:2" x14ac:dyDescent="0.25">
      <c r="B15121" s="73"/>
    </row>
    <row r="15122" spans="2:2" x14ac:dyDescent="0.25">
      <c r="B15122" s="73"/>
    </row>
    <row r="15123" spans="2:2" x14ac:dyDescent="0.25">
      <c r="B15123" s="73"/>
    </row>
    <row r="15124" spans="2:2" x14ac:dyDescent="0.25">
      <c r="B15124" s="73"/>
    </row>
    <row r="15125" spans="2:2" x14ac:dyDescent="0.25">
      <c r="B15125" s="73"/>
    </row>
    <row r="15126" spans="2:2" x14ac:dyDescent="0.25">
      <c r="B15126" s="73"/>
    </row>
    <row r="15127" spans="2:2" x14ac:dyDescent="0.25">
      <c r="B15127" s="73"/>
    </row>
    <row r="15128" spans="2:2" x14ac:dyDescent="0.25">
      <c r="B15128" s="73"/>
    </row>
    <row r="15129" spans="2:2" x14ac:dyDescent="0.25">
      <c r="B15129" s="73"/>
    </row>
    <row r="15130" spans="2:2" x14ac:dyDescent="0.25">
      <c r="B15130" s="73"/>
    </row>
    <row r="15131" spans="2:2" x14ac:dyDescent="0.25">
      <c r="B15131" s="73"/>
    </row>
    <row r="15132" spans="2:2" x14ac:dyDescent="0.25">
      <c r="B15132" s="73"/>
    </row>
    <row r="15133" spans="2:2" x14ac:dyDescent="0.25">
      <c r="B15133" s="73"/>
    </row>
    <row r="15134" spans="2:2" x14ac:dyDescent="0.25">
      <c r="B15134" s="73"/>
    </row>
    <row r="15135" spans="2:2" x14ac:dyDescent="0.25">
      <c r="B15135" s="73"/>
    </row>
    <row r="15136" spans="2:2" x14ac:dyDescent="0.25">
      <c r="B15136" s="73"/>
    </row>
    <row r="15137" spans="2:2" x14ac:dyDescent="0.25">
      <c r="B15137" s="73"/>
    </row>
    <row r="15138" spans="2:2" x14ac:dyDescent="0.25">
      <c r="B15138" s="73"/>
    </row>
    <row r="15139" spans="2:2" x14ac:dyDescent="0.25">
      <c r="B15139" s="73"/>
    </row>
    <row r="15140" spans="2:2" x14ac:dyDescent="0.25">
      <c r="B15140" s="73"/>
    </row>
    <row r="15141" spans="2:2" x14ac:dyDescent="0.25">
      <c r="B15141" s="73"/>
    </row>
    <row r="15142" spans="2:2" x14ac:dyDescent="0.25">
      <c r="B15142" s="73"/>
    </row>
    <row r="15143" spans="2:2" x14ac:dyDescent="0.25">
      <c r="B15143" s="73"/>
    </row>
    <row r="15144" spans="2:2" x14ac:dyDescent="0.25">
      <c r="B15144" s="73"/>
    </row>
    <row r="15145" spans="2:2" x14ac:dyDescent="0.25">
      <c r="B15145" s="73"/>
    </row>
    <row r="15146" spans="2:2" x14ac:dyDescent="0.25">
      <c r="B15146" s="73"/>
    </row>
    <row r="15147" spans="2:2" x14ac:dyDescent="0.25">
      <c r="B15147" s="73"/>
    </row>
    <row r="15148" spans="2:2" x14ac:dyDescent="0.25">
      <c r="B15148" s="73"/>
    </row>
    <row r="15149" spans="2:2" x14ac:dyDescent="0.25">
      <c r="B15149" s="73"/>
    </row>
    <row r="15150" spans="2:2" x14ac:dyDescent="0.25">
      <c r="B15150" s="73"/>
    </row>
    <row r="15151" spans="2:2" x14ac:dyDescent="0.25">
      <c r="B15151" s="73"/>
    </row>
    <row r="15152" spans="2:2" x14ac:dyDescent="0.25">
      <c r="B15152" s="73"/>
    </row>
    <row r="15153" spans="2:2" x14ac:dyDescent="0.25">
      <c r="B15153" s="73"/>
    </row>
    <row r="15154" spans="2:2" x14ac:dyDescent="0.25">
      <c r="B15154" s="73"/>
    </row>
    <row r="15155" spans="2:2" x14ac:dyDescent="0.25">
      <c r="B15155" s="73"/>
    </row>
    <row r="15156" spans="2:2" x14ac:dyDescent="0.25">
      <c r="B15156" s="73"/>
    </row>
    <row r="15157" spans="2:2" x14ac:dyDescent="0.25">
      <c r="B15157" s="73"/>
    </row>
    <row r="15158" spans="2:2" x14ac:dyDescent="0.25">
      <c r="B15158" s="73"/>
    </row>
    <row r="15159" spans="2:2" x14ac:dyDescent="0.25">
      <c r="B15159" s="73"/>
    </row>
    <row r="15160" spans="2:2" x14ac:dyDescent="0.25">
      <c r="B15160" s="73"/>
    </row>
    <row r="15161" spans="2:2" x14ac:dyDescent="0.25">
      <c r="B15161" s="73"/>
    </row>
    <row r="15162" spans="2:2" x14ac:dyDescent="0.25">
      <c r="B15162" s="73"/>
    </row>
    <row r="15163" spans="2:2" x14ac:dyDescent="0.25">
      <c r="B15163" s="73"/>
    </row>
    <row r="15164" spans="2:2" x14ac:dyDescent="0.25">
      <c r="B15164" s="73"/>
    </row>
    <row r="15165" spans="2:2" x14ac:dyDescent="0.25">
      <c r="B15165" s="73"/>
    </row>
    <row r="15166" spans="2:2" x14ac:dyDescent="0.25">
      <c r="B15166" s="73"/>
    </row>
    <row r="15167" spans="2:2" x14ac:dyDescent="0.25">
      <c r="B15167" s="73"/>
    </row>
    <row r="15168" spans="2:2" x14ac:dyDescent="0.25">
      <c r="B15168" s="73"/>
    </row>
    <row r="15169" spans="2:2" x14ac:dyDescent="0.25">
      <c r="B15169" s="73"/>
    </row>
    <row r="15170" spans="2:2" x14ac:dyDescent="0.25">
      <c r="B15170" s="73"/>
    </row>
    <row r="15171" spans="2:2" x14ac:dyDescent="0.25">
      <c r="B15171" s="73"/>
    </row>
    <row r="15172" spans="2:2" x14ac:dyDescent="0.25">
      <c r="B15172" s="73"/>
    </row>
    <row r="15173" spans="2:2" x14ac:dyDescent="0.25">
      <c r="B15173" s="73"/>
    </row>
    <row r="15174" spans="2:2" x14ac:dyDescent="0.25">
      <c r="B15174" s="73"/>
    </row>
    <row r="15175" spans="2:2" x14ac:dyDescent="0.25">
      <c r="B15175" s="73"/>
    </row>
    <row r="15176" spans="2:2" x14ac:dyDescent="0.25">
      <c r="B15176" s="73"/>
    </row>
    <row r="15177" spans="2:2" x14ac:dyDescent="0.25">
      <c r="B15177" s="73"/>
    </row>
    <row r="15178" spans="2:2" x14ac:dyDescent="0.25">
      <c r="B15178" s="73"/>
    </row>
    <row r="15179" spans="2:2" x14ac:dyDescent="0.25">
      <c r="B15179" s="73"/>
    </row>
    <row r="15180" spans="2:2" x14ac:dyDescent="0.25">
      <c r="B15180" s="73"/>
    </row>
    <row r="15181" spans="2:2" x14ac:dyDescent="0.25">
      <c r="B15181" s="73"/>
    </row>
    <row r="15182" spans="2:2" x14ac:dyDescent="0.25">
      <c r="B15182" s="73"/>
    </row>
    <row r="15183" spans="2:2" x14ac:dyDescent="0.25">
      <c r="B15183" s="73"/>
    </row>
    <row r="15184" spans="2:2" x14ac:dyDescent="0.25">
      <c r="B15184" s="73"/>
    </row>
    <row r="15185" spans="2:2" x14ac:dyDescent="0.25">
      <c r="B15185" s="73"/>
    </row>
    <row r="15186" spans="2:2" x14ac:dyDescent="0.25">
      <c r="B15186" s="73"/>
    </row>
    <row r="15187" spans="2:2" x14ac:dyDescent="0.25">
      <c r="B15187" s="73"/>
    </row>
    <row r="15188" spans="2:2" x14ac:dyDescent="0.25">
      <c r="B15188" s="73"/>
    </row>
    <row r="15189" spans="2:2" x14ac:dyDescent="0.25">
      <c r="B15189" s="73"/>
    </row>
    <row r="15190" spans="2:2" x14ac:dyDescent="0.25">
      <c r="B15190" s="73"/>
    </row>
    <row r="15191" spans="2:2" x14ac:dyDescent="0.25">
      <c r="B15191" s="73"/>
    </row>
    <row r="15192" spans="2:2" x14ac:dyDescent="0.25">
      <c r="B15192" s="73"/>
    </row>
    <row r="15193" spans="2:2" x14ac:dyDescent="0.25">
      <c r="B15193" s="73"/>
    </row>
    <row r="15194" spans="2:2" x14ac:dyDescent="0.25">
      <c r="B15194" s="73"/>
    </row>
    <row r="15195" spans="2:2" x14ac:dyDescent="0.25">
      <c r="B15195" s="73"/>
    </row>
    <row r="15196" spans="2:2" x14ac:dyDescent="0.25">
      <c r="B15196" s="73"/>
    </row>
    <row r="15197" spans="2:2" x14ac:dyDescent="0.25">
      <c r="B15197" s="73"/>
    </row>
    <row r="15198" spans="2:2" x14ac:dyDescent="0.25">
      <c r="B15198" s="73"/>
    </row>
    <row r="15199" spans="2:2" x14ac:dyDescent="0.25">
      <c r="B15199" s="73"/>
    </row>
    <row r="15200" spans="2:2" x14ac:dyDescent="0.25">
      <c r="B15200" s="73"/>
    </row>
    <row r="15201" spans="2:2" x14ac:dyDescent="0.25">
      <c r="B15201" s="73"/>
    </row>
    <row r="15202" spans="2:2" x14ac:dyDescent="0.25">
      <c r="B15202" s="73"/>
    </row>
    <row r="15203" spans="2:2" x14ac:dyDescent="0.25">
      <c r="B15203" s="73"/>
    </row>
    <row r="15204" spans="2:2" x14ac:dyDescent="0.25">
      <c r="B15204" s="73"/>
    </row>
    <row r="15205" spans="2:2" x14ac:dyDescent="0.25">
      <c r="B15205" s="73"/>
    </row>
    <row r="15206" spans="2:2" x14ac:dyDescent="0.25">
      <c r="B15206" s="73"/>
    </row>
    <row r="15207" spans="2:2" x14ac:dyDescent="0.25">
      <c r="B15207" s="73"/>
    </row>
    <row r="15208" spans="2:2" x14ac:dyDescent="0.25">
      <c r="B15208" s="73"/>
    </row>
    <row r="15209" spans="2:2" x14ac:dyDescent="0.25">
      <c r="B15209" s="73"/>
    </row>
    <row r="15210" spans="2:2" x14ac:dyDescent="0.25">
      <c r="B15210" s="73"/>
    </row>
    <row r="15211" spans="2:2" x14ac:dyDescent="0.25">
      <c r="B15211" s="73"/>
    </row>
    <row r="15212" spans="2:2" x14ac:dyDescent="0.25">
      <c r="B15212" s="73"/>
    </row>
    <row r="15213" spans="2:2" x14ac:dyDescent="0.25">
      <c r="B15213" s="73"/>
    </row>
    <row r="15214" spans="2:2" x14ac:dyDescent="0.25">
      <c r="B15214" s="73"/>
    </row>
    <row r="15215" spans="2:2" x14ac:dyDescent="0.25">
      <c r="B15215" s="73"/>
    </row>
    <row r="15216" spans="2:2" x14ac:dyDescent="0.25">
      <c r="B15216" s="73"/>
    </row>
    <row r="15217" spans="2:2" x14ac:dyDescent="0.25">
      <c r="B15217" s="73"/>
    </row>
    <row r="15218" spans="2:2" x14ac:dyDescent="0.25">
      <c r="B15218" s="73"/>
    </row>
    <row r="15219" spans="2:2" x14ac:dyDescent="0.25">
      <c r="B15219" s="73"/>
    </row>
    <row r="15220" spans="2:2" x14ac:dyDescent="0.25">
      <c r="B15220" s="73"/>
    </row>
    <row r="15221" spans="2:2" x14ac:dyDescent="0.25">
      <c r="B15221" s="73"/>
    </row>
    <row r="15222" spans="2:2" x14ac:dyDescent="0.25">
      <c r="B15222" s="73"/>
    </row>
    <row r="15223" spans="2:2" x14ac:dyDescent="0.25">
      <c r="B15223" s="73"/>
    </row>
    <row r="15224" spans="2:2" x14ac:dyDescent="0.25">
      <c r="B15224" s="73"/>
    </row>
    <row r="15225" spans="2:2" x14ac:dyDescent="0.25">
      <c r="B15225" s="73"/>
    </row>
    <row r="15226" spans="2:2" x14ac:dyDescent="0.25">
      <c r="B15226" s="73"/>
    </row>
    <row r="15227" spans="2:2" x14ac:dyDescent="0.25">
      <c r="B15227" s="73"/>
    </row>
    <row r="15228" spans="2:2" x14ac:dyDescent="0.25">
      <c r="B15228" s="73"/>
    </row>
    <row r="15229" spans="2:2" x14ac:dyDescent="0.25">
      <c r="B15229" s="73"/>
    </row>
    <row r="15230" spans="2:2" x14ac:dyDescent="0.25">
      <c r="B15230" s="73"/>
    </row>
    <row r="15231" spans="2:2" x14ac:dyDescent="0.25">
      <c r="B15231" s="73"/>
    </row>
    <row r="15232" spans="2:2" x14ac:dyDescent="0.25">
      <c r="B15232" s="73"/>
    </row>
    <row r="15233" spans="2:2" x14ac:dyDescent="0.25">
      <c r="B15233" s="73"/>
    </row>
    <row r="15234" spans="2:2" x14ac:dyDescent="0.25">
      <c r="B15234" s="73"/>
    </row>
    <row r="15235" spans="2:2" x14ac:dyDescent="0.25">
      <c r="B15235" s="73"/>
    </row>
    <row r="15236" spans="2:2" x14ac:dyDescent="0.25">
      <c r="B15236" s="73"/>
    </row>
    <row r="15237" spans="2:2" x14ac:dyDescent="0.25">
      <c r="B15237" s="73"/>
    </row>
    <row r="15238" spans="2:2" x14ac:dyDescent="0.25">
      <c r="B15238" s="73"/>
    </row>
    <row r="15239" spans="2:2" x14ac:dyDescent="0.25">
      <c r="B15239" s="73"/>
    </row>
    <row r="15240" spans="2:2" x14ac:dyDescent="0.25">
      <c r="B15240" s="73"/>
    </row>
    <row r="15241" spans="2:2" x14ac:dyDescent="0.25">
      <c r="B15241" s="73"/>
    </row>
    <row r="15242" spans="2:2" x14ac:dyDescent="0.25">
      <c r="B15242" s="73"/>
    </row>
    <row r="15243" spans="2:2" x14ac:dyDescent="0.25">
      <c r="B15243" s="73"/>
    </row>
    <row r="15244" spans="2:2" x14ac:dyDescent="0.25">
      <c r="B15244" s="73"/>
    </row>
    <row r="15245" spans="2:2" x14ac:dyDescent="0.25">
      <c r="B15245" s="73"/>
    </row>
    <row r="15246" spans="2:2" x14ac:dyDescent="0.25">
      <c r="B15246" s="73"/>
    </row>
    <row r="15247" spans="2:2" x14ac:dyDescent="0.25">
      <c r="B15247" s="73"/>
    </row>
    <row r="15248" spans="2:2" x14ac:dyDescent="0.25">
      <c r="B15248" s="73"/>
    </row>
    <row r="15249" spans="2:2" x14ac:dyDescent="0.25">
      <c r="B15249" s="73"/>
    </row>
    <row r="15250" spans="2:2" x14ac:dyDescent="0.25">
      <c r="B15250" s="73"/>
    </row>
    <row r="15251" spans="2:2" x14ac:dyDescent="0.25">
      <c r="B15251" s="73"/>
    </row>
    <row r="15252" spans="2:2" x14ac:dyDescent="0.25">
      <c r="B15252" s="73"/>
    </row>
    <row r="15253" spans="2:2" x14ac:dyDescent="0.25">
      <c r="B15253" s="73"/>
    </row>
    <row r="15254" spans="2:2" x14ac:dyDescent="0.25">
      <c r="B15254" s="73"/>
    </row>
    <row r="15255" spans="2:2" x14ac:dyDescent="0.25">
      <c r="B15255" s="73"/>
    </row>
    <row r="15256" spans="2:2" x14ac:dyDescent="0.25">
      <c r="B15256" s="73"/>
    </row>
    <row r="15257" spans="2:2" x14ac:dyDescent="0.25">
      <c r="B15257" s="73"/>
    </row>
    <row r="15258" spans="2:2" x14ac:dyDescent="0.25">
      <c r="B15258" s="73"/>
    </row>
    <row r="15259" spans="2:2" x14ac:dyDescent="0.25">
      <c r="B15259" s="73"/>
    </row>
    <row r="15260" spans="2:2" x14ac:dyDescent="0.25">
      <c r="B15260" s="73"/>
    </row>
    <row r="15261" spans="2:2" x14ac:dyDescent="0.25">
      <c r="B15261" s="73"/>
    </row>
    <row r="15262" spans="2:2" x14ac:dyDescent="0.25">
      <c r="B15262" s="73"/>
    </row>
    <row r="15263" spans="2:2" x14ac:dyDescent="0.25">
      <c r="B15263" s="73"/>
    </row>
    <row r="15264" spans="2:2" x14ac:dyDescent="0.25">
      <c r="B15264" s="73"/>
    </row>
    <row r="15265" spans="2:2" x14ac:dyDescent="0.25">
      <c r="B15265" s="73"/>
    </row>
    <row r="15266" spans="2:2" x14ac:dyDescent="0.25">
      <c r="B15266" s="73"/>
    </row>
    <row r="15267" spans="2:2" x14ac:dyDescent="0.25">
      <c r="B15267" s="73"/>
    </row>
    <row r="15268" spans="2:2" x14ac:dyDescent="0.25">
      <c r="B15268" s="73"/>
    </row>
    <row r="15269" spans="2:2" x14ac:dyDescent="0.25">
      <c r="B15269" s="73"/>
    </row>
    <row r="15270" spans="2:2" x14ac:dyDescent="0.25">
      <c r="B15270" s="73"/>
    </row>
    <row r="15271" spans="2:2" x14ac:dyDescent="0.25">
      <c r="B15271" s="73"/>
    </row>
    <row r="15272" spans="2:2" x14ac:dyDescent="0.25">
      <c r="B15272" s="73"/>
    </row>
    <row r="15273" spans="2:2" x14ac:dyDescent="0.25">
      <c r="B15273" s="73"/>
    </row>
    <row r="15274" spans="2:2" x14ac:dyDescent="0.25">
      <c r="B15274" s="73"/>
    </row>
    <row r="15275" spans="2:2" x14ac:dyDescent="0.25">
      <c r="B15275" s="73"/>
    </row>
    <row r="15276" spans="2:2" x14ac:dyDescent="0.25">
      <c r="B15276" s="73"/>
    </row>
    <row r="15277" spans="2:2" x14ac:dyDescent="0.25">
      <c r="B15277" s="73"/>
    </row>
    <row r="15278" spans="2:2" x14ac:dyDescent="0.25">
      <c r="B15278" s="73"/>
    </row>
    <row r="15279" spans="2:2" x14ac:dyDescent="0.25">
      <c r="B15279" s="73"/>
    </row>
    <row r="15280" spans="2:2" x14ac:dyDescent="0.25">
      <c r="B15280" s="73"/>
    </row>
    <row r="15281" spans="2:2" x14ac:dyDescent="0.25">
      <c r="B15281" s="73"/>
    </row>
    <row r="15282" spans="2:2" x14ac:dyDescent="0.25">
      <c r="B15282" s="73"/>
    </row>
    <row r="15283" spans="2:2" x14ac:dyDescent="0.25">
      <c r="B15283" s="73"/>
    </row>
    <row r="15284" spans="2:2" x14ac:dyDescent="0.25">
      <c r="B15284" s="73"/>
    </row>
    <row r="15285" spans="2:2" x14ac:dyDescent="0.25">
      <c r="B15285" s="73"/>
    </row>
    <row r="15286" spans="2:2" x14ac:dyDescent="0.25">
      <c r="B15286" s="73"/>
    </row>
    <row r="15287" spans="2:2" x14ac:dyDescent="0.25">
      <c r="B15287" s="73"/>
    </row>
    <row r="15288" spans="2:2" x14ac:dyDescent="0.25">
      <c r="B15288" s="73"/>
    </row>
    <row r="15289" spans="2:2" x14ac:dyDescent="0.25">
      <c r="B15289" s="73"/>
    </row>
    <row r="15290" spans="2:2" x14ac:dyDescent="0.25">
      <c r="B15290" s="73"/>
    </row>
    <row r="15291" spans="2:2" x14ac:dyDescent="0.25">
      <c r="B15291" s="73"/>
    </row>
    <row r="15292" spans="2:2" x14ac:dyDescent="0.25">
      <c r="B15292" s="73"/>
    </row>
    <row r="15293" spans="2:2" x14ac:dyDescent="0.25">
      <c r="B15293" s="73"/>
    </row>
    <row r="15294" spans="2:2" x14ac:dyDescent="0.25">
      <c r="B15294" s="73"/>
    </row>
    <row r="15295" spans="2:2" x14ac:dyDescent="0.25">
      <c r="B15295" s="73"/>
    </row>
    <row r="15296" spans="2:2" x14ac:dyDescent="0.25">
      <c r="B15296" s="73"/>
    </row>
    <row r="15297" spans="2:2" x14ac:dyDescent="0.25">
      <c r="B15297" s="73"/>
    </row>
    <row r="15298" spans="2:2" x14ac:dyDescent="0.25">
      <c r="B15298" s="73"/>
    </row>
    <row r="15299" spans="2:2" x14ac:dyDescent="0.25">
      <c r="B15299" s="73"/>
    </row>
    <row r="15300" spans="2:2" x14ac:dyDescent="0.25">
      <c r="B15300" s="73"/>
    </row>
    <row r="15301" spans="2:2" x14ac:dyDescent="0.25">
      <c r="B15301" s="73"/>
    </row>
    <row r="15302" spans="2:2" x14ac:dyDescent="0.25">
      <c r="B15302" s="73"/>
    </row>
    <row r="15303" spans="2:2" x14ac:dyDescent="0.25">
      <c r="B15303" s="73"/>
    </row>
    <row r="15304" spans="2:2" x14ac:dyDescent="0.25">
      <c r="B15304" s="73"/>
    </row>
    <row r="15305" spans="2:2" x14ac:dyDescent="0.25">
      <c r="B15305" s="73"/>
    </row>
    <row r="15306" spans="2:2" x14ac:dyDescent="0.25">
      <c r="B15306" s="73"/>
    </row>
    <row r="15307" spans="2:2" x14ac:dyDescent="0.25">
      <c r="B15307" s="73"/>
    </row>
    <row r="15308" spans="2:2" x14ac:dyDescent="0.25">
      <c r="B15308" s="73"/>
    </row>
    <row r="15309" spans="2:2" x14ac:dyDescent="0.25">
      <c r="B15309" s="73"/>
    </row>
    <row r="15310" spans="2:2" x14ac:dyDescent="0.25">
      <c r="B15310" s="73"/>
    </row>
    <row r="15311" spans="2:2" x14ac:dyDescent="0.25">
      <c r="B15311" s="73"/>
    </row>
    <row r="15312" spans="2:2" x14ac:dyDescent="0.25">
      <c r="B15312" s="73"/>
    </row>
    <row r="15313" spans="2:2" x14ac:dyDescent="0.25">
      <c r="B15313" s="73"/>
    </row>
    <row r="15314" spans="2:2" x14ac:dyDescent="0.25">
      <c r="B15314" s="73"/>
    </row>
    <row r="15315" spans="2:2" x14ac:dyDescent="0.25">
      <c r="B15315" s="73"/>
    </row>
    <row r="15316" spans="2:2" x14ac:dyDescent="0.25">
      <c r="B15316" s="73"/>
    </row>
    <row r="15317" spans="2:2" x14ac:dyDescent="0.25">
      <c r="B15317" s="73"/>
    </row>
    <row r="15318" spans="2:2" x14ac:dyDescent="0.25">
      <c r="B15318" s="73"/>
    </row>
    <row r="15319" spans="2:2" x14ac:dyDescent="0.25">
      <c r="B15319" s="73"/>
    </row>
    <row r="15320" spans="2:2" x14ac:dyDescent="0.25">
      <c r="B15320" s="73"/>
    </row>
    <row r="15321" spans="2:2" x14ac:dyDescent="0.25">
      <c r="B15321" s="73"/>
    </row>
    <row r="15322" spans="2:2" x14ac:dyDescent="0.25">
      <c r="B15322" s="73"/>
    </row>
    <row r="15323" spans="2:2" x14ac:dyDescent="0.25">
      <c r="B15323" s="73"/>
    </row>
    <row r="15324" spans="2:2" x14ac:dyDescent="0.25">
      <c r="B15324" s="73"/>
    </row>
    <row r="15325" spans="2:2" x14ac:dyDescent="0.25">
      <c r="B15325" s="73"/>
    </row>
    <row r="15326" spans="2:2" x14ac:dyDescent="0.25">
      <c r="B15326" s="73"/>
    </row>
    <row r="15327" spans="2:2" x14ac:dyDescent="0.25">
      <c r="B15327" s="73"/>
    </row>
    <row r="15328" spans="2:2" x14ac:dyDescent="0.25">
      <c r="B15328" s="73"/>
    </row>
    <row r="15329" spans="2:2" x14ac:dyDescent="0.25">
      <c r="B15329" s="73"/>
    </row>
    <row r="15330" spans="2:2" x14ac:dyDescent="0.25">
      <c r="B15330" s="73"/>
    </row>
    <row r="15331" spans="2:2" x14ac:dyDescent="0.25">
      <c r="B15331" s="73"/>
    </row>
    <row r="15332" spans="2:2" x14ac:dyDescent="0.25">
      <c r="B15332" s="73"/>
    </row>
    <row r="15333" spans="2:2" x14ac:dyDescent="0.25">
      <c r="B15333" s="73"/>
    </row>
    <row r="15334" spans="2:2" x14ac:dyDescent="0.25">
      <c r="B15334" s="73"/>
    </row>
    <row r="15335" spans="2:2" x14ac:dyDescent="0.25">
      <c r="B15335" s="73"/>
    </row>
    <row r="15336" spans="2:2" x14ac:dyDescent="0.25">
      <c r="B15336" s="73"/>
    </row>
    <row r="15337" spans="2:2" x14ac:dyDescent="0.25">
      <c r="B15337" s="73"/>
    </row>
    <row r="15338" spans="2:2" x14ac:dyDescent="0.25">
      <c r="B15338" s="73"/>
    </row>
    <row r="15339" spans="2:2" x14ac:dyDescent="0.25">
      <c r="B15339" s="73"/>
    </row>
    <row r="15340" spans="2:2" x14ac:dyDescent="0.25">
      <c r="B15340" s="73"/>
    </row>
    <row r="15341" spans="2:2" x14ac:dyDescent="0.25">
      <c r="B15341" s="73"/>
    </row>
    <row r="15342" spans="2:2" x14ac:dyDescent="0.25">
      <c r="B15342" s="73"/>
    </row>
    <row r="15343" spans="2:2" x14ac:dyDescent="0.25">
      <c r="B15343" s="73"/>
    </row>
    <row r="15344" spans="2:2" x14ac:dyDescent="0.25">
      <c r="B15344" s="73"/>
    </row>
    <row r="15345" spans="2:2" x14ac:dyDescent="0.25">
      <c r="B15345" s="73"/>
    </row>
    <row r="15346" spans="2:2" x14ac:dyDescent="0.25">
      <c r="B15346" s="73"/>
    </row>
    <row r="15347" spans="2:2" x14ac:dyDescent="0.25">
      <c r="B15347" s="73"/>
    </row>
    <row r="15348" spans="2:2" x14ac:dyDescent="0.25">
      <c r="B15348" s="73"/>
    </row>
    <row r="15349" spans="2:2" x14ac:dyDescent="0.25">
      <c r="B15349" s="73"/>
    </row>
    <row r="15350" spans="2:2" x14ac:dyDescent="0.25">
      <c r="B15350" s="73"/>
    </row>
    <row r="15351" spans="2:2" x14ac:dyDescent="0.25">
      <c r="B15351" s="73"/>
    </row>
    <row r="15352" spans="2:2" x14ac:dyDescent="0.25">
      <c r="B15352" s="73"/>
    </row>
    <row r="15353" spans="2:2" x14ac:dyDescent="0.25">
      <c r="B15353" s="73"/>
    </row>
    <row r="15354" spans="2:2" x14ac:dyDescent="0.25">
      <c r="B15354" s="73"/>
    </row>
    <row r="15355" spans="2:2" x14ac:dyDescent="0.25">
      <c r="B15355" s="73"/>
    </row>
    <row r="15356" spans="2:2" x14ac:dyDescent="0.25">
      <c r="B15356" s="73"/>
    </row>
    <row r="15357" spans="2:2" x14ac:dyDescent="0.25">
      <c r="B15357" s="73"/>
    </row>
    <row r="15358" spans="2:2" x14ac:dyDescent="0.25">
      <c r="B15358" s="73"/>
    </row>
    <row r="15359" spans="2:2" x14ac:dyDescent="0.25">
      <c r="B15359" s="73"/>
    </row>
    <row r="15360" spans="2:2" x14ac:dyDescent="0.25">
      <c r="B15360" s="73"/>
    </row>
    <row r="15361" spans="2:2" x14ac:dyDescent="0.25">
      <c r="B15361" s="73"/>
    </row>
    <row r="15362" spans="2:2" x14ac:dyDescent="0.25">
      <c r="B15362" s="73"/>
    </row>
    <row r="15363" spans="2:2" x14ac:dyDescent="0.25">
      <c r="B15363" s="73"/>
    </row>
    <row r="15364" spans="2:2" x14ac:dyDescent="0.25">
      <c r="B15364" s="73"/>
    </row>
    <row r="15365" spans="2:2" x14ac:dyDescent="0.25">
      <c r="B15365" s="73"/>
    </row>
    <row r="15366" spans="2:2" x14ac:dyDescent="0.25">
      <c r="B15366" s="73"/>
    </row>
    <row r="15367" spans="2:2" x14ac:dyDescent="0.25">
      <c r="B15367" s="73"/>
    </row>
    <row r="15368" spans="2:2" x14ac:dyDescent="0.25">
      <c r="B15368" s="73"/>
    </row>
    <row r="15369" spans="2:2" x14ac:dyDescent="0.25">
      <c r="B15369" s="73"/>
    </row>
    <row r="15370" spans="2:2" x14ac:dyDescent="0.25">
      <c r="B15370" s="73"/>
    </row>
    <row r="15371" spans="2:2" x14ac:dyDescent="0.25">
      <c r="B15371" s="73"/>
    </row>
    <row r="15372" spans="2:2" x14ac:dyDescent="0.25">
      <c r="B15372" s="73"/>
    </row>
    <row r="15373" spans="2:2" x14ac:dyDescent="0.25">
      <c r="B15373" s="73"/>
    </row>
    <row r="15374" spans="2:2" x14ac:dyDescent="0.25">
      <c r="B15374" s="73"/>
    </row>
    <row r="15375" spans="2:2" x14ac:dyDescent="0.25">
      <c r="B15375" s="73"/>
    </row>
    <row r="15376" spans="2:2" x14ac:dyDescent="0.25">
      <c r="B15376" s="73"/>
    </row>
    <row r="15377" spans="2:2" x14ac:dyDescent="0.25">
      <c r="B15377" s="73"/>
    </row>
    <row r="15378" spans="2:2" x14ac:dyDescent="0.25">
      <c r="B15378" s="73"/>
    </row>
    <row r="15379" spans="2:2" x14ac:dyDescent="0.25">
      <c r="B15379" s="73"/>
    </row>
    <row r="15380" spans="2:2" x14ac:dyDescent="0.25">
      <c r="B15380" s="73"/>
    </row>
    <row r="15381" spans="2:2" x14ac:dyDescent="0.25">
      <c r="B15381" s="73"/>
    </row>
    <row r="15382" spans="2:2" x14ac:dyDescent="0.25">
      <c r="B15382" s="73"/>
    </row>
    <row r="15383" spans="2:2" x14ac:dyDescent="0.25">
      <c r="B15383" s="73"/>
    </row>
    <row r="15384" spans="2:2" x14ac:dyDescent="0.25">
      <c r="B15384" s="73"/>
    </row>
    <row r="15385" spans="2:2" x14ac:dyDescent="0.25">
      <c r="B15385" s="73"/>
    </row>
    <row r="15386" spans="2:2" x14ac:dyDescent="0.25">
      <c r="B15386" s="73"/>
    </row>
    <row r="15387" spans="2:2" x14ac:dyDescent="0.25">
      <c r="B15387" s="73"/>
    </row>
    <row r="15388" spans="2:2" x14ac:dyDescent="0.25">
      <c r="B15388" s="73"/>
    </row>
    <row r="15389" spans="2:2" x14ac:dyDescent="0.25">
      <c r="B15389" s="73"/>
    </row>
    <row r="15390" spans="2:2" x14ac:dyDescent="0.25">
      <c r="B15390" s="73"/>
    </row>
    <row r="15391" spans="2:2" x14ac:dyDescent="0.25">
      <c r="B15391" s="73"/>
    </row>
    <row r="15392" spans="2:2" x14ac:dyDescent="0.25">
      <c r="B15392" s="73"/>
    </row>
    <row r="15393" spans="2:2" x14ac:dyDescent="0.25">
      <c r="B15393" s="73"/>
    </row>
    <row r="15394" spans="2:2" x14ac:dyDescent="0.25">
      <c r="B15394" s="73"/>
    </row>
    <row r="15395" spans="2:2" x14ac:dyDescent="0.25">
      <c r="B15395" s="73"/>
    </row>
    <row r="15396" spans="2:2" x14ac:dyDescent="0.25">
      <c r="B15396" s="73"/>
    </row>
    <row r="15397" spans="2:2" x14ac:dyDescent="0.25">
      <c r="B15397" s="73"/>
    </row>
    <row r="15398" spans="2:2" x14ac:dyDescent="0.25">
      <c r="B15398" s="73"/>
    </row>
    <row r="15399" spans="2:2" x14ac:dyDescent="0.25">
      <c r="B15399" s="73"/>
    </row>
    <row r="15400" spans="2:2" x14ac:dyDescent="0.25">
      <c r="B15400" s="73"/>
    </row>
    <row r="15401" spans="2:2" x14ac:dyDescent="0.25">
      <c r="B15401" s="73"/>
    </row>
    <row r="15402" spans="2:2" x14ac:dyDescent="0.25">
      <c r="B15402" s="73"/>
    </row>
    <row r="15403" spans="2:2" x14ac:dyDescent="0.25">
      <c r="B15403" s="73"/>
    </row>
    <row r="15404" spans="2:2" x14ac:dyDescent="0.25">
      <c r="B15404" s="73"/>
    </row>
    <row r="15405" spans="2:2" x14ac:dyDescent="0.25">
      <c r="B15405" s="73"/>
    </row>
    <row r="15406" spans="2:2" x14ac:dyDescent="0.25">
      <c r="B15406" s="73"/>
    </row>
    <row r="15407" spans="2:2" x14ac:dyDescent="0.25">
      <c r="B15407" s="73"/>
    </row>
    <row r="15408" spans="2:2" x14ac:dyDescent="0.25">
      <c r="B15408" s="73"/>
    </row>
    <row r="15409" spans="2:2" x14ac:dyDescent="0.25">
      <c r="B15409" s="73"/>
    </row>
    <row r="15410" spans="2:2" x14ac:dyDescent="0.25">
      <c r="B15410" s="73"/>
    </row>
    <row r="15411" spans="2:2" x14ac:dyDescent="0.25">
      <c r="B15411" s="73"/>
    </row>
    <row r="15412" spans="2:2" x14ac:dyDescent="0.25">
      <c r="B15412" s="73"/>
    </row>
    <row r="15413" spans="2:2" x14ac:dyDescent="0.25">
      <c r="B15413" s="73"/>
    </row>
    <row r="15414" spans="2:2" x14ac:dyDescent="0.25">
      <c r="B15414" s="73"/>
    </row>
    <row r="15415" spans="2:2" x14ac:dyDescent="0.25">
      <c r="B15415" s="73"/>
    </row>
    <row r="15416" spans="2:2" x14ac:dyDescent="0.25">
      <c r="B15416" s="73"/>
    </row>
    <row r="15417" spans="2:2" x14ac:dyDescent="0.25">
      <c r="B15417" s="73"/>
    </row>
    <row r="15418" spans="2:2" x14ac:dyDescent="0.25">
      <c r="B15418" s="73"/>
    </row>
    <row r="15419" spans="2:2" x14ac:dyDescent="0.25">
      <c r="B15419" s="73"/>
    </row>
    <row r="15420" spans="2:2" x14ac:dyDescent="0.25">
      <c r="B15420" s="73"/>
    </row>
    <row r="15421" spans="2:2" x14ac:dyDescent="0.25">
      <c r="B15421" s="73"/>
    </row>
    <row r="15422" spans="2:2" x14ac:dyDescent="0.25">
      <c r="B15422" s="73"/>
    </row>
    <row r="15423" spans="2:2" x14ac:dyDescent="0.25">
      <c r="B15423" s="73"/>
    </row>
    <row r="15424" spans="2:2" x14ac:dyDescent="0.25">
      <c r="B15424" s="73"/>
    </row>
    <row r="15425" spans="2:2" x14ac:dyDescent="0.25">
      <c r="B15425" s="73"/>
    </row>
    <row r="15426" spans="2:2" x14ac:dyDescent="0.25">
      <c r="B15426" s="73"/>
    </row>
    <row r="15427" spans="2:2" x14ac:dyDescent="0.25">
      <c r="B15427" s="73"/>
    </row>
    <row r="15428" spans="2:2" x14ac:dyDescent="0.25">
      <c r="B15428" s="73"/>
    </row>
    <row r="15429" spans="2:2" x14ac:dyDescent="0.25">
      <c r="B15429" s="73"/>
    </row>
    <row r="15430" spans="2:2" x14ac:dyDescent="0.25">
      <c r="B15430" s="73"/>
    </row>
    <row r="15431" spans="2:2" x14ac:dyDescent="0.25">
      <c r="B15431" s="73"/>
    </row>
    <row r="15432" spans="2:2" x14ac:dyDescent="0.25">
      <c r="B15432" s="73"/>
    </row>
    <row r="15433" spans="2:2" x14ac:dyDescent="0.25">
      <c r="B15433" s="73"/>
    </row>
    <row r="15434" spans="2:2" x14ac:dyDescent="0.25">
      <c r="B15434" s="73"/>
    </row>
    <row r="15435" spans="2:2" x14ac:dyDescent="0.25">
      <c r="B15435" s="73"/>
    </row>
    <row r="15436" spans="2:2" x14ac:dyDescent="0.25">
      <c r="B15436" s="73"/>
    </row>
    <row r="15437" spans="2:2" x14ac:dyDescent="0.25">
      <c r="B15437" s="73"/>
    </row>
    <row r="15438" spans="2:2" x14ac:dyDescent="0.25">
      <c r="B15438" s="73"/>
    </row>
    <row r="15439" spans="2:2" x14ac:dyDescent="0.25">
      <c r="B15439" s="73"/>
    </row>
    <row r="15440" spans="2:2" x14ac:dyDescent="0.25">
      <c r="B15440" s="73"/>
    </row>
    <row r="15441" spans="2:2" x14ac:dyDescent="0.25">
      <c r="B15441" s="73"/>
    </row>
    <row r="15442" spans="2:2" x14ac:dyDescent="0.25">
      <c r="B15442" s="73"/>
    </row>
    <row r="15443" spans="2:2" x14ac:dyDescent="0.25">
      <c r="B15443" s="73"/>
    </row>
    <row r="15444" spans="2:2" x14ac:dyDescent="0.25">
      <c r="B15444" s="73"/>
    </row>
    <row r="15445" spans="2:2" x14ac:dyDescent="0.25">
      <c r="B15445" s="73"/>
    </row>
    <row r="15446" spans="2:2" x14ac:dyDescent="0.25">
      <c r="B15446" s="73"/>
    </row>
    <row r="15447" spans="2:2" x14ac:dyDescent="0.25">
      <c r="B15447" s="73"/>
    </row>
    <row r="15448" spans="2:2" x14ac:dyDescent="0.25">
      <c r="B15448" s="73"/>
    </row>
    <row r="15449" spans="2:2" x14ac:dyDescent="0.25">
      <c r="B15449" s="73"/>
    </row>
    <row r="15450" spans="2:2" x14ac:dyDescent="0.25">
      <c r="B15450" s="73"/>
    </row>
    <row r="15451" spans="2:2" x14ac:dyDescent="0.25">
      <c r="B15451" s="73"/>
    </row>
    <row r="15452" spans="2:2" x14ac:dyDescent="0.25">
      <c r="B15452" s="73"/>
    </row>
    <row r="15453" spans="2:2" x14ac:dyDescent="0.25">
      <c r="B15453" s="73"/>
    </row>
    <row r="15454" spans="2:2" x14ac:dyDescent="0.25">
      <c r="B15454" s="73"/>
    </row>
    <row r="15455" spans="2:2" x14ac:dyDescent="0.25">
      <c r="B15455" s="73"/>
    </row>
    <row r="15456" spans="2:2" x14ac:dyDescent="0.25">
      <c r="B15456" s="73"/>
    </row>
    <row r="15457" spans="2:2" x14ac:dyDescent="0.25">
      <c r="B15457" s="73"/>
    </row>
    <row r="15458" spans="2:2" x14ac:dyDescent="0.25">
      <c r="B15458" s="73"/>
    </row>
    <row r="15459" spans="2:2" x14ac:dyDescent="0.25">
      <c r="B15459" s="73"/>
    </row>
    <row r="15460" spans="2:2" x14ac:dyDescent="0.25">
      <c r="B15460" s="73"/>
    </row>
    <row r="15461" spans="2:2" x14ac:dyDescent="0.25">
      <c r="B15461" s="73"/>
    </row>
    <row r="15462" spans="2:2" x14ac:dyDescent="0.25">
      <c r="B15462" s="73"/>
    </row>
    <row r="15463" spans="2:2" x14ac:dyDescent="0.25">
      <c r="B15463" s="73"/>
    </row>
    <row r="15464" spans="2:2" x14ac:dyDescent="0.25">
      <c r="B15464" s="73"/>
    </row>
    <row r="15465" spans="2:2" x14ac:dyDescent="0.25">
      <c r="B15465" s="73"/>
    </row>
    <row r="15466" spans="2:2" x14ac:dyDescent="0.25">
      <c r="B15466" s="73"/>
    </row>
    <row r="15467" spans="2:2" x14ac:dyDescent="0.25">
      <c r="B15467" s="73"/>
    </row>
    <row r="15468" spans="2:2" x14ac:dyDescent="0.25">
      <c r="B15468" s="73"/>
    </row>
    <row r="15469" spans="2:2" x14ac:dyDescent="0.25">
      <c r="B15469" s="73"/>
    </row>
    <row r="15470" spans="2:2" x14ac:dyDescent="0.25">
      <c r="B15470" s="73"/>
    </row>
    <row r="15471" spans="2:2" x14ac:dyDescent="0.25">
      <c r="B15471" s="73"/>
    </row>
    <row r="15472" spans="2:2" x14ac:dyDescent="0.25">
      <c r="B15472" s="73"/>
    </row>
    <row r="15473" spans="2:2" x14ac:dyDescent="0.25">
      <c r="B15473" s="73"/>
    </row>
    <row r="15474" spans="2:2" x14ac:dyDescent="0.25">
      <c r="B15474" s="73"/>
    </row>
    <row r="15475" spans="2:2" x14ac:dyDescent="0.25">
      <c r="B15475" s="73"/>
    </row>
    <row r="15476" spans="2:2" x14ac:dyDescent="0.25">
      <c r="B15476" s="73"/>
    </row>
    <row r="15477" spans="2:2" x14ac:dyDescent="0.25">
      <c r="B15477" s="73"/>
    </row>
    <row r="15478" spans="2:2" x14ac:dyDescent="0.25">
      <c r="B15478" s="73"/>
    </row>
    <row r="15479" spans="2:2" x14ac:dyDescent="0.25">
      <c r="B15479" s="73"/>
    </row>
    <row r="15480" spans="2:2" x14ac:dyDescent="0.25">
      <c r="B15480" s="73"/>
    </row>
    <row r="15481" spans="2:2" x14ac:dyDescent="0.25">
      <c r="B15481" s="73"/>
    </row>
    <row r="15482" spans="2:2" x14ac:dyDescent="0.25">
      <c r="B15482" s="73"/>
    </row>
    <row r="15483" spans="2:2" x14ac:dyDescent="0.25">
      <c r="B15483" s="73"/>
    </row>
    <row r="15484" spans="2:2" x14ac:dyDescent="0.25">
      <c r="B15484" s="73"/>
    </row>
    <row r="15485" spans="2:2" x14ac:dyDescent="0.25">
      <c r="B15485" s="73"/>
    </row>
    <row r="15486" spans="2:2" x14ac:dyDescent="0.25">
      <c r="B15486" s="73"/>
    </row>
    <row r="15487" spans="2:2" x14ac:dyDescent="0.25">
      <c r="B15487" s="73"/>
    </row>
    <row r="15488" spans="2:2" x14ac:dyDescent="0.25">
      <c r="B15488" s="73"/>
    </row>
    <row r="15489" spans="2:2" x14ac:dyDescent="0.25">
      <c r="B15489" s="73"/>
    </row>
    <row r="15490" spans="2:2" x14ac:dyDescent="0.25">
      <c r="B15490" s="73"/>
    </row>
    <row r="15491" spans="2:2" x14ac:dyDescent="0.25">
      <c r="B15491" s="73"/>
    </row>
    <row r="15492" spans="2:2" x14ac:dyDescent="0.25">
      <c r="B15492" s="73"/>
    </row>
    <row r="15493" spans="2:2" x14ac:dyDescent="0.25">
      <c r="B15493" s="73"/>
    </row>
    <row r="15494" spans="2:2" x14ac:dyDescent="0.25">
      <c r="B15494" s="73"/>
    </row>
    <row r="15495" spans="2:2" x14ac:dyDescent="0.25">
      <c r="B15495" s="73"/>
    </row>
    <row r="15496" spans="2:2" x14ac:dyDescent="0.25">
      <c r="B15496" s="73"/>
    </row>
    <row r="15497" spans="2:2" x14ac:dyDescent="0.25">
      <c r="B15497" s="73"/>
    </row>
    <row r="15498" spans="2:2" x14ac:dyDescent="0.25">
      <c r="B15498" s="73"/>
    </row>
    <row r="15499" spans="2:2" x14ac:dyDescent="0.25">
      <c r="B15499" s="73"/>
    </row>
    <row r="15500" spans="2:2" x14ac:dyDescent="0.25">
      <c r="B15500" s="73"/>
    </row>
    <row r="15501" spans="2:2" x14ac:dyDescent="0.25">
      <c r="B15501" s="73"/>
    </row>
    <row r="15502" spans="2:2" x14ac:dyDescent="0.25">
      <c r="B15502" s="73"/>
    </row>
    <row r="15503" spans="2:2" x14ac:dyDescent="0.25">
      <c r="B15503" s="73"/>
    </row>
    <row r="15504" spans="2:2" x14ac:dyDescent="0.25">
      <c r="B15504" s="73"/>
    </row>
    <row r="15505" spans="2:2" x14ac:dyDescent="0.25">
      <c r="B15505" s="73"/>
    </row>
    <row r="15506" spans="2:2" x14ac:dyDescent="0.25">
      <c r="B15506" s="73"/>
    </row>
    <row r="15507" spans="2:2" x14ac:dyDescent="0.25">
      <c r="B15507" s="73"/>
    </row>
    <row r="15508" spans="2:2" x14ac:dyDescent="0.25">
      <c r="B15508" s="73"/>
    </row>
    <row r="15509" spans="2:2" x14ac:dyDescent="0.25">
      <c r="B15509" s="73"/>
    </row>
    <row r="15510" spans="2:2" x14ac:dyDescent="0.25">
      <c r="B15510" s="73"/>
    </row>
    <row r="15511" spans="2:2" x14ac:dyDescent="0.25">
      <c r="B15511" s="73"/>
    </row>
    <row r="15512" spans="2:2" x14ac:dyDescent="0.25">
      <c r="B15512" s="73"/>
    </row>
    <row r="15513" spans="2:2" x14ac:dyDescent="0.25">
      <c r="B15513" s="73"/>
    </row>
    <row r="15514" spans="2:2" x14ac:dyDescent="0.25">
      <c r="B15514" s="73"/>
    </row>
    <row r="15515" spans="2:2" x14ac:dyDescent="0.25">
      <c r="B15515" s="73"/>
    </row>
    <row r="15516" spans="2:2" x14ac:dyDescent="0.25">
      <c r="B15516" s="73"/>
    </row>
    <row r="15517" spans="2:2" x14ac:dyDescent="0.25">
      <c r="B15517" s="73"/>
    </row>
    <row r="15518" spans="2:2" x14ac:dyDescent="0.25">
      <c r="B15518" s="73"/>
    </row>
    <row r="15519" spans="2:2" x14ac:dyDescent="0.25">
      <c r="B15519" s="73"/>
    </row>
    <row r="15520" spans="2:2" x14ac:dyDescent="0.25">
      <c r="B15520" s="73"/>
    </row>
    <row r="15521" spans="2:2" x14ac:dyDescent="0.25">
      <c r="B15521" s="73"/>
    </row>
    <row r="15522" spans="2:2" x14ac:dyDescent="0.25">
      <c r="B15522" s="73"/>
    </row>
    <row r="15523" spans="2:2" x14ac:dyDescent="0.25">
      <c r="B15523" s="73"/>
    </row>
    <row r="15524" spans="2:2" x14ac:dyDescent="0.25">
      <c r="B15524" s="73"/>
    </row>
    <row r="15525" spans="2:2" x14ac:dyDescent="0.25">
      <c r="B15525" s="73"/>
    </row>
    <row r="15526" spans="2:2" x14ac:dyDescent="0.25">
      <c r="B15526" s="73"/>
    </row>
    <row r="15527" spans="2:2" x14ac:dyDescent="0.25">
      <c r="B15527" s="73"/>
    </row>
    <row r="15528" spans="2:2" x14ac:dyDescent="0.25">
      <c r="B15528" s="73"/>
    </row>
    <row r="15529" spans="2:2" x14ac:dyDescent="0.25">
      <c r="B15529" s="73"/>
    </row>
    <row r="15530" spans="2:2" x14ac:dyDescent="0.25">
      <c r="B15530" s="73"/>
    </row>
    <row r="15531" spans="2:2" x14ac:dyDescent="0.25">
      <c r="B15531" s="73"/>
    </row>
    <row r="15532" spans="2:2" x14ac:dyDescent="0.25">
      <c r="B15532" s="73"/>
    </row>
    <row r="15533" spans="2:2" x14ac:dyDescent="0.25">
      <c r="B15533" s="73"/>
    </row>
    <row r="15534" spans="2:2" x14ac:dyDescent="0.25">
      <c r="B15534" s="73"/>
    </row>
    <row r="15535" spans="2:2" x14ac:dyDescent="0.25">
      <c r="B15535" s="73"/>
    </row>
    <row r="15536" spans="2:2" x14ac:dyDescent="0.25">
      <c r="B15536" s="73"/>
    </row>
    <row r="15537" spans="2:2" x14ac:dyDescent="0.25">
      <c r="B15537" s="73"/>
    </row>
    <row r="15538" spans="2:2" x14ac:dyDescent="0.25">
      <c r="B15538" s="73"/>
    </row>
    <row r="15539" spans="2:2" x14ac:dyDescent="0.25">
      <c r="B15539" s="73"/>
    </row>
    <row r="15540" spans="2:2" x14ac:dyDescent="0.25">
      <c r="B15540" s="73"/>
    </row>
    <row r="15541" spans="2:2" x14ac:dyDescent="0.25">
      <c r="B15541" s="73"/>
    </row>
    <row r="15542" spans="2:2" x14ac:dyDescent="0.25">
      <c r="B15542" s="73"/>
    </row>
    <row r="15543" spans="2:2" x14ac:dyDescent="0.25">
      <c r="B15543" s="73"/>
    </row>
    <row r="15544" spans="2:2" x14ac:dyDescent="0.25">
      <c r="B15544" s="73"/>
    </row>
    <row r="15545" spans="2:2" x14ac:dyDescent="0.25">
      <c r="B15545" s="73"/>
    </row>
    <row r="15546" spans="2:2" x14ac:dyDescent="0.25">
      <c r="B15546" s="73"/>
    </row>
    <row r="15547" spans="2:2" x14ac:dyDescent="0.25">
      <c r="B15547" s="73"/>
    </row>
    <row r="15548" spans="2:2" x14ac:dyDescent="0.25">
      <c r="B15548" s="73"/>
    </row>
    <row r="15549" spans="2:2" x14ac:dyDescent="0.25">
      <c r="B15549" s="73"/>
    </row>
    <row r="15550" spans="2:2" x14ac:dyDescent="0.25">
      <c r="B15550" s="73"/>
    </row>
    <row r="15551" spans="2:2" x14ac:dyDescent="0.25">
      <c r="B15551" s="73"/>
    </row>
    <row r="15552" spans="2:2" x14ac:dyDescent="0.25">
      <c r="B15552" s="73"/>
    </row>
    <row r="15553" spans="2:2" x14ac:dyDescent="0.25">
      <c r="B15553" s="73"/>
    </row>
    <row r="15554" spans="2:2" x14ac:dyDescent="0.25">
      <c r="B15554" s="73"/>
    </row>
    <row r="15555" spans="2:2" x14ac:dyDescent="0.25">
      <c r="B15555" s="73"/>
    </row>
    <row r="15556" spans="2:2" x14ac:dyDescent="0.25">
      <c r="B15556" s="73"/>
    </row>
    <row r="15557" spans="2:2" x14ac:dyDescent="0.25">
      <c r="B15557" s="73"/>
    </row>
    <row r="15558" spans="2:2" x14ac:dyDescent="0.25">
      <c r="B15558" s="73"/>
    </row>
    <row r="15559" spans="2:2" x14ac:dyDescent="0.25">
      <c r="B15559" s="73"/>
    </row>
    <row r="15560" spans="2:2" x14ac:dyDescent="0.25">
      <c r="B15560" s="73"/>
    </row>
    <row r="15561" spans="2:2" x14ac:dyDescent="0.25">
      <c r="B15561" s="73"/>
    </row>
    <row r="15562" spans="2:2" x14ac:dyDescent="0.25">
      <c r="B15562" s="73"/>
    </row>
    <row r="15563" spans="2:2" x14ac:dyDescent="0.25">
      <c r="B15563" s="73"/>
    </row>
    <row r="15564" spans="2:2" x14ac:dyDescent="0.25">
      <c r="B15564" s="73"/>
    </row>
    <row r="15565" spans="2:2" x14ac:dyDescent="0.25">
      <c r="B15565" s="73"/>
    </row>
    <row r="15566" spans="2:2" x14ac:dyDescent="0.25">
      <c r="B15566" s="73"/>
    </row>
    <row r="15567" spans="2:2" x14ac:dyDescent="0.25">
      <c r="B15567" s="73"/>
    </row>
    <row r="15568" spans="2:2" x14ac:dyDescent="0.25">
      <c r="B15568" s="73"/>
    </row>
    <row r="15569" spans="2:2" x14ac:dyDescent="0.25">
      <c r="B15569" s="73"/>
    </row>
    <row r="15570" spans="2:2" x14ac:dyDescent="0.25">
      <c r="B15570" s="73"/>
    </row>
    <row r="15571" spans="2:2" x14ac:dyDescent="0.25">
      <c r="B15571" s="73"/>
    </row>
    <row r="15572" spans="2:2" x14ac:dyDescent="0.25">
      <c r="B15572" s="73"/>
    </row>
    <row r="15573" spans="2:2" x14ac:dyDescent="0.25">
      <c r="B15573" s="73"/>
    </row>
    <row r="15574" spans="2:2" x14ac:dyDescent="0.25">
      <c r="B15574" s="73"/>
    </row>
    <row r="15575" spans="2:2" x14ac:dyDescent="0.25">
      <c r="B15575" s="73"/>
    </row>
    <row r="15576" spans="2:2" x14ac:dyDescent="0.25">
      <c r="B15576" s="73"/>
    </row>
    <row r="15577" spans="2:2" x14ac:dyDescent="0.25">
      <c r="B15577" s="73"/>
    </row>
    <row r="15578" spans="2:2" x14ac:dyDescent="0.25">
      <c r="B15578" s="73"/>
    </row>
    <row r="15579" spans="2:2" x14ac:dyDescent="0.25">
      <c r="B15579" s="73"/>
    </row>
    <row r="15580" spans="2:2" x14ac:dyDescent="0.25">
      <c r="B15580" s="73"/>
    </row>
    <row r="15581" spans="2:2" x14ac:dyDescent="0.25">
      <c r="B15581" s="73"/>
    </row>
    <row r="15582" spans="2:2" x14ac:dyDescent="0.25">
      <c r="B15582" s="73"/>
    </row>
    <row r="15583" spans="2:2" x14ac:dyDescent="0.25">
      <c r="B15583" s="73"/>
    </row>
    <row r="15584" spans="2:2" x14ac:dyDescent="0.25">
      <c r="B15584" s="73"/>
    </row>
    <row r="15585" spans="2:2" x14ac:dyDescent="0.25">
      <c r="B15585" s="73"/>
    </row>
    <row r="15586" spans="2:2" x14ac:dyDescent="0.25">
      <c r="B15586" s="73"/>
    </row>
    <row r="15587" spans="2:2" x14ac:dyDescent="0.25">
      <c r="B15587" s="73"/>
    </row>
    <row r="15588" spans="2:2" x14ac:dyDescent="0.25">
      <c r="B15588" s="73"/>
    </row>
    <row r="15589" spans="2:2" x14ac:dyDescent="0.25">
      <c r="B15589" s="73"/>
    </row>
    <row r="15590" spans="2:2" x14ac:dyDescent="0.25">
      <c r="B15590" s="73"/>
    </row>
    <row r="15591" spans="2:2" x14ac:dyDescent="0.25">
      <c r="B15591" s="73"/>
    </row>
    <row r="15592" spans="2:2" x14ac:dyDescent="0.25">
      <c r="B15592" s="73"/>
    </row>
    <row r="15593" spans="2:2" x14ac:dyDescent="0.25">
      <c r="B15593" s="73"/>
    </row>
    <row r="15594" spans="2:2" x14ac:dyDescent="0.25">
      <c r="B15594" s="73"/>
    </row>
    <row r="15595" spans="2:2" x14ac:dyDescent="0.25">
      <c r="B15595" s="73"/>
    </row>
    <row r="15596" spans="2:2" x14ac:dyDescent="0.25">
      <c r="B15596" s="73"/>
    </row>
    <row r="15597" spans="2:2" x14ac:dyDescent="0.25">
      <c r="B15597" s="73"/>
    </row>
    <row r="15598" spans="2:2" x14ac:dyDescent="0.25">
      <c r="B15598" s="73"/>
    </row>
    <row r="15599" spans="2:2" x14ac:dyDescent="0.25">
      <c r="B15599" s="73"/>
    </row>
    <row r="15600" spans="2:2" x14ac:dyDescent="0.25">
      <c r="B15600" s="73"/>
    </row>
    <row r="15601" spans="2:2" x14ac:dyDescent="0.25">
      <c r="B15601" s="73"/>
    </row>
    <row r="15602" spans="2:2" x14ac:dyDescent="0.25">
      <c r="B15602" s="73"/>
    </row>
    <row r="15603" spans="2:2" x14ac:dyDescent="0.25">
      <c r="B15603" s="73"/>
    </row>
    <row r="15604" spans="2:2" x14ac:dyDescent="0.25">
      <c r="B15604" s="73"/>
    </row>
    <row r="15605" spans="2:2" x14ac:dyDescent="0.25">
      <c r="B15605" s="73"/>
    </row>
    <row r="15606" spans="2:2" x14ac:dyDescent="0.25">
      <c r="B15606" s="73"/>
    </row>
    <row r="15607" spans="2:2" x14ac:dyDescent="0.25">
      <c r="B15607" s="73"/>
    </row>
    <row r="15608" spans="2:2" x14ac:dyDescent="0.25">
      <c r="B15608" s="73"/>
    </row>
    <row r="15609" spans="2:2" x14ac:dyDescent="0.25">
      <c r="B15609" s="73"/>
    </row>
    <row r="15610" spans="2:2" x14ac:dyDescent="0.25">
      <c r="B15610" s="73"/>
    </row>
    <row r="15611" spans="2:2" x14ac:dyDescent="0.25">
      <c r="B15611" s="73"/>
    </row>
    <row r="15612" spans="2:2" x14ac:dyDescent="0.25">
      <c r="B15612" s="73"/>
    </row>
    <row r="15613" spans="2:2" x14ac:dyDescent="0.25">
      <c r="B15613" s="73"/>
    </row>
    <row r="15614" spans="2:2" x14ac:dyDescent="0.25">
      <c r="B15614" s="73"/>
    </row>
    <row r="15615" spans="2:2" x14ac:dyDescent="0.25">
      <c r="B15615" s="73"/>
    </row>
    <row r="15616" spans="2:2" x14ac:dyDescent="0.25">
      <c r="B15616" s="73"/>
    </row>
    <row r="15617" spans="2:2" x14ac:dyDescent="0.25">
      <c r="B15617" s="73"/>
    </row>
    <row r="15618" spans="2:2" x14ac:dyDescent="0.25">
      <c r="B15618" s="73"/>
    </row>
    <row r="15619" spans="2:2" x14ac:dyDescent="0.25">
      <c r="B15619" s="73"/>
    </row>
    <row r="15620" spans="2:2" x14ac:dyDescent="0.25">
      <c r="B15620" s="73"/>
    </row>
    <row r="15621" spans="2:2" x14ac:dyDescent="0.25">
      <c r="B15621" s="73"/>
    </row>
    <row r="15622" spans="2:2" x14ac:dyDescent="0.25">
      <c r="B15622" s="73"/>
    </row>
    <row r="15623" spans="2:2" x14ac:dyDescent="0.25">
      <c r="B15623" s="73"/>
    </row>
    <row r="15624" spans="2:2" x14ac:dyDescent="0.25">
      <c r="B15624" s="73"/>
    </row>
    <row r="15625" spans="2:2" x14ac:dyDescent="0.25">
      <c r="B15625" s="73"/>
    </row>
    <row r="15626" spans="2:2" x14ac:dyDescent="0.25">
      <c r="B15626" s="73"/>
    </row>
    <row r="15627" spans="2:2" x14ac:dyDescent="0.25">
      <c r="B15627" s="73"/>
    </row>
    <row r="15628" spans="2:2" x14ac:dyDescent="0.25">
      <c r="B15628" s="73"/>
    </row>
    <row r="15629" spans="2:2" x14ac:dyDescent="0.25">
      <c r="B15629" s="73"/>
    </row>
    <row r="15630" spans="2:2" x14ac:dyDescent="0.25">
      <c r="B15630" s="73"/>
    </row>
    <row r="15631" spans="2:2" x14ac:dyDescent="0.25">
      <c r="B15631" s="73"/>
    </row>
    <row r="15632" spans="2:2" x14ac:dyDescent="0.25">
      <c r="B15632" s="73"/>
    </row>
    <row r="15633" spans="2:2" x14ac:dyDescent="0.25">
      <c r="B15633" s="73"/>
    </row>
    <row r="15634" spans="2:2" x14ac:dyDescent="0.25">
      <c r="B15634" s="73"/>
    </row>
    <row r="15635" spans="2:2" x14ac:dyDescent="0.25">
      <c r="B15635" s="73"/>
    </row>
    <row r="15636" spans="2:2" x14ac:dyDescent="0.25">
      <c r="B15636" s="73"/>
    </row>
    <row r="15637" spans="2:2" x14ac:dyDescent="0.25">
      <c r="B15637" s="73"/>
    </row>
    <row r="15638" spans="2:2" x14ac:dyDescent="0.25">
      <c r="B15638" s="73"/>
    </row>
    <row r="15639" spans="2:2" x14ac:dyDescent="0.25">
      <c r="B15639" s="73"/>
    </row>
    <row r="15640" spans="2:2" x14ac:dyDescent="0.25">
      <c r="B15640" s="73"/>
    </row>
    <row r="15641" spans="2:2" x14ac:dyDescent="0.25">
      <c r="B15641" s="73"/>
    </row>
    <row r="15642" spans="2:2" x14ac:dyDescent="0.25">
      <c r="B15642" s="73"/>
    </row>
    <row r="15643" spans="2:2" x14ac:dyDescent="0.25">
      <c r="B15643" s="73"/>
    </row>
    <row r="15644" spans="2:2" x14ac:dyDescent="0.25">
      <c r="B15644" s="73"/>
    </row>
    <row r="15645" spans="2:2" x14ac:dyDescent="0.25">
      <c r="B15645" s="73"/>
    </row>
    <row r="15646" spans="2:2" x14ac:dyDescent="0.25">
      <c r="B15646" s="73"/>
    </row>
    <row r="15647" spans="2:2" x14ac:dyDescent="0.25">
      <c r="B15647" s="73"/>
    </row>
    <row r="15648" spans="2:2" x14ac:dyDescent="0.25">
      <c r="B15648" s="73"/>
    </row>
    <row r="15649" spans="2:2" x14ac:dyDescent="0.25">
      <c r="B15649" s="73"/>
    </row>
    <row r="15650" spans="2:2" x14ac:dyDescent="0.25">
      <c r="B15650" s="73"/>
    </row>
    <row r="15651" spans="2:2" x14ac:dyDescent="0.25">
      <c r="B15651" s="73"/>
    </row>
    <row r="15652" spans="2:2" x14ac:dyDescent="0.25">
      <c r="B15652" s="73"/>
    </row>
    <row r="15653" spans="2:2" x14ac:dyDescent="0.25">
      <c r="B15653" s="73"/>
    </row>
    <row r="15654" spans="2:2" x14ac:dyDescent="0.25">
      <c r="B15654" s="73"/>
    </row>
    <row r="15655" spans="2:2" x14ac:dyDescent="0.25">
      <c r="B15655" s="73"/>
    </row>
    <row r="15656" spans="2:2" x14ac:dyDescent="0.25">
      <c r="B15656" s="73"/>
    </row>
    <row r="15657" spans="2:2" x14ac:dyDescent="0.25">
      <c r="B15657" s="73"/>
    </row>
    <row r="15658" spans="2:2" x14ac:dyDescent="0.25">
      <c r="B15658" s="73"/>
    </row>
    <row r="15659" spans="2:2" x14ac:dyDescent="0.25">
      <c r="B15659" s="73"/>
    </row>
    <row r="15660" spans="2:2" x14ac:dyDescent="0.25">
      <c r="B15660" s="73"/>
    </row>
    <row r="15661" spans="2:2" x14ac:dyDescent="0.25">
      <c r="B15661" s="73"/>
    </row>
    <row r="15662" spans="2:2" x14ac:dyDescent="0.25">
      <c r="B15662" s="73"/>
    </row>
    <row r="15663" spans="2:2" x14ac:dyDescent="0.25">
      <c r="B15663" s="73"/>
    </row>
    <row r="15664" spans="2:2" x14ac:dyDescent="0.25">
      <c r="B15664" s="73"/>
    </row>
    <row r="15665" spans="2:2" x14ac:dyDescent="0.25">
      <c r="B15665" s="73"/>
    </row>
    <row r="15666" spans="2:2" x14ac:dyDescent="0.25">
      <c r="B15666" s="73"/>
    </row>
    <row r="15667" spans="2:2" x14ac:dyDescent="0.25">
      <c r="B15667" s="73"/>
    </row>
    <row r="15668" spans="2:2" x14ac:dyDescent="0.25">
      <c r="B15668" s="73"/>
    </row>
    <row r="15669" spans="2:2" x14ac:dyDescent="0.25">
      <c r="B15669" s="73"/>
    </row>
    <row r="15670" spans="2:2" x14ac:dyDescent="0.25">
      <c r="B15670" s="73"/>
    </row>
    <row r="15671" spans="2:2" x14ac:dyDescent="0.25">
      <c r="B15671" s="73"/>
    </row>
    <row r="15672" spans="2:2" x14ac:dyDescent="0.25">
      <c r="B15672" s="73"/>
    </row>
    <row r="15673" spans="2:2" x14ac:dyDescent="0.25">
      <c r="B15673" s="73"/>
    </row>
    <row r="15674" spans="2:2" x14ac:dyDescent="0.25">
      <c r="B15674" s="73"/>
    </row>
    <row r="15675" spans="2:2" x14ac:dyDescent="0.25">
      <c r="B15675" s="73"/>
    </row>
    <row r="15676" spans="2:2" x14ac:dyDescent="0.25">
      <c r="B15676" s="73"/>
    </row>
    <row r="15677" spans="2:2" x14ac:dyDescent="0.25">
      <c r="B15677" s="73"/>
    </row>
    <row r="15678" spans="2:2" x14ac:dyDescent="0.25">
      <c r="B15678" s="73"/>
    </row>
    <row r="15679" spans="2:2" x14ac:dyDescent="0.25">
      <c r="B15679" s="73"/>
    </row>
    <row r="15680" spans="2:2" x14ac:dyDescent="0.25">
      <c r="B15680" s="73"/>
    </row>
    <row r="15681" spans="2:2" x14ac:dyDescent="0.25">
      <c r="B15681" s="73"/>
    </row>
    <row r="15682" spans="2:2" x14ac:dyDescent="0.25">
      <c r="B15682" s="73"/>
    </row>
    <row r="15683" spans="2:2" x14ac:dyDescent="0.25">
      <c r="B15683" s="73"/>
    </row>
    <row r="15684" spans="2:2" x14ac:dyDescent="0.25">
      <c r="B15684" s="73"/>
    </row>
    <row r="15685" spans="2:2" x14ac:dyDescent="0.25">
      <c r="B15685" s="73"/>
    </row>
    <row r="15686" spans="2:2" x14ac:dyDescent="0.25">
      <c r="B15686" s="73"/>
    </row>
    <row r="15687" spans="2:2" x14ac:dyDescent="0.25">
      <c r="B15687" s="73"/>
    </row>
    <row r="15688" spans="2:2" x14ac:dyDescent="0.25">
      <c r="B15688" s="73"/>
    </row>
    <row r="15689" spans="2:2" x14ac:dyDescent="0.25">
      <c r="B15689" s="73"/>
    </row>
    <row r="15690" spans="2:2" x14ac:dyDescent="0.25">
      <c r="B15690" s="73"/>
    </row>
    <row r="15691" spans="2:2" x14ac:dyDescent="0.25">
      <c r="B15691" s="73"/>
    </row>
    <row r="15692" spans="2:2" x14ac:dyDescent="0.25">
      <c r="B15692" s="73"/>
    </row>
    <row r="15693" spans="2:2" x14ac:dyDescent="0.25">
      <c r="B15693" s="73"/>
    </row>
    <row r="15694" spans="2:2" x14ac:dyDescent="0.25">
      <c r="B15694" s="73"/>
    </row>
    <row r="15695" spans="2:2" x14ac:dyDescent="0.25">
      <c r="B15695" s="73"/>
    </row>
    <row r="15696" spans="2:2" x14ac:dyDescent="0.25">
      <c r="B15696" s="73"/>
    </row>
    <row r="15697" spans="2:2" x14ac:dyDescent="0.25">
      <c r="B15697" s="73"/>
    </row>
    <row r="15698" spans="2:2" x14ac:dyDescent="0.25">
      <c r="B15698" s="73"/>
    </row>
    <row r="15699" spans="2:2" x14ac:dyDescent="0.25">
      <c r="B15699" s="73"/>
    </row>
    <row r="15700" spans="2:2" x14ac:dyDescent="0.25">
      <c r="B15700" s="73"/>
    </row>
    <row r="15701" spans="2:2" x14ac:dyDescent="0.25">
      <c r="B15701" s="73"/>
    </row>
    <row r="15702" spans="2:2" x14ac:dyDescent="0.25">
      <c r="B15702" s="73"/>
    </row>
    <row r="15703" spans="2:2" x14ac:dyDescent="0.25">
      <c r="B15703" s="73"/>
    </row>
    <row r="15704" spans="2:2" x14ac:dyDescent="0.25">
      <c r="B15704" s="73"/>
    </row>
    <row r="15705" spans="2:2" x14ac:dyDescent="0.25">
      <c r="B15705" s="73"/>
    </row>
    <row r="15706" spans="2:2" x14ac:dyDescent="0.25">
      <c r="B15706" s="73"/>
    </row>
    <row r="15707" spans="2:2" x14ac:dyDescent="0.25">
      <c r="B15707" s="73"/>
    </row>
    <row r="15708" spans="2:2" x14ac:dyDescent="0.25">
      <c r="B15708" s="73"/>
    </row>
    <row r="15709" spans="2:2" x14ac:dyDescent="0.25">
      <c r="B15709" s="73"/>
    </row>
    <row r="15710" spans="2:2" x14ac:dyDescent="0.25">
      <c r="B15710" s="73"/>
    </row>
    <row r="15711" spans="2:2" x14ac:dyDescent="0.25">
      <c r="B15711" s="73"/>
    </row>
    <row r="15712" spans="2:2" x14ac:dyDescent="0.25">
      <c r="B15712" s="73"/>
    </row>
    <row r="15713" spans="2:2" x14ac:dyDescent="0.25">
      <c r="B15713" s="73"/>
    </row>
    <row r="15714" spans="2:2" x14ac:dyDescent="0.25">
      <c r="B15714" s="73"/>
    </row>
    <row r="15715" spans="2:2" x14ac:dyDescent="0.25">
      <c r="B15715" s="73"/>
    </row>
    <row r="15716" spans="2:2" x14ac:dyDescent="0.25">
      <c r="B15716" s="73"/>
    </row>
    <row r="15717" spans="2:2" x14ac:dyDescent="0.25">
      <c r="B15717" s="73"/>
    </row>
    <row r="15718" spans="2:2" x14ac:dyDescent="0.25">
      <c r="B15718" s="73"/>
    </row>
    <row r="15719" spans="2:2" x14ac:dyDescent="0.25">
      <c r="B15719" s="73"/>
    </row>
    <row r="15720" spans="2:2" x14ac:dyDescent="0.25">
      <c r="B15720" s="73"/>
    </row>
    <row r="15721" spans="2:2" x14ac:dyDescent="0.25">
      <c r="B15721" s="73"/>
    </row>
    <row r="15722" spans="2:2" x14ac:dyDescent="0.25">
      <c r="B15722" s="73"/>
    </row>
    <row r="15723" spans="2:2" x14ac:dyDescent="0.25">
      <c r="B15723" s="73"/>
    </row>
    <row r="15724" spans="2:2" x14ac:dyDescent="0.25">
      <c r="B15724" s="73"/>
    </row>
    <row r="15725" spans="2:2" x14ac:dyDescent="0.25">
      <c r="B15725" s="73"/>
    </row>
    <row r="15726" spans="2:2" x14ac:dyDescent="0.25">
      <c r="B15726" s="73"/>
    </row>
    <row r="15727" spans="2:2" x14ac:dyDescent="0.25">
      <c r="B15727" s="73"/>
    </row>
    <row r="15728" spans="2:2" x14ac:dyDescent="0.25">
      <c r="B15728" s="73"/>
    </row>
    <row r="15729" spans="2:2" x14ac:dyDescent="0.25">
      <c r="B15729" s="73"/>
    </row>
    <row r="15730" spans="2:2" x14ac:dyDescent="0.25">
      <c r="B15730" s="73"/>
    </row>
    <row r="15731" spans="2:2" x14ac:dyDescent="0.25">
      <c r="B15731" s="73"/>
    </row>
    <row r="15732" spans="2:2" x14ac:dyDescent="0.25">
      <c r="B15732" s="73"/>
    </row>
    <row r="15733" spans="2:2" x14ac:dyDescent="0.25">
      <c r="B15733" s="73"/>
    </row>
    <row r="15734" spans="2:2" x14ac:dyDescent="0.25">
      <c r="B15734" s="73"/>
    </row>
    <row r="15735" spans="2:2" x14ac:dyDescent="0.25">
      <c r="B15735" s="73"/>
    </row>
    <row r="15736" spans="2:2" x14ac:dyDescent="0.25">
      <c r="B15736" s="73"/>
    </row>
    <row r="15737" spans="2:2" x14ac:dyDescent="0.25">
      <c r="B15737" s="73"/>
    </row>
    <row r="15738" spans="2:2" x14ac:dyDescent="0.25">
      <c r="B15738" s="73"/>
    </row>
    <row r="15739" spans="2:2" x14ac:dyDescent="0.25">
      <c r="B15739" s="73"/>
    </row>
    <row r="15740" spans="2:2" x14ac:dyDescent="0.25">
      <c r="B15740" s="73"/>
    </row>
    <row r="15741" spans="2:2" x14ac:dyDescent="0.25">
      <c r="B15741" s="73"/>
    </row>
    <row r="15742" spans="2:2" x14ac:dyDescent="0.25">
      <c r="B15742" s="73"/>
    </row>
    <row r="15743" spans="2:2" x14ac:dyDescent="0.25">
      <c r="B15743" s="73"/>
    </row>
    <row r="15744" spans="2:2" x14ac:dyDescent="0.25">
      <c r="B15744" s="73"/>
    </row>
    <row r="15745" spans="2:2" x14ac:dyDescent="0.25">
      <c r="B15745" s="73"/>
    </row>
    <row r="15746" spans="2:2" x14ac:dyDescent="0.25">
      <c r="B15746" s="73"/>
    </row>
    <row r="15747" spans="2:2" x14ac:dyDescent="0.25">
      <c r="B15747" s="73"/>
    </row>
    <row r="15748" spans="2:2" x14ac:dyDescent="0.25">
      <c r="B15748" s="73"/>
    </row>
    <row r="15749" spans="2:2" x14ac:dyDescent="0.25">
      <c r="B15749" s="73"/>
    </row>
    <row r="15750" spans="2:2" x14ac:dyDescent="0.25">
      <c r="B15750" s="73"/>
    </row>
    <row r="15751" spans="2:2" x14ac:dyDescent="0.25">
      <c r="B15751" s="73"/>
    </row>
    <row r="15752" spans="2:2" x14ac:dyDescent="0.25">
      <c r="B15752" s="73"/>
    </row>
    <row r="15753" spans="2:2" x14ac:dyDescent="0.25">
      <c r="B15753" s="73"/>
    </row>
    <row r="15754" spans="2:2" x14ac:dyDescent="0.25">
      <c r="B15754" s="73"/>
    </row>
    <row r="15755" spans="2:2" x14ac:dyDescent="0.25">
      <c r="B15755" s="73"/>
    </row>
    <row r="15756" spans="2:2" x14ac:dyDescent="0.25">
      <c r="B15756" s="73"/>
    </row>
    <row r="15757" spans="2:2" x14ac:dyDescent="0.25">
      <c r="B15757" s="73"/>
    </row>
    <row r="15758" spans="2:2" x14ac:dyDescent="0.25">
      <c r="B15758" s="73"/>
    </row>
    <row r="15759" spans="2:2" x14ac:dyDescent="0.25">
      <c r="B15759" s="73"/>
    </row>
    <row r="15760" spans="2:2" x14ac:dyDescent="0.25">
      <c r="B15760" s="73"/>
    </row>
    <row r="15761" spans="2:2" x14ac:dyDescent="0.25">
      <c r="B15761" s="73"/>
    </row>
    <row r="15762" spans="2:2" x14ac:dyDescent="0.25">
      <c r="B15762" s="73"/>
    </row>
    <row r="15763" spans="2:2" x14ac:dyDescent="0.25">
      <c r="B15763" s="73"/>
    </row>
    <row r="15764" spans="2:2" x14ac:dyDescent="0.25">
      <c r="B15764" s="73"/>
    </row>
    <row r="15765" spans="2:2" x14ac:dyDescent="0.25">
      <c r="B15765" s="73"/>
    </row>
    <row r="15766" spans="2:2" x14ac:dyDescent="0.25">
      <c r="B15766" s="73"/>
    </row>
    <row r="15767" spans="2:2" x14ac:dyDescent="0.25">
      <c r="B15767" s="73"/>
    </row>
    <row r="15768" spans="2:2" x14ac:dyDescent="0.25">
      <c r="B15768" s="73"/>
    </row>
    <row r="15769" spans="2:2" x14ac:dyDescent="0.25">
      <c r="B15769" s="73"/>
    </row>
    <row r="15770" spans="2:2" x14ac:dyDescent="0.25">
      <c r="B15770" s="73"/>
    </row>
    <row r="15771" spans="2:2" x14ac:dyDescent="0.25">
      <c r="B15771" s="73"/>
    </row>
    <row r="15772" spans="2:2" x14ac:dyDescent="0.25">
      <c r="B15772" s="73"/>
    </row>
    <row r="15773" spans="2:2" x14ac:dyDescent="0.25">
      <c r="B15773" s="73"/>
    </row>
    <row r="15774" spans="2:2" x14ac:dyDescent="0.25">
      <c r="B15774" s="73"/>
    </row>
    <row r="15775" spans="2:2" x14ac:dyDescent="0.25">
      <c r="B15775" s="73"/>
    </row>
    <row r="15776" spans="2:2" x14ac:dyDescent="0.25">
      <c r="B15776" s="73"/>
    </row>
    <row r="15777" spans="2:2" x14ac:dyDescent="0.25">
      <c r="B15777" s="73"/>
    </row>
    <row r="15778" spans="2:2" x14ac:dyDescent="0.25">
      <c r="B15778" s="73"/>
    </row>
    <row r="15779" spans="2:2" x14ac:dyDescent="0.25">
      <c r="B15779" s="73"/>
    </row>
    <row r="15780" spans="2:2" x14ac:dyDescent="0.25">
      <c r="B15780" s="73"/>
    </row>
    <row r="15781" spans="2:2" x14ac:dyDescent="0.25">
      <c r="B15781" s="73"/>
    </row>
    <row r="15782" spans="2:2" x14ac:dyDescent="0.25">
      <c r="B15782" s="73"/>
    </row>
    <row r="15783" spans="2:2" x14ac:dyDescent="0.25">
      <c r="B15783" s="73"/>
    </row>
    <row r="15784" spans="2:2" x14ac:dyDescent="0.25">
      <c r="B15784" s="73"/>
    </row>
    <row r="15785" spans="2:2" x14ac:dyDescent="0.25">
      <c r="B15785" s="73"/>
    </row>
    <row r="15786" spans="2:2" x14ac:dyDescent="0.25">
      <c r="B15786" s="73"/>
    </row>
    <row r="15787" spans="2:2" x14ac:dyDescent="0.25">
      <c r="B15787" s="73"/>
    </row>
    <row r="15788" spans="2:2" x14ac:dyDescent="0.25">
      <c r="B15788" s="73"/>
    </row>
    <row r="15789" spans="2:2" x14ac:dyDescent="0.25">
      <c r="B15789" s="73"/>
    </row>
    <row r="15790" spans="2:2" x14ac:dyDescent="0.25">
      <c r="B15790" s="73"/>
    </row>
    <row r="15791" spans="2:2" x14ac:dyDescent="0.25">
      <c r="B15791" s="73"/>
    </row>
    <row r="15792" spans="2:2" x14ac:dyDescent="0.25">
      <c r="B15792" s="73"/>
    </row>
    <row r="15793" spans="2:2" x14ac:dyDescent="0.25">
      <c r="B15793" s="73"/>
    </row>
    <row r="15794" spans="2:2" x14ac:dyDescent="0.25">
      <c r="B15794" s="73"/>
    </row>
    <row r="15795" spans="2:2" x14ac:dyDescent="0.25">
      <c r="B15795" s="73"/>
    </row>
    <row r="15796" spans="2:2" x14ac:dyDescent="0.25">
      <c r="B15796" s="73"/>
    </row>
    <row r="15797" spans="2:2" x14ac:dyDescent="0.25">
      <c r="B15797" s="73"/>
    </row>
    <row r="15798" spans="2:2" x14ac:dyDescent="0.25">
      <c r="B15798" s="73"/>
    </row>
    <row r="15799" spans="2:2" x14ac:dyDescent="0.25">
      <c r="B15799" s="73"/>
    </row>
    <row r="15800" spans="2:2" x14ac:dyDescent="0.25">
      <c r="B15800" s="73"/>
    </row>
    <row r="15801" spans="2:2" x14ac:dyDescent="0.25">
      <c r="B15801" s="73"/>
    </row>
    <row r="15802" spans="2:2" x14ac:dyDescent="0.25">
      <c r="B15802" s="73"/>
    </row>
    <row r="15803" spans="2:2" x14ac:dyDescent="0.25">
      <c r="B15803" s="73"/>
    </row>
    <row r="15804" spans="2:2" x14ac:dyDescent="0.25">
      <c r="B15804" s="73"/>
    </row>
    <row r="15805" spans="2:2" x14ac:dyDescent="0.25">
      <c r="B15805" s="73"/>
    </row>
    <row r="15806" spans="2:2" x14ac:dyDescent="0.25">
      <c r="B15806" s="73"/>
    </row>
    <row r="15807" spans="2:2" x14ac:dyDescent="0.25">
      <c r="B15807" s="73"/>
    </row>
    <row r="15808" spans="2:2" x14ac:dyDescent="0.25">
      <c r="B15808" s="73"/>
    </row>
    <row r="15809" spans="2:2" x14ac:dyDescent="0.25">
      <c r="B15809" s="73"/>
    </row>
    <row r="15810" spans="2:2" x14ac:dyDescent="0.25">
      <c r="B15810" s="73"/>
    </row>
    <row r="15811" spans="2:2" x14ac:dyDescent="0.25">
      <c r="B15811" s="73"/>
    </row>
    <row r="15812" spans="2:2" x14ac:dyDescent="0.25">
      <c r="B15812" s="73"/>
    </row>
    <row r="15813" spans="2:2" x14ac:dyDescent="0.25">
      <c r="B15813" s="73"/>
    </row>
    <row r="15814" spans="2:2" x14ac:dyDescent="0.25">
      <c r="B15814" s="73"/>
    </row>
    <row r="15815" spans="2:2" x14ac:dyDescent="0.25">
      <c r="B15815" s="73"/>
    </row>
    <row r="15816" spans="2:2" x14ac:dyDescent="0.25">
      <c r="B15816" s="73"/>
    </row>
    <row r="15817" spans="2:2" x14ac:dyDescent="0.25">
      <c r="B15817" s="73"/>
    </row>
    <row r="15818" spans="2:2" x14ac:dyDescent="0.25">
      <c r="B15818" s="73"/>
    </row>
    <row r="15819" spans="2:2" x14ac:dyDescent="0.25">
      <c r="B15819" s="73"/>
    </row>
    <row r="15820" spans="2:2" x14ac:dyDescent="0.25">
      <c r="B15820" s="73"/>
    </row>
    <row r="15821" spans="2:2" x14ac:dyDescent="0.25">
      <c r="B15821" s="73"/>
    </row>
    <row r="15822" spans="2:2" x14ac:dyDescent="0.25">
      <c r="B15822" s="73"/>
    </row>
    <row r="15823" spans="2:2" x14ac:dyDescent="0.25">
      <c r="B15823" s="73"/>
    </row>
    <row r="15824" spans="2:2" x14ac:dyDescent="0.25">
      <c r="B15824" s="73"/>
    </row>
    <row r="15825" spans="2:2" x14ac:dyDescent="0.25">
      <c r="B15825" s="73"/>
    </row>
    <row r="15826" spans="2:2" x14ac:dyDescent="0.25">
      <c r="B15826" s="73"/>
    </row>
    <row r="15827" spans="2:2" x14ac:dyDescent="0.25">
      <c r="B15827" s="73"/>
    </row>
    <row r="15828" spans="2:2" x14ac:dyDescent="0.25">
      <c r="B15828" s="73"/>
    </row>
    <row r="15829" spans="2:2" x14ac:dyDescent="0.25">
      <c r="B15829" s="73"/>
    </row>
    <row r="15830" spans="2:2" x14ac:dyDescent="0.25">
      <c r="B15830" s="73"/>
    </row>
    <row r="15831" spans="2:2" x14ac:dyDescent="0.25">
      <c r="B15831" s="73"/>
    </row>
    <row r="15832" spans="2:2" x14ac:dyDescent="0.25">
      <c r="B15832" s="73"/>
    </row>
    <row r="15833" spans="2:2" x14ac:dyDescent="0.25">
      <c r="B15833" s="73"/>
    </row>
    <row r="15834" spans="2:2" x14ac:dyDescent="0.25">
      <c r="B15834" s="73"/>
    </row>
    <row r="15835" spans="2:2" x14ac:dyDescent="0.25">
      <c r="B15835" s="73"/>
    </row>
    <row r="15836" spans="2:2" x14ac:dyDescent="0.25">
      <c r="B15836" s="73"/>
    </row>
    <row r="15837" spans="2:2" x14ac:dyDescent="0.25">
      <c r="B15837" s="73"/>
    </row>
    <row r="15838" spans="2:2" x14ac:dyDescent="0.25">
      <c r="B15838" s="73"/>
    </row>
    <row r="15839" spans="2:2" x14ac:dyDescent="0.25">
      <c r="B15839" s="73"/>
    </row>
    <row r="15840" spans="2:2" x14ac:dyDescent="0.25">
      <c r="B15840" s="73"/>
    </row>
    <row r="15841" spans="2:2" x14ac:dyDescent="0.25">
      <c r="B15841" s="73"/>
    </row>
    <row r="15842" spans="2:2" x14ac:dyDescent="0.25">
      <c r="B15842" s="73"/>
    </row>
    <row r="15843" spans="2:2" x14ac:dyDescent="0.25">
      <c r="B15843" s="73"/>
    </row>
    <row r="15844" spans="2:2" x14ac:dyDescent="0.25">
      <c r="B15844" s="73"/>
    </row>
    <row r="15845" spans="2:2" x14ac:dyDescent="0.25">
      <c r="B15845" s="73"/>
    </row>
    <row r="15846" spans="2:2" x14ac:dyDescent="0.25">
      <c r="B15846" s="73"/>
    </row>
    <row r="15847" spans="2:2" x14ac:dyDescent="0.25">
      <c r="B15847" s="73"/>
    </row>
    <row r="15848" spans="2:2" x14ac:dyDescent="0.25">
      <c r="B15848" s="73"/>
    </row>
    <row r="15849" spans="2:2" x14ac:dyDescent="0.25">
      <c r="B15849" s="73"/>
    </row>
    <row r="15850" spans="2:2" x14ac:dyDescent="0.25">
      <c r="B15850" s="73"/>
    </row>
    <row r="15851" spans="2:2" x14ac:dyDescent="0.25">
      <c r="B15851" s="73"/>
    </row>
    <row r="15852" spans="2:2" x14ac:dyDescent="0.25">
      <c r="B15852" s="73"/>
    </row>
    <row r="15853" spans="2:2" x14ac:dyDescent="0.25">
      <c r="B15853" s="73"/>
    </row>
    <row r="15854" spans="2:2" x14ac:dyDescent="0.25">
      <c r="B15854" s="73"/>
    </row>
    <row r="15855" spans="2:2" x14ac:dyDescent="0.25">
      <c r="B15855" s="73"/>
    </row>
    <row r="15856" spans="2:2" x14ac:dyDescent="0.25">
      <c r="B15856" s="73"/>
    </row>
    <row r="15857" spans="2:2" x14ac:dyDescent="0.25">
      <c r="B15857" s="73"/>
    </row>
    <row r="15858" spans="2:2" x14ac:dyDescent="0.25">
      <c r="B15858" s="73"/>
    </row>
    <row r="15859" spans="2:2" x14ac:dyDescent="0.25">
      <c r="B15859" s="73"/>
    </row>
    <row r="15860" spans="2:2" x14ac:dyDescent="0.25">
      <c r="B15860" s="73"/>
    </row>
    <row r="15861" spans="2:2" x14ac:dyDescent="0.25">
      <c r="B15861" s="73"/>
    </row>
    <row r="15862" spans="2:2" x14ac:dyDescent="0.25">
      <c r="B15862" s="73"/>
    </row>
    <row r="15863" spans="2:2" x14ac:dyDescent="0.25">
      <c r="B15863" s="73"/>
    </row>
    <row r="15864" spans="2:2" x14ac:dyDescent="0.25">
      <c r="B15864" s="73"/>
    </row>
    <row r="15865" spans="2:2" x14ac:dyDescent="0.25">
      <c r="B15865" s="73"/>
    </row>
    <row r="15866" spans="2:2" x14ac:dyDescent="0.25">
      <c r="B15866" s="73"/>
    </row>
    <row r="15867" spans="2:2" x14ac:dyDescent="0.25">
      <c r="B15867" s="73"/>
    </row>
    <row r="15868" spans="2:2" x14ac:dyDescent="0.25">
      <c r="B15868" s="73"/>
    </row>
    <row r="15869" spans="2:2" x14ac:dyDescent="0.25">
      <c r="B15869" s="73"/>
    </row>
    <row r="15870" spans="2:2" x14ac:dyDescent="0.25">
      <c r="B15870" s="73"/>
    </row>
    <row r="15871" spans="2:2" x14ac:dyDescent="0.25">
      <c r="B15871" s="73"/>
    </row>
    <row r="15872" spans="2:2" x14ac:dyDescent="0.25">
      <c r="B15872" s="73"/>
    </row>
    <row r="15873" spans="2:2" x14ac:dyDescent="0.25">
      <c r="B15873" s="73"/>
    </row>
    <row r="15874" spans="2:2" x14ac:dyDescent="0.25">
      <c r="B15874" s="73"/>
    </row>
    <row r="15875" spans="2:2" x14ac:dyDescent="0.25">
      <c r="B15875" s="73"/>
    </row>
    <row r="15876" spans="2:2" x14ac:dyDescent="0.25">
      <c r="B15876" s="73"/>
    </row>
    <row r="15877" spans="2:2" x14ac:dyDescent="0.25">
      <c r="B15877" s="73"/>
    </row>
    <row r="15878" spans="2:2" x14ac:dyDescent="0.25">
      <c r="B15878" s="73"/>
    </row>
    <row r="15879" spans="2:2" x14ac:dyDescent="0.25">
      <c r="B15879" s="73"/>
    </row>
    <row r="15880" spans="2:2" x14ac:dyDescent="0.25">
      <c r="B15880" s="73"/>
    </row>
    <row r="15881" spans="2:2" x14ac:dyDescent="0.25">
      <c r="B15881" s="73"/>
    </row>
    <row r="15882" spans="2:2" x14ac:dyDescent="0.25">
      <c r="B15882" s="73"/>
    </row>
    <row r="15883" spans="2:2" x14ac:dyDescent="0.25">
      <c r="B15883" s="73"/>
    </row>
    <row r="15884" spans="2:2" x14ac:dyDescent="0.25">
      <c r="B15884" s="73"/>
    </row>
    <row r="15885" spans="2:2" x14ac:dyDescent="0.25">
      <c r="B15885" s="73"/>
    </row>
    <row r="15886" spans="2:2" x14ac:dyDescent="0.25">
      <c r="B15886" s="73"/>
    </row>
    <row r="15887" spans="2:2" x14ac:dyDescent="0.25">
      <c r="B15887" s="73"/>
    </row>
    <row r="15888" spans="2:2" x14ac:dyDescent="0.25">
      <c r="B15888" s="73"/>
    </row>
    <row r="15889" spans="2:2" x14ac:dyDescent="0.25">
      <c r="B15889" s="73"/>
    </row>
    <row r="15890" spans="2:2" x14ac:dyDescent="0.25">
      <c r="B15890" s="73"/>
    </row>
    <row r="15891" spans="2:2" x14ac:dyDescent="0.25">
      <c r="B15891" s="73"/>
    </row>
    <row r="15892" spans="2:2" x14ac:dyDescent="0.25">
      <c r="B15892" s="73"/>
    </row>
    <row r="15893" spans="2:2" x14ac:dyDescent="0.25">
      <c r="B15893" s="73"/>
    </row>
    <row r="15894" spans="2:2" x14ac:dyDescent="0.25">
      <c r="B15894" s="73"/>
    </row>
    <row r="15895" spans="2:2" x14ac:dyDescent="0.25">
      <c r="B15895" s="73"/>
    </row>
    <row r="15896" spans="2:2" x14ac:dyDescent="0.25">
      <c r="B15896" s="73"/>
    </row>
    <row r="15897" spans="2:2" x14ac:dyDescent="0.25">
      <c r="B15897" s="73"/>
    </row>
    <row r="15898" spans="2:2" x14ac:dyDescent="0.25">
      <c r="B15898" s="73"/>
    </row>
    <row r="15899" spans="2:2" x14ac:dyDescent="0.25">
      <c r="B15899" s="73"/>
    </row>
    <row r="15900" spans="2:2" x14ac:dyDescent="0.25">
      <c r="B15900" s="73"/>
    </row>
    <row r="15901" spans="2:2" x14ac:dyDescent="0.25">
      <c r="B15901" s="73"/>
    </row>
    <row r="15902" spans="2:2" x14ac:dyDescent="0.25">
      <c r="B15902" s="73"/>
    </row>
    <row r="15903" spans="2:2" x14ac:dyDescent="0.25">
      <c r="B15903" s="73"/>
    </row>
    <row r="15904" spans="2:2" x14ac:dyDescent="0.25">
      <c r="B15904" s="73"/>
    </row>
    <row r="15905" spans="2:2" x14ac:dyDescent="0.25">
      <c r="B15905" s="73"/>
    </row>
    <row r="15906" spans="2:2" x14ac:dyDescent="0.25">
      <c r="B15906" s="73"/>
    </row>
    <row r="15907" spans="2:2" x14ac:dyDescent="0.25">
      <c r="B15907" s="73"/>
    </row>
    <row r="15908" spans="2:2" x14ac:dyDescent="0.25">
      <c r="B15908" s="73"/>
    </row>
    <row r="15909" spans="2:2" x14ac:dyDescent="0.25">
      <c r="B15909" s="73"/>
    </row>
    <row r="15910" spans="2:2" x14ac:dyDescent="0.25">
      <c r="B15910" s="73"/>
    </row>
    <row r="15911" spans="2:2" x14ac:dyDescent="0.25">
      <c r="B15911" s="73"/>
    </row>
    <row r="15912" spans="2:2" x14ac:dyDescent="0.25">
      <c r="B15912" s="73"/>
    </row>
    <row r="15913" spans="2:2" x14ac:dyDescent="0.25">
      <c r="B15913" s="73"/>
    </row>
    <row r="15914" spans="2:2" x14ac:dyDescent="0.25">
      <c r="B15914" s="73"/>
    </row>
    <row r="15915" spans="2:2" x14ac:dyDescent="0.25">
      <c r="B15915" s="73"/>
    </row>
    <row r="15916" spans="2:2" x14ac:dyDescent="0.25">
      <c r="B15916" s="73"/>
    </row>
    <row r="15917" spans="2:2" x14ac:dyDescent="0.25">
      <c r="B15917" s="73"/>
    </row>
    <row r="15918" spans="2:2" x14ac:dyDescent="0.25">
      <c r="B15918" s="73"/>
    </row>
    <row r="15919" spans="2:2" x14ac:dyDescent="0.25">
      <c r="B15919" s="73"/>
    </row>
    <row r="15920" spans="2:2" x14ac:dyDescent="0.25">
      <c r="B15920" s="73"/>
    </row>
    <row r="15921" spans="2:2" x14ac:dyDescent="0.25">
      <c r="B15921" s="73"/>
    </row>
    <row r="15922" spans="2:2" x14ac:dyDescent="0.25">
      <c r="B15922" s="73"/>
    </row>
    <row r="15923" spans="2:2" x14ac:dyDescent="0.25">
      <c r="B15923" s="73"/>
    </row>
    <row r="15924" spans="2:2" x14ac:dyDescent="0.25">
      <c r="B15924" s="73"/>
    </row>
    <row r="15925" spans="2:2" x14ac:dyDescent="0.25">
      <c r="B15925" s="73"/>
    </row>
    <row r="15926" spans="2:2" x14ac:dyDescent="0.25">
      <c r="B15926" s="73"/>
    </row>
    <row r="15927" spans="2:2" x14ac:dyDescent="0.25">
      <c r="B15927" s="73"/>
    </row>
    <row r="15928" spans="2:2" x14ac:dyDescent="0.25">
      <c r="B15928" s="73"/>
    </row>
    <row r="15929" spans="2:2" x14ac:dyDescent="0.25">
      <c r="B15929" s="73"/>
    </row>
    <row r="15930" spans="2:2" x14ac:dyDescent="0.25">
      <c r="B15930" s="73"/>
    </row>
    <row r="15931" spans="2:2" x14ac:dyDescent="0.25">
      <c r="B15931" s="73"/>
    </row>
    <row r="15932" spans="2:2" x14ac:dyDescent="0.25">
      <c r="B15932" s="73"/>
    </row>
    <row r="15933" spans="2:2" x14ac:dyDescent="0.25">
      <c r="B15933" s="73"/>
    </row>
    <row r="15934" spans="2:2" x14ac:dyDescent="0.25">
      <c r="B15934" s="73"/>
    </row>
    <row r="15935" spans="2:2" x14ac:dyDescent="0.25">
      <c r="B15935" s="73"/>
    </row>
    <row r="15936" spans="2:2" x14ac:dyDescent="0.25">
      <c r="B15936" s="73"/>
    </row>
    <row r="15937" spans="2:2" x14ac:dyDescent="0.25">
      <c r="B15937" s="73"/>
    </row>
    <row r="15938" spans="2:2" x14ac:dyDescent="0.25">
      <c r="B15938" s="73"/>
    </row>
    <row r="15939" spans="2:2" x14ac:dyDescent="0.25">
      <c r="B15939" s="73"/>
    </row>
    <row r="15940" spans="2:2" x14ac:dyDescent="0.25">
      <c r="B15940" s="73"/>
    </row>
    <row r="15941" spans="2:2" x14ac:dyDescent="0.25">
      <c r="B15941" s="73"/>
    </row>
    <row r="15942" spans="2:2" x14ac:dyDescent="0.25">
      <c r="B15942" s="73"/>
    </row>
    <row r="15943" spans="2:2" x14ac:dyDescent="0.25">
      <c r="B15943" s="73"/>
    </row>
    <row r="15944" spans="2:2" x14ac:dyDescent="0.25">
      <c r="B15944" s="73"/>
    </row>
    <row r="15945" spans="2:2" x14ac:dyDescent="0.25">
      <c r="B15945" s="73"/>
    </row>
    <row r="15946" spans="2:2" x14ac:dyDescent="0.25">
      <c r="B15946" s="73"/>
    </row>
    <row r="15947" spans="2:2" x14ac:dyDescent="0.25">
      <c r="B15947" s="73"/>
    </row>
    <row r="15948" spans="2:2" x14ac:dyDescent="0.25">
      <c r="B15948" s="73"/>
    </row>
    <row r="15949" spans="2:2" x14ac:dyDescent="0.25">
      <c r="B15949" s="73"/>
    </row>
    <row r="15950" spans="2:2" x14ac:dyDescent="0.25">
      <c r="B15950" s="73"/>
    </row>
    <row r="15951" spans="2:2" x14ac:dyDescent="0.25">
      <c r="B15951" s="73"/>
    </row>
    <row r="15952" spans="2:2" x14ac:dyDescent="0.25">
      <c r="B15952" s="73"/>
    </row>
    <row r="15953" spans="2:2" x14ac:dyDescent="0.25">
      <c r="B15953" s="73"/>
    </row>
    <row r="15954" spans="2:2" x14ac:dyDescent="0.25">
      <c r="B15954" s="73"/>
    </row>
    <row r="15955" spans="2:2" x14ac:dyDescent="0.25">
      <c r="B15955" s="73"/>
    </row>
    <row r="15956" spans="2:2" x14ac:dyDescent="0.25">
      <c r="B15956" s="73"/>
    </row>
    <row r="15957" spans="2:2" x14ac:dyDescent="0.25">
      <c r="B15957" s="73"/>
    </row>
    <row r="15958" spans="2:2" x14ac:dyDescent="0.25">
      <c r="B15958" s="73"/>
    </row>
    <row r="15959" spans="2:2" x14ac:dyDescent="0.25">
      <c r="B15959" s="73"/>
    </row>
    <row r="15960" spans="2:2" x14ac:dyDescent="0.25">
      <c r="B15960" s="73"/>
    </row>
    <row r="15961" spans="2:2" x14ac:dyDescent="0.25">
      <c r="B15961" s="73"/>
    </row>
    <row r="15962" spans="2:2" x14ac:dyDescent="0.25">
      <c r="B15962" s="73"/>
    </row>
    <row r="15963" spans="2:2" x14ac:dyDescent="0.25">
      <c r="B15963" s="73"/>
    </row>
    <row r="15964" spans="2:2" x14ac:dyDescent="0.25">
      <c r="B15964" s="73"/>
    </row>
    <row r="15965" spans="2:2" x14ac:dyDescent="0.25">
      <c r="B15965" s="73"/>
    </row>
    <row r="15966" spans="2:2" x14ac:dyDescent="0.25">
      <c r="B15966" s="73"/>
    </row>
    <row r="15967" spans="2:2" x14ac:dyDescent="0.25">
      <c r="B15967" s="73"/>
    </row>
    <row r="15968" spans="2:2" x14ac:dyDescent="0.25">
      <c r="B15968" s="73"/>
    </row>
    <row r="15969" spans="2:2" x14ac:dyDescent="0.25">
      <c r="B15969" s="73"/>
    </row>
    <row r="15970" spans="2:2" x14ac:dyDescent="0.25">
      <c r="B15970" s="73"/>
    </row>
    <row r="15971" spans="2:2" x14ac:dyDescent="0.25">
      <c r="B15971" s="73"/>
    </row>
    <row r="15972" spans="2:2" x14ac:dyDescent="0.25">
      <c r="B15972" s="73"/>
    </row>
    <row r="15973" spans="2:2" x14ac:dyDescent="0.25">
      <c r="B15973" s="73"/>
    </row>
    <row r="15974" spans="2:2" x14ac:dyDescent="0.25">
      <c r="B15974" s="73"/>
    </row>
    <row r="15975" spans="2:2" x14ac:dyDescent="0.25">
      <c r="B15975" s="73"/>
    </row>
    <row r="15976" spans="2:2" x14ac:dyDescent="0.25">
      <c r="B15976" s="73"/>
    </row>
    <row r="15977" spans="2:2" x14ac:dyDescent="0.25">
      <c r="B15977" s="73"/>
    </row>
    <row r="15978" spans="2:2" x14ac:dyDescent="0.25">
      <c r="B15978" s="73"/>
    </row>
    <row r="15979" spans="2:2" x14ac:dyDescent="0.25">
      <c r="B15979" s="73"/>
    </row>
    <row r="15980" spans="2:2" x14ac:dyDescent="0.25">
      <c r="B15980" s="73"/>
    </row>
    <row r="15981" spans="2:2" x14ac:dyDescent="0.25">
      <c r="B15981" s="73"/>
    </row>
    <row r="15982" spans="2:2" x14ac:dyDescent="0.25">
      <c r="B15982" s="73"/>
    </row>
    <row r="15983" spans="2:2" x14ac:dyDescent="0.25">
      <c r="B15983" s="73"/>
    </row>
    <row r="15984" spans="2:2" x14ac:dyDescent="0.25">
      <c r="B15984" s="73"/>
    </row>
    <row r="15985" spans="2:2" x14ac:dyDescent="0.25">
      <c r="B15985" s="73"/>
    </row>
    <row r="15986" spans="2:2" x14ac:dyDescent="0.25">
      <c r="B15986" s="73"/>
    </row>
    <row r="15987" spans="2:2" x14ac:dyDescent="0.25">
      <c r="B15987" s="73"/>
    </row>
    <row r="15988" spans="2:2" x14ac:dyDescent="0.25">
      <c r="B15988" s="73"/>
    </row>
    <row r="15989" spans="2:2" x14ac:dyDescent="0.25">
      <c r="B15989" s="73"/>
    </row>
    <row r="15990" spans="2:2" x14ac:dyDescent="0.25">
      <c r="B15990" s="73"/>
    </row>
    <row r="15991" spans="2:2" x14ac:dyDescent="0.25">
      <c r="B15991" s="73"/>
    </row>
    <row r="15992" spans="2:2" x14ac:dyDescent="0.25">
      <c r="B15992" s="73"/>
    </row>
    <row r="15993" spans="2:2" x14ac:dyDescent="0.25">
      <c r="B15993" s="73"/>
    </row>
    <row r="15994" spans="2:2" x14ac:dyDescent="0.25">
      <c r="B15994" s="73"/>
    </row>
    <row r="15995" spans="2:2" x14ac:dyDescent="0.25">
      <c r="B15995" s="73"/>
    </row>
    <row r="15996" spans="2:2" x14ac:dyDescent="0.25">
      <c r="B15996" s="73"/>
    </row>
    <row r="15997" spans="2:2" x14ac:dyDescent="0.25">
      <c r="B15997" s="73"/>
    </row>
    <row r="15998" spans="2:2" x14ac:dyDescent="0.25">
      <c r="B15998" s="73"/>
    </row>
    <row r="15999" spans="2:2" x14ac:dyDescent="0.25">
      <c r="B15999" s="73"/>
    </row>
    <row r="16000" spans="2:2" x14ac:dyDescent="0.25">
      <c r="B16000" s="73"/>
    </row>
    <row r="16001" spans="2:2" x14ac:dyDescent="0.25">
      <c r="B16001" s="73"/>
    </row>
    <row r="16002" spans="2:2" x14ac:dyDescent="0.25">
      <c r="B16002" s="73"/>
    </row>
    <row r="16003" spans="2:2" x14ac:dyDescent="0.25">
      <c r="B16003" s="73"/>
    </row>
    <row r="16004" spans="2:2" x14ac:dyDescent="0.25">
      <c r="B16004" s="73"/>
    </row>
    <row r="16005" spans="2:2" x14ac:dyDescent="0.25">
      <c r="B16005" s="73"/>
    </row>
    <row r="16006" spans="2:2" x14ac:dyDescent="0.25">
      <c r="B16006" s="73"/>
    </row>
    <row r="16007" spans="2:2" x14ac:dyDescent="0.25">
      <c r="B16007" s="73"/>
    </row>
    <row r="16008" spans="2:2" x14ac:dyDescent="0.25">
      <c r="B16008" s="73"/>
    </row>
    <row r="16009" spans="2:2" x14ac:dyDescent="0.25">
      <c r="B16009" s="73"/>
    </row>
    <row r="16010" spans="2:2" x14ac:dyDescent="0.25">
      <c r="B16010" s="73"/>
    </row>
    <row r="16011" spans="2:2" x14ac:dyDescent="0.25">
      <c r="B16011" s="73"/>
    </row>
    <row r="16012" spans="2:2" x14ac:dyDescent="0.25">
      <c r="B16012" s="73"/>
    </row>
    <row r="16013" spans="2:2" x14ac:dyDescent="0.25">
      <c r="B16013" s="73"/>
    </row>
    <row r="16014" spans="2:2" x14ac:dyDescent="0.25">
      <c r="B16014" s="73"/>
    </row>
    <row r="16015" spans="2:2" x14ac:dyDescent="0.25">
      <c r="B16015" s="73"/>
    </row>
    <row r="16016" spans="2:2" x14ac:dyDescent="0.25">
      <c r="B16016" s="73"/>
    </row>
    <row r="16017" spans="2:2" x14ac:dyDescent="0.25">
      <c r="B16017" s="73"/>
    </row>
    <row r="16018" spans="2:2" x14ac:dyDescent="0.25">
      <c r="B16018" s="73"/>
    </row>
    <row r="16019" spans="2:2" x14ac:dyDescent="0.25">
      <c r="B16019" s="73"/>
    </row>
    <row r="16020" spans="2:2" x14ac:dyDescent="0.25">
      <c r="B16020" s="73"/>
    </row>
    <row r="16021" spans="2:2" x14ac:dyDescent="0.25">
      <c r="B16021" s="73"/>
    </row>
    <row r="16022" spans="2:2" x14ac:dyDescent="0.25">
      <c r="B16022" s="73"/>
    </row>
    <row r="16023" spans="2:2" x14ac:dyDescent="0.25">
      <c r="B16023" s="73"/>
    </row>
    <row r="16024" spans="2:2" x14ac:dyDescent="0.25">
      <c r="B16024" s="73"/>
    </row>
    <row r="16025" spans="2:2" x14ac:dyDescent="0.25">
      <c r="B16025" s="73"/>
    </row>
    <row r="16026" spans="2:2" x14ac:dyDescent="0.25">
      <c r="B16026" s="73"/>
    </row>
    <row r="16027" spans="2:2" x14ac:dyDescent="0.25">
      <c r="B16027" s="73"/>
    </row>
    <row r="16028" spans="2:2" x14ac:dyDescent="0.25">
      <c r="B16028" s="73"/>
    </row>
    <row r="16029" spans="2:2" x14ac:dyDescent="0.25">
      <c r="B16029" s="73"/>
    </row>
    <row r="16030" spans="2:2" x14ac:dyDescent="0.25">
      <c r="B16030" s="73"/>
    </row>
    <row r="16031" spans="2:2" x14ac:dyDescent="0.25">
      <c r="B16031" s="73"/>
    </row>
    <row r="16032" spans="2:2" x14ac:dyDescent="0.25">
      <c r="B16032" s="73"/>
    </row>
    <row r="16033" spans="2:2" x14ac:dyDescent="0.25">
      <c r="B16033" s="73"/>
    </row>
    <row r="16034" spans="2:2" x14ac:dyDescent="0.25">
      <c r="B16034" s="73"/>
    </row>
    <row r="16035" spans="2:2" x14ac:dyDescent="0.25">
      <c r="B16035" s="73"/>
    </row>
    <row r="16036" spans="2:2" x14ac:dyDescent="0.25">
      <c r="B16036" s="73"/>
    </row>
    <row r="16037" spans="2:2" x14ac:dyDescent="0.25">
      <c r="B16037" s="73"/>
    </row>
    <row r="16038" spans="2:2" x14ac:dyDescent="0.25">
      <c r="B16038" s="73"/>
    </row>
    <row r="16039" spans="2:2" x14ac:dyDescent="0.25">
      <c r="B16039" s="73"/>
    </row>
    <row r="16040" spans="2:2" x14ac:dyDescent="0.25">
      <c r="B16040" s="73"/>
    </row>
    <row r="16041" spans="2:2" x14ac:dyDescent="0.25">
      <c r="B16041" s="73"/>
    </row>
    <row r="16042" spans="2:2" x14ac:dyDescent="0.25">
      <c r="B16042" s="73"/>
    </row>
    <row r="16043" spans="2:2" x14ac:dyDescent="0.25">
      <c r="B16043" s="73"/>
    </row>
    <row r="16044" spans="2:2" x14ac:dyDescent="0.25">
      <c r="B16044" s="73"/>
    </row>
    <row r="16045" spans="2:2" x14ac:dyDescent="0.25">
      <c r="B16045" s="73"/>
    </row>
    <row r="16046" spans="2:2" x14ac:dyDescent="0.25">
      <c r="B16046" s="73"/>
    </row>
    <row r="16047" spans="2:2" x14ac:dyDescent="0.25">
      <c r="B16047" s="73"/>
    </row>
    <row r="16048" spans="2:2" x14ac:dyDescent="0.25">
      <c r="B16048" s="73"/>
    </row>
    <row r="16049" spans="2:2" x14ac:dyDescent="0.25">
      <c r="B16049" s="73"/>
    </row>
    <row r="16050" spans="2:2" x14ac:dyDescent="0.25">
      <c r="B16050" s="73"/>
    </row>
    <row r="16051" spans="2:2" x14ac:dyDescent="0.25">
      <c r="B16051" s="73"/>
    </row>
    <row r="16052" spans="2:2" x14ac:dyDescent="0.25">
      <c r="B16052" s="73"/>
    </row>
    <row r="16053" spans="2:2" x14ac:dyDescent="0.25">
      <c r="B16053" s="73"/>
    </row>
    <row r="16054" spans="2:2" x14ac:dyDescent="0.25">
      <c r="B16054" s="73"/>
    </row>
    <row r="16055" spans="2:2" x14ac:dyDescent="0.25">
      <c r="B16055" s="73"/>
    </row>
    <row r="16056" spans="2:2" x14ac:dyDescent="0.25">
      <c r="B16056" s="73"/>
    </row>
    <row r="16057" spans="2:2" x14ac:dyDescent="0.25">
      <c r="B16057" s="73"/>
    </row>
    <row r="16058" spans="2:2" x14ac:dyDescent="0.25">
      <c r="B16058" s="73"/>
    </row>
    <row r="16059" spans="2:2" x14ac:dyDescent="0.25">
      <c r="B16059" s="73"/>
    </row>
    <row r="16060" spans="2:2" x14ac:dyDescent="0.25">
      <c r="B16060" s="73"/>
    </row>
    <row r="16061" spans="2:2" x14ac:dyDescent="0.25">
      <c r="B16061" s="73"/>
    </row>
    <row r="16062" spans="2:2" x14ac:dyDescent="0.25">
      <c r="B16062" s="73"/>
    </row>
    <row r="16063" spans="2:2" x14ac:dyDescent="0.25">
      <c r="B16063" s="73"/>
    </row>
    <row r="16064" spans="2:2" x14ac:dyDescent="0.25">
      <c r="B16064" s="73"/>
    </row>
    <row r="16065" spans="2:2" x14ac:dyDescent="0.25">
      <c r="B16065" s="73"/>
    </row>
    <row r="16066" spans="2:2" x14ac:dyDescent="0.25">
      <c r="B16066" s="73"/>
    </row>
    <row r="16067" spans="2:2" x14ac:dyDescent="0.25">
      <c r="B16067" s="73"/>
    </row>
    <row r="16068" spans="2:2" x14ac:dyDescent="0.25">
      <c r="B16068" s="73"/>
    </row>
    <row r="16069" spans="2:2" x14ac:dyDescent="0.25">
      <c r="B16069" s="73"/>
    </row>
    <row r="16070" spans="2:2" x14ac:dyDescent="0.25">
      <c r="B16070" s="73"/>
    </row>
    <row r="16071" spans="2:2" x14ac:dyDescent="0.25">
      <c r="B16071" s="73"/>
    </row>
    <row r="16072" spans="2:2" x14ac:dyDescent="0.25">
      <c r="B16072" s="73"/>
    </row>
    <row r="16073" spans="2:2" x14ac:dyDescent="0.25">
      <c r="B16073" s="73"/>
    </row>
    <row r="16074" spans="2:2" x14ac:dyDescent="0.25">
      <c r="B16074" s="73"/>
    </row>
    <row r="16075" spans="2:2" x14ac:dyDescent="0.25">
      <c r="B16075" s="73"/>
    </row>
    <row r="16076" spans="2:2" x14ac:dyDescent="0.25">
      <c r="B16076" s="73"/>
    </row>
    <row r="16077" spans="2:2" x14ac:dyDescent="0.25">
      <c r="B16077" s="73"/>
    </row>
    <row r="16078" spans="2:2" x14ac:dyDescent="0.25">
      <c r="B16078" s="73"/>
    </row>
    <row r="16079" spans="2:2" x14ac:dyDescent="0.25">
      <c r="B16079" s="73"/>
    </row>
    <row r="16080" spans="2:2" x14ac:dyDescent="0.25">
      <c r="B16080" s="73"/>
    </row>
    <row r="16081" spans="2:2" x14ac:dyDescent="0.25">
      <c r="B16081" s="73"/>
    </row>
    <row r="16082" spans="2:2" x14ac:dyDescent="0.25">
      <c r="B16082" s="73"/>
    </row>
    <row r="16083" spans="2:2" x14ac:dyDescent="0.25">
      <c r="B16083" s="73"/>
    </row>
    <row r="16084" spans="2:2" x14ac:dyDescent="0.25">
      <c r="B16084" s="73"/>
    </row>
    <row r="16085" spans="2:2" x14ac:dyDescent="0.25">
      <c r="B16085" s="73"/>
    </row>
    <row r="16086" spans="2:2" x14ac:dyDescent="0.25">
      <c r="B16086" s="73"/>
    </row>
    <row r="16087" spans="2:2" x14ac:dyDescent="0.25">
      <c r="B16087" s="73"/>
    </row>
    <row r="16088" spans="2:2" x14ac:dyDescent="0.25">
      <c r="B16088" s="73"/>
    </row>
    <row r="16089" spans="2:2" x14ac:dyDescent="0.25">
      <c r="B16089" s="73"/>
    </row>
    <row r="16090" spans="2:2" x14ac:dyDescent="0.25">
      <c r="B16090" s="73"/>
    </row>
    <row r="16091" spans="2:2" x14ac:dyDescent="0.25">
      <c r="B16091" s="73"/>
    </row>
    <row r="16092" spans="2:2" x14ac:dyDescent="0.25">
      <c r="B16092" s="73"/>
    </row>
    <row r="16093" spans="2:2" x14ac:dyDescent="0.25">
      <c r="B16093" s="73"/>
    </row>
    <row r="16094" spans="2:2" x14ac:dyDescent="0.25">
      <c r="B16094" s="73"/>
    </row>
    <row r="16095" spans="2:2" x14ac:dyDescent="0.25">
      <c r="B16095" s="73"/>
    </row>
    <row r="16096" spans="2:2" x14ac:dyDescent="0.25">
      <c r="B16096" s="73"/>
    </row>
    <row r="16097" spans="2:2" x14ac:dyDescent="0.25">
      <c r="B16097" s="73"/>
    </row>
    <row r="16098" spans="2:2" x14ac:dyDescent="0.25">
      <c r="B16098" s="73"/>
    </row>
    <row r="16099" spans="2:2" x14ac:dyDescent="0.25">
      <c r="B16099" s="73"/>
    </row>
    <row r="16100" spans="2:2" x14ac:dyDescent="0.25">
      <c r="B16100" s="73"/>
    </row>
    <row r="16101" spans="2:2" x14ac:dyDescent="0.25">
      <c r="B16101" s="73"/>
    </row>
    <row r="16102" spans="2:2" x14ac:dyDescent="0.25">
      <c r="B16102" s="73"/>
    </row>
    <row r="16103" spans="2:2" x14ac:dyDescent="0.25">
      <c r="B16103" s="73"/>
    </row>
    <row r="16104" spans="2:2" x14ac:dyDescent="0.25">
      <c r="B16104" s="73"/>
    </row>
    <row r="16105" spans="2:2" x14ac:dyDescent="0.25">
      <c r="B16105" s="73"/>
    </row>
    <row r="16106" spans="2:2" x14ac:dyDescent="0.25">
      <c r="B16106" s="73"/>
    </row>
    <row r="16107" spans="2:2" x14ac:dyDescent="0.25">
      <c r="B16107" s="73"/>
    </row>
    <row r="16108" spans="2:2" x14ac:dyDescent="0.25">
      <c r="B16108" s="73"/>
    </row>
    <row r="16109" spans="2:2" x14ac:dyDescent="0.25">
      <c r="B16109" s="73"/>
    </row>
    <row r="16110" spans="2:2" x14ac:dyDescent="0.25">
      <c r="B16110" s="73"/>
    </row>
    <row r="16111" spans="2:2" x14ac:dyDescent="0.25">
      <c r="B16111" s="73"/>
    </row>
    <row r="16112" spans="2:2" x14ac:dyDescent="0.25">
      <c r="B16112" s="73"/>
    </row>
    <row r="16113" spans="2:2" x14ac:dyDescent="0.25">
      <c r="B16113" s="73"/>
    </row>
    <row r="16114" spans="2:2" x14ac:dyDescent="0.25">
      <c r="B16114" s="73"/>
    </row>
    <row r="16115" spans="2:2" x14ac:dyDescent="0.25">
      <c r="B16115" s="73"/>
    </row>
    <row r="16116" spans="2:2" x14ac:dyDescent="0.25">
      <c r="B16116" s="73"/>
    </row>
    <row r="16117" spans="2:2" x14ac:dyDescent="0.25">
      <c r="B16117" s="73"/>
    </row>
    <row r="16118" spans="2:2" x14ac:dyDescent="0.25">
      <c r="B16118" s="73"/>
    </row>
    <row r="16119" spans="2:2" x14ac:dyDescent="0.25">
      <c r="B16119" s="73"/>
    </row>
    <row r="16120" spans="2:2" x14ac:dyDescent="0.25">
      <c r="B16120" s="73"/>
    </row>
    <row r="16121" spans="2:2" x14ac:dyDescent="0.25">
      <c r="B16121" s="73"/>
    </row>
    <row r="16122" spans="2:2" x14ac:dyDescent="0.25">
      <c r="B16122" s="73"/>
    </row>
    <row r="16123" spans="2:2" x14ac:dyDescent="0.25">
      <c r="B16123" s="73"/>
    </row>
    <row r="16124" spans="2:2" x14ac:dyDescent="0.25">
      <c r="B16124" s="73"/>
    </row>
    <row r="16125" spans="2:2" x14ac:dyDescent="0.25">
      <c r="B16125" s="73"/>
    </row>
    <row r="16126" spans="2:2" x14ac:dyDescent="0.25">
      <c r="B16126" s="73"/>
    </row>
    <row r="16127" spans="2:2" x14ac:dyDescent="0.25">
      <c r="B16127" s="73"/>
    </row>
    <row r="16128" spans="2:2" x14ac:dyDescent="0.25">
      <c r="B16128" s="73"/>
    </row>
    <row r="16129" spans="2:2" x14ac:dyDescent="0.25">
      <c r="B16129" s="73"/>
    </row>
    <row r="16130" spans="2:2" x14ac:dyDescent="0.25">
      <c r="B16130" s="73"/>
    </row>
    <row r="16131" spans="2:2" x14ac:dyDescent="0.25">
      <c r="B16131" s="73"/>
    </row>
    <row r="16132" spans="2:2" x14ac:dyDescent="0.25">
      <c r="B16132" s="73"/>
    </row>
    <row r="16133" spans="2:2" x14ac:dyDescent="0.25">
      <c r="B16133" s="73"/>
    </row>
    <row r="16134" spans="2:2" x14ac:dyDescent="0.25">
      <c r="B16134" s="73"/>
    </row>
    <row r="16135" spans="2:2" x14ac:dyDescent="0.25">
      <c r="B16135" s="73"/>
    </row>
    <row r="16136" spans="2:2" x14ac:dyDescent="0.25">
      <c r="B16136" s="73"/>
    </row>
    <row r="16137" spans="2:2" x14ac:dyDescent="0.25">
      <c r="B16137" s="73"/>
    </row>
    <row r="16138" spans="2:2" x14ac:dyDescent="0.25">
      <c r="B16138" s="73"/>
    </row>
    <row r="16139" spans="2:2" x14ac:dyDescent="0.25">
      <c r="B16139" s="73"/>
    </row>
    <row r="16140" spans="2:2" x14ac:dyDescent="0.25">
      <c r="B16140" s="73"/>
    </row>
    <row r="16141" spans="2:2" x14ac:dyDescent="0.25">
      <c r="B16141" s="73"/>
    </row>
    <row r="16142" spans="2:2" x14ac:dyDescent="0.25">
      <c r="B16142" s="73"/>
    </row>
    <row r="16143" spans="2:2" x14ac:dyDescent="0.25">
      <c r="B16143" s="73"/>
    </row>
    <row r="16144" spans="2:2" x14ac:dyDescent="0.25">
      <c r="B16144" s="73"/>
    </row>
    <row r="16145" spans="2:2" x14ac:dyDescent="0.25">
      <c r="B16145" s="73"/>
    </row>
    <row r="16146" spans="2:2" x14ac:dyDescent="0.25">
      <c r="B16146" s="73"/>
    </row>
    <row r="16147" spans="2:2" x14ac:dyDescent="0.25">
      <c r="B16147" s="73"/>
    </row>
    <row r="16148" spans="2:2" x14ac:dyDescent="0.25">
      <c r="B16148" s="73"/>
    </row>
    <row r="16149" spans="2:2" x14ac:dyDescent="0.25">
      <c r="B16149" s="73"/>
    </row>
    <row r="16150" spans="2:2" x14ac:dyDescent="0.25">
      <c r="B16150" s="73"/>
    </row>
    <row r="16151" spans="2:2" x14ac:dyDescent="0.25">
      <c r="B16151" s="73"/>
    </row>
    <row r="16152" spans="2:2" x14ac:dyDescent="0.25">
      <c r="B16152" s="73"/>
    </row>
    <row r="16153" spans="2:2" x14ac:dyDescent="0.25">
      <c r="B16153" s="73"/>
    </row>
    <row r="16154" spans="2:2" x14ac:dyDescent="0.25">
      <c r="B16154" s="73"/>
    </row>
    <row r="16155" spans="2:2" x14ac:dyDescent="0.25">
      <c r="B16155" s="73"/>
    </row>
    <row r="16156" spans="2:2" x14ac:dyDescent="0.25">
      <c r="B16156" s="73"/>
    </row>
    <row r="16157" spans="2:2" x14ac:dyDescent="0.25">
      <c r="B16157" s="73"/>
    </row>
    <row r="16158" spans="2:2" x14ac:dyDescent="0.25">
      <c r="B16158" s="73"/>
    </row>
    <row r="16159" spans="2:2" x14ac:dyDescent="0.25">
      <c r="B16159" s="73"/>
    </row>
    <row r="16160" spans="2:2" x14ac:dyDescent="0.25">
      <c r="B16160" s="73"/>
    </row>
    <row r="16161" spans="2:2" x14ac:dyDescent="0.25">
      <c r="B16161" s="73"/>
    </row>
    <row r="16162" spans="2:2" x14ac:dyDescent="0.25">
      <c r="B16162" s="73"/>
    </row>
    <row r="16163" spans="2:2" x14ac:dyDescent="0.25">
      <c r="B16163" s="73"/>
    </row>
    <row r="16164" spans="2:2" x14ac:dyDescent="0.25">
      <c r="B16164" s="73"/>
    </row>
    <row r="16165" spans="2:2" x14ac:dyDescent="0.25">
      <c r="B16165" s="73"/>
    </row>
    <row r="16166" spans="2:2" x14ac:dyDescent="0.25">
      <c r="B16166" s="73"/>
    </row>
    <row r="16167" spans="2:2" x14ac:dyDescent="0.25">
      <c r="B16167" s="73"/>
    </row>
    <row r="16168" spans="2:2" x14ac:dyDescent="0.25">
      <c r="B16168" s="73"/>
    </row>
    <row r="16169" spans="2:2" x14ac:dyDescent="0.25">
      <c r="B16169" s="73"/>
    </row>
    <row r="16170" spans="2:2" x14ac:dyDescent="0.25">
      <c r="B16170" s="73"/>
    </row>
    <row r="16171" spans="2:2" x14ac:dyDescent="0.25">
      <c r="B16171" s="73"/>
    </row>
    <row r="16172" spans="2:2" x14ac:dyDescent="0.25">
      <c r="B16172" s="73"/>
    </row>
    <row r="16173" spans="2:2" x14ac:dyDescent="0.25">
      <c r="B16173" s="73"/>
    </row>
    <row r="16174" spans="2:2" x14ac:dyDescent="0.25">
      <c r="B16174" s="73"/>
    </row>
    <row r="16175" spans="2:2" x14ac:dyDescent="0.25">
      <c r="B16175" s="73"/>
    </row>
    <row r="16176" spans="2:2" x14ac:dyDescent="0.25">
      <c r="B16176" s="73"/>
    </row>
    <row r="16177" spans="2:2" x14ac:dyDescent="0.25">
      <c r="B16177" s="73"/>
    </row>
    <row r="16178" spans="2:2" x14ac:dyDescent="0.25">
      <c r="B16178" s="73"/>
    </row>
    <row r="16179" spans="2:2" x14ac:dyDescent="0.25">
      <c r="B16179" s="73"/>
    </row>
    <row r="16180" spans="2:2" x14ac:dyDescent="0.25">
      <c r="B16180" s="73"/>
    </row>
    <row r="16181" spans="2:2" x14ac:dyDescent="0.25">
      <c r="B16181" s="73"/>
    </row>
    <row r="16182" spans="2:2" x14ac:dyDescent="0.25">
      <c r="B16182" s="73"/>
    </row>
    <row r="16183" spans="2:2" x14ac:dyDescent="0.25">
      <c r="B16183" s="73"/>
    </row>
    <row r="16184" spans="2:2" x14ac:dyDescent="0.25">
      <c r="B16184" s="73"/>
    </row>
    <row r="16185" spans="2:2" x14ac:dyDescent="0.25">
      <c r="B16185" s="73"/>
    </row>
    <row r="16186" spans="2:2" x14ac:dyDescent="0.25">
      <c r="B16186" s="73"/>
    </row>
    <row r="16187" spans="2:2" x14ac:dyDescent="0.25">
      <c r="B16187" s="73"/>
    </row>
    <row r="16188" spans="2:2" x14ac:dyDescent="0.25">
      <c r="B16188" s="73"/>
    </row>
    <row r="16189" spans="2:2" x14ac:dyDescent="0.25">
      <c r="B16189" s="73"/>
    </row>
    <row r="16190" spans="2:2" x14ac:dyDescent="0.25">
      <c r="B16190" s="73"/>
    </row>
    <row r="16191" spans="2:2" x14ac:dyDescent="0.25">
      <c r="B16191" s="73"/>
    </row>
    <row r="16192" spans="2:2" x14ac:dyDescent="0.25">
      <c r="B16192" s="73"/>
    </row>
    <row r="16193" spans="2:2" x14ac:dyDescent="0.25">
      <c r="B16193" s="73"/>
    </row>
    <row r="16194" spans="2:2" x14ac:dyDescent="0.25">
      <c r="B16194" s="73"/>
    </row>
    <row r="16195" spans="2:2" x14ac:dyDescent="0.25">
      <c r="B16195" s="73"/>
    </row>
    <row r="16196" spans="2:2" x14ac:dyDescent="0.25">
      <c r="B16196" s="73"/>
    </row>
    <row r="16197" spans="2:2" x14ac:dyDescent="0.25">
      <c r="B16197" s="73"/>
    </row>
    <row r="16198" spans="2:2" x14ac:dyDescent="0.25">
      <c r="B16198" s="73"/>
    </row>
    <row r="16199" spans="2:2" x14ac:dyDescent="0.25">
      <c r="B16199" s="73"/>
    </row>
    <row r="16200" spans="2:2" x14ac:dyDescent="0.25">
      <c r="B16200" s="73"/>
    </row>
    <row r="16201" spans="2:2" x14ac:dyDescent="0.25">
      <c r="B16201" s="73"/>
    </row>
    <row r="16202" spans="2:2" x14ac:dyDescent="0.25">
      <c r="B16202" s="73"/>
    </row>
    <row r="16203" spans="2:2" x14ac:dyDescent="0.25">
      <c r="B16203" s="73"/>
    </row>
    <row r="16204" spans="2:2" x14ac:dyDescent="0.25">
      <c r="B16204" s="73"/>
    </row>
    <row r="16205" spans="2:2" x14ac:dyDescent="0.25">
      <c r="B16205" s="73"/>
    </row>
    <row r="16206" spans="2:2" x14ac:dyDescent="0.25">
      <c r="B16206" s="73"/>
    </row>
    <row r="16207" spans="2:2" x14ac:dyDescent="0.25">
      <c r="B16207" s="73"/>
    </row>
    <row r="16208" spans="2:2" x14ac:dyDescent="0.25">
      <c r="B16208" s="73"/>
    </row>
    <row r="16209" spans="2:2" x14ac:dyDescent="0.25">
      <c r="B16209" s="73"/>
    </row>
    <row r="16210" spans="2:2" x14ac:dyDescent="0.25">
      <c r="B16210" s="73"/>
    </row>
    <row r="16211" spans="2:2" x14ac:dyDescent="0.25">
      <c r="B16211" s="73"/>
    </row>
    <row r="16212" spans="2:2" x14ac:dyDescent="0.25">
      <c r="B16212" s="73"/>
    </row>
    <row r="16213" spans="2:2" x14ac:dyDescent="0.25">
      <c r="B16213" s="73"/>
    </row>
    <row r="16214" spans="2:2" x14ac:dyDescent="0.25">
      <c r="B16214" s="73"/>
    </row>
    <row r="16215" spans="2:2" x14ac:dyDescent="0.25">
      <c r="B16215" s="73"/>
    </row>
    <row r="16216" spans="2:2" x14ac:dyDescent="0.25">
      <c r="B16216" s="73"/>
    </row>
    <row r="16217" spans="2:2" x14ac:dyDescent="0.25">
      <c r="B16217" s="73"/>
    </row>
    <row r="16218" spans="2:2" x14ac:dyDescent="0.25">
      <c r="B16218" s="73"/>
    </row>
    <row r="16219" spans="2:2" x14ac:dyDescent="0.25">
      <c r="B16219" s="73"/>
    </row>
    <row r="16220" spans="2:2" x14ac:dyDescent="0.25">
      <c r="B16220" s="73"/>
    </row>
    <row r="16221" spans="2:2" x14ac:dyDescent="0.25">
      <c r="B16221" s="73"/>
    </row>
    <row r="16222" spans="2:2" x14ac:dyDescent="0.25">
      <c r="B16222" s="73"/>
    </row>
    <row r="16223" spans="2:2" x14ac:dyDescent="0.25">
      <c r="B16223" s="73"/>
    </row>
    <row r="16224" spans="2:2" x14ac:dyDescent="0.25">
      <c r="B16224" s="73"/>
    </row>
    <row r="16225" spans="2:2" x14ac:dyDescent="0.25">
      <c r="B16225" s="73"/>
    </row>
    <row r="16226" spans="2:2" x14ac:dyDescent="0.25">
      <c r="B16226" s="73"/>
    </row>
    <row r="16227" spans="2:2" x14ac:dyDescent="0.25">
      <c r="B16227" s="73"/>
    </row>
    <row r="16228" spans="2:2" x14ac:dyDescent="0.25">
      <c r="B16228" s="73"/>
    </row>
    <row r="16229" spans="2:2" x14ac:dyDescent="0.25">
      <c r="B16229" s="73"/>
    </row>
    <row r="16230" spans="2:2" x14ac:dyDescent="0.25">
      <c r="B16230" s="73"/>
    </row>
    <row r="16231" spans="2:2" x14ac:dyDescent="0.25">
      <c r="B16231" s="73"/>
    </row>
    <row r="16232" spans="2:2" x14ac:dyDescent="0.25">
      <c r="B16232" s="73"/>
    </row>
    <row r="16233" spans="2:2" x14ac:dyDescent="0.25">
      <c r="B16233" s="73"/>
    </row>
    <row r="16234" spans="2:2" x14ac:dyDescent="0.25">
      <c r="B16234" s="73"/>
    </row>
    <row r="16235" spans="2:2" x14ac:dyDescent="0.25">
      <c r="B16235" s="73"/>
    </row>
    <row r="16236" spans="2:2" x14ac:dyDescent="0.25">
      <c r="B16236" s="73"/>
    </row>
    <row r="16237" spans="2:2" x14ac:dyDescent="0.25">
      <c r="B16237" s="73"/>
    </row>
    <row r="16238" spans="2:2" x14ac:dyDescent="0.25">
      <c r="B16238" s="73"/>
    </row>
    <row r="16239" spans="2:2" x14ac:dyDescent="0.25">
      <c r="B16239" s="73"/>
    </row>
    <row r="16240" spans="2:2" x14ac:dyDescent="0.25">
      <c r="B16240" s="73"/>
    </row>
    <row r="16241" spans="2:2" x14ac:dyDescent="0.25">
      <c r="B16241" s="73"/>
    </row>
    <row r="16242" spans="2:2" x14ac:dyDescent="0.25">
      <c r="B16242" s="73"/>
    </row>
    <row r="16243" spans="2:2" x14ac:dyDescent="0.25">
      <c r="B16243" s="73"/>
    </row>
    <row r="16244" spans="2:2" x14ac:dyDescent="0.25">
      <c r="B16244" s="73"/>
    </row>
    <row r="16245" spans="2:2" x14ac:dyDescent="0.25">
      <c r="B16245" s="73"/>
    </row>
    <row r="16246" spans="2:2" x14ac:dyDescent="0.25">
      <c r="B16246" s="73"/>
    </row>
    <row r="16247" spans="2:2" x14ac:dyDescent="0.25">
      <c r="B16247" s="73"/>
    </row>
    <row r="16248" spans="2:2" x14ac:dyDescent="0.25">
      <c r="B16248" s="73"/>
    </row>
    <row r="16249" spans="2:2" x14ac:dyDescent="0.25">
      <c r="B16249" s="73"/>
    </row>
    <row r="16250" spans="2:2" x14ac:dyDescent="0.25">
      <c r="B16250" s="73"/>
    </row>
    <row r="16251" spans="2:2" x14ac:dyDescent="0.25">
      <c r="B16251" s="73"/>
    </row>
    <row r="16252" spans="2:2" x14ac:dyDescent="0.25">
      <c r="B16252" s="73"/>
    </row>
    <row r="16253" spans="2:2" x14ac:dyDescent="0.25">
      <c r="B16253" s="73"/>
    </row>
    <row r="16254" spans="2:2" x14ac:dyDescent="0.25">
      <c r="B16254" s="73"/>
    </row>
    <row r="16255" spans="2:2" x14ac:dyDescent="0.25">
      <c r="B16255" s="73"/>
    </row>
    <row r="16256" spans="2:2" x14ac:dyDescent="0.25">
      <c r="B16256" s="73"/>
    </row>
    <row r="16257" spans="2:2" x14ac:dyDescent="0.25">
      <c r="B16257" s="73"/>
    </row>
    <row r="16258" spans="2:2" x14ac:dyDescent="0.25">
      <c r="B16258" s="73"/>
    </row>
    <row r="16259" spans="2:2" x14ac:dyDescent="0.25">
      <c r="B16259" s="73"/>
    </row>
    <row r="16260" spans="2:2" x14ac:dyDescent="0.25">
      <c r="B16260" s="73"/>
    </row>
    <row r="16261" spans="2:2" x14ac:dyDescent="0.25">
      <c r="B16261" s="73"/>
    </row>
    <row r="16262" spans="2:2" x14ac:dyDescent="0.25">
      <c r="B16262" s="73"/>
    </row>
    <row r="16263" spans="2:2" x14ac:dyDescent="0.25">
      <c r="B16263" s="73"/>
    </row>
    <row r="16264" spans="2:2" x14ac:dyDescent="0.25">
      <c r="B16264" s="73"/>
    </row>
    <row r="16265" spans="2:2" x14ac:dyDescent="0.25">
      <c r="B16265" s="73"/>
    </row>
    <row r="16266" spans="2:2" x14ac:dyDescent="0.25">
      <c r="B16266" s="73"/>
    </row>
    <row r="16267" spans="2:2" x14ac:dyDescent="0.25">
      <c r="B16267" s="73"/>
    </row>
    <row r="16268" spans="2:2" x14ac:dyDescent="0.25">
      <c r="B16268" s="73"/>
    </row>
    <row r="16269" spans="2:2" x14ac:dyDescent="0.25">
      <c r="B16269" s="73"/>
    </row>
    <row r="16270" spans="2:2" x14ac:dyDescent="0.25">
      <c r="B16270" s="73"/>
    </row>
    <row r="16271" spans="2:2" x14ac:dyDescent="0.25">
      <c r="B16271" s="73"/>
    </row>
    <row r="16272" spans="2:2" x14ac:dyDescent="0.25">
      <c r="B16272" s="73"/>
    </row>
    <row r="16273" spans="2:2" x14ac:dyDescent="0.25">
      <c r="B16273" s="73"/>
    </row>
    <row r="16274" spans="2:2" x14ac:dyDescent="0.25">
      <c r="B16274" s="73"/>
    </row>
    <row r="16275" spans="2:2" x14ac:dyDescent="0.25">
      <c r="B16275" s="73"/>
    </row>
    <row r="16276" spans="2:2" x14ac:dyDescent="0.25">
      <c r="B16276" s="73"/>
    </row>
    <row r="16277" spans="2:2" x14ac:dyDescent="0.25">
      <c r="B16277" s="73"/>
    </row>
    <row r="16278" spans="2:2" x14ac:dyDescent="0.25">
      <c r="B16278" s="73"/>
    </row>
    <row r="16279" spans="2:2" x14ac:dyDescent="0.25">
      <c r="B16279" s="73"/>
    </row>
    <row r="16280" spans="2:2" x14ac:dyDescent="0.25">
      <c r="B16280" s="73"/>
    </row>
    <row r="16281" spans="2:2" x14ac:dyDescent="0.25">
      <c r="B16281" s="73"/>
    </row>
    <row r="16282" spans="2:2" x14ac:dyDescent="0.25">
      <c r="B16282" s="73"/>
    </row>
    <row r="16283" spans="2:2" x14ac:dyDescent="0.25">
      <c r="B16283" s="73"/>
    </row>
    <row r="16284" spans="2:2" x14ac:dyDescent="0.25">
      <c r="B16284" s="73"/>
    </row>
    <row r="16285" spans="2:2" x14ac:dyDescent="0.25">
      <c r="B16285" s="73"/>
    </row>
    <row r="16286" spans="2:2" x14ac:dyDescent="0.25">
      <c r="B16286" s="73"/>
    </row>
    <row r="16287" spans="2:2" x14ac:dyDescent="0.25">
      <c r="B16287" s="73"/>
    </row>
    <row r="16288" spans="2:2" x14ac:dyDescent="0.25">
      <c r="B16288" s="73"/>
    </row>
    <row r="16289" spans="2:2" x14ac:dyDescent="0.25">
      <c r="B16289" s="73"/>
    </row>
    <row r="16290" spans="2:2" x14ac:dyDescent="0.25">
      <c r="B16290" s="73"/>
    </row>
    <row r="16291" spans="2:2" x14ac:dyDescent="0.25">
      <c r="B16291" s="73"/>
    </row>
    <row r="16292" spans="2:2" x14ac:dyDescent="0.25">
      <c r="B16292" s="73"/>
    </row>
    <row r="16293" spans="2:2" x14ac:dyDescent="0.25">
      <c r="B16293" s="73"/>
    </row>
    <row r="16294" spans="2:2" x14ac:dyDescent="0.25">
      <c r="B16294" s="73"/>
    </row>
    <row r="16295" spans="2:2" x14ac:dyDescent="0.25">
      <c r="B16295" s="73"/>
    </row>
    <row r="16296" spans="2:2" x14ac:dyDescent="0.25">
      <c r="B16296" s="73"/>
    </row>
    <row r="16297" spans="2:2" x14ac:dyDescent="0.25">
      <c r="B16297" s="73"/>
    </row>
    <row r="16298" spans="2:2" x14ac:dyDescent="0.25">
      <c r="B16298" s="73"/>
    </row>
    <row r="16299" spans="2:2" x14ac:dyDescent="0.25">
      <c r="B16299" s="73"/>
    </row>
    <row r="16300" spans="2:2" x14ac:dyDescent="0.25">
      <c r="B16300" s="73"/>
    </row>
    <row r="16301" spans="2:2" x14ac:dyDescent="0.25">
      <c r="B16301" s="73"/>
    </row>
    <row r="16302" spans="2:2" x14ac:dyDescent="0.25">
      <c r="B16302" s="73"/>
    </row>
    <row r="16303" spans="2:2" x14ac:dyDescent="0.25">
      <c r="B16303" s="73"/>
    </row>
    <row r="16304" spans="2:2" x14ac:dyDescent="0.25">
      <c r="B16304" s="73"/>
    </row>
    <row r="16305" spans="2:2" x14ac:dyDescent="0.25">
      <c r="B16305" s="73"/>
    </row>
    <row r="16306" spans="2:2" x14ac:dyDescent="0.25">
      <c r="B16306" s="73"/>
    </row>
    <row r="16307" spans="2:2" x14ac:dyDescent="0.25">
      <c r="B16307" s="73"/>
    </row>
    <row r="16308" spans="2:2" x14ac:dyDescent="0.25">
      <c r="B16308" s="73"/>
    </row>
    <row r="16309" spans="2:2" x14ac:dyDescent="0.25">
      <c r="B16309" s="73"/>
    </row>
    <row r="16310" spans="2:2" x14ac:dyDescent="0.25">
      <c r="B16310" s="73"/>
    </row>
    <row r="16311" spans="2:2" x14ac:dyDescent="0.25">
      <c r="B16311" s="73"/>
    </row>
    <row r="16312" spans="2:2" x14ac:dyDescent="0.25">
      <c r="B16312" s="73"/>
    </row>
    <row r="16313" spans="2:2" x14ac:dyDescent="0.25">
      <c r="B16313" s="73"/>
    </row>
    <row r="16314" spans="2:2" x14ac:dyDescent="0.25">
      <c r="B16314" s="73"/>
    </row>
    <row r="16315" spans="2:2" x14ac:dyDescent="0.25">
      <c r="B16315" s="73"/>
    </row>
    <row r="16316" spans="2:2" x14ac:dyDescent="0.25">
      <c r="B16316" s="73"/>
    </row>
    <row r="16317" spans="2:2" x14ac:dyDescent="0.25">
      <c r="B16317" s="73"/>
    </row>
    <row r="16318" spans="2:2" x14ac:dyDescent="0.25">
      <c r="B16318" s="73"/>
    </row>
    <row r="16319" spans="2:2" x14ac:dyDescent="0.25">
      <c r="B16319" s="73"/>
    </row>
    <row r="16320" spans="2:2" x14ac:dyDescent="0.25">
      <c r="B16320" s="73"/>
    </row>
    <row r="16321" spans="2:2" x14ac:dyDescent="0.25">
      <c r="B16321" s="73"/>
    </row>
    <row r="16322" spans="2:2" x14ac:dyDescent="0.25">
      <c r="B16322" s="73"/>
    </row>
    <row r="16323" spans="2:2" x14ac:dyDescent="0.25">
      <c r="B16323" s="73"/>
    </row>
    <row r="16324" spans="2:2" x14ac:dyDescent="0.25">
      <c r="B16324" s="73"/>
    </row>
    <row r="16325" spans="2:2" x14ac:dyDescent="0.25">
      <c r="B16325" s="73"/>
    </row>
    <row r="16326" spans="2:2" x14ac:dyDescent="0.25">
      <c r="B16326" s="73"/>
    </row>
    <row r="16327" spans="2:2" x14ac:dyDescent="0.25">
      <c r="B16327" s="73"/>
    </row>
    <row r="16328" spans="2:2" x14ac:dyDescent="0.25">
      <c r="B16328" s="73"/>
    </row>
    <row r="16329" spans="2:2" x14ac:dyDescent="0.25">
      <c r="B16329" s="73"/>
    </row>
    <row r="16330" spans="2:2" x14ac:dyDescent="0.25">
      <c r="B16330" s="73"/>
    </row>
    <row r="16331" spans="2:2" x14ac:dyDescent="0.25">
      <c r="B16331" s="73"/>
    </row>
    <row r="16332" spans="2:2" x14ac:dyDescent="0.25">
      <c r="B16332" s="73"/>
    </row>
    <row r="16333" spans="2:2" x14ac:dyDescent="0.25">
      <c r="B16333" s="73"/>
    </row>
    <row r="16334" spans="2:2" x14ac:dyDescent="0.25">
      <c r="B16334" s="73"/>
    </row>
    <row r="16335" spans="2:2" x14ac:dyDescent="0.25">
      <c r="B16335" s="73"/>
    </row>
    <row r="16336" spans="2:2" x14ac:dyDescent="0.25">
      <c r="B16336" s="73"/>
    </row>
    <row r="16337" spans="2:2" x14ac:dyDescent="0.25">
      <c r="B16337" s="73"/>
    </row>
    <row r="16338" spans="2:2" x14ac:dyDescent="0.25">
      <c r="B16338" s="73"/>
    </row>
    <row r="16339" spans="2:2" x14ac:dyDescent="0.25">
      <c r="B16339" s="73"/>
    </row>
    <row r="16340" spans="2:2" x14ac:dyDescent="0.25">
      <c r="B16340" s="73"/>
    </row>
    <row r="16341" spans="2:2" x14ac:dyDescent="0.25">
      <c r="B16341" s="73"/>
    </row>
    <row r="16342" spans="2:2" x14ac:dyDescent="0.25">
      <c r="B16342" s="73"/>
    </row>
    <row r="16343" spans="2:2" x14ac:dyDescent="0.25">
      <c r="B16343" s="73"/>
    </row>
    <row r="16344" spans="2:2" x14ac:dyDescent="0.25">
      <c r="B16344" s="73"/>
    </row>
    <row r="16345" spans="2:2" x14ac:dyDescent="0.25">
      <c r="B16345" s="73"/>
    </row>
    <row r="16346" spans="2:2" x14ac:dyDescent="0.25">
      <c r="B16346" s="73"/>
    </row>
    <row r="16347" spans="2:2" x14ac:dyDescent="0.25">
      <c r="B16347" s="73"/>
    </row>
    <row r="16348" spans="2:2" x14ac:dyDescent="0.25">
      <c r="B16348" s="73"/>
    </row>
    <row r="16349" spans="2:2" x14ac:dyDescent="0.25">
      <c r="B16349" s="73"/>
    </row>
    <row r="16350" spans="2:2" x14ac:dyDescent="0.25">
      <c r="B16350" s="73"/>
    </row>
    <row r="16351" spans="2:2" x14ac:dyDescent="0.25">
      <c r="B16351" s="73"/>
    </row>
    <row r="16352" spans="2:2" x14ac:dyDescent="0.25">
      <c r="B16352" s="73"/>
    </row>
    <row r="16353" spans="2:2" x14ac:dyDescent="0.25">
      <c r="B16353" s="73"/>
    </row>
    <row r="16354" spans="2:2" x14ac:dyDescent="0.25">
      <c r="B16354" s="73"/>
    </row>
    <row r="16355" spans="2:2" x14ac:dyDescent="0.25">
      <c r="B16355" s="73"/>
    </row>
    <row r="16356" spans="2:2" x14ac:dyDescent="0.25">
      <c r="B16356" s="73"/>
    </row>
    <row r="16357" spans="2:2" x14ac:dyDescent="0.25">
      <c r="B16357" s="73"/>
    </row>
    <row r="16358" spans="2:2" x14ac:dyDescent="0.25">
      <c r="B16358" s="73"/>
    </row>
    <row r="16359" spans="2:2" x14ac:dyDescent="0.25">
      <c r="B16359" s="73"/>
    </row>
    <row r="16360" spans="2:2" x14ac:dyDescent="0.25">
      <c r="B16360" s="73"/>
    </row>
    <row r="16361" spans="2:2" x14ac:dyDescent="0.25">
      <c r="B16361" s="73"/>
    </row>
    <row r="16362" spans="2:2" x14ac:dyDescent="0.25">
      <c r="B16362" s="73"/>
    </row>
    <row r="16363" spans="2:2" x14ac:dyDescent="0.25">
      <c r="B16363" s="73"/>
    </row>
    <row r="16364" spans="2:2" x14ac:dyDescent="0.25">
      <c r="B16364" s="73"/>
    </row>
    <row r="16365" spans="2:2" x14ac:dyDescent="0.25">
      <c r="B16365" s="73"/>
    </row>
    <row r="16366" spans="2:2" x14ac:dyDescent="0.25">
      <c r="B16366" s="73"/>
    </row>
    <row r="16367" spans="2:2" x14ac:dyDescent="0.25">
      <c r="B16367" s="73"/>
    </row>
    <row r="16368" spans="2:2" x14ac:dyDescent="0.25">
      <c r="B16368" s="73"/>
    </row>
    <row r="16369" spans="2:2" x14ac:dyDescent="0.25">
      <c r="B16369" s="73"/>
    </row>
    <row r="16370" spans="2:2" x14ac:dyDescent="0.25">
      <c r="B16370" s="73"/>
    </row>
    <row r="16371" spans="2:2" x14ac:dyDescent="0.25">
      <c r="B16371" s="73"/>
    </row>
    <row r="16372" spans="2:2" x14ac:dyDescent="0.25">
      <c r="B16372" s="73"/>
    </row>
    <row r="16373" spans="2:2" x14ac:dyDescent="0.25">
      <c r="B16373" s="73"/>
    </row>
    <row r="16374" spans="2:2" x14ac:dyDescent="0.25">
      <c r="B16374" s="73"/>
    </row>
    <row r="16375" spans="2:2" x14ac:dyDescent="0.25">
      <c r="B16375" s="73"/>
    </row>
    <row r="16376" spans="2:2" x14ac:dyDescent="0.25">
      <c r="B16376" s="73"/>
    </row>
    <row r="16377" spans="2:2" x14ac:dyDescent="0.25">
      <c r="B16377" s="73"/>
    </row>
    <row r="16378" spans="2:2" x14ac:dyDescent="0.25">
      <c r="B16378" s="73"/>
    </row>
    <row r="16379" spans="2:2" x14ac:dyDescent="0.25">
      <c r="B16379" s="73"/>
    </row>
    <row r="16380" spans="2:2" x14ac:dyDescent="0.25">
      <c r="B16380" s="73"/>
    </row>
    <row r="16381" spans="2:2" x14ac:dyDescent="0.25">
      <c r="B16381" s="73"/>
    </row>
    <row r="16382" spans="2:2" x14ac:dyDescent="0.25">
      <c r="B16382" s="73"/>
    </row>
    <row r="16383" spans="2:2" x14ac:dyDescent="0.25">
      <c r="B16383" s="73"/>
    </row>
    <row r="16384" spans="2:2" x14ac:dyDescent="0.25">
      <c r="B16384" s="73"/>
    </row>
    <row r="16385" spans="2:2" x14ac:dyDescent="0.25">
      <c r="B16385" s="73"/>
    </row>
    <row r="16386" spans="2:2" x14ac:dyDescent="0.25">
      <c r="B16386" s="73"/>
    </row>
    <row r="16387" spans="2:2" x14ac:dyDescent="0.25">
      <c r="B16387" s="73"/>
    </row>
    <row r="16388" spans="2:2" x14ac:dyDescent="0.25">
      <c r="B16388" s="73"/>
    </row>
    <row r="16389" spans="2:2" x14ac:dyDescent="0.25">
      <c r="B16389" s="73"/>
    </row>
    <row r="16390" spans="2:2" x14ac:dyDescent="0.25">
      <c r="B16390" s="73"/>
    </row>
    <row r="16391" spans="2:2" x14ac:dyDescent="0.25">
      <c r="B16391" s="73"/>
    </row>
    <row r="16392" spans="2:2" x14ac:dyDescent="0.25">
      <c r="B16392" s="73"/>
    </row>
    <row r="16393" spans="2:2" x14ac:dyDescent="0.25">
      <c r="B16393" s="73"/>
    </row>
    <row r="16394" spans="2:2" x14ac:dyDescent="0.25">
      <c r="B16394" s="73"/>
    </row>
    <row r="16395" spans="2:2" x14ac:dyDescent="0.25">
      <c r="B16395" s="73"/>
    </row>
    <row r="16396" spans="2:2" x14ac:dyDescent="0.25">
      <c r="B16396" s="73"/>
    </row>
  </sheetData>
  <phoneticPr fontId="1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C2FBF680-8935-4B2C-A301-2E367A514D14}">
  <ds:schemaRefs/>
</ds:datastoreItem>
</file>

<file path=customXml/itemProps2.xml><?xml version="1.0" encoding="utf-8"?>
<ds:datastoreItem xmlns:ds="http://schemas.openxmlformats.org/officeDocument/2006/customXml" ds:itemID="{661F4CDD-0DC2-4295-B921-2376563BFD4B}">
  <ds:schemaRefs/>
</ds:datastoreItem>
</file>

<file path=customXml/itemProps3.xml><?xml version="1.0" encoding="utf-8"?>
<ds:datastoreItem xmlns:ds="http://schemas.openxmlformats.org/officeDocument/2006/customXml" ds:itemID="{7EC39166-6F02-46D7-A3F2-23582001524A}">
  <ds:schemaRefs/>
</ds:datastoreItem>
</file>

<file path=customXml/itemProps4.xml><?xml version="1.0" encoding="utf-8"?>
<ds:datastoreItem xmlns:ds="http://schemas.openxmlformats.org/officeDocument/2006/customXml" ds:itemID="{7C610381-E7B7-4B70-B86D-DA8DE993DEFE}">
  <ds:schemaRefs/>
</ds:datastoreItem>
</file>

<file path=customXml/itemProps5.xml><?xml version="1.0" encoding="utf-8"?>
<ds:datastoreItem xmlns:ds="http://schemas.openxmlformats.org/officeDocument/2006/customXml" ds:itemID="{AC0CC7A3-AD71-43BD-8827-BC73372435A6}">
  <ds:schemaRefs/>
</ds:datastoreItem>
</file>

<file path=customXml/itemProps6.xml><?xml version="1.0" encoding="utf-8"?>
<ds:datastoreItem xmlns:ds="http://schemas.openxmlformats.org/officeDocument/2006/customXml" ds:itemID="{F2769D91-F599-4BEB-9A88-53FA7CD66507}">
  <ds:schemaRefs/>
</ds:datastoreItem>
</file>

<file path=customXml/itemProps7.xml><?xml version="1.0" encoding="utf-8"?>
<ds:datastoreItem xmlns:ds="http://schemas.openxmlformats.org/officeDocument/2006/customXml" ds:itemID="{8E06F27A-F0DE-43C3-A035-85A2895BCBB9}">
  <ds:schemaRefs/>
</ds:datastoreItem>
</file>

<file path=customXml/itemProps8.xml><?xml version="1.0" encoding="utf-8"?>
<ds:datastoreItem xmlns:ds="http://schemas.openxmlformats.org/officeDocument/2006/customXml" ds:itemID="{18FA7DB1-E015-4B9E-97F7-EEC68944F6F4}">
  <ds:schemaRefs/>
</ds:datastoreItem>
</file>

<file path=customXml/itemProps9.xml><?xml version="1.0" encoding="utf-8"?>
<ds:datastoreItem xmlns:ds="http://schemas.openxmlformats.org/officeDocument/2006/customXml" ds:itemID="{D2BC132E-656D-410B-A96D-A7A1F3019ED9}">
  <ds:schemaRefs/>
</ds:datastoreItem>
</file>

<file path=customXml/itemProps10.xml><?xml version="1.0" encoding="utf-8"?>
<ds:datastoreItem xmlns:ds="http://schemas.openxmlformats.org/officeDocument/2006/customXml" ds:itemID="{46DED715-41E7-4197-A56B-48239B0D4DDC}">
  <ds:schemaRefs/>
</ds:datastoreItem>
</file>

<file path=customXml/itemProps11.xml><?xml version="1.0" encoding="utf-8"?>
<ds:datastoreItem xmlns:ds="http://schemas.openxmlformats.org/officeDocument/2006/customXml" ds:itemID="{19CE984B-64FA-42C7-A4D2-3C6AA6872346}">
  <ds:schemaRefs/>
</ds:datastoreItem>
</file>

<file path=customXml/itemProps12.xml><?xml version="1.0" encoding="utf-8"?>
<ds:datastoreItem xmlns:ds="http://schemas.openxmlformats.org/officeDocument/2006/customXml" ds:itemID="{A7BEAAF6-861C-4D8E-B7A7-8A6CD29CA4FD}">
  <ds:schemaRefs/>
</ds:datastoreItem>
</file>

<file path=customXml/itemProps13.xml><?xml version="1.0" encoding="utf-8"?>
<ds:datastoreItem xmlns:ds="http://schemas.openxmlformats.org/officeDocument/2006/customXml" ds:itemID="{D5232E8B-4761-485F-A6ED-B8672C2DAE2A}">
  <ds:schemaRefs/>
</ds:datastoreItem>
</file>

<file path=customXml/itemProps14.xml><?xml version="1.0" encoding="utf-8"?>
<ds:datastoreItem xmlns:ds="http://schemas.openxmlformats.org/officeDocument/2006/customXml" ds:itemID="{D189FCA1-07DF-4555-88EC-DCC00A46B2EC}">
  <ds:schemaRefs/>
</ds:datastoreItem>
</file>

<file path=customXml/itemProps15.xml><?xml version="1.0" encoding="utf-8"?>
<ds:datastoreItem xmlns:ds="http://schemas.openxmlformats.org/officeDocument/2006/customXml" ds:itemID="{2CCEE455-A83C-432D-A0F8-ECF5DF775356}">
  <ds:schemaRefs/>
</ds:datastoreItem>
</file>

<file path=customXml/itemProps16.xml><?xml version="1.0" encoding="utf-8"?>
<ds:datastoreItem xmlns:ds="http://schemas.openxmlformats.org/officeDocument/2006/customXml" ds:itemID="{4B169E89-B68F-4BC9-80ED-A21A02381117}">
  <ds:schemaRefs/>
</ds:datastoreItem>
</file>

<file path=customXml/itemProps17.xml><?xml version="1.0" encoding="utf-8"?>
<ds:datastoreItem xmlns:ds="http://schemas.openxmlformats.org/officeDocument/2006/customXml" ds:itemID="{DBD841EA-8753-4262-A87B-10BA328BBC8E}">
  <ds:schemaRefs>
    <ds:schemaRef ds:uri="http://schemas.microsoft.com/DataMashup"/>
  </ds:schemaRefs>
</ds:datastoreItem>
</file>

<file path=customXml/itemProps18.xml><?xml version="1.0" encoding="utf-8"?>
<ds:datastoreItem xmlns:ds="http://schemas.openxmlformats.org/officeDocument/2006/customXml" ds:itemID="{63FFFF8D-4F83-4103-8A05-D731117DE533}">
  <ds:schemaRefs/>
</ds:datastoreItem>
</file>

<file path=customXml/itemProps19.xml><?xml version="1.0" encoding="utf-8"?>
<ds:datastoreItem xmlns:ds="http://schemas.openxmlformats.org/officeDocument/2006/customXml" ds:itemID="{18DBF50B-A80F-437F-BD33-1F3258058D78}">
  <ds:schemaRefs/>
</ds:datastoreItem>
</file>

<file path=customXml/itemProps20.xml><?xml version="1.0" encoding="utf-8"?>
<ds:datastoreItem xmlns:ds="http://schemas.openxmlformats.org/officeDocument/2006/customXml" ds:itemID="{2E8ED1FC-D635-4EF7-8F20-614823DBC905}">
  <ds:schemaRefs/>
</ds:datastoreItem>
</file>

<file path=customXml/itemProps21.xml><?xml version="1.0" encoding="utf-8"?>
<ds:datastoreItem xmlns:ds="http://schemas.openxmlformats.org/officeDocument/2006/customXml" ds:itemID="{A753248C-850B-4B61-9376-98562E849D8B}">
  <ds:schemaRefs/>
</ds:datastoreItem>
</file>

<file path=customXml/itemProps22.xml><?xml version="1.0" encoding="utf-8"?>
<ds:datastoreItem xmlns:ds="http://schemas.openxmlformats.org/officeDocument/2006/customXml" ds:itemID="{2350C0B8-A1F4-4079-BB50-B26E67742AB2}">
  <ds:schemaRefs/>
</ds:datastoreItem>
</file>

<file path=customXml/itemProps23.xml><?xml version="1.0" encoding="utf-8"?>
<ds:datastoreItem xmlns:ds="http://schemas.openxmlformats.org/officeDocument/2006/customXml" ds:itemID="{DC67FD2A-80D4-4C45-B31F-F799FFA9980B}">
  <ds:schemaRefs/>
</ds:datastoreItem>
</file>

<file path=customXml/itemProps24.xml><?xml version="1.0" encoding="utf-8"?>
<ds:datastoreItem xmlns:ds="http://schemas.openxmlformats.org/officeDocument/2006/customXml" ds:itemID="{D1BDB227-5D4F-493C-9194-1443AAD6B5C5}">
  <ds:schemaRefs/>
</ds:datastoreItem>
</file>

<file path=customXml/itemProps25.xml><?xml version="1.0" encoding="utf-8"?>
<ds:datastoreItem xmlns:ds="http://schemas.openxmlformats.org/officeDocument/2006/customXml" ds:itemID="{DD3DB3F2-A2D8-4014-AC0A-7725E96FC7C9}">
  <ds:schemaRefs/>
</ds:datastoreItem>
</file>

<file path=customXml/itemProps26.xml><?xml version="1.0" encoding="utf-8"?>
<ds:datastoreItem xmlns:ds="http://schemas.openxmlformats.org/officeDocument/2006/customXml" ds:itemID="{3B8AA000-0276-4406-9BF7-035C18CC59AB}">
  <ds:schemaRefs/>
</ds:datastoreItem>
</file>

<file path=customXml/itemProps27.xml><?xml version="1.0" encoding="utf-8"?>
<ds:datastoreItem xmlns:ds="http://schemas.openxmlformats.org/officeDocument/2006/customXml" ds:itemID="{2B623506-7EED-47A4-B7CA-871C0B142581}">
  <ds:schemaRefs/>
</ds:datastoreItem>
</file>

<file path=customXml/itemProps28.xml><?xml version="1.0" encoding="utf-8"?>
<ds:datastoreItem xmlns:ds="http://schemas.openxmlformats.org/officeDocument/2006/customXml" ds:itemID="{49C6E057-9D5D-4C2F-BD7B-05CB258E3236}">
  <ds:schemaRefs/>
</ds:datastoreItem>
</file>

<file path=customXml/itemProps29.xml><?xml version="1.0" encoding="utf-8"?>
<ds:datastoreItem xmlns:ds="http://schemas.openxmlformats.org/officeDocument/2006/customXml" ds:itemID="{D4CE09C1-5BCE-4B97-A1F9-0F8CA2FB702A}">
  <ds:schemaRefs/>
</ds:datastoreItem>
</file>

<file path=customXml/itemProps30.xml><?xml version="1.0" encoding="utf-8"?>
<ds:datastoreItem xmlns:ds="http://schemas.openxmlformats.org/officeDocument/2006/customXml" ds:itemID="{63EAF74A-30ED-4A5C-AE13-45623E8AD485}">
  <ds:schemaRefs/>
</ds:datastoreItem>
</file>

<file path=customXml/itemProps31.xml><?xml version="1.0" encoding="utf-8"?>
<ds:datastoreItem xmlns:ds="http://schemas.openxmlformats.org/officeDocument/2006/customXml" ds:itemID="{B83838C8-B709-46CE-917D-7FEA8EF6B9E9}">
  <ds:schemaRefs/>
</ds:datastoreItem>
</file>

<file path=customXml/itemProps32.xml><?xml version="1.0" encoding="utf-8"?>
<ds:datastoreItem xmlns:ds="http://schemas.openxmlformats.org/officeDocument/2006/customXml" ds:itemID="{FFACC842-EB88-4D39-84BF-14F68429B6F6}">
  <ds:schemaRefs/>
</ds:datastoreItem>
</file>

<file path=customXml/itemProps33.xml><?xml version="1.0" encoding="utf-8"?>
<ds:datastoreItem xmlns:ds="http://schemas.openxmlformats.org/officeDocument/2006/customXml" ds:itemID="{8345041D-35DA-4A4F-8E8B-B8C8A07D2181}">
  <ds:schemaRefs/>
</ds:datastoreItem>
</file>

<file path=customXml/itemProps34.xml><?xml version="1.0" encoding="utf-8"?>
<ds:datastoreItem xmlns:ds="http://schemas.openxmlformats.org/officeDocument/2006/customXml" ds:itemID="{82FD8C8A-1BFB-4B22-A516-FD82D0139CC8}">
  <ds:schemaRefs/>
</ds:datastoreItem>
</file>

<file path=customXml/itemProps35.xml><?xml version="1.0" encoding="utf-8"?>
<ds:datastoreItem xmlns:ds="http://schemas.openxmlformats.org/officeDocument/2006/customXml" ds:itemID="{06B96161-FE27-48AE-8FB2-C6791FB282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TUDB</vt:lpstr>
      <vt:lpstr>Use</vt:lpstr>
      <vt:lpstr>ALK</vt:lpstr>
      <vt:lpstr>HRD</vt:lpstr>
      <vt:lpstr>pH</vt:lpstr>
      <vt:lpstr>NO2</vt:lpstr>
      <vt:lpstr>NO3</vt:lpstr>
      <vt:lpstr>OPhos</vt:lpstr>
      <vt:lpstr>Water Temp</vt:lpstr>
      <vt:lpstr>Disturbances</vt:lpstr>
      <vt:lpstr>Scorecard</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Carter Borden</dc:creator>
  <cp:lastModifiedBy>Carter Borden</cp:lastModifiedBy>
  <dcterms:created xsi:type="dcterms:W3CDTF">2019-09-04T04:04:19Z</dcterms:created>
  <dcterms:modified xsi:type="dcterms:W3CDTF">2025-04-25T17:04:05Z</dcterms:modified>
</cp:coreProperties>
</file>